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drawings/drawing2.xml" ContentType="application/vnd.openxmlformats-officedocument.drawing+xml"/>
  <Override PartName="/xl/customProperty7.bin" ContentType="application/vnd.openxmlformats-officedocument.spreadsheetml.customProperty"/>
  <Override PartName="/xl/customProperty8.bin" ContentType="application/vnd.openxmlformats-officedocument.spreadsheetml.customProperty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4.xml" ContentType="application/vnd.openxmlformats-officedocument.drawing+xml"/>
  <Override PartName="/xl/customProperty9.bin" ContentType="application/vnd.openxmlformats-officedocument.spreadsheetml.customProperty"/>
  <Override PartName="/xl/customProperty10.bin" ContentType="application/vnd.openxmlformats-officedocument.spreadsheetml.customProperty"/>
  <Override PartName="/xl/drawings/drawing5.xml" ContentType="application/vnd.openxmlformats-officedocument.drawing+xml"/>
  <Override PartName="/xl/customProperty11.bin" ContentType="application/vnd.openxmlformats-officedocument.spreadsheetml.customProperty"/>
  <Override PartName="/xl/customProperty12.bin" ContentType="application/vnd.openxmlformats-officedocument.spreadsheetml.customProperty"/>
  <Override PartName="/xl/drawings/drawing6.xml" ContentType="application/vnd.openxmlformats-officedocument.drawing+xml"/>
  <Override PartName="/xl/comments3.xml" ContentType="application/vnd.openxmlformats-officedocument.spreadsheetml.comments+xml"/>
  <Override PartName="/xl/customProperty13.bin" ContentType="application/vnd.openxmlformats-officedocument.spreadsheetml.customProperty"/>
  <Override PartName="/xl/customProperty14.bin" ContentType="application/vnd.openxmlformats-officedocument.spreadsheetml.customProperty"/>
  <Override PartName="/xl/drawings/drawing7.xml" ContentType="application/vnd.openxmlformats-officedocument.drawing+xml"/>
  <Override PartName="/xl/customProperty15.bin" ContentType="application/vnd.openxmlformats-officedocument.spreadsheetml.customProperty"/>
  <Override PartName="/xl/customProperty16.bin" ContentType="application/vnd.openxmlformats-officedocument.spreadsheetml.customProperty"/>
  <Override PartName="/xl/drawings/drawing8.xml" ContentType="application/vnd.openxmlformats-officedocument.drawing+xml"/>
  <Override PartName="/xl/drawings/drawing9.xml" ContentType="application/vnd.openxmlformats-officedocument.drawing+xml"/>
  <Override PartName="/xl/comments4.xml" ContentType="application/vnd.openxmlformats-officedocument.spreadsheetml.comments+xml"/>
  <Override PartName="/xl/threadedComments/threadedComment3.xml" ContentType="application/vnd.ms-excel.threadedcomments+xml"/>
  <Override PartName="/xl/customProperty17.bin" ContentType="application/vnd.openxmlformats-officedocument.spreadsheetml.customProperty"/>
  <Override PartName="/xl/customProperty18.bin" ContentType="application/vnd.openxmlformats-officedocument.spreadsheetml.customProperty"/>
  <Override PartName="/xl/drawings/drawing10.xml" ContentType="application/vnd.openxmlformats-officedocument.drawing+xml"/>
  <Override PartName="/xl/customProperty19.bin" ContentType="application/vnd.openxmlformats-officedocument.spreadsheetml.customProperty"/>
  <Override PartName="/xl/customProperty20.bin" ContentType="application/vnd.openxmlformats-officedocument.spreadsheetml.customProperty"/>
  <Override PartName="/xl/drawings/drawing11.xml" ContentType="application/vnd.openxmlformats-officedocument.drawing+xml"/>
  <Override PartName="/xl/customProperty21.bin" ContentType="application/vnd.openxmlformats-officedocument.spreadsheetml.customProperty"/>
  <Override PartName="/xl/customProperty22.bin" ContentType="application/vnd.openxmlformats-officedocument.spreadsheetml.customProperty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customProperty23.bin" ContentType="application/vnd.openxmlformats-officedocument.spreadsheetml.customProperty"/>
  <Override PartName="/xl/drawings/drawing18.xml" ContentType="application/vnd.openxmlformats-officedocument.drawing+xml"/>
  <Override PartName="/xl/customProperty24.bin" ContentType="application/vnd.openxmlformats-officedocument.spreadsheetml.customProperty"/>
  <Override PartName="/xl/customProperty25.bin" ContentType="application/vnd.openxmlformats-officedocument.spreadsheetml.customProperty"/>
  <Override PartName="/xl/drawings/drawing19.xml" ContentType="application/vnd.openxmlformats-officedocument.drawing+xml"/>
  <Override PartName="/xl/customProperty26.bin" ContentType="application/vnd.openxmlformats-officedocument.spreadsheetml.customProperty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customProperty27.bin" ContentType="application/vnd.openxmlformats-officedocument.spreadsheetml.customProperty"/>
  <Override PartName="/xl/drawings/drawing23.xml" ContentType="application/vnd.openxmlformats-officedocument.drawing+xml"/>
  <Override PartName="/xl/customProperty28.bin" ContentType="application/vnd.openxmlformats-officedocument.spreadsheetml.customProperty"/>
  <Override PartName="/xl/customProperty29.bin" ContentType="application/vnd.openxmlformats-officedocument.spreadsheetml.customProperty"/>
  <Override PartName="/xl/customProperty30.bin" ContentType="application/vnd.openxmlformats-officedocument.spreadsheetml.customProperty"/>
  <Override PartName="/xl/customProperty31.bin" ContentType="application/vnd.openxmlformats-officedocument.spreadsheetml.customProperty"/>
  <Override PartName="/xl/customProperty32.bin" ContentType="application/vnd.openxmlformats-officedocument.spreadsheetml.customProperty"/>
  <Override PartName="/xl/customProperty33.bin" ContentType="application/vnd.openxmlformats-officedocument.spreadsheetml.customProperty"/>
  <Override PartName="/xl/customProperty34.bin" ContentType="application/vnd.openxmlformats-officedocument.spreadsheetml.customProperty"/>
  <Override PartName="/xl/drawings/drawing24.xml" ContentType="application/vnd.openxmlformats-officedocument.drawing+xml"/>
  <Override PartName="/xl/drawings/drawing25.xml" ContentType="application/vnd.openxmlformats-officedocument.drawing+xml"/>
  <Override PartName="/xl/customProperty35.bin" ContentType="application/vnd.openxmlformats-officedocument.spreadsheetml.customProperty"/>
  <Override PartName="/xl/customProperty36.bin" ContentType="application/vnd.openxmlformats-officedocument.spreadsheetml.customProperty"/>
  <Override PartName="/xl/customProperty37.bin" ContentType="application/vnd.openxmlformats-officedocument.spreadsheetml.customProperty"/>
  <Override PartName="/xl/customProperty38.bin" ContentType="application/vnd.openxmlformats-officedocument.spreadsheetml.customProperty"/>
  <Override PartName="/xl/customProperty39.bin" ContentType="application/vnd.openxmlformats-officedocument.spreadsheetml.customProperty"/>
  <Override PartName="/xl/customProperty40.bin" ContentType="application/vnd.openxmlformats-officedocument.spreadsheetml.customProperty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-my.sharepoint.com/personal/akshitiz-extern_nissan-europe_com/Documents/Desktop/"/>
    </mc:Choice>
  </mc:AlternateContent>
  <xr:revisionPtr revIDLastSave="0" documentId="8_{9113E4A9-E54D-409B-BE4D-876582976067}" xr6:coauthVersionLast="47" xr6:coauthVersionMax="47" xr10:uidLastSave="{00000000-0000-0000-0000-000000000000}"/>
  <bookViews>
    <workbookView xWindow="-120" yWindow="-120" windowWidth="20730" windowHeight="11160" tabRatio="943" firstSheet="1" activeTab="25" xr2:uid="{9DBDF98D-D342-4116-B590-2473571EC711}"/>
  </bookViews>
  <sheets>
    <sheet name="Sheet1" sheetId="35" state="hidden" r:id="rId1"/>
    <sheet name="Summary month" sheetId="5" r:id="rId2"/>
    <sheet name="MTD VA vs LY" sheetId="22" r:id="rId3"/>
    <sheet name="MTD VA vs BP" sheetId="9" state="hidden" r:id="rId4"/>
    <sheet name="YTD VA vs BP" sheetId="12" state="hidden" r:id="rId5"/>
    <sheet name="Q2 Act VA vs Q2 FC2+10" sheetId="43" state="hidden" r:id="rId6"/>
    <sheet name="MTD VA vs LY_old" sheetId="16" state="hidden" r:id="rId7"/>
    <sheet name="YTD VA vs LY_old" sheetId="17" state="hidden" r:id="rId8"/>
    <sheet name="QTD VA vs BP" sheetId="14" state="hidden" r:id="rId9"/>
    <sheet name="MTD VA vs 2+10" sheetId="11" state="hidden" r:id="rId10"/>
    <sheet name="YTD VA vs 2+10" sheetId="42" state="hidden" r:id="rId11"/>
    <sheet name="MTD VA vs OL (0+3)" sheetId="19" state="hidden" r:id="rId12"/>
    <sheet name="QTD VA vs OL(0+3)" sheetId="20" state="hidden" r:id="rId13"/>
    <sheet name="QTD VA vs 5+7" sheetId="15" state="hidden" r:id="rId14"/>
    <sheet name="QTD VA vs 5+7 (2)" sheetId="40" state="hidden" r:id="rId15"/>
    <sheet name="Q1 vs Q2 (2+10)" sheetId="39" state="hidden" r:id="rId16"/>
    <sheet name="MTD vs Q1 OL (2+1) Jun" sheetId="38" state="hidden" r:id="rId17"/>
    <sheet name="Q1 2+1 VA vs OL (0+3)" sheetId="37" state="hidden" r:id="rId18"/>
    <sheet name="Q1(2+1) VA vs OL(0+3)" sheetId="36" state="hidden" r:id="rId19"/>
    <sheet name="MTD VA vs LY CMPI-FC" sheetId="31" state="hidden" r:id="rId20"/>
    <sheet name="YTD VA vs LY CMPI-FC" sheetId="27" state="hidden" r:id="rId21"/>
    <sheet name="QTD VA vs LY CMPI_FC" sheetId="33" state="hidden" r:id="rId22"/>
    <sheet name="QTD Q3 vs FC7+5 Q4" sheetId="44" state="hidden" r:id="rId23"/>
    <sheet name="QTD Q3 vs FC7+5 Q3" sheetId="49" state="hidden" r:id="rId24"/>
    <sheet name=" VA vs PM" sheetId="34" state="hidden" r:id="rId25"/>
    <sheet name="Act" sheetId="3" r:id="rId26"/>
    <sheet name="BP" sheetId="1" state="hidden" r:id="rId27"/>
    <sheet name="LY" sheetId="21" r:id="rId28"/>
    <sheet name="FC5+7" sheetId="29" r:id="rId29"/>
    <sheet name="FC7+5" sheetId="46" r:id="rId30"/>
    <sheet name="MTD VA vs 5+7 (ORIGINAL)" sheetId="50" state="hidden" r:id="rId31"/>
    <sheet name="YTD VA vs 5+7 (ORIGINAL)" sheetId="51" state="hidden" r:id="rId32"/>
    <sheet name="FC2+10" sheetId="2" state="hidden" r:id="rId33"/>
    <sheet name="OL" sheetId="52" r:id="rId34"/>
    <sheet name="mapping" sheetId="4" state="hidden" r:id="rId35"/>
    <sheet name="Summary by Quarter" sheetId="7" state="hidden" r:id="rId36"/>
  </sheets>
  <externalReferences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</externalReferences>
  <calcPr calcId="191029" concurrentManualCount="1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3" i="22" l="1"/>
  <c r="H36" i="22"/>
  <c r="H35" i="22"/>
  <c r="H34" i="22"/>
  <c r="AA37" i="22"/>
  <c r="AA35" i="22"/>
  <c r="AD13" i="22"/>
  <c r="AD11" i="22"/>
  <c r="U48" i="22" l="1"/>
  <c r="U47" i="22"/>
  <c r="U46" i="22"/>
  <c r="U45" i="22"/>
  <c r="U44" i="22"/>
  <c r="U43" i="22"/>
  <c r="AJ34" i="22" l="1"/>
  <c r="AA38" i="22"/>
  <c r="S35" i="22" l="1"/>
  <c r="S36" i="22"/>
  <c r="S41" i="22"/>
  <c r="S40" i="22"/>
  <c r="S39" i="22"/>
  <c r="AA36" i="22"/>
  <c r="M38" i="22" l="1"/>
  <c r="M42" i="22"/>
  <c r="J41" i="22" l="1"/>
  <c r="J40" i="22"/>
  <c r="J39" i="22"/>
  <c r="J34" i="22" l="1"/>
  <c r="M34" i="22"/>
  <c r="J35" i="22"/>
  <c r="M35" i="22"/>
  <c r="J36" i="22"/>
  <c r="M36" i="22"/>
  <c r="J37" i="22"/>
  <c r="M37" i="22"/>
  <c r="K19" i="22"/>
  <c r="I23" i="22"/>
  <c r="J23" i="22"/>
  <c r="K23" i="22"/>
  <c r="L23" i="22"/>
  <c r="M23" i="22"/>
  <c r="L5" i="22"/>
  <c r="G19" i="22" l="1"/>
  <c r="O71" i="3" l="1"/>
  <c r="J59" i="3"/>
  <c r="I59" i="3"/>
  <c r="H59" i="3"/>
  <c r="G59" i="3"/>
  <c r="F59" i="3"/>
  <c r="E59" i="3"/>
  <c r="P58" i="3"/>
  <c r="O58" i="3"/>
  <c r="N58" i="3"/>
  <c r="M58" i="3"/>
  <c r="L58" i="3"/>
  <c r="K58" i="3"/>
  <c r="J58" i="3"/>
  <c r="I58" i="3"/>
  <c r="H58" i="3"/>
  <c r="G58" i="3"/>
  <c r="F58" i="3"/>
  <c r="E58" i="3"/>
  <c r="J54" i="3"/>
  <c r="I54" i="3"/>
  <c r="H54" i="3"/>
  <c r="G54" i="3"/>
  <c r="F54" i="3"/>
  <c r="E54" i="3"/>
  <c r="O41" i="3"/>
  <c r="O35" i="3"/>
  <c r="L35" i="3"/>
  <c r="K35" i="3"/>
  <c r="J35" i="3"/>
  <c r="I35" i="3"/>
  <c r="H35" i="3"/>
  <c r="G35" i="3"/>
  <c r="F35" i="3"/>
  <c r="E35" i="3"/>
  <c r="O32" i="3"/>
  <c r="J30" i="3"/>
  <c r="I30" i="3"/>
  <c r="H30" i="3"/>
  <c r="G30" i="3"/>
  <c r="F30" i="3"/>
  <c r="E30" i="3"/>
  <c r="J29" i="3"/>
  <c r="I29" i="3"/>
  <c r="H29" i="3"/>
  <c r="G29" i="3"/>
  <c r="F29" i="3"/>
  <c r="E29" i="3"/>
  <c r="J28" i="3"/>
  <c r="I28" i="3"/>
  <c r="H28" i="3"/>
  <c r="G28" i="3"/>
  <c r="F28" i="3"/>
  <c r="E28" i="3"/>
  <c r="J21" i="3"/>
  <c r="I21" i="3"/>
  <c r="H21" i="3"/>
  <c r="G21" i="3"/>
  <c r="F21" i="3"/>
  <c r="E21" i="3"/>
  <c r="P54" i="3" l="1"/>
  <c r="N54" i="3"/>
  <c r="M54" i="3"/>
  <c r="L54" i="3"/>
  <c r="K54" i="3"/>
  <c r="O21" i="3"/>
  <c r="Q2" i="3"/>
  <c r="O54" i="3" l="1"/>
  <c r="K29" i="3" l="1"/>
  <c r="L29" i="3"/>
  <c r="M29" i="3"/>
  <c r="O29" i="3"/>
  <c r="P29" i="3"/>
  <c r="K30" i="3" l="1"/>
  <c r="M30" i="3"/>
  <c r="O30" i="3"/>
  <c r="N30" i="3"/>
  <c r="P30" i="3"/>
  <c r="L30" i="3"/>
  <c r="N29" i="3"/>
  <c r="M28" i="3"/>
  <c r="P28" i="3"/>
  <c r="L28" i="3"/>
  <c r="O28" i="3"/>
  <c r="K28" i="3"/>
  <c r="N28" i="3" l="1"/>
  <c r="O31" i="3" l="1"/>
  <c r="L21" i="3" l="1"/>
  <c r="P21" i="3"/>
  <c r="M21" i="3"/>
  <c r="N21" i="3"/>
  <c r="K21" i="3" l="1"/>
  <c r="P62" i="3" l="1"/>
  <c r="G62" i="3" l="1"/>
  <c r="I62" i="3" l="1"/>
  <c r="J62" i="3" l="1"/>
  <c r="K62" i="3" l="1"/>
  <c r="M62" i="3" l="1"/>
  <c r="N62" i="3" l="1"/>
  <c r="O62" i="3" l="1"/>
  <c r="L62" i="3" l="1"/>
  <c r="E62" i="3" l="1"/>
  <c r="F62" i="3" l="1"/>
  <c r="H62" i="3" l="1"/>
  <c r="L59" i="3" l="1"/>
  <c r="O59" i="3"/>
  <c r="O33" i="3"/>
  <c r="K59" i="3" l="1"/>
  <c r="O63" i="3" l="1"/>
  <c r="E19" i="22" l="1"/>
  <c r="E46" i="22" l="1"/>
  <c r="E44" i="22"/>
  <c r="E43" i="22"/>
  <c r="AG20" i="22"/>
  <c r="AA20" i="22"/>
  <c r="Y20" i="22"/>
  <c r="U20" i="22"/>
  <c r="K20" i="22"/>
  <c r="G15" i="22"/>
  <c r="E15" i="22"/>
  <c r="Y14" i="22"/>
  <c r="G14" i="22"/>
  <c r="E14" i="22"/>
  <c r="Y13" i="22"/>
  <c r="G13" i="22"/>
  <c r="E13" i="22"/>
  <c r="E12" i="22"/>
  <c r="P9" i="22"/>
  <c r="O9" i="22"/>
  <c r="O3" i="22"/>
  <c r="P77" i="3"/>
  <c r="P76" i="3"/>
  <c r="P73" i="3"/>
  <c r="P72" i="3"/>
  <c r="P70" i="3"/>
  <c r="P69" i="3"/>
  <c r="P68" i="3"/>
  <c r="P67" i="3"/>
  <c r="P66" i="3"/>
  <c r="P65" i="3"/>
  <c r="P56" i="3"/>
  <c r="P13" i="3"/>
  <c r="P12" i="3"/>
  <c r="P11" i="3"/>
  <c r="P10" i="3"/>
  <c r="P9" i="3"/>
  <c r="P8" i="3"/>
  <c r="P7" i="3"/>
  <c r="P6" i="3"/>
  <c r="O77" i="3"/>
  <c r="O76" i="3"/>
  <c r="O73" i="3"/>
  <c r="O72" i="3"/>
  <c r="O70" i="3"/>
  <c r="O69" i="3"/>
  <c r="O68" i="3" s="1"/>
  <c r="O67" i="3"/>
  <c r="O66" i="3"/>
  <c r="O65" i="3"/>
  <c r="O56" i="3"/>
  <c r="O13" i="3"/>
  <c r="O12" i="3"/>
  <c r="O11" i="3"/>
  <c r="O10" i="3"/>
  <c r="O9" i="3"/>
  <c r="O8" i="3"/>
  <c r="O7" i="3"/>
  <c r="O6" i="3"/>
  <c r="C3" i="3"/>
  <c r="P59" i="52"/>
  <c r="O59" i="52"/>
  <c r="N59" i="52"/>
  <c r="N74" i="52"/>
  <c r="O74" i="52"/>
  <c r="P74" i="52"/>
  <c r="N73" i="52"/>
  <c r="O73" i="52"/>
  <c r="P73" i="52"/>
  <c r="N62" i="52"/>
  <c r="O62" i="52"/>
  <c r="P62" i="52"/>
  <c r="N63" i="52"/>
  <c r="O63" i="52"/>
  <c r="P63" i="52"/>
  <c r="N64" i="52"/>
  <c r="O64" i="52"/>
  <c r="P64" i="52"/>
  <c r="N65" i="52"/>
  <c r="O65" i="52"/>
  <c r="P65" i="52"/>
  <c r="N66" i="52"/>
  <c r="O66" i="52"/>
  <c r="P66" i="52"/>
  <c r="N67" i="52"/>
  <c r="O67" i="52"/>
  <c r="P67" i="52"/>
  <c r="N68" i="52"/>
  <c r="O68" i="52"/>
  <c r="P68" i="52"/>
  <c r="N69" i="52"/>
  <c r="O69" i="52"/>
  <c r="P69" i="52"/>
  <c r="N70" i="52"/>
  <c r="O70" i="52"/>
  <c r="P70" i="52"/>
  <c r="N71" i="52"/>
  <c r="O71" i="52"/>
  <c r="P71" i="52"/>
  <c r="N72" i="52"/>
  <c r="O72" i="52"/>
  <c r="P72" i="52"/>
  <c r="P56" i="52"/>
  <c r="O56" i="52"/>
  <c r="N56" i="52"/>
  <c r="P54" i="52"/>
  <c r="O54" i="52"/>
  <c r="N54" i="52"/>
  <c r="P43" i="52"/>
  <c r="O43" i="52"/>
  <c r="N43" i="52"/>
  <c r="P41" i="52"/>
  <c r="O41" i="52"/>
  <c r="N41" i="52"/>
  <c r="P37" i="52"/>
  <c r="O37" i="52"/>
  <c r="N37" i="52"/>
  <c r="P58" i="52"/>
  <c r="O58" i="52"/>
  <c r="N58" i="52"/>
  <c r="P35" i="52"/>
  <c r="O35" i="52"/>
  <c r="N35" i="52"/>
  <c r="P33" i="52"/>
  <c r="O33" i="52"/>
  <c r="N33" i="52"/>
  <c r="P32" i="52"/>
  <c r="O32" i="52"/>
  <c r="N32" i="52"/>
  <c r="P31" i="52"/>
  <c r="O31" i="52"/>
  <c r="N31" i="52"/>
  <c r="P30" i="52"/>
  <c r="O30" i="52"/>
  <c r="N30" i="52"/>
  <c r="P29" i="52"/>
  <c r="O29" i="52"/>
  <c r="N29" i="52"/>
  <c r="P28" i="52"/>
  <c r="O28" i="52"/>
  <c r="N28" i="52"/>
  <c r="P25" i="52"/>
  <c r="O25" i="52"/>
  <c r="N25" i="52"/>
  <c r="P21" i="52"/>
  <c r="O21" i="52"/>
  <c r="N21" i="52"/>
  <c r="P18" i="52"/>
  <c r="O18" i="52"/>
  <c r="N18" i="52"/>
  <c r="P13" i="52"/>
  <c r="O13" i="52"/>
  <c r="N13" i="52"/>
  <c r="P12" i="52"/>
  <c r="O12" i="52"/>
  <c r="N12" i="52"/>
  <c r="P11" i="52"/>
  <c r="O11" i="52"/>
  <c r="N11" i="52"/>
  <c r="P10" i="52"/>
  <c r="O10" i="52"/>
  <c r="N10" i="52"/>
  <c r="P9" i="52"/>
  <c r="O9" i="52"/>
  <c r="N9" i="52"/>
  <c r="P8" i="52"/>
  <c r="O8" i="52"/>
  <c r="N8" i="52"/>
  <c r="P7" i="52"/>
  <c r="O7" i="52"/>
  <c r="N7" i="52"/>
  <c r="P6" i="52"/>
  <c r="O6" i="52"/>
  <c r="N6" i="52"/>
  <c r="M74" i="52" l="1"/>
  <c r="L74" i="52"/>
  <c r="K74" i="52"/>
  <c r="J74" i="52"/>
  <c r="I74" i="52"/>
  <c r="H74" i="52"/>
  <c r="G74" i="52"/>
  <c r="F74" i="52"/>
  <c r="E74" i="52"/>
  <c r="AC74" i="52"/>
  <c r="AB74" i="52"/>
  <c r="AA74" i="52"/>
  <c r="AC73" i="52"/>
  <c r="AC72" i="52"/>
  <c r="AC71" i="52"/>
  <c r="AC70" i="52"/>
  <c r="AC69" i="52"/>
  <c r="AC68" i="52"/>
  <c r="AC67" i="52"/>
  <c r="AC66" i="52"/>
  <c r="AC65" i="52"/>
  <c r="AC64" i="52"/>
  <c r="AC63" i="52"/>
  <c r="AC62" i="52"/>
  <c r="AC59" i="52"/>
  <c r="P60" i="52"/>
  <c r="O60" i="52"/>
  <c r="AC56" i="52"/>
  <c r="AC54" i="52"/>
  <c r="Q52" i="52"/>
  <c r="Q51" i="52"/>
  <c r="Q50" i="52"/>
  <c r="Q49" i="52"/>
  <c r="AC43" i="52"/>
  <c r="Q42" i="52"/>
  <c r="P44" i="52"/>
  <c r="O44" i="52"/>
  <c r="Q40" i="52"/>
  <c r="Q39" i="52"/>
  <c r="AC37" i="52"/>
  <c r="AC36" i="52"/>
  <c r="AB36" i="52"/>
  <c r="AA36" i="52"/>
  <c r="Z36" i="52"/>
  <c r="AD36" i="52" s="1"/>
  <c r="Q36" i="52"/>
  <c r="P38" i="52"/>
  <c r="O38" i="52"/>
  <c r="AC33" i="52"/>
  <c r="AC32" i="52"/>
  <c r="AC31" i="52"/>
  <c r="AC30" i="52"/>
  <c r="AC29" i="52"/>
  <c r="P34" i="52"/>
  <c r="O34" i="52"/>
  <c r="AC25" i="52"/>
  <c r="Q24" i="52"/>
  <c r="Q23" i="52"/>
  <c r="AC21" i="52"/>
  <c r="Q20" i="52"/>
  <c r="Q19" i="52"/>
  <c r="P22" i="52"/>
  <c r="P26" i="52" s="1"/>
  <c r="O22" i="52"/>
  <c r="O26" i="52" s="1"/>
  <c r="Q17" i="52"/>
  <c r="Q16" i="52"/>
  <c r="AC13" i="52"/>
  <c r="AC12" i="52"/>
  <c r="AC11" i="52"/>
  <c r="AC10" i="52"/>
  <c r="AC9" i="52"/>
  <c r="AC8" i="52"/>
  <c r="AC7" i="52"/>
  <c r="AC6" i="52"/>
  <c r="F1" i="52"/>
  <c r="G1" i="52" s="1"/>
  <c r="H1" i="52" s="1"/>
  <c r="I1" i="52" s="1"/>
  <c r="J1" i="52" s="1"/>
  <c r="K1" i="52" s="1"/>
  <c r="L1" i="52" s="1"/>
  <c r="M1" i="52" s="1"/>
  <c r="N1" i="52" s="1"/>
  <c r="O1" i="52" s="1"/>
  <c r="P1" i="52" s="1"/>
  <c r="B1" i="52"/>
  <c r="V5" i="52" l="1"/>
  <c r="S5" i="52"/>
  <c r="P3" i="52"/>
  <c r="O3" i="52"/>
  <c r="N3" i="52"/>
  <c r="M3" i="52"/>
  <c r="L3" i="52"/>
  <c r="K3" i="52"/>
  <c r="J3" i="52"/>
  <c r="I3" i="52"/>
  <c r="H3" i="52"/>
  <c r="G3" i="52"/>
  <c r="F3" i="52"/>
  <c r="E3" i="52"/>
  <c r="P2" i="52"/>
  <c r="O2" i="52"/>
  <c r="N2" i="52"/>
  <c r="M2" i="52"/>
  <c r="L2" i="52"/>
  <c r="K2" i="52"/>
  <c r="J2" i="52"/>
  <c r="I2" i="52"/>
  <c r="H2" i="52"/>
  <c r="G2" i="52"/>
  <c r="F2" i="52"/>
  <c r="E2" i="52"/>
  <c r="N22" i="52"/>
  <c r="N26" i="52" s="1"/>
  <c r="AC18" i="52"/>
  <c r="AC22" i="52" s="1"/>
  <c r="AC26" i="52" s="1"/>
  <c r="O77" i="52"/>
  <c r="O27" i="52"/>
  <c r="P77" i="52"/>
  <c r="P27" i="52"/>
  <c r="N34" i="52"/>
  <c r="AC28" i="52"/>
  <c r="AC34" i="52" s="1"/>
  <c r="N38" i="52"/>
  <c r="AC35" i="52"/>
  <c r="AC38" i="52" s="1"/>
  <c r="N44" i="52"/>
  <c r="AC41" i="52"/>
  <c r="AC44" i="52" s="1"/>
  <c r="O45" i="52"/>
  <c r="P45" i="52"/>
  <c r="N60" i="52"/>
  <c r="AC60" i="52" s="1"/>
  <c r="AC58" i="52"/>
  <c r="Z74" i="52"/>
  <c r="AD74" i="52" s="1"/>
  <c r="Q74" i="52"/>
  <c r="AC45" i="52" l="1"/>
  <c r="AC78" i="52" s="1"/>
  <c r="N45" i="52"/>
  <c r="N78" i="52" s="1"/>
  <c r="P78" i="52"/>
  <c r="P46" i="52"/>
  <c r="O78" i="52"/>
  <c r="O46" i="52"/>
  <c r="P79" i="52"/>
  <c r="O79" i="52"/>
  <c r="AC77" i="52"/>
  <c r="AC79" i="52" s="1"/>
  <c r="AC46" i="52"/>
  <c r="AC27" i="52"/>
  <c r="N77" i="52"/>
  <c r="N79" i="52" s="1"/>
  <c r="N27" i="52"/>
  <c r="X74" i="52"/>
  <c r="X36" i="52"/>
  <c r="S74" i="52"/>
  <c r="S73" i="52"/>
  <c r="S72" i="52"/>
  <c r="S71" i="52"/>
  <c r="S70" i="52"/>
  <c r="S69" i="52"/>
  <c r="S68" i="52"/>
  <c r="S67" i="52"/>
  <c r="S66" i="52"/>
  <c r="S65" i="52"/>
  <c r="S64" i="52"/>
  <c r="S63" i="52"/>
  <c r="S62" i="52"/>
  <c r="S60" i="52"/>
  <c r="S59" i="52"/>
  <c r="S58" i="52"/>
  <c r="S56" i="52"/>
  <c r="S54" i="52"/>
  <c r="S43" i="52"/>
  <c r="S41" i="52"/>
  <c r="S37" i="52"/>
  <c r="S36" i="52"/>
  <c r="S35" i="52"/>
  <c r="S33" i="52"/>
  <c r="S32" i="52"/>
  <c r="S31" i="52"/>
  <c r="S30" i="52"/>
  <c r="S29" i="52"/>
  <c r="S28" i="52"/>
  <c r="S25" i="52"/>
  <c r="S21" i="52"/>
  <c r="S18" i="52"/>
  <c r="S13" i="52"/>
  <c r="S12" i="52"/>
  <c r="S11" i="52"/>
  <c r="S10" i="52"/>
  <c r="S9" i="52"/>
  <c r="S8" i="52"/>
  <c r="S7" i="52"/>
  <c r="S6" i="52"/>
  <c r="T5" i="52"/>
  <c r="S3" i="52"/>
  <c r="N46" i="52" l="1"/>
  <c r="AC57" i="5"/>
  <c r="AC75" i="5"/>
  <c r="AC74" i="5"/>
  <c r="AC73" i="5"/>
  <c r="AC71" i="5"/>
  <c r="AC70" i="5"/>
  <c r="AC69" i="5"/>
  <c r="AC68" i="5"/>
  <c r="AC67" i="5"/>
  <c r="AC66" i="5"/>
  <c r="AC43" i="5"/>
  <c r="AC37" i="5"/>
  <c r="AC8" i="5"/>
  <c r="AC9" i="5"/>
  <c r="AC10" i="5"/>
  <c r="AC11" i="5"/>
  <c r="AC12" i="5"/>
  <c r="AC13" i="5"/>
  <c r="AC14" i="5"/>
  <c r="AC7" i="5"/>
  <c r="AC19" i="5"/>
  <c r="AC22" i="5"/>
  <c r="AC26" i="5"/>
  <c r="AC29" i="5"/>
  <c r="AC30" i="5"/>
  <c r="AC31" i="5"/>
  <c r="AC32" i="5"/>
  <c r="AC33" i="5"/>
  <c r="AC34" i="5"/>
  <c r="AC36" i="5"/>
  <c r="AC38" i="5"/>
  <c r="AC42" i="5"/>
  <c r="AC44" i="5"/>
  <c r="AC55" i="5"/>
  <c r="AC59" i="5"/>
  <c r="AC60" i="5"/>
  <c r="AC63" i="5"/>
  <c r="AC64" i="5"/>
  <c r="AC65" i="5"/>
  <c r="AC72" i="5"/>
  <c r="T74" i="52"/>
  <c r="T73" i="52"/>
  <c r="T72" i="52"/>
  <c r="T71" i="52"/>
  <c r="T70" i="52"/>
  <c r="T69" i="52"/>
  <c r="T68" i="52"/>
  <c r="T67" i="52"/>
  <c r="T66" i="52"/>
  <c r="T65" i="52"/>
  <c r="T64" i="52"/>
  <c r="T63" i="52"/>
  <c r="T62" i="52"/>
  <c r="T60" i="52"/>
  <c r="T59" i="52"/>
  <c r="T58" i="52"/>
  <c r="T56" i="52"/>
  <c r="T54" i="52"/>
  <c r="T43" i="52"/>
  <c r="T41" i="52"/>
  <c r="T37" i="52"/>
  <c r="T36" i="52"/>
  <c r="T35" i="52"/>
  <c r="T33" i="52"/>
  <c r="T32" i="52"/>
  <c r="T31" i="52"/>
  <c r="T30" i="52"/>
  <c r="T29" i="52"/>
  <c r="T28" i="52"/>
  <c r="T25" i="52"/>
  <c r="T21" i="52"/>
  <c r="T18" i="52"/>
  <c r="T13" i="52"/>
  <c r="T12" i="52"/>
  <c r="T11" i="52"/>
  <c r="T10" i="52"/>
  <c r="T9" i="52"/>
  <c r="T8" i="52"/>
  <c r="T7" i="52"/>
  <c r="T6" i="52"/>
  <c r="U5" i="52"/>
  <c r="T3" i="52"/>
  <c r="S22" i="52"/>
  <c r="S26" i="52" s="1"/>
  <c r="S34" i="52"/>
  <c r="S38" i="52"/>
  <c r="S44" i="52"/>
  <c r="N76" i="52"/>
  <c r="N47" i="52"/>
  <c r="AC76" i="52"/>
  <c r="AC47" i="52"/>
  <c r="O76" i="52"/>
  <c r="O47" i="52"/>
  <c r="P76" i="52"/>
  <c r="P47" i="52"/>
  <c r="S45" i="52" l="1"/>
  <c r="S78" i="52" s="1"/>
  <c r="AD57" i="5"/>
  <c r="AD75" i="5"/>
  <c r="AD74" i="5"/>
  <c r="AD73" i="5"/>
  <c r="AD71" i="5"/>
  <c r="AD70" i="5"/>
  <c r="AD69" i="5"/>
  <c r="AD68" i="5"/>
  <c r="AD67" i="5"/>
  <c r="AD66" i="5"/>
  <c r="AD43" i="5"/>
  <c r="AD37" i="5"/>
  <c r="AD8" i="5"/>
  <c r="AD9" i="5"/>
  <c r="AD10" i="5"/>
  <c r="AD11" i="5"/>
  <c r="AD12" i="5"/>
  <c r="AD13" i="5"/>
  <c r="AD14" i="5"/>
  <c r="AD7" i="5"/>
  <c r="AD22" i="5"/>
  <c r="AD26" i="5"/>
  <c r="AD30" i="5"/>
  <c r="AD31" i="5"/>
  <c r="AD32" i="5"/>
  <c r="AD33" i="5"/>
  <c r="AD34" i="5"/>
  <c r="AD38" i="5"/>
  <c r="AD44" i="5"/>
  <c r="AD55" i="5"/>
  <c r="AD59" i="5"/>
  <c r="AD60" i="5"/>
  <c r="AD63" i="5"/>
  <c r="AD64" i="5"/>
  <c r="AD65" i="5"/>
  <c r="AD72" i="5"/>
  <c r="AC61" i="5"/>
  <c r="AC45" i="5"/>
  <c r="AC39" i="5"/>
  <c r="AC35" i="5"/>
  <c r="AC23" i="5"/>
  <c r="AC27" i="5" s="1"/>
  <c r="AC28" i="5" s="1"/>
  <c r="T22" i="52"/>
  <c r="T26" i="52" s="1"/>
  <c r="AD19" i="5"/>
  <c r="T34" i="52"/>
  <c r="AD29" i="5"/>
  <c r="T38" i="52"/>
  <c r="T45" i="52" s="1"/>
  <c r="AD36" i="5"/>
  <c r="T44" i="52"/>
  <c r="AD42" i="5"/>
  <c r="S77" i="52"/>
  <c r="S79" i="52" s="1"/>
  <c r="S46" i="52"/>
  <c r="S27" i="52"/>
  <c r="U74" i="52"/>
  <c r="V74" i="52" s="1"/>
  <c r="U73" i="52"/>
  <c r="V73" i="52" s="1"/>
  <c r="U72" i="52"/>
  <c r="V72" i="52" s="1"/>
  <c r="U71" i="52"/>
  <c r="V71" i="52" s="1"/>
  <c r="U70" i="52"/>
  <c r="V70" i="52" s="1"/>
  <c r="U69" i="52"/>
  <c r="V69" i="52" s="1"/>
  <c r="U68" i="52"/>
  <c r="V68" i="52" s="1"/>
  <c r="U67" i="52"/>
  <c r="V67" i="52" s="1"/>
  <c r="U66" i="52"/>
  <c r="V66" i="52" s="1"/>
  <c r="U65" i="52"/>
  <c r="V65" i="52" s="1"/>
  <c r="U64" i="52"/>
  <c r="V64" i="52" s="1"/>
  <c r="U63" i="52"/>
  <c r="V63" i="52" s="1"/>
  <c r="U62" i="52"/>
  <c r="V62" i="52" s="1"/>
  <c r="U60" i="52"/>
  <c r="U59" i="52"/>
  <c r="V59" i="52" s="1"/>
  <c r="U58" i="52"/>
  <c r="V58" i="52" s="1"/>
  <c r="U56" i="52"/>
  <c r="V56" i="52" s="1"/>
  <c r="U54" i="52"/>
  <c r="V54" i="52" s="1"/>
  <c r="U43" i="52"/>
  <c r="V43" i="52" s="1"/>
  <c r="U41" i="52"/>
  <c r="U37" i="52"/>
  <c r="V37" i="52" s="1"/>
  <c r="U36" i="52"/>
  <c r="V36" i="52" s="1"/>
  <c r="U35" i="52"/>
  <c r="U33" i="52"/>
  <c r="V33" i="52" s="1"/>
  <c r="U32" i="52"/>
  <c r="V32" i="52" s="1"/>
  <c r="U31" i="52"/>
  <c r="V31" i="52" s="1"/>
  <c r="U30" i="52"/>
  <c r="V30" i="52" s="1"/>
  <c r="U29" i="52"/>
  <c r="V29" i="52" s="1"/>
  <c r="U28" i="52"/>
  <c r="U25" i="52"/>
  <c r="V25" i="52" s="1"/>
  <c r="U21" i="52"/>
  <c r="V21" i="52" s="1"/>
  <c r="U18" i="52"/>
  <c r="U13" i="52"/>
  <c r="V13" i="52" s="1"/>
  <c r="U12" i="52"/>
  <c r="V12" i="52" s="1"/>
  <c r="U11" i="52"/>
  <c r="V11" i="52" s="1"/>
  <c r="U10" i="52"/>
  <c r="V10" i="52" s="1"/>
  <c r="U9" i="52"/>
  <c r="V9" i="52" s="1"/>
  <c r="U8" i="52"/>
  <c r="V8" i="52" s="1"/>
  <c r="U7" i="52"/>
  <c r="V7" i="52" s="1"/>
  <c r="U6" i="52"/>
  <c r="V6" i="52" s="1"/>
  <c r="U3" i="52"/>
  <c r="T77" i="52"/>
  <c r="T27" i="52"/>
  <c r="AD35" i="5" l="1"/>
  <c r="AD23" i="5"/>
  <c r="AD27" i="5" s="1"/>
  <c r="AD39" i="5"/>
  <c r="AD45" i="5"/>
  <c r="AD46" i="5" s="1"/>
  <c r="AD47" i="5" s="1"/>
  <c r="AE57" i="5"/>
  <c r="AE56" i="5"/>
  <c r="AE55" i="5"/>
  <c r="AE60" i="5"/>
  <c r="AE59" i="5"/>
  <c r="AE61" i="5" s="1"/>
  <c r="AE79" i="5"/>
  <c r="AE78" i="5"/>
  <c r="AE77" i="5"/>
  <c r="AE76" i="5"/>
  <c r="AE75" i="5"/>
  <c r="AE74" i="5"/>
  <c r="AE73" i="5"/>
  <c r="AE72" i="5"/>
  <c r="AE71" i="5"/>
  <c r="AE70" i="5"/>
  <c r="AE69" i="5"/>
  <c r="AE68" i="5"/>
  <c r="AE67" i="5"/>
  <c r="AE66" i="5"/>
  <c r="AE65" i="5"/>
  <c r="AE64" i="5"/>
  <c r="AE63" i="5"/>
  <c r="AE44" i="5"/>
  <c r="AE43" i="5"/>
  <c r="AE42" i="5"/>
  <c r="AE45" i="5" s="1"/>
  <c r="AE38" i="5"/>
  <c r="AE37" i="5"/>
  <c r="AE36" i="5"/>
  <c r="AE34" i="5"/>
  <c r="AE33" i="5"/>
  <c r="AE32" i="5"/>
  <c r="AE31" i="5"/>
  <c r="AE30" i="5"/>
  <c r="AE29" i="5"/>
  <c r="AE26" i="5"/>
  <c r="AE22" i="5"/>
  <c r="AE19" i="5"/>
  <c r="AE8" i="5"/>
  <c r="AE9" i="5"/>
  <c r="AE10" i="5"/>
  <c r="AE11" i="5"/>
  <c r="AE12" i="5"/>
  <c r="AE13" i="5"/>
  <c r="AE14" i="5"/>
  <c r="AE7" i="5"/>
  <c r="AC46" i="5"/>
  <c r="AC47" i="5" s="1"/>
  <c r="AC48" i="5" s="1"/>
  <c r="AD61" i="5"/>
  <c r="AD28" i="5"/>
  <c r="T78" i="52"/>
  <c r="T79" i="52" s="1"/>
  <c r="T46" i="52"/>
  <c r="U22" i="52"/>
  <c r="U26" i="52" s="1"/>
  <c r="V18" i="52"/>
  <c r="V22" i="52" s="1"/>
  <c r="V26" i="52" s="1"/>
  <c r="U34" i="52"/>
  <c r="V28" i="52"/>
  <c r="V34" i="52" s="1"/>
  <c r="U38" i="52"/>
  <c r="V35" i="52"/>
  <c r="V38" i="52" s="1"/>
  <c r="U44" i="52"/>
  <c r="V41" i="52"/>
  <c r="V44" i="52" s="1"/>
  <c r="V45" i="52" s="1"/>
  <c r="V78" i="52" s="1"/>
  <c r="V60" i="52"/>
  <c r="X60" i="52" s="1"/>
  <c r="S76" i="52"/>
  <c r="S47" i="52"/>
  <c r="U45" i="52" l="1"/>
  <c r="U78" i="52" s="1"/>
  <c r="AE23" i="5"/>
  <c r="AE27" i="5" s="1"/>
  <c r="AE28" i="5" s="1"/>
  <c r="AE39" i="5"/>
  <c r="AE35" i="5"/>
  <c r="AD48" i="5"/>
  <c r="V77" i="52"/>
  <c r="V79" i="52" s="1"/>
  <c r="V46" i="52"/>
  <c r="V27" i="52"/>
  <c r="U77" i="52"/>
  <c r="U79" i="52" s="1"/>
  <c r="U46" i="52"/>
  <c r="U27" i="52"/>
  <c r="T76" i="52"/>
  <c r="T47" i="52"/>
  <c r="AE46" i="5" l="1"/>
  <c r="AE47" i="5" s="1"/>
  <c r="AE48" i="5" s="1"/>
  <c r="U76" i="52"/>
  <c r="U47" i="52"/>
  <c r="V76" i="52"/>
  <c r="V47" i="52"/>
  <c r="N73" i="3" l="1"/>
  <c r="M73" i="3"/>
  <c r="M73" i="52" s="1"/>
  <c r="L73" i="3"/>
  <c r="L73" i="52" s="1"/>
  <c r="K73" i="3"/>
  <c r="K73" i="52" s="1"/>
  <c r="J73" i="3"/>
  <c r="J73" i="52" s="1"/>
  <c r="I73" i="3"/>
  <c r="I73" i="52" s="1"/>
  <c r="H73" i="3"/>
  <c r="H73" i="52" s="1"/>
  <c r="G73" i="3"/>
  <c r="G73" i="52" s="1"/>
  <c r="F73" i="3"/>
  <c r="F73" i="52" s="1"/>
  <c r="E73" i="3"/>
  <c r="E73" i="52" s="1"/>
  <c r="J85" i="3"/>
  <c r="N72" i="3"/>
  <c r="M72" i="3"/>
  <c r="M72" i="52" s="1"/>
  <c r="L72" i="3"/>
  <c r="L72" i="52" s="1"/>
  <c r="K72" i="3"/>
  <c r="K72" i="52" s="1"/>
  <c r="AB72" i="52" s="1"/>
  <c r="J72" i="3"/>
  <c r="J72" i="52" s="1"/>
  <c r="I72" i="3"/>
  <c r="I72" i="52" s="1"/>
  <c r="H72" i="3"/>
  <c r="H72" i="52" s="1"/>
  <c r="AA72" i="52" s="1"/>
  <c r="G72" i="3"/>
  <c r="G72" i="52" s="1"/>
  <c r="F72" i="3"/>
  <c r="F72" i="52" s="1"/>
  <c r="E72" i="3"/>
  <c r="E72" i="52" s="1"/>
  <c r="N69" i="3"/>
  <c r="N68" i="3" s="1"/>
  <c r="M69" i="3"/>
  <c r="M69" i="52" s="1"/>
  <c r="L69" i="3"/>
  <c r="L69" i="52" s="1"/>
  <c r="K69" i="3"/>
  <c r="K69" i="52" s="1"/>
  <c r="J69" i="3"/>
  <c r="J69" i="52" s="1"/>
  <c r="I69" i="3"/>
  <c r="I69" i="52" s="1"/>
  <c r="H69" i="3"/>
  <c r="H69" i="52" s="1"/>
  <c r="AA69" i="52" s="1"/>
  <c r="G69" i="3"/>
  <c r="G69" i="52" s="1"/>
  <c r="F69" i="3"/>
  <c r="F69" i="52" s="1"/>
  <c r="E69" i="3"/>
  <c r="E69" i="52" s="1"/>
  <c r="K68" i="3"/>
  <c r="K68" i="52" s="1"/>
  <c r="E68" i="3"/>
  <c r="E68" i="52" s="1"/>
  <c r="N56" i="3"/>
  <c r="M56" i="3"/>
  <c r="M56" i="52" s="1"/>
  <c r="L56" i="3"/>
  <c r="L56" i="52" s="1"/>
  <c r="K56" i="3"/>
  <c r="K56" i="52" s="1"/>
  <c r="J56" i="3"/>
  <c r="J56" i="52" s="1"/>
  <c r="I56" i="3"/>
  <c r="I56" i="52" s="1"/>
  <c r="H56" i="3"/>
  <c r="H56" i="52" s="1"/>
  <c r="G56" i="3"/>
  <c r="G56" i="52" s="1"/>
  <c r="F56" i="3"/>
  <c r="F56" i="52" s="1"/>
  <c r="E56" i="3"/>
  <c r="E56" i="52" s="1"/>
  <c r="N77" i="3"/>
  <c r="M77" i="3"/>
  <c r="L77" i="3"/>
  <c r="K77" i="3"/>
  <c r="J77" i="3"/>
  <c r="I77" i="3"/>
  <c r="H77" i="3"/>
  <c r="G77" i="3"/>
  <c r="F77" i="3"/>
  <c r="E77" i="3"/>
  <c r="N76" i="3"/>
  <c r="M76" i="3"/>
  <c r="L76" i="3"/>
  <c r="K76" i="3"/>
  <c r="J76" i="3"/>
  <c r="I76" i="3"/>
  <c r="H76" i="3"/>
  <c r="G76" i="3"/>
  <c r="F76" i="3"/>
  <c r="E76" i="3"/>
  <c r="N70" i="3"/>
  <c r="M70" i="3"/>
  <c r="M70" i="52" s="1"/>
  <c r="L70" i="3"/>
  <c r="L70" i="52" s="1"/>
  <c r="K70" i="3"/>
  <c r="K70" i="52" s="1"/>
  <c r="AB70" i="52" s="1"/>
  <c r="J70" i="3"/>
  <c r="J70" i="52" s="1"/>
  <c r="I70" i="3"/>
  <c r="I70" i="52" s="1"/>
  <c r="H70" i="3"/>
  <c r="H70" i="52" s="1"/>
  <c r="AA70" i="52" s="1"/>
  <c r="G70" i="3"/>
  <c r="G70" i="52" s="1"/>
  <c r="F70" i="3"/>
  <c r="F70" i="52" s="1"/>
  <c r="E70" i="3"/>
  <c r="E70" i="52" s="1"/>
  <c r="N67" i="3"/>
  <c r="M67" i="3"/>
  <c r="M67" i="52" s="1"/>
  <c r="L67" i="3"/>
  <c r="L67" i="52" s="1"/>
  <c r="K67" i="3"/>
  <c r="K67" i="52" s="1"/>
  <c r="J67" i="3"/>
  <c r="J67" i="52" s="1"/>
  <c r="I67" i="3"/>
  <c r="I67" i="52" s="1"/>
  <c r="H67" i="3"/>
  <c r="H67" i="52" s="1"/>
  <c r="AA67" i="52" s="1"/>
  <c r="G67" i="3"/>
  <c r="G67" i="52" s="1"/>
  <c r="F67" i="3"/>
  <c r="F67" i="52" s="1"/>
  <c r="E67" i="3"/>
  <c r="E67" i="52" s="1"/>
  <c r="N66" i="3"/>
  <c r="M66" i="3"/>
  <c r="M66" i="52" s="1"/>
  <c r="L66" i="3"/>
  <c r="L66" i="52" s="1"/>
  <c r="K66" i="3"/>
  <c r="K66" i="52" s="1"/>
  <c r="AB66" i="52" s="1"/>
  <c r="J66" i="3"/>
  <c r="J66" i="52" s="1"/>
  <c r="I66" i="3"/>
  <c r="I66" i="52" s="1"/>
  <c r="H66" i="3"/>
  <c r="H66" i="52" s="1"/>
  <c r="G66" i="3"/>
  <c r="G66" i="52" s="1"/>
  <c r="F66" i="3"/>
  <c r="F66" i="52" s="1"/>
  <c r="E66" i="3"/>
  <c r="E66" i="52" s="1"/>
  <c r="N65" i="3"/>
  <c r="M65" i="3"/>
  <c r="M65" i="52" s="1"/>
  <c r="L65" i="3"/>
  <c r="L65" i="52" s="1"/>
  <c r="K65" i="3"/>
  <c r="K65" i="52" s="1"/>
  <c r="J65" i="3"/>
  <c r="J65" i="52" s="1"/>
  <c r="I65" i="3"/>
  <c r="I65" i="52" s="1"/>
  <c r="H65" i="3"/>
  <c r="H65" i="52" s="1"/>
  <c r="G65" i="3"/>
  <c r="G65" i="52" s="1"/>
  <c r="F65" i="3"/>
  <c r="F65" i="52" s="1"/>
  <c r="E65" i="3"/>
  <c r="E65" i="52" s="1"/>
  <c r="N13" i="3"/>
  <c r="M13" i="3"/>
  <c r="M13" i="52" s="1"/>
  <c r="L13" i="3"/>
  <c r="L13" i="52" s="1"/>
  <c r="K13" i="3"/>
  <c r="K13" i="52" s="1"/>
  <c r="J13" i="3"/>
  <c r="J13" i="52" s="1"/>
  <c r="I13" i="3"/>
  <c r="I13" i="52" s="1"/>
  <c r="H13" i="3"/>
  <c r="H13" i="52" s="1"/>
  <c r="AA13" i="52" s="1"/>
  <c r="G13" i="3"/>
  <c r="G13" i="52" s="1"/>
  <c r="F13" i="3"/>
  <c r="F13" i="52" s="1"/>
  <c r="E13" i="3"/>
  <c r="E13" i="52" s="1"/>
  <c r="N12" i="3"/>
  <c r="M12" i="3"/>
  <c r="M12" i="52" s="1"/>
  <c r="L12" i="3"/>
  <c r="L12" i="52" s="1"/>
  <c r="K12" i="3"/>
  <c r="K12" i="52" s="1"/>
  <c r="AB12" i="52" s="1"/>
  <c r="J12" i="3"/>
  <c r="J12" i="52" s="1"/>
  <c r="I12" i="3"/>
  <c r="I12" i="52" s="1"/>
  <c r="H12" i="3"/>
  <c r="H12" i="52" s="1"/>
  <c r="G12" i="3"/>
  <c r="G12" i="52" s="1"/>
  <c r="F12" i="3"/>
  <c r="F12" i="52" s="1"/>
  <c r="E12" i="3"/>
  <c r="E12" i="52" s="1"/>
  <c r="N11" i="3"/>
  <c r="M11" i="3"/>
  <c r="M11" i="52" s="1"/>
  <c r="L11" i="3"/>
  <c r="L11" i="52" s="1"/>
  <c r="K11" i="3"/>
  <c r="K11" i="52" s="1"/>
  <c r="J11" i="3"/>
  <c r="J11" i="52" s="1"/>
  <c r="I11" i="3"/>
  <c r="I11" i="52" s="1"/>
  <c r="H11" i="3"/>
  <c r="H11" i="52" s="1"/>
  <c r="AA11" i="52" s="1"/>
  <c r="G11" i="3"/>
  <c r="G11" i="52" s="1"/>
  <c r="F11" i="3"/>
  <c r="F11" i="52" s="1"/>
  <c r="E11" i="3"/>
  <c r="E11" i="52" s="1"/>
  <c r="N10" i="3"/>
  <c r="M10" i="3"/>
  <c r="M10" i="52" s="1"/>
  <c r="L10" i="3"/>
  <c r="L10" i="52" s="1"/>
  <c r="K10" i="3"/>
  <c r="K10" i="52" s="1"/>
  <c r="J10" i="3"/>
  <c r="J10" i="52" s="1"/>
  <c r="I10" i="3"/>
  <c r="I10" i="52" s="1"/>
  <c r="H10" i="3"/>
  <c r="H10" i="52" s="1"/>
  <c r="G10" i="3"/>
  <c r="G10" i="52" s="1"/>
  <c r="F10" i="3"/>
  <c r="F10" i="52" s="1"/>
  <c r="E10" i="3"/>
  <c r="E10" i="52" s="1"/>
  <c r="N9" i="3"/>
  <c r="M9" i="3"/>
  <c r="M9" i="52" s="1"/>
  <c r="L9" i="3"/>
  <c r="L9" i="52" s="1"/>
  <c r="K9" i="3"/>
  <c r="K9" i="52" s="1"/>
  <c r="AB9" i="52" s="1"/>
  <c r="J9" i="3"/>
  <c r="J9" i="52" s="1"/>
  <c r="I9" i="3"/>
  <c r="I9" i="52" s="1"/>
  <c r="H9" i="3"/>
  <c r="H9" i="52" s="1"/>
  <c r="AA9" i="52" s="1"/>
  <c r="G9" i="3"/>
  <c r="G9" i="52" s="1"/>
  <c r="F9" i="3"/>
  <c r="F9" i="52" s="1"/>
  <c r="E9" i="3"/>
  <c r="E9" i="52" s="1"/>
  <c r="N8" i="3"/>
  <c r="M8" i="3"/>
  <c r="M8" i="52" s="1"/>
  <c r="L8" i="3"/>
  <c r="L8" i="52" s="1"/>
  <c r="K8" i="3"/>
  <c r="K8" i="52" s="1"/>
  <c r="J8" i="3"/>
  <c r="J8" i="52" s="1"/>
  <c r="I8" i="3"/>
  <c r="I8" i="52" s="1"/>
  <c r="H8" i="3"/>
  <c r="H8" i="52" s="1"/>
  <c r="G8" i="3"/>
  <c r="G8" i="52" s="1"/>
  <c r="F8" i="3"/>
  <c r="F8" i="52" s="1"/>
  <c r="E8" i="3"/>
  <c r="E8" i="52" s="1"/>
  <c r="N7" i="3"/>
  <c r="M7" i="3"/>
  <c r="M7" i="52" s="1"/>
  <c r="L7" i="3"/>
  <c r="L7" i="52" s="1"/>
  <c r="K7" i="3"/>
  <c r="K7" i="52" s="1"/>
  <c r="J7" i="3"/>
  <c r="J7" i="52" s="1"/>
  <c r="I7" i="3"/>
  <c r="I7" i="52" s="1"/>
  <c r="H7" i="3"/>
  <c r="H7" i="52" s="1"/>
  <c r="AA7" i="52" s="1"/>
  <c r="G7" i="3"/>
  <c r="G7" i="52" s="1"/>
  <c r="F7" i="3"/>
  <c r="F7" i="52" s="1"/>
  <c r="E7" i="3"/>
  <c r="E7" i="52" s="1"/>
  <c r="N6" i="3"/>
  <c r="M6" i="3"/>
  <c r="M6" i="52" s="1"/>
  <c r="L6" i="3"/>
  <c r="L6" i="52" s="1"/>
  <c r="K6" i="3"/>
  <c r="K6" i="52" s="1"/>
  <c r="AB6" i="52" s="1"/>
  <c r="J6" i="3"/>
  <c r="J6" i="52" s="1"/>
  <c r="I6" i="3"/>
  <c r="I6" i="52" s="1"/>
  <c r="H6" i="3"/>
  <c r="H6" i="52" s="1"/>
  <c r="G6" i="3"/>
  <c r="G6" i="52" s="1"/>
  <c r="F6" i="3"/>
  <c r="F6" i="52" s="1"/>
  <c r="E6" i="3"/>
  <c r="E6" i="52" s="1"/>
  <c r="D36" i="51"/>
  <c r="E34" i="51"/>
  <c r="D34" i="51"/>
  <c r="E33" i="51"/>
  <c r="D33" i="51"/>
  <c r="E36" i="50"/>
  <c r="D36" i="50"/>
  <c r="E34" i="50"/>
  <c r="D34" i="50"/>
  <c r="E33" i="50"/>
  <c r="D33" i="50"/>
  <c r="E36" i="34"/>
  <c r="D36" i="34"/>
  <c r="E34" i="34"/>
  <c r="D34" i="34"/>
  <c r="E33" i="34"/>
  <c r="D33" i="34"/>
  <c r="E36" i="49"/>
  <c r="D36" i="49"/>
  <c r="E34" i="49"/>
  <c r="D34" i="49"/>
  <c r="E33" i="49"/>
  <c r="D33" i="49"/>
  <c r="E36" i="44"/>
  <c r="D36" i="44"/>
  <c r="E34" i="44"/>
  <c r="D34" i="44"/>
  <c r="E33" i="44"/>
  <c r="D33" i="44"/>
  <c r="S67" i="51"/>
  <c r="AA20" i="51"/>
  <c r="E12" i="51"/>
  <c r="L9" i="51"/>
  <c r="K9" i="51"/>
  <c r="Q2" i="51"/>
  <c r="S67" i="50"/>
  <c r="AA20" i="50"/>
  <c r="E12" i="50"/>
  <c r="L9" i="50"/>
  <c r="K9" i="50"/>
  <c r="J9" i="50"/>
  <c r="P2" i="50"/>
  <c r="S67" i="34"/>
  <c r="AA20" i="34"/>
  <c r="E12" i="34"/>
  <c r="L9" i="34"/>
  <c r="K9" i="34"/>
  <c r="J9" i="34"/>
  <c r="K3" i="34"/>
  <c r="P2" i="34"/>
  <c r="S76" i="49"/>
  <c r="E12" i="49"/>
  <c r="L9" i="49"/>
  <c r="K9" i="49"/>
  <c r="E12" i="44"/>
  <c r="L9" i="44"/>
  <c r="K9" i="44"/>
  <c r="J9" i="44"/>
  <c r="L68" i="3" l="1"/>
  <c r="L68" i="52" s="1"/>
  <c r="J9" i="51"/>
  <c r="J9" i="49"/>
  <c r="AB8" i="52"/>
  <c r="AB56" i="52"/>
  <c r="AA6" i="52"/>
  <c r="AA12" i="52"/>
  <c r="AB7" i="52"/>
  <c r="AB13" i="52"/>
  <c r="AA10" i="52"/>
  <c r="F68" i="3"/>
  <c r="F68" i="52" s="1"/>
  <c r="AB11" i="52"/>
  <c r="G68" i="3"/>
  <c r="G68" i="52" s="1"/>
  <c r="M68" i="3"/>
  <c r="M68" i="52" s="1"/>
  <c r="AA66" i="52"/>
  <c r="H68" i="3"/>
  <c r="H68" i="52" s="1"/>
  <c r="AB10" i="52"/>
  <c r="AB67" i="52"/>
  <c r="I68" i="3"/>
  <c r="I68" i="52" s="1"/>
  <c r="AB69" i="52"/>
  <c r="AA8" i="52"/>
  <c r="AA56" i="52"/>
  <c r="J68" i="3"/>
  <c r="J68" i="52" s="1"/>
  <c r="Z6" i="52"/>
  <c r="AD6" i="52" s="1"/>
  <c r="Q6" i="52"/>
  <c r="X6" i="52"/>
  <c r="Z7" i="52"/>
  <c r="Q7" i="52"/>
  <c r="X7" i="52"/>
  <c r="Z8" i="52"/>
  <c r="Q8" i="52"/>
  <c r="X8" i="52"/>
  <c r="Z9" i="52"/>
  <c r="AD9" i="52" s="1"/>
  <c r="Q9" i="52"/>
  <c r="X9" i="52"/>
  <c r="Z10" i="52"/>
  <c r="Q10" i="52"/>
  <c r="X10" i="52"/>
  <c r="Z11" i="52"/>
  <c r="Q11" i="52"/>
  <c r="X11" i="52"/>
  <c r="Z12" i="52"/>
  <c r="Q12" i="52"/>
  <c r="X12" i="52"/>
  <c r="Z13" i="52"/>
  <c r="AD13" i="52" s="1"/>
  <c r="Q13" i="52"/>
  <c r="X13" i="52"/>
  <c r="Z65" i="52"/>
  <c r="Q65" i="52"/>
  <c r="X65" i="52"/>
  <c r="AA65" i="52"/>
  <c r="AB65" i="52"/>
  <c r="Z66" i="52"/>
  <c r="AD66" i="52" s="1"/>
  <c r="Q66" i="52"/>
  <c r="X66" i="52"/>
  <c r="Z67" i="52"/>
  <c r="Q67" i="52"/>
  <c r="X67" i="52"/>
  <c r="Z70" i="52"/>
  <c r="AD70" i="52" s="1"/>
  <c r="Q70" i="52"/>
  <c r="X70" i="52"/>
  <c r="Z56" i="52"/>
  <c r="Q56" i="52"/>
  <c r="X56" i="52"/>
  <c r="Z69" i="52"/>
  <c r="Q69" i="52"/>
  <c r="X69" i="52"/>
  <c r="Z72" i="52"/>
  <c r="AD72" i="52" s="1"/>
  <c r="Q72" i="52"/>
  <c r="X72" i="52"/>
  <c r="Z73" i="52"/>
  <c r="Q73" i="52"/>
  <c r="X73" i="52"/>
  <c r="AA73" i="52"/>
  <c r="AB73" i="52"/>
  <c r="X68" i="52" l="1"/>
  <c r="AD69" i="52"/>
  <c r="Q68" i="52"/>
  <c r="AD12" i="52"/>
  <c r="AD8" i="52"/>
  <c r="Z68" i="52"/>
  <c r="AA68" i="52"/>
  <c r="AD11" i="52"/>
  <c r="AD7" i="52"/>
  <c r="AD56" i="52"/>
  <c r="AB68" i="52"/>
  <c r="AD68" i="52"/>
  <c r="AD67" i="52"/>
  <c r="AD10" i="52"/>
  <c r="AD73" i="52"/>
  <c r="AD65" i="52"/>
  <c r="AA34" i="22" l="1"/>
  <c r="AD12" i="22" l="1"/>
  <c r="M62" i="52" l="1"/>
  <c r="L62" i="52"/>
  <c r="K62" i="52"/>
  <c r="J62" i="52"/>
  <c r="I62" i="52"/>
  <c r="H62" i="52"/>
  <c r="AA62" i="52" s="1"/>
  <c r="G62" i="52"/>
  <c r="F62" i="52"/>
  <c r="E62" i="52"/>
  <c r="J59" i="52"/>
  <c r="I59" i="52"/>
  <c r="H59" i="52"/>
  <c r="AA59" i="52" s="1"/>
  <c r="G59" i="52"/>
  <c r="F59" i="52"/>
  <c r="E59" i="52"/>
  <c r="M58" i="52"/>
  <c r="L58" i="52"/>
  <c r="K58" i="52"/>
  <c r="J58" i="52"/>
  <c r="I58" i="52"/>
  <c r="H58" i="52"/>
  <c r="G58" i="52"/>
  <c r="F58" i="52"/>
  <c r="F60" i="52" s="1"/>
  <c r="E58" i="52"/>
  <c r="J54" i="52"/>
  <c r="I54" i="52"/>
  <c r="H54" i="52"/>
  <c r="G54" i="52"/>
  <c r="F54" i="52"/>
  <c r="E54" i="52"/>
  <c r="L35" i="52"/>
  <c r="K35" i="52"/>
  <c r="J35" i="52"/>
  <c r="I35" i="52"/>
  <c r="H35" i="52"/>
  <c r="G35" i="52"/>
  <c r="F35" i="52"/>
  <c r="E35" i="52"/>
  <c r="J30" i="52"/>
  <c r="I30" i="52"/>
  <c r="H30" i="52"/>
  <c r="AA30" i="52" s="1"/>
  <c r="G30" i="52"/>
  <c r="F30" i="52"/>
  <c r="E30" i="52"/>
  <c r="J29" i="52"/>
  <c r="I29" i="52"/>
  <c r="H29" i="52"/>
  <c r="AA29" i="52" s="1"/>
  <c r="G29" i="52"/>
  <c r="F29" i="52"/>
  <c r="E29" i="52"/>
  <c r="J28" i="52"/>
  <c r="I28" i="52"/>
  <c r="H28" i="52"/>
  <c r="G28" i="52"/>
  <c r="F28" i="52"/>
  <c r="E28" i="52"/>
  <c r="J21" i="52"/>
  <c r="I21" i="52"/>
  <c r="H21" i="52"/>
  <c r="AA21" i="52" s="1"/>
  <c r="G21" i="52"/>
  <c r="F21" i="52"/>
  <c r="E21" i="52"/>
  <c r="G60" i="52" l="1"/>
  <c r="AA54" i="52"/>
  <c r="AB62" i="52"/>
  <c r="I60" i="52"/>
  <c r="J60" i="52"/>
  <c r="Z21" i="52"/>
  <c r="Z28" i="52"/>
  <c r="AA28" i="52"/>
  <c r="Z29" i="52"/>
  <c r="Z30" i="52"/>
  <c r="Z35" i="52"/>
  <c r="AA35" i="52"/>
  <c r="Z54" i="52"/>
  <c r="E60" i="52"/>
  <c r="Z58" i="52"/>
  <c r="Q58" i="52"/>
  <c r="X58" i="52"/>
  <c r="H60" i="52"/>
  <c r="AA60" i="52" s="1"/>
  <c r="AA58" i="52"/>
  <c r="AB58" i="52"/>
  <c r="Z59" i="52"/>
  <c r="Z62" i="52"/>
  <c r="AD62" i="52" s="1"/>
  <c r="Q62" i="52"/>
  <c r="X62" i="52"/>
  <c r="AD58" i="52" l="1"/>
  <c r="Z60" i="52"/>
  <c r="S71" i="51" l="1"/>
  <c r="S68" i="51"/>
  <c r="AK66" i="51"/>
  <c r="AA66" i="51"/>
  <c r="S66" i="51"/>
  <c r="AG62" i="51"/>
  <c r="AC62" i="51"/>
  <c r="Z62" i="51"/>
  <c r="Y62" i="51"/>
  <c r="U62" i="51"/>
  <c r="R61" i="51"/>
  <c r="M61" i="51"/>
  <c r="M65" i="51" s="1"/>
  <c r="M74" i="51" s="1"/>
  <c r="L61" i="51"/>
  <c r="K61" i="51"/>
  <c r="J61" i="51"/>
  <c r="I61" i="51"/>
  <c r="F61" i="51"/>
  <c r="E61" i="51"/>
  <c r="C61" i="51"/>
  <c r="E57" i="51"/>
  <c r="Y56" i="51"/>
  <c r="X56" i="51"/>
  <c r="E56" i="51"/>
  <c r="M52" i="51" s="1"/>
  <c r="J10" i="51" s="1"/>
  <c r="Y55" i="51"/>
  <c r="X62" i="51" s="1"/>
  <c r="G55" i="51"/>
  <c r="E55" i="51"/>
  <c r="AD54" i="51"/>
  <c r="D47" i="51"/>
  <c r="C47" i="51"/>
  <c r="S33" i="51"/>
  <c r="Q33" i="51"/>
  <c r="S32" i="51"/>
  <c r="Q32" i="51"/>
  <c r="S31" i="51"/>
  <c r="Q31" i="51"/>
  <c r="M31" i="51"/>
  <c r="J31" i="51"/>
  <c r="S30" i="51"/>
  <c r="Q30" i="51"/>
  <c r="M30" i="51"/>
  <c r="J30" i="51"/>
  <c r="S29" i="51"/>
  <c r="Q29" i="51"/>
  <c r="M29" i="51"/>
  <c r="J29" i="51"/>
  <c r="S28" i="51"/>
  <c r="Q28" i="51"/>
  <c r="M28" i="51"/>
  <c r="J28" i="51"/>
  <c r="AA27" i="51"/>
  <c r="Y27" i="51"/>
  <c r="S27" i="51"/>
  <c r="Q27" i="51"/>
  <c r="S26" i="51"/>
  <c r="Q26" i="51"/>
  <c r="M26" i="51"/>
  <c r="J26" i="51"/>
  <c r="AA25" i="51"/>
  <c r="Y25" i="51"/>
  <c r="Q25" i="51"/>
  <c r="M25" i="51"/>
  <c r="J25" i="51"/>
  <c r="AA24" i="51"/>
  <c r="Y24" i="51"/>
  <c r="S24" i="51"/>
  <c r="Q24" i="51"/>
  <c r="M24" i="51"/>
  <c r="J24" i="51"/>
  <c r="C23" i="51"/>
  <c r="Q20" i="51"/>
  <c r="P20" i="51"/>
  <c r="N20" i="51"/>
  <c r="H20" i="51"/>
  <c r="G20" i="51"/>
  <c r="L19" i="51"/>
  <c r="L20" i="51" s="1"/>
  <c r="K19" i="51"/>
  <c r="K20" i="51" s="1"/>
  <c r="J19" i="51"/>
  <c r="J20" i="51" s="1"/>
  <c r="I19" i="51"/>
  <c r="I20" i="51" s="1"/>
  <c r="F19" i="51"/>
  <c r="F20" i="51" s="1"/>
  <c r="E19" i="51"/>
  <c r="E20" i="51" s="1"/>
  <c r="D5" i="51"/>
  <c r="C5" i="51"/>
  <c r="S2" i="51"/>
  <c r="B1" i="51"/>
  <c r="C1" i="51" s="1"/>
  <c r="M71" i="50"/>
  <c r="M70" i="50"/>
  <c r="AJ67" i="50"/>
  <c r="AK66" i="50"/>
  <c r="AA66" i="50"/>
  <c r="S66" i="50"/>
  <c r="S24" i="50" s="1"/>
  <c r="C63" i="50"/>
  <c r="AC62" i="50"/>
  <c r="Z62" i="50"/>
  <c r="Y62" i="50" s="1"/>
  <c r="U62" i="50"/>
  <c r="R61" i="50"/>
  <c r="L61" i="50"/>
  <c r="K61" i="50"/>
  <c r="J61" i="50"/>
  <c r="I61" i="50"/>
  <c r="F61" i="50"/>
  <c r="F19" i="50" s="1"/>
  <c r="F20" i="50" s="1"/>
  <c r="E61" i="50"/>
  <c r="E19" i="50" s="1"/>
  <c r="E20" i="50" s="1"/>
  <c r="C61" i="50"/>
  <c r="C23" i="50" s="1"/>
  <c r="E57" i="50"/>
  <c r="Y56" i="50"/>
  <c r="X56" i="50" s="1"/>
  <c r="E56" i="50"/>
  <c r="Y55" i="50"/>
  <c r="X55" i="50"/>
  <c r="G55" i="50"/>
  <c r="E55" i="50"/>
  <c r="AD54" i="50"/>
  <c r="D47" i="50"/>
  <c r="C47" i="50"/>
  <c r="S32" i="50"/>
  <c r="Q32" i="50"/>
  <c r="S31" i="50"/>
  <c r="Q31" i="50"/>
  <c r="S30" i="50"/>
  <c r="Q30" i="50"/>
  <c r="S29" i="50"/>
  <c r="Q29" i="50"/>
  <c r="M29" i="50"/>
  <c r="J29" i="50"/>
  <c r="S28" i="50"/>
  <c r="Q28" i="50"/>
  <c r="M28" i="50"/>
  <c r="J28" i="50"/>
  <c r="AA27" i="50"/>
  <c r="Y27" i="50"/>
  <c r="S27" i="50"/>
  <c r="Q27" i="50"/>
  <c r="J27" i="50"/>
  <c r="AA26" i="50"/>
  <c r="Y26" i="50"/>
  <c r="S26" i="50"/>
  <c r="Q26" i="50"/>
  <c r="M26" i="50"/>
  <c r="J26" i="50"/>
  <c r="AA25" i="50"/>
  <c r="Y25" i="50"/>
  <c r="Q25" i="50"/>
  <c r="M25" i="50"/>
  <c r="J25" i="50"/>
  <c r="AH24" i="50"/>
  <c r="AA24" i="50"/>
  <c r="Y24" i="50"/>
  <c r="Q24" i="50"/>
  <c r="M24" i="50"/>
  <c r="J24" i="50"/>
  <c r="Q20" i="50"/>
  <c r="P20" i="50"/>
  <c r="N20" i="50"/>
  <c r="H20" i="50"/>
  <c r="G20" i="50"/>
  <c r="L19" i="50"/>
  <c r="L20" i="50" s="1"/>
  <c r="K19" i="50"/>
  <c r="K20" i="50" s="1"/>
  <c r="J19" i="50"/>
  <c r="J20" i="50" s="1"/>
  <c r="I19" i="50"/>
  <c r="I20" i="50" s="1"/>
  <c r="D5" i="50"/>
  <c r="C5" i="50"/>
  <c r="R2" i="50"/>
  <c r="B1" i="50"/>
  <c r="C1" i="50" s="1"/>
  <c r="M52" i="50" l="1"/>
  <c r="J10" i="50" s="1"/>
  <c r="X62" i="50"/>
  <c r="X55" i="51"/>
  <c r="B61" i="51"/>
  <c r="F48" i="51" s="1"/>
  <c r="H63" i="51"/>
  <c r="B61" i="50"/>
  <c r="F48" i="50" s="1"/>
  <c r="H64" i="50"/>
  <c r="M69" i="50" s="1"/>
  <c r="P71" i="46"/>
  <c r="O71" i="46"/>
  <c r="N71" i="46"/>
  <c r="M71" i="46"/>
  <c r="L71" i="46"/>
  <c r="K71" i="46"/>
  <c r="J71" i="46"/>
  <c r="I71" i="46"/>
  <c r="H71" i="46"/>
  <c r="G71" i="46"/>
  <c r="F71" i="46"/>
  <c r="E71" i="46"/>
  <c r="P64" i="46"/>
  <c r="O64" i="46"/>
  <c r="N64" i="46"/>
  <c r="M64" i="46"/>
  <c r="L64" i="46"/>
  <c r="K64" i="46"/>
  <c r="J64" i="46"/>
  <c r="I64" i="46"/>
  <c r="H64" i="46"/>
  <c r="G64" i="46"/>
  <c r="F64" i="46"/>
  <c r="E64" i="46"/>
  <c r="P59" i="46"/>
  <c r="O59" i="46"/>
  <c r="N59" i="46"/>
  <c r="M59" i="46"/>
  <c r="L59" i="46"/>
  <c r="K59" i="46"/>
  <c r="J59" i="46"/>
  <c r="I59" i="46"/>
  <c r="H59" i="46"/>
  <c r="G59" i="46"/>
  <c r="F59" i="46"/>
  <c r="E59" i="46"/>
  <c r="P58" i="46"/>
  <c r="O58" i="46"/>
  <c r="N58" i="46"/>
  <c r="M58" i="46"/>
  <c r="L58" i="46"/>
  <c r="K58" i="46"/>
  <c r="J58" i="46"/>
  <c r="I58" i="46"/>
  <c r="H58" i="46"/>
  <c r="G58" i="46"/>
  <c r="F58" i="46"/>
  <c r="E58" i="46"/>
  <c r="P54" i="46"/>
  <c r="O54" i="46"/>
  <c r="N54" i="46"/>
  <c r="M54" i="46"/>
  <c r="L54" i="46"/>
  <c r="K54" i="46"/>
  <c r="J54" i="46"/>
  <c r="I54" i="46"/>
  <c r="H54" i="46"/>
  <c r="G54" i="46"/>
  <c r="F54" i="46"/>
  <c r="E54" i="46"/>
  <c r="P43" i="46"/>
  <c r="O43" i="46"/>
  <c r="N43" i="46"/>
  <c r="M43" i="46"/>
  <c r="L43" i="46"/>
  <c r="K43" i="46"/>
  <c r="J43" i="46"/>
  <c r="I43" i="46"/>
  <c r="H43" i="46"/>
  <c r="G43" i="46"/>
  <c r="F43" i="46"/>
  <c r="E43" i="46"/>
  <c r="P41" i="46"/>
  <c r="O41" i="46"/>
  <c r="N41" i="46"/>
  <c r="M41" i="46"/>
  <c r="L41" i="46"/>
  <c r="K41" i="46"/>
  <c r="J41" i="46"/>
  <c r="I41" i="46"/>
  <c r="H41" i="46"/>
  <c r="G41" i="46"/>
  <c r="F41" i="46"/>
  <c r="E41" i="46"/>
  <c r="P35" i="46"/>
  <c r="O35" i="46"/>
  <c r="N35" i="46"/>
  <c r="M35" i="46"/>
  <c r="L35" i="46"/>
  <c r="K35" i="46"/>
  <c r="J35" i="46"/>
  <c r="I35" i="46"/>
  <c r="H35" i="46"/>
  <c r="G35" i="46"/>
  <c r="F35" i="46"/>
  <c r="E35" i="46"/>
  <c r="P33" i="46"/>
  <c r="O33" i="46"/>
  <c r="N33" i="46"/>
  <c r="M33" i="46"/>
  <c r="L33" i="46"/>
  <c r="K33" i="46"/>
  <c r="J33" i="46"/>
  <c r="I33" i="46"/>
  <c r="H33" i="46"/>
  <c r="G33" i="46"/>
  <c r="F33" i="46"/>
  <c r="E33" i="46"/>
  <c r="P32" i="46"/>
  <c r="O32" i="46"/>
  <c r="N32" i="46"/>
  <c r="M32" i="46"/>
  <c r="L32" i="46"/>
  <c r="K32" i="46"/>
  <c r="J32" i="46"/>
  <c r="I32" i="46"/>
  <c r="H32" i="46"/>
  <c r="G32" i="46"/>
  <c r="F32" i="46"/>
  <c r="E32" i="46"/>
  <c r="P31" i="46"/>
  <c r="O31" i="46"/>
  <c r="N31" i="46"/>
  <c r="M31" i="46"/>
  <c r="L31" i="46"/>
  <c r="K31" i="46"/>
  <c r="J31" i="46"/>
  <c r="I31" i="46"/>
  <c r="H31" i="46"/>
  <c r="G31" i="46"/>
  <c r="F31" i="46"/>
  <c r="E31" i="46"/>
  <c r="P30" i="46"/>
  <c r="O30" i="46"/>
  <c r="N30" i="46"/>
  <c r="M30" i="46"/>
  <c r="L30" i="46"/>
  <c r="K30" i="46"/>
  <c r="J30" i="46"/>
  <c r="I30" i="46"/>
  <c r="H30" i="46"/>
  <c r="G30" i="46"/>
  <c r="F30" i="46"/>
  <c r="E30" i="46"/>
  <c r="P29" i="46"/>
  <c r="O29" i="46"/>
  <c r="N29" i="46"/>
  <c r="M29" i="46"/>
  <c r="L29" i="46"/>
  <c r="K29" i="46"/>
  <c r="J29" i="46"/>
  <c r="I29" i="46"/>
  <c r="H29" i="46"/>
  <c r="G29" i="46"/>
  <c r="F29" i="46"/>
  <c r="E29" i="46"/>
  <c r="P28" i="46"/>
  <c r="O28" i="46"/>
  <c r="N28" i="46"/>
  <c r="M28" i="46"/>
  <c r="L28" i="46"/>
  <c r="K28" i="46"/>
  <c r="J28" i="46"/>
  <c r="I28" i="46"/>
  <c r="H28" i="46"/>
  <c r="G28" i="46"/>
  <c r="F28" i="46"/>
  <c r="E28" i="46"/>
  <c r="P21" i="46"/>
  <c r="O21" i="46"/>
  <c r="N21" i="46"/>
  <c r="M21" i="46"/>
  <c r="L21" i="46"/>
  <c r="K21" i="46"/>
  <c r="J21" i="46"/>
  <c r="I21" i="46"/>
  <c r="H21" i="46"/>
  <c r="G21" i="46"/>
  <c r="F21" i="46"/>
  <c r="E21" i="46"/>
  <c r="C4" i="46"/>
  <c r="P70" i="46"/>
  <c r="O70" i="46"/>
  <c r="N70" i="46"/>
  <c r="M70" i="46"/>
  <c r="L70" i="46"/>
  <c r="K70" i="46"/>
  <c r="J70" i="46"/>
  <c r="I70" i="46"/>
  <c r="H70" i="46"/>
  <c r="G70" i="46"/>
  <c r="F70" i="46"/>
  <c r="E70" i="46"/>
  <c r="P67" i="46"/>
  <c r="O67" i="46"/>
  <c r="N67" i="46"/>
  <c r="M67" i="46"/>
  <c r="L67" i="46"/>
  <c r="K67" i="46"/>
  <c r="J67" i="46"/>
  <c r="I67" i="46"/>
  <c r="H67" i="46"/>
  <c r="G67" i="46"/>
  <c r="F67" i="46"/>
  <c r="E67" i="46"/>
  <c r="P66" i="46"/>
  <c r="O66" i="46"/>
  <c r="N66" i="46"/>
  <c r="M66" i="46"/>
  <c r="L66" i="46"/>
  <c r="K66" i="46"/>
  <c r="J66" i="46"/>
  <c r="I66" i="46"/>
  <c r="H66" i="46"/>
  <c r="G66" i="46"/>
  <c r="F66" i="46"/>
  <c r="E66" i="46"/>
  <c r="P65" i="46"/>
  <c r="O65" i="46"/>
  <c r="N65" i="46"/>
  <c r="M65" i="46"/>
  <c r="L65" i="46"/>
  <c r="K65" i="46"/>
  <c r="J65" i="46"/>
  <c r="I65" i="46"/>
  <c r="H65" i="46"/>
  <c r="G65" i="46"/>
  <c r="F65" i="46"/>
  <c r="E65" i="46"/>
  <c r="P73" i="46"/>
  <c r="O73" i="46"/>
  <c r="N73" i="46"/>
  <c r="M73" i="46"/>
  <c r="L73" i="46"/>
  <c r="K73" i="46"/>
  <c r="J73" i="46"/>
  <c r="I73" i="46"/>
  <c r="H73" i="46"/>
  <c r="G73" i="46"/>
  <c r="F73" i="46"/>
  <c r="E73" i="46"/>
  <c r="P72" i="46"/>
  <c r="O72" i="46"/>
  <c r="N72" i="46"/>
  <c r="M72" i="46"/>
  <c r="L72" i="46"/>
  <c r="K72" i="46"/>
  <c r="J72" i="46"/>
  <c r="I72" i="46"/>
  <c r="H72" i="46"/>
  <c r="G72" i="46"/>
  <c r="F72" i="46"/>
  <c r="E72" i="46"/>
  <c r="P69" i="46"/>
  <c r="O69" i="46"/>
  <c r="N69" i="46"/>
  <c r="N68" i="46" s="1"/>
  <c r="M69" i="46"/>
  <c r="M68" i="46" s="1"/>
  <c r="L69" i="46"/>
  <c r="L68" i="46" s="1"/>
  <c r="K69" i="46"/>
  <c r="J69" i="46"/>
  <c r="I69" i="46"/>
  <c r="I68" i="46" s="1"/>
  <c r="H69" i="46"/>
  <c r="H68" i="46" s="1"/>
  <c r="G69" i="46"/>
  <c r="G68" i="46" s="1"/>
  <c r="F69" i="46"/>
  <c r="F68" i="46" s="1"/>
  <c r="E69" i="46"/>
  <c r="E68" i="46" s="1"/>
  <c r="P68" i="46"/>
  <c r="O68" i="46"/>
  <c r="K68" i="46"/>
  <c r="J68" i="46"/>
  <c r="P56" i="46"/>
  <c r="O56" i="46"/>
  <c r="N56" i="46"/>
  <c r="M56" i="46"/>
  <c r="L56" i="46"/>
  <c r="K56" i="46"/>
  <c r="J56" i="46"/>
  <c r="I56" i="46"/>
  <c r="H56" i="46"/>
  <c r="G56" i="46"/>
  <c r="F56" i="46"/>
  <c r="E56" i="46"/>
  <c r="P13" i="46"/>
  <c r="O13" i="46"/>
  <c r="N13" i="46"/>
  <c r="M13" i="46"/>
  <c r="L13" i="46"/>
  <c r="K13" i="46"/>
  <c r="J13" i="46"/>
  <c r="I13" i="46"/>
  <c r="H13" i="46"/>
  <c r="G13" i="46"/>
  <c r="F13" i="46"/>
  <c r="E13" i="46"/>
  <c r="P12" i="46"/>
  <c r="O12" i="46"/>
  <c r="N12" i="46"/>
  <c r="M12" i="46"/>
  <c r="L12" i="46"/>
  <c r="K12" i="46"/>
  <c r="J12" i="46"/>
  <c r="I12" i="46"/>
  <c r="H12" i="46"/>
  <c r="G12" i="46"/>
  <c r="F12" i="46"/>
  <c r="E12" i="46"/>
  <c r="P11" i="46"/>
  <c r="O11" i="46"/>
  <c r="N11" i="46"/>
  <c r="M11" i="46"/>
  <c r="L11" i="46"/>
  <c r="K11" i="46"/>
  <c r="J11" i="46"/>
  <c r="I11" i="46"/>
  <c r="H11" i="46"/>
  <c r="G11" i="46"/>
  <c r="F11" i="46"/>
  <c r="E11" i="46"/>
  <c r="P10" i="46"/>
  <c r="O10" i="46"/>
  <c r="N10" i="46"/>
  <c r="M10" i="46"/>
  <c r="L10" i="46"/>
  <c r="K10" i="46"/>
  <c r="J10" i="46"/>
  <c r="I10" i="46"/>
  <c r="H10" i="46"/>
  <c r="G10" i="46"/>
  <c r="F10" i="46"/>
  <c r="E10" i="46"/>
  <c r="P9" i="46"/>
  <c r="O9" i="46"/>
  <c r="N9" i="46"/>
  <c r="M9" i="46"/>
  <c r="L9" i="46"/>
  <c r="K9" i="46"/>
  <c r="J9" i="46"/>
  <c r="I9" i="46"/>
  <c r="H9" i="46"/>
  <c r="G9" i="46"/>
  <c r="F9" i="46"/>
  <c r="E9" i="46"/>
  <c r="P8" i="46"/>
  <c r="O8" i="46"/>
  <c r="N8" i="46"/>
  <c r="M8" i="46"/>
  <c r="L8" i="46"/>
  <c r="K8" i="46"/>
  <c r="J8" i="46"/>
  <c r="I8" i="46"/>
  <c r="H8" i="46"/>
  <c r="G8" i="46"/>
  <c r="F8" i="46"/>
  <c r="E8" i="46"/>
  <c r="P7" i="46"/>
  <c r="O7" i="46"/>
  <c r="N7" i="46"/>
  <c r="M7" i="46"/>
  <c r="L7" i="46"/>
  <c r="K7" i="46"/>
  <c r="J7" i="46"/>
  <c r="I7" i="46"/>
  <c r="H7" i="46"/>
  <c r="G7" i="46"/>
  <c r="F7" i="46"/>
  <c r="E7" i="46"/>
  <c r="P6" i="46"/>
  <c r="O6" i="46"/>
  <c r="N6" i="46"/>
  <c r="M6" i="46"/>
  <c r="L6" i="46"/>
  <c r="K6" i="46"/>
  <c r="J6" i="46"/>
  <c r="I6" i="46"/>
  <c r="H6" i="46"/>
  <c r="G6" i="46"/>
  <c r="F6" i="46"/>
  <c r="E6" i="46"/>
  <c r="M61" i="50" l="1"/>
  <c r="M27" i="50"/>
  <c r="P62" i="46"/>
  <c r="M65" i="50" l="1"/>
  <c r="M74" i="50" s="1"/>
  <c r="M19" i="50"/>
  <c r="G62" i="46"/>
  <c r="M23" i="50" l="1"/>
  <c r="M32" i="50" s="1"/>
  <c r="M33" i="50" s="1"/>
  <c r="M20" i="50"/>
  <c r="I62" i="46"/>
  <c r="J62" i="46" l="1"/>
  <c r="K62" i="46" l="1"/>
  <c r="M62" i="46" l="1"/>
  <c r="N62" i="46" l="1"/>
  <c r="O62" i="46" l="1"/>
  <c r="L62" i="46" l="1"/>
  <c r="E62" i="46" l="1"/>
  <c r="F62" i="46" l="1"/>
  <c r="H62" i="46" l="1"/>
  <c r="H18" i="46" l="1"/>
  <c r="F18" i="46"/>
  <c r="E18" i="46"/>
  <c r="G18" i="46"/>
  <c r="J18" i="46" l="1"/>
  <c r="I18" i="46" l="1"/>
  <c r="M18" i="46" l="1"/>
  <c r="N18" i="46"/>
  <c r="O18" i="46"/>
  <c r="P18" i="46"/>
  <c r="L18" i="46"/>
  <c r="K18" i="46" l="1"/>
  <c r="S1" i="46" l="1"/>
  <c r="N25" i="46" l="1"/>
  <c r="O25" i="46" l="1"/>
  <c r="M25" i="46"/>
  <c r="I25" i="46"/>
  <c r="G25" i="46"/>
  <c r="N63" i="46"/>
  <c r="J25" i="46" l="1"/>
  <c r="L25" i="46"/>
  <c r="G63" i="46"/>
  <c r="I63" i="46"/>
  <c r="M63" i="46"/>
  <c r="O63" i="46"/>
  <c r="K25" i="46"/>
  <c r="K63" i="46"/>
  <c r="L63" i="46" l="1"/>
  <c r="J63" i="46"/>
  <c r="H63" i="46"/>
  <c r="H25" i="46"/>
  <c r="E63" i="46"/>
  <c r="E25" i="46"/>
  <c r="P63" i="46"/>
  <c r="P25" i="46" l="1"/>
  <c r="F25" i="46" l="1"/>
  <c r="F63" i="46"/>
  <c r="M31" i="44" l="1"/>
  <c r="J31" i="44"/>
  <c r="M30" i="44"/>
  <c r="J30" i="44"/>
  <c r="M29" i="44"/>
  <c r="J29" i="44"/>
  <c r="M28" i="44"/>
  <c r="J28" i="44"/>
  <c r="M27" i="44"/>
  <c r="J27" i="44"/>
  <c r="M26" i="44"/>
  <c r="J26" i="44"/>
  <c r="M25" i="44"/>
  <c r="J25" i="44"/>
  <c r="S42" i="44" l="1"/>
  <c r="P42" i="44"/>
  <c r="S41" i="44"/>
  <c r="P41" i="44"/>
  <c r="S40" i="44"/>
  <c r="P40" i="44"/>
  <c r="S39" i="44"/>
  <c r="P39" i="44"/>
  <c r="S38" i="44"/>
  <c r="P38" i="44"/>
  <c r="S37" i="44"/>
  <c r="P37" i="44"/>
  <c r="S36" i="44"/>
  <c r="P36" i="44"/>
  <c r="S35" i="44"/>
  <c r="P35" i="44"/>
  <c r="S34" i="44"/>
  <c r="P34" i="44"/>
  <c r="P33" i="44"/>
  <c r="S66" i="34" l="1"/>
  <c r="AC62" i="34"/>
  <c r="U62" i="34"/>
  <c r="R62" i="34"/>
  <c r="R61" i="34"/>
  <c r="F61" i="34"/>
  <c r="E61" i="34"/>
  <c r="C61" i="34"/>
  <c r="Y56" i="34"/>
  <c r="Y55" i="34"/>
  <c r="E57" i="34"/>
  <c r="E56" i="34"/>
  <c r="G55" i="34"/>
  <c r="E55" i="34"/>
  <c r="R2" i="34"/>
  <c r="AG63" i="44"/>
  <c r="AC63" i="44"/>
  <c r="U63" i="44"/>
  <c r="R62" i="44"/>
  <c r="F62" i="44"/>
  <c r="E62" i="44"/>
  <c r="C62" i="44"/>
  <c r="Y57" i="44"/>
  <c r="X57" i="44" s="1"/>
  <c r="Y56" i="44"/>
  <c r="X56" i="44" s="1"/>
  <c r="E58" i="44"/>
  <c r="E57" i="44"/>
  <c r="G56" i="44"/>
  <c r="E56" i="44"/>
  <c r="AG62" i="49"/>
  <c r="AC62" i="49"/>
  <c r="U62" i="49"/>
  <c r="R61" i="49"/>
  <c r="F61" i="49"/>
  <c r="E61" i="49"/>
  <c r="C61" i="49"/>
  <c r="Y56" i="49"/>
  <c r="X56" i="49" s="1"/>
  <c r="Y55" i="49"/>
  <c r="X55" i="49" s="1"/>
  <c r="E57" i="49"/>
  <c r="E56" i="49"/>
  <c r="G55" i="49"/>
  <c r="E55" i="49"/>
  <c r="Z62" i="34"/>
  <c r="Y62" i="34" s="1"/>
  <c r="Z62" i="49"/>
  <c r="Y62" i="49" s="1"/>
  <c r="Z63" i="44"/>
  <c r="Y63" i="44" s="1"/>
  <c r="X56" i="34"/>
  <c r="X55" i="34"/>
  <c r="H64" i="44" l="1"/>
  <c r="X63" i="44" l="1"/>
  <c r="M62" i="44" l="1"/>
  <c r="H68" i="49" l="1"/>
  <c r="M61" i="49"/>
  <c r="J73" i="49"/>
  <c r="J72" i="49"/>
  <c r="J71" i="49"/>
  <c r="S70" i="34" l="1"/>
  <c r="S69" i="34"/>
  <c r="S68" i="34"/>
  <c r="S80" i="49"/>
  <c r="S77" i="49"/>
  <c r="P80" i="49"/>
  <c r="P79" i="49"/>
  <c r="P78" i="49"/>
  <c r="P77" i="49"/>
  <c r="L61" i="49" l="1"/>
  <c r="K61" i="49"/>
  <c r="J61" i="49"/>
  <c r="I61" i="49"/>
  <c r="X62" i="49" l="1"/>
  <c r="CN79" i="5"/>
  <c r="CN56" i="5"/>
  <c r="CN53" i="5"/>
  <c r="CN52" i="5"/>
  <c r="CN51" i="5"/>
  <c r="CN50" i="5"/>
  <c r="CN49" i="5"/>
  <c r="CN43" i="5"/>
  <c r="CN41" i="5"/>
  <c r="CN40" i="5"/>
  <c r="CN25" i="5"/>
  <c r="CN24" i="5"/>
  <c r="CN21" i="5"/>
  <c r="CN20" i="5"/>
  <c r="CN18" i="5"/>
  <c r="CN17" i="5"/>
  <c r="CM33" i="5"/>
  <c r="M66" i="44"/>
  <c r="M75" i="44" s="1"/>
  <c r="L62" i="44"/>
  <c r="K62" i="44"/>
  <c r="J62" i="44"/>
  <c r="I62" i="44"/>
  <c r="M52" i="49" l="1"/>
  <c r="D47" i="49"/>
  <c r="C47" i="49"/>
  <c r="S33" i="49"/>
  <c r="M25" i="49"/>
  <c r="J25" i="49"/>
  <c r="M24" i="49"/>
  <c r="J24" i="49"/>
  <c r="L19" i="49"/>
  <c r="K19" i="49"/>
  <c r="J19" i="49"/>
  <c r="I19" i="49"/>
  <c r="F19" i="49"/>
  <c r="E19" i="49"/>
  <c r="J10" i="49"/>
  <c r="O9" i="49"/>
  <c r="D5" i="49"/>
  <c r="C5" i="49"/>
  <c r="B1" i="49"/>
  <c r="C1" i="49" s="1"/>
  <c r="B61" i="49" l="1"/>
  <c r="F48" i="49" s="1"/>
  <c r="AU79" i="5" l="1"/>
  <c r="AV79" i="5" s="1"/>
  <c r="AU76" i="5"/>
  <c r="AU75" i="5"/>
  <c r="AU53" i="5"/>
  <c r="AV53" i="5" s="1"/>
  <c r="AU52" i="5"/>
  <c r="AV52" i="5" s="1"/>
  <c r="AU51" i="5"/>
  <c r="AV51" i="5" s="1"/>
  <c r="AU50" i="5"/>
  <c r="AV50" i="5" s="1"/>
  <c r="AU49" i="5"/>
  <c r="AV49" i="5" s="1"/>
  <c r="AU43" i="5"/>
  <c r="AV43" i="5" s="1"/>
  <c r="AU41" i="5"/>
  <c r="AV41" i="5" s="1"/>
  <c r="AU40" i="5"/>
  <c r="AV40" i="5" s="1"/>
  <c r="AU37" i="5"/>
  <c r="AU25" i="5"/>
  <c r="AV25" i="5" s="1"/>
  <c r="AU24" i="5"/>
  <c r="AV24" i="5" s="1"/>
  <c r="AU21" i="5"/>
  <c r="AV21" i="5" s="1"/>
  <c r="AU20" i="5"/>
  <c r="AV20" i="5" s="1"/>
  <c r="AU18" i="5"/>
  <c r="AV18" i="5" s="1"/>
  <c r="AU17" i="5"/>
  <c r="AV17" i="5" s="1"/>
  <c r="AU78" i="5" l="1"/>
  <c r="AU77" i="5"/>
  <c r="AU73" i="5"/>
  <c r="AU71" i="5"/>
  <c r="AU70" i="5"/>
  <c r="AU69" i="5"/>
  <c r="AU68" i="5"/>
  <c r="AU67" i="5"/>
  <c r="AU66" i="5"/>
  <c r="AU57" i="5"/>
  <c r="AU14" i="5"/>
  <c r="AU13" i="5"/>
  <c r="AU12" i="5"/>
  <c r="AU11" i="5"/>
  <c r="AU10" i="5"/>
  <c r="AU9" i="5"/>
  <c r="AU8" i="5"/>
  <c r="AU7" i="5"/>
  <c r="CL21" i="5" l="1"/>
  <c r="CK21" i="5"/>
  <c r="CJ21" i="5"/>
  <c r="CI21" i="5"/>
  <c r="CL20" i="5"/>
  <c r="CK20" i="5"/>
  <c r="CJ20" i="5"/>
  <c r="CI20" i="5"/>
  <c r="CL18" i="5"/>
  <c r="CK18" i="5"/>
  <c r="CJ18" i="5"/>
  <c r="CI18" i="5"/>
  <c r="CL17" i="5"/>
  <c r="CK17" i="5"/>
  <c r="CJ17" i="5"/>
  <c r="CI17" i="5"/>
  <c r="CH6" i="5"/>
  <c r="CL6" i="5" s="1"/>
  <c r="CH78" i="5" l="1"/>
  <c r="CH77" i="5"/>
  <c r="CL53" i="5"/>
  <c r="CL52" i="5"/>
  <c r="CL51" i="5"/>
  <c r="CL50" i="5"/>
  <c r="CG33" i="5"/>
  <c r="CF33" i="5"/>
  <c r="P77" i="46"/>
  <c r="O77" i="46"/>
  <c r="N77" i="46"/>
  <c r="AC77" i="46" s="1"/>
  <c r="M77" i="46"/>
  <c r="L77" i="46"/>
  <c r="K77" i="46"/>
  <c r="J77" i="46"/>
  <c r="I77" i="46"/>
  <c r="H77" i="46"/>
  <c r="AA77" i="46" s="1"/>
  <c r="G77" i="46"/>
  <c r="F77" i="46"/>
  <c r="E77" i="46"/>
  <c r="P76" i="46"/>
  <c r="O76" i="46"/>
  <c r="N76" i="46"/>
  <c r="AC76" i="46" s="1"/>
  <c r="M76" i="46"/>
  <c r="L76" i="46"/>
  <c r="K76" i="46"/>
  <c r="J76" i="46"/>
  <c r="I76" i="46"/>
  <c r="H76" i="46"/>
  <c r="AA76" i="46" s="1"/>
  <c r="G76" i="46"/>
  <c r="F76" i="46"/>
  <c r="E76" i="46"/>
  <c r="P75" i="46"/>
  <c r="O75" i="46"/>
  <c r="N75" i="46"/>
  <c r="AC75" i="46" s="1"/>
  <c r="CM76" i="5" s="1"/>
  <c r="M75" i="46"/>
  <c r="L75" i="46"/>
  <c r="K75" i="46"/>
  <c r="J75" i="46"/>
  <c r="I75" i="46"/>
  <c r="H75" i="46"/>
  <c r="AA75" i="46" s="1"/>
  <c r="G75" i="46"/>
  <c r="F75" i="46"/>
  <c r="E75" i="46"/>
  <c r="AC74" i="46"/>
  <c r="CM75" i="5" s="1"/>
  <c r="AB74" i="46"/>
  <c r="AA74" i="46"/>
  <c r="Z74" i="46"/>
  <c r="AD74" i="46" s="1"/>
  <c r="Q74" i="46"/>
  <c r="AC73" i="46"/>
  <c r="CM74" i="5" s="1"/>
  <c r="AB73" i="46"/>
  <c r="AA73" i="46"/>
  <c r="AC72" i="46"/>
  <c r="CM73" i="5" s="1"/>
  <c r="AB72" i="46"/>
  <c r="AA72" i="46"/>
  <c r="AC71" i="46"/>
  <c r="CM72" i="5" s="1"/>
  <c r="AB71" i="46"/>
  <c r="AA71" i="46"/>
  <c r="AC70" i="46"/>
  <c r="CM71" i="5" s="1"/>
  <c r="AB70" i="46"/>
  <c r="AA70" i="46"/>
  <c r="AC69" i="46"/>
  <c r="CM70" i="5" s="1"/>
  <c r="AB69" i="46"/>
  <c r="AA69" i="46"/>
  <c r="AC68" i="46"/>
  <c r="CM69" i="5" s="1"/>
  <c r="AB68" i="46"/>
  <c r="AA68" i="46"/>
  <c r="AC67" i="46"/>
  <c r="CM68" i="5" s="1"/>
  <c r="AB67" i="46"/>
  <c r="AA67" i="46"/>
  <c r="AC66" i="46"/>
  <c r="CM67" i="5" s="1"/>
  <c r="AB66" i="46"/>
  <c r="AA66" i="46"/>
  <c r="AC65" i="46"/>
  <c r="CM66" i="5" s="1"/>
  <c r="AB65" i="46"/>
  <c r="AA65" i="46"/>
  <c r="AC64" i="46"/>
  <c r="CM65" i="5" s="1"/>
  <c r="AB64" i="46"/>
  <c r="AA64" i="46"/>
  <c r="AC63" i="46"/>
  <c r="CM64" i="5" s="1"/>
  <c r="AB63" i="46"/>
  <c r="AA63" i="46"/>
  <c r="AC62" i="46"/>
  <c r="CM63" i="5" s="1"/>
  <c r="AB62" i="46"/>
  <c r="AA62" i="46"/>
  <c r="AC59" i="46"/>
  <c r="CM60" i="5" s="1"/>
  <c r="AB59" i="46"/>
  <c r="AA59" i="46"/>
  <c r="P60" i="46"/>
  <c r="O60" i="46"/>
  <c r="M60" i="46"/>
  <c r="L60" i="46"/>
  <c r="J60" i="46"/>
  <c r="I60" i="46"/>
  <c r="G60" i="46"/>
  <c r="F60" i="46"/>
  <c r="AC56" i="46"/>
  <c r="CM57" i="5" s="1"/>
  <c r="AB56" i="46"/>
  <c r="AA56" i="46"/>
  <c r="AC54" i="46"/>
  <c r="CM55" i="5" s="1"/>
  <c r="AB54" i="46"/>
  <c r="AA54" i="46"/>
  <c r="Q52" i="46"/>
  <c r="Q51" i="46"/>
  <c r="Q50" i="46"/>
  <c r="Q49" i="46"/>
  <c r="AC43" i="46"/>
  <c r="CM44" i="5" s="1"/>
  <c r="AB43" i="46"/>
  <c r="AA43" i="46"/>
  <c r="Q42" i="46"/>
  <c r="P44" i="46"/>
  <c r="O44" i="46"/>
  <c r="M44" i="46"/>
  <c r="L44" i="46"/>
  <c r="J44" i="46"/>
  <c r="I44" i="46"/>
  <c r="G44" i="46"/>
  <c r="F44" i="46"/>
  <c r="Q40" i="46"/>
  <c r="Q39" i="46"/>
  <c r="P37" i="46"/>
  <c r="O37" i="46"/>
  <c r="N37" i="46"/>
  <c r="M37" i="46"/>
  <c r="L37" i="46"/>
  <c r="L38" i="46" s="1"/>
  <c r="K37" i="46"/>
  <c r="J37" i="46"/>
  <c r="J38" i="46" s="1"/>
  <c r="I37" i="46"/>
  <c r="I38" i="46" s="1"/>
  <c r="H37" i="46"/>
  <c r="G37" i="46"/>
  <c r="F37" i="46"/>
  <c r="F38" i="46" s="1"/>
  <c r="E37" i="46"/>
  <c r="AC36" i="46"/>
  <c r="CM37" i="5" s="1"/>
  <c r="AB36" i="46"/>
  <c r="AA36" i="46"/>
  <c r="Z36" i="46"/>
  <c r="AD36" i="46" s="1"/>
  <c r="Q36" i="46"/>
  <c r="P38" i="46"/>
  <c r="O38" i="46"/>
  <c r="M38" i="46"/>
  <c r="G38" i="46"/>
  <c r="AC33" i="46"/>
  <c r="CM34" i="5" s="1"/>
  <c r="AB33" i="46"/>
  <c r="AA33" i="46"/>
  <c r="AC32" i="46"/>
  <c r="AB32" i="46"/>
  <c r="AA32" i="46"/>
  <c r="AC31" i="46"/>
  <c r="CM32" i="5" s="1"/>
  <c r="AB31" i="46"/>
  <c r="AA31" i="46"/>
  <c r="AC30" i="46"/>
  <c r="CM31" i="5" s="1"/>
  <c r="AB30" i="46"/>
  <c r="AA30" i="46"/>
  <c r="AC29" i="46"/>
  <c r="CM30" i="5" s="1"/>
  <c r="AB29" i="46"/>
  <c r="AA29" i="46"/>
  <c r="P34" i="46"/>
  <c r="O34" i="46"/>
  <c r="M34" i="46"/>
  <c r="L34" i="46"/>
  <c r="J34" i="46"/>
  <c r="I34" i="46"/>
  <c r="G34" i="46"/>
  <c r="F34" i="46"/>
  <c r="AC25" i="46"/>
  <c r="CM26" i="5" s="1"/>
  <c r="AB25" i="46"/>
  <c r="AA25" i="46"/>
  <c r="Q24" i="46"/>
  <c r="Q23" i="46"/>
  <c r="AC21" i="46"/>
  <c r="CM22" i="5" s="1"/>
  <c r="AB21" i="46"/>
  <c r="AA21" i="46"/>
  <c r="Q20" i="46"/>
  <c r="Q19" i="46"/>
  <c r="P22" i="46"/>
  <c r="P26" i="46" s="1"/>
  <c r="O22" i="46"/>
  <c r="O26" i="46" s="1"/>
  <c r="M22" i="46"/>
  <c r="M26" i="46" s="1"/>
  <c r="L22" i="46"/>
  <c r="L26" i="46" s="1"/>
  <c r="J22" i="46"/>
  <c r="J26" i="46" s="1"/>
  <c r="I22" i="46"/>
  <c r="I26" i="46" s="1"/>
  <c r="G22" i="46"/>
  <c r="G26" i="46" s="1"/>
  <c r="F22" i="46"/>
  <c r="F26" i="46" s="1"/>
  <c r="Q17" i="46"/>
  <c r="Q16" i="46"/>
  <c r="AC13" i="46"/>
  <c r="CM14" i="5" s="1"/>
  <c r="AB13" i="46"/>
  <c r="AA13" i="46"/>
  <c r="AC12" i="46"/>
  <c r="CM13" i="5" s="1"/>
  <c r="AB12" i="46"/>
  <c r="AA12" i="46"/>
  <c r="AC11" i="46"/>
  <c r="CM12" i="5" s="1"/>
  <c r="AB11" i="46"/>
  <c r="AA11" i="46"/>
  <c r="AC10" i="46"/>
  <c r="CM11" i="5" s="1"/>
  <c r="AB10" i="46"/>
  <c r="AA10" i="46"/>
  <c r="AC9" i="46"/>
  <c r="CM10" i="5" s="1"/>
  <c r="AB9" i="46"/>
  <c r="AA9" i="46"/>
  <c r="AC8" i="46"/>
  <c r="CM9" i="5" s="1"/>
  <c r="AB8" i="46"/>
  <c r="AA8" i="46"/>
  <c r="AC7" i="46"/>
  <c r="CM8" i="5" s="1"/>
  <c r="AB7" i="46"/>
  <c r="AA7" i="46"/>
  <c r="AC6" i="46"/>
  <c r="CM7" i="5" s="1"/>
  <c r="AB6" i="46"/>
  <c r="AA6" i="46"/>
  <c r="F1" i="46"/>
  <c r="G1" i="46" s="1"/>
  <c r="H1" i="46" s="1"/>
  <c r="I1" i="46" s="1"/>
  <c r="J1" i="46" s="1"/>
  <c r="K1" i="46" s="1"/>
  <c r="L1" i="46" s="1"/>
  <c r="M1" i="46" s="1"/>
  <c r="N1" i="46" s="1"/>
  <c r="O1" i="46" s="1"/>
  <c r="P1" i="46" s="1"/>
  <c r="B1" i="46"/>
  <c r="AA37" i="46" l="1"/>
  <c r="AB37" i="46"/>
  <c r="AC37" i="46"/>
  <c r="CM38" i="5" s="1"/>
  <c r="AB75" i="46"/>
  <c r="AB76" i="46"/>
  <c r="AB77" i="46"/>
  <c r="B12" i="44"/>
  <c r="V5" i="46"/>
  <c r="S5" i="46"/>
  <c r="P3" i="46"/>
  <c r="O3" i="46"/>
  <c r="N3" i="46"/>
  <c r="M3" i="46"/>
  <c r="L3" i="46"/>
  <c r="K3" i="46"/>
  <c r="J3" i="46"/>
  <c r="I3" i="46"/>
  <c r="H3" i="46"/>
  <c r="G3" i="46"/>
  <c r="F3" i="46"/>
  <c r="E3" i="46"/>
  <c r="P2" i="46"/>
  <c r="O2" i="46"/>
  <c r="N2" i="46"/>
  <c r="M2" i="46"/>
  <c r="L2" i="46"/>
  <c r="K2" i="46"/>
  <c r="J2" i="46"/>
  <c r="I2" i="46"/>
  <c r="H2" i="46"/>
  <c r="G2" i="46"/>
  <c r="F2" i="46"/>
  <c r="E2" i="46"/>
  <c r="Z6" i="46"/>
  <c r="AD6" i="46" s="1"/>
  <c r="Q6" i="46"/>
  <c r="Z7" i="46"/>
  <c r="AD7" i="46" s="1"/>
  <c r="Q7" i="46"/>
  <c r="Z8" i="46"/>
  <c r="AD8" i="46" s="1"/>
  <c r="Q8" i="46"/>
  <c r="Z9" i="46"/>
  <c r="AD9" i="46" s="1"/>
  <c r="Q9" i="46"/>
  <c r="Z10" i="46"/>
  <c r="AD10" i="46" s="1"/>
  <c r="Q10" i="46"/>
  <c r="Z11" i="46"/>
  <c r="AD11" i="46" s="1"/>
  <c r="Q11" i="46"/>
  <c r="Z12" i="46"/>
  <c r="AD12" i="46" s="1"/>
  <c r="Q12" i="46"/>
  <c r="Z13" i="46"/>
  <c r="AD13" i="46" s="1"/>
  <c r="Q13" i="46"/>
  <c r="E22" i="46"/>
  <c r="Z18" i="46"/>
  <c r="Q18" i="46"/>
  <c r="F82" i="46"/>
  <c r="F27" i="46"/>
  <c r="G82" i="46"/>
  <c r="G27" i="46"/>
  <c r="H22" i="46"/>
  <c r="H26" i="46" s="1"/>
  <c r="AA18" i="46"/>
  <c r="AA22" i="46" s="1"/>
  <c r="AA26" i="46" s="1"/>
  <c r="I82" i="46"/>
  <c r="I27" i="46"/>
  <c r="J82" i="46"/>
  <c r="J27" i="46"/>
  <c r="K22" i="46"/>
  <c r="K26" i="46" s="1"/>
  <c r="AB18" i="46"/>
  <c r="AB22" i="46" s="1"/>
  <c r="AB26" i="46" s="1"/>
  <c r="L82" i="46"/>
  <c r="L27" i="46"/>
  <c r="M82" i="46"/>
  <c r="M27" i="46"/>
  <c r="N22" i="46"/>
  <c r="N26" i="46" s="1"/>
  <c r="AC18" i="46"/>
  <c r="O82" i="46"/>
  <c r="O27" i="46"/>
  <c r="P82" i="46"/>
  <c r="P27" i="46"/>
  <c r="Z21" i="46"/>
  <c r="AD21" i="46" s="1"/>
  <c r="Q21" i="46"/>
  <c r="Z25" i="46"/>
  <c r="AD25" i="46" s="1"/>
  <c r="Q25" i="46"/>
  <c r="E34" i="46"/>
  <c r="Z28" i="46"/>
  <c r="Q28" i="46"/>
  <c r="H34" i="46"/>
  <c r="AA28" i="46"/>
  <c r="AA34" i="46" s="1"/>
  <c r="K34" i="46"/>
  <c r="AB28" i="46"/>
  <c r="AB34" i="46" s="1"/>
  <c r="N34" i="46"/>
  <c r="AC28" i="46"/>
  <c r="Z29" i="46"/>
  <c r="AD29" i="46" s="1"/>
  <c r="Q29" i="46"/>
  <c r="Z30" i="46"/>
  <c r="AD30" i="46" s="1"/>
  <c r="Q30" i="46"/>
  <c r="Z31" i="46"/>
  <c r="AD31" i="46" s="1"/>
  <c r="Q31" i="46"/>
  <c r="Z32" i="46"/>
  <c r="AD32" i="46" s="1"/>
  <c r="Q32" i="46"/>
  <c r="Z33" i="46"/>
  <c r="AD33" i="46" s="1"/>
  <c r="Q33" i="46"/>
  <c r="E38" i="46"/>
  <c r="Z35" i="46"/>
  <c r="Q35" i="46"/>
  <c r="H38" i="46"/>
  <c r="AA35" i="46"/>
  <c r="AA38" i="46" s="1"/>
  <c r="K38" i="46"/>
  <c r="AB35" i="46"/>
  <c r="AB38" i="46" s="1"/>
  <c r="N38" i="46"/>
  <c r="AC35" i="46"/>
  <c r="Z37" i="46"/>
  <c r="AD37" i="46" s="1"/>
  <c r="Q37" i="46"/>
  <c r="E44" i="46"/>
  <c r="Z41" i="46"/>
  <c r="Q41" i="46"/>
  <c r="F45" i="46"/>
  <c r="G45" i="46"/>
  <c r="H44" i="46"/>
  <c r="AA41" i="46"/>
  <c r="AA44" i="46" s="1"/>
  <c r="I45" i="46"/>
  <c r="J45" i="46"/>
  <c r="K44" i="46"/>
  <c r="AB41" i="46"/>
  <c r="AB44" i="46" s="1"/>
  <c r="L45" i="46"/>
  <c r="M45" i="46"/>
  <c r="N44" i="46"/>
  <c r="AC41" i="46"/>
  <c r="O45" i="46"/>
  <c r="P45" i="46"/>
  <c r="Z43" i="46"/>
  <c r="AD43" i="46" s="1"/>
  <c r="Q43" i="46"/>
  <c r="Z54" i="46"/>
  <c r="AD54" i="46" s="1"/>
  <c r="Q54" i="46"/>
  <c r="Z56" i="46"/>
  <c r="AD56" i="46" s="1"/>
  <c r="Q56" i="46"/>
  <c r="E60" i="46"/>
  <c r="Z58" i="46"/>
  <c r="Q58" i="46"/>
  <c r="H60" i="46"/>
  <c r="AA60" i="46" s="1"/>
  <c r="AA58" i="46"/>
  <c r="K60" i="46"/>
  <c r="AB60" i="46" s="1"/>
  <c r="AB58" i="46"/>
  <c r="N60" i="46"/>
  <c r="AC60" i="46" s="1"/>
  <c r="AC58" i="46"/>
  <c r="CM59" i="5" s="1"/>
  <c r="Z59" i="46"/>
  <c r="AD59" i="46" s="1"/>
  <c r="Q59" i="46"/>
  <c r="Z62" i="46"/>
  <c r="AD62" i="46" s="1"/>
  <c r="Q62" i="46"/>
  <c r="Z63" i="46"/>
  <c r="AD63" i="46" s="1"/>
  <c r="Q63" i="46"/>
  <c r="Z64" i="46"/>
  <c r="AD64" i="46" s="1"/>
  <c r="Q64" i="46"/>
  <c r="Z65" i="46"/>
  <c r="AD65" i="46" s="1"/>
  <c r="Q65" i="46"/>
  <c r="Z66" i="46"/>
  <c r="AD66" i="46" s="1"/>
  <c r="Q66" i="46"/>
  <c r="Z67" i="46"/>
  <c r="AD67" i="46" s="1"/>
  <c r="Q67" i="46"/>
  <c r="Z68" i="46"/>
  <c r="AD68" i="46" s="1"/>
  <c r="Q68" i="46"/>
  <c r="Z69" i="46"/>
  <c r="AD69" i="46" s="1"/>
  <c r="Q69" i="46"/>
  <c r="Z70" i="46"/>
  <c r="AD70" i="46" s="1"/>
  <c r="Q70" i="46"/>
  <c r="Z71" i="46"/>
  <c r="AD71" i="46" s="1"/>
  <c r="Q71" i="46"/>
  <c r="Z72" i="46"/>
  <c r="AD72" i="46" s="1"/>
  <c r="Q72" i="46"/>
  <c r="Z73" i="46"/>
  <c r="AD73" i="46" s="1"/>
  <c r="Q73" i="46"/>
  <c r="AF74" i="46"/>
  <c r="Z75" i="46"/>
  <c r="Q75" i="46"/>
  <c r="Z76" i="46"/>
  <c r="Q76" i="46"/>
  <c r="Z77" i="46"/>
  <c r="Q77" i="46"/>
  <c r="AD75" i="46" l="1"/>
  <c r="AD77" i="46"/>
  <c r="AA45" i="46"/>
  <c r="AA83" i="46" s="1"/>
  <c r="AB45" i="46"/>
  <c r="AB83" i="46" s="1"/>
  <c r="H45" i="46"/>
  <c r="H83" i="46" s="1"/>
  <c r="K45" i="46"/>
  <c r="K83" i="46" s="1"/>
  <c r="AD76" i="46"/>
  <c r="N45" i="46"/>
  <c r="N83" i="46" s="1"/>
  <c r="CM61" i="5"/>
  <c r="AC44" i="46"/>
  <c r="CM42" i="5"/>
  <c r="AC38" i="46"/>
  <c r="CM36" i="5"/>
  <c r="AC34" i="46"/>
  <c r="CM29" i="5"/>
  <c r="AC22" i="46"/>
  <c r="AC26" i="46" s="1"/>
  <c r="AC27" i="46" s="1"/>
  <c r="CM19" i="5"/>
  <c r="AD58" i="46"/>
  <c r="Z60" i="46"/>
  <c r="AD60" i="46" s="1"/>
  <c r="Q60" i="46"/>
  <c r="P83" i="46"/>
  <c r="P46" i="46"/>
  <c r="O83" i="46"/>
  <c r="O46" i="46"/>
  <c r="M83" i="46"/>
  <c r="M84" i="46" s="1"/>
  <c r="M46" i="46"/>
  <c r="L83" i="46"/>
  <c r="L84" i="46" s="1"/>
  <c r="L46" i="46"/>
  <c r="J83" i="46"/>
  <c r="J46" i="46"/>
  <c r="I83" i="46"/>
  <c r="I84" i="46" s="1"/>
  <c r="I46" i="46"/>
  <c r="G83" i="46"/>
  <c r="G84" i="46" s="1"/>
  <c r="G46" i="46"/>
  <c r="F83" i="46"/>
  <c r="F84" i="46" s="1"/>
  <c r="F46" i="46"/>
  <c r="Z44" i="46"/>
  <c r="AD41" i="46"/>
  <c r="AD44" i="46" s="1"/>
  <c r="E45" i="46"/>
  <c r="Q44" i="46"/>
  <c r="Z38" i="46"/>
  <c r="AD35" i="46"/>
  <c r="AD38" i="46" s="1"/>
  <c r="Q38" i="46"/>
  <c r="Z34" i="46"/>
  <c r="AD28" i="46"/>
  <c r="AD34" i="46" s="1"/>
  <c r="Q34" i="46"/>
  <c r="P84" i="46"/>
  <c r="O84" i="46"/>
  <c r="N82" i="46"/>
  <c r="N27" i="46"/>
  <c r="AB82" i="46"/>
  <c r="AB84" i="46" s="1"/>
  <c r="AB46" i="46"/>
  <c r="AB27" i="46"/>
  <c r="K82" i="46"/>
  <c r="K84" i="46" s="1"/>
  <c r="K46" i="46"/>
  <c r="K27" i="46"/>
  <c r="J84" i="46"/>
  <c r="AA82" i="46"/>
  <c r="AA84" i="46" s="1"/>
  <c r="AA27" i="46"/>
  <c r="H82" i="46"/>
  <c r="H46" i="46"/>
  <c r="H27" i="46"/>
  <c r="Z22" i="46"/>
  <c r="Z26" i="46" s="1"/>
  <c r="AD18" i="46"/>
  <c r="AD22" i="46" s="1"/>
  <c r="AD26" i="46" s="1"/>
  <c r="E26" i="46"/>
  <c r="E82" i="46" s="1"/>
  <c r="Q22" i="46"/>
  <c r="X77" i="46"/>
  <c r="X76" i="46"/>
  <c r="X75" i="46"/>
  <c r="X74" i="46"/>
  <c r="X73" i="46"/>
  <c r="X72" i="46"/>
  <c r="X71" i="46"/>
  <c r="X70" i="46"/>
  <c r="X69" i="46"/>
  <c r="X68" i="46"/>
  <c r="X67" i="46"/>
  <c r="X66" i="46"/>
  <c r="X65" i="46"/>
  <c r="X64" i="46"/>
  <c r="X63" i="46"/>
  <c r="X62" i="46"/>
  <c r="X59" i="46"/>
  <c r="X58" i="46"/>
  <c r="X54" i="46"/>
  <c r="X43" i="46"/>
  <c r="X41" i="46"/>
  <c r="X37" i="46"/>
  <c r="X36" i="46"/>
  <c r="X35" i="46"/>
  <c r="X33" i="46"/>
  <c r="X32" i="46"/>
  <c r="X31" i="46"/>
  <c r="X30" i="46"/>
  <c r="X29" i="46"/>
  <c r="X28" i="46"/>
  <c r="X25" i="46"/>
  <c r="X21" i="46"/>
  <c r="X18" i="46"/>
  <c r="X13" i="46"/>
  <c r="X12" i="46"/>
  <c r="X11" i="46"/>
  <c r="X10" i="46"/>
  <c r="X9" i="46"/>
  <c r="X8" i="46"/>
  <c r="X7" i="46"/>
  <c r="X6" i="46"/>
  <c r="S77" i="46"/>
  <c r="S76" i="46"/>
  <c r="S75" i="46"/>
  <c r="S74" i="46"/>
  <c r="S73" i="46"/>
  <c r="S72" i="46"/>
  <c r="S71" i="46"/>
  <c r="S70" i="46"/>
  <c r="S69" i="46"/>
  <c r="S68" i="46"/>
  <c r="S67" i="46"/>
  <c r="S66" i="46"/>
  <c r="S65" i="46"/>
  <c r="S64" i="46"/>
  <c r="S63" i="46"/>
  <c r="S62" i="46"/>
  <c r="S60" i="46"/>
  <c r="S59" i="46"/>
  <c r="S58" i="46"/>
  <c r="S56" i="46"/>
  <c r="S54" i="46"/>
  <c r="S43" i="46"/>
  <c r="S41" i="46"/>
  <c r="S37" i="46"/>
  <c r="S36" i="46"/>
  <c r="S35" i="46"/>
  <c r="S33" i="46"/>
  <c r="S32" i="46"/>
  <c r="S31" i="46"/>
  <c r="S30" i="46"/>
  <c r="S29" i="46"/>
  <c r="S28" i="46"/>
  <c r="S25" i="46"/>
  <c r="S21" i="46"/>
  <c r="S18" i="46"/>
  <c r="S13" i="46"/>
  <c r="S12" i="46"/>
  <c r="S11" i="46"/>
  <c r="S10" i="46"/>
  <c r="S9" i="46"/>
  <c r="S8" i="46"/>
  <c r="S7" i="46"/>
  <c r="S6" i="46"/>
  <c r="T5" i="46"/>
  <c r="S3" i="46"/>
  <c r="CE37" i="5" l="1"/>
  <c r="AA46" i="46"/>
  <c r="AC82" i="46"/>
  <c r="H84" i="46"/>
  <c r="N46" i="46"/>
  <c r="N84" i="46"/>
  <c r="CE67" i="5"/>
  <c r="CE68" i="5"/>
  <c r="CE69" i="5"/>
  <c r="CE70" i="5"/>
  <c r="CE7" i="5"/>
  <c r="CE8" i="5"/>
  <c r="CE9" i="5"/>
  <c r="CE10" i="5"/>
  <c r="CE11" i="5"/>
  <c r="CE12" i="5"/>
  <c r="CE13" i="5"/>
  <c r="CE14" i="5"/>
  <c r="CE19" i="5"/>
  <c r="CE22" i="5"/>
  <c r="CE26" i="5"/>
  <c r="CE29" i="5"/>
  <c r="CE30" i="5"/>
  <c r="CE31" i="5"/>
  <c r="CE32" i="5"/>
  <c r="CE34" i="5"/>
  <c r="CE36" i="5"/>
  <c r="CE38" i="5"/>
  <c r="CE42" i="5"/>
  <c r="CE44" i="5"/>
  <c r="CE55" i="5"/>
  <c r="CE57" i="5"/>
  <c r="CE59" i="5"/>
  <c r="CE60" i="5"/>
  <c r="CE63" i="5"/>
  <c r="CE64" i="5"/>
  <c r="CE65" i="5"/>
  <c r="CE66" i="5"/>
  <c r="CE71" i="5"/>
  <c r="CE72" i="5"/>
  <c r="CE73" i="5"/>
  <c r="CE74" i="5"/>
  <c r="CE75" i="5"/>
  <c r="CE76" i="5"/>
  <c r="CM23" i="5"/>
  <c r="CM35" i="5"/>
  <c r="CM39" i="5"/>
  <c r="CM45" i="5"/>
  <c r="AC45" i="46"/>
  <c r="X22" i="46"/>
  <c r="X26" i="46" s="1"/>
  <c r="X27" i="46" s="1"/>
  <c r="X34" i="46"/>
  <c r="X38" i="46"/>
  <c r="X44" i="46"/>
  <c r="X45" i="46" s="1"/>
  <c r="CE23" i="5"/>
  <c r="CE45" i="5"/>
  <c r="T77" i="46"/>
  <c r="T76" i="46"/>
  <c r="T75" i="46"/>
  <c r="T74" i="46"/>
  <c r="T73" i="46"/>
  <c r="T72" i="46"/>
  <c r="T71" i="46"/>
  <c r="T70" i="46"/>
  <c r="T69" i="46"/>
  <c r="T68" i="46"/>
  <c r="T67" i="46"/>
  <c r="T66" i="46"/>
  <c r="T65" i="46"/>
  <c r="T64" i="46"/>
  <c r="T63" i="46"/>
  <c r="T62" i="46"/>
  <c r="T60" i="46"/>
  <c r="T59" i="46"/>
  <c r="T58" i="46"/>
  <c r="T56" i="46"/>
  <c r="T54" i="46"/>
  <c r="T43" i="46"/>
  <c r="T41" i="46"/>
  <c r="T37" i="46"/>
  <c r="T36" i="46"/>
  <c r="T35" i="46"/>
  <c r="T33" i="46"/>
  <c r="T32" i="46"/>
  <c r="T31" i="46"/>
  <c r="T30" i="46"/>
  <c r="T29" i="46"/>
  <c r="T28" i="46"/>
  <c r="T25" i="46"/>
  <c r="T21" i="46"/>
  <c r="T18" i="46"/>
  <c r="T13" i="46"/>
  <c r="T12" i="46"/>
  <c r="T11" i="46"/>
  <c r="T10" i="46"/>
  <c r="T9" i="46"/>
  <c r="T8" i="46"/>
  <c r="T7" i="46"/>
  <c r="T6" i="46"/>
  <c r="U5" i="46"/>
  <c r="T3" i="46"/>
  <c r="CF37" i="5" s="1"/>
  <c r="S22" i="46"/>
  <c r="S26" i="46" s="1"/>
  <c r="S34" i="46"/>
  <c r="S38" i="46"/>
  <c r="S44" i="46"/>
  <c r="E46" i="46"/>
  <c r="E81" i="46" s="1"/>
  <c r="E27" i="46"/>
  <c r="Q26" i="46"/>
  <c r="AD82" i="46"/>
  <c r="AD27" i="46"/>
  <c r="Z82" i="46"/>
  <c r="Z27" i="46"/>
  <c r="H81" i="46"/>
  <c r="H47" i="46"/>
  <c r="AA81" i="46"/>
  <c r="AA47" i="46"/>
  <c r="K81" i="46"/>
  <c r="K47" i="46"/>
  <c r="AB81" i="46"/>
  <c r="AB47" i="46"/>
  <c r="N81" i="46"/>
  <c r="N47" i="46"/>
  <c r="E83" i="46"/>
  <c r="Q45" i="46"/>
  <c r="Q83" i="46" s="1"/>
  <c r="AD45" i="46"/>
  <c r="Z45" i="46"/>
  <c r="F81" i="46"/>
  <c r="F47" i="46"/>
  <c r="G81" i="46"/>
  <c r="G47" i="46"/>
  <c r="I81" i="46"/>
  <c r="I47" i="46"/>
  <c r="J81" i="46"/>
  <c r="J47" i="46"/>
  <c r="L81" i="46"/>
  <c r="L47" i="46"/>
  <c r="M81" i="46"/>
  <c r="M47" i="46"/>
  <c r="O81" i="46"/>
  <c r="O47" i="46"/>
  <c r="P81" i="46"/>
  <c r="P47" i="46"/>
  <c r="X82" i="46" l="1"/>
  <c r="CE61" i="5"/>
  <c r="CE39" i="5"/>
  <c r="S45" i="46"/>
  <c r="S83" i="46" s="1"/>
  <c r="CF7" i="5"/>
  <c r="CF8" i="5"/>
  <c r="CF9" i="5"/>
  <c r="CF10" i="5"/>
  <c r="CF11" i="5"/>
  <c r="CF12" i="5"/>
  <c r="CF13" i="5"/>
  <c r="CF14" i="5"/>
  <c r="CF19" i="5"/>
  <c r="CF22" i="5"/>
  <c r="CF26" i="5"/>
  <c r="CF30" i="5"/>
  <c r="CF31" i="5"/>
  <c r="CF32" i="5"/>
  <c r="CF34" i="5"/>
  <c r="CF38" i="5"/>
  <c r="CF42" i="5"/>
  <c r="CF44" i="5"/>
  <c r="CF55" i="5"/>
  <c r="CF57" i="5"/>
  <c r="CF59" i="5"/>
  <c r="CF60" i="5"/>
  <c r="CF63" i="5"/>
  <c r="CF64" i="5"/>
  <c r="CF65" i="5"/>
  <c r="CF66" i="5"/>
  <c r="CF67" i="5"/>
  <c r="CF68" i="5"/>
  <c r="CF69" i="5"/>
  <c r="CF70" i="5"/>
  <c r="CF71" i="5"/>
  <c r="CF72" i="5"/>
  <c r="CF73" i="5"/>
  <c r="CF74" i="5"/>
  <c r="CF75" i="5"/>
  <c r="CF76" i="5"/>
  <c r="AC83" i="46"/>
  <c r="AC84" i="46" s="1"/>
  <c r="AC46" i="46"/>
  <c r="CM46" i="5"/>
  <c r="CM27" i="5"/>
  <c r="T22" i="46"/>
  <c r="T26" i="46" s="1"/>
  <c r="T82" i="46" s="1"/>
  <c r="T34" i="46"/>
  <c r="CF29" i="5"/>
  <c r="T38" i="46"/>
  <c r="CF36" i="5"/>
  <c r="T44" i="46"/>
  <c r="CE27" i="5"/>
  <c r="Z83" i="46"/>
  <c r="Z46" i="46"/>
  <c r="AD83" i="46"/>
  <c r="AD46" i="46"/>
  <c r="Z84" i="46"/>
  <c r="AD84" i="46"/>
  <c r="Q82" i="46"/>
  <c r="Q84" i="46" s="1"/>
  <c r="Q27" i="46"/>
  <c r="E47" i="46"/>
  <c r="Q46" i="46"/>
  <c r="E84" i="46"/>
  <c r="X83" i="46"/>
  <c r="X46" i="46"/>
  <c r="X84" i="46"/>
  <c r="S82" i="46"/>
  <c r="S84" i="46" s="1"/>
  <c r="S46" i="46"/>
  <c r="S27" i="46"/>
  <c r="U77" i="46"/>
  <c r="V77" i="46" s="1"/>
  <c r="U76" i="46"/>
  <c r="V76" i="46" s="1"/>
  <c r="U75" i="46"/>
  <c r="U74" i="46"/>
  <c r="U73" i="46"/>
  <c r="U72" i="46"/>
  <c r="U71" i="46"/>
  <c r="U70" i="46"/>
  <c r="U69" i="46"/>
  <c r="U68" i="46"/>
  <c r="U67" i="46"/>
  <c r="U66" i="46"/>
  <c r="U65" i="46"/>
  <c r="U64" i="46"/>
  <c r="U63" i="46"/>
  <c r="U62" i="46"/>
  <c r="U60" i="46"/>
  <c r="U59" i="46"/>
  <c r="U58" i="46"/>
  <c r="U56" i="46"/>
  <c r="U54" i="46"/>
  <c r="U43" i="46"/>
  <c r="U41" i="46"/>
  <c r="U37" i="46"/>
  <c r="U36" i="46"/>
  <c r="V36" i="46" s="1"/>
  <c r="U35" i="46"/>
  <c r="U33" i="46"/>
  <c r="U32" i="46"/>
  <c r="V32" i="46" s="1"/>
  <c r="U31" i="46"/>
  <c r="U30" i="46"/>
  <c r="U29" i="46"/>
  <c r="U28" i="46"/>
  <c r="U25" i="46"/>
  <c r="U21" i="46"/>
  <c r="U18" i="46"/>
  <c r="U13" i="46"/>
  <c r="U12" i="46"/>
  <c r="U11" i="46"/>
  <c r="U10" i="46"/>
  <c r="U9" i="46"/>
  <c r="U8" i="46"/>
  <c r="U7" i="46"/>
  <c r="U6" i="46"/>
  <c r="U3" i="46"/>
  <c r="CG37" i="5" l="1"/>
  <c r="CH37" i="5" s="1"/>
  <c r="T45" i="46"/>
  <c r="CF61" i="5"/>
  <c r="T27" i="46"/>
  <c r="CG19" i="5"/>
  <c r="CH19" i="5" s="1"/>
  <c r="CG22" i="5"/>
  <c r="CG29" i="5"/>
  <c r="CG36" i="5"/>
  <c r="CH36" i="5" s="1"/>
  <c r="CG42" i="5"/>
  <c r="CH42" i="5" s="1"/>
  <c r="CG44" i="5"/>
  <c r="CG23" i="5"/>
  <c r="C49" i="44"/>
  <c r="CM82" i="5"/>
  <c r="CM28" i="5"/>
  <c r="CM47" i="5"/>
  <c r="C50" i="44"/>
  <c r="CM83" i="5"/>
  <c r="C7" i="44" s="1"/>
  <c r="AC81" i="46"/>
  <c r="AC47" i="46"/>
  <c r="V21" i="46"/>
  <c r="V25" i="46"/>
  <c r="CG26" i="5"/>
  <c r="V29" i="46"/>
  <c r="CG30" i="5"/>
  <c r="V30" i="46"/>
  <c r="CG31" i="5"/>
  <c r="V31" i="46"/>
  <c r="CG32" i="5"/>
  <c r="V33" i="46"/>
  <c r="CG34" i="5"/>
  <c r="V37" i="46"/>
  <c r="CG38" i="5"/>
  <c r="V43" i="46"/>
  <c r="V54" i="46"/>
  <c r="CG55" i="5"/>
  <c r="V58" i="46"/>
  <c r="CG59" i="5"/>
  <c r="V59" i="46"/>
  <c r="CG60" i="5"/>
  <c r="CE82" i="5"/>
  <c r="CE28" i="5"/>
  <c r="CF45" i="5"/>
  <c r="CF39" i="5"/>
  <c r="CF35" i="5"/>
  <c r="CH29" i="5"/>
  <c r="CF23" i="5"/>
  <c r="V6" i="46"/>
  <c r="CG7" i="5"/>
  <c r="V7" i="46"/>
  <c r="CG8" i="5"/>
  <c r="V8" i="46"/>
  <c r="CG9" i="5"/>
  <c r="V9" i="46"/>
  <c r="CG10" i="5"/>
  <c r="V10" i="46"/>
  <c r="CG11" i="5"/>
  <c r="V11" i="46"/>
  <c r="CG12" i="5"/>
  <c r="V12" i="46"/>
  <c r="CG13" i="5"/>
  <c r="V13" i="46"/>
  <c r="CG14" i="5"/>
  <c r="V56" i="46"/>
  <c r="CG57" i="5"/>
  <c r="V62" i="46"/>
  <c r="CG63" i="5"/>
  <c r="V63" i="46"/>
  <c r="CG64" i="5"/>
  <c r="V64" i="46"/>
  <c r="CG65" i="5"/>
  <c r="V65" i="46"/>
  <c r="CG66" i="5"/>
  <c r="V66" i="46"/>
  <c r="CG67" i="5"/>
  <c r="V67" i="46"/>
  <c r="CG68" i="5"/>
  <c r="V68" i="46"/>
  <c r="CG69" i="5"/>
  <c r="V69" i="46"/>
  <c r="CG70" i="5"/>
  <c r="V70" i="46"/>
  <c r="CG71" i="5"/>
  <c r="V71" i="46"/>
  <c r="CG72" i="5"/>
  <c r="V72" i="46"/>
  <c r="CG73" i="5"/>
  <c r="V73" i="46"/>
  <c r="CG74" i="5"/>
  <c r="V74" i="46"/>
  <c r="CG75" i="5"/>
  <c r="CH75" i="5" s="1"/>
  <c r="V75" i="46"/>
  <c r="CG76" i="5"/>
  <c r="T83" i="46"/>
  <c r="T84" i="46" s="1"/>
  <c r="T46" i="46"/>
  <c r="U22" i="46"/>
  <c r="U26" i="46" s="1"/>
  <c r="V18" i="46"/>
  <c r="U34" i="46"/>
  <c r="V28" i="46"/>
  <c r="U38" i="46"/>
  <c r="V35" i="46"/>
  <c r="U44" i="46"/>
  <c r="V41" i="46"/>
  <c r="V60" i="46"/>
  <c r="X60" i="46" s="1"/>
  <c r="S81" i="46"/>
  <c r="S47" i="46"/>
  <c r="X81" i="46"/>
  <c r="X47" i="46"/>
  <c r="Q81" i="46"/>
  <c r="Q47" i="46"/>
  <c r="AD81" i="46"/>
  <c r="AD47" i="46"/>
  <c r="Z81" i="46"/>
  <c r="Z47" i="46"/>
  <c r="V44" i="46" l="1"/>
  <c r="V38" i="46"/>
  <c r="U45" i="46"/>
  <c r="U83" i="46" s="1"/>
  <c r="V34" i="46"/>
  <c r="V45" i="46" s="1"/>
  <c r="V22" i="46"/>
  <c r="V26" i="46" s="1"/>
  <c r="B55" i="44"/>
  <c r="CM81" i="5"/>
  <c r="CM48" i="5"/>
  <c r="C6" i="44"/>
  <c r="CM84" i="5"/>
  <c r="CH74" i="5"/>
  <c r="CH73" i="5"/>
  <c r="CH71" i="5"/>
  <c r="CH70" i="5"/>
  <c r="CH69" i="5"/>
  <c r="CH68" i="5"/>
  <c r="CH67" i="5"/>
  <c r="CH66" i="5"/>
  <c r="CH57" i="5"/>
  <c r="CH14" i="5"/>
  <c r="CH13" i="5"/>
  <c r="CH12" i="5"/>
  <c r="CH11" i="5"/>
  <c r="CH10" i="5"/>
  <c r="CH9" i="5"/>
  <c r="CH8" i="5"/>
  <c r="CH7" i="5"/>
  <c r="CH26" i="5"/>
  <c r="CF27" i="5"/>
  <c r="CF46" i="5"/>
  <c r="CH60" i="5"/>
  <c r="CG61" i="5"/>
  <c r="CH59" i="5"/>
  <c r="CH55" i="5"/>
  <c r="CH44" i="5"/>
  <c r="CG45" i="5"/>
  <c r="CH38" i="5"/>
  <c r="CG39" i="5"/>
  <c r="CH34" i="5"/>
  <c r="CH32" i="5"/>
  <c r="CH31" i="5"/>
  <c r="CH30" i="5"/>
  <c r="CG35" i="5"/>
  <c r="CH22" i="5"/>
  <c r="CH76" i="5"/>
  <c r="CH72" i="5"/>
  <c r="CH65" i="5"/>
  <c r="CH64" i="5"/>
  <c r="CH63" i="5"/>
  <c r="V82" i="46"/>
  <c r="V27" i="46"/>
  <c r="U82" i="46"/>
  <c r="U84" i="46" s="1"/>
  <c r="U27" i="46"/>
  <c r="T81" i="46"/>
  <c r="T47" i="46"/>
  <c r="V83" i="46" l="1"/>
  <c r="V46" i="46"/>
  <c r="V84" i="46"/>
  <c r="U46" i="46"/>
  <c r="B12" i="49"/>
  <c r="CG27" i="5"/>
  <c r="CH23" i="5"/>
  <c r="CH39" i="5"/>
  <c r="CG46" i="5"/>
  <c r="CH45" i="5"/>
  <c r="CH61" i="5"/>
  <c r="CF83" i="5"/>
  <c r="CF47" i="5"/>
  <c r="CF28" i="5"/>
  <c r="CF82" i="5"/>
  <c r="U81" i="46"/>
  <c r="U47" i="46"/>
  <c r="V81" i="46"/>
  <c r="V47" i="46"/>
  <c r="CF84" i="5" l="1"/>
  <c r="CH27" i="5"/>
  <c r="CH28" i="5" s="1"/>
  <c r="CF81" i="5"/>
  <c r="CF48" i="5"/>
  <c r="CG83" i="5"/>
  <c r="CG47" i="5"/>
  <c r="CG28" i="5"/>
  <c r="CG82" i="5"/>
  <c r="AU59" i="5"/>
  <c r="C48" i="49" l="1"/>
  <c r="CG84" i="5"/>
  <c r="CH82" i="5"/>
  <c r="CG48" i="5"/>
  <c r="CG81" i="5"/>
  <c r="C6" i="49" l="1"/>
  <c r="AU63" i="5" l="1"/>
  <c r="AU36" i="5" l="1"/>
  <c r="Q26" i="34" l="1"/>
  <c r="S26" i="34"/>
  <c r="Q27" i="34"/>
  <c r="S27" i="34"/>
  <c r="AD54" i="34" l="1"/>
  <c r="AK66" i="34" l="1"/>
  <c r="M71" i="34" l="1"/>
  <c r="M70" i="34"/>
  <c r="H65" i="34"/>
  <c r="M69" i="34" s="1"/>
  <c r="L19" i="22" l="1"/>
  <c r="P77" i="29" l="1"/>
  <c r="O77" i="29"/>
  <c r="N77" i="29"/>
  <c r="M77" i="29"/>
  <c r="L77" i="29"/>
  <c r="K77" i="29"/>
  <c r="J77" i="29"/>
  <c r="I77" i="29"/>
  <c r="H77" i="29"/>
  <c r="G77" i="29"/>
  <c r="F77" i="29"/>
  <c r="E77" i="29"/>
  <c r="P76" i="29"/>
  <c r="O76" i="29"/>
  <c r="N76" i="29"/>
  <c r="M76" i="29"/>
  <c r="L76" i="29"/>
  <c r="K76" i="29"/>
  <c r="J76" i="29"/>
  <c r="I76" i="29"/>
  <c r="H76" i="29"/>
  <c r="G76" i="29"/>
  <c r="F76" i="29"/>
  <c r="E76" i="29"/>
  <c r="P75" i="29"/>
  <c r="O75" i="29"/>
  <c r="N75" i="29"/>
  <c r="M75" i="29"/>
  <c r="L75" i="29"/>
  <c r="K75" i="29"/>
  <c r="J75" i="29"/>
  <c r="I75" i="29"/>
  <c r="H75" i="29"/>
  <c r="G75" i="29"/>
  <c r="F75" i="29"/>
  <c r="E75" i="29"/>
  <c r="P73" i="29"/>
  <c r="O73" i="29"/>
  <c r="N73" i="29"/>
  <c r="M73" i="29"/>
  <c r="L73" i="29"/>
  <c r="K73" i="29"/>
  <c r="J73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P70" i="29"/>
  <c r="O70" i="29"/>
  <c r="N70" i="29"/>
  <c r="M70" i="29"/>
  <c r="L70" i="29"/>
  <c r="K70" i="29"/>
  <c r="J70" i="29"/>
  <c r="I70" i="29"/>
  <c r="H70" i="29"/>
  <c r="G70" i="29"/>
  <c r="F70" i="29"/>
  <c r="E70" i="29"/>
  <c r="P69" i="29"/>
  <c r="P68" i="29" s="1"/>
  <c r="O69" i="29"/>
  <c r="O68" i="29" s="1"/>
  <c r="N69" i="29"/>
  <c r="N68" i="29" s="1"/>
  <c r="M69" i="29"/>
  <c r="M68" i="29" s="1"/>
  <c r="L69" i="29"/>
  <c r="L68" i="29" s="1"/>
  <c r="K69" i="29"/>
  <c r="K68" i="29" s="1"/>
  <c r="J69" i="29"/>
  <c r="J68" i="29" s="1"/>
  <c r="I69" i="29"/>
  <c r="H69" i="29"/>
  <c r="H68" i="29" s="1"/>
  <c r="G69" i="29"/>
  <c r="G68" i="29" s="1"/>
  <c r="F69" i="29"/>
  <c r="E69" i="29"/>
  <c r="E68" i="29" s="1"/>
  <c r="I68" i="29"/>
  <c r="F68" i="29"/>
  <c r="P67" i="29"/>
  <c r="O67" i="29"/>
  <c r="N67" i="29"/>
  <c r="M67" i="29"/>
  <c r="L67" i="29"/>
  <c r="K67" i="29"/>
  <c r="J67" i="29"/>
  <c r="I67" i="29"/>
  <c r="H67" i="29"/>
  <c r="G67" i="29"/>
  <c r="F67" i="29"/>
  <c r="E67" i="29"/>
  <c r="P66" i="29"/>
  <c r="O66" i="29"/>
  <c r="N66" i="29"/>
  <c r="M66" i="29"/>
  <c r="L66" i="29"/>
  <c r="K66" i="29"/>
  <c r="J66" i="29"/>
  <c r="I66" i="29"/>
  <c r="H66" i="29"/>
  <c r="G66" i="29"/>
  <c r="F66" i="29"/>
  <c r="E66" i="29"/>
  <c r="P65" i="29"/>
  <c r="O65" i="29"/>
  <c r="N65" i="29"/>
  <c r="M65" i="29"/>
  <c r="L65" i="29"/>
  <c r="K65" i="29"/>
  <c r="J65" i="29"/>
  <c r="I65" i="29"/>
  <c r="H65" i="29"/>
  <c r="G65" i="29"/>
  <c r="F65" i="29"/>
  <c r="E65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P13" i="29"/>
  <c r="O13" i="29"/>
  <c r="N13" i="29"/>
  <c r="M13" i="29"/>
  <c r="L13" i="29"/>
  <c r="K13" i="29"/>
  <c r="J13" i="29"/>
  <c r="I13" i="29"/>
  <c r="H13" i="29"/>
  <c r="G13" i="29"/>
  <c r="F13" i="29"/>
  <c r="E13" i="29"/>
  <c r="P12" i="29"/>
  <c r="O12" i="29"/>
  <c r="N12" i="29"/>
  <c r="M12" i="29"/>
  <c r="L12" i="29"/>
  <c r="K12" i="29"/>
  <c r="J12" i="29"/>
  <c r="I12" i="29"/>
  <c r="H12" i="29"/>
  <c r="G12" i="29"/>
  <c r="F12" i="29"/>
  <c r="E12" i="29"/>
  <c r="P11" i="29"/>
  <c r="O11" i="29"/>
  <c r="N11" i="29"/>
  <c r="M11" i="29"/>
  <c r="L11" i="29"/>
  <c r="K11" i="29"/>
  <c r="J11" i="29"/>
  <c r="I11" i="29"/>
  <c r="H11" i="29"/>
  <c r="G11" i="29"/>
  <c r="F11" i="29"/>
  <c r="E11" i="29"/>
  <c r="P10" i="29"/>
  <c r="O10" i="29"/>
  <c r="N10" i="29"/>
  <c r="M10" i="29"/>
  <c r="L10" i="29"/>
  <c r="K10" i="29"/>
  <c r="J10" i="29"/>
  <c r="I10" i="29"/>
  <c r="H10" i="29"/>
  <c r="G10" i="29"/>
  <c r="F10" i="29"/>
  <c r="E10" i="29"/>
  <c r="P9" i="29"/>
  <c r="O9" i="29"/>
  <c r="N9" i="29"/>
  <c r="M9" i="29"/>
  <c r="L9" i="29"/>
  <c r="K9" i="29"/>
  <c r="J9" i="29"/>
  <c r="I9" i="29"/>
  <c r="H9" i="29"/>
  <c r="G9" i="29"/>
  <c r="F9" i="29"/>
  <c r="E9" i="29"/>
  <c r="P8" i="29"/>
  <c r="O8" i="29"/>
  <c r="N8" i="29"/>
  <c r="M8" i="29"/>
  <c r="L8" i="29"/>
  <c r="K8" i="29"/>
  <c r="J8" i="29"/>
  <c r="I8" i="29"/>
  <c r="H8" i="29"/>
  <c r="G8" i="29"/>
  <c r="F8" i="29"/>
  <c r="E8" i="29"/>
  <c r="P7" i="29"/>
  <c r="O7" i="29"/>
  <c r="N7" i="29"/>
  <c r="M7" i="29"/>
  <c r="L7" i="29"/>
  <c r="K7" i="29"/>
  <c r="J7" i="29"/>
  <c r="I7" i="29"/>
  <c r="H7" i="29"/>
  <c r="G7" i="29"/>
  <c r="F7" i="29"/>
  <c r="E7" i="29"/>
  <c r="P6" i="29"/>
  <c r="O6" i="29"/>
  <c r="N6" i="29"/>
  <c r="M6" i="29"/>
  <c r="L6" i="29"/>
  <c r="K6" i="29"/>
  <c r="J6" i="29"/>
  <c r="I6" i="29"/>
  <c r="H6" i="29"/>
  <c r="G6" i="29"/>
  <c r="F6" i="29"/>
  <c r="E6" i="29"/>
  <c r="N45" i="42" l="1"/>
  <c r="E36" i="42"/>
  <c r="D36" i="42"/>
  <c r="E34" i="42"/>
  <c r="D34" i="42"/>
  <c r="E33" i="42"/>
  <c r="D33" i="42"/>
  <c r="AA20" i="42"/>
  <c r="E12" i="42"/>
  <c r="O9" i="42"/>
  <c r="L9" i="42"/>
  <c r="K9" i="42"/>
  <c r="J9" i="42" s="1"/>
  <c r="K4" i="42"/>
  <c r="AA24" i="34" l="1"/>
  <c r="Y24" i="34"/>
  <c r="S30" i="34"/>
  <c r="Q30" i="34"/>
  <c r="S29" i="34"/>
  <c r="Q29" i="34"/>
  <c r="S28" i="34"/>
  <c r="Q28" i="34"/>
  <c r="Q25" i="34"/>
  <c r="Z53" i="27" l="1"/>
  <c r="Z44" i="27"/>
  <c r="J28" i="34" l="1"/>
  <c r="J24" i="34"/>
  <c r="L61" i="34" l="1"/>
  <c r="K61" i="34"/>
  <c r="J61" i="34"/>
  <c r="I61" i="34" l="1"/>
  <c r="M61" i="34" l="1"/>
  <c r="M65" i="34" s="1"/>
  <c r="F53" i="5" l="1"/>
  <c r="M61" i="42" l="1"/>
  <c r="Z62" i="11" l="1"/>
  <c r="S78" i="12" l="1"/>
  <c r="AC62" i="12"/>
  <c r="Z62" i="12"/>
  <c r="Y62" i="12"/>
  <c r="U62" i="12"/>
  <c r="R61" i="12"/>
  <c r="F61" i="12"/>
  <c r="E61" i="12"/>
  <c r="C61" i="12"/>
  <c r="E57" i="12"/>
  <c r="E56" i="12"/>
  <c r="G55" i="12"/>
  <c r="E55" i="12"/>
  <c r="N47" i="12"/>
  <c r="S76" i="9"/>
  <c r="U63" i="9"/>
  <c r="AC62" i="9"/>
  <c r="Z62" i="9"/>
  <c r="Y62" i="9"/>
  <c r="U62" i="9"/>
  <c r="R61" i="9"/>
  <c r="F61" i="9"/>
  <c r="E61" i="9"/>
  <c r="C61" i="9"/>
  <c r="E57" i="9"/>
  <c r="E56" i="9"/>
  <c r="G55" i="9"/>
  <c r="E55" i="9"/>
  <c r="R46" i="9"/>
  <c r="Y56" i="42" l="1"/>
  <c r="X56" i="42" s="1"/>
  <c r="Y55" i="42"/>
  <c r="X55" i="42" s="1"/>
  <c r="S66" i="11"/>
  <c r="AC62" i="11"/>
  <c r="Y62" i="11"/>
  <c r="U62" i="11"/>
  <c r="R61" i="11"/>
  <c r="F61" i="11"/>
  <c r="E61" i="11"/>
  <c r="C61" i="11"/>
  <c r="E57" i="11"/>
  <c r="Y56" i="11"/>
  <c r="X56" i="11" s="1"/>
  <c r="E56" i="11"/>
  <c r="Y55" i="11"/>
  <c r="X55" i="11"/>
  <c r="G55" i="11"/>
  <c r="E55" i="11"/>
  <c r="P44" i="11"/>
  <c r="S74" i="42"/>
  <c r="AC62" i="42"/>
  <c r="Z62" i="42"/>
  <c r="Y62" i="42" s="1"/>
  <c r="U62" i="42"/>
  <c r="R61" i="42"/>
  <c r="F61" i="42"/>
  <c r="E61" i="42"/>
  <c r="C61" i="42"/>
  <c r="E57" i="42"/>
  <c r="E56" i="42"/>
  <c r="G55" i="42"/>
  <c r="E55" i="42"/>
  <c r="S45" i="42"/>
  <c r="P47" i="11"/>
  <c r="AF31" i="2" l="1"/>
  <c r="P77" i="2"/>
  <c r="O77" i="2"/>
  <c r="N77" i="2"/>
  <c r="M77" i="2"/>
  <c r="L77" i="2"/>
  <c r="K77" i="2"/>
  <c r="J77" i="2"/>
  <c r="I77" i="2"/>
  <c r="H77" i="2"/>
  <c r="G77" i="2"/>
  <c r="F77" i="2"/>
  <c r="E77" i="2"/>
  <c r="P76" i="2"/>
  <c r="O76" i="2"/>
  <c r="N76" i="2"/>
  <c r="M76" i="2"/>
  <c r="L76" i="2"/>
  <c r="K76" i="2"/>
  <c r="J76" i="2"/>
  <c r="I76" i="2"/>
  <c r="H76" i="2"/>
  <c r="G76" i="2"/>
  <c r="F76" i="2"/>
  <c r="E76" i="2"/>
  <c r="P75" i="2"/>
  <c r="O75" i="2"/>
  <c r="N75" i="2"/>
  <c r="M75" i="2"/>
  <c r="L75" i="2"/>
  <c r="K75" i="2"/>
  <c r="J75" i="2"/>
  <c r="I75" i="2"/>
  <c r="H75" i="2"/>
  <c r="G75" i="2"/>
  <c r="F75" i="2"/>
  <c r="E75" i="2"/>
  <c r="C5" i="2"/>
  <c r="N5" i="9"/>
  <c r="N44" i="11"/>
  <c r="V83" i="27"/>
  <c r="E36" i="19"/>
  <c r="E34" i="19"/>
  <c r="E33" i="19"/>
  <c r="E36" i="12"/>
  <c r="E34" i="12"/>
  <c r="E33" i="12"/>
  <c r="E36" i="9"/>
  <c r="E34" i="9"/>
  <c r="E33" i="9"/>
  <c r="E36" i="11"/>
  <c r="E34" i="11"/>
  <c r="E33" i="11"/>
  <c r="V64" i="27"/>
  <c r="S54" i="27"/>
  <c r="AA15" i="27"/>
  <c r="E7" i="27"/>
  <c r="O4" i="27"/>
  <c r="L4" i="27"/>
  <c r="K4" i="27"/>
  <c r="H2" i="31"/>
  <c r="U83" i="36"/>
  <c r="E12" i="36"/>
  <c r="L9" i="36"/>
  <c r="K9" i="36"/>
  <c r="S67" i="37"/>
  <c r="K3" i="37"/>
  <c r="E12" i="38"/>
  <c r="L9" i="38"/>
  <c r="K9" i="38"/>
  <c r="K3" i="38"/>
  <c r="U81" i="39"/>
  <c r="S67" i="39"/>
  <c r="E12" i="39"/>
  <c r="L9" i="39"/>
  <c r="K9" i="39"/>
  <c r="K3" i="39"/>
  <c r="M28" i="34"/>
  <c r="T45" i="43"/>
  <c r="AA20" i="12"/>
  <c r="E12" i="12"/>
  <c r="O9" i="12"/>
  <c r="L9" i="12"/>
  <c r="K9" i="12"/>
  <c r="K4" i="12"/>
  <c r="O46" i="9"/>
  <c r="AA20" i="9"/>
  <c r="E12" i="9"/>
  <c r="L9" i="9"/>
  <c r="K9" i="9"/>
  <c r="J9" i="9"/>
  <c r="E12" i="11"/>
  <c r="L9" i="11"/>
  <c r="K9" i="11"/>
  <c r="L5" i="11"/>
  <c r="AA74" i="42"/>
  <c r="J9" i="12" l="1"/>
  <c r="J4" i="27"/>
  <c r="J9" i="36"/>
  <c r="J9" i="39"/>
  <c r="J9" i="38"/>
  <c r="J9" i="11"/>
  <c r="M61" i="43"/>
  <c r="M61" i="11"/>
  <c r="U94" i="43" l="1"/>
  <c r="U92" i="43"/>
  <c r="AB73" i="43"/>
  <c r="AD54" i="43" l="1"/>
  <c r="H75" i="43" s="1"/>
  <c r="L61" i="43"/>
  <c r="K61" i="43"/>
  <c r="J61" i="43"/>
  <c r="I61" i="43"/>
  <c r="X62" i="43"/>
  <c r="M61" i="12" l="1"/>
  <c r="K61" i="12"/>
  <c r="L61" i="12"/>
  <c r="J61" i="12"/>
  <c r="I61" i="12"/>
  <c r="Q27" i="9" l="1"/>
  <c r="S27" i="9"/>
  <c r="Q26" i="9"/>
  <c r="S26" i="9"/>
  <c r="Q25" i="9"/>
  <c r="Q24" i="9"/>
  <c r="M29" i="9"/>
  <c r="M28" i="9"/>
  <c r="M27" i="9"/>
  <c r="M26" i="9"/>
  <c r="M25" i="9"/>
  <c r="M24" i="9"/>
  <c r="J29" i="9"/>
  <c r="J28" i="9"/>
  <c r="J27" i="9"/>
  <c r="J26" i="9"/>
  <c r="J25" i="9"/>
  <c r="J24" i="9"/>
  <c r="AD54" i="12"/>
  <c r="H78" i="12" s="1"/>
  <c r="AD54" i="9"/>
  <c r="H76" i="9" l="1"/>
  <c r="S29" i="42" l="1"/>
  <c r="S28" i="42"/>
  <c r="S27" i="42"/>
  <c r="S26" i="42"/>
  <c r="M25" i="42"/>
  <c r="M26" i="42"/>
  <c r="M27" i="42"/>
  <c r="M28" i="42"/>
  <c r="M29" i="42"/>
  <c r="J25" i="42"/>
  <c r="J26" i="42"/>
  <c r="J27" i="42"/>
  <c r="J28" i="42"/>
  <c r="J29" i="42"/>
  <c r="Q28" i="11"/>
  <c r="Q27" i="11"/>
  <c r="Q26" i="11"/>
  <c r="Q25" i="11"/>
  <c r="M26" i="11"/>
  <c r="M27" i="11"/>
  <c r="M28" i="11"/>
  <c r="M29" i="11"/>
  <c r="M24" i="11"/>
  <c r="J26" i="11"/>
  <c r="J27" i="11"/>
  <c r="J28" i="11"/>
  <c r="J29" i="11"/>
  <c r="J33" i="11"/>
  <c r="J24" i="11"/>
  <c r="Q24" i="42" l="1"/>
  <c r="F60" i="3"/>
  <c r="G60" i="3"/>
  <c r="E60" i="3"/>
  <c r="E37" i="3"/>
  <c r="E37" i="52" s="1"/>
  <c r="E38" i="52" l="1"/>
  <c r="G37" i="3"/>
  <c r="G37" i="52" s="1"/>
  <c r="G38" i="52" s="1"/>
  <c r="F37" i="3"/>
  <c r="F37" i="52" s="1"/>
  <c r="F38" i="52" l="1"/>
  <c r="Z37" i="52"/>
  <c r="AD54" i="42"/>
  <c r="AD54" i="11"/>
  <c r="X78" i="11"/>
  <c r="M53" i="44"/>
  <c r="J10" i="44" s="1"/>
  <c r="D48" i="44"/>
  <c r="C48" i="44"/>
  <c r="S33" i="44"/>
  <c r="M24" i="44"/>
  <c r="J24" i="44"/>
  <c r="L19" i="44"/>
  <c r="K19" i="44"/>
  <c r="J19" i="44"/>
  <c r="I19" i="44"/>
  <c r="F19" i="44"/>
  <c r="E19" i="44"/>
  <c r="O9" i="44"/>
  <c r="D5" i="44"/>
  <c r="C5" i="44"/>
  <c r="B1" i="44"/>
  <c r="C1" i="44" s="1"/>
  <c r="Z38" i="52" l="1"/>
  <c r="B62" i="44"/>
  <c r="F49" i="44" s="1"/>
  <c r="H74" i="42" l="1"/>
  <c r="J61" i="42"/>
  <c r="K61" i="42"/>
  <c r="L61" i="42"/>
  <c r="I61" i="42"/>
  <c r="J19" i="22" l="1"/>
  <c r="I19" i="22"/>
  <c r="H65" i="11" l="1"/>
  <c r="M19" i="22" l="1"/>
  <c r="E22" i="22" l="1"/>
  <c r="E26" i="22" s="1"/>
  <c r="S24" i="9" l="1"/>
  <c r="G22" i="22" l="1"/>
  <c r="G26" i="22" s="1"/>
  <c r="AC77" i="29" l="1"/>
  <c r="AB77" i="29"/>
  <c r="AA77" i="29"/>
  <c r="AC76" i="29"/>
  <c r="AB76" i="29"/>
  <c r="AA76" i="29"/>
  <c r="AC75" i="29"/>
  <c r="AB75" i="29"/>
  <c r="AA75" i="29"/>
  <c r="AC74" i="29"/>
  <c r="AB74" i="29"/>
  <c r="AA74" i="29"/>
  <c r="Z74" i="29"/>
  <c r="AD74" i="29" s="1"/>
  <c r="Q74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P64" i="29"/>
  <c r="O64" i="29"/>
  <c r="N64" i="29"/>
  <c r="M64" i="29"/>
  <c r="L64" i="29"/>
  <c r="K64" i="29"/>
  <c r="J64" i="29"/>
  <c r="I64" i="29"/>
  <c r="H64" i="29"/>
  <c r="G64" i="29"/>
  <c r="F64" i="29"/>
  <c r="E64" i="29"/>
  <c r="P63" i="29"/>
  <c r="O63" i="29"/>
  <c r="N63" i="29"/>
  <c r="M63" i="29"/>
  <c r="L63" i="29"/>
  <c r="K63" i="29"/>
  <c r="J63" i="29"/>
  <c r="I63" i="29"/>
  <c r="H63" i="29"/>
  <c r="G63" i="29"/>
  <c r="F63" i="29"/>
  <c r="E63" i="29"/>
  <c r="P62" i="29"/>
  <c r="O62" i="29"/>
  <c r="N62" i="29"/>
  <c r="M62" i="29"/>
  <c r="L62" i="29"/>
  <c r="K62" i="29"/>
  <c r="J62" i="29"/>
  <c r="I62" i="29"/>
  <c r="H62" i="29"/>
  <c r="G62" i="29"/>
  <c r="F62" i="29"/>
  <c r="E62" i="29"/>
  <c r="P59" i="29"/>
  <c r="O59" i="29"/>
  <c r="N59" i="29"/>
  <c r="M59" i="29"/>
  <c r="L59" i="29"/>
  <c r="K59" i="29"/>
  <c r="J59" i="29"/>
  <c r="I59" i="29"/>
  <c r="H59" i="29"/>
  <c r="G59" i="29"/>
  <c r="F59" i="29"/>
  <c r="E59" i="29"/>
  <c r="P58" i="29"/>
  <c r="O58" i="29"/>
  <c r="N58" i="29"/>
  <c r="M58" i="29"/>
  <c r="L58" i="29"/>
  <c r="K58" i="29"/>
  <c r="J58" i="29"/>
  <c r="I58" i="29"/>
  <c r="H58" i="29"/>
  <c r="G58" i="29"/>
  <c r="F58" i="29"/>
  <c r="E58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P43" i="29"/>
  <c r="O43" i="29"/>
  <c r="N43" i="29"/>
  <c r="M43" i="29"/>
  <c r="L43" i="29"/>
  <c r="K43" i="29"/>
  <c r="J43" i="29"/>
  <c r="I43" i="29"/>
  <c r="H43" i="29"/>
  <c r="G43" i="29"/>
  <c r="F43" i="29"/>
  <c r="E43" i="29"/>
  <c r="P41" i="29"/>
  <c r="O41" i="29"/>
  <c r="N41" i="29"/>
  <c r="M41" i="29"/>
  <c r="L41" i="29"/>
  <c r="K41" i="29"/>
  <c r="J41" i="29"/>
  <c r="I41" i="29"/>
  <c r="H41" i="29"/>
  <c r="G41" i="29"/>
  <c r="F41" i="29"/>
  <c r="E41" i="29"/>
  <c r="P35" i="29"/>
  <c r="O35" i="29"/>
  <c r="N35" i="29"/>
  <c r="M35" i="29"/>
  <c r="L35" i="29"/>
  <c r="K35" i="29"/>
  <c r="J35" i="29"/>
  <c r="I35" i="29"/>
  <c r="H35" i="29"/>
  <c r="G35" i="29"/>
  <c r="F35" i="29"/>
  <c r="E35" i="29"/>
  <c r="P33" i="29"/>
  <c r="O33" i="29"/>
  <c r="N33" i="29"/>
  <c r="M33" i="29"/>
  <c r="L33" i="29"/>
  <c r="K33" i="29"/>
  <c r="J33" i="29"/>
  <c r="I33" i="29"/>
  <c r="H33" i="29"/>
  <c r="G33" i="29"/>
  <c r="F33" i="29"/>
  <c r="E33" i="29"/>
  <c r="P32" i="29"/>
  <c r="O32" i="29"/>
  <c r="N32" i="29"/>
  <c r="M32" i="29"/>
  <c r="L32" i="29"/>
  <c r="K32" i="29"/>
  <c r="J32" i="29"/>
  <c r="I32" i="29"/>
  <c r="H32" i="29"/>
  <c r="G32" i="29"/>
  <c r="F32" i="29"/>
  <c r="E32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P25" i="29"/>
  <c r="O25" i="29"/>
  <c r="N25" i="29"/>
  <c r="M25" i="29"/>
  <c r="L25" i="29"/>
  <c r="K25" i="29"/>
  <c r="J25" i="29"/>
  <c r="I25" i="29"/>
  <c r="H25" i="29"/>
  <c r="G25" i="29"/>
  <c r="F25" i="29"/>
  <c r="E25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AF74" i="29" l="1"/>
  <c r="Z75" i="29"/>
  <c r="AD75" i="29" s="1"/>
  <c r="Q75" i="29"/>
  <c r="Z76" i="29"/>
  <c r="AD76" i="29" s="1"/>
  <c r="Q76" i="29"/>
  <c r="Z77" i="29"/>
  <c r="AD77" i="29" s="1"/>
  <c r="Q77" i="29"/>
  <c r="M74" i="43" l="1"/>
  <c r="M85" i="43" s="1"/>
  <c r="M52" i="43"/>
  <c r="D47" i="43"/>
  <c r="E36" i="43"/>
  <c r="D36" i="43"/>
  <c r="E34" i="43"/>
  <c r="D34" i="43"/>
  <c r="S33" i="43"/>
  <c r="E33" i="43"/>
  <c r="D33" i="43"/>
  <c r="M25" i="43"/>
  <c r="J25" i="43"/>
  <c r="M24" i="43"/>
  <c r="J24" i="43"/>
  <c r="M19" i="43"/>
  <c r="M23" i="43" s="1"/>
  <c r="M28" i="43" s="1"/>
  <c r="M29" i="43" s="1"/>
  <c r="L19" i="43"/>
  <c r="K19" i="43"/>
  <c r="J19" i="43"/>
  <c r="I19" i="43"/>
  <c r="F19" i="43"/>
  <c r="E19" i="43"/>
  <c r="J10" i="43"/>
  <c r="L9" i="43"/>
  <c r="K9" i="43"/>
  <c r="O9" i="43" s="1"/>
  <c r="D5" i="43"/>
  <c r="C5" i="43"/>
  <c r="B1" i="43"/>
  <c r="C1" i="43" s="1"/>
  <c r="AA76" i="9"/>
  <c r="J9" i="43" l="1"/>
  <c r="B61" i="43"/>
  <c r="F33" i="43"/>
  <c r="F34" i="43"/>
  <c r="F36" i="43"/>
  <c r="F48" i="43"/>
  <c r="AK78" i="12" l="1"/>
  <c r="AK74" i="42" s="1"/>
  <c r="Q92" i="12" l="1"/>
  <c r="Q91" i="12"/>
  <c r="AK76" i="9" l="1"/>
  <c r="S66" i="37" l="1"/>
  <c r="P71" i="2" l="1"/>
  <c r="O71" i="2"/>
  <c r="N71" i="2"/>
  <c r="M71" i="2"/>
  <c r="L71" i="2"/>
  <c r="K71" i="2"/>
  <c r="J71" i="2"/>
  <c r="I71" i="2"/>
  <c r="H71" i="2"/>
  <c r="G71" i="2"/>
  <c r="F71" i="2"/>
  <c r="E71" i="2"/>
  <c r="P64" i="2"/>
  <c r="O64" i="2"/>
  <c r="N64" i="2"/>
  <c r="M64" i="2"/>
  <c r="L64" i="2"/>
  <c r="K64" i="2"/>
  <c r="J64" i="2"/>
  <c r="I64" i="2"/>
  <c r="H64" i="2"/>
  <c r="G64" i="2"/>
  <c r="F64" i="2"/>
  <c r="E64" i="2"/>
  <c r="P63" i="2"/>
  <c r="O63" i="2"/>
  <c r="N63" i="2"/>
  <c r="M63" i="2"/>
  <c r="L63" i="2"/>
  <c r="K63" i="2"/>
  <c r="J63" i="2"/>
  <c r="I63" i="2"/>
  <c r="H63" i="2"/>
  <c r="G63" i="2"/>
  <c r="F63" i="2"/>
  <c r="E63" i="2"/>
  <c r="P62" i="2"/>
  <c r="O62" i="2"/>
  <c r="N62" i="2"/>
  <c r="M62" i="2"/>
  <c r="L62" i="2"/>
  <c r="K62" i="2"/>
  <c r="J62" i="2"/>
  <c r="I62" i="2"/>
  <c r="H62" i="2"/>
  <c r="G62" i="2"/>
  <c r="F62" i="2"/>
  <c r="E62" i="2"/>
  <c r="P59" i="2"/>
  <c r="O59" i="2"/>
  <c r="N59" i="2"/>
  <c r="M59" i="2"/>
  <c r="L59" i="2"/>
  <c r="K59" i="2"/>
  <c r="J59" i="2"/>
  <c r="I59" i="2"/>
  <c r="H59" i="2"/>
  <c r="G59" i="2"/>
  <c r="F59" i="2"/>
  <c r="E59" i="2"/>
  <c r="P58" i="2"/>
  <c r="O58" i="2"/>
  <c r="N58" i="2"/>
  <c r="M58" i="2"/>
  <c r="L58" i="2"/>
  <c r="K58" i="2"/>
  <c r="J58" i="2"/>
  <c r="I58" i="2"/>
  <c r="H58" i="2"/>
  <c r="G58" i="2"/>
  <c r="F58" i="2"/>
  <c r="E58" i="2"/>
  <c r="P54" i="2"/>
  <c r="O54" i="2"/>
  <c r="N54" i="2"/>
  <c r="M54" i="2"/>
  <c r="L54" i="2"/>
  <c r="K54" i="2"/>
  <c r="J54" i="2"/>
  <c r="I54" i="2"/>
  <c r="H54" i="2"/>
  <c r="G54" i="2"/>
  <c r="F54" i="2"/>
  <c r="E54" i="2"/>
  <c r="P43" i="2"/>
  <c r="O43" i="2"/>
  <c r="N43" i="2"/>
  <c r="M43" i="2"/>
  <c r="L43" i="2"/>
  <c r="K43" i="2"/>
  <c r="J43" i="2"/>
  <c r="I43" i="2"/>
  <c r="H43" i="2"/>
  <c r="G43" i="2"/>
  <c r="F43" i="2"/>
  <c r="E43" i="2"/>
  <c r="P41" i="2"/>
  <c r="O41" i="2"/>
  <c r="N41" i="2"/>
  <c r="M41" i="2"/>
  <c r="L41" i="2"/>
  <c r="K41" i="2"/>
  <c r="J41" i="2"/>
  <c r="I41" i="2"/>
  <c r="H41" i="2"/>
  <c r="G41" i="2"/>
  <c r="F41" i="2"/>
  <c r="E41" i="2"/>
  <c r="P35" i="2"/>
  <c r="O35" i="2"/>
  <c r="N35" i="2"/>
  <c r="M35" i="2"/>
  <c r="L35" i="2"/>
  <c r="K35" i="2"/>
  <c r="J35" i="2"/>
  <c r="I35" i="2"/>
  <c r="H35" i="2"/>
  <c r="G35" i="2"/>
  <c r="F35" i="2"/>
  <c r="E35" i="2"/>
  <c r="P33" i="2"/>
  <c r="O33" i="2"/>
  <c r="N33" i="2"/>
  <c r="M33" i="2"/>
  <c r="L33" i="2"/>
  <c r="K33" i="2"/>
  <c r="J33" i="2"/>
  <c r="I33" i="2"/>
  <c r="H33" i="2"/>
  <c r="G33" i="2"/>
  <c r="F33" i="2"/>
  <c r="E33" i="2"/>
  <c r="P32" i="2"/>
  <c r="O32" i="2"/>
  <c r="N32" i="2"/>
  <c r="M32" i="2"/>
  <c r="L32" i="2"/>
  <c r="K32" i="2"/>
  <c r="J32" i="2"/>
  <c r="I32" i="2"/>
  <c r="H32" i="2"/>
  <c r="G32" i="2"/>
  <c r="F32" i="2"/>
  <c r="E32" i="2"/>
  <c r="P31" i="2"/>
  <c r="O31" i="2"/>
  <c r="N31" i="2"/>
  <c r="M31" i="2"/>
  <c r="L31" i="2"/>
  <c r="K31" i="2"/>
  <c r="J31" i="2"/>
  <c r="I31" i="2"/>
  <c r="H31" i="2"/>
  <c r="G31" i="2"/>
  <c r="F31" i="2"/>
  <c r="E31" i="2"/>
  <c r="P30" i="2"/>
  <c r="O30" i="2"/>
  <c r="N30" i="2"/>
  <c r="M30" i="2"/>
  <c r="L30" i="2"/>
  <c r="K30" i="2"/>
  <c r="J30" i="2"/>
  <c r="I30" i="2"/>
  <c r="H30" i="2"/>
  <c r="G30" i="2"/>
  <c r="F30" i="2"/>
  <c r="E30" i="2"/>
  <c r="P29" i="2"/>
  <c r="O29" i="2"/>
  <c r="N29" i="2"/>
  <c r="M29" i="2"/>
  <c r="L29" i="2"/>
  <c r="K29" i="2"/>
  <c r="J29" i="2"/>
  <c r="I29" i="2"/>
  <c r="H29" i="2"/>
  <c r="G29" i="2"/>
  <c r="F29" i="2"/>
  <c r="E29" i="2"/>
  <c r="P28" i="2"/>
  <c r="O28" i="2"/>
  <c r="N28" i="2"/>
  <c r="M28" i="2"/>
  <c r="L28" i="2"/>
  <c r="K28" i="2"/>
  <c r="J28" i="2"/>
  <c r="I28" i="2"/>
  <c r="H28" i="2"/>
  <c r="G28" i="2"/>
  <c r="F28" i="2"/>
  <c r="E28" i="2"/>
  <c r="P25" i="2"/>
  <c r="O25" i="2"/>
  <c r="N25" i="2"/>
  <c r="M25" i="2"/>
  <c r="L25" i="2"/>
  <c r="K25" i="2"/>
  <c r="J25" i="2"/>
  <c r="I25" i="2"/>
  <c r="H25" i="2"/>
  <c r="G25" i="2"/>
  <c r="F25" i="2"/>
  <c r="E25" i="2"/>
  <c r="P21" i="2"/>
  <c r="O21" i="2"/>
  <c r="N21" i="2"/>
  <c r="M21" i="2"/>
  <c r="L21" i="2"/>
  <c r="K21" i="2"/>
  <c r="J21" i="2"/>
  <c r="I21" i="2"/>
  <c r="H21" i="2"/>
  <c r="G21" i="2"/>
  <c r="F21" i="2"/>
  <c r="E21" i="2"/>
  <c r="P18" i="2"/>
  <c r="O18" i="2"/>
  <c r="N18" i="2"/>
  <c r="M18" i="2"/>
  <c r="L18" i="2"/>
  <c r="K18" i="2"/>
  <c r="J18" i="2"/>
  <c r="I18" i="2"/>
  <c r="H18" i="2"/>
  <c r="G18" i="2"/>
  <c r="F18" i="2"/>
  <c r="E18" i="2"/>
  <c r="P54" i="1"/>
  <c r="O54" i="1"/>
  <c r="N54" i="1"/>
  <c r="M54" i="1"/>
  <c r="L54" i="1"/>
  <c r="K54" i="1"/>
  <c r="J54" i="1"/>
  <c r="I54" i="1"/>
  <c r="H54" i="1"/>
  <c r="G54" i="1"/>
  <c r="F54" i="1"/>
  <c r="E54" i="1"/>
  <c r="P71" i="1"/>
  <c r="O71" i="1"/>
  <c r="N71" i="1"/>
  <c r="M71" i="1"/>
  <c r="L71" i="1"/>
  <c r="K71" i="1"/>
  <c r="J71" i="1"/>
  <c r="I71" i="1"/>
  <c r="H71" i="1"/>
  <c r="G71" i="1"/>
  <c r="F71" i="1"/>
  <c r="E71" i="1"/>
  <c r="P64" i="1"/>
  <c r="O64" i="1"/>
  <c r="N64" i="1"/>
  <c r="M64" i="1"/>
  <c r="L64" i="1"/>
  <c r="K64" i="1"/>
  <c r="J64" i="1"/>
  <c r="I64" i="1"/>
  <c r="H64" i="1"/>
  <c r="G64" i="1"/>
  <c r="F64" i="1"/>
  <c r="E64" i="1"/>
  <c r="P63" i="1"/>
  <c r="O63" i="1"/>
  <c r="N63" i="1"/>
  <c r="M63" i="1"/>
  <c r="L63" i="1"/>
  <c r="K63" i="1"/>
  <c r="J63" i="1"/>
  <c r="I63" i="1"/>
  <c r="H63" i="1"/>
  <c r="G63" i="1"/>
  <c r="F63" i="1"/>
  <c r="E63" i="1"/>
  <c r="P62" i="1"/>
  <c r="O62" i="1"/>
  <c r="N62" i="1"/>
  <c r="M62" i="1"/>
  <c r="L62" i="1"/>
  <c r="K62" i="1"/>
  <c r="J62" i="1"/>
  <c r="I62" i="1"/>
  <c r="H62" i="1"/>
  <c r="G62" i="1"/>
  <c r="F62" i="1"/>
  <c r="E62" i="1"/>
  <c r="P59" i="1"/>
  <c r="O59" i="1"/>
  <c r="N59" i="1"/>
  <c r="M59" i="1"/>
  <c r="L59" i="1"/>
  <c r="K59" i="1"/>
  <c r="J59" i="1"/>
  <c r="I59" i="1"/>
  <c r="H59" i="1"/>
  <c r="G59" i="1"/>
  <c r="F59" i="1"/>
  <c r="E59" i="1"/>
  <c r="P58" i="1"/>
  <c r="O58" i="1"/>
  <c r="N58" i="1"/>
  <c r="M58" i="1"/>
  <c r="L58" i="1"/>
  <c r="K58" i="1"/>
  <c r="J58" i="1"/>
  <c r="I58" i="1"/>
  <c r="H58" i="1"/>
  <c r="G58" i="1"/>
  <c r="F58" i="1"/>
  <c r="E58" i="1"/>
  <c r="P43" i="1"/>
  <c r="O43" i="1"/>
  <c r="N43" i="1"/>
  <c r="M43" i="1"/>
  <c r="L43" i="1"/>
  <c r="K43" i="1"/>
  <c r="J43" i="1"/>
  <c r="I43" i="1"/>
  <c r="H43" i="1"/>
  <c r="G43" i="1"/>
  <c r="F43" i="1"/>
  <c r="E43" i="1"/>
  <c r="P41" i="1"/>
  <c r="O41" i="1"/>
  <c r="N41" i="1"/>
  <c r="M41" i="1"/>
  <c r="L41" i="1"/>
  <c r="K41" i="1"/>
  <c r="J41" i="1"/>
  <c r="I41" i="1"/>
  <c r="H41" i="1"/>
  <c r="G41" i="1"/>
  <c r="F41" i="1"/>
  <c r="E41" i="1"/>
  <c r="P35" i="1"/>
  <c r="O35" i="1"/>
  <c r="N35" i="1"/>
  <c r="M35" i="1"/>
  <c r="L35" i="1"/>
  <c r="K35" i="1"/>
  <c r="J35" i="1"/>
  <c r="I35" i="1"/>
  <c r="H35" i="1"/>
  <c r="G35" i="1"/>
  <c r="F35" i="1"/>
  <c r="E35" i="1"/>
  <c r="P33" i="1"/>
  <c r="O33" i="1"/>
  <c r="N33" i="1"/>
  <c r="M33" i="1"/>
  <c r="L33" i="1"/>
  <c r="K33" i="1"/>
  <c r="J33" i="1"/>
  <c r="I33" i="1"/>
  <c r="H33" i="1"/>
  <c r="G33" i="1"/>
  <c r="F33" i="1"/>
  <c r="E33" i="1"/>
  <c r="P32" i="1"/>
  <c r="O32" i="1"/>
  <c r="N32" i="1"/>
  <c r="M32" i="1"/>
  <c r="L32" i="1"/>
  <c r="K32" i="1"/>
  <c r="J32" i="1"/>
  <c r="I32" i="1"/>
  <c r="H32" i="1"/>
  <c r="G32" i="1"/>
  <c r="F32" i="1"/>
  <c r="E32" i="1"/>
  <c r="P31" i="1"/>
  <c r="O31" i="1"/>
  <c r="N31" i="1"/>
  <c r="M31" i="1"/>
  <c r="L31" i="1"/>
  <c r="K31" i="1"/>
  <c r="J31" i="1"/>
  <c r="I31" i="1"/>
  <c r="H31" i="1"/>
  <c r="G31" i="1"/>
  <c r="F31" i="1"/>
  <c r="E31" i="1"/>
  <c r="P30" i="1"/>
  <c r="O30" i="1"/>
  <c r="N30" i="1"/>
  <c r="M30" i="1"/>
  <c r="L30" i="1"/>
  <c r="K30" i="1"/>
  <c r="J30" i="1"/>
  <c r="I30" i="1"/>
  <c r="H30" i="1"/>
  <c r="G30" i="1"/>
  <c r="F30" i="1"/>
  <c r="E30" i="1"/>
  <c r="P29" i="1"/>
  <c r="O29" i="1"/>
  <c r="N29" i="1"/>
  <c r="M29" i="1"/>
  <c r="L29" i="1"/>
  <c r="K29" i="1"/>
  <c r="J29" i="1"/>
  <c r="I29" i="1"/>
  <c r="H29" i="1"/>
  <c r="G29" i="1"/>
  <c r="F29" i="1"/>
  <c r="E29" i="1"/>
  <c r="P28" i="1"/>
  <c r="O28" i="1"/>
  <c r="N28" i="1"/>
  <c r="M28" i="1"/>
  <c r="L28" i="1"/>
  <c r="K28" i="1"/>
  <c r="J28" i="1"/>
  <c r="I28" i="1"/>
  <c r="H28" i="1"/>
  <c r="G28" i="1"/>
  <c r="F28" i="1"/>
  <c r="E28" i="1"/>
  <c r="P25" i="1"/>
  <c r="O25" i="1"/>
  <c r="N25" i="1"/>
  <c r="M25" i="1"/>
  <c r="L25" i="1"/>
  <c r="K25" i="1"/>
  <c r="J25" i="1"/>
  <c r="I25" i="1"/>
  <c r="H25" i="1"/>
  <c r="G25" i="1"/>
  <c r="F25" i="1"/>
  <c r="E25" i="1"/>
  <c r="C5" i="1"/>
  <c r="P21" i="1"/>
  <c r="O21" i="1"/>
  <c r="N21" i="1"/>
  <c r="M21" i="1"/>
  <c r="L21" i="1"/>
  <c r="K21" i="1"/>
  <c r="J21" i="1"/>
  <c r="I21" i="1"/>
  <c r="H21" i="1"/>
  <c r="G21" i="1"/>
  <c r="F21" i="1"/>
  <c r="E21" i="1"/>
  <c r="P18" i="1"/>
  <c r="O18" i="1"/>
  <c r="N18" i="1"/>
  <c r="M18" i="1"/>
  <c r="L18" i="1"/>
  <c r="K18" i="1"/>
  <c r="J18" i="1"/>
  <c r="I18" i="1"/>
  <c r="H18" i="1"/>
  <c r="G18" i="1"/>
  <c r="F18" i="1"/>
  <c r="E18" i="1"/>
  <c r="P70" i="1" l="1"/>
  <c r="O70" i="1"/>
  <c r="N70" i="1"/>
  <c r="M70" i="1"/>
  <c r="L70" i="1"/>
  <c r="K70" i="1"/>
  <c r="J70" i="1"/>
  <c r="I70" i="1"/>
  <c r="H70" i="1"/>
  <c r="G70" i="1"/>
  <c r="F70" i="1"/>
  <c r="E70" i="1"/>
  <c r="P67" i="1"/>
  <c r="O67" i="1"/>
  <c r="N67" i="1"/>
  <c r="M67" i="1"/>
  <c r="L67" i="1"/>
  <c r="K67" i="1"/>
  <c r="J67" i="1"/>
  <c r="I67" i="1"/>
  <c r="H67" i="1"/>
  <c r="G67" i="1"/>
  <c r="F67" i="1"/>
  <c r="E67" i="1"/>
  <c r="P66" i="1"/>
  <c r="O66" i="1"/>
  <c r="N66" i="1"/>
  <c r="M66" i="1"/>
  <c r="L66" i="1"/>
  <c r="K66" i="1"/>
  <c r="J66" i="1"/>
  <c r="I66" i="1"/>
  <c r="H66" i="1"/>
  <c r="G66" i="1"/>
  <c r="F66" i="1"/>
  <c r="E66" i="1"/>
  <c r="P65" i="1"/>
  <c r="O65" i="1"/>
  <c r="N65" i="1"/>
  <c r="M65" i="1"/>
  <c r="L65" i="1"/>
  <c r="K65" i="1"/>
  <c r="J65" i="1"/>
  <c r="I65" i="1"/>
  <c r="H65" i="1"/>
  <c r="G65" i="1"/>
  <c r="F65" i="1"/>
  <c r="E65" i="1"/>
  <c r="P73" i="1"/>
  <c r="O73" i="1"/>
  <c r="N73" i="1"/>
  <c r="M73" i="1"/>
  <c r="L73" i="1"/>
  <c r="K73" i="1"/>
  <c r="J73" i="1"/>
  <c r="I73" i="1"/>
  <c r="H73" i="1"/>
  <c r="G73" i="1"/>
  <c r="F73" i="1"/>
  <c r="E73" i="1"/>
  <c r="P72" i="1"/>
  <c r="O72" i="1"/>
  <c r="N72" i="1"/>
  <c r="M72" i="1"/>
  <c r="L72" i="1"/>
  <c r="K72" i="1"/>
  <c r="J72" i="1"/>
  <c r="I72" i="1"/>
  <c r="H72" i="1"/>
  <c r="G72" i="1"/>
  <c r="F72" i="1"/>
  <c r="E72" i="1"/>
  <c r="P69" i="1"/>
  <c r="O69" i="1"/>
  <c r="N69" i="1"/>
  <c r="M69" i="1"/>
  <c r="L69" i="1"/>
  <c r="K69" i="1"/>
  <c r="K68" i="1" s="1"/>
  <c r="J69" i="1"/>
  <c r="J68" i="1" s="1"/>
  <c r="I69" i="1"/>
  <c r="I68" i="1" s="1"/>
  <c r="H69" i="1"/>
  <c r="H68" i="1" s="1"/>
  <c r="G69" i="1"/>
  <c r="G68" i="1" s="1"/>
  <c r="F69" i="1"/>
  <c r="F68" i="1" s="1"/>
  <c r="E69" i="1"/>
  <c r="E68" i="1" s="1"/>
  <c r="P68" i="1"/>
  <c r="O68" i="1"/>
  <c r="N68" i="1"/>
  <c r="M68" i="1"/>
  <c r="L68" i="1"/>
  <c r="P56" i="1"/>
  <c r="O56" i="1"/>
  <c r="N56" i="1"/>
  <c r="M56" i="1"/>
  <c r="L56" i="1"/>
  <c r="K56" i="1"/>
  <c r="J56" i="1"/>
  <c r="I56" i="1"/>
  <c r="H56" i="1"/>
  <c r="G56" i="1"/>
  <c r="F56" i="1"/>
  <c r="E56" i="1"/>
  <c r="P13" i="1"/>
  <c r="O13" i="1"/>
  <c r="N13" i="1"/>
  <c r="M13" i="1"/>
  <c r="L13" i="1"/>
  <c r="K13" i="1"/>
  <c r="J13" i="1"/>
  <c r="I13" i="1"/>
  <c r="H13" i="1"/>
  <c r="G13" i="1"/>
  <c r="F13" i="1"/>
  <c r="E13" i="1"/>
  <c r="P12" i="1"/>
  <c r="O12" i="1"/>
  <c r="N12" i="1"/>
  <c r="M12" i="1"/>
  <c r="L12" i="1"/>
  <c r="K12" i="1"/>
  <c r="J12" i="1"/>
  <c r="I12" i="1"/>
  <c r="H12" i="1"/>
  <c r="G12" i="1"/>
  <c r="F12" i="1"/>
  <c r="E12" i="1"/>
  <c r="P11" i="1"/>
  <c r="O11" i="1"/>
  <c r="N11" i="1"/>
  <c r="M11" i="1"/>
  <c r="L11" i="1"/>
  <c r="K11" i="1"/>
  <c r="J11" i="1"/>
  <c r="I11" i="1"/>
  <c r="H11" i="1"/>
  <c r="G11" i="1"/>
  <c r="F11" i="1"/>
  <c r="E11" i="1"/>
  <c r="P10" i="1"/>
  <c r="O10" i="1"/>
  <c r="N10" i="1"/>
  <c r="M10" i="1"/>
  <c r="L10" i="1"/>
  <c r="K10" i="1"/>
  <c r="J10" i="1"/>
  <c r="I10" i="1"/>
  <c r="H10" i="1"/>
  <c r="G10" i="1"/>
  <c r="F10" i="1"/>
  <c r="E10" i="1"/>
  <c r="P9" i="1"/>
  <c r="O9" i="1"/>
  <c r="N9" i="1"/>
  <c r="M9" i="1"/>
  <c r="L9" i="1"/>
  <c r="K9" i="1"/>
  <c r="J9" i="1"/>
  <c r="I9" i="1"/>
  <c r="H9" i="1"/>
  <c r="G9" i="1"/>
  <c r="F9" i="1"/>
  <c r="E9" i="1"/>
  <c r="P8" i="1"/>
  <c r="O8" i="1"/>
  <c r="N8" i="1"/>
  <c r="M8" i="1"/>
  <c r="L8" i="1"/>
  <c r="K8" i="1"/>
  <c r="J8" i="1"/>
  <c r="I8" i="1"/>
  <c r="H8" i="1"/>
  <c r="G8" i="1"/>
  <c r="F8" i="1"/>
  <c r="E8" i="1"/>
  <c r="P7" i="1"/>
  <c r="O7" i="1"/>
  <c r="N7" i="1"/>
  <c r="M7" i="1"/>
  <c r="L7" i="1"/>
  <c r="K7" i="1"/>
  <c r="J7" i="1"/>
  <c r="I7" i="1"/>
  <c r="H7" i="1"/>
  <c r="G7" i="1"/>
  <c r="F7" i="1"/>
  <c r="E7" i="1"/>
  <c r="P6" i="1"/>
  <c r="O6" i="1"/>
  <c r="N6" i="1"/>
  <c r="M6" i="1"/>
  <c r="L6" i="1"/>
  <c r="K6" i="1"/>
  <c r="J6" i="1"/>
  <c r="I6" i="1"/>
  <c r="H6" i="1"/>
  <c r="G6" i="1"/>
  <c r="F6" i="1"/>
  <c r="E6" i="1"/>
  <c r="AC54" i="1"/>
  <c r="AB54" i="1"/>
  <c r="AC71" i="1"/>
  <c r="AB71" i="1"/>
  <c r="AC64" i="1"/>
  <c r="AB64" i="1"/>
  <c r="AC63" i="1"/>
  <c r="AB63" i="1"/>
  <c r="AC62" i="1"/>
  <c r="AB62" i="1"/>
  <c r="AC59" i="1"/>
  <c r="AB59" i="1"/>
  <c r="AC58" i="1"/>
  <c r="AB58" i="1"/>
  <c r="AC43" i="1"/>
  <c r="AB43" i="1"/>
  <c r="AC41" i="1"/>
  <c r="AB41" i="1"/>
  <c r="P37" i="1"/>
  <c r="O37" i="1"/>
  <c r="N37" i="1"/>
  <c r="M37" i="1"/>
  <c r="L37" i="1"/>
  <c r="K37" i="1"/>
  <c r="J37" i="1"/>
  <c r="I37" i="1"/>
  <c r="H37" i="1"/>
  <c r="G37" i="1"/>
  <c r="F37" i="1"/>
  <c r="E37" i="1"/>
  <c r="AC35" i="1"/>
  <c r="AB35" i="1"/>
  <c r="AC33" i="1"/>
  <c r="AB33" i="1"/>
  <c r="AC32" i="1"/>
  <c r="AB32" i="1"/>
  <c r="AC31" i="1"/>
  <c r="AB31" i="1"/>
  <c r="AC30" i="1"/>
  <c r="AB30" i="1"/>
  <c r="AC29" i="1"/>
  <c r="AB29" i="1"/>
  <c r="AC28" i="1"/>
  <c r="AB28" i="1"/>
  <c r="AC25" i="1"/>
  <c r="AB25" i="1"/>
  <c r="AC21" i="1"/>
  <c r="AB21" i="1"/>
  <c r="AC18" i="1"/>
  <c r="AB18" i="1"/>
  <c r="AB37" i="1" l="1"/>
  <c r="AC37" i="1"/>
  <c r="Z54" i="1"/>
  <c r="Q54" i="1"/>
  <c r="AA54" i="1"/>
  <c r="Z71" i="1"/>
  <c r="Q71" i="1"/>
  <c r="AA71" i="1"/>
  <c r="Z62" i="1"/>
  <c r="Q62" i="1"/>
  <c r="AA62" i="1"/>
  <c r="Z63" i="1"/>
  <c r="Q63" i="1"/>
  <c r="AA63" i="1"/>
  <c r="Z64" i="1"/>
  <c r="Q64" i="1"/>
  <c r="AA64" i="1"/>
  <c r="Z58" i="1"/>
  <c r="Q58" i="1"/>
  <c r="AA58" i="1"/>
  <c r="Z59" i="1"/>
  <c r="Q59" i="1"/>
  <c r="AA59" i="1"/>
  <c r="Z43" i="1"/>
  <c r="Q43" i="1"/>
  <c r="AA43" i="1"/>
  <c r="Z41" i="1"/>
  <c r="Q41" i="1"/>
  <c r="AA41" i="1"/>
  <c r="Z37" i="1"/>
  <c r="Q37" i="1"/>
  <c r="AA37" i="1"/>
  <c r="Z35" i="1"/>
  <c r="Q35" i="1"/>
  <c r="AA35" i="1"/>
  <c r="Z33" i="1"/>
  <c r="Q33" i="1"/>
  <c r="AA33" i="1"/>
  <c r="Z32" i="1"/>
  <c r="Q32" i="1"/>
  <c r="AA32" i="1"/>
  <c r="Z28" i="1"/>
  <c r="Q28" i="1"/>
  <c r="AA28" i="1"/>
  <c r="Z29" i="1"/>
  <c r="Q29" i="1"/>
  <c r="AA29" i="1"/>
  <c r="Z30" i="1"/>
  <c r="Q30" i="1"/>
  <c r="AA30" i="1"/>
  <c r="Z31" i="1"/>
  <c r="Q31" i="1"/>
  <c r="AA31" i="1"/>
  <c r="Z25" i="1"/>
  <c r="Q25" i="1"/>
  <c r="AA25" i="1"/>
  <c r="Z21" i="1"/>
  <c r="Q21" i="1"/>
  <c r="AA21" i="1"/>
  <c r="Z18" i="1"/>
  <c r="Q18" i="1"/>
  <c r="AA18" i="1"/>
  <c r="AD54" i="1" l="1"/>
  <c r="AD71" i="1"/>
  <c r="AD64" i="1"/>
  <c r="AD63" i="1"/>
  <c r="AD62" i="1"/>
  <c r="AD37" i="1"/>
  <c r="AD59" i="1"/>
  <c r="AD58" i="1"/>
  <c r="AD43" i="1"/>
  <c r="AD41" i="1"/>
  <c r="AD35" i="1"/>
  <c r="AD33" i="1"/>
  <c r="AD32" i="1"/>
  <c r="AD31" i="1"/>
  <c r="AD30" i="1"/>
  <c r="AD29" i="1"/>
  <c r="AD28" i="1"/>
  <c r="AD25" i="1"/>
  <c r="AD21" i="1"/>
  <c r="AD18" i="1"/>
  <c r="E66" i="2" l="1"/>
  <c r="P66" i="2"/>
  <c r="O66" i="2"/>
  <c r="N66" i="2"/>
  <c r="M66" i="2"/>
  <c r="L66" i="2"/>
  <c r="K66" i="2"/>
  <c r="J66" i="2"/>
  <c r="I66" i="2"/>
  <c r="H66" i="2"/>
  <c r="G66" i="2"/>
  <c r="F66" i="2"/>
  <c r="P67" i="2"/>
  <c r="O67" i="2"/>
  <c r="N67" i="2"/>
  <c r="M67" i="2"/>
  <c r="L67" i="2"/>
  <c r="K67" i="2"/>
  <c r="J67" i="2"/>
  <c r="I67" i="2"/>
  <c r="H67" i="2"/>
  <c r="G67" i="2"/>
  <c r="F67" i="2"/>
  <c r="E67" i="2"/>
  <c r="P73" i="2"/>
  <c r="O73" i="2"/>
  <c r="N73" i="2"/>
  <c r="M73" i="2"/>
  <c r="L73" i="2"/>
  <c r="K73" i="2"/>
  <c r="J73" i="2"/>
  <c r="I73" i="2"/>
  <c r="H73" i="2"/>
  <c r="G73" i="2"/>
  <c r="F73" i="2"/>
  <c r="E73" i="2"/>
  <c r="P70" i="2"/>
  <c r="O70" i="2"/>
  <c r="N70" i="2"/>
  <c r="M70" i="2"/>
  <c r="L70" i="2"/>
  <c r="K70" i="2"/>
  <c r="J70" i="2"/>
  <c r="I70" i="2"/>
  <c r="H70" i="2"/>
  <c r="G70" i="2"/>
  <c r="F70" i="2"/>
  <c r="E70" i="2"/>
  <c r="P65" i="2"/>
  <c r="O65" i="2"/>
  <c r="N65" i="2"/>
  <c r="M65" i="2"/>
  <c r="L65" i="2"/>
  <c r="K65" i="2"/>
  <c r="J65" i="2"/>
  <c r="I65" i="2"/>
  <c r="H65" i="2"/>
  <c r="G65" i="2"/>
  <c r="F65" i="2"/>
  <c r="E65" i="2"/>
  <c r="P69" i="2" l="1"/>
  <c r="O69" i="2"/>
  <c r="N69" i="2"/>
  <c r="M69" i="2"/>
  <c r="L69" i="2"/>
  <c r="K69" i="2"/>
  <c r="J69" i="2"/>
  <c r="I69" i="2"/>
  <c r="H69" i="2"/>
  <c r="G69" i="2"/>
  <c r="F69" i="2"/>
  <c r="M27" i="34" l="1"/>
  <c r="M26" i="34"/>
  <c r="M25" i="34"/>
  <c r="M24" i="34"/>
  <c r="J27" i="34"/>
  <c r="J26" i="34"/>
  <c r="J25" i="34" l="1"/>
  <c r="M75" i="9" l="1"/>
  <c r="M85" i="9"/>
  <c r="M73" i="42" l="1"/>
  <c r="M85" i="42" s="1"/>
  <c r="X62" i="42"/>
  <c r="M52" i="42"/>
  <c r="J10" i="42" s="1"/>
  <c r="D47" i="42"/>
  <c r="C47" i="42"/>
  <c r="AM46" i="42"/>
  <c r="Q26" i="42"/>
  <c r="Q25" i="42"/>
  <c r="S24" i="42"/>
  <c r="M24" i="42"/>
  <c r="J24" i="42"/>
  <c r="C23" i="42"/>
  <c r="Q20" i="42"/>
  <c r="P20" i="42"/>
  <c r="N20" i="42"/>
  <c r="G20" i="42"/>
  <c r="M19" i="42"/>
  <c r="L19" i="42"/>
  <c r="L20" i="42" s="1"/>
  <c r="K19" i="42"/>
  <c r="K20" i="42" s="1"/>
  <c r="J19" i="42"/>
  <c r="J20" i="42" s="1"/>
  <c r="I19" i="42"/>
  <c r="I20" i="42" s="1"/>
  <c r="H19" i="42"/>
  <c r="H20" i="42" s="1"/>
  <c r="F19" i="42"/>
  <c r="F20" i="42" s="1"/>
  <c r="E19" i="42"/>
  <c r="E20" i="42" s="1"/>
  <c r="D5" i="42"/>
  <c r="C5" i="42"/>
  <c r="B1" i="42"/>
  <c r="C1" i="42" s="1"/>
  <c r="Z79" i="5"/>
  <c r="Y79" i="5"/>
  <c r="X79" i="5"/>
  <c r="W79" i="5"/>
  <c r="AA79" i="5" s="1"/>
  <c r="M23" i="42" l="1"/>
  <c r="M35" i="42" s="1"/>
  <c r="M36" i="42" s="1"/>
  <c r="M20" i="42"/>
  <c r="B61" i="42"/>
  <c r="F48" i="42" s="1"/>
  <c r="E69" i="2" l="1"/>
  <c r="H64" i="39" l="1"/>
  <c r="CB82" i="5" l="1"/>
  <c r="BZ82" i="5"/>
  <c r="BX82" i="5"/>
  <c r="BO82" i="5"/>
  <c r="BI82" i="5"/>
  <c r="BH82" i="5"/>
  <c r="BF82" i="5"/>
  <c r="AW82" i="5"/>
  <c r="AT82" i="5"/>
  <c r="AK82" i="5"/>
  <c r="AE82" i="5"/>
  <c r="AD82" i="5"/>
  <c r="AC82" i="5"/>
  <c r="AB82" i="5"/>
  <c r="S82" i="5"/>
  <c r="J82" i="5"/>
  <c r="M61" i="39" l="1"/>
  <c r="CC79" i="5" l="1"/>
  <c r="CC16" i="5"/>
  <c r="CC15" i="5"/>
  <c r="AC78" i="21" l="1"/>
  <c r="AB78" i="21"/>
  <c r="AA78" i="21"/>
  <c r="Z78" i="21"/>
  <c r="AD78" i="21" s="1"/>
  <c r="AC77" i="21"/>
  <c r="AB77" i="21"/>
  <c r="AA77" i="21"/>
  <c r="Z77" i="21"/>
  <c r="AD77" i="21" s="1"/>
  <c r="AC76" i="21"/>
  <c r="AB76" i="21"/>
  <c r="AA76" i="21"/>
  <c r="Z76" i="21"/>
  <c r="AD76" i="21" s="1"/>
  <c r="AC75" i="21"/>
  <c r="AB75" i="21"/>
  <c r="AA75" i="21"/>
  <c r="Z75" i="21"/>
  <c r="AD75" i="21" s="1"/>
  <c r="Y82" i="21"/>
  <c r="W82" i="21"/>
  <c r="R82" i="21"/>
  <c r="Y81" i="21"/>
  <c r="Y83" i="21" s="1"/>
  <c r="W81" i="21"/>
  <c r="W83" i="21" s="1"/>
  <c r="R81" i="21"/>
  <c r="R83" i="21" s="1"/>
  <c r="Y80" i="21"/>
  <c r="W80" i="21"/>
  <c r="R80" i="21"/>
  <c r="Q78" i="21"/>
  <c r="Q77" i="21"/>
  <c r="AR79" i="5"/>
  <c r="AQ79" i="5"/>
  <c r="AP79" i="5"/>
  <c r="AO79" i="5"/>
  <c r="AS79" i="5" s="1"/>
  <c r="G71" i="21" l="1"/>
  <c r="F71" i="21"/>
  <c r="E71" i="21"/>
  <c r="G64" i="21"/>
  <c r="F64" i="21"/>
  <c r="E64" i="21"/>
  <c r="F63" i="21"/>
  <c r="E63" i="21"/>
  <c r="F62" i="21"/>
  <c r="E62" i="21"/>
  <c r="G59" i="21"/>
  <c r="F59" i="21"/>
  <c r="E59" i="21"/>
  <c r="G58" i="21"/>
  <c r="F58" i="21"/>
  <c r="E58" i="21"/>
  <c r="G54" i="21"/>
  <c r="F54" i="21"/>
  <c r="E54" i="21"/>
  <c r="G43" i="21"/>
  <c r="F43" i="21"/>
  <c r="E43" i="21"/>
  <c r="G41" i="21"/>
  <c r="F41" i="21"/>
  <c r="E41" i="21"/>
  <c r="G35" i="21"/>
  <c r="F35" i="21"/>
  <c r="E35" i="21"/>
  <c r="G33" i="21"/>
  <c r="F33" i="21"/>
  <c r="E33" i="21"/>
  <c r="G32" i="21"/>
  <c r="F32" i="21"/>
  <c r="E32" i="21"/>
  <c r="G31" i="21"/>
  <c r="F31" i="21"/>
  <c r="E31" i="21"/>
  <c r="G30" i="21"/>
  <c r="F30" i="21"/>
  <c r="E30" i="21"/>
  <c r="G29" i="21"/>
  <c r="F29" i="21"/>
  <c r="E29" i="21"/>
  <c r="G28" i="21"/>
  <c r="F28" i="21"/>
  <c r="E28" i="21"/>
  <c r="G21" i="21"/>
  <c r="F21" i="21"/>
  <c r="E21" i="21"/>
  <c r="C5" i="21"/>
  <c r="E18" i="21" l="1"/>
  <c r="E25" i="21" l="1"/>
  <c r="F25" i="21" l="1"/>
  <c r="F18" i="21" l="1"/>
  <c r="G18" i="21" l="1"/>
  <c r="G62" i="21" l="1"/>
  <c r="G63" i="21" l="1"/>
  <c r="G25" i="21"/>
  <c r="AM46" i="12" l="1"/>
  <c r="U78" i="40" l="1"/>
  <c r="AA67" i="40"/>
  <c r="S67" i="40"/>
  <c r="AA66" i="40"/>
  <c r="S66" i="40"/>
  <c r="M65" i="40"/>
  <c r="M74" i="40" s="1"/>
  <c r="AC62" i="40"/>
  <c r="Z62" i="40"/>
  <c r="Y62" i="40"/>
  <c r="U62" i="40"/>
  <c r="R61" i="40"/>
  <c r="F61" i="40"/>
  <c r="E61" i="40"/>
  <c r="C61" i="40"/>
  <c r="E57" i="40"/>
  <c r="Y56" i="40"/>
  <c r="X56" i="40"/>
  <c r="E56" i="40"/>
  <c r="Y55" i="40"/>
  <c r="X62" i="40" s="1"/>
  <c r="X55" i="40"/>
  <c r="G55" i="40"/>
  <c r="E55" i="40"/>
  <c r="AD54" i="40"/>
  <c r="M53" i="40"/>
  <c r="L10" i="40" s="1"/>
  <c r="M52" i="40"/>
  <c r="G48" i="40"/>
  <c r="D47" i="40"/>
  <c r="C47" i="40"/>
  <c r="D36" i="40"/>
  <c r="D34" i="40"/>
  <c r="D33" i="40"/>
  <c r="M30" i="40"/>
  <c r="J30" i="40"/>
  <c r="M29" i="40"/>
  <c r="J29" i="40"/>
  <c r="M28" i="40"/>
  <c r="J28" i="40"/>
  <c r="M27" i="40"/>
  <c r="J27" i="40"/>
  <c r="M26" i="40"/>
  <c r="J26" i="40"/>
  <c r="AA25" i="40"/>
  <c r="Y25" i="40"/>
  <c r="S25" i="40"/>
  <c r="M25" i="40"/>
  <c r="J25" i="40"/>
  <c r="AA24" i="40"/>
  <c r="Y24" i="40"/>
  <c r="S24" i="40"/>
  <c r="M24" i="40"/>
  <c r="J24" i="40"/>
  <c r="C23" i="40"/>
  <c r="AA20" i="40"/>
  <c r="Q20" i="40"/>
  <c r="P20" i="40"/>
  <c r="N20" i="40"/>
  <c r="H20" i="40"/>
  <c r="G20" i="40"/>
  <c r="M19" i="40"/>
  <c r="L19" i="40"/>
  <c r="L20" i="40" s="1"/>
  <c r="K19" i="40"/>
  <c r="K20" i="40" s="1"/>
  <c r="J19" i="40"/>
  <c r="J20" i="40" s="1"/>
  <c r="I19" i="40"/>
  <c r="I20" i="40" s="1"/>
  <c r="F19" i="40"/>
  <c r="F20" i="40" s="1"/>
  <c r="E19" i="40"/>
  <c r="E20" i="40" s="1"/>
  <c r="E12" i="40"/>
  <c r="J10" i="40"/>
  <c r="L9" i="40"/>
  <c r="K9" i="40"/>
  <c r="O9" i="40" s="1"/>
  <c r="D5" i="40"/>
  <c r="C5" i="40"/>
  <c r="B1" i="40"/>
  <c r="C1" i="40" s="1"/>
  <c r="BI83" i="5"/>
  <c r="BH83" i="5"/>
  <c r="BF83" i="5"/>
  <c r="AW83" i="5"/>
  <c r="BI84" i="5"/>
  <c r="BH84" i="5"/>
  <c r="BF84" i="5"/>
  <c r="AW84" i="5"/>
  <c r="BI81" i="5"/>
  <c r="BH81" i="5"/>
  <c r="BF81" i="5"/>
  <c r="AW81" i="5"/>
  <c r="CA62" i="5"/>
  <c r="CC62" i="5" s="1"/>
  <c r="CA58" i="5"/>
  <c r="CC58" i="5" s="1"/>
  <c r="CA56" i="5"/>
  <c r="CC56" i="5" s="1"/>
  <c r="CA54" i="5"/>
  <c r="CC54" i="5" s="1"/>
  <c r="CA53" i="5"/>
  <c r="CC53" i="5" s="1"/>
  <c r="CA52" i="5"/>
  <c r="CC52" i="5" s="1"/>
  <c r="CA51" i="5"/>
  <c r="CC51" i="5" s="1"/>
  <c r="CA50" i="5"/>
  <c r="CC50" i="5" s="1"/>
  <c r="CA49" i="5"/>
  <c r="CC49" i="5" s="1"/>
  <c r="CA43" i="5"/>
  <c r="CC43" i="5" s="1"/>
  <c r="CA41" i="5"/>
  <c r="CC41" i="5" s="1"/>
  <c r="CA40" i="5"/>
  <c r="CC40" i="5" s="1"/>
  <c r="CA25" i="5"/>
  <c r="CC25" i="5" s="1"/>
  <c r="CA24" i="5"/>
  <c r="CC24" i="5" s="1"/>
  <c r="CA21" i="5"/>
  <c r="CC21" i="5" s="1"/>
  <c r="CA20" i="5"/>
  <c r="CC20" i="5" s="1"/>
  <c r="CA18" i="5"/>
  <c r="CC18" i="5" s="1"/>
  <c r="CA17" i="5"/>
  <c r="CC17" i="5" s="1"/>
  <c r="M61" i="38"/>
  <c r="J9" i="40" l="1"/>
  <c r="M23" i="40"/>
  <c r="M32" i="40" s="1"/>
  <c r="M33" i="40" s="1"/>
  <c r="M20" i="40"/>
  <c r="B61" i="40"/>
  <c r="F48" i="40" s="1"/>
  <c r="E54" i="40"/>
  <c r="T61" i="40"/>
  <c r="F49" i="40" s="1"/>
  <c r="H64" i="40"/>
  <c r="H70" i="40" s="1"/>
  <c r="E9" i="40" l="1"/>
  <c r="C47" i="39" l="1"/>
  <c r="S28" i="12"/>
  <c r="Q28" i="12"/>
  <c r="M52" i="27" l="1"/>
  <c r="S23" i="27" l="1"/>
  <c r="Q23" i="27"/>
  <c r="S24" i="27"/>
  <c r="Q24" i="27"/>
  <c r="S22" i="27"/>
  <c r="Q22" i="27"/>
  <c r="S21" i="27"/>
  <c r="Q21" i="27"/>
  <c r="M25" i="27" l="1"/>
  <c r="J25" i="27"/>
  <c r="M24" i="27"/>
  <c r="J24" i="27"/>
  <c r="M23" i="27"/>
  <c r="J23" i="27"/>
  <c r="M22" i="27"/>
  <c r="J22" i="27"/>
  <c r="M65" i="39" l="1"/>
  <c r="M76" i="39" s="1"/>
  <c r="X62" i="39"/>
  <c r="M52" i="39"/>
  <c r="D47" i="39"/>
  <c r="S38" i="39"/>
  <c r="P38" i="39"/>
  <c r="S37" i="39"/>
  <c r="S36" i="39"/>
  <c r="P36" i="39"/>
  <c r="D36" i="39"/>
  <c r="S34" i="39"/>
  <c r="P34" i="39"/>
  <c r="S33" i="39"/>
  <c r="P33" i="39"/>
  <c r="J33" i="39"/>
  <c r="M31" i="39"/>
  <c r="J31" i="39"/>
  <c r="M30" i="39"/>
  <c r="J30" i="39"/>
  <c r="M29" i="39"/>
  <c r="J29" i="39"/>
  <c r="M28" i="39"/>
  <c r="J28" i="39"/>
  <c r="M27" i="39"/>
  <c r="J27" i="39"/>
  <c r="M26" i="39"/>
  <c r="J26" i="39"/>
  <c r="M25" i="39"/>
  <c r="J25" i="39"/>
  <c r="M24" i="39"/>
  <c r="J24" i="39"/>
  <c r="Q20" i="39"/>
  <c r="P20" i="39"/>
  <c r="N20" i="39"/>
  <c r="H20" i="39"/>
  <c r="G20" i="39"/>
  <c r="M19" i="39"/>
  <c r="L19" i="39"/>
  <c r="L20" i="39" s="1"/>
  <c r="K19" i="39"/>
  <c r="K20" i="39" s="1"/>
  <c r="J19" i="39"/>
  <c r="J20" i="39" s="1"/>
  <c r="I19" i="39"/>
  <c r="I20" i="39" s="1"/>
  <c r="F19" i="39"/>
  <c r="F20" i="39" s="1"/>
  <c r="E19" i="39"/>
  <c r="E20" i="39" s="1"/>
  <c r="J10" i="39"/>
  <c r="C10" i="39"/>
  <c r="B10" i="39"/>
  <c r="D5" i="39"/>
  <c r="C5" i="39"/>
  <c r="B1" i="39"/>
  <c r="M23" i="39" l="1"/>
  <c r="M33" i="39" s="1"/>
  <c r="M20" i="39"/>
  <c r="B61" i="39"/>
  <c r="F48" i="39" s="1"/>
  <c r="M30" i="12" l="1"/>
  <c r="J30" i="12"/>
  <c r="M29" i="12"/>
  <c r="J29" i="12"/>
  <c r="M28" i="12"/>
  <c r="J28" i="12"/>
  <c r="P36" i="38" l="1"/>
  <c r="P34" i="38"/>
  <c r="M31" i="38"/>
  <c r="J31" i="38"/>
  <c r="M30" i="38"/>
  <c r="J30" i="38"/>
  <c r="M29" i="38"/>
  <c r="J29" i="38"/>
  <c r="M28" i="38"/>
  <c r="J28" i="38"/>
  <c r="M27" i="38"/>
  <c r="J27" i="38"/>
  <c r="M26" i="38"/>
  <c r="J26" i="38"/>
  <c r="M25" i="38"/>
  <c r="J25" i="38"/>
  <c r="M24" i="38"/>
  <c r="J24" i="38"/>
  <c r="AK83" i="5"/>
  <c r="AE83" i="5"/>
  <c r="AE84" i="5" s="1"/>
  <c r="AD83" i="5"/>
  <c r="AC83" i="5"/>
  <c r="AC84" i="5" s="1"/>
  <c r="AB83" i="5"/>
  <c r="S83" i="5"/>
  <c r="J83" i="5"/>
  <c r="AK84" i="5"/>
  <c r="AB84" i="5"/>
  <c r="S84" i="5"/>
  <c r="J84" i="5"/>
  <c r="AK81" i="5"/>
  <c r="AE81" i="5"/>
  <c r="AD81" i="5"/>
  <c r="AC81" i="5"/>
  <c r="AB81" i="5"/>
  <c r="S81" i="5"/>
  <c r="J81" i="5"/>
  <c r="BV78" i="5"/>
  <c r="BU78" i="5"/>
  <c r="BT78" i="5"/>
  <c r="BS78" i="5"/>
  <c r="AF78" i="5"/>
  <c r="BV77" i="5"/>
  <c r="BU77" i="5"/>
  <c r="BT77" i="5"/>
  <c r="BS77" i="5"/>
  <c r="AF77" i="5"/>
  <c r="BV76" i="5"/>
  <c r="BU76" i="5"/>
  <c r="BT76" i="5"/>
  <c r="BS76" i="5"/>
  <c r="AF76" i="5"/>
  <c r="AD84" i="5" l="1"/>
  <c r="BW76" i="5"/>
  <c r="BW77" i="5"/>
  <c r="BW78" i="5"/>
  <c r="AD54" i="38" l="1"/>
  <c r="H64" i="38" s="1"/>
  <c r="D47" i="38" l="1"/>
  <c r="C47" i="38"/>
  <c r="D36" i="38"/>
  <c r="AD45" i="27" l="1"/>
  <c r="H57" i="27" s="1"/>
  <c r="AC74" i="2" l="1"/>
  <c r="AB74" i="2"/>
  <c r="AA74" i="2"/>
  <c r="CA75" i="5" s="1"/>
  <c r="Z74" i="2"/>
  <c r="AD74" i="2" s="1"/>
  <c r="Q74" i="2"/>
  <c r="AC74" i="1"/>
  <c r="AB74" i="1"/>
  <c r="AA74" i="1"/>
  <c r="Z74" i="1"/>
  <c r="AD74" i="1" s="1"/>
  <c r="Q74" i="1"/>
  <c r="AC74" i="3"/>
  <c r="AB74" i="3"/>
  <c r="AA74" i="3"/>
  <c r="Z74" i="3"/>
  <c r="AD74" i="3" s="1"/>
  <c r="Q74" i="3"/>
  <c r="AF74" i="2" l="1"/>
  <c r="AF74" i="1"/>
  <c r="AF74" i="3"/>
  <c r="Q76" i="21"/>
  <c r="Q75" i="21"/>
  <c r="AC76" i="3" l="1"/>
  <c r="AB76" i="3"/>
  <c r="AA76" i="3"/>
  <c r="AC77" i="3"/>
  <c r="AB77" i="3"/>
  <c r="BY53" i="5" l="1"/>
  <c r="BY52" i="5"/>
  <c r="BY51" i="5"/>
  <c r="BY50" i="5"/>
  <c r="BY43" i="5"/>
  <c r="BY41" i="5"/>
  <c r="BY40" i="5"/>
  <c r="BY25" i="5"/>
  <c r="BY24" i="5"/>
  <c r="BY21" i="5"/>
  <c r="BY20" i="5"/>
  <c r="AC77" i="2" l="1"/>
  <c r="AB77" i="2"/>
  <c r="AC76" i="2" l="1"/>
  <c r="AB76" i="2"/>
  <c r="AA76" i="2"/>
  <c r="CA77" i="5" s="1"/>
  <c r="S37" i="38" l="1"/>
  <c r="S36" i="38"/>
  <c r="C10" i="38" l="1"/>
  <c r="B10" i="38"/>
  <c r="M65" i="38" l="1"/>
  <c r="M76" i="38" s="1"/>
  <c r="X62" i="38"/>
  <c r="M52" i="38"/>
  <c r="S34" i="38"/>
  <c r="P33" i="38"/>
  <c r="J33" i="38"/>
  <c r="Q20" i="38"/>
  <c r="P20" i="38"/>
  <c r="N20" i="38"/>
  <c r="H20" i="38"/>
  <c r="G20" i="38"/>
  <c r="M19" i="38"/>
  <c r="L19" i="38"/>
  <c r="L20" i="38" s="1"/>
  <c r="K19" i="38"/>
  <c r="K20" i="38" s="1"/>
  <c r="J19" i="38"/>
  <c r="J20" i="38" s="1"/>
  <c r="I19" i="38"/>
  <c r="I20" i="38" s="1"/>
  <c r="F19" i="38"/>
  <c r="E19" i="38"/>
  <c r="J10" i="38"/>
  <c r="D5" i="38"/>
  <c r="C5" i="38"/>
  <c r="B1" i="38"/>
  <c r="E20" i="38" l="1"/>
  <c r="F20" i="38"/>
  <c r="M23" i="38"/>
  <c r="M33" i="38" s="1"/>
  <c r="M20" i="38"/>
  <c r="B61" i="38"/>
  <c r="S33" i="38"/>
  <c r="F48" i="38" l="1"/>
  <c r="M61" i="37" l="1"/>
  <c r="H64" i="37" l="1"/>
  <c r="M65" i="37" l="1"/>
  <c r="M76" i="37" s="1"/>
  <c r="X62" i="37"/>
  <c r="M52" i="37"/>
  <c r="D47" i="37"/>
  <c r="C47" i="37"/>
  <c r="S36" i="37"/>
  <c r="P36" i="37"/>
  <c r="S34" i="37"/>
  <c r="P34" i="37"/>
  <c r="P33" i="37"/>
  <c r="J33" i="37"/>
  <c r="Q20" i="37"/>
  <c r="P20" i="37"/>
  <c r="N20" i="37"/>
  <c r="H20" i="37"/>
  <c r="G20" i="37"/>
  <c r="M19" i="37"/>
  <c r="L19" i="37"/>
  <c r="L20" i="37" s="1"/>
  <c r="K19" i="37"/>
  <c r="K20" i="37" s="1"/>
  <c r="J19" i="37"/>
  <c r="J20" i="37" s="1"/>
  <c r="I19" i="37"/>
  <c r="I20" i="37" s="1"/>
  <c r="F19" i="37"/>
  <c r="F20" i="37" s="1"/>
  <c r="E19" i="37"/>
  <c r="E20" i="37" s="1"/>
  <c r="J10" i="37"/>
  <c r="D5" i="37"/>
  <c r="C5" i="37"/>
  <c r="B1" i="37"/>
  <c r="M23" i="37" l="1"/>
  <c r="M33" i="37" s="1"/>
  <c r="M20" i="37"/>
  <c r="F36" i="37"/>
  <c r="B61" i="37"/>
  <c r="F48" i="37" s="1"/>
  <c r="S33" i="37" l="1"/>
  <c r="AH62" i="36" l="1"/>
  <c r="AF62" i="36"/>
  <c r="AE62" i="36"/>
  <c r="AD62" i="36"/>
  <c r="AB62" i="36"/>
  <c r="AA62" i="36"/>
  <c r="W62" i="36"/>
  <c r="V62" i="36"/>
  <c r="M76" i="34"/>
  <c r="AD54" i="36" l="1"/>
  <c r="D33" i="36" l="1"/>
  <c r="H66" i="36" l="1"/>
  <c r="I19" i="36" l="1"/>
  <c r="J19" i="36"/>
  <c r="K19" i="36"/>
  <c r="L19" i="36"/>
  <c r="M19" i="36"/>
  <c r="M19" i="12" l="1"/>
  <c r="S76" i="36" l="1"/>
  <c r="M65" i="36"/>
  <c r="M75" i="36" s="1"/>
  <c r="D47" i="36"/>
  <c r="C47" i="36"/>
  <c r="P35" i="36"/>
  <c r="P34" i="36"/>
  <c r="M23" i="36"/>
  <c r="M31" i="36" s="1"/>
  <c r="F19" i="36"/>
  <c r="E19" i="36"/>
  <c r="D5" i="36"/>
  <c r="C5" i="36"/>
  <c r="B1" i="36"/>
  <c r="C1" i="36" s="1"/>
  <c r="BK58" i="5"/>
  <c r="BK56" i="5"/>
  <c r="BK54" i="5"/>
  <c r="BK53" i="5"/>
  <c r="BK52" i="5"/>
  <c r="BK51" i="5"/>
  <c r="BK50" i="5"/>
  <c r="BK49" i="5"/>
  <c r="BK21" i="5"/>
  <c r="BK20" i="5"/>
  <c r="BK18" i="5"/>
  <c r="BK17" i="5"/>
  <c r="BR37" i="5"/>
  <c r="BR18" i="5"/>
  <c r="BY18" i="5" s="1"/>
  <c r="BR17" i="5"/>
  <c r="BY17" i="5" s="1"/>
  <c r="BR74" i="5"/>
  <c r="BR73" i="5"/>
  <c r="BR72" i="5"/>
  <c r="BR71" i="5"/>
  <c r="BR70" i="5"/>
  <c r="BR69" i="5"/>
  <c r="BR68" i="5"/>
  <c r="BR67" i="5"/>
  <c r="BR66" i="5"/>
  <c r="BR65" i="5"/>
  <c r="BR64" i="5"/>
  <c r="BR63" i="5"/>
  <c r="BR60" i="5"/>
  <c r="BR59" i="5"/>
  <c r="BR57" i="5"/>
  <c r="BR44" i="5"/>
  <c r="BR42" i="5"/>
  <c r="BR38" i="5"/>
  <c r="BR36" i="5"/>
  <c r="BR34" i="5"/>
  <c r="BR33" i="5"/>
  <c r="BR32" i="5"/>
  <c r="BR31" i="5"/>
  <c r="BR30" i="5"/>
  <c r="BR29" i="5"/>
  <c r="BR26" i="5"/>
  <c r="BR22" i="5"/>
  <c r="BR19" i="5"/>
  <c r="F36" i="36" l="1"/>
  <c r="BV75" i="5" l="1"/>
  <c r="BV74" i="5"/>
  <c r="BV73" i="5"/>
  <c r="BV72" i="5"/>
  <c r="BV71" i="5"/>
  <c r="BV70" i="5"/>
  <c r="BV69" i="5"/>
  <c r="BV68" i="5"/>
  <c r="BV67" i="5"/>
  <c r="BV66" i="5"/>
  <c r="BV65" i="5"/>
  <c r="BV64" i="5"/>
  <c r="BV63" i="5"/>
  <c r="BV60" i="5"/>
  <c r="BV59" i="5"/>
  <c r="BV57" i="5"/>
  <c r="BV55" i="5"/>
  <c r="BU55" i="5"/>
  <c r="BT55" i="5"/>
  <c r="BV44" i="5"/>
  <c r="BV42" i="5"/>
  <c r="BV38" i="5"/>
  <c r="BV37" i="5"/>
  <c r="BV36" i="5"/>
  <c r="BV34" i="5"/>
  <c r="BV33" i="5"/>
  <c r="BV32" i="5"/>
  <c r="BV31" i="5"/>
  <c r="BV30" i="5"/>
  <c r="BV29" i="5"/>
  <c r="BV26" i="5"/>
  <c r="BW25" i="5"/>
  <c r="BV25" i="5"/>
  <c r="BU25" i="5"/>
  <c r="BT25" i="5"/>
  <c r="BW24" i="5"/>
  <c r="BV24" i="5"/>
  <c r="BU24" i="5"/>
  <c r="BT24" i="5"/>
  <c r="BV22" i="5"/>
  <c r="BW21" i="5"/>
  <c r="BV21" i="5"/>
  <c r="BU21" i="5"/>
  <c r="BT21" i="5"/>
  <c r="BW20" i="5"/>
  <c r="BV20" i="5"/>
  <c r="BU20" i="5"/>
  <c r="BT20" i="5"/>
  <c r="BV19" i="5"/>
  <c r="BW18" i="5"/>
  <c r="BV18" i="5"/>
  <c r="BW17" i="5"/>
  <c r="BV17" i="5"/>
  <c r="BW16" i="5"/>
  <c r="BU16" i="5"/>
  <c r="BT16" i="5"/>
  <c r="BW15" i="5"/>
  <c r="BU15" i="5"/>
  <c r="BT15" i="5"/>
  <c r="BR14" i="5"/>
  <c r="D34" i="39" s="1"/>
  <c r="BR13" i="5"/>
  <c r="BR12" i="5"/>
  <c r="BR11" i="5"/>
  <c r="D33" i="39" s="1"/>
  <c r="BR10" i="5"/>
  <c r="BR9" i="5"/>
  <c r="BR8" i="5"/>
  <c r="BR7" i="5"/>
  <c r="BM58" i="5"/>
  <c r="BL58" i="5"/>
  <c r="BM56" i="5"/>
  <c r="BL56" i="5"/>
  <c r="BM54" i="5"/>
  <c r="BL54" i="5"/>
  <c r="BM53" i="5"/>
  <c r="BL53" i="5"/>
  <c r="BM52" i="5"/>
  <c r="BL52" i="5"/>
  <c r="BM51" i="5"/>
  <c r="BL51" i="5"/>
  <c r="BM50" i="5"/>
  <c r="BL50" i="5"/>
  <c r="BM49" i="5"/>
  <c r="BL49" i="5"/>
  <c r="BM18" i="5"/>
  <c r="BL18" i="5"/>
  <c r="BM17" i="5"/>
  <c r="BL17" i="5"/>
  <c r="BV15" i="5"/>
  <c r="BP17" i="5"/>
  <c r="BT17" i="5" s="1"/>
  <c r="BQ17" i="5"/>
  <c r="BU17" i="5" s="1"/>
  <c r="BP18" i="5"/>
  <c r="BT18" i="5" s="1"/>
  <c r="BQ18" i="5"/>
  <c r="BU18" i="5" s="1"/>
  <c r="BG58" i="5"/>
  <c r="BG56" i="5"/>
  <c r="BG54" i="5"/>
  <c r="BG53" i="5"/>
  <c r="BG52" i="5"/>
  <c r="BG51" i="5"/>
  <c r="BG50" i="5"/>
  <c r="BG49" i="5"/>
  <c r="BG21" i="5"/>
  <c r="BG20" i="5"/>
  <c r="BG18" i="5"/>
  <c r="BG17" i="5"/>
  <c r="D33" i="38" l="1"/>
  <c r="D34" i="38"/>
  <c r="BV7" i="5"/>
  <c r="BV8" i="5"/>
  <c r="BV9" i="5"/>
  <c r="BV10" i="5"/>
  <c r="BV11" i="5"/>
  <c r="BV12" i="5"/>
  <c r="BV13" i="5"/>
  <c r="BV14" i="5"/>
  <c r="BV16" i="5"/>
  <c r="BR61" i="5" l="1"/>
  <c r="BR45" i="5"/>
  <c r="BR39" i="5"/>
  <c r="BR35" i="5"/>
  <c r="BV35" i="5" l="1"/>
  <c r="BV39" i="5"/>
  <c r="BV45" i="5"/>
  <c r="BV61" i="5"/>
  <c r="BR23" i="5"/>
  <c r="BR28" i="5"/>
  <c r="BR27" i="5" l="1"/>
  <c r="BR82" i="5" s="1"/>
  <c r="BV28" i="5"/>
  <c r="BV23" i="5"/>
  <c r="BR46" i="5"/>
  <c r="BR83" i="5" s="1"/>
  <c r="BV27" i="5"/>
  <c r="BV82" i="5" s="1"/>
  <c r="BR84" i="5" l="1"/>
  <c r="BV46" i="5"/>
  <c r="BV83" i="5" s="1"/>
  <c r="BV84" i="5" s="1"/>
  <c r="BR48" i="5"/>
  <c r="BR47" i="5"/>
  <c r="BR81" i="5" s="1"/>
  <c r="BV48" i="5" l="1"/>
  <c r="BV47" i="5"/>
  <c r="BV81" i="5" s="1"/>
  <c r="M52" i="31"/>
  <c r="H57" i="31" l="1"/>
  <c r="M61" i="19" l="1"/>
  <c r="H64" i="19" l="1"/>
  <c r="H61" i="19" s="1"/>
  <c r="AC62" i="36" l="1"/>
  <c r="U62" i="36"/>
  <c r="Y56" i="36"/>
  <c r="Y55" i="36"/>
  <c r="E57" i="36"/>
  <c r="E56" i="36"/>
  <c r="G55" i="36"/>
  <c r="S75" i="36" s="1"/>
  <c r="E55" i="36"/>
  <c r="M52" i="36" s="1"/>
  <c r="X55" i="36"/>
  <c r="S33" i="36" l="1"/>
  <c r="Y62" i="36"/>
  <c r="Z62" i="36"/>
  <c r="J10" i="36"/>
  <c r="B61" i="36"/>
  <c r="F48" i="36" s="1"/>
  <c r="M19" i="34" l="1"/>
  <c r="M23" i="34" s="1"/>
  <c r="M23" i="9" l="1"/>
  <c r="M33" i="9" s="1"/>
  <c r="P74" i="21" l="1"/>
  <c r="O74" i="21"/>
  <c r="N74" i="21"/>
  <c r="M74" i="21"/>
  <c r="L74" i="21"/>
  <c r="K74" i="21"/>
  <c r="J74" i="21"/>
  <c r="I74" i="21"/>
  <c r="H74" i="21"/>
  <c r="G74" i="21"/>
  <c r="F74" i="21"/>
  <c r="E74" i="21"/>
  <c r="P58" i="21" l="1"/>
  <c r="O58" i="21"/>
  <c r="N58" i="21"/>
  <c r="M58" i="21"/>
  <c r="L58" i="21"/>
  <c r="K58" i="21"/>
  <c r="J58" i="21"/>
  <c r="I58" i="21"/>
  <c r="H58" i="21"/>
  <c r="P54" i="21"/>
  <c r="O54" i="21"/>
  <c r="N54" i="21"/>
  <c r="M54" i="21"/>
  <c r="L54" i="21"/>
  <c r="K54" i="21"/>
  <c r="J54" i="21"/>
  <c r="I54" i="21"/>
  <c r="H54" i="21"/>
  <c r="O30" i="21"/>
  <c r="N30" i="21"/>
  <c r="M30" i="21"/>
  <c r="L30" i="21"/>
  <c r="K30" i="21"/>
  <c r="J30" i="21"/>
  <c r="I30" i="21"/>
  <c r="H30" i="21"/>
  <c r="P29" i="21"/>
  <c r="O29" i="21"/>
  <c r="N29" i="21"/>
  <c r="M29" i="21"/>
  <c r="L29" i="21"/>
  <c r="K29" i="21"/>
  <c r="J29" i="21"/>
  <c r="I29" i="21"/>
  <c r="H29" i="21"/>
  <c r="P28" i="21"/>
  <c r="O28" i="21"/>
  <c r="N28" i="21"/>
  <c r="M28" i="21"/>
  <c r="L28" i="21"/>
  <c r="K28" i="21"/>
  <c r="J28" i="21"/>
  <c r="I28" i="21"/>
  <c r="H28" i="21"/>
  <c r="P21" i="21"/>
  <c r="O21" i="21"/>
  <c r="N21" i="21"/>
  <c r="M21" i="21"/>
  <c r="L21" i="21"/>
  <c r="K21" i="21"/>
  <c r="J21" i="21"/>
  <c r="I21" i="21"/>
  <c r="H21" i="21"/>
  <c r="P73" i="21" l="1"/>
  <c r="O73" i="21"/>
  <c r="N73" i="21"/>
  <c r="M73" i="21"/>
  <c r="L73" i="21"/>
  <c r="K73" i="21"/>
  <c r="J73" i="21"/>
  <c r="I73" i="21"/>
  <c r="H73" i="21"/>
  <c r="G73" i="21"/>
  <c r="F73" i="21"/>
  <c r="E73" i="21"/>
  <c r="P72" i="21"/>
  <c r="O72" i="21"/>
  <c r="N72" i="21"/>
  <c r="M72" i="21"/>
  <c r="L72" i="21"/>
  <c r="K72" i="21"/>
  <c r="J72" i="21"/>
  <c r="I72" i="21"/>
  <c r="H72" i="21"/>
  <c r="G72" i="21"/>
  <c r="F72" i="21"/>
  <c r="E72" i="21"/>
  <c r="P70" i="21"/>
  <c r="O70" i="21"/>
  <c r="N70" i="21"/>
  <c r="M70" i="21"/>
  <c r="L70" i="21"/>
  <c r="K70" i="21"/>
  <c r="J70" i="21"/>
  <c r="I70" i="21"/>
  <c r="H70" i="21"/>
  <c r="P69" i="21"/>
  <c r="P68" i="21" s="1"/>
  <c r="O69" i="21"/>
  <c r="O68" i="21" s="1"/>
  <c r="N69" i="21"/>
  <c r="N68" i="21" s="1"/>
  <c r="M69" i="21"/>
  <c r="M68" i="21" s="1"/>
  <c r="L69" i="21"/>
  <c r="L68" i="21" s="1"/>
  <c r="K69" i="21"/>
  <c r="K68" i="21" s="1"/>
  <c r="J69" i="21"/>
  <c r="J68" i="21" s="1"/>
  <c r="I69" i="21"/>
  <c r="I68" i="21" s="1"/>
  <c r="H69" i="21"/>
  <c r="H68" i="21" s="1"/>
  <c r="G69" i="21"/>
  <c r="G68" i="21" s="1"/>
  <c r="F69" i="21"/>
  <c r="F68" i="21" s="1"/>
  <c r="E69" i="21"/>
  <c r="E68" i="21" s="1"/>
  <c r="P67" i="21"/>
  <c r="O67" i="21"/>
  <c r="N67" i="21"/>
  <c r="M67" i="21"/>
  <c r="L67" i="21"/>
  <c r="K67" i="21"/>
  <c r="J67" i="21"/>
  <c r="I67" i="21"/>
  <c r="H67" i="21"/>
  <c r="P66" i="21"/>
  <c r="O66" i="21"/>
  <c r="N66" i="21"/>
  <c r="M66" i="21"/>
  <c r="L66" i="21"/>
  <c r="K66" i="21"/>
  <c r="J66" i="21"/>
  <c r="I66" i="21"/>
  <c r="H66" i="21"/>
  <c r="P65" i="21"/>
  <c r="O65" i="21"/>
  <c r="N65" i="21"/>
  <c r="M65" i="21"/>
  <c r="L65" i="21"/>
  <c r="K65" i="21"/>
  <c r="J65" i="21"/>
  <c r="I65" i="21"/>
  <c r="H65" i="21"/>
  <c r="P56" i="21"/>
  <c r="O56" i="21"/>
  <c r="N56" i="21"/>
  <c r="M56" i="21"/>
  <c r="L56" i="21"/>
  <c r="K56" i="21"/>
  <c r="J56" i="21"/>
  <c r="I56" i="21"/>
  <c r="H56" i="21"/>
  <c r="G56" i="21"/>
  <c r="F56" i="21"/>
  <c r="E56" i="21"/>
  <c r="P13" i="21"/>
  <c r="O13" i="21"/>
  <c r="N13" i="21"/>
  <c r="M13" i="21"/>
  <c r="L13" i="21"/>
  <c r="K13" i="21"/>
  <c r="J13" i="21"/>
  <c r="I13" i="21"/>
  <c r="H13" i="21"/>
  <c r="P12" i="21"/>
  <c r="O12" i="21"/>
  <c r="N12" i="21"/>
  <c r="M12" i="21"/>
  <c r="L12" i="21"/>
  <c r="K12" i="21"/>
  <c r="J12" i="21"/>
  <c r="I12" i="21"/>
  <c r="H12" i="21"/>
  <c r="P11" i="21"/>
  <c r="O11" i="21"/>
  <c r="N11" i="21"/>
  <c r="M11" i="21"/>
  <c r="L11" i="21"/>
  <c r="K11" i="21"/>
  <c r="J11" i="21"/>
  <c r="I11" i="21"/>
  <c r="H11" i="21"/>
  <c r="P10" i="21"/>
  <c r="O10" i="21"/>
  <c r="N10" i="21"/>
  <c r="M10" i="21"/>
  <c r="L10" i="21"/>
  <c r="K10" i="21"/>
  <c r="J10" i="21"/>
  <c r="I10" i="21"/>
  <c r="H10" i="21"/>
  <c r="P9" i="21"/>
  <c r="O9" i="21"/>
  <c r="N9" i="21"/>
  <c r="M9" i="21"/>
  <c r="L9" i="21"/>
  <c r="K9" i="21"/>
  <c r="J9" i="21"/>
  <c r="I9" i="21"/>
  <c r="H9" i="21"/>
  <c r="P8" i="21"/>
  <c r="O8" i="21"/>
  <c r="N8" i="21"/>
  <c r="M8" i="21"/>
  <c r="L8" i="21"/>
  <c r="K8" i="21"/>
  <c r="J8" i="21"/>
  <c r="I8" i="21"/>
  <c r="H8" i="21"/>
  <c r="P7" i="21"/>
  <c r="O7" i="21"/>
  <c r="N7" i="21"/>
  <c r="M7" i="21"/>
  <c r="L7" i="21"/>
  <c r="K7" i="21"/>
  <c r="J7" i="21"/>
  <c r="I7" i="21"/>
  <c r="H7" i="21"/>
  <c r="P6" i="21"/>
  <c r="O6" i="21"/>
  <c r="N6" i="21"/>
  <c r="M6" i="21"/>
  <c r="L6" i="21"/>
  <c r="K6" i="21"/>
  <c r="J6" i="21"/>
  <c r="I6" i="21"/>
  <c r="H6" i="21"/>
  <c r="N19" i="34" l="1"/>
  <c r="L19" i="34"/>
  <c r="J19" i="34"/>
  <c r="I19" i="34"/>
  <c r="S25" i="12" l="1"/>
  <c r="Q25" i="12"/>
  <c r="M27" i="12" l="1"/>
  <c r="J27" i="12"/>
  <c r="M26" i="12"/>
  <c r="J26" i="12"/>
  <c r="M25" i="12"/>
  <c r="J25" i="12"/>
  <c r="J24" i="12"/>
  <c r="AK66" i="19"/>
  <c r="AK64" i="20" s="1"/>
  <c r="H66" i="20"/>
  <c r="S36" i="20" l="1"/>
  <c r="J28" i="20"/>
  <c r="M28" i="20"/>
  <c r="J29" i="20"/>
  <c r="M29" i="20"/>
  <c r="J30" i="20"/>
  <c r="M30" i="20"/>
  <c r="L9" i="20" l="1"/>
  <c r="K9" i="20"/>
  <c r="D36" i="20" l="1"/>
  <c r="E36" i="20" l="1"/>
  <c r="BN53" i="5"/>
  <c r="BN52" i="5"/>
  <c r="BN51" i="5"/>
  <c r="BN50" i="5"/>
  <c r="BN25" i="5"/>
  <c r="BN24" i="5"/>
  <c r="BN21" i="5"/>
  <c r="BN20" i="5"/>
  <c r="BN18" i="5"/>
  <c r="BN17" i="5"/>
  <c r="M29" i="19" l="1"/>
  <c r="J29" i="19"/>
  <c r="U83" i="20" l="1"/>
  <c r="S76" i="20" l="1"/>
  <c r="M28" i="19" l="1"/>
  <c r="M27" i="19"/>
  <c r="M26" i="19"/>
  <c r="J28" i="19"/>
  <c r="J27" i="19"/>
  <c r="J26" i="19"/>
  <c r="S36" i="19"/>
  <c r="P36" i="19"/>
  <c r="I19" i="19" l="1"/>
  <c r="E36" i="14" l="1"/>
  <c r="E34" i="14"/>
  <c r="E33" i="14"/>
  <c r="E31" i="17"/>
  <c r="E29" i="17"/>
  <c r="E28" i="17"/>
  <c r="E31" i="16"/>
  <c r="E29" i="16"/>
  <c r="E28" i="16"/>
  <c r="AA20" i="33"/>
  <c r="E12" i="33"/>
  <c r="L9" i="33"/>
  <c r="K9" i="33"/>
  <c r="AA20" i="15"/>
  <c r="E12" i="15"/>
  <c r="L9" i="15"/>
  <c r="K9" i="15"/>
  <c r="E12" i="20"/>
  <c r="E12" i="14"/>
  <c r="L9" i="14"/>
  <c r="K9" i="14"/>
  <c r="B7" i="17"/>
  <c r="U41" i="16"/>
  <c r="C14" i="16" s="1"/>
  <c r="S29" i="16"/>
  <c r="S28" i="16"/>
  <c r="M28" i="16"/>
  <c r="AF14" i="16"/>
  <c r="Z14" i="16"/>
  <c r="X14" i="16"/>
  <c r="W14" i="16"/>
  <c r="R14" i="16"/>
  <c r="M14" i="16"/>
  <c r="K14" i="16"/>
  <c r="D14" i="16"/>
  <c r="W9" i="16"/>
  <c r="W8" i="16"/>
  <c r="G7" i="16"/>
  <c r="F7" i="16"/>
  <c r="E7" i="16"/>
  <c r="B7" i="16"/>
  <c r="J9" i="14" l="1"/>
  <c r="E33" i="40"/>
  <c r="F33" i="40" s="1"/>
  <c r="E34" i="40"/>
  <c r="F34" i="40" s="1"/>
  <c r="E36" i="40"/>
  <c r="F36" i="40" s="1"/>
  <c r="J9" i="33"/>
  <c r="J9" i="15"/>
  <c r="J9" i="20"/>
  <c r="F19" i="34" l="1"/>
  <c r="E19" i="34"/>
  <c r="M25" i="19" l="1"/>
  <c r="J25" i="19"/>
  <c r="AT455" i="34" l="1"/>
  <c r="S24" i="34"/>
  <c r="D47" i="34"/>
  <c r="C47" i="34"/>
  <c r="Q24" i="34"/>
  <c r="Q20" i="34"/>
  <c r="P20" i="34"/>
  <c r="N20" i="34"/>
  <c r="G20" i="34"/>
  <c r="L20" i="34"/>
  <c r="J20" i="34"/>
  <c r="I20" i="34"/>
  <c r="H19" i="34"/>
  <c r="H20" i="34" s="1"/>
  <c r="F20" i="34"/>
  <c r="E20" i="34"/>
  <c r="D5" i="34"/>
  <c r="B1" i="34"/>
  <c r="C1" i="34" s="1"/>
  <c r="M52" i="34" l="1"/>
  <c r="B61" i="34" s="1"/>
  <c r="F48" i="34" s="1"/>
  <c r="X62" i="34"/>
  <c r="J10" i="34" l="1"/>
  <c r="X62" i="9" l="1"/>
  <c r="X62" i="12" l="1"/>
  <c r="X53" i="31" l="1"/>
  <c r="X53" i="27"/>
  <c r="S34" i="19" l="1"/>
  <c r="P34" i="19"/>
  <c r="S66" i="33" l="1"/>
  <c r="AC62" i="33"/>
  <c r="U62" i="33"/>
  <c r="R61" i="33"/>
  <c r="F61" i="33"/>
  <c r="E61" i="33"/>
  <c r="C61" i="33"/>
  <c r="Y56" i="33"/>
  <c r="X56" i="33" s="1"/>
  <c r="Y55" i="33"/>
  <c r="X55" i="33" s="1"/>
  <c r="E57" i="33"/>
  <c r="E56" i="33"/>
  <c r="G55" i="33"/>
  <c r="E55" i="33"/>
  <c r="Z62" i="33"/>
  <c r="Y62" i="33" s="1"/>
  <c r="Z62" i="15"/>
  <c r="Y62" i="15" s="1"/>
  <c r="S66" i="15"/>
  <c r="AC62" i="15"/>
  <c r="U62" i="15"/>
  <c r="R61" i="15"/>
  <c r="F61" i="15"/>
  <c r="E61" i="15"/>
  <c r="C61" i="15"/>
  <c r="Y56" i="15"/>
  <c r="X56" i="15" s="1"/>
  <c r="Y55" i="15"/>
  <c r="X55" i="15" s="1"/>
  <c r="E57" i="15"/>
  <c r="E56" i="15"/>
  <c r="G55" i="15"/>
  <c r="E55" i="15"/>
  <c r="J27" i="15" l="1"/>
  <c r="M27" i="15"/>
  <c r="J28" i="15"/>
  <c r="M28" i="15"/>
  <c r="J29" i="15"/>
  <c r="M29" i="15"/>
  <c r="J30" i="15"/>
  <c r="M30" i="15"/>
  <c r="Q78" i="33" l="1"/>
  <c r="AA66" i="33" l="1"/>
  <c r="AK66" i="11" l="1"/>
  <c r="Y25" i="15" l="1"/>
  <c r="Y24" i="15"/>
  <c r="S25" i="15"/>
  <c r="M26" i="15"/>
  <c r="J26" i="15"/>
  <c r="AA67" i="15" l="1"/>
  <c r="AA25" i="15" s="1"/>
  <c r="AA66" i="15"/>
  <c r="AA24" i="15" s="1"/>
  <c r="AD54" i="15" l="1"/>
  <c r="H64" i="15" s="1"/>
  <c r="H70" i="15" l="1"/>
  <c r="S24" i="15"/>
  <c r="M65" i="33" l="1"/>
  <c r="M76" i="33" s="1"/>
  <c r="X62" i="33"/>
  <c r="D47" i="33"/>
  <c r="C47" i="33"/>
  <c r="M25" i="33"/>
  <c r="J25" i="33"/>
  <c r="M24" i="33"/>
  <c r="J24" i="33"/>
  <c r="Q20" i="33"/>
  <c r="P20" i="33"/>
  <c r="N20" i="33"/>
  <c r="H20" i="33"/>
  <c r="G20" i="33"/>
  <c r="M19" i="33"/>
  <c r="M23" i="33" s="1"/>
  <c r="L19" i="33"/>
  <c r="L20" i="33" s="1"/>
  <c r="K19" i="33"/>
  <c r="K20" i="33" s="1"/>
  <c r="J19" i="33"/>
  <c r="J20" i="33" s="1"/>
  <c r="I19" i="33"/>
  <c r="I20" i="33" s="1"/>
  <c r="F19" i="33"/>
  <c r="F20" i="33" s="1"/>
  <c r="E19" i="33"/>
  <c r="E20" i="33" s="1"/>
  <c r="D5" i="33"/>
  <c r="C5" i="33"/>
  <c r="B1" i="33"/>
  <c r="C1" i="33" s="1"/>
  <c r="Q20" i="15"/>
  <c r="P20" i="15"/>
  <c r="N20" i="15"/>
  <c r="H20" i="15"/>
  <c r="G20" i="15"/>
  <c r="M28" i="33" l="1"/>
  <c r="M29" i="33" s="1"/>
  <c r="M20" i="33"/>
  <c r="M52" i="33"/>
  <c r="B61" i="33" s="1"/>
  <c r="F48" i="33" s="1"/>
  <c r="O9" i="33"/>
  <c r="J10" i="33" l="1"/>
  <c r="AA57" i="31" l="1"/>
  <c r="M21" i="31" l="1"/>
  <c r="AA19" i="31"/>
  <c r="M56" i="31"/>
  <c r="M68" i="31" s="1"/>
  <c r="L14" i="31"/>
  <c r="L15" i="31" s="1"/>
  <c r="K14" i="31"/>
  <c r="K15" i="31" s="1"/>
  <c r="E14" i="31"/>
  <c r="E15" i="31" s="1"/>
  <c r="M27" i="31"/>
  <c r="M26" i="31"/>
  <c r="M25" i="31"/>
  <c r="M24" i="31"/>
  <c r="C23" i="31"/>
  <c r="M22" i="31"/>
  <c r="AA20" i="31"/>
  <c r="Y20" i="31"/>
  <c r="S20" i="31"/>
  <c r="M20" i="31"/>
  <c r="Y19" i="31"/>
  <c r="M19" i="31"/>
  <c r="Q15" i="31"/>
  <c r="P15" i="31"/>
  <c r="N15" i="31"/>
  <c r="G15" i="31"/>
  <c r="J14" i="31"/>
  <c r="J15" i="31" s="1"/>
  <c r="I14" i="31"/>
  <c r="I15" i="31" s="1"/>
  <c r="H14" i="31"/>
  <c r="H15" i="31" s="1"/>
  <c r="F14" i="31"/>
  <c r="F15" i="31" s="1"/>
  <c r="B1" i="31"/>
  <c r="C1" i="31" s="1"/>
  <c r="M43" i="31" l="1"/>
  <c r="J5" i="31" l="1"/>
  <c r="E45" i="31"/>
  <c r="H19" i="11" l="1"/>
  <c r="Q26" i="12" l="1"/>
  <c r="S26" i="12"/>
  <c r="BE21" i="5" l="1"/>
  <c r="BD21" i="5"/>
  <c r="BC21" i="5"/>
  <c r="BB21" i="5"/>
  <c r="BE20" i="5"/>
  <c r="BD20" i="5"/>
  <c r="BC20" i="5"/>
  <c r="BB20" i="5"/>
  <c r="BE18" i="5"/>
  <c r="BD18" i="5"/>
  <c r="BC18" i="5"/>
  <c r="BB18" i="5"/>
  <c r="BE17" i="5"/>
  <c r="BD17" i="5"/>
  <c r="BC17" i="5"/>
  <c r="BB17" i="5"/>
  <c r="AC73" i="29" l="1"/>
  <c r="AB73" i="29"/>
  <c r="Z72" i="29"/>
  <c r="AC72" i="29"/>
  <c r="AB72" i="29"/>
  <c r="AA72" i="29"/>
  <c r="Q72" i="29"/>
  <c r="AC70" i="29"/>
  <c r="AB70" i="29"/>
  <c r="AA70" i="29"/>
  <c r="Z70" i="29"/>
  <c r="Q70" i="29"/>
  <c r="AC69" i="29"/>
  <c r="AB69" i="29"/>
  <c r="AA69" i="29"/>
  <c r="Q69" i="29"/>
  <c r="AC68" i="29"/>
  <c r="AB68" i="29"/>
  <c r="AC67" i="29"/>
  <c r="AB67" i="29"/>
  <c r="AA67" i="29"/>
  <c r="Z67" i="29"/>
  <c r="AC66" i="29"/>
  <c r="AB66" i="29"/>
  <c r="AA66" i="29"/>
  <c r="Z66" i="29"/>
  <c r="AC65" i="29"/>
  <c r="AB65" i="29"/>
  <c r="AA65" i="29"/>
  <c r="Z65" i="29"/>
  <c r="AC58" i="29"/>
  <c r="AB58" i="29"/>
  <c r="Q58" i="29"/>
  <c r="AC56" i="29"/>
  <c r="AB56" i="29"/>
  <c r="AA56" i="29"/>
  <c r="Q56" i="29"/>
  <c r="Q52" i="29"/>
  <c r="Q51" i="29"/>
  <c r="Q50" i="29"/>
  <c r="Q49" i="29"/>
  <c r="Q42" i="29"/>
  <c r="Q40" i="29"/>
  <c r="Q39" i="29"/>
  <c r="AC36" i="29"/>
  <c r="AB36" i="29"/>
  <c r="AA36" i="29"/>
  <c r="Z36" i="29"/>
  <c r="AD36" i="29" s="1"/>
  <c r="Q36" i="29"/>
  <c r="Z30" i="29"/>
  <c r="Q24" i="29"/>
  <c r="Q23" i="29"/>
  <c r="Z21" i="29"/>
  <c r="Q20" i="29"/>
  <c r="Q19" i="29"/>
  <c r="Q17" i="29"/>
  <c r="Q16" i="29"/>
  <c r="AC13" i="29"/>
  <c r="AB13" i="29"/>
  <c r="AA13" i="29"/>
  <c r="Q13" i="29"/>
  <c r="AC12" i="29"/>
  <c r="AB12" i="29"/>
  <c r="AA12" i="29"/>
  <c r="Q12" i="29"/>
  <c r="AC11" i="29"/>
  <c r="AB11" i="29"/>
  <c r="AA11" i="29"/>
  <c r="Q11" i="29"/>
  <c r="AC10" i="29"/>
  <c r="AB10" i="29"/>
  <c r="AA10" i="29"/>
  <c r="Z10" i="29"/>
  <c r="AC9" i="29"/>
  <c r="AB9" i="29"/>
  <c r="AA9" i="29"/>
  <c r="Z9" i="29"/>
  <c r="AC8" i="29"/>
  <c r="AB8" i="29"/>
  <c r="AA8" i="29"/>
  <c r="Z8" i="29"/>
  <c r="AC7" i="29"/>
  <c r="AB7" i="29"/>
  <c r="AA7" i="29"/>
  <c r="Z7" i="29"/>
  <c r="AC6" i="29"/>
  <c r="AB6" i="29"/>
  <c r="AA6" i="29"/>
  <c r="Z6" i="29"/>
  <c r="F1" i="29"/>
  <c r="G1" i="29" s="1"/>
  <c r="H1" i="29" s="1"/>
  <c r="I1" i="29" s="1"/>
  <c r="J1" i="29" s="1"/>
  <c r="K1" i="29" s="1"/>
  <c r="L1" i="29" s="1"/>
  <c r="M1" i="29" s="1"/>
  <c r="N1" i="29" s="1"/>
  <c r="O1" i="29" s="1"/>
  <c r="P1" i="29" s="1"/>
  <c r="B1" i="29"/>
  <c r="G3" i="29" s="1"/>
  <c r="S5" i="29" l="1"/>
  <c r="H3" i="29"/>
  <c r="H2" i="29"/>
  <c r="AD70" i="29"/>
  <c r="AD72" i="29"/>
  <c r="AD7" i="29"/>
  <c r="AD10" i="29"/>
  <c r="AD65" i="29"/>
  <c r="AD66" i="29"/>
  <c r="AD67" i="29"/>
  <c r="Q68" i="29"/>
  <c r="AD9" i="29"/>
  <c r="Z68" i="29"/>
  <c r="AD6" i="29"/>
  <c r="AD8" i="29"/>
  <c r="I2" i="29"/>
  <c r="I3" i="29"/>
  <c r="Q9" i="29"/>
  <c r="Z29" i="29"/>
  <c r="Q66" i="29"/>
  <c r="J2" i="29"/>
  <c r="J3" i="29"/>
  <c r="Q8" i="29"/>
  <c r="Z28" i="29"/>
  <c r="Z58" i="29"/>
  <c r="Q65" i="29"/>
  <c r="AA68" i="29"/>
  <c r="K2" i="29"/>
  <c r="K3" i="29"/>
  <c r="V5" i="29"/>
  <c r="Q7" i="29"/>
  <c r="Z13" i="29"/>
  <c r="AD13" i="29" s="1"/>
  <c r="Z56" i="29"/>
  <c r="AD56" i="29" s="1"/>
  <c r="AA58" i="29"/>
  <c r="L2" i="29"/>
  <c r="L3" i="29"/>
  <c r="Q6" i="29"/>
  <c r="Z12" i="29"/>
  <c r="AD12" i="29" s="1"/>
  <c r="Z54" i="29"/>
  <c r="Z69" i="29"/>
  <c r="AD69" i="29" s="1"/>
  <c r="M2" i="29"/>
  <c r="M3" i="29"/>
  <c r="Z11" i="29"/>
  <c r="AD11" i="29" s="1"/>
  <c r="Q10" i="29"/>
  <c r="Q67" i="29"/>
  <c r="N2" i="29"/>
  <c r="N3" i="29"/>
  <c r="O2" i="29"/>
  <c r="O3" i="29"/>
  <c r="P2" i="29"/>
  <c r="P3" i="29"/>
  <c r="E2" i="29"/>
  <c r="E3" i="29"/>
  <c r="F2" i="29"/>
  <c r="F3" i="29"/>
  <c r="G2" i="29"/>
  <c r="X77" i="29" l="1"/>
  <c r="X76" i="29"/>
  <c r="X75" i="29"/>
  <c r="X74" i="29"/>
  <c r="S77" i="29"/>
  <c r="S76" i="29"/>
  <c r="S75" i="29"/>
  <c r="S74" i="29"/>
  <c r="S66" i="29"/>
  <c r="T5" i="29"/>
  <c r="S28" i="29"/>
  <c r="S3" i="29"/>
  <c r="S6" i="29"/>
  <c r="S72" i="29"/>
  <c r="S12" i="29"/>
  <c r="S70" i="29"/>
  <c r="S58" i="29"/>
  <c r="S67" i="29"/>
  <c r="AD58" i="29"/>
  <c r="S7" i="29"/>
  <c r="S56" i="29"/>
  <c r="S13" i="29"/>
  <c r="S8" i="29"/>
  <c r="S9" i="29"/>
  <c r="S36" i="29"/>
  <c r="S21" i="29"/>
  <c r="S29" i="29"/>
  <c r="S11" i="29"/>
  <c r="X6" i="29"/>
  <c r="X7" i="29"/>
  <c r="X65" i="29"/>
  <c r="X8" i="29"/>
  <c r="X66" i="29"/>
  <c r="X9" i="29"/>
  <c r="X72" i="29"/>
  <c r="X67" i="29"/>
  <c r="X36" i="29"/>
  <c r="X10" i="29"/>
  <c r="X68" i="29"/>
  <c r="X11" i="29"/>
  <c r="X69" i="29"/>
  <c r="X12" i="29"/>
  <c r="X70" i="29"/>
  <c r="X13" i="29"/>
  <c r="X58" i="29"/>
  <c r="S65" i="29"/>
  <c r="S69" i="29"/>
  <c r="AX70" i="5" s="1"/>
  <c r="S30" i="29"/>
  <c r="S10" i="29"/>
  <c r="AD68" i="29"/>
  <c r="S68" i="29"/>
  <c r="S54" i="29"/>
  <c r="S73" i="29"/>
  <c r="AX8" i="5" l="1"/>
  <c r="AX59" i="5"/>
  <c r="AX10" i="5"/>
  <c r="AX57" i="5"/>
  <c r="AX74" i="5"/>
  <c r="AX68" i="5"/>
  <c r="AX69" i="5"/>
  <c r="AX12" i="5"/>
  <c r="AX13" i="5"/>
  <c r="AX22" i="5"/>
  <c r="AX55" i="5"/>
  <c r="B12" i="50" s="1"/>
  <c r="AX71" i="5"/>
  <c r="AX30" i="5"/>
  <c r="AX11" i="5"/>
  <c r="AX73" i="5"/>
  <c r="AX31" i="5"/>
  <c r="AX37" i="5"/>
  <c r="AX75" i="5"/>
  <c r="AX76" i="5"/>
  <c r="T3" i="29"/>
  <c r="T77" i="29"/>
  <c r="T76" i="29"/>
  <c r="T75" i="29"/>
  <c r="T74" i="29"/>
  <c r="AX66" i="5"/>
  <c r="AX7" i="5"/>
  <c r="AX9" i="5"/>
  <c r="AX14" i="5"/>
  <c r="AX67" i="5"/>
  <c r="T66" i="29"/>
  <c r="T28" i="29"/>
  <c r="T8" i="29"/>
  <c r="T11" i="29"/>
  <c r="T13" i="29"/>
  <c r="T68" i="29"/>
  <c r="AY69" i="5" s="1"/>
  <c r="T6" i="29"/>
  <c r="T70" i="29"/>
  <c r="T54" i="29"/>
  <c r="T69" i="29"/>
  <c r="T30" i="29"/>
  <c r="U5" i="29"/>
  <c r="T73" i="29"/>
  <c r="T58" i="29"/>
  <c r="T65" i="29"/>
  <c r="T10" i="29"/>
  <c r="T36" i="29"/>
  <c r="T29" i="29"/>
  <c r="T21" i="29"/>
  <c r="AY22" i="5" s="1"/>
  <c r="T7" i="29"/>
  <c r="T56" i="29"/>
  <c r="T12" i="29"/>
  <c r="T67" i="29"/>
  <c r="T72" i="29"/>
  <c r="T9" i="29"/>
  <c r="AX29" i="5"/>
  <c r="U58" i="29"/>
  <c r="U3" i="29"/>
  <c r="U7" i="29"/>
  <c r="U65" i="29"/>
  <c r="AY30" i="5" l="1"/>
  <c r="AY76" i="5"/>
  <c r="AY37" i="5"/>
  <c r="AY14" i="5"/>
  <c r="AZ75" i="5"/>
  <c r="AY9" i="5"/>
  <c r="AY74" i="5"/>
  <c r="AY67" i="5"/>
  <c r="AY73" i="5"/>
  <c r="AY59" i="5"/>
  <c r="AY29" i="5"/>
  <c r="AY10" i="5"/>
  <c r="AY68" i="5"/>
  <c r="AY31" i="5"/>
  <c r="AY13" i="5"/>
  <c r="AY70" i="5"/>
  <c r="AY57" i="5"/>
  <c r="AY55" i="5"/>
  <c r="AY11" i="5"/>
  <c r="AY12" i="5"/>
  <c r="AY66" i="5"/>
  <c r="AY8" i="5"/>
  <c r="AY71" i="5"/>
  <c r="AY7" i="5"/>
  <c r="AY75" i="5"/>
  <c r="AZ59" i="5"/>
  <c r="U72" i="29"/>
  <c r="U77" i="29"/>
  <c r="V77" i="29" s="1"/>
  <c r="U76" i="29"/>
  <c r="V76" i="29" s="1"/>
  <c r="U75" i="29"/>
  <c r="U74" i="29"/>
  <c r="V74" i="29" s="1"/>
  <c r="U69" i="29"/>
  <c r="V69" i="29" s="1"/>
  <c r="U9" i="29"/>
  <c r="V9" i="29" s="1"/>
  <c r="U66" i="29"/>
  <c r="V66" i="29" s="1"/>
  <c r="U8" i="29"/>
  <c r="V8" i="29" s="1"/>
  <c r="U11" i="29"/>
  <c r="V11" i="29" s="1"/>
  <c r="U12" i="29"/>
  <c r="V12" i="29" s="1"/>
  <c r="U68" i="29"/>
  <c r="U10" i="29"/>
  <c r="V10" i="29" s="1"/>
  <c r="U6" i="29"/>
  <c r="V6" i="29" s="1"/>
  <c r="U67" i="29"/>
  <c r="V67" i="29" s="1"/>
  <c r="U13" i="29"/>
  <c r="V13" i="29" s="1"/>
  <c r="U70" i="29"/>
  <c r="V70" i="29" s="1"/>
  <c r="U56" i="29"/>
  <c r="U36" i="29"/>
  <c r="V36" i="29" s="1"/>
  <c r="U73" i="29"/>
  <c r="V73" i="29" s="1"/>
  <c r="AZ10" i="5"/>
  <c r="V7" i="29"/>
  <c r="AZ8" i="5"/>
  <c r="V65" i="29"/>
  <c r="AZ66" i="5"/>
  <c r="V72" i="29"/>
  <c r="AZ73" i="5"/>
  <c r="AZ13" i="5"/>
  <c r="BA13" i="5" s="1"/>
  <c r="AZ70" i="5"/>
  <c r="BA70" i="5" s="1"/>
  <c r="V68" i="29"/>
  <c r="AZ69" i="5"/>
  <c r="BA69" i="5" s="1"/>
  <c r="V58" i="29"/>
  <c r="BA10" i="5" l="1"/>
  <c r="BA73" i="5"/>
  <c r="AZ67" i="5"/>
  <c r="BA67" i="5" s="1"/>
  <c r="AZ12" i="5"/>
  <c r="BA12" i="5" s="1"/>
  <c r="BA8" i="5"/>
  <c r="AZ9" i="5"/>
  <c r="BA9" i="5" s="1"/>
  <c r="V56" i="29"/>
  <c r="AZ57" i="5"/>
  <c r="BA57" i="5" s="1"/>
  <c r="V75" i="29"/>
  <c r="AZ76" i="5"/>
  <c r="BA76" i="5" s="1"/>
  <c r="BA66" i="5"/>
  <c r="AZ11" i="5"/>
  <c r="BA11" i="5" s="1"/>
  <c r="AZ71" i="5"/>
  <c r="BA71" i="5" s="1"/>
  <c r="AZ7" i="5"/>
  <c r="BA7" i="5" s="1"/>
  <c r="AZ74" i="5"/>
  <c r="BA74" i="5" s="1"/>
  <c r="BA75" i="5"/>
  <c r="AZ37" i="5"/>
  <c r="AZ68" i="5"/>
  <c r="AZ14" i="5"/>
  <c r="BA14" i="5" s="1"/>
  <c r="BA37" i="5"/>
  <c r="BA59" i="5"/>
  <c r="BA68" i="5" l="1"/>
  <c r="C23" i="27"/>
  <c r="M21" i="27" l="1"/>
  <c r="M20" i="27"/>
  <c r="J21" i="27"/>
  <c r="J20" i="27"/>
  <c r="M52" i="11" l="1"/>
  <c r="M52" i="9"/>
  <c r="D5" i="20" l="1"/>
  <c r="C5" i="20"/>
  <c r="D47" i="20"/>
  <c r="C47" i="20"/>
  <c r="D47" i="15"/>
  <c r="C47" i="15"/>
  <c r="D5" i="15"/>
  <c r="C5" i="15"/>
  <c r="D5" i="14"/>
  <c r="C5" i="14"/>
  <c r="D47" i="14"/>
  <c r="C47" i="14"/>
  <c r="D5" i="22" l="1"/>
  <c r="C5" i="22"/>
  <c r="D47" i="19"/>
  <c r="C47" i="19"/>
  <c r="D5" i="19"/>
  <c r="C5" i="19"/>
  <c r="D47" i="11"/>
  <c r="C47" i="11"/>
  <c r="D5" i="11"/>
  <c r="C5" i="11"/>
  <c r="D47" i="12"/>
  <c r="C47" i="12"/>
  <c r="D5" i="12"/>
  <c r="C5" i="12"/>
  <c r="D5" i="9" l="1"/>
  <c r="C5" i="9"/>
  <c r="D47" i="9"/>
  <c r="C47" i="9"/>
  <c r="M56" i="27" l="1"/>
  <c r="M68" i="27" s="1"/>
  <c r="F14" i="27"/>
  <c r="F15" i="27" s="1"/>
  <c r="Y20" i="27"/>
  <c r="Q20" i="27"/>
  <c r="AA19" i="27"/>
  <c r="Y19" i="27"/>
  <c r="M19" i="27"/>
  <c r="J19" i="27"/>
  <c r="Q15" i="27"/>
  <c r="P15" i="27"/>
  <c r="N15" i="27"/>
  <c r="G15" i="27"/>
  <c r="L14" i="27"/>
  <c r="L15" i="27" s="1"/>
  <c r="J14" i="27"/>
  <c r="J15" i="27" s="1"/>
  <c r="I14" i="27"/>
  <c r="I15" i="27" s="1"/>
  <c r="H14" i="27"/>
  <c r="H15" i="27" s="1"/>
  <c r="E14" i="27"/>
  <c r="E15" i="27" s="1"/>
  <c r="B1" i="27"/>
  <c r="C1" i="27" s="1"/>
  <c r="K14" i="27" l="1"/>
  <c r="K15" i="27" s="1"/>
  <c r="M43" i="27"/>
  <c r="AA20" i="27"/>
  <c r="B52" i="27" l="1"/>
  <c r="J5" i="27"/>
  <c r="H19" i="9" l="1"/>
  <c r="H19" i="12" l="1"/>
  <c r="AC74" i="21" l="1"/>
  <c r="AB74" i="21"/>
  <c r="AA74" i="21"/>
  <c r="Z74" i="21"/>
  <c r="Q74" i="21"/>
  <c r="AC75" i="2"/>
  <c r="AB75" i="2"/>
  <c r="AA75" i="2"/>
  <c r="CA76" i="5" s="1"/>
  <c r="AC75" i="1"/>
  <c r="AB75" i="1"/>
  <c r="AA75" i="1"/>
  <c r="Z75" i="1"/>
  <c r="AD75" i="1" s="1"/>
  <c r="AD74" i="21" l="1"/>
  <c r="AB75" i="3"/>
  <c r="AC75" i="3"/>
  <c r="Q75" i="1"/>
  <c r="G19" i="9" l="1"/>
  <c r="M52" i="20" l="1"/>
  <c r="X62" i="20"/>
  <c r="M52" i="14"/>
  <c r="X55" i="14"/>
  <c r="S33" i="14"/>
  <c r="J10" i="20" l="1"/>
  <c r="B61" i="20"/>
  <c r="F48" i="20" s="1"/>
  <c r="J10" i="14"/>
  <c r="B61" i="14"/>
  <c r="F48" i="14" s="1"/>
  <c r="M52" i="15"/>
  <c r="X62" i="14"/>
  <c r="X56" i="14"/>
  <c r="X62" i="15"/>
  <c r="J10" i="15" l="1"/>
  <c r="B61" i="15"/>
  <c r="F48" i="15" s="1"/>
  <c r="X62" i="19" l="1"/>
  <c r="X62" i="36" s="1"/>
  <c r="X62" i="11"/>
  <c r="F37" i="2" l="1"/>
  <c r="AA58" i="21"/>
  <c r="Z58" i="2"/>
  <c r="E37" i="2"/>
  <c r="F60" i="2"/>
  <c r="AB58" i="2"/>
  <c r="AB58" i="21"/>
  <c r="AA58" i="2"/>
  <c r="CA59" i="5" s="1"/>
  <c r="E60" i="2"/>
  <c r="Q58" i="2"/>
  <c r="AC58" i="2"/>
  <c r="Z58" i="21"/>
  <c r="Q58" i="21"/>
  <c r="AC58" i="21"/>
  <c r="AD58" i="21" l="1"/>
  <c r="AD58" i="2"/>
  <c r="P60" i="1"/>
  <c r="J60" i="1"/>
  <c r="G60" i="1"/>
  <c r="O60" i="1"/>
  <c r="N60" i="1"/>
  <c r="M60" i="1"/>
  <c r="L60" i="1"/>
  <c r="H60" i="1" l="1"/>
  <c r="AC60" i="1"/>
  <c r="F60" i="1"/>
  <c r="E60" i="1"/>
  <c r="I60" i="1"/>
  <c r="K60" i="1"/>
  <c r="AB60" i="1" s="1"/>
  <c r="AA60" i="1" l="1"/>
  <c r="Z60" i="1"/>
  <c r="Q60" i="1"/>
  <c r="AD60" i="1" l="1"/>
  <c r="Z58" i="3"/>
  <c r="Q20" i="19" l="1"/>
  <c r="P20" i="19"/>
  <c r="N20" i="19"/>
  <c r="H20" i="19"/>
  <c r="G20" i="19"/>
  <c r="M52" i="19" l="1"/>
  <c r="M52" i="12"/>
  <c r="B61" i="12" l="1"/>
  <c r="J10" i="19"/>
  <c r="B61" i="19"/>
  <c r="F48" i="19" s="1"/>
  <c r="J10" i="11"/>
  <c r="B61" i="11"/>
  <c r="J10" i="12"/>
  <c r="B61" i="9"/>
  <c r="F48" i="12" l="1"/>
  <c r="F48" i="9"/>
  <c r="F48" i="11"/>
  <c r="J10" i="9"/>
  <c r="Y22" i="19" l="1"/>
  <c r="AB22" i="19" l="1"/>
  <c r="Q20" i="12" l="1"/>
  <c r="P20" i="12"/>
  <c r="N20" i="12"/>
  <c r="H20" i="12"/>
  <c r="G20" i="12"/>
  <c r="Q20" i="9"/>
  <c r="P20" i="9"/>
  <c r="N20" i="9"/>
  <c r="H20" i="9"/>
  <c r="G20" i="9"/>
  <c r="G20" i="11" l="1"/>
  <c r="H20" i="11"/>
  <c r="N20" i="11"/>
  <c r="P20" i="11"/>
  <c r="Q20" i="11"/>
  <c r="Y24" i="9" l="1"/>
  <c r="AS25" i="5" l="1"/>
  <c r="AS24" i="5"/>
  <c r="AS21" i="5"/>
  <c r="AS20" i="5"/>
  <c r="AS18" i="5"/>
  <c r="AS17" i="5"/>
  <c r="B1" i="22"/>
  <c r="C1" i="22" s="1"/>
  <c r="AR25" i="5"/>
  <c r="AQ25" i="5"/>
  <c r="AP25" i="5"/>
  <c r="AR24" i="5"/>
  <c r="AQ24" i="5"/>
  <c r="AP24" i="5"/>
  <c r="AR21" i="5"/>
  <c r="AQ21" i="5"/>
  <c r="AP21" i="5"/>
  <c r="AR20" i="5"/>
  <c r="AQ20" i="5"/>
  <c r="AP20" i="5"/>
  <c r="AR18" i="5"/>
  <c r="AQ18" i="5"/>
  <c r="AP18" i="5"/>
  <c r="AR17" i="5"/>
  <c r="AQ17" i="5"/>
  <c r="AP17" i="5"/>
  <c r="AS53" i="5"/>
  <c r="BE53" i="5" s="1"/>
  <c r="AS52" i="5"/>
  <c r="BE52" i="5" s="1"/>
  <c r="AS51" i="5"/>
  <c r="BE51" i="5" s="1"/>
  <c r="AS50" i="5"/>
  <c r="BE50" i="5" s="1"/>
  <c r="AC73" i="21" l="1"/>
  <c r="AA73" i="21"/>
  <c r="AB73" i="21"/>
  <c r="Z73" i="21"/>
  <c r="AA72" i="21"/>
  <c r="Z72" i="21"/>
  <c r="AC72" i="21"/>
  <c r="AB72" i="21"/>
  <c r="Q72" i="21"/>
  <c r="Z70" i="21"/>
  <c r="AC70" i="21"/>
  <c r="AB70" i="21"/>
  <c r="AA70" i="21"/>
  <c r="Q70" i="21"/>
  <c r="AC69" i="21"/>
  <c r="AB69" i="21"/>
  <c r="AA69" i="21"/>
  <c r="Q69" i="21"/>
  <c r="AC68" i="21"/>
  <c r="AB68" i="21"/>
  <c r="AC67" i="21"/>
  <c r="AB67" i="21"/>
  <c r="AA67" i="21"/>
  <c r="Q67" i="21"/>
  <c r="AA66" i="21"/>
  <c r="AC66" i="21"/>
  <c r="AB66" i="21"/>
  <c r="Z66" i="21"/>
  <c r="AC65" i="21"/>
  <c r="AB65" i="21"/>
  <c r="AA65" i="21"/>
  <c r="Z65" i="21"/>
  <c r="Q65" i="21"/>
  <c r="AA56" i="21"/>
  <c r="AC56" i="21"/>
  <c r="AB56" i="21"/>
  <c r="Z56" i="21"/>
  <c r="AA54" i="21"/>
  <c r="Z54" i="21"/>
  <c r="Q52" i="21"/>
  <c r="Q51" i="21"/>
  <c r="Q50" i="21"/>
  <c r="Q49" i="21"/>
  <c r="Q42" i="21"/>
  <c r="Q40" i="21"/>
  <c r="Q39" i="21"/>
  <c r="Z36" i="21"/>
  <c r="AC36" i="21"/>
  <c r="AB36" i="21"/>
  <c r="AB30" i="21"/>
  <c r="AA30" i="21"/>
  <c r="Z30" i="21"/>
  <c r="AC29" i="21"/>
  <c r="AB29" i="21"/>
  <c r="AA29" i="21"/>
  <c r="Z29" i="21"/>
  <c r="AC28" i="21"/>
  <c r="AA28" i="21"/>
  <c r="Q24" i="21"/>
  <c r="Q23" i="21"/>
  <c r="AC21" i="21"/>
  <c r="AB21" i="21"/>
  <c r="AA21" i="21"/>
  <c r="Q20" i="21"/>
  <c r="Q19" i="21"/>
  <c r="Q17" i="21"/>
  <c r="Q16" i="21"/>
  <c r="AA13" i="21"/>
  <c r="AC13" i="21"/>
  <c r="AB13" i="21"/>
  <c r="Z13" i="21"/>
  <c r="Z12" i="21"/>
  <c r="AC12" i="21"/>
  <c r="AB12" i="21"/>
  <c r="AA12" i="21"/>
  <c r="Q12" i="21"/>
  <c r="AC11" i="21"/>
  <c r="AB11" i="21"/>
  <c r="AA11" i="21"/>
  <c r="Q11" i="21"/>
  <c r="Z10" i="21"/>
  <c r="AC10" i="21"/>
  <c r="AB10" i="21"/>
  <c r="AA10" i="21"/>
  <c r="AC9" i="21"/>
  <c r="AB9" i="21"/>
  <c r="AA9" i="21"/>
  <c r="AC8" i="21"/>
  <c r="AB8" i="21"/>
  <c r="AA8" i="21"/>
  <c r="Q8" i="21"/>
  <c r="AC7" i="21"/>
  <c r="AB7" i="21"/>
  <c r="AA7" i="21"/>
  <c r="AA6" i="21"/>
  <c r="AC6" i="21"/>
  <c r="AB6" i="21"/>
  <c r="Z6" i="21"/>
  <c r="F1" i="21"/>
  <c r="G1" i="21" s="1"/>
  <c r="H1" i="21" s="1"/>
  <c r="I1" i="21" s="1"/>
  <c r="J1" i="21" s="1"/>
  <c r="K1" i="21" s="1"/>
  <c r="L1" i="21" s="1"/>
  <c r="M1" i="21" s="1"/>
  <c r="N1" i="21" s="1"/>
  <c r="B1" i="21"/>
  <c r="V5" i="21" s="1"/>
  <c r="L2" i="21" l="1"/>
  <c r="G2" i="21"/>
  <c r="G3" i="21"/>
  <c r="L3" i="21"/>
  <c r="AD12" i="21"/>
  <c r="AD10" i="21"/>
  <c r="AD6" i="21"/>
  <c r="O1" i="21"/>
  <c r="P1" i="21" s="1"/>
  <c r="N2" i="21"/>
  <c r="N3" i="21"/>
  <c r="AD13" i="21"/>
  <c r="Q36" i="21"/>
  <c r="AB54" i="21"/>
  <c r="Q6" i="21"/>
  <c r="Q7" i="21"/>
  <c r="Q54" i="21"/>
  <c r="AB28" i="21"/>
  <c r="AA36" i="21"/>
  <c r="AD36" i="21" s="1"/>
  <c r="AD70" i="21"/>
  <c r="AD29" i="21"/>
  <c r="AD56" i="21"/>
  <c r="AD72" i="21"/>
  <c r="Q9" i="21"/>
  <c r="Q21" i="21"/>
  <c r="AD66" i="21"/>
  <c r="AD65" i="21"/>
  <c r="Q68" i="21"/>
  <c r="AD73" i="21"/>
  <c r="Q10" i="21"/>
  <c r="Q66" i="21"/>
  <c r="M2" i="21"/>
  <c r="M3" i="21"/>
  <c r="Z11" i="21"/>
  <c r="AD11" i="21" s="1"/>
  <c r="Z21" i="21"/>
  <c r="AD21" i="21" s="1"/>
  <c r="AA68" i="21"/>
  <c r="O2" i="21"/>
  <c r="O3" i="21"/>
  <c r="Z9" i="21"/>
  <c r="AD9" i="21" s="1"/>
  <c r="Q29" i="21"/>
  <c r="AC54" i="21"/>
  <c r="Z69" i="21"/>
  <c r="AD69" i="21" s="1"/>
  <c r="P2" i="21"/>
  <c r="P3" i="21"/>
  <c r="Z8" i="21"/>
  <c r="AD8" i="21" s="1"/>
  <c r="Q28" i="21"/>
  <c r="Z68" i="21"/>
  <c r="E2" i="21"/>
  <c r="E3" i="21"/>
  <c r="Z7" i="21"/>
  <c r="AD7" i="21" s="1"/>
  <c r="Q13" i="21"/>
  <c r="Q56" i="21"/>
  <c r="Z67" i="21"/>
  <c r="Q73" i="21"/>
  <c r="F2" i="21"/>
  <c r="F3" i="21"/>
  <c r="H2" i="21"/>
  <c r="H3" i="21"/>
  <c r="S5" i="21"/>
  <c r="I2" i="21"/>
  <c r="I3" i="21"/>
  <c r="J2" i="21"/>
  <c r="J3" i="21"/>
  <c r="Z28" i="21"/>
  <c r="K2" i="21"/>
  <c r="K3" i="21"/>
  <c r="S78" i="21" l="1"/>
  <c r="S77" i="21"/>
  <c r="S76" i="21"/>
  <c r="S75" i="21"/>
  <c r="X78" i="21"/>
  <c r="X77" i="21"/>
  <c r="X76" i="21"/>
  <c r="X75" i="21"/>
  <c r="AD67" i="21"/>
  <c r="S74" i="21"/>
  <c r="X74" i="21"/>
  <c r="S58" i="21"/>
  <c r="X58" i="21"/>
  <c r="AD68" i="21"/>
  <c r="AD54" i="21"/>
  <c r="S68" i="21"/>
  <c r="S8" i="21"/>
  <c r="S72" i="21"/>
  <c r="S54" i="21"/>
  <c r="S69" i="21"/>
  <c r="S9" i="21"/>
  <c r="S12" i="21"/>
  <c r="S70" i="21"/>
  <c r="S36" i="21"/>
  <c r="S10" i="21"/>
  <c r="T5" i="21"/>
  <c r="S21" i="21"/>
  <c r="S11" i="21"/>
  <c r="S73" i="21"/>
  <c r="S56" i="21"/>
  <c r="S13" i="21"/>
  <c r="S28" i="21"/>
  <c r="S3" i="21"/>
  <c r="S29" i="21"/>
  <c r="S65" i="21"/>
  <c r="S30" i="21"/>
  <c r="S66" i="21"/>
  <c r="S6" i="21"/>
  <c r="S67" i="21"/>
  <c r="S7" i="21"/>
  <c r="AD28" i="21"/>
  <c r="X72" i="21"/>
  <c r="X54" i="21"/>
  <c r="X12" i="21"/>
  <c r="X73" i="21"/>
  <c r="X56" i="21"/>
  <c r="X13" i="21"/>
  <c r="X28" i="21"/>
  <c r="X29" i="21"/>
  <c r="X30" i="21"/>
  <c r="X65" i="21"/>
  <c r="X66" i="21"/>
  <c r="X6" i="21"/>
  <c r="X67" i="21"/>
  <c r="X7" i="21"/>
  <c r="X68" i="21"/>
  <c r="X8" i="21"/>
  <c r="X69" i="21"/>
  <c r="X70" i="21"/>
  <c r="X36" i="21"/>
  <c r="X10" i="21"/>
  <c r="X9" i="21"/>
  <c r="X21" i="21"/>
  <c r="X11" i="21"/>
  <c r="T74" i="21" l="1"/>
  <c r="T78" i="21"/>
  <c r="T77" i="21"/>
  <c r="T76" i="21"/>
  <c r="T75" i="21"/>
  <c r="AL75" i="5"/>
  <c r="BM75" i="5" s="1"/>
  <c r="AL78" i="5"/>
  <c r="AL77" i="5"/>
  <c r="AL76" i="5"/>
  <c r="B7" i="27"/>
  <c r="B7" i="31"/>
  <c r="AL59" i="5"/>
  <c r="BM59" i="5" s="1"/>
  <c r="T58" i="21"/>
  <c r="AL73" i="5"/>
  <c r="BM73" i="5" s="1"/>
  <c r="AL12" i="5"/>
  <c r="BM12" i="5" s="1"/>
  <c r="AL10" i="5"/>
  <c r="BM10" i="5" s="1"/>
  <c r="AL66" i="5"/>
  <c r="BM66" i="5" s="1"/>
  <c r="AL22" i="5"/>
  <c r="BM22" i="5" s="1"/>
  <c r="AL30" i="5"/>
  <c r="BM30" i="5" s="1"/>
  <c r="AL70" i="5"/>
  <c r="BM70" i="5" s="1"/>
  <c r="AL55" i="5"/>
  <c r="BM55" i="5" s="1"/>
  <c r="AL8" i="5"/>
  <c r="BM8" i="5" s="1"/>
  <c r="AL29" i="5"/>
  <c r="BM29" i="5" s="1"/>
  <c r="AL9" i="5"/>
  <c r="BM9" i="5" s="1"/>
  <c r="AL69" i="5"/>
  <c r="BM69" i="5" s="1"/>
  <c r="AL68" i="5"/>
  <c r="BM68" i="5" s="1"/>
  <c r="AL7" i="5"/>
  <c r="BM7" i="5" s="1"/>
  <c r="AL14" i="5"/>
  <c r="BM14" i="5" s="1"/>
  <c r="AL11" i="5"/>
  <c r="BM11" i="5" s="1"/>
  <c r="AL57" i="5"/>
  <c r="BM57" i="5" s="1"/>
  <c r="AL37" i="5"/>
  <c r="BM37" i="5" s="1"/>
  <c r="AL74" i="5"/>
  <c r="BM74" i="5" s="1"/>
  <c r="AL71" i="5"/>
  <c r="BM71" i="5" s="1"/>
  <c r="AL67" i="5"/>
  <c r="BM67" i="5" s="1"/>
  <c r="AL31" i="5"/>
  <c r="BM31" i="5" s="1"/>
  <c r="AL13" i="5"/>
  <c r="BM13" i="5" s="1"/>
  <c r="T69" i="21"/>
  <c r="T9" i="21"/>
  <c r="T73" i="21"/>
  <c r="T13" i="21"/>
  <c r="T70" i="21"/>
  <c r="T36" i="21"/>
  <c r="T10" i="21"/>
  <c r="U5" i="21"/>
  <c r="T56" i="21"/>
  <c r="T21" i="21"/>
  <c r="T11" i="21"/>
  <c r="T72" i="21"/>
  <c r="T54" i="21"/>
  <c r="T12" i="21"/>
  <c r="T28" i="21"/>
  <c r="T3" i="21"/>
  <c r="T29" i="21"/>
  <c r="T30" i="21"/>
  <c r="T66" i="21"/>
  <c r="T65" i="21"/>
  <c r="T67" i="21"/>
  <c r="T7" i="21"/>
  <c r="T68" i="21"/>
  <c r="T8" i="21"/>
  <c r="T6" i="21"/>
  <c r="AM78" i="5" l="1"/>
  <c r="AM77" i="5"/>
  <c r="AM76" i="5"/>
  <c r="U74" i="21"/>
  <c r="U78" i="21"/>
  <c r="V78" i="21" s="1"/>
  <c r="U77" i="21"/>
  <c r="V77" i="21" s="1"/>
  <c r="U76" i="21"/>
  <c r="V76" i="21" s="1"/>
  <c r="U75" i="21"/>
  <c r="V75" i="21" s="1"/>
  <c r="AM75" i="5"/>
  <c r="V74" i="21"/>
  <c r="BM76" i="5"/>
  <c r="BM77" i="5"/>
  <c r="BM78" i="5"/>
  <c r="AM59" i="5"/>
  <c r="U58" i="21"/>
  <c r="V58" i="21" s="1"/>
  <c r="AM22" i="5"/>
  <c r="AM74" i="5"/>
  <c r="AM68" i="5"/>
  <c r="AM57" i="5"/>
  <c r="AM10" i="5"/>
  <c r="AM7" i="5"/>
  <c r="AM69" i="5"/>
  <c r="AM73" i="5"/>
  <c r="AM67" i="5"/>
  <c r="AM55" i="5"/>
  <c r="AM9" i="5"/>
  <c r="AM66" i="5"/>
  <c r="AM14" i="5"/>
  <c r="AM8" i="5"/>
  <c r="AM71" i="5"/>
  <c r="AM31" i="5"/>
  <c r="AM13" i="5"/>
  <c r="AM11" i="5"/>
  <c r="AM70" i="5"/>
  <c r="AM37" i="5"/>
  <c r="AM30" i="5"/>
  <c r="AM12" i="5"/>
  <c r="AM29" i="5"/>
  <c r="U70" i="21"/>
  <c r="V70" i="21" s="1"/>
  <c r="U36" i="21"/>
  <c r="V36" i="21" s="1"/>
  <c r="U10" i="21"/>
  <c r="V10" i="21" s="1"/>
  <c r="U21" i="21"/>
  <c r="V21" i="21" s="1"/>
  <c r="U11" i="21"/>
  <c r="V11" i="21" s="1"/>
  <c r="U72" i="21"/>
  <c r="V72" i="21" s="1"/>
  <c r="U54" i="21"/>
  <c r="V54" i="21" s="1"/>
  <c r="U12" i="21"/>
  <c r="V12" i="21" s="1"/>
  <c r="U73" i="21"/>
  <c r="U56" i="21"/>
  <c r="V56" i="21" s="1"/>
  <c r="U13" i="21"/>
  <c r="V13" i="21" s="1"/>
  <c r="U28" i="21"/>
  <c r="U29" i="21"/>
  <c r="V29" i="21" s="1"/>
  <c r="U30" i="21"/>
  <c r="V30" i="21" s="1"/>
  <c r="U65" i="21"/>
  <c r="U67" i="21"/>
  <c r="V67" i="21" s="1"/>
  <c r="U66" i="21"/>
  <c r="V66" i="21" s="1"/>
  <c r="U6" i="21"/>
  <c r="V6" i="21" s="1"/>
  <c r="U68" i="21"/>
  <c r="V68" i="21" s="1"/>
  <c r="U8" i="21"/>
  <c r="V8" i="21" s="1"/>
  <c r="U69" i="21"/>
  <c r="V69" i="21" s="1"/>
  <c r="U9" i="21"/>
  <c r="V9" i="21" s="1"/>
  <c r="U7" i="21"/>
  <c r="V7" i="21" s="1"/>
  <c r="U3" i="21"/>
  <c r="AN78" i="5" l="1"/>
  <c r="AN77" i="5"/>
  <c r="AN76" i="5"/>
  <c r="AN75" i="5"/>
  <c r="AO78" i="5"/>
  <c r="AO77" i="5"/>
  <c r="AO76" i="5"/>
  <c r="V65" i="21"/>
  <c r="V73" i="21"/>
  <c r="AN59" i="5"/>
  <c r="AN22" i="5"/>
  <c r="AO22" i="5" s="1"/>
  <c r="AN74" i="5"/>
  <c r="AN68" i="5"/>
  <c r="AN57" i="5"/>
  <c r="AN10" i="5"/>
  <c r="AN71" i="5"/>
  <c r="AN73" i="5"/>
  <c r="AN67" i="5"/>
  <c r="AN55" i="5"/>
  <c r="AO55" i="5" s="1"/>
  <c r="AN9" i="5"/>
  <c r="AN7" i="5"/>
  <c r="AN66" i="5"/>
  <c r="AN14" i="5"/>
  <c r="AN8" i="5"/>
  <c r="AN31" i="5"/>
  <c r="AO31" i="5" s="1"/>
  <c r="AN13" i="5"/>
  <c r="AN70" i="5"/>
  <c r="AN37" i="5"/>
  <c r="AO37" i="5" s="1"/>
  <c r="AN30" i="5"/>
  <c r="AO30" i="5" s="1"/>
  <c r="AN12" i="5"/>
  <c r="AN69" i="5"/>
  <c r="AN29" i="5"/>
  <c r="AN11" i="5"/>
  <c r="V28" i="21"/>
  <c r="AO69" i="5" l="1"/>
  <c r="AO70" i="5"/>
  <c r="AO66" i="5"/>
  <c r="AO67" i="5"/>
  <c r="AO73" i="5"/>
  <c r="AO71" i="5"/>
  <c r="AO68" i="5"/>
  <c r="AO74" i="5"/>
  <c r="AO75" i="5"/>
  <c r="AO59" i="5"/>
  <c r="AO57" i="5"/>
  <c r="AO9" i="5"/>
  <c r="AO8" i="5"/>
  <c r="AO14" i="5"/>
  <c r="AO11" i="5"/>
  <c r="AO13" i="5"/>
  <c r="AO10" i="5"/>
  <c r="AO7" i="5"/>
  <c r="AO12" i="5"/>
  <c r="AO29" i="5"/>
  <c r="Z73" i="2" l="1"/>
  <c r="AA73" i="2" l="1"/>
  <c r="CA74" i="5" s="1"/>
  <c r="AC73" i="2"/>
  <c r="AB73" i="2"/>
  <c r="Q73" i="2"/>
  <c r="AD73" i="2" l="1"/>
  <c r="AC73" i="1"/>
  <c r="AB73" i="1"/>
  <c r="AA73" i="1"/>
  <c r="Z73" i="1"/>
  <c r="AC73" i="3" l="1"/>
  <c r="AA73" i="3"/>
  <c r="AD73" i="1"/>
  <c r="Q73" i="1"/>
  <c r="J33" i="9" l="1"/>
  <c r="P35" i="20" l="1"/>
  <c r="P34" i="20"/>
  <c r="S35" i="20"/>
  <c r="S34" i="20"/>
  <c r="M27" i="20"/>
  <c r="J27" i="20"/>
  <c r="J26" i="20" l="1"/>
  <c r="M26" i="20"/>
  <c r="M65" i="20" l="1"/>
  <c r="M75" i="20" s="1"/>
  <c r="M25" i="20"/>
  <c r="J25" i="20"/>
  <c r="M24" i="20"/>
  <c r="J24" i="20"/>
  <c r="M19" i="20"/>
  <c r="L19" i="20"/>
  <c r="K19" i="20"/>
  <c r="J19" i="20"/>
  <c r="I19" i="20"/>
  <c r="B1" i="20"/>
  <c r="C1" i="20" s="1"/>
  <c r="M23" i="20" l="1"/>
  <c r="M31" i="20" s="1"/>
  <c r="M24" i="12"/>
  <c r="J31" i="19" l="1"/>
  <c r="P33" i="19" l="1"/>
  <c r="M24" i="19"/>
  <c r="J24" i="19"/>
  <c r="L19" i="19"/>
  <c r="L20" i="19" s="1"/>
  <c r="J19" i="19"/>
  <c r="J20" i="19" s="1"/>
  <c r="I20" i="19"/>
  <c r="B1" i="19"/>
  <c r="C1" i="19" s="1"/>
  <c r="AJ25" i="5"/>
  <c r="AI25" i="5"/>
  <c r="AH25" i="5"/>
  <c r="AG25" i="5"/>
  <c r="AJ24" i="5"/>
  <c r="AI24" i="5"/>
  <c r="AH24" i="5"/>
  <c r="AG24" i="5"/>
  <c r="AJ21" i="5"/>
  <c r="AI21" i="5"/>
  <c r="AH21" i="5"/>
  <c r="AG21" i="5"/>
  <c r="AJ20" i="5"/>
  <c r="AI20" i="5"/>
  <c r="AH20" i="5"/>
  <c r="AG20" i="5"/>
  <c r="AJ18" i="5"/>
  <c r="AI18" i="5"/>
  <c r="AH18" i="5"/>
  <c r="AG18" i="5"/>
  <c r="AJ17" i="5"/>
  <c r="AI17" i="5"/>
  <c r="AH17" i="5"/>
  <c r="AG17" i="5"/>
  <c r="AJ53" i="5"/>
  <c r="AJ52" i="5"/>
  <c r="AJ51" i="5"/>
  <c r="AJ50" i="5"/>
  <c r="AF74" i="5" l="1"/>
  <c r="AF59" i="5" l="1"/>
  <c r="AF37" i="5"/>
  <c r="AF70" i="5"/>
  <c r="Q24" i="11" l="1"/>
  <c r="B1" i="17" l="1"/>
  <c r="C1" i="17" s="1"/>
  <c r="B1" i="16"/>
  <c r="C1" i="16" s="1"/>
  <c r="M65" i="15" l="1"/>
  <c r="M74" i="15" s="1"/>
  <c r="M25" i="15"/>
  <c r="J25" i="15"/>
  <c r="M24" i="15"/>
  <c r="J24" i="15"/>
  <c r="M19" i="15"/>
  <c r="L19" i="15"/>
  <c r="L20" i="15" s="1"/>
  <c r="K19" i="15"/>
  <c r="K20" i="15" s="1"/>
  <c r="J19" i="15"/>
  <c r="J20" i="15" s="1"/>
  <c r="I19" i="15"/>
  <c r="I20" i="15" s="1"/>
  <c r="F19" i="15"/>
  <c r="F20" i="15" s="1"/>
  <c r="E19" i="15"/>
  <c r="E20" i="15" s="1"/>
  <c r="B1" i="15"/>
  <c r="C1" i="15" s="1"/>
  <c r="M23" i="15" l="1"/>
  <c r="M20" i="15"/>
  <c r="R25" i="5"/>
  <c r="R24" i="5"/>
  <c r="R21" i="5"/>
  <c r="R20" i="5"/>
  <c r="R18" i="5"/>
  <c r="R17" i="5"/>
  <c r="M65" i="14"/>
  <c r="M70" i="14" s="1"/>
  <c r="M25" i="14"/>
  <c r="J25" i="14"/>
  <c r="M24" i="14"/>
  <c r="J24" i="14"/>
  <c r="M19" i="14"/>
  <c r="M23" i="14" s="1"/>
  <c r="L19" i="14"/>
  <c r="K19" i="14"/>
  <c r="J19" i="14"/>
  <c r="I19" i="14"/>
  <c r="F19" i="14"/>
  <c r="E19" i="14"/>
  <c r="B1" i="14"/>
  <c r="C1" i="14" s="1"/>
  <c r="B1" i="12"/>
  <c r="C1" i="12" s="1"/>
  <c r="M65" i="11"/>
  <c r="M75" i="11" s="1"/>
  <c r="M33" i="11" s="1"/>
  <c r="L19" i="11"/>
  <c r="J19" i="11"/>
  <c r="I19" i="11"/>
  <c r="B1" i="11"/>
  <c r="C1" i="11" s="1"/>
  <c r="B1" i="9"/>
  <c r="M32" i="15" l="1"/>
  <c r="M33" i="15" s="1"/>
  <c r="J20" i="11"/>
  <c r="L20" i="11"/>
  <c r="I20" i="11"/>
  <c r="M28" i="14"/>
  <c r="M29" i="14" s="1"/>
  <c r="C1" i="9"/>
  <c r="AE43" i="7" l="1"/>
  <c r="AE41" i="7"/>
  <c r="AE40" i="7"/>
  <c r="AE25" i="7"/>
  <c r="AE24" i="7"/>
  <c r="AE21" i="7"/>
  <c r="AE20" i="7"/>
  <c r="AE18" i="7"/>
  <c r="AE17" i="7"/>
  <c r="AE6" i="7"/>
  <c r="AA43" i="7"/>
  <c r="AA41" i="7"/>
  <c r="AA40" i="7"/>
  <c r="Z6" i="7"/>
  <c r="U25" i="7"/>
  <c r="U24" i="7"/>
  <c r="U21" i="7"/>
  <c r="U20" i="7"/>
  <c r="U18" i="7"/>
  <c r="U17" i="7"/>
  <c r="T43" i="7"/>
  <c r="S43" i="7"/>
  <c r="R43" i="7"/>
  <c r="T41" i="7"/>
  <c r="S41" i="7"/>
  <c r="R41" i="7"/>
  <c r="T40" i="7"/>
  <c r="S40" i="7"/>
  <c r="R40" i="7"/>
  <c r="T25" i="7"/>
  <c r="S25" i="7"/>
  <c r="R25" i="7"/>
  <c r="T24" i="7"/>
  <c r="S24" i="7"/>
  <c r="R24" i="7"/>
  <c r="T21" i="7"/>
  <c r="S21" i="7"/>
  <c r="R21" i="7"/>
  <c r="T20" i="7"/>
  <c r="S20" i="7"/>
  <c r="R20" i="7"/>
  <c r="T18" i="7"/>
  <c r="S18" i="7"/>
  <c r="R18" i="7"/>
  <c r="T17" i="7"/>
  <c r="S17" i="7"/>
  <c r="R17" i="7"/>
  <c r="T6" i="7"/>
  <c r="P43" i="7"/>
  <c r="P41" i="7"/>
  <c r="P40" i="7"/>
  <c r="J43" i="7"/>
  <c r="U43" i="7" s="1"/>
  <c r="J41" i="7"/>
  <c r="U41" i="7" s="1"/>
  <c r="J40" i="7"/>
  <c r="U40" i="7" s="1"/>
  <c r="G69" i="7"/>
  <c r="G55" i="7"/>
  <c r="G37" i="7"/>
  <c r="G31" i="7"/>
  <c r="G30" i="7"/>
  <c r="G29" i="7"/>
  <c r="I14" i="7"/>
  <c r="I13" i="7"/>
  <c r="I12" i="7"/>
  <c r="I11" i="7"/>
  <c r="I10" i="7"/>
  <c r="I9" i="7"/>
  <c r="K73" i="7"/>
  <c r="K72" i="7"/>
  <c r="K71" i="7"/>
  <c r="AF53" i="7"/>
  <c r="U53" i="7"/>
  <c r="AF52" i="7"/>
  <c r="U52" i="7"/>
  <c r="AF51" i="7"/>
  <c r="U51" i="7"/>
  <c r="AF50" i="7"/>
  <c r="U50" i="7"/>
  <c r="AD43" i="7"/>
  <c r="AC43" i="7"/>
  <c r="AB43" i="7"/>
  <c r="Q43" i="7"/>
  <c r="AD41" i="7"/>
  <c r="AC41" i="7"/>
  <c r="AB41" i="7"/>
  <c r="Q41" i="7"/>
  <c r="AD40" i="7"/>
  <c r="AC40" i="7"/>
  <c r="AB40" i="7"/>
  <c r="Q40" i="7"/>
  <c r="AF25" i="7"/>
  <c r="AD25" i="7"/>
  <c r="AC25" i="7"/>
  <c r="AB25" i="7"/>
  <c r="Q25" i="7"/>
  <c r="AF24" i="7"/>
  <c r="AD24" i="7"/>
  <c r="AC24" i="7"/>
  <c r="AB24" i="7"/>
  <c r="Q24" i="7"/>
  <c r="AF21" i="7"/>
  <c r="AD21" i="7"/>
  <c r="AC21" i="7"/>
  <c r="AB21" i="7"/>
  <c r="Q21" i="7"/>
  <c r="AF20" i="7"/>
  <c r="AD20" i="7"/>
  <c r="AC20" i="7"/>
  <c r="AB20" i="7"/>
  <c r="Q20" i="7"/>
  <c r="AF18" i="7"/>
  <c r="AD18" i="7"/>
  <c r="AC18" i="7"/>
  <c r="AB18" i="7"/>
  <c r="Q18" i="7"/>
  <c r="AF17" i="7"/>
  <c r="AD17" i="7"/>
  <c r="AC17" i="7"/>
  <c r="AB17" i="7"/>
  <c r="Q17" i="7"/>
  <c r="AB6" i="7"/>
  <c r="L6" i="7"/>
  <c r="Q6" i="7" s="1"/>
  <c r="AA6" i="7"/>
  <c r="AF6" i="7" s="1"/>
  <c r="Y6" i="7"/>
  <c r="X6" i="7"/>
  <c r="W6" i="7"/>
  <c r="AF40" i="7" l="1"/>
  <c r="I37" i="7"/>
  <c r="F30" i="7"/>
  <c r="G22" i="7"/>
  <c r="H29" i="7"/>
  <c r="H30" i="7"/>
  <c r="H37" i="7"/>
  <c r="I22" i="7"/>
  <c r="F55" i="7"/>
  <c r="H57" i="7"/>
  <c r="H22" i="7"/>
  <c r="H66" i="7"/>
  <c r="F65" i="7"/>
  <c r="H62" i="7"/>
  <c r="H63" i="7"/>
  <c r="H64" i="7"/>
  <c r="G67" i="7"/>
  <c r="G7" i="7"/>
  <c r="G8" i="7"/>
  <c r="G14" i="7"/>
  <c r="F57" i="7"/>
  <c r="F62" i="7"/>
  <c r="I67" i="7"/>
  <c r="F31" i="7"/>
  <c r="F13" i="7"/>
  <c r="F14" i="7"/>
  <c r="I57" i="7"/>
  <c r="G66" i="7"/>
  <c r="G13" i="7"/>
  <c r="H31" i="7"/>
  <c r="F22" i="7"/>
  <c r="H7" i="7"/>
  <c r="H8" i="7"/>
  <c r="H10" i="7"/>
  <c r="H11" i="7"/>
  <c r="I30" i="7"/>
  <c r="I31" i="7"/>
  <c r="G62" i="7"/>
  <c r="G63" i="7"/>
  <c r="G64" i="7"/>
  <c r="I69" i="7"/>
  <c r="AF41" i="7"/>
  <c r="H12" i="7"/>
  <c r="H67" i="7"/>
  <c r="H13" i="7"/>
  <c r="I7" i="7"/>
  <c r="I8" i="7"/>
  <c r="H9" i="7"/>
  <c r="G57" i="7"/>
  <c r="I66" i="7"/>
  <c r="I65" i="7"/>
  <c r="H14" i="7"/>
  <c r="H69" i="7"/>
  <c r="F7" i="7"/>
  <c r="F12" i="7"/>
  <c r="F67" i="7"/>
  <c r="G9" i="7"/>
  <c r="G10" i="7"/>
  <c r="G11" i="7"/>
  <c r="G12" i="7"/>
  <c r="I63" i="7"/>
  <c r="I64" i="7"/>
  <c r="H55" i="7"/>
  <c r="I55" i="7"/>
  <c r="H65" i="7"/>
  <c r="F63" i="7"/>
  <c r="F29" i="7"/>
  <c r="M6" i="7"/>
  <c r="R6" i="7" s="1"/>
  <c r="P6" i="7"/>
  <c r="U6" i="7" s="1"/>
  <c r="AC6" i="7"/>
  <c r="AF43" i="7"/>
  <c r="AD6" i="7"/>
  <c r="N6" i="7"/>
  <c r="S6" i="7" s="1"/>
  <c r="J55" i="7" l="1"/>
  <c r="J22" i="7"/>
  <c r="J67" i="7"/>
  <c r="J31" i="7"/>
  <c r="I62" i="7"/>
  <c r="J30" i="7"/>
  <c r="I29" i="7"/>
  <c r="F64" i="7"/>
  <c r="J64" i="7" s="1"/>
  <c r="J7" i="7"/>
  <c r="F66" i="7"/>
  <c r="J66" i="7" s="1"/>
  <c r="F37" i="7"/>
  <c r="F69" i="7"/>
  <c r="J69" i="7" s="1"/>
  <c r="J63" i="7"/>
  <c r="J13" i="7"/>
  <c r="J12" i="7"/>
  <c r="J14" i="7"/>
  <c r="J57" i="7"/>
  <c r="F9" i="7"/>
  <c r="J9" i="7" s="1"/>
  <c r="F10" i="7"/>
  <c r="J10" i="7" s="1"/>
  <c r="F8" i="7"/>
  <c r="J8" i="7" s="1"/>
  <c r="F11" i="7"/>
  <c r="J11" i="7" s="1"/>
  <c r="G65" i="7"/>
  <c r="J62" i="7" l="1"/>
  <c r="J65" i="7"/>
  <c r="J37" i="7"/>
  <c r="J29" i="7"/>
  <c r="B1" i="2" l="1"/>
  <c r="B1" i="1"/>
  <c r="Z25" i="5" l="1"/>
  <c r="Y25" i="5"/>
  <c r="X25" i="5"/>
  <c r="Z24" i="5"/>
  <c r="Y24" i="5"/>
  <c r="X24" i="5"/>
  <c r="Z21" i="5"/>
  <c r="Y21" i="5"/>
  <c r="X21" i="5"/>
  <c r="Z20" i="5"/>
  <c r="Y20" i="5"/>
  <c r="X20" i="5"/>
  <c r="Z18" i="5"/>
  <c r="Y18" i="5"/>
  <c r="X18" i="5"/>
  <c r="Z17" i="5"/>
  <c r="Y17" i="5"/>
  <c r="X17" i="5"/>
  <c r="Q25" i="5"/>
  <c r="P25" i="5"/>
  <c r="O25" i="5"/>
  <c r="Q24" i="5"/>
  <c r="P24" i="5"/>
  <c r="O24" i="5"/>
  <c r="Q21" i="5"/>
  <c r="P21" i="5"/>
  <c r="O21" i="5"/>
  <c r="Q20" i="5"/>
  <c r="P20" i="5"/>
  <c r="O20" i="5"/>
  <c r="Q18" i="5"/>
  <c r="P18" i="5"/>
  <c r="O18" i="5"/>
  <c r="Q17" i="5"/>
  <c r="P17" i="5"/>
  <c r="O17" i="5"/>
  <c r="V5" i="2"/>
  <c r="V5" i="1"/>
  <c r="B1" i="3"/>
  <c r="V5" i="3" s="1"/>
  <c r="BJ6" i="5" s="1"/>
  <c r="BN6" i="5" s="1"/>
  <c r="AA53" i="5"/>
  <c r="R53" i="5"/>
  <c r="AA52" i="5"/>
  <c r="R52" i="5"/>
  <c r="AA51" i="5"/>
  <c r="R51" i="5"/>
  <c r="AA50" i="5"/>
  <c r="R50" i="5"/>
  <c r="AA25" i="5"/>
  <c r="AA24" i="5"/>
  <c r="AA21" i="5"/>
  <c r="AA20" i="5"/>
  <c r="AA18" i="5"/>
  <c r="AA17" i="5"/>
  <c r="N6" i="5" l="1"/>
  <c r="R6" i="5" s="1"/>
  <c r="W6" i="5"/>
  <c r="AA6" i="5" s="1"/>
  <c r="AF6" i="5" l="1"/>
  <c r="AJ6" i="5" s="1"/>
  <c r="BS6" i="5"/>
  <c r="AO6" i="5"/>
  <c r="BA6" i="5" s="1"/>
  <c r="F1" i="2"/>
  <c r="E3" i="2"/>
  <c r="F1" i="1"/>
  <c r="G1" i="1" s="1"/>
  <c r="H1" i="1" s="1"/>
  <c r="I1" i="1" s="1"/>
  <c r="J1" i="1" s="1"/>
  <c r="K1" i="1" s="1"/>
  <c r="L1" i="1" s="1"/>
  <c r="M1" i="1" s="1"/>
  <c r="N1" i="1" s="1"/>
  <c r="O1" i="1" s="1"/>
  <c r="P1" i="1" s="1"/>
  <c r="P3" i="1" s="1"/>
  <c r="BW6" i="5" l="1"/>
  <c r="AS6" i="5"/>
  <c r="BE6" i="5" s="1"/>
  <c r="E3" i="1"/>
  <c r="G3" i="1"/>
  <c r="F3" i="1"/>
  <c r="G2" i="1"/>
  <c r="L2" i="1"/>
  <c r="S5" i="2"/>
  <c r="F2" i="2"/>
  <c r="E2" i="2"/>
  <c r="E2" i="1"/>
  <c r="F3" i="2"/>
  <c r="G1" i="2"/>
  <c r="I3" i="1"/>
  <c r="F2" i="1"/>
  <c r="H3" i="1"/>
  <c r="H2" i="1"/>
  <c r="J3" i="1"/>
  <c r="I2" i="1"/>
  <c r="K3" i="1"/>
  <c r="J2" i="1"/>
  <c r="L3" i="1"/>
  <c r="K2" i="1"/>
  <c r="M3" i="1"/>
  <c r="M2" i="1"/>
  <c r="S5" i="1"/>
  <c r="N2" i="1"/>
  <c r="N3" i="1"/>
  <c r="O2" i="1"/>
  <c r="O3" i="1"/>
  <c r="P2" i="1"/>
  <c r="S54" i="1" l="1"/>
  <c r="S71" i="1"/>
  <c r="S62" i="1"/>
  <c r="S63" i="1"/>
  <c r="S64" i="1"/>
  <c r="S58" i="1"/>
  <c r="S59" i="1"/>
  <c r="S43" i="1"/>
  <c r="S41" i="1"/>
  <c r="S37" i="1"/>
  <c r="S35" i="1"/>
  <c r="S33" i="1"/>
  <c r="S32" i="1"/>
  <c r="S28" i="1"/>
  <c r="S29" i="1"/>
  <c r="S30" i="1"/>
  <c r="S31" i="1"/>
  <c r="S25" i="1"/>
  <c r="S21" i="1"/>
  <c r="S18" i="1"/>
  <c r="X54" i="1"/>
  <c r="X71" i="1"/>
  <c r="X62" i="1"/>
  <c r="X63" i="1"/>
  <c r="X64" i="1"/>
  <c r="X58" i="1"/>
  <c r="X59" i="1"/>
  <c r="X43" i="1"/>
  <c r="X41" i="1"/>
  <c r="X37" i="1"/>
  <c r="X35" i="1"/>
  <c r="X33" i="1"/>
  <c r="X32" i="1"/>
  <c r="X28" i="1"/>
  <c r="X29" i="1"/>
  <c r="X30" i="1"/>
  <c r="X31" i="1"/>
  <c r="X25" i="1"/>
  <c r="X21" i="1"/>
  <c r="X18" i="1"/>
  <c r="S74" i="1"/>
  <c r="X74" i="1"/>
  <c r="S75" i="1"/>
  <c r="X75" i="1"/>
  <c r="S60" i="1"/>
  <c r="S73" i="1"/>
  <c r="X73" i="1"/>
  <c r="S3" i="1"/>
  <c r="T5" i="2"/>
  <c r="H1" i="2"/>
  <c r="G3" i="2"/>
  <c r="G2" i="2"/>
  <c r="T5" i="1"/>
  <c r="T54" i="1" l="1"/>
  <c r="T71" i="1"/>
  <c r="T64" i="1"/>
  <c r="T63" i="1"/>
  <c r="T62" i="1"/>
  <c r="T59" i="1"/>
  <c r="T58" i="1"/>
  <c r="T43" i="1"/>
  <c r="T41" i="1"/>
  <c r="T35" i="1"/>
  <c r="T33" i="1"/>
  <c r="T32" i="1"/>
  <c r="T31" i="1"/>
  <c r="T30" i="1"/>
  <c r="T29" i="1"/>
  <c r="T28" i="1"/>
  <c r="T25" i="1"/>
  <c r="T21" i="1"/>
  <c r="T18" i="1"/>
  <c r="T37" i="1"/>
  <c r="T75" i="1"/>
  <c r="T74" i="1"/>
  <c r="K78" i="5"/>
  <c r="K77" i="5"/>
  <c r="K75" i="5"/>
  <c r="K76" i="5"/>
  <c r="K59" i="5"/>
  <c r="K60" i="5"/>
  <c r="T60" i="1"/>
  <c r="K74" i="5"/>
  <c r="T73" i="1"/>
  <c r="U5" i="2"/>
  <c r="U5" i="1"/>
  <c r="T3" i="1"/>
  <c r="I1" i="2"/>
  <c r="H3" i="2"/>
  <c r="H2" i="2"/>
  <c r="U54" i="1" l="1"/>
  <c r="V54" i="1" s="1"/>
  <c r="U71" i="1"/>
  <c r="V71" i="1" s="1"/>
  <c r="U64" i="1"/>
  <c r="V64" i="1" s="1"/>
  <c r="U63" i="1"/>
  <c r="V63" i="1" s="1"/>
  <c r="U62" i="1"/>
  <c r="V62" i="1" s="1"/>
  <c r="U59" i="1"/>
  <c r="V59" i="1" s="1"/>
  <c r="U58" i="1"/>
  <c r="V58" i="1" s="1"/>
  <c r="U43" i="1"/>
  <c r="V43" i="1" s="1"/>
  <c r="U41" i="1"/>
  <c r="V41" i="1" s="1"/>
  <c r="U37" i="1"/>
  <c r="V37" i="1" s="1"/>
  <c r="U35" i="1"/>
  <c r="V35" i="1" s="1"/>
  <c r="U33" i="1"/>
  <c r="V33" i="1" s="1"/>
  <c r="U32" i="1"/>
  <c r="V32" i="1" s="1"/>
  <c r="U31" i="1"/>
  <c r="V31" i="1" s="1"/>
  <c r="U30" i="1"/>
  <c r="V30" i="1" s="1"/>
  <c r="U29" i="1"/>
  <c r="V29" i="1" s="1"/>
  <c r="U28" i="1"/>
  <c r="V28" i="1" s="1"/>
  <c r="U25" i="1"/>
  <c r="V25" i="1" s="1"/>
  <c r="U21" i="1"/>
  <c r="V21" i="1" s="1"/>
  <c r="U18" i="1"/>
  <c r="V18" i="1" s="1"/>
  <c r="L78" i="5"/>
  <c r="L77" i="5"/>
  <c r="U75" i="1"/>
  <c r="V75" i="1" s="1"/>
  <c r="U74" i="1"/>
  <c r="L75" i="5"/>
  <c r="L76" i="5"/>
  <c r="K61" i="5"/>
  <c r="L74" i="5"/>
  <c r="L59" i="5"/>
  <c r="L60" i="5"/>
  <c r="U60" i="1"/>
  <c r="U3" i="1"/>
  <c r="U73" i="1"/>
  <c r="J1" i="2"/>
  <c r="I3" i="2"/>
  <c r="I2" i="2"/>
  <c r="M78" i="5" l="1"/>
  <c r="N78" i="5" s="1"/>
  <c r="M77" i="5"/>
  <c r="N77" i="5" s="1"/>
  <c r="M76" i="5"/>
  <c r="N76" i="5" s="1"/>
  <c r="M75" i="5"/>
  <c r="N75" i="5" s="1"/>
  <c r="V74" i="1"/>
  <c r="M59" i="5"/>
  <c r="M60" i="5"/>
  <c r="L61" i="5"/>
  <c r="V60" i="1"/>
  <c r="X60" i="1" s="1"/>
  <c r="V73" i="1"/>
  <c r="M74" i="5"/>
  <c r="K1" i="2"/>
  <c r="J3" i="2"/>
  <c r="J2" i="2"/>
  <c r="N74" i="5" l="1"/>
  <c r="N59" i="5"/>
  <c r="N60" i="5"/>
  <c r="M61" i="5"/>
  <c r="N61" i="5" s="1"/>
  <c r="L1" i="2"/>
  <c r="K3" i="2"/>
  <c r="K2" i="2"/>
  <c r="M1" i="2" l="1"/>
  <c r="L3" i="2"/>
  <c r="L2" i="2"/>
  <c r="N1" i="2" l="1"/>
  <c r="M3" i="2"/>
  <c r="M2" i="2"/>
  <c r="O1" i="2" l="1"/>
  <c r="N3" i="2"/>
  <c r="N2" i="2"/>
  <c r="S3" i="2" l="1"/>
  <c r="P1" i="2"/>
  <c r="O3" i="2"/>
  <c r="O2" i="2"/>
  <c r="T3" i="2" l="1"/>
  <c r="P3" i="2"/>
  <c r="P2" i="2"/>
  <c r="X74" i="2" l="1"/>
  <c r="S74" i="2"/>
  <c r="T75" i="5" s="1"/>
  <c r="T74" i="2"/>
  <c r="U75" i="5" s="1"/>
  <c r="U74" i="2"/>
  <c r="T77" i="2"/>
  <c r="U78" i="5" s="1"/>
  <c r="U77" i="2"/>
  <c r="U76" i="2"/>
  <c r="U75" i="2"/>
  <c r="X73" i="2"/>
  <c r="X58" i="2"/>
  <c r="S58" i="2"/>
  <c r="T59" i="5" s="1"/>
  <c r="U58" i="2"/>
  <c r="T58" i="2"/>
  <c r="U59" i="5" s="1"/>
  <c r="T59" i="2"/>
  <c r="U60" i="5" s="1"/>
  <c r="U59" i="2"/>
  <c r="U3" i="2"/>
  <c r="S73" i="2"/>
  <c r="T74" i="5" s="1"/>
  <c r="U73" i="2"/>
  <c r="T73" i="2"/>
  <c r="U74" i="5" s="1"/>
  <c r="E2" i="3"/>
  <c r="E3" i="3"/>
  <c r="F1" i="3"/>
  <c r="G1" i="3" s="1"/>
  <c r="G2" i="3" s="1"/>
  <c r="V75" i="5" l="1"/>
  <c r="V76" i="5"/>
  <c r="V77" i="5"/>
  <c r="V78" i="5"/>
  <c r="V74" i="2"/>
  <c r="U61" i="5"/>
  <c r="V59" i="5"/>
  <c r="V60" i="5"/>
  <c r="V58" i="2"/>
  <c r="V74" i="5"/>
  <c r="V73" i="2"/>
  <c r="F3" i="3"/>
  <c r="F2" i="3"/>
  <c r="G3" i="3"/>
  <c r="H1" i="3"/>
  <c r="W74" i="5" l="1"/>
  <c r="V61" i="5"/>
  <c r="W59" i="5"/>
  <c r="H2" i="3"/>
  <c r="H3" i="3"/>
  <c r="I1" i="3"/>
  <c r="I2" i="3" l="1"/>
  <c r="I3" i="3"/>
  <c r="J1" i="3"/>
  <c r="J2" i="3" l="1"/>
  <c r="J3" i="3"/>
  <c r="K1" i="3"/>
  <c r="K2" i="3" l="1"/>
  <c r="K3" i="3"/>
  <c r="L1" i="3"/>
  <c r="L2" i="3" l="1"/>
  <c r="L3" i="3"/>
  <c r="M1" i="3"/>
  <c r="M2" i="3" l="1"/>
  <c r="M3" i="3"/>
  <c r="N1" i="3"/>
  <c r="N2" i="3" l="1"/>
  <c r="N3" i="3"/>
  <c r="O1" i="3"/>
  <c r="O2" i="3" l="1"/>
  <c r="O3" i="3"/>
  <c r="P1" i="3"/>
  <c r="P2" i="3" l="1"/>
  <c r="X74" i="3" s="1"/>
  <c r="P3" i="3"/>
  <c r="M19" i="51" l="1"/>
  <c r="M14" i="27"/>
  <c r="S5" i="3"/>
  <c r="S74" i="3" s="1"/>
  <c r="AC36" i="3"/>
  <c r="AB36" i="3"/>
  <c r="AA36" i="3"/>
  <c r="M23" i="51" l="1"/>
  <c r="M32" i="51" s="1"/>
  <c r="M33" i="51" s="1"/>
  <c r="M20" i="51"/>
  <c r="S76" i="3"/>
  <c r="S73" i="3"/>
  <c r="S3" i="3"/>
  <c r="F75" i="5" s="1"/>
  <c r="CI75" i="5" s="1"/>
  <c r="F6" i="5"/>
  <c r="Z36" i="3"/>
  <c r="X36" i="3"/>
  <c r="T5" i="3"/>
  <c r="T74" i="3" s="1"/>
  <c r="S36" i="3"/>
  <c r="F77" i="5" l="1"/>
  <c r="CI77" i="5" s="1"/>
  <c r="BG77" i="5"/>
  <c r="AP77" i="5"/>
  <c r="AG77" i="5"/>
  <c r="O77" i="5"/>
  <c r="T77" i="3"/>
  <c r="T76" i="3"/>
  <c r="BG6" i="5"/>
  <c r="BK6" i="5" s="1"/>
  <c r="AD36" i="3"/>
  <c r="AF36" i="3"/>
  <c r="F74" i="5"/>
  <c r="CI74" i="5" s="1"/>
  <c r="F37" i="5"/>
  <c r="CI37" i="5" s="1"/>
  <c r="T3" i="3"/>
  <c r="G6" i="5"/>
  <c r="K6" i="5"/>
  <c r="O6" i="5" s="1"/>
  <c r="BP6" i="5" s="1"/>
  <c r="T6" i="5"/>
  <c r="X6" i="5"/>
  <c r="U5" i="3"/>
  <c r="U74" i="3" s="1"/>
  <c r="T36" i="3"/>
  <c r="BK77" i="5" l="1"/>
  <c r="G75" i="5"/>
  <c r="G77" i="5"/>
  <c r="P77" i="5" s="1"/>
  <c r="G78" i="5"/>
  <c r="BL78" i="5" s="1"/>
  <c r="G37" i="5"/>
  <c r="CJ37" i="5" s="1"/>
  <c r="BK37" i="5"/>
  <c r="BJ77" i="5"/>
  <c r="BT6" i="5"/>
  <c r="V74" i="3"/>
  <c r="BL77" i="5"/>
  <c r="BK74" i="5"/>
  <c r="BU75" i="5"/>
  <c r="BG37" i="5"/>
  <c r="BJ37" i="5" s="1"/>
  <c r="BP37" i="5"/>
  <c r="BT37" i="5" s="1"/>
  <c r="BG74" i="5"/>
  <c r="BP74" i="5"/>
  <c r="BH6" i="5"/>
  <c r="BL6" i="5" s="1"/>
  <c r="BB37" i="5"/>
  <c r="BB74" i="5"/>
  <c r="T14" i="16"/>
  <c r="AG74" i="5"/>
  <c r="O74" i="5"/>
  <c r="AP74" i="5"/>
  <c r="X74" i="5"/>
  <c r="U58" i="3"/>
  <c r="AL6" i="5"/>
  <c r="AX6" i="5" s="1"/>
  <c r="CE6" i="5" s="1"/>
  <c r="CI6" i="5" s="1"/>
  <c r="AP6" i="5"/>
  <c r="AP37" i="5"/>
  <c r="AG37" i="5"/>
  <c r="AC6" i="5"/>
  <c r="AG6" i="5"/>
  <c r="L6" i="5"/>
  <c r="P6" i="5" s="1"/>
  <c r="BQ6" i="5" s="1"/>
  <c r="BU6" i="5" s="1"/>
  <c r="U6" i="5"/>
  <c r="Y6" i="5"/>
  <c r="U3" i="3"/>
  <c r="H6" i="5"/>
  <c r="U36" i="3"/>
  <c r="V36" i="3" s="1"/>
  <c r="AH77" i="5" l="1"/>
  <c r="AQ77" i="5"/>
  <c r="P78" i="5"/>
  <c r="Y78" i="5"/>
  <c r="AH78" i="5"/>
  <c r="AQ78" i="5"/>
  <c r="AJ66" i="50"/>
  <c r="AG62" i="50" s="1"/>
  <c r="M53" i="50" s="1"/>
  <c r="CJ75" i="5"/>
  <c r="CJ78" i="5"/>
  <c r="CJ77" i="5"/>
  <c r="H59" i="5"/>
  <c r="H75" i="5"/>
  <c r="H37" i="5"/>
  <c r="BI6" i="5"/>
  <c r="BM6" i="5" s="1"/>
  <c r="BT74" i="5"/>
  <c r="BJ74" i="5"/>
  <c r="BB6" i="5"/>
  <c r="BL37" i="5"/>
  <c r="BQ37" i="5"/>
  <c r="BU37" i="5" s="1"/>
  <c r="BC37" i="5"/>
  <c r="AQ37" i="5"/>
  <c r="AM6" i="5"/>
  <c r="AY6" i="5" s="1"/>
  <c r="CF6" i="5" s="1"/>
  <c r="CJ6" i="5" s="1"/>
  <c r="AQ6" i="5"/>
  <c r="AH6" i="5"/>
  <c r="AD6" i="5"/>
  <c r="AH37" i="5"/>
  <c r="M6" i="5"/>
  <c r="Q6" i="5" s="1"/>
  <c r="BR6" i="5" s="1"/>
  <c r="D45" i="39" s="1"/>
  <c r="Z6" i="5"/>
  <c r="V6" i="5"/>
  <c r="T69" i="3"/>
  <c r="G70" i="5" s="1"/>
  <c r="Q52" i="3"/>
  <c r="Q51" i="3"/>
  <c r="Q50" i="3"/>
  <c r="Q49" i="3"/>
  <c r="Q42" i="3"/>
  <c r="Q40" i="3"/>
  <c r="Q39" i="3"/>
  <c r="Q36" i="3"/>
  <c r="Q24" i="3"/>
  <c r="Q23" i="3"/>
  <c r="Q20" i="3"/>
  <c r="Q19" i="3"/>
  <c r="Q17" i="3"/>
  <c r="Q16" i="3"/>
  <c r="U70" i="2"/>
  <c r="V71" i="5" s="1"/>
  <c r="T70" i="2"/>
  <c r="U71" i="5" s="1"/>
  <c r="U69" i="2"/>
  <c r="V70" i="5" s="1"/>
  <c r="U67" i="2"/>
  <c r="V68" i="5" s="1"/>
  <c r="U66" i="2"/>
  <c r="V67" i="5" s="1"/>
  <c r="U65" i="2"/>
  <c r="T65" i="2"/>
  <c r="BS37" i="5" l="1"/>
  <c r="BW37" i="5" s="1"/>
  <c r="L10" i="50"/>
  <c r="E54" i="50"/>
  <c r="T61" i="50"/>
  <c r="F49" i="50" s="1"/>
  <c r="AV37" i="5"/>
  <c r="CK37" i="5"/>
  <c r="CK75" i="5"/>
  <c r="AV75" i="5"/>
  <c r="CK59" i="5"/>
  <c r="AV59" i="5"/>
  <c r="CJ70" i="5"/>
  <c r="U66" i="5"/>
  <c r="V66" i="5"/>
  <c r="BY37" i="5"/>
  <c r="BY59" i="5"/>
  <c r="BV6" i="5"/>
  <c r="D45" i="38"/>
  <c r="AJ66" i="37"/>
  <c r="V61" i="37"/>
  <c r="V19" i="37" s="1"/>
  <c r="BQ70" i="5"/>
  <c r="BU70" i="5" s="1"/>
  <c r="BL70" i="5"/>
  <c r="BC6" i="5"/>
  <c r="BD59" i="5"/>
  <c r="BC70" i="5"/>
  <c r="BD37" i="5"/>
  <c r="AI59" i="5"/>
  <c r="AR59" i="5"/>
  <c r="Q59" i="5"/>
  <c r="Z59" i="5"/>
  <c r="AR37" i="5"/>
  <c r="B12" i="22"/>
  <c r="AR6" i="5"/>
  <c r="AN6" i="5"/>
  <c r="AZ6" i="5" s="1"/>
  <c r="CG6" i="5" s="1"/>
  <c r="CK6" i="5" s="1"/>
  <c r="AH70" i="5"/>
  <c r="AQ70" i="5"/>
  <c r="AI37" i="5"/>
  <c r="AI6" i="5"/>
  <c r="AE6" i="5"/>
  <c r="AA69" i="3"/>
  <c r="AC65" i="2"/>
  <c r="AC66" i="2"/>
  <c r="Z63" i="7" s="1"/>
  <c r="AE63" i="7" s="1"/>
  <c r="AC69" i="3"/>
  <c r="Z69" i="3"/>
  <c r="AB69" i="3"/>
  <c r="AB70" i="3"/>
  <c r="AB65" i="2"/>
  <c r="AB66" i="2"/>
  <c r="Y63" i="7" s="1"/>
  <c r="AD63" i="7" s="1"/>
  <c r="AB67" i="2"/>
  <c r="Y64" i="7" s="1"/>
  <c r="AD64" i="7" s="1"/>
  <c r="AC69" i="2"/>
  <c r="Z66" i="7" s="1"/>
  <c r="AE66" i="7" s="1"/>
  <c r="AC70" i="2"/>
  <c r="Z67" i="7" s="1"/>
  <c r="AE67" i="7" s="1"/>
  <c r="T69" i="2"/>
  <c r="U70" i="5" s="1"/>
  <c r="AA66" i="2"/>
  <c r="AB69" i="2"/>
  <c r="Y66" i="7" s="1"/>
  <c r="AD66" i="7" s="1"/>
  <c r="AB70" i="2"/>
  <c r="Y67" i="7" s="1"/>
  <c r="AD67" i="7" s="1"/>
  <c r="I37" i="5"/>
  <c r="CN37" i="5" s="1"/>
  <c r="V62" i="44" s="1"/>
  <c r="S66" i="2"/>
  <c r="T67" i="5" s="1"/>
  <c r="AA69" i="2"/>
  <c r="AA70" i="2"/>
  <c r="AC67" i="2"/>
  <c r="Z64" i="7" s="1"/>
  <c r="AE64" i="7" s="1"/>
  <c r="Z69" i="2"/>
  <c r="W66" i="7" s="1"/>
  <c r="X69" i="2"/>
  <c r="S69" i="2"/>
  <c r="T70" i="5" s="1"/>
  <c r="Z70" i="2"/>
  <c r="W67" i="7" s="1"/>
  <c r="X70" i="2"/>
  <c r="S70" i="2"/>
  <c r="T71" i="5" s="1"/>
  <c r="Q69" i="3"/>
  <c r="X69" i="3"/>
  <c r="S69" i="3"/>
  <c r="F70" i="5" s="1"/>
  <c r="CI70" i="5" s="1"/>
  <c r="U69" i="3"/>
  <c r="H70" i="5" s="1"/>
  <c r="CL37" i="5" l="1"/>
  <c r="V61" i="49" s="1"/>
  <c r="V19" i="49" s="1"/>
  <c r="CK70" i="5"/>
  <c r="AV70" i="5"/>
  <c r="BK70" i="5"/>
  <c r="X67" i="7"/>
  <c r="AA67" i="7" s="1"/>
  <c r="AF67" i="7" s="1"/>
  <c r="CA71" i="5"/>
  <c r="X66" i="7"/>
  <c r="AA66" i="7" s="1"/>
  <c r="AF66" i="7" s="1"/>
  <c r="CA70" i="5"/>
  <c r="X63" i="7"/>
  <c r="AC63" i="7" s="1"/>
  <c r="CA67" i="5"/>
  <c r="BY6" i="5"/>
  <c r="B12" i="38"/>
  <c r="C24" i="39"/>
  <c r="E24" i="39" s="1"/>
  <c r="C25" i="39"/>
  <c r="C45" i="39"/>
  <c r="C49" i="38"/>
  <c r="C48" i="38"/>
  <c r="B54" i="38"/>
  <c r="V61" i="38"/>
  <c r="BY70" i="5"/>
  <c r="M53" i="37"/>
  <c r="E54" i="37" s="1"/>
  <c r="BD6" i="5"/>
  <c r="BG70" i="5"/>
  <c r="BJ70" i="5" s="1"/>
  <c r="BP70" i="5"/>
  <c r="BE37" i="5"/>
  <c r="BN37" i="5"/>
  <c r="BB70" i="5"/>
  <c r="AF69" i="3"/>
  <c r="BD70" i="5"/>
  <c r="Y62" i="7"/>
  <c r="AD62" i="7" s="1"/>
  <c r="Z62" i="7"/>
  <c r="AE62" i="7" s="1"/>
  <c r="AG70" i="5"/>
  <c r="AP70" i="5"/>
  <c r="AI70" i="5"/>
  <c r="AR70" i="5"/>
  <c r="AJ37" i="5"/>
  <c r="AS37" i="5"/>
  <c r="AC67" i="7"/>
  <c r="AD69" i="3"/>
  <c r="AB67" i="7"/>
  <c r="AB66" i="7"/>
  <c r="Y70" i="5"/>
  <c r="AD70" i="2"/>
  <c r="AD69" i="2"/>
  <c r="Z70" i="5"/>
  <c r="V70" i="2"/>
  <c r="W71" i="5"/>
  <c r="V69" i="2"/>
  <c r="I70" i="5"/>
  <c r="CN70" i="5" s="1"/>
  <c r="V69" i="3"/>
  <c r="AC66" i="7" l="1"/>
  <c r="L10" i="37"/>
  <c r="P9" i="37" s="1"/>
  <c r="T61" i="37"/>
  <c r="F49" i="37" s="1"/>
  <c r="CL70" i="5"/>
  <c r="CC70" i="5"/>
  <c r="V19" i="38"/>
  <c r="E14" i="37"/>
  <c r="BS70" i="5"/>
  <c r="BW70" i="5" s="1"/>
  <c r="BT70" i="5"/>
  <c r="V61" i="33"/>
  <c r="V19" i="33" s="1"/>
  <c r="BE70" i="5"/>
  <c r="BN70" i="5"/>
  <c r="AJ70" i="5"/>
  <c r="AS70" i="5"/>
  <c r="W70" i="5"/>
  <c r="AA70" i="5" s="1"/>
  <c r="X70" i="5"/>
  <c r="T19" i="37" l="1"/>
  <c r="M53" i="15"/>
  <c r="T61" i="15" s="1"/>
  <c r="F49" i="15" s="1"/>
  <c r="M53" i="33"/>
  <c r="F7" i="37" l="1"/>
  <c r="L10" i="15"/>
  <c r="E54" i="15"/>
  <c r="T61" i="33"/>
  <c r="F49" i="33" s="1"/>
  <c r="L10" i="33"/>
  <c r="E54" i="33"/>
  <c r="AB54" i="2"/>
  <c r="Y55" i="7" s="1"/>
  <c r="AD55" i="7" s="1"/>
  <c r="U54" i="2"/>
  <c r="T54" i="2"/>
  <c r="AB36" i="2"/>
  <c r="Y37" i="7" s="1"/>
  <c r="AD37" i="7" s="1"/>
  <c r="U36" i="2"/>
  <c r="T36" i="2"/>
  <c r="U37" i="5" s="1"/>
  <c r="AB30" i="2"/>
  <c r="Y31" i="7" s="1"/>
  <c r="AD31" i="7" s="1"/>
  <c r="U30" i="2"/>
  <c r="T30" i="2"/>
  <c r="U31" i="5" s="1"/>
  <c r="AB29" i="2"/>
  <c r="Y30" i="7" s="1"/>
  <c r="AD30" i="7" s="1"/>
  <c r="U29" i="2"/>
  <c r="T29" i="2"/>
  <c r="U30" i="5" s="1"/>
  <c r="AB28" i="2"/>
  <c r="U28" i="2"/>
  <c r="V29" i="5" s="1"/>
  <c r="T28" i="2"/>
  <c r="U29" i="5" s="1"/>
  <c r="AB21" i="2"/>
  <c r="Y22" i="7" s="1"/>
  <c r="AD22" i="7" s="1"/>
  <c r="U21" i="2"/>
  <c r="T21" i="2"/>
  <c r="U22" i="5" s="1"/>
  <c r="E9" i="33" l="1"/>
  <c r="U55" i="5"/>
  <c r="V55" i="5"/>
  <c r="V31" i="5"/>
  <c r="V37" i="5"/>
  <c r="Z37" i="5" s="1"/>
  <c r="V22" i="5"/>
  <c r="V30" i="5"/>
  <c r="Y29" i="7"/>
  <c r="Z28" i="2"/>
  <c r="W29" i="7" s="1"/>
  <c r="X28" i="2"/>
  <c r="Z36" i="2"/>
  <c r="W37" i="7" s="1"/>
  <c r="X36" i="2"/>
  <c r="Z54" i="2"/>
  <c r="X54" i="2"/>
  <c r="Z29" i="2"/>
  <c r="W30" i="7" s="1"/>
  <c r="X29" i="2"/>
  <c r="Z30" i="2"/>
  <c r="W31" i="7" s="1"/>
  <c r="AB31" i="7" s="1"/>
  <c r="X30" i="2"/>
  <c r="Z21" i="2"/>
  <c r="W22" i="7" s="1"/>
  <c r="AB22" i="7" s="1"/>
  <c r="X21" i="2"/>
  <c r="AA21" i="2"/>
  <c r="S21" i="2"/>
  <c r="T22" i="5" s="1"/>
  <c r="AA28" i="2"/>
  <c r="S28" i="2"/>
  <c r="T29" i="5" s="1"/>
  <c r="AA29" i="2"/>
  <c r="S29" i="2"/>
  <c r="T30" i="5" s="1"/>
  <c r="AA30" i="2"/>
  <c r="S30" i="2"/>
  <c r="T31" i="5" s="1"/>
  <c r="AA36" i="2"/>
  <c r="S36" i="2"/>
  <c r="T37" i="5" s="1"/>
  <c r="AA54" i="2"/>
  <c r="S54" i="2"/>
  <c r="Y37" i="5"/>
  <c r="AC21" i="2"/>
  <c r="Z22" i="7" s="1"/>
  <c r="AE22" i="7" s="1"/>
  <c r="AC28" i="2"/>
  <c r="Z29" i="7" s="1"/>
  <c r="AC29" i="2"/>
  <c r="Z30" i="7" s="1"/>
  <c r="AE30" i="7" s="1"/>
  <c r="AC30" i="2"/>
  <c r="Z31" i="7" s="1"/>
  <c r="AE31" i="7" s="1"/>
  <c r="AC36" i="2"/>
  <c r="Z37" i="7" s="1"/>
  <c r="AE37" i="7" s="1"/>
  <c r="AC54" i="2"/>
  <c r="Z55" i="7" s="1"/>
  <c r="Q52" i="2"/>
  <c r="Q51" i="2"/>
  <c r="Q50" i="2"/>
  <c r="Q49" i="2"/>
  <c r="Q42" i="2"/>
  <c r="Q40" i="2"/>
  <c r="Q39" i="2"/>
  <c r="Q36" i="2"/>
  <c r="Q30" i="2"/>
  <c r="Q29" i="2"/>
  <c r="Q28" i="2"/>
  <c r="Q24" i="2"/>
  <c r="Q23" i="2"/>
  <c r="Q21" i="2"/>
  <c r="Q20" i="2"/>
  <c r="Q19" i="2"/>
  <c r="Q17" i="2"/>
  <c r="Q16" i="2"/>
  <c r="X37" i="7" l="1"/>
  <c r="AC37" i="7" s="1"/>
  <c r="CA37" i="5"/>
  <c r="CC37" i="5" s="1"/>
  <c r="X55" i="7"/>
  <c r="AC55" i="7" s="1"/>
  <c r="CA55" i="5"/>
  <c r="X31" i="7"/>
  <c r="AA31" i="7" s="1"/>
  <c r="AF31" i="7" s="1"/>
  <c r="CA31" i="5"/>
  <c r="X30" i="7"/>
  <c r="AC30" i="7" s="1"/>
  <c r="CA30" i="5"/>
  <c r="X29" i="7"/>
  <c r="AA29" i="7" s="1"/>
  <c r="CA29" i="5"/>
  <c r="X22" i="7"/>
  <c r="AC22" i="7" s="1"/>
  <c r="CA22" i="5"/>
  <c r="T55" i="5"/>
  <c r="B12" i="11" s="1"/>
  <c r="W55" i="7"/>
  <c r="AB55" i="7" s="1"/>
  <c r="U9" i="1"/>
  <c r="M10" i="5" s="1"/>
  <c r="U8" i="1"/>
  <c r="M9" i="5" s="1"/>
  <c r="U7" i="1"/>
  <c r="M8" i="5" s="1"/>
  <c r="AA30" i="7"/>
  <c r="AF30" i="7" s="1"/>
  <c r="AB30" i="7"/>
  <c r="AB29" i="7"/>
  <c r="AE29" i="7"/>
  <c r="AE55" i="7"/>
  <c r="AA37" i="7"/>
  <c r="AF37" i="7" s="1"/>
  <c r="AB37" i="7"/>
  <c r="AD29" i="7"/>
  <c r="T7" i="1"/>
  <c r="L8" i="5" s="1"/>
  <c r="U10" i="1"/>
  <c r="M11" i="5" s="1"/>
  <c r="U11" i="1"/>
  <c r="M12" i="5" s="1"/>
  <c r="U12" i="1"/>
  <c r="M13" i="5" s="1"/>
  <c r="U13" i="1"/>
  <c r="M14" i="5" s="1"/>
  <c r="V29" i="2"/>
  <c r="AD21" i="2"/>
  <c r="V28" i="2"/>
  <c r="AD30" i="2"/>
  <c r="AD36" i="2"/>
  <c r="V54" i="2"/>
  <c r="V21" i="2"/>
  <c r="V36" i="2"/>
  <c r="AD54" i="2"/>
  <c r="T8" i="1"/>
  <c r="T9" i="1"/>
  <c r="T10" i="1"/>
  <c r="T11" i="1"/>
  <c r="T12" i="1"/>
  <c r="T13" i="1"/>
  <c r="AD29" i="2"/>
  <c r="AD28" i="2"/>
  <c r="V30" i="2"/>
  <c r="Q69" i="2"/>
  <c r="Q70" i="2"/>
  <c r="Q54" i="2"/>
  <c r="AC31" i="7" l="1"/>
  <c r="AC29" i="7"/>
  <c r="AA22" i="7"/>
  <c r="AF22" i="7" s="1"/>
  <c r="B12" i="42"/>
  <c r="B12" i="40"/>
  <c r="B12" i="39"/>
  <c r="AA55" i="7"/>
  <c r="AF55" i="7" s="1"/>
  <c r="AF29" i="7"/>
  <c r="T65" i="1"/>
  <c r="T56" i="1"/>
  <c r="L57" i="5" s="1"/>
  <c r="U70" i="1"/>
  <c r="M71" i="5" s="1"/>
  <c r="U72" i="1"/>
  <c r="M73" i="5" s="1"/>
  <c r="U6" i="1"/>
  <c r="M7" i="5" s="1"/>
  <c r="U65" i="1"/>
  <c r="U66" i="1"/>
  <c r="M67" i="5" s="1"/>
  <c r="U67" i="1"/>
  <c r="M68" i="5" s="1"/>
  <c r="U56" i="1"/>
  <c r="M57" i="5" s="1"/>
  <c r="L14" i="5"/>
  <c r="L13" i="5"/>
  <c r="L12" i="5"/>
  <c r="L11" i="5"/>
  <c r="L10" i="5"/>
  <c r="T66" i="1"/>
  <c r="L9" i="5"/>
  <c r="AA65" i="1"/>
  <c r="AA72" i="1"/>
  <c r="M69" i="7" s="1"/>
  <c r="R69" i="7" s="1"/>
  <c r="T67" i="1"/>
  <c r="T70" i="1"/>
  <c r="T72" i="1"/>
  <c r="T6" i="1"/>
  <c r="W31" i="5"/>
  <c r="W22" i="5"/>
  <c r="W29" i="5"/>
  <c r="W37" i="5"/>
  <c r="AA37" i="5" s="1"/>
  <c r="X37" i="5"/>
  <c r="W55" i="5"/>
  <c r="W30" i="5"/>
  <c r="AB68" i="1"/>
  <c r="N65" i="7" s="1"/>
  <c r="S65" i="7" s="1"/>
  <c r="AB69" i="1"/>
  <c r="N66" i="7" s="1"/>
  <c r="S66" i="7" s="1"/>
  <c r="AB72" i="1"/>
  <c r="N69" i="7" s="1"/>
  <c r="S69" i="7" s="1"/>
  <c r="AC65" i="1"/>
  <c r="S65" i="1"/>
  <c r="AC67" i="1"/>
  <c r="O64" i="7" s="1"/>
  <c r="T64" i="7" s="1"/>
  <c r="S67" i="1"/>
  <c r="AC69" i="1"/>
  <c r="O66" i="7" s="1"/>
  <c r="T66" i="7" s="1"/>
  <c r="S69" i="1"/>
  <c r="T68" i="1"/>
  <c r="T69" i="1"/>
  <c r="AC72" i="1"/>
  <c r="O69" i="7" s="1"/>
  <c r="T69" i="7" s="1"/>
  <c r="S72" i="1"/>
  <c r="Z72" i="1"/>
  <c r="L69" i="7" s="1"/>
  <c r="X72" i="1"/>
  <c r="Z67" i="1"/>
  <c r="L64" i="7" s="1"/>
  <c r="X67" i="1"/>
  <c r="AA67" i="1"/>
  <c r="M64" i="7" s="1"/>
  <c r="R64" i="7" s="1"/>
  <c r="AA68" i="1"/>
  <c r="M65" i="7" s="1"/>
  <c r="R65" i="7" s="1"/>
  <c r="AA69" i="1"/>
  <c r="M66" i="7" s="1"/>
  <c r="R66" i="7" s="1"/>
  <c r="Z65" i="1"/>
  <c r="X65" i="1"/>
  <c r="Z69" i="1"/>
  <c r="X69" i="1"/>
  <c r="U68" i="1"/>
  <c r="M69" i="5" s="1"/>
  <c r="U69" i="1"/>
  <c r="M70" i="5" s="1"/>
  <c r="Q70" i="5" s="1"/>
  <c r="AB65" i="1"/>
  <c r="AB67" i="1"/>
  <c r="N64" i="7" s="1"/>
  <c r="S64" i="7" s="1"/>
  <c r="P44" i="1"/>
  <c r="M44" i="1"/>
  <c r="G44" i="1"/>
  <c r="L38" i="1"/>
  <c r="M34" i="1"/>
  <c r="L34" i="1"/>
  <c r="Q69" i="1"/>
  <c r="Q67" i="1"/>
  <c r="Q65" i="1"/>
  <c r="Q52" i="1"/>
  <c r="Q51" i="1"/>
  <c r="Q50" i="1"/>
  <c r="Q49" i="1"/>
  <c r="Q42" i="1"/>
  <c r="Q40" i="1"/>
  <c r="Q39" i="1"/>
  <c r="Q24" i="1"/>
  <c r="Q23" i="1"/>
  <c r="Q20" i="1"/>
  <c r="Q19" i="1"/>
  <c r="Q17" i="1"/>
  <c r="Q16" i="1"/>
  <c r="B12" i="43" l="1"/>
  <c r="V61" i="43"/>
  <c r="V61" i="15"/>
  <c r="V19" i="15" s="1"/>
  <c r="V61" i="40"/>
  <c r="V19" i="40" s="1"/>
  <c r="N62" i="7"/>
  <c r="S62" i="7" s="1"/>
  <c r="L62" i="7"/>
  <c r="O62" i="7"/>
  <c r="T62" i="7" s="1"/>
  <c r="M62" i="7"/>
  <c r="R62" i="7" s="1"/>
  <c r="M66" i="5"/>
  <c r="L66" i="5"/>
  <c r="B12" i="33"/>
  <c r="B12" i="15"/>
  <c r="M31" i="5"/>
  <c r="M30" i="5"/>
  <c r="M22" i="5"/>
  <c r="M29" i="5"/>
  <c r="M26" i="5"/>
  <c r="L44" i="1"/>
  <c r="L45" i="1" s="1"/>
  <c r="L82" i="1" s="1"/>
  <c r="M32" i="5"/>
  <c r="M38" i="5"/>
  <c r="M55" i="5"/>
  <c r="M44" i="5"/>
  <c r="M34" i="5"/>
  <c r="U36" i="1"/>
  <c r="M37" i="5" s="1"/>
  <c r="M33" i="5"/>
  <c r="M64" i="5"/>
  <c r="M72" i="5"/>
  <c r="F44" i="1"/>
  <c r="L22" i="5"/>
  <c r="L26" i="5"/>
  <c r="L30" i="5"/>
  <c r="L31" i="5"/>
  <c r="L32" i="5"/>
  <c r="L33" i="5"/>
  <c r="L34" i="5"/>
  <c r="T36" i="1"/>
  <c r="L37" i="5" s="1"/>
  <c r="L38" i="5"/>
  <c r="G38" i="1"/>
  <c r="F38" i="1"/>
  <c r="O38" i="1"/>
  <c r="L44" i="5"/>
  <c r="L55" i="5"/>
  <c r="O44" i="1"/>
  <c r="O34" i="1"/>
  <c r="L64" i="5"/>
  <c r="L72" i="5"/>
  <c r="O22" i="1"/>
  <c r="O26" i="1" s="1"/>
  <c r="O81" i="1" s="1"/>
  <c r="M38" i="1"/>
  <c r="M45" i="1" s="1"/>
  <c r="M82" i="1" s="1"/>
  <c r="P69" i="7"/>
  <c r="U69" i="7" s="1"/>
  <c r="N19" i="7"/>
  <c r="N44" i="7"/>
  <c r="N55" i="7"/>
  <c r="S55" i="7" s="1"/>
  <c r="N60" i="7"/>
  <c r="N68" i="7"/>
  <c r="P34" i="1"/>
  <c r="P38" i="1"/>
  <c r="P22" i="1"/>
  <c r="P26" i="1" s="1"/>
  <c r="P81" i="1" s="1"/>
  <c r="J38" i="1"/>
  <c r="J44" i="1"/>
  <c r="P64" i="7"/>
  <c r="U64" i="7" s="1"/>
  <c r="AD69" i="1"/>
  <c r="L66" i="7"/>
  <c r="P66" i="7" s="1"/>
  <c r="U66" i="7" s="1"/>
  <c r="O30" i="7"/>
  <c r="T30" i="7" s="1"/>
  <c r="O31" i="7"/>
  <c r="T31" i="7" s="1"/>
  <c r="K70" i="5"/>
  <c r="O70" i="5" s="1"/>
  <c r="L67" i="5"/>
  <c r="Q64" i="7"/>
  <c r="Q69" i="7"/>
  <c r="L7" i="5"/>
  <c r="L73" i="5"/>
  <c r="L70" i="5"/>
  <c r="P70" i="5" s="1"/>
  <c r="L71" i="5"/>
  <c r="L69" i="5"/>
  <c r="K66" i="5"/>
  <c r="L68" i="5"/>
  <c r="AD67" i="1"/>
  <c r="L22" i="1"/>
  <c r="L26" i="1" s="1"/>
  <c r="L81" i="1" s="1"/>
  <c r="M22" i="1"/>
  <c r="M26" i="1" s="1"/>
  <c r="M81" i="1" s="1"/>
  <c r="M83" i="1" s="1"/>
  <c r="AD65" i="1"/>
  <c r="AD72" i="1"/>
  <c r="N26" i="7"/>
  <c r="L29" i="7"/>
  <c r="L42" i="7"/>
  <c r="L44" i="7"/>
  <c r="L55" i="7"/>
  <c r="L60" i="7"/>
  <c r="L68" i="7"/>
  <c r="L31" i="7"/>
  <c r="L32" i="7"/>
  <c r="O19" i="7"/>
  <c r="M22" i="7"/>
  <c r="R22" i="7" s="1"/>
  <c r="M26" i="7"/>
  <c r="H34" i="1"/>
  <c r="M29" i="7"/>
  <c r="M30" i="7"/>
  <c r="R30" i="7" s="1"/>
  <c r="M31" i="7"/>
  <c r="R31" i="7" s="1"/>
  <c r="M32" i="7"/>
  <c r="M33" i="7"/>
  <c r="M34" i="7"/>
  <c r="H38" i="1"/>
  <c r="M36" i="7"/>
  <c r="AA36" i="1"/>
  <c r="M37" i="7" s="1"/>
  <c r="S36" i="1"/>
  <c r="M38" i="7"/>
  <c r="L34" i="7"/>
  <c r="H44" i="1"/>
  <c r="M42" i="7"/>
  <c r="M44" i="7"/>
  <c r="M55" i="7"/>
  <c r="M60" i="7"/>
  <c r="M68" i="7"/>
  <c r="L36" i="7"/>
  <c r="K34" i="1"/>
  <c r="N29" i="7"/>
  <c r="N30" i="7"/>
  <c r="S30" i="7" s="1"/>
  <c r="N31" i="7"/>
  <c r="S31" i="7" s="1"/>
  <c r="N32" i="7"/>
  <c r="N33" i="7"/>
  <c r="N34" i="7"/>
  <c r="K38" i="1"/>
  <c r="N36" i="7"/>
  <c r="AB36" i="1"/>
  <c r="N37" i="7" s="1"/>
  <c r="S37" i="7" s="1"/>
  <c r="N38" i="7"/>
  <c r="L33" i="7"/>
  <c r="K44" i="1"/>
  <c r="L26" i="7"/>
  <c r="Z36" i="1"/>
  <c r="X36" i="1"/>
  <c r="I38" i="1"/>
  <c r="J34" i="1"/>
  <c r="I44" i="1"/>
  <c r="L19" i="7"/>
  <c r="H22" i="1"/>
  <c r="H26" i="1" s="1"/>
  <c r="H81" i="1" s="1"/>
  <c r="O22" i="7"/>
  <c r="T22" i="7" s="1"/>
  <c r="O26" i="7"/>
  <c r="N34" i="1"/>
  <c r="O29" i="7"/>
  <c r="O32" i="7"/>
  <c r="O33" i="7"/>
  <c r="O34" i="7"/>
  <c r="N38" i="1"/>
  <c r="AC36" i="1"/>
  <c r="O37" i="7" s="1"/>
  <c r="T37" i="7" s="1"/>
  <c r="O38" i="7"/>
  <c r="L30" i="7"/>
  <c r="I34" i="1"/>
  <c r="L29" i="5"/>
  <c r="I22" i="1"/>
  <c r="I26" i="1" s="1"/>
  <c r="I81" i="1" s="1"/>
  <c r="N44" i="1"/>
  <c r="O44" i="7"/>
  <c r="O55" i="7"/>
  <c r="T55" i="7" s="1"/>
  <c r="O60" i="7"/>
  <c r="O68" i="7"/>
  <c r="J22" i="1"/>
  <c r="J26" i="1" s="1"/>
  <c r="J81" i="1" s="1"/>
  <c r="V72" i="1"/>
  <c r="K73" i="5"/>
  <c r="V67" i="1"/>
  <c r="K68" i="5"/>
  <c r="V69" i="1"/>
  <c r="V65" i="1"/>
  <c r="AC68" i="1"/>
  <c r="O65" i="7" s="1"/>
  <c r="T65" i="7" s="1"/>
  <c r="S68" i="1"/>
  <c r="Z68" i="1"/>
  <c r="X68" i="1"/>
  <c r="Q68" i="1"/>
  <c r="N22" i="1"/>
  <c r="N26" i="1" s="1"/>
  <c r="N81" i="1" s="1"/>
  <c r="K22" i="1"/>
  <c r="K26" i="1" s="1"/>
  <c r="K81" i="1" s="1"/>
  <c r="Q36" i="1"/>
  <c r="P62" i="7" l="1"/>
  <c r="U62" i="7" s="1"/>
  <c r="L83" i="1"/>
  <c r="U22" i="1"/>
  <c r="M27" i="1"/>
  <c r="L27" i="1"/>
  <c r="I27" i="1"/>
  <c r="H27" i="1"/>
  <c r="N59" i="7"/>
  <c r="O59" i="7"/>
  <c r="M61" i="7"/>
  <c r="M63" i="5"/>
  <c r="M65" i="5"/>
  <c r="L63" i="5"/>
  <c r="N61" i="7"/>
  <c r="L65" i="5"/>
  <c r="O61" i="7"/>
  <c r="L61" i="7"/>
  <c r="L59" i="7"/>
  <c r="M59" i="7"/>
  <c r="U26" i="1"/>
  <c r="U81" i="1" s="1"/>
  <c r="M19" i="5"/>
  <c r="Q37" i="5"/>
  <c r="U34" i="1"/>
  <c r="P37" i="5"/>
  <c r="O45" i="1"/>
  <c r="O82" i="1" s="1"/>
  <c r="O83" i="1" s="1"/>
  <c r="O27" i="1"/>
  <c r="M46" i="1"/>
  <c r="M80" i="1" s="1"/>
  <c r="P27" i="1"/>
  <c r="P45" i="1"/>
  <c r="P82" i="1" s="1"/>
  <c r="P83" i="1" s="1"/>
  <c r="N27" i="1"/>
  <c r="L46" i="1"/>
  <c r="L80" i="1" s="1"/>
  <c r="I45" i="1"/>
  <c r="I82" i="1" s="1"/>
  <c r="I83" i="1" s="1"/>
  <c r="K27" i="1"/>
  <c r="J45" i="1"/>
  <c r="J82" i="1" s="1"/>
  <c r="J83" i="1" s="1"/>
  <c r="B12" i="12"/>
  <c r="N70" i="5"/>
  <c r="R70" i="5" s="1"/>
  <c r="N66" i="5"/>
  <c r="M45" i="7"/>
  <c r="Q31" i="7"/>
  <c r="P31" i="7"/>
  <c r="U31" i="7" s="1"/>
  <c r="O35" i="7"/>
  <c r="T29" i="7"/>
  <c r="N39" i="7"/>
  <c r="M35" i="7"/>
  <c r="R29" i="7"/>
  <c r="P44" i="7"/>
  <c r="M42" i="5"/>
  <c r="U44" i="1"/>
  <c r="P30" i="7"/>
  <c r="U30" i="7" s="1"/>
  <c r="Q30" i="7"/>
  <c r="P34" i="7"/>
  <c r="P68" i="7"/>
  <c r="L45" i="7"/>
  <c r="Q55" i="7"/>
  <c r="AB44" i="1"/>
  <c r="N42" i="7"/>
  <c r="J27" i="1"/>
  <c r="AD68" i="1"/>
  <c r="L65" i="7"/>
  <c r="P65" i="7" s="1"/>
  <c r="U65" i="7" s="1"/>
  <c r="AA22" i="1"/>
  <c r="AA26" i="1" s="1"/>
  <c r="M19" i="7"/>
  <c r="P19" i="7" s="1"/>
  <c r="P26" i="7"/>
  <c r="L35" i="7"/>
  <c r="Q29" i="7"/>
  <c r="P29" i="7"/>
  <c r="AC44" i="1"/>
  <c r="O42" i="7"/>
  <c r="AC38" i="1"/>
  <c r="O36" i="7"/>
  <c r="P36" i="7" s="1"/>
  <c r="P33" i="7"/>
  <c r="P55" i="7"/>
  <c r="U55" i="7" s="1"/>
  <c r="R55" i="7"/>
  <c r="P32" i="7"/>
  <c r="O23" i="7"/>
  <c r="P60" i="7"/>
  <c r="N45" i="1"/>
  <c r="N82" i="1" s="1"/>
  <c r="N83" i="1" s="1"/>
  <c r="S29" i="7"/>
  <c r="N35" i="7"/>
  <c r="M35" i="5"/>
  <c r="L38" i="7"/>
  <c r="AD36" i="1"/>
  <c r="L37" i="7"/>
  <c r="L22" i="7"/>
  <c r="L23" i="7" s="1"/>
  <c r="AB22" i="1"/>
  <c r="AB26" i="1" s="1"/>
  <c r="N22" i="7"/>
  <c r="M39" i="7"/>
  <c r="R37" i="7"/>
  <c r="M36" i="5"/>
  <c r="U38" i="1"/>
  <c r="Q66" i="7"/>
  <c r="Q62" i="7"/>
  <c r="H45" i="1"/>
  <c r="H82" i="1" s="1"/>
  <c r="H83" i="1" s="1"/>
  <c r="AA34" i="1"/>
  <c r="K45" i="1"/>
  <c r="K82" i="1" s="1"/>
  <c r="K83" i="1" s="1"/>
  <c r="Z22" i="1"/>
  <c r="Z26" i="1" s="1"/>
  <c r="K64" i="5"/>
  <c r="K34" i="5"/>
  <c r="T22" i="1"/>
  <c r="T26" i="1" s="1"/>
  <c r="T81" i="1" s="1"/>
  <c r="L19" i="5"/>
  <c r="K26" i="5"/>
  <c r="X22" i="1"/>
  <c r="X26" i="1" s="1"/>
  <c r="K63" i="5"/>
  <c r="K33" i="5"/>
  <c r="L35" i="5"/>
  <c r="K22" i="5"/>
  <c r="X44" i="1"/>
  <c r="AC34" i="1"/>
  <c r="AB34" i="1"/>
  <c r="K55" i="5"/>
  <c r="K32" i="5"/>
  <c r="Z44" i="1"/>
  <c r="K38" i="5"/>
  <c r="AC22" i="1"/>
  <c r="AC26" i="1" s="1"/>
  <c r="T44" i="1"/>
  <c r="L42" i="5"/>
  <c r="X38" i="1"/>
  <c r="K44" i="5"/>
  <c r="K31" i="5"/>
  <c r="T34" i="1"/>
  <c r="Z38" i="1"/>
  <c r="K37" i="5"/>
  <c r="V36" i="1"/>
  <c r="X34" i="1"/>
  <c r="S22" i="1"/>
  <c r="S26" i="1" s="1"/>
  <c r="K19" i="5"/>
  <c r="K72" i="5"/>
  <c r="K42" i="5"/>
  <c r="S44" i="1"/>
  <c r="K30" i="5"/>
  <c r="Z34" i="1"/>
  <c r="T38" i="1"/>
  <c r="L36" i="5"/>
  <c r="AB38" i="1"/>
  <c r="AA44" i="1"/>
  <c r="K36" i="5"/>
  <c r="S38" i="1"/>
  <c r="K65" i="5"/>
  <c r="AA38" i="1"/>
  <c r="K29" i="5"/>
  <c r="S34" i="1"/>
  <c r="N68" i="5"/>
  <c r="N73" i="5"/>
  <c r="K69" i="5"/>
  <c r="V68" i="1"/>
  <c r="M23" i="5" l="1"/>
  <c r="AB27" i="1"/>
  <c r="P59" i="7"/>
  <c r="O46" i="1"/>
  <c r="O80" i="1" s="1"/>
  <c r="J46" i="1"/>
  <c r="J80" i="1" s="1"/>
  <c r="P61" i="7"/>
  <c r="K46" i="1"/>
  <c r="K80" i="1" s="1"/>
  <c r="N46" i="1"/>
  <c r="N80" i="1" s="1"/>
  <c r="U27" i="1"/>
  <c r="M47" i="1"/>
  <c r="P46" i="1"/>
  <c r="P80" i="1" s="1"/>
  <c r="B12" i="9"/>
  <c r="L47" i="1"/>
  <c r="I46" i="1"/>
  <c r="I80" i="1" s="1"/>
  <c r="P42" i="7"/>
  <c r="P45" i="7" s="1"/>
  <c r="AA27" i="1"/>
  <c r="AD22" i="1"/>
  <c r="AD26" i="1" s="1"/>
  <c r="AC45" i="1"/>
  <c r="AC82" i="1" s="1"/>
  <c r="L39" i="7"/>
  <c r="L46" i="7" s="1"/>
  <c r="L27" i="7"/>
  <c r="P35" i="7"/>
  <c r="U29" i="7"/>
  <c r="Q65" i="7"/>
  <c r="S22" i="7"/>
  <c r="N23" i="7"/>
  <c r="O39" i="7"/>
  <c r="AD38" i="1"/>
  <c r="O45" i="7"/>
  <c r="U45" i="1"/>
  <c r="U82" i="1" s="1"/>
  <c r="U83" i="1" s="1"/>
  <c r="N45" i="7"/>
  <c r="M45" i="5"/>
  <c r="H46" i="1"/>
  <c r="H80" i="1" s="1"/>
  <c r="AB45" i="1"/>
  <c r="AB82" i="1" s="1"/>
  <c r="P22" i="7"/>
  <c r="U22" i="7" s="1"/>
  <c r="Q22" i="7"/>
  <c r="M27" i="5"/>
  <c r="M82" i="5" s="1"/>
  <c r="O27" i="7"/>
  <c r="M23" i="7"/>
  <c r="P38" i="7"/>
  <c r="M39" i="5"/>
  <c r="P37" i="7"/>
  <c r="U37" i="7" s="1"/>
  <c r="Q37" i="7"/>
  <c r="M46" i="7"/>
  <c r="V22" i="1"/>
  <c r="V26" i="1" s="1"/>
  <c r="X45" i="1"/>
  <c r="X82" i="1" s="1"/>
  <c r="AD34" i="1"/>
  <c r="V38" i="1"/>
  <c r="L45" i="5"/>
  <c r="N55" i="5"/>
  <c r="T45" i="1"/>
  <c r="T82" i="1" s="1"/>
  <c r="T83" i="1" s="1"/>
  <c r="N64" i="5"/>
  <c r="N34" i="5"/>
  <c r="Z45" i="1"/>
  <c r="Z82" i="1" s="1"/>
  <c r="N33" i="5"/>
  <c r="L23" i="5"/>
  <c r="K23" i="5"/>
  <c r="N19" i="5"/>
  <c r="AD44" i="1"/>
  <c r="T27" i="1"/>
  <c r="S27" i="1"/>
  <c r="N31" i="5"/>
  <c r="N63" i="5"/>
  <c r="AC27" i="1"/>
  <c r="N22" i="5"/>
  <c r="N72" i="5"/>
  <c r="N65" i="5"/>
  <c r="V44" i="1"/>
  <c r="N44" i="5"/>
  <c r="N32" i="5"/>
  <c r="N30" i="5"/>
  <c r="S45" i="1"/>
  <c r="S82" i="1" s="1"/>
  <c r="N37" i="5"/>
  <c r="R37" i="5" s="1"/>
  <c r="O37" i="5"/>
  <c r="N38" i="5"/>
  <c r="X27" i="1"/>
  <c r="Z27" i="1"/>
  <c r="N26" i="5"/>
  <c r="K39" i="5"/>
  <c r="N36" i="5"/>
  <c r="K45" i="5"/>
  <c r="N42" i="5"/>
  <c r="AA45" i="1"/>
  <c r="AA82" i="1" s="1"/>
  <c r="V34" i="1"/>
  <c r="K35" i="5"/>
  <c r="N29" i="5"/>
  <c r="L39" i="5"/>
  <c r="N69" i="5"/>
  <c r="V19" i="43" l="1"/>
  <c r="V19" i="44"/>
  <c r="V27" i="1"/>
  <c r="V61" i="14"/>
  <c r="V19" i="14" s="1"/>
  <c r="O47" i="1"/>
  <c r="P47" i="1"/>
  <c r="N47" i="1"/>
  <c r="K47" i="1"/>
  <c r="J47" i="1"/>
  <c r="AB46" i="1"/>
  <c r="I47" i="1"/>
  <c r="H47" i="1"/>
  <c r="AC46" i="1"/>
  <c r="AD45" i="1"/>
  <c r="AD82" i="1" s="1"/>
  <c r="B12" i="14"/>
  <c r="M46" i="5"/>
  <c r="M83" i="5" s="1"/>
  <c r="M84" i="5" s="1"/>
  <c r="P23" i="7"/>
  <c r="O46" i="7"/>
  <c r="O47" i="7" s="1"/>
  <c r="M27" i="7"/>
  <c r="N46" i="7"/>
  <c r="N27" i="7"/>
  <c r="L47" i="7"/>
  <c r="L28" i="7"/>
  <c r="M73" i="7"/>
  <c r="U46" i="1"/>
  <c r="U80" i="1" s="1"/>
  <c r="O28" i="7"/>
  <c r="P39" i="7"/>
  <c r="P46" i="7" s="1"/>
  <c r="X46" i="1"/>
  <c r="M28" i="5"/>
  <c r="L73" i="7"/>
  <c r="T46" i="1"/>
  <c r="T80" i="1" s="1"/>
  <c r="V45" i="1"/>
  <c r="V82" i="1" s="1"/>
  <c r="K46" i="5"/>
  <c r="K83" i="5" s="1"/>
  <c r="N45" i="5"/>
  <c r="L46" i="5"/>
  <c r="L83" i="5" s="1"/>
  <c r="N35" i="5"/>
  <c r="K27" i="5"/>
  <c r="N23" i="5"/>
  <c r="N39" i="5"/>
  <c r="AA46" i="1"/>
  <c r="AD27" i="1"/>
  <c r="S46" i="1"/>
  <c r="L27" i="5"/>
  <c r="Z46" i="1"/>
  <c r="Q72" i="1"/>
  <c r="E44" i="1"/>
  <c r="G34" i="1"/>
  <c r="G45" i="1" s="1"/>
  <c r="G82" i="1" s="1"/>
  <c r="G22" i="1"/>
  <c r="G26" i="1" s="1"/>
  <c r="G81" i="1" s="1"/>
  <c r="E22" i="1"/>
  <c r="F22" i="1"/>
  <c r="G83" i="1" l="1"/>
  <c r="C48" i="12"/>
  <c r="L82" i="5"/>
  <c r="L84" i="5" s="1"/>
  <c r="C7" i="9"/>
  <c r="C49" i="9"/>
  <c r="C48" i="9"/>
  <c r="C7" i="12"/>
  <c r="C49" i="12"/>
  <c r="AC47" i="1"/>
  <c r="AD46" i="1"/>
  <c r="G27" i="1"/>
  <c r="M47" i="5"/>
  <c r="M81" i="5" s="1"/>
  <c r="AB47" i="1"/>
  <c r="T47" i="1"/>
  <c r="X47" i="1"/>
  <c r="M28" i="7"/>
  <c r="O48" i="7"/>
  <c r="M47" i="7"/>
  <c r="O73" i="7"/>
  <c r="N73" i="7"/>
  <c r="P27" i="7"/>
  <c r="L48" i="7"/>
  <c r="U47" i="1"/>
  <c r="P73" i="7"/>
  <c r="N28" i="7"/>
  <c r="N47" i="7"/>
  <c r="V46" i="1"/>
  <c r="AA47" i="1"/>
  <c r="Z47" i="1"/>
  <c r="K47" i="5"/>
  <c r="K28" i="5"/>
  <c r="N27" i="5"/>
  <c r="L28" i="5"/>
  <c r="L47" i="5"/>
  <c r="L81" i="5" s="1"/>
  <c r="N46" i="5"/>
  <c r="S47" i="1"/>
  <c r="Q22" i="1"/>
  <c r="G46" i="1"/>
  <c r="G80" i="1" s="1"/>
  <c r="Q44" i="1"/>
  <c r="F34" i="1"/>
  <c r="F45" i="1" s="1"/>
  <c r="F82" i="1" s="1"/>
  <c r="F26" i="1"/>
  <c r="F81" i="1" s="1"/>
  <c r="E38" i="1"/>
  <c r="E26" i="1"/>
  <c r="E81" i="1" s="1"/>
  <c r="E34" i="1"/>
  <c r="C50" i="12" l="1"/>
  <c r="F83" i="1"/>
  <c r="N83" i="5"/>
  <c r="C7" i="14" s="1"/>
  <c r="C48" i="14"/>
  <c r="C50" i="9"/>
  <c r="C49" i="14"/>
  <c r="B54" i="9"/>
  <c r="AD47" i="1"/>
  <c r="M48" i="5"/>
  <c r="F27" i="1"/>
  <c r="G47" i="1"/>
  <c r="B54" i="12"/>
  <c r="Q26" i="1"/>
  <c r="V47" i="1"/>
  <c r="P28" i="7"/>
  <c r="P47" i="7"/>
  <c r="M48" i="7"/>
  <c r="N48" i="7"/>
  <c r="N28" i="5"/>
  <c r="K48" i="5"/>
  <c r="N47" i="5"/>
  <c r="Q34" i="1"/>
  <c r="L48" i="5"/>
  <c r="F46" i="1"/>
  <c r="F80" i="1" s="1"/>
  <c r="Q38" i="1"/>
  <c r="E45" i="1"/>
  <c r="E27" i="1"/>
  <c r="C50" i="14" l="1"/>
  <c r="C7" i="43"/>
  <c r="E82" i="1"/>
  <c r="E83" i="1" s="1"/>
  <c r="Q27" i="1"/>
  <c r="F47" i="1"/>
  <c r="B54" i="14"/>
  <c r="P48" i="7"/>
  <c r="N48" i="5"/>
  <c r="E46" i="1"/>
  <c r="E80" i="1" s="1"/>
  <c r="Q45" i="1"/>
  <c r="Q82" i="1" l="1"/>
  <c r="Q46" i="1"/>
  <c r="E47" i="1"/>
  <c r="Q47" i="1" s="1"/>
  <c r="H68" i="7" l="1"/>
  <c r="S68" i="7" s="1"/>
  <c r="I68" i="7"/>
  <c r="T68" i="7" s="1"/>
  <c r="U71" i="2"/>
  <c r="V72" i="5" l="1"/>
  <c r="U31" i="2"/>
  <c r="V32" i="5" s="1"/>
  <c r="H33" i="7"/>
  <c r="S33" i="7" s="1"/>
  <c r="T31" i="2"/>
  <c r="U32" i="5" s="1"/>
  <c r="G68" i="7"/>
  <c r="T32" i="2"/>
  <c r="U33" i="5" s="1"/>
  <c r="U32" i="2"/>
  <c r="V33" i="5" s="1"/>
  <c r="I33" i="7"/>
  <c r="T33" i="7" s="1"/>
  <c r="G33" i="7" l="1"/>
  <c r="R33" i="7" s="1"/>
  <c r="R68" i="7"/>
  <c r="F32" i="7"/>
  <c r="F68" i="7"/>
  <c r="I32" i="7" l="1"/>
  <c r="H32" i="7"/>
  <c r="F33" i="7"/>
  <c r="Q32" i="7"/>
  <c r="J68" i="7"/>
  <c r="U68" i="7" s="1"/>
  <c r="Q68" i="7"/>
  <c r="G32" i="7"/>
  <c r="S32" i="7" l="1"/>
  <c r="R32" i="7"/>
  <c r="J32" i="7"/>
  <c r="T32" i="7"/>
  <c r="J33" i="7"/>
  <c r="U33" i="7" s="1"/>
  <c r="Q33" i="7"/>
  <c r="U32" i="7" l="1"/>
  <c r="F19" i="7" l="1"/>
  <c r="F23" i="7" l="1"/>
  <c r="Q19" i="7"/>
  <c r="Q23" i="7" l="1"/>
  <c r="F59" i="7" l="1"/>
  <c r="Q59" i="7" l="1"/>
  <c r="F60" i="7" l="1"/>
  <c r="F26" i="7"/>
  <c r="Q26" i="7" l="1"/>
  <c r="F27" i="7"/>
  <c r="Q60" i="7"/>
  <c r="F28" i="7" l="1"/>
  <c r="Q28" i="7" s="1"/>
  <c r="F72" i="7"/>
  <c r="Q27" i="7"/>
  <c r="T18" i="2" l="1"/>
  <c r="T22" i="2" l="1"/>
  <c r="U19" i="5"/>
  <c r="I19" i="7"/>
  <c r="U18" i="2"/>
  <c r="V19" i="5" s="1"/>
  <c r="U23" i="5" l="1"/>
  <c r="U22" i="2"/>
  <c r="G19" i="7"/>
  <c r="I23" i="7"/>
  <c r="T19" i="7"/>
  <c r="H19" i="7"/>
  <c r="T23" i="7" l="1"/>
  <c r="V23" i="5"/>
  <c r="H23" i="7"/>
  <c r="S19" i="7"/>
  <c r="G23" i="7"/>
  <c r="R19" i="7"/>
  <c r="J19" i="7"/>
  <c r="S23" i="7" l="1"/>
  <c r="J23" i="7"/>
  <c r="U19" i="7"/>
  <c r="R23" i="7"/>
  <c r="U23" i="7" l="1"/>
  <c r="U64" i="2" l="1"/>
  <c r="T64" i="2" l="1"/>
  <c r="U65" i="5" s="1"/>
  <c r="V65" i="5"/>
  <c r="T33" i="2"/>
  <c r="U33" i="2"/>
  <c r="V34" i="5" s="1"/>
  <c r="T34" i="2" l="1"/>
  <c r="U34" i="5"/>
  <c r="T43" i="2"/>
  <c r="U44" i="5" s="1"/>
  <c r="F38" i="2"/>
  <c r="I38" i="7"/>
  <c r="T38" i="7" s="1"/>
  <c r="T35" i="2"/>
  <c r="U35" i="2"/>
  <c r="U43" i="2"/>
  <c r="V44" i="5" s="1"/>
  <c r="F34" i="7"/>
  <c r="G34" i="7"/>
  <c r="I34" i="7"/>
  <c r="H38" i="7"/>
  <c r="S38" i="7" s="1"/>
  <c r="H34" i="7"/>
  <c r="V35" i="5"/>
  <c r="U34" i="2"/>
  <c r="U36" i="5" l="1"/>
  <c r="V36" i="5"/>
  <c r="I36" i="7"/>
  <c r="H44" i="7"/>
  <c r="S44" i="7" s="1"/>
  <c r="H36" i="7"/>
  <c r="T34" i="7"/>
  <c r="I35" i="7"/>
  <c r="E44" i="2"/>
  <c r="U41" i="2"/>
  <c r="G38" i="7"/>
  <c r="R38" i="7" s="1"/>
  <c r="H61" i="7"/>
  <c r="S61" i="7" s="1"/>
  <c r="I44" i="7"/>
  <c r="T44" i="7" s="1"/>
  <c r="U35" i="5"/>
  <c r="R34" i="7"/>
  <c r="G35" i="7"/>
  <c r="R35" i="7" s="1"/>
  <c r="F35" i="7"/>
  <c r="Q35" i="7" s="1"/>
  <c r="J34" i="7"/>
  <c r="Q34" i="7"/>
  <c r="T41" i="2"/>
  <c r="F44" i="2"/>
  <c r="S34" i="7"/>
  <c r="H35" i="7"/>
  <c r="G36" i="7"/>
  <c r="I61" i="7"/>
  <c r="T61" i="7" s="1"/>
  <c r="E38" i="2"/>
  <c r="F36" i="7"/>
  <c r="T44" i="2" l="1"/>
  <c r="U42" i="5"/>
  <c r="U44" i="2"/>
  <c r="V42" i="5"/>
  <c r="H42" i="7"/>
  <c r="U34" i="7"/>
  <c r="J35" i="7"/>
  <c r="U35" i="7" s="1"/>
  <c r="I42" i="7"/>
  <c r="H39" i="7"/>
  <c r="S39" i="7" s="1"/>
  <c r="S36" i="7"/>
  <c r="T35" i="7"/>
  <c r="G61" i="7"/>
  <c r="R61" i="7" s="1"/>
  <c r="S35" i="7"/>
  <c r="F38" i="7"/>
  <c r="F39" i="7"/>
  <c r="Q39" i="7" s="1"/>
  <c r="J36" i="7"/>
  <c r="Q36" i="7"/>
  <c r="I39" i="7"/>
  <c r="T39" i="7" s="1"/>
  <c r="T36" i="7"/>
  <c r="G44" i="7"/>
  <c r="R44" i="7" s="1"/>
  <c r="G39" i="7"/>
  <c r="R39" i="7" s="1"/>
  <c r="R36" i="7"/>
  <c r="G42" i="7"/>
  <c r="F42" i="7"/>
  <c r="I45" i="7" l="1"/>
  <c r="T42" i="7"/>
  <c r="J42" i="7"/>
  <c r="Q42" i="7"/>
  <c r="F44" i="7"/>
  <c r="H45" i="7"/>
  <c r="S42" i="7"/>
  <c r="V45" i="5"/>
  <c r="J38" i="7"/>
  <c r="U38" i="7" s="1"/>
  <c r="Q38" i="7"/>
  <c r="J39" i="7"/>
  <c r="U36" i="7"/>
  <c r="G45" i="7"/>
  <c r="R42" i="7"/>
  <c r="F61" i="7"/>
  <c r="U45" i="5"/>
  <c r="J44" i="7" l="1"/>
  <c r="U44" i="7" s="1"/>
  <c r="Q44" i="7"/>
  <c r="U39" i="7"/>
  <c r="J61" i="7"/>
  <c r="U61" i="7" s="1"/>
  <c r="Q61" i="7"/>
  <c r="T45" i="7"/>
  <c r="I46" i="7"/>
  <c r="H46" i="7"/>
  <c r="S45" i="7"/>
  <c r="J45" i="7"/>
  <c r="U42" i="7"/>
  <c r="F45" i="7"/>
  <c r="G46" i="7"/>
  <c r="R45" i="7"/>
  <c r="H73" i="7" l="1"/>
  <c r="S46" i="7"/>
  <c r="S73" i="7" s="1"/>
  <c r="I73" i="7"/>
  <c r="T46" i="7"/>
  <c r="T73" i="7" s="1"/>
  <c r="J46" i="7"/>
  <c r="U45" i="7"/>
  <c r="F46" i="7"/>
  <c r="Q45" i="7"/>
  <c r="G73" i="7"/>
  <c r="R46" i="7"/>
  <c r="R73" i="7" s="1"/>
  <c r="F73" i="7" l="1"/>
  <c r="F74" i="7" s="1"/>
  <c r="Q46" i="7"/>
  <c r="Q73" i="7" s="1"/>
  <c r="F47" i="7"/>
  <c r="J73" i="7"/>
  <c r="U46" i="7"/>
  <c r="U73" i="7" s="1"/>
  <c r="F48" i="7" l="1"/>
  <c r="F71" i="7"/>
  <c r="Q47" i="7"/>
  <c r="Q48" i="7" l="1"/>
  <c r="T62" i="2" l="1"/>
  <c r="U63" i="5" s="1"/>
  <c r="I59" i="7" l="1"/>
  <c r="T59" i="7" s="1"/>
  <c r="H59" i="7"/>
  <c r="S59" i="7" s="1"/>
  <c r="U62" i="2" l="1"/>
  <c r="V63" i="5" l="1"/>
  <c r="G59" i="7"/>
  <c r="R59" i="7" l="1"/>
  <c r="J59" i="7"/>
  <c r="U59" i="7" s="1"/>
  <c r="T63" i="2" l="1"/>
  <c r="U64" i="5" s="1"/>
  <c r="T25" i="2" l="1"/>
  <c r="U26" i="5" l="1"/>
  <c r="T26" i="2"/>
  <c r="U27" i="5" l="1"/>
  <c r="T27" i="2"/>
  <c r="U28" i="5" l="1"/>
  <c r="H60" i="7"/>
  <c r="S60" i="7" s="1"/>
  <c r="U63" i="2"/>
  <c r="V64" i="5" s="1"/>
  <c r="U25" i="2"/>
  <c r="V26" i="5" s="1"/>
  <c r="G26" i="7" l="1"/>
  <c r="G60" i="7"/>
  <c r="U26" i="2"/>
  <c r="U27" i="2" l="1"/>
  <c r="H26" i="7"/>
  <c r="R26" i="7"/>
  <c r="G27" i="7"/>
  <c r="R60" i="7"/>
  <c r="V27" i="5"/>
  <c r="S26" i="7" l="1"/>
  <c r="H27" i="7"/>
  <c r="V28" i="5"/>
  <c r="I26" i="7"/>
  <c r="I60" i="7"/>
  <c r="G28" i="7"/>
  <c r="R28" i="7" s="1"/>
  <c r="G72" i="7"/>
  <c r="G74" i="7" s="1"/>
  <c r="G47" i="7"/>
  <c r="R27" i="7"/>
  <c r="G71" i="7" l="1"/>
  <c r="G48" i="7"/>
  <c r="R48" i="7" s="1"/>
  <c r="R47" i="7"/>
  <c r="H28" i="7"/>
  <c r="S28" i="7" s="1"/>
  <c r="H72" i="7"/>
  <c r="H74" i="7" s="1"/>
  <c r="H47" i="7"/>
  <c r="S27" i="7"/>
  <c r="T26" i="7"/>
  <c r="I27" i="7"/>
  <c r="J26" i="7"/>
  <c r="T60" i="7"/>
  <c r="J60" i="7"/>
  <c r="U60" i="7" s="1"/>
  <c r="H71" i="7" l="1"/>
  <c r="H48" i="7"/>
  <c r="S48" i="7" s="1"/>
  <c r="S47" i="7"/>
  <c r="U26" i="7"/>
  <c r="J27" i="7"/>
  <c r="I72" i="7"/>
  <c r="I74" i="7" s="1"/>
  <c r="I47" i="7"/>
  <c r="I28" i="7"/>
  <c r="T28" i="7" s="1"/>
  <c r="T27" i="7"/>
  <c r="J28" i="7" l="1"/>
  <c r="U28" i="7" s="1"/>
  <c r="J72" i="7"/>
  <c r="J74" i="7" s="1"/>
  <c r="J47" i="7"/>
  <c r="U27" i="7"/>
  <c r="I48" i="7"/>
  <c r="T48" i="7" s="1"/>
  <c r="I71" i="7"/>
  <c r="T47" i="7"/>
  <c r="J71" i="7" l="1"/>
  <c r="J48" i="7"/>
  <c r="U48" i="7" s="1"/>
  <c r="U47" i="7"/>
  <c r="O14" i="17" l="1"/>
  <c r="O14" i="16" l="1"/>
  <c r="AA70" i="3" l="1"/>
  <c r="U12" i="3" l="1"/>
  <c r="H13" i="5" s="1"/>
  <c r="U9" i="3"/>
  <c r="H10" i="5" s="1"/>
  <c r="U8" i="3"/>
  <c r="H9" i="5" s="1"/>
  <c r="U11" i="3"/>
  <c r="H12" i="5" s="1"/>
  <c r="U7" i="3"/>
  <c r="H8" i="5" s="1"/>
  <c r="U6" i="3"/>
  <c r="H7" i="5" s="1"/>
  <c r="CK7" i="5" l="1"/>
  <c r="AV7" i="5"/>
  <c r="CK8" i="5"/>
  <c r="AV8" i="5"/>
  <c r="CK12" i="5"/>
  <c r="AV12" i="5"/>
  <c r="CK9" i="5"/>
  <c r="AV9" i="5"/>
  <c r="CK10" i="5"/>
  <c r="AV10" i="5"/>
  <c r="CK13" i="5"/>
  <c r="AV13" i="5"/>
  <c r="BY7" i="5"/>
  <c r="BY8" i="5"/>
  <c r="BY12" i="5"/>
  <c r="BY9" i="5"/>
  <c r="BY10" i="5"/>
  <c r="BY13" i="5"/>
  <c r="U13" i="3"/>
  <c r="H14" i="5" s="1"/>
  <c r="CK14" i="5" l="1"/>
  <c r="AV14" i="5"/>
  <c r="E34" i="39"/>
  <c r="F34" i="39" s="1"/>
  <c r="BY14" i="5"/>
  <c r="E34" i="38"/>
  <c r="F34" i="38" s="1"/>
  <c r="BD7" i="5"/>
  <c r="BD13" i="5"/>
  <c r="BD10" i="5"/>
  <c r="BD9" i="5"/>
  <c r="BD12" i="5"/>
  <c r="BD8" i="5"/>
  <c r="AR12" i="5"/>
  <c r="Q12" i="5"/>
  <c r="AR8" i="5"/>
  <c r="Q8" i="5"/>
  <c r="Q10" i="5"/>
  <c r="AR10" i="5"/>
  <c r="AR13" i="5"/>
  <c r="Q13" i="5"/>
  <c r="AR9" i="5"/>
  <c r="Q9" i="5"/>
  <c r="AR7" i="5"/>
  <c r="Q7" i="5"/>
  <c r="BD14" i="5" l="1"/>
  <c r="Q14" i="5"/>
  <c r="AR14" i="5"/>
  <c r="F19" i="9" l="1"/>
  <c r="F20" i="9" l="1"/>
  <c r="F19" i="11"/>
  <c r="F20" i="11" l="1"/>
  <c r="E19" i="11"/>
  <c r="E20" i="11" l="1"/>
  <c r="E19" i="9"/>
  <c r="E19" i="12"/>
  <c r="F19" i="20"/>
  <c r="E20" i="12" l="1"/>
  <c r="E20" i="9"/>
  <c r="S33" i="20"/>
  <c r="E19" i="20" l="1"/>
  <c r="E19" i="19" l="1"/>
  <c r="E20" i="19" s="1"/>
  <c r="T12" i="3" l="1"/>
  <c r="G13" i="5" s="1"/>
  <c r="T11" i="3"/>
  <c r="G12" i="5" s="1"/>
  <c r="T10" i="3"/>
  <c r="G11" i="5" s="1"/>
  <c r="D33" i="19"/>
  <c r="T6" i="3"/>
  <c r="G7" i="5" s="1"/>
  <c r="T9" i="3"/>
  <c r="G10" i="5" s="1"/>
  <c r="T8" i="3"/>
  <c r="G9" i="5" s="1"/>
  <c r="T7" i="3"/>
  <c r="G8" i="5" s="1"/>
  <c r="CJ8" i="5" l="1"/>
  <c r="CJ9" i="5"/>
  <c r="CJ10" i="5"/>
  <c r="CJ7" i="5"/>
  <c r="CJ11" i="5"/>
  <c r="CJ12" i="5"/>
  <c r="CJ13" i="5"/>
  <c r="BQ8" i="5"/>
  <c r="BU8" i="5" s="1"/>
  <c r="BL8" i="5"/>
  <c r="BQ9" i="5"/>
  <c r="BU9" i="5" s="1"/>
  <c r="BL9" i="5"/>
  <c r="BQ10" i="5"/>
  <c r="BU10" i="5" s="1"/>
  <c r="BL10" i="5"/>
  <c r="BQ7" i="5"/>
  <c r="BU7" i="5" s="1"/>
  <c r="BL7" i="5"/>
  <c r="BQ11" i="5"/>
  <c r="BU11" i="5" s="1"/>
  <c r="BL11" i="5"/>
  <c r="BQ12" i="5"/>
  <c r="BU12" i="5" s="1"/>
  <c r="BL12" i="5"/>
  <c r="BQ13" i="5"/>
  <c r="BU13" i="5" s="1"/>
  <c r="BL13" i="5"/>
  <c r="AI8" i="5"/>
  <c r="AI9" i="5"/>
  <c r="AI10" i="5"/>
  <c r="AI7" i="5"/>
  <c r="AI12" i="5"/>
  <c r="AI13" i="5"/>
  <c r="BC12" i="5"/>
  <c r="BC11" i="5"/>
  <c r="BC10" i="5"/>
  <c r="BC9" i="5"/>
  <c r="BC8" i="5"/>
  <c r="BC7" i="5"/>
  <c r="BC13" i="5"/>
  <c r="AA8" i="3"/>
  <c r="Z10" i="3"/>
  <c r="Z11" i="3"/>
  <c r="Z12" i="3"/>
  <c r="AA6" i="3"/>
  <c r="AA10" i="3"/>
  <c r="AA11" i="3"/>
  <c r="AA12" i="3"/>
  <c r="AB7" i="3"/>
  <c r="AB8" i="3"/>
  <c r="AB9" i="3"/>
  <c r="AB6" i="3"/>
  <c r="AB11" i="3"/>
  <c r="AB12" i="3"/>
  <c r="AA9" i="3"/>
  <c r="AH8" i="5"/>
  <c r="AQ8" i="5"/>
  <c r="P8" i="5"/>
  <c r="AQ9" i="5"/>
  <c r="P9" i="5"/>
  <c r="AH9" i="5"/>
  <c r="AH10" i="5"/>
  <c r="P10" i="5"/>
  <c r="AQ10" i="5"/>
  <c r="AQ7" i="5"/>
  <c r="P7" i="5"/>
  <c r="AH7" i="5"/>
  <c r="AA7" i="3"/>
  <c r="Z7" i="3"/>
  <c r="Z8" i="3"/>
  <c r="Z9" i="3"/>
  <c r="Z6" i="3"/>
  <c r="P11" i="5"/>
  <c r="AH11" i="5"/>
  <c r="AQ11" i="5"/>
  <c r="AQ12" i="5"/>
  <c r="P12" i="5"/>
  <c r="AH12" i="5"/>
  <c r="P13" i="5"/>
  <c r="AH13" i="5"/>
  <c r="AQ13" i="5"/>
  <c r="T13" i="3"/>
  <c r="G14" i="5" s="1"/>
  <c r="D34" i="19"/>
  <c r="CJ14" i="5" l="1"/>
  <c r="BQ14" i="5"/>
  <c r="BU14" i="5" s="1"/>
  <c r="BL14" i="5"/>
  <c r="AI14" i="5"/>
  <c r="AF11" i="3"/>
  <c r="AF10" i="3"/>
  <c r="AF6" i="3"/>
  <c r="AF8" i="3"/>
  <c r="AF9" i="3"/>
  <c r="AF7" i="3"/>
  <c r="AF12" i="3"/>
  <c r="BC14" i="5"/>
  <c r="Z13" i="3"/>
  <c r="AB13" i="3"/>
  <c r="AQ14" i="5"/>
  <c r="P14" i="5"/>
  <c r="AH14" i="5"/>
  <c r="AA13" i="3"/>
  <c r="AF13" i="3" l="1"/>
  <c r="AF9" i="5" l="1"/>
  <c r="AF13" i="5"/>
  <c r="AF12" i="5"/>
  <c r="AF8" i="5"/>
  <c r="AF7" i="5"/>
  <c r="AF10" i="5"/>
  <c r="AF11" i="5"/>
  <c r="D33" i="37" s="1"/>
  <c r="AF14" i="5" l="1"/>
  <c r="D34" i="36" l="1"/>
  <c r="D34" i="37"/>
  <c r="K19" i="19" l="1"/>
  <c r="K20" i="19" s="1"/>
  <c r="F19" i="19" l="1"/>
  <c r="F20" i="19" s="1"/>
  <c r="F19" i="12"/>
  <c r="F20" i="12" l="1"/>
  <c r="S33" i="19"/>
  <c r="AB66" i="1" l="1"/>
  <c r="AA66" i="1"/>
  <c r="AC66" i="1"/>
  <c r="Q66" i="1"/>
  <c r="X66" i="1"/>
  <c r="S66" i="1"/>
  <c r="Z66" i="1"/>
  <c r="M63" i="7" l="1"/>
  <c r="N63" i="7"/>
  <c r="O63" i="7"/>
  <c r="L63" i="7"/>
  <c r="AD66" i="1"/>
  <c r="V66" i="1"/>
  <c r="K67" i="5"/>
  <c r="T63" i="7" l="1"/>
  <c r="S63" i="7"/>
  <c r="P63" i="7"/>
  <c r="Q63" i="7"/>
  <c r="N67" i="5"/>
  <c r="R63" i="7"/>
  <c r="U63" i="7" l="1"/>
  <c r="AB70" i="1" l="1"/>
  <c r="AB80" i="1" s="1"/>
  <c r="X70" i="1"/>
  <c r="X80" i="1" s="1"/>
  <c r="Q70" i="1"/>
  <c r="Z70" i="1"/>
  <c r="Z80" i="1" s="1"/>
  <c r="S70" i="1"/>
  <c r="S80" i="1" s="1"/>
  <c r="AA70" i="1"/>
  <c r="AA80" i="1" s="1"/>
  <c r="AC70" i="1"/>
  <c r="AC80" i="1" s="1"/>
  <c r="Q80" i="1" l="1"/>
  <c r="AC81" i="1"/>
  <c r="AC83" i="1" s="1"/>
  <c r="AA81" i="1"/>
  <c r="AA83" i="1" s="1"/>
  <c r="S81" i="1"/>
  <c r="S83" i="1" s="1"/>
  <c r="Z81" i="1"/>
  <c r="Z83" i="1" s="1"/>
  <c r="Q81" i="1"/>
  <c r="Q83" i="1" s="1"/>
  <c r="X81" i="1"/>
  <c r="X83" i="1" s="1"/>
  <c r="AB81" i="1"/>
  <c r="AB83" i="1" s="1"/>
  <c r="K71" i="5"/>
  <c r="K82" i="5" s="1"/>
  <c r="V70" i="1"/>
  <c r="V80" i="1" s="1"/>
  <c r="L67" i="7"/>
  <c r="AD70" i="1"/>
  <c r="AD80" i="1" s="1"/>
  <c r="N67" i="7"/>
  <c r="M67" i="7"/>
  <c r="O67" i="7"/>
  <c r="K84" i="5" l="1"/>
  <c r="K81" i="5"/>
  <c r="AD81" i="1"/>
  <c r="AD83" i="1" s="1"/>
  <c r="V81" i="1"/>
  <c r="V83" i="1" s="1"/>
  <c r="P67" i="7"/>
  <c r="Q67" i="7"/>
  <c r="L72" i="7"/>
  <c r="L74" i="7" s="1"/>
  <c r="L71" i="7"/>
  <c r="R67" i="7"/>
  <c r="M71" i="7"/>
  <c r="M72" i="7"/>
  <c r="M74" i="7" s="1"/>
  <c r="T67" i="7"/>
  <c r="O72" i="7"/>
  <c r="O74" i="7" s="1"/>
  <c r="O71" i="7"/>
  <c r="S67" i="7"/>
  <c r="N71" i="7"/>
  <c r="N72" i="7"/>
  <c r="N74" i="7" s="1"/>
  <c r="N71" i="5"/>
  <c r="N82" i="5" s="1"/>
  <c r="C6" i="43" s="1"/>
  <c r="C8" i="43" l="1"/>
  <c r="N84" i="5"/>
  <c r="N81" i="5"/>
  <c r="C6" i="9"/>
  <c r="C6" i="12"/>
  <c r="R72" i="7"/>
  <c r="R74" i="7" s="1"/>
  <c r="R71" i="7"/>
  <c r="T72" i="7"/>
  <c r="T74" i="7" s="1"/>
  <c r="T71" i="7"/>
  <c r="S72" i="7"/>
  <c r="S74" i="7" s="1"/>
  <c r="S71" i="7"/>
  <c r="Q72" i="7"/>
  <c r="Q74" i="7" s="1"/>
  <c r="Q71" i="7"/>
  <c r="U67" i="7"/>
  <c r="P71" i="7"/>
  <c r="P72" i="7"/>
  <c r="P74" i="7" s="1"/>
  <c r="C8" i="12" l="1"/>
  <c r="C8" i="9"/>
  <c r="C6" i="14"/>
  <c r="C8" i="14" s="1"/>
  <c r="U71" i="7"/>
  <c r="U72" i="7"/>
  <c r="U74" i="7" s="1"/>
  <c r="AB8" i="1" l="1"/>
  <c r="N9" i="7" s="1"/>
  <c r="S9" i="7" s="1"/>
  <c r="AB10" i="1"/>
  <c r="N11" i="7" s="1"/>
  <c r="S11" i="7" s="1"/>
  <c r="AB11" i="1"/>
  <c r="N12" i="7" s="1"/>
  <c r="S12" i="7" s="1"/>
  <c r="AC12" i="1" l="1"/>
  <c r="O13" i="7" s="1"/>
  <c r="T13" i="7" s="1"/>
  <c r="AB12" i="1"/>
  <c r="N13" i="7" s="1"/>
  <c r="S13" i="7" s="1"/>
  <c r="AC9" i="1"/>
  <c r="O10" i="7" s="1"/>
  <c r="T10" i="7" s="1"/>
  <c r="AB9" i="1"/>
  <c r="N10" i="7" s="1"/>
  <c r="S10" i="7" s="1"/>
  <c r="AA6" i="1"/>
  <c r="M7" i="7" s="1"/>
  <c r="R7" i="7" s="1"/>
  <c r="AB6" i="1"/>
  <c r="N7" i="7" s="1"/>
  <c r="S7" i="7" s="1"/>
  <c r="S6" i="1"/>
  <c r="Z6" i="1"/>
  <c r="X6" i="1"/>
  <c r="Q6" i="1"/>
  <c r="X12" i="1"/>
  <c r="Z12" i="1"/>
  <c r="S12" i="1"/>
  <c r="Q12" i="1"/>
  <c r="S9" i="1"/>
  <c r="Z9" i="1"/>
  <c r="X9" i="1"/>
  <c r="Q9" i="1"/>
  <c r="AC8" i="1"/>
  <c r="O9" i="7" s="1"/>
  <c r="T9" i="7" s="1"/>
  <c r="AB7" i="1"/>
  <c r="N8" i="7" s="1"/>
  <c r="S8" i="7" s="1"/>
  <c r="AA9" i="1"/>
  <c r="M10" i="7" s="1"/>
  <c r="R10" i="7" s="1"/>
  <c r="S11" i="1"/>
  <c r="X11" i="1"/>
  <c r="Z11" i="1"/>
  <c r="Q11" i="1"/>
  <c r="S8" i="1"/>
  <c r="Z8" i="1"/>
  <c r="X8" i="1"/>
  <c r="Q8" i="1"/>
  <c r="AC11" i="1"/>
  <c r="O12" i="7" s="1"/>
  <c r="T12" i="7" s="1"/>
  <c r="AC7" i="1"/>
  <c r="O8" i="7" s="1"/>
  <c r="T8" i="7" s="1"/>
  <c r="AA12" i="1"/>
  <c r="M13" i="7" s="1"/>
  <c r="R13" i="7" s="1"/>
  <c r="AA8" i="1"/>
  <c r="M9" i="7" s="1"/>
  <c r="R9" i="7" s="1"/>
  <c r="S10" i="1"/>
  <c r="Z10" i="1"/>
  <c r="X10" i="1"/>
  <c r="Q10" i="1"/>
  <c r="S7" i="1"/>
  <c r="X7" i="1"/>
  <c r="Z7" i="1"/>
  <c r="Q7" i="1"/>
  <c r="AC10" i="1"/>
  <c r="O11" i="7" s="1"/>
  <c r="T11" i="7" s="1"/>
  <c r="AA11" i="1"/>
  <c r="M12" i="7" s="1"/>
  <c r="R12" i="7" s="1"/>
  <c r="AA7" i="1"/>
  <c r="M8" i="7" s="1"/>
  <c r="R8" i="7" s="1"/>
  <c r="AA10" i="1"/>
  <c r="M11" i="7" s="1"/>
  <c r="R11" i="7" s="1"/>
  <c r="AC6" i="1"/>
  <c r="O7" i="7" s="1"/>
  <c r="T7" i="7" s="1"/>
  <c r="AB13" i="1" l="1"/>
  <c r="N14" i="7" s="1"/>
  <c r="S14" i="7" s="1"/>
  <c r="S13" i="1"/>
  <c r="X13" i="1"/>
  <c r="Z13" i="1"/>
  <c r="Q13" i="1"/>
  <c r="L8" i="7"/>
  <c r="AD7" i="1"/>
  <c r="V7" i="1"/>
  <c r="K8" i="5"/>
  <c r="L9" i="7"/>
  <c r="AD8" i="1"/>
  <c r="K9" i="5"/>
  <c r="V8" i="1"/>
  <c r="L10" i="7"/>
  <c r="AD9" i="1"/>
  <c r="AC13" i="1"/>
  <c r="O14" i="7" s="1"/>
  <c r="T14" i="7" s="1"/>
  <c r="L11" i="7"/>
  <c r="AD10" i="1"/>
  <c r="K10" i="5"/>
  <c r="V9" i="1"/>
  <c r="V10" i="1"/>
  <c r="K11" i="5"/>
  <c r="AD11" i="1"/>
  <c r="L12" i="7"/>
  <c r="V12" i="1"/>
  <c r="K13" i="5"/>
  <c r="V11" i="1"/>
  <c r="K12" i="5"/>
  <c r="L13" i="7"/>
  <c r="AD12" i="1"/>
  <c r="L7" i="7"/>
  <c r="AD6" i="1"/>
  <c r="V6" i="1"/>
  <c r="K7" i="5"/>
  <c r="AA13" i="1"/>
  <c r="M14" i="7" s="1"/>
  <c r="R14" i="7" s="1"/>
  <c r="P12" i="7" l="1"/>
  <c r="U12" i="7" s="1"/>
  <c r="Q12" i="7"/>
  <c r="N9" i="5"/>
  <c r="N7" i="5"/>
  <c r="N11" i="5"/>
  <c r="Q9" i="7"/>
  <c r="P9" i="7"/>
  <c r="U9" i="7" s="1"/>
  <c r="N8" i="5"/>
  <c r="P7" i="7"/>
  <c r="U7" i="7" s="1"/>
  <c r="Q7" i="7"/>
  <c r="N10" i="5"/>
  <c r="P8" i="7"/>
  <c r="U8" i="7" s="1"/>
  <c r="Q8" i="7"/>
  <c r="Q13" i="7"/>
  <c r="P13" i="7"/>
  <c r="U13" i="7" s="1"/>
  <c r="P11" i="7"/>
  <c r="U11" i="7" s="1"/>
  <c r="Q11" i="7"/>
  <c r="N12" i="5"/>
  <c r="L14" i="7"/>
  <c r="AD13" i="1"/>
  <c r="N13" i="5"/>
  <c r="Q10" i="7"/>
  <c r="P10" i="7"/>
  <c r="U10" i="7" s="1"/>
  <c r="V13" i="1"/>
  <c r="K14" i="5"/>
  <c r="P14" i="7" l="1"/>
  <c r="U14" i="7" s="1"/>
  <c r="Q14" i="7"/>
  <c r="N14" i="5"/>
  <c r="AC56" i="1" l="1"/>
  <c r="O57" i="7" s="1"/>
  <c r="T57" i="7" s="1"/>
  <c r="S56" i="1"/>
  <c r="Z56" i="1"/>
  <c r="X56" i="1"/>
  <c r="Q56" i="1"/>
  <c r="AA56" i="1"/>
  <c r="M57" i="7" s="1"/>
  <c r="R57" i="7" s="1"/>
  <c r="AB56" i="1"/>
  <c r="N57" i="7" s="1"/>
  <c r="S57" i="7" s="1"/>
  <c r="L57" i="7" l="1"/>
  <c r="AD56" i="1"/>
  <c r="V56" i="1"/>
  <c r="K57" i="5"/>
  <c r="N57" i="5" l="1"/>
  <c r="P57" i="7"/>
  <c r="U57" i="7" s="1"/>
  <c r="Q57" i="7"/>
  <c r="T62" i="3" l="1"/>
  <c r="G63" i="5" s="1"/>
  <c r="CJ63" i="5" l="1"/>
  <c r="BQ63" i="5"/>
  <c r="BL63" i="5"/>
  <c r="Y63" i="5"/>
  <c r="P63" i="5"/>
  <c r="BU63" i="5" l="1"/>
  <c r="C23" i="19" l="1"/>
  <c r="C23" i="15"/>
  <c r="C23" i="33" l="1"/>
  <c r="U70" i="3" l="1"/>
  <c r="T70" i="3"/>
  <c r="G71" i="5" s="1"/>
  <c r="CJ71" i="5" l="1"/>
  <c r="H71" i="5"/>
  <c r="AV71" i="5" s="1"/>
  <c r="BQ71" i="5"/>
  <c r="BU71" i="5" s="1"/>
  <c r="BL71" i="5"/>
  <c r="BC71" i="5"/>
  <c r="Z70" i="3"/>
  <c r="AQ71" i="5"/>
  <c r="P71" i="5"/>
  <c r="Y71" i="5"/>
  <c r="AH71" i="5"/>
  <c r="Z71" i="5" l="1"/>
  <c r="BD71" i="5"/>
  <c r="AI71" i="5"/>
  <c r="Q71" i="5"/>
  <c r="AR71" i="5"/>
  <c r="BY71" i="5"/>
  <c r="CK71" i="5"/>
  <c r="AF70" i="3"/>
  <c r="S35" i="39" l="1"/>
  <c r="S35" i="38"/>
  <c r="AF71" i="5"/>
  <c r="T56" i="3" l="1"/>
  <c r="G57" i="5" s="1"/>
  <c r="U56" i="3"/>
  <c r="H57" i="5" s="1"/>
  <c r="CK57" i="5" l="1"/>
  <c r="AV57" i="5"/>
  <c r="CJ57" i="5"/>
  <c r="BY57" i="5"/>
  <c r="BQ57" i="5"/>
  <c r="BU57" i="5" s="1"/>
  <c r="BL57" i="5"/>
  <c r="BD57" i="5"/>
  <c r="BC57" i="5"/>
  <c r="AR57" i="5"/>
  <c r="Q57" i="5"/>
  <c r="AQ57" i="5"/>
  <c r="P57" i="5"/>
  <c r="C23" i="12" l="1"/>
  <c r="AI57" i="5" l="1"/>
  <c r="AA75" i="3" l="1"/>
  <c r="Z56" i="3" l="1"/>
  <c r="AA56" i="3"/>
  <c r="AF56" i="3" l="1"/>
  <c r="AB56" i="3"/>
  <c r="AH57" i="5" l="1"/>
  <c r="AF57" i="5"/>
  <c r="K19" i="11" l="1"/>
  <c r="K20" i="11" l="1"/>
  <c r="L19" i="12" l="1"/>
  <c r="L20" i="12" l="1"/>
  <c r="L20" i="9"/>
  <c r="K20" i="9"/>
  <c r="J19" i="12"/>
  <c r="I19" i="12"/>
  <c r="J20" i="12" l="1"/>
  <c r="I20" i="12"/>
  <c r="J20" i="9" l="1"/>
  <c r="I20" i="9"/>
  <c r="M77" i="12"/>
  <c r="M89" i="12" s="1"/>
  <c r="B14" i="16" l="1"/>
  <c r="W10" i="16" l="1"/>
  <c r="M18" i="16" l="1"/>
  <c r="M29" i="16" l="1"/>
  <c r="S14" i="16" l="1"/>
  <c r="S27" i="16" s="1"/>
  <c r="S37" i="16" s="1"/>
  <c r="S39" i="16" s="1"/>
  <c r="AA54" i="29" l="1"/>
  <c r="Q54" i="29"/>
  <c r="X54" i="29"/>
  <c r="U54" i="29"/>
  <c r="AZ55" i="5" s="1"/>
  <c r="AB54" i="29"/>
  <c r="AC54" i="29"/>
  <c r="B12" i="51" l="1"/>
  <c r="V54" i="29"/>
  <c r="AD54" i="29"/>
  <c r="BA55" i="5" l="1"/>
  <c r="AB29" i="29" l="1"/>
  <c r="AC29" i="29" l="1"/>
  <c r="Q30" i="29" l="1"/>
  <c r="AA30" i="29"/>
  <c r="X30" i="29"/>
  <c r="U30" i="29"/>
  <c r="AB28" i="29"/>
  <c r="AC28" i="29"/>
  <c r="AA28" i="29"/>
  <c r="X28" i="29"/>
  <c r="U28" i="29"/>
  <c r="AC30" i="29"/>
  <c r="AB30" i="29"/>
  <c r="Q29" i="29"/>
  <c r="AA29" i="29"/>
  <c r="AD29" i="29" s="1"/>
  <c r="X29" i="29"/>
  <c r="U29" i="29"/>
  <c r="AD28" i="29" l="1"/>
  <c r="Q28" i="29"/>
  <c r="AZ29" i="5"/>
  <c r="V28" i="29"/>
  <c r="V29" i="29"/>
  <c r="AZ30" i="5"/>
  <c r="AZ31" i="5"/>
  <c r="V30" i="29"/>
  <c r="AD30" i="29"/>
  <c r="BA29" i="5" l="1"/>
  <c r="BA30" i="5"/>
  <c r="BA31" i="5"/>
  <c r="T71" i="29" l="1"/>
  <c r="AY72" i="5" s="1"/>
  <c r="AB71" i="29"/>
  <c r="U71" i="29"/>
  <c r="AZ72" i="5" s="1"/>
  <c r="AC71" i="29" l="1"/>
  <c r="Z71" i="29"/>
  <c r="Q71" i="29"/>
  <c r="X71" i="29"/>
  <c r="AB32" i="29"/>
  <c r="T32" i="29"/>
  <c r="AY33" i="5" s="1"/>
  <c r="Z31" i="29"/>
  <c r="T31" i="29"/>
  <c r="U31" i="29"/>
  <c r="U32" i="29"/>
  <c r="AA71" i="29"/>
  <c r="S71" i="29"/>
  <c r="AC32" i="29" l="1"/>
  <c r="AA31" i="29"/>
  <c r="S31" i="29"/>
  <c r="AA32" i="29"/>
  <c r="S32" i="29"/>
  <c r="Q31" i="29"/>
  <c r="AX72" i="5"/>
  <c r="V71" i="29"/>
  <c r="AZ32" i="5"/>
  <c r="AD71" i="29"/>
  <c r="X31" i="29"/>
  <c r="AC31" i="29"/>
  <c r="Z32" i="29"/>
  <c r="Q32" i="29"/>
  <c r="X32" i="29"/>
  <c r="AB31" i="29"/>
  <c r="AZ33" i="5"/>
  <c r="AY32" i="5"/>
  <c r="AX33" i="5" l="1"/>
  <c r="CE33" i="5"/>
  <c r="AD31" i="29"/>
  <c r="AD32" i="29"/>
  <c r="BA72" i="5"/>
  <c r="BA33" i="5"/>
  <c r="AX32" i="5"/>
  <c r="V32" i="29"/>
  <c r="V31" i="29"/>
  <c r="CH33" i="5" l="1"/>
  <c r="CE35" i="5"/>
  <c r="BA32" i="5"/>
  <c r="CE46" i="5" l="1"/>
  <c r="CH35" i="5"/>
  <c r="AB21" i="29"/>
  <c r="AC21" i="29"/>
  <c r="AA21" i="29"/>
  <c r="Q21" i="29"/>
  <c r="X21" i="29"/>
  <c r="U21" i="29"/>
  <c r="CE47" i="5" l="1"/>
  <c r="CE83" i="5"/>
  <c r="CH46" i="5"/>
  <c r="AD21" i="29"/>
  <c r="AZ22" i="5"/>
  <c r="V21" i="29"/>
  <c r="CE84" i="5" l="1"/>
  <c r="CH83" i="5"/>
  <c r="C49" i="49"/>
  <c r="C51" i="44"/>
  <c r="CE81" i="5"/>
  <c r="CE48" i="5"/>
  <c r="CH47" i="5"/>
  <c r="BA22" i="5"/>
  <c r="B54" i="49" l="1"/>
  <c r="C50" i="49"/>
  <c r="CH84" i="5"/>
  <c r="C7" i="49"/>
  <c r="C8" i="44"/>
  <c r="CH48" i="5"/>
  <c r="CH81" i="5"/>
  <c r="F22" i="29"/>
  <c r="C8" i="49" l="1"/>
  <c r="E22" i="29"/>
  <c r="F26" i="29" l="1"/>
  <c r="F82" i="29" s="1"/>
  <c r="F27" i="29" l="1"/>
  <c r="E26" i="29" l="1"/>
  <c r="E82" i="29" s="1"/>
  <c r="E27" i="29" l="1"/>
  <c r="H22" i="29" l="1"/>
  <c r="S18" i="29"/>
  <c r="G22" i="29"/>
  <c r="Z18" i="29"/>
  <c r="I22" i="29"/>
  <c r="T18" i="29"/>
  <c r="AY19" i="5" l="1"/>
  <c r="T22" i="29"/>
  <c r="Z22" i="29"/>
  <c r="AX19" i="5"/>
  <c r="S22" i="29"/>
  <c r="AX23" i="5" l="1"/>
  <c r="AY23" i="5"/>
  <c r="T62" i="29" l="1"/>
  <c r="AY63" i="5" s="1"/>
  <c r="BC63" i="5" l="1"/>
  <c r="Z62" i="29"/>
  <c r="S62" i="29"/>
  <c r="T63" i="29"/>
  <c r="AY64" i="5" s="1"/>
  <c r="AX63" i="5" l="1"/>
  <c r="Z63" i="29"/>
  <c r="Z25" i="29"/>
  <c r="G26" i="29"/>
  <c r="G82" i="29" s="1"/>
  <c r="S63" i="29" l="1"/>
  <c r="G27" i="29"/>
  <c r="Z26" i="29"/>
  <c r="Z82" i="29" s="1"/>
  <c r="T25" i="29"/>
  <c r="I26" i="29"/>
  <c r="I82" i="29" s="1"/>
  <c r="AX64" i="5" l="1"/>
  <c r="I27" i="29"/>
  <c r="S25" i="29"/>
  <c r="AX26" i="5" s="1"/>
  <c r="H26" i="29"/>
  <c r="H82" i="29" s="1"/>
  <c r="AY26" i="5"/>
  <c r="T26" i="29"/>
  <c r="T82" i="29" s="1"/>
  <c r="Z27" i="29"/>
  <c r="H27" i="29" l="1"/>
  <c r="S26" i="29"/>
  <c r="S82" i="29" s="1"/>
  <c r="AY27" i="5"/>
  <c r="T27" i="29"/>
  <c r="AY82" i="5" l="1"/>
  <c r="AX27" i="5"/>
  <c r="C48" i="50" s="1"/>
  <c r="S27" i="29"/>
  <c r="AY28" i="5"/>
  <c r="AX82" i="5" l="1"/>
  <c r="AX28" i="5"/>
  <c r="C6" i="50" l="1"/>
  <c r="P34" i="29"/>
  <c r="M34" i="29"/>
  <c r="F34" i="29"/>
  <c r="L34" i="29"/>
  <c r="O34" i="29"/>
  <c r="G34" i="29"/>
  <c r="U33" i="29" l="1"/>
  <c r="J34" i="29"/>
  <c r="T33" i="29"/>
  <c r="I34" i="29"/>
  <c r="AB33" i="29"/>
  <c r="AB34" i="29" s="1"/>
  <c r="K34" i="29"/>
  <c r="AC33" i="29"/>
  <c r="AC34" i="29" s="1"/>
  <c r="N34" i="29"/>
  <c r="AA33" i="29"/>
  <c r="AA34" i="29" s="1"/>
  <c r="S33" i="29"/>
  <c r="H34" i="29"/>
  <c r="Z33" i="29"/>
  <c r="Q33" i="29"/>
  <c r="X33" i="29"/>
  <c r="E34" i="29"/>
  <c r="X34" i="29" l="1"/>
  <c r="Q34" i="29"/>
  <c r="AC35" i="29"/>
  <c r="AA35" i="29"/>
  <c r="S35" i="29"/>
  <c r="Z35" i="29"/>
  <c r="Q35" i="29"/>
  <c r="X35" i="29"/>
  <c r="AD33" i="29"/>
  <c r="Z34" i="29"/>
  <c r="AY34" i="5"/>
  <c r="T34" i="29"/>
  <c r="AB35" i="29"/>
  <c r="AX34" i="5"/>
  <c r="S34" i="29"/>
  <c r="V33" i="29"/>
  <c r="V34" i="29" s="1"/>
  <c r="AZ34" i="5"/>
  <c r="U34" i="29"/>
  <c r="U35" i="29"/>
  <c r="T35" i="29"/>
  <c r="AD34" i="29" l="1"/>
  <c r="I60" i="29"/>
  <c r="I37" i="29"/>
  <c r="T59" i="29"/>
  <c r="AY60" i="5" s="1"/>
  <c r="AA41" i="29"/>
  <c r="S41" i="29"/>
  <c r="AZ35" i="5"/>
  <c r="Q41" i="29"/>
  <c r="Z41" i="29"/>
  <c r="X41" i="29"/>
  <c r="BA34" i="5"/>
  <c r="AX35" i="5"/>
  <c r="U41" i="29"/>
  <c r="AD35" i="29"/>
  <c r="AB41" i="29"/>
  <c r="H37" i="29"/>
  <c r="H60" i="29"/>
  <c r="S59" i="29"/>
  <c r="AX60" i="5" s="1"/>
  <c r="M60" i="29"/>
  <c r="M37" i="29"/>
  <c r="M38" i="29" s="1"/>
  <c r="O37" i="29"/>
  <c r="O38" i="29" s="1"/>
  <c r="O60" i="29"/>
  <c r="T41" i="29"/>
  <c r="E37" i="29"/>
  <c r="E60" i="29"/>
  <c r="AY36" i="5"/>
  <c r="AX36" i="5"/>
  <c r="V35" i="29"/>
  <c r="AZ36" i="5"/>
  <c r="AC41" i="29"/>
  <c r="AA59" i="29"/>
  <c r="AY35" i="5"/>
  <c r="T43" i="29"/>
  <c r="AY44" i="5" s="1"/>
  <c r="H44" i="29"/>
  <c r="P44" i="29"/>
  <c r="T64" i="29"/>
  <c r="AY65" i="5" s="1"/>
  <c r="G44" i="29"/>
  <c r="U64" i="29"/>
  <c r="M44" i="29"/>
  <c r="K44" i="29"/>
  <c r="U43" i="29"/>
  <c r="AC64" i="29" l="1"/>
  <c r="AB64" i="29"/>
  <c r="M45" i="29"/>
  <c r="O44" i="29"/>
  <c r="O45" i="29" s="1"/>
  <c r="AX61" i="5"/>
  <c r="AZ65" i="5"/>
  <c r="L44" i="29"/>
  <c r="Q59" i="29"/>
  <c r="BA35" i="5"/>
  <c r="F60" i="29"/>
  <c r="F37" i="29"/>
  <c r="K37" i="29"/>
  <c r="K60" i="29"/>
  <c r="AB59" i="29"/>
  <c r="P60" i="29"/>
  <c r="P37" i="29"/>
  <c r="P38" i="29" s="1"/>
  <c r="P45" i="29" s="1"/>
  <c r="I44" i="29"/>
  <c r="AX42" i="5"/>
  <c r="V41" i="29"/>
  <c r="E38" i="29"/>
  <c r="J37" i="29"/>
  <c r="AA37" i="29" s="1"/>
  <c r="AA38" i="29" s="1"/>
  <c r="J60" i="29"/>
  <c r="U59" i="29"/>
  <c r="AZ60" i="5" s="1"/>
  <c r="H38" i="29"/>
  <c r="H45" i="29" s="1"/>
  <c r="AZ44" i="5"/>
  <c r="AA43" i="29"/>
  <c r="AA44" i="29" s="1"/>
  <c r="S43" i="29"/>
  <c r="AX44" i="5" s="1"/>
  <c r="AY42" i="5"/>
  <c r="T44" i="29"/>
  <c r="Z64" i="29"/>
  <c r="Q64" i="29"/>
  <c r="X64" i="29"/>
  <c r="G37" i="29"/>
  <c r="G38" i="29" s="1"/>
  <c r="G45" i="29" s="1"/>
  <c r="G60" i="29"/>
  <c r="BA36" i="5"/>
  <c r="L37" i="29"/>
  <c r="L38" i="29" s="1"/>
  <c r="L60" i="29"/>
  <c r="T60" i="29" s="1"/>
  <c r="AA64" i="29"/>
  <c r="S64" i="29"/>
  <c r="F44" i="29"/>
  <c r="N44" i="29"/>
  <c r="AY61" i="5"/>
  <c r="X59" i="29"/>
  <c r="U44" i="29"/>
  <c r="AZ42" i="5"/>
  <c r="AD41" i="29"/>
  <c r="T37" i="29"/>
  <c r="I38" i="29"/>
  <c r="Z59" i="29"/>
  <c r="AC59" i="29"/>
  <c r="N37" i="29"/>
  <c r="S37" i="29" s="1"/>
  <c r="N60" i="29"/>
  <c r="S60" i="29" s="1"/>
  <c r="J44" i="29"/>
  <c r="P83" i="29" l="1"/>
  <c r="O83" i="29"/>
  <c r="M83" i="29"/>
  <c r="AX65" i="5"/>
  <c r="U60" i="29"/>
  <c r="Z60" i="29"/>
  <c r="AB43" i="29"/>
  <c r="AB44" i="29" s="1"/>
  <c r="Q60" i="29"/>
  <c r="AD59" i="29"/>
  <c r="S44" i="29"/>
  <c r="AC43" i="29"/>
  <c r="AC44" i="29" s="1"/>
  <c r="V43" i="29"/>
  <c r="V44" i="29" s="1"/>
  <c r="AC60" i="29"/>
  <c r="G46" i="29"/>
  <c r="H46" i="29"/>
  <c r="AC37" i="29"/>
  <c r="AC38" i="29" s="1"/>
  <c r="N38" i="29"/>
  <c r="N45" i="29" s="1"/>
  <c r="BA42" i="5"/>
  <c r="AX45" i="5"/>
  <c r="AA60" i="29"/>
  <c r="BA65" i="5"/>
  <c r="I45" i="29"/>
  <c r="AD64" i="29"/>
  <c r="AX38" i="5"/>
  <c r="S38" i="29"/>
  <c r="L45" i="29"/>
  <c r="Z43" i="29"/>
  <c r="Q43" i="29"/>
  <c r="X43" i="29"/>
  <c r="E44" i="29"/>
  <c r="AY38" i="5"/>
  <c r="T38" i="29"/>
  <c r="T45" i="29" s="1"/>
  <c r="T83" i="29" s="1"/>
  <c r="T84" i="29" s="1"/>
  <c r="V59" i="29"/>
  <c r="AA45" i="29"/>
  <c r="AY45" i="5"/>
  <c r="V60" i="29"/>
  <c r="X60" i="29" s="1"/>
  <c r="AB60" i="29"/>
  <c r="U37" i="29"/>
  <c r="J38" i="29"/>
  <c r="J45" i="29" s="1"/>
  <c r="AB37" i="29"/>
  <c r="AB38" i="29" s="1"/>
  <c r="K38" i="29"/>
  <c r="K45" i="29" s="1"/>
  <c r="V64" i="29"/>
  <c r="Z37" i="29"/>
  <c r="F38" i="29"/>
  <c r="F45" i="29" s="1"/>
  <c r="AZ45" i="5"/>
  <c r="Q37" i="29"/>
  <c r="BA44" i="5"/>
  <c r="X37" i="29"/>
  <c r="AB45" i="29" l="1"/>
  <c r="K83" i="29"/>
  <c r="AB83" i="29"/>
  <c r="J83" i="29"/>
  <c r="L83" i="29"/>
  <c r="N83" i="29"/>
  <c r="X44" i="29"/>
  <c r="X38" i="29"/>
  <c r="X45" i="29" s="1"/>
  <c r="S45" i="29"/>
  <c r="AD60" i="29"/>
  <c r="AC45" i="29"/>
  <c r="Q38" i="29"/>
  <c r="T46" i="29"/>
  <c r="T81" i="29" s="1"/>
  <c r="E45" i="29"/>
  <c r="Q44" i="29"/>
  <c r="F46" i="29"/>
  <c r="BA45" i="5"/>
  <c r="AD43" i="29"/>
  <c r="Z44" i="29"/>
  <c r="H47" i="29"/>
  <c r="V37" i="29"/>
  <c r="V38" i="29" s="1"/>
  <c r="V45" i="29" s="1"/>
  <c r="AZ38" i="5"/>
  <c r="BA38" i="5" s="1"/>
  <c r="U38" i="29"/>
  <c r="U45" i="29" s="1"/>
  <c r="AZ61" i="5"/>
  <c r="BA60" i="5"/>
  <c r="AX39" i="5"/>
  <c r="G47" i="29"/>
  <c r="AD37" i="29"/>
  <c r="Z38" i="29"/>
  <c r="AY39" i="5"/>
  <c r="I46" i="29"/>
  <c r="U83" i="29" l="1"/>
  <c r="V83" i="29"/>
  <c r="AC83" i="29"/>
  <c r="S83" i="29"/>
  <c r="S84" i="29" s="1"/>
  <c r="AD38" i="29"/>
  <c r="AD44" i="29"/>
  <c r="Z45" i="29"/>
  <c r="S46" i="29"/>
  <c r="F47" i="29"/>
  <c r="I47" i="29"/>
  <c r="E46" i="29"/>
  <c r="Q45" i="29"/>
  <c r="BA61" i="5"/>
  <c r="AX46" i="5"/>
  <c r="T47" i="29"/>
  <c r="AZ39" i="5"/>
  <c r="BA39" i="5" s="1"/>
  <c r="AY46" i="5"/>
  <c r="C49" i="50" l="1"/>
  <c r="C50" i="50" s="1"/>
  <c r="C49" i="51"/>
  <c r="S81" i="29"/>
  <c r="AY83" i="5"/>
  <c r="AX83" i="5"/>
  <c r="C7" i="50" s="1"/>
  <c r="C8" i="50" s="1"/>
  <c r="S47" i="29"/>
  <c r="Z46" i="29"/>
  <c r="AD45" i="29"/>
  <c r="E47" i="29"/>
  <c r="AX47" i="5"/>
  <c r="B54" i="50" s="1"/>
  <c r="Z47" i="29"/>
  <c r="AY47" i="5"/>
  <c r="AZ46" i="5"/>
  <c r="AX81" i="5" l="1"/>
  <c r="AX84" i="5"/>
  <c r="AY81" i="5"/>
  <c r="AY84" i="5"/>
  <c r="BA46" i="5"/>
  <c r="AX48" i="5"/>
  <c r="AY48" i="5"/>
  <c r="M22" i="29" l="1"/>
  <c r="O22" i="29"/>
  <c r="P22" i="29"/>
  <c r="L22" i="29"/>
  <c r="N22" i="29" l="1"/>
  <c r="AC18" i="29"/>
  <c r="AC22" i="29" s="1"/>
  <c r="J22" i="29"/>
  <c r="U18" i="29"/>
  <c r="AA18" i="29"/>
  <c r="Q18" i="29"/>
  <c r="X18" i="29"/>
  <c r="AB18" i="29"/>
  <c r="AB22" i="29" s="1"/>
  <c r="K22" i="29"/>
  <c r="X22" i="29" l="1"/>
  <c r="AA22" i="29"/>
  <c r="AD18" i="29"/>
  <c r="U22" i="29"/>
  <c r="AZ19" i="5"/>
  <c r="V18" i="29"/>
  <c r="V22" i="29" s="1"/>
  <c r="Q22" i="29"/>
  <c r="AD22" i="29" l="1"/>
  <c r="AZ23" i="5"/>
  <c r="BA19" i="5"/>
  <c r="BA23" i="5" l="1"/>
  <c r="U62" i="29" l="1"/>
  <c r="X62" i="29"/>
  <c r="AA62" i="29"/>
  <c r="AB62" i="29"/>
  <c r="AC62" i="29"/>
  <c r="AD62" i="29" l="1"/>
  <c r="Q62" i="29"/>
  <c r="AZ63" i="5"/>
  <c r="V62" i="29"/>
  <c r="BA63" i="5" l="1"/>
  <c r="U63" i="29" l="1"/>
  <c r="X63" i="29"/>
  <c r="AA63" i="29"/>
  <c r="U25" i="29"/>
  <c r="AA25" i="29"/>
  <c r="X25" i="29"/>
  <c r="J26" i="29"/>
  <c r="J82" i="29" s="1"/>
  <c r="J84" i="29" s="1"/>
  <c r="X26" i="29" l="1"/>
  <c r="X82" i="29" s="1"/>
  <c r="AA26" i="29"/>
  <c r="AA82" i="29" s="1"/>
  <c r="AZ26" i="5"/>
  <c r="V25" i="29"/>
  <c r="V26" i="29" s="1"/>
  <c r="U26" i="29"/>
  <c r="U82" i="29" s="1"/>
  <c r="U84" i="29" s="1"/>
  <c r="K26" i="29"/>
  <c r="K82" i="29" s="1"/>
  <c r="K84" i="29" s="1"/>
  <c r="X27" i="29"/>
  <c r="X46" i="29"/>
  <c r="J27" i="29"/>
  <c r="J46" i="29"/>
  <c r="J81" i="29" s="1"/>
  <c r="V63" i="29"/>
  <c r="AZ64" i="5"/>
  <c r="V82" i="29" l="1"/>
  <c r="V84" i="29" s="1"/>
  <c r="K27" i="29"/>
  <c r="K46" i="29"/>
  <c r="K81" i="29" s="1"/>
  <c r="X47" i="29"/>
  <c r="BA64" i="5"/>
  <c r="U27" i="29"/>
  <c r="U46" i="29"/>
  <c r="U81" i="29" s="1"/>
  <c r="J47" i="29"/>
  <c r="V27" i="29"/>
  <c r="V46" i="29"/>
  <c r="V81" i="29" s="1"/>
  <c r="BA26" i="5"/>
  <c r="AZ27" i="5"/>
  <c r="AA27" i="29"/>
  <c r="AA46" i="29"/>
  <c r="AZ82" i="5" l="1"/>
  <c r="BA78" i="5"/>
  <c r="BA27" i="5"/>
  <c r="AZ28" i="5"/>
  <c r="AZ47" i="5"/>
  <c r="AZ81" i="5"/>
  <c r="U47" i="29"/>
  <c r="V47" i="29"/>
  <c r="K47" i="29"/>
  <c r="AA47" i="29"/>
  <c r="BA82" i="5" l="1"/>
  <c r="AZ83" i="5"/>
  <c r="BA77" i="5"/>
  <c r="AZ48" i="5"/>
  <c r="BA47" i="5"/>
  <c r="BA28" i="5"/>
  <c r="AZ84" i="5" l="1"/>
  <c r="BA81" i="5"/>
  <c r="BA83" i="5"/>
  <c r="BA48" i="5"/>
  <c r="BA84" i="5" l="1"/>
  <c r="M26" i="29"/>
  <c r="M82" i="29" s="1"/>
  <c r="M84" i="29" s="1"/>
  <c r="O26" i="29"/>
  <c r="O82" i="29" s="1"/>
  <c r="O84" i="29" s="1"/>
  <c r="O27" i="29" l="1"/>
  <c r="O46" i="29"/>
  <c r="O81" i="29" s="1"/>
  <c r="M27" i="29"/>
  <c r="M46" i="29"/>
  <c r="M81" i="29" s="1"/>
  <c r="M47" i="29" l="1"/>
  <c r="O47" i="29"/>
  <c r="P26" i="29"/>
  <c r="P82" i="29" s="1"/>
  <c r="P84" i="29" s="1"/>
  <c r="AC25" i="29" l="1"/>
  <c r="AC26" i="29" s="1"/>
  <c r="N26" i="29"/>
  <c r="N82" i="29" s="1"/>
  <c r="N84" i="29" s="1"/>
  <c r="P27" i="29"/>
  <c r="P46" i="29"/>
  <c r="P81" i="29" s="1"/>
  <c r="AC63" i="29"/>
  <c r="AC82" i="29" l="1"/>
  <c r="AC84" i="29" s="1"/>
  <c r="P47" i="29"/>
  <c r="N27" i="29"/>
  <c r="N46" i="29"/>
  <c r="N81" i="29" s="1"/>
  <c r="AC27" i="29"/>
  <c r="AC46" i="29"/>
  <c r="AC81" i="29" s="1"/>
  <c r="AC47" i="29" l="1"/>
  <c r="N47" i="29"/>
  <c r="AB63" i="29"/>
  <c r="AD63" i="29" s="1"/>
  <c r="Q63" i="29"/>
  <c r="L26" i="29"/>
  <c r="L82" i="29" s="1"/>
  <c r="L84" i="29" s="1"/>
  <c r="Q25" i="29"/>
  <c r="AB25" i="29"/>
  <c r="AB26" i="29" l="1"/>
  <c r="AB82" i="29" s="1"/>
  <c r="AB84" i="29" s="1"/>
  <c r="AD25" i="29"/>
  <c r="L27" i="29"/>
  <c r="L46" i="29"/>
  <c r="L81" i="29" s="1"/>
  <c r="Q26" i="29"/>
  <c r="Q27" i="29" l="1"/>
  <c r="Q82" i="29"/>
  <c r="AD26" i="29"/>
  <c r="AD82" i="29" s="1"/>
  <c r="C48" i="51"/>
  <c r="C50" i="51" s="1"/>
  <c r="L47" i="29"/>
  <c r="Q46" i="29"/>
  <c r="AD27" i="29"/>
  <c r="AD46" i="29"/>
  <c r="AB27" i="29"/>
  <c r="AB46" i="29"/>
  <c r="AB81" i="29" s="1"/>
  <c r="C6" i="51" l="1"/>
  <c r="B54" i="51"/>
  <c r="AB47" i="29"/>
  <c r="AD47" i="29"/>
  <c r="Q47" i="29"/>
  <c r="C23" i="11" l="1"/>
  <c r="C18" i="27" l="1"/>
  <c r="AB65" i="3" l="1"/>
  <c r="AF66" i="5" l="1"/>
  <c r="AF67" i="5" l="1"/>
  <c r="O9" i="15" l="1"/>
  <c r="O9" i="20"/>
  <c r="E9" i="15" l="1"/>
  <c r="AB67" i="3" l="1"/>
  <c r="AF68" i="5" l="1"/>
  <c r="E40" i="33" l="1"/>
  <c r="E34" i="15"/>
  <c r="E42" i="33"/>
  <c r="F36" i="20"/>
  <c r="E36" i="15"/>
  <c r="E39" i="33" l="1"/>
  <c r="E33" i="15"/>
  <c r="K19" i="12" l="1"/>
  <c r="K20" i="12" l="1"/>
  <c r="G48" i="33" l="1"/>
  <c r="G48" i="15"/>
  <c r="B52" i="31" l="1"/>
  <c r="AC65" i="3" l="1"/>
  <c r="O9" i="14" l="1"/>
  <c r="M34" i="34" l="1"/>
  <c r="C23" i="34" l="1"/>
  <c r="R19" i="34" l="1"/>
  <c r="R20" i="34" l="1"/>
  <c r="AA14" i="17"/>
  <c r="D31" i="16" l="1"/>
  <c r="F31" i="16" s="1"/>
  <c r="D28" i="16"/>
  <c r="F28" i="16" s="1"/>
  <c r="D29" i="16"/>
  <c r="F29" i="16" s="1"/>
  <c r="D31" i="17" l="1"/>
  <c r="F31" i="17" s="1"/>
  <c r="D28" i="17"/>
  <c r="F28" i="17" s="1"/>
  <c r="D29" i="17"/>
  <c r="F29" i="17" s="1"/>
  <c r="AA14" i="16" l="1"/>
  <c r="Z14" i="17" l="1"/>
  <c r="X14" i="17"/>
  <c r="W10" i="17"/>
  <c r="W9" i="17"/>
  <c r="T14" i="17"/>
  <c r="S30" i="17"/>
  <c r="S29" i="17"/>
  <c r="D14" i="17"/>
  <c r="K14" i="17"/>
  <c r="R14" i="17"/>
  <c r="C14" i="17"/>
  <c r="M28" i="17" l="1"/>
  <c r="M14" i="17"/>
  <c r="M18" i="17" s="1"/>
  <c r="S28" i="17"/>
  <c r="F7" i="17"/>
  <c r="W14" i="17"/>
  <c r="AF14" i="17"/>
  <c r="G7" i="17"/>
  <c r="M29" i="17" l="1"/>
  <c r="S14" i="17"/>
  <c r="S27" i="17" s="1"/>
  <c r="S37" i="17" s="1"/>
  <c r="S39" i="17" s="1"/>
  <c r="D36" i="14" l="1"/>
  <c r="F36" i="14" s="1"/>
  <c r="D33" i="14"/>
  <c r="F33" i="14" s="1"/>
  <c r="D34" i="14"/>
  <c r="F34" i="14" s="1"/>
  <c r="AB14" i="16"/>
  <c r="AC14" i="16" l="1"/>
  <c r="AA16" i="16" s="1"/>
  <c r="AA21" i="16" s="1"/>
  <c r="D40" i="33"/>
  <c r="F40" i="33" s="1"/>
  <c r="D34" i="15"/>
  <c r="F34" i="15" s="1"/>
  <c r="D33" i="15"/>
  <c r="F33" i="15" s="1"/>
  <c r="D39" i="33"/>
  <c r="F39" i="33" s="1"/>
  <c r="D36" i="15"/>
  <c r="F36" i="15" s="1"/>
  <c r="D42" i="33"/>
  <c r="F42" i="33" s="1"/>
  <c r="AG14" i="16" l="1"/>
  <c r="AG16" i="16" s="1"/>
  <c r="AG21" i="16" s="1"/>
  <c r="AB14" i="17"/>
  <c r="AC14" i="17" l="1"/>
  <c r="AA16" i="17" s="1"/>
  <c r="AA21" i="17" s="1"/>
  <c r="AG14" i="17" l="1"/>
  <c r="AG16" i="17" s="1"/>
  <c r="AG21" i="17" s="1"/>
  <c r="U78" i="15"/>
  <c r="U77" i="33" l="1"/>
  <c r="S67" i="15" l="1"/>
  <c r="S67" i="33" l="1"/>
  <c r="S20" i="27" l="1"/>
  <c r="E7" i="17" l="1"/>
  <c r="B14" i="17" l="1"/>
  <c r="BS55" i="5" l="1"/>
  <c r="B12" i="36" l="1"/>
  <c r="C12" i="37"/>
  <c r="B12" i="19"/>
  <c r="AF55" i="5"/>
  <c r="C12" i="36" l="1"/>
  <c r="D12" i="36" s="1"/>
  <c r="B12" i="37"/>
  <c r="D12" i="37" s="1"/>
  <c r="D9" i="37" s="1"/>
  <c r="BW55" i="5"/>
  <c r="AF29" i="5"/>
  <c r="AF30" i="5" l="1"/>
  <c r="AF31" i="5" l="1"/>
  <c r="AF22" i="5" l="1"/>
  <c r="AC62" i="3" l="1"/>
  <c r="AB62" i="3" l="1"/>
  <c r="AH63" i="5" l="1"/>
  <c r="AF63" i="5"/>
  <c r="Z62" i="3" l="1"/>
  <c r="AF72" i="5" l="1"/>
  <c r="AF19" i="5"/>
  <c r="AF33" i="5" l="1"/>
  <c r="AF23" i="5"/>
  <c r="AF32" i="5" l="1"/>
  <c r="AF36" i="5" l="1"/>
  <c r="AF42" i="5"/>
  <c r="AF61" i="5" l="1"/>
  <c r="AF60" i="5"/>
  <c r="AF38" i="5" l="1"/>
  <c r="AF39" i="5" l="1"/>
  <c r="AF65" i="5"/>
  <c r="AF75" i="5"/>
  <c r="AF34" i="5" l="1"/>
  <c r="AF35" i="5" l="1"/>
  <c r="AF44" i="5" l="1"/>
  <c r="AF45" i="5" l="1"/>
  <c r="C49" i="19" l="1"/>
  <c r="C7" i="19"/>
  <c r="AF46" i="5"/>
  <c r="AF83" i="5" s="1"/>
  <c r="D49" i="36" l="1"/>
  <c r="C49" i="37"/>
  <c r="C48" i="19"/>
  <c r="C50" i="19" s="1"/>
  <c r="D7" i="36" l="1"/>
  <c r="C7" i="37"/>
  <c r="B54" i="19"/>
  <c r="C6" i="19"/>
  <c r="C8" i="19" l="1"/>
  <c r="M20" i="9" l="1"/>
  <c r="M34" i="9" l="1"/>
  <c r="C23" i="9" l="1"/>
  <c r="M65" i="19" l="1"/>
  <c r="M73" i="19" s="1"/>
  <c r="M19" i="19"/>
  <c r="M23" i="19" l="1"/>
  <c r="M31" i="19" s="1"/>
  <c r="M32" i="19" s="1"/>
  <c r="M20" i="19"/>
  <c r="T67" i="3" l="1"/>
  <c r="G68" i="5" s="1"/>
  <c r="CJ68" i="5" l="1"/>
  <c r="BQ68" i="5"/>
  <c r="BU68" i="5" s="1"/>
  <c r="BL68" i="5"/>
  <c r="AH68" i="5"/>
  <c r="AQ68" i="5"/>
  <c r="O15" i="22" s="1"/>
  <c r="P68" i="5"/>
  <c r="BC68" i="5"/>
  <c r="T65" i="3" l="1"/>
  <c r="G66" i="5" s="1"/>
  <c r="CJ66" i="5" l="1"/>
  <c r="BQ66" i="5"/>
  <c r="BL66" i="5"/>
  <c r="Y66" i="5"/>
  <c r="AQ66" i="5"/>
  <c r="O13" i="22" s="1"/>
  <c r="BC66" i="5"/>
  <c r="P66" i="5"/>
  <c r="AH66" i="5"/>
  <c r="BU66" i="5" l="1"/>
  <c r="P13" i="37"/>
  <c r="U68" i="3" l="1"/>
  <c r="H69" i="5" s="1"/>
  <c r="T68" i="3"/>
  <c r="G69" i="5" s="1"/>
  <c r="AB68" i="3"/>
  <c r="CK69" i="5" l="1"/>
  <c r="AV69" i="5"/>
  <c r="C25" i="34"/>
  <c r="CJ69" i="5"/>
  <c r="U72" i="3"/>
  <c r="T72" i="3"/>
  <c r="G73" i="5" s="1"/>
  <c r="BQ69" i="5"/>
  <c r="BL69" i="5"/>
  <c r="AA72" i="3"/>
  <c r="AB72" i="3"/>
  <c r="Z72" i="3"/>
  <c r="Z68" i="3"/>
  <c r="CJ73" i="5" l="1"/>
  <c r="H73" i="5"/>
  <c r="BY69" i="5"/>
  <c r="BU69" i="5"/>
  <c r="BD69" i="5"/>
  <c r="AR69" i="5"/>
  <c r="Q69" i="5"/>
  <c r="AI69" i="5"/>
  <c r="BC69" i="5"/>
  <c r="AQ69" i="5"/>
  <c r="P69" i="5"/>
  <c r="AH69" i="5"/>
  <c r="BQ73" i="5"/>
  <c r="BL73" i="5"/>
  <c r="AF72" i="3"/>
  <c r="AA68" i="3"/>
  <c r="CK73" i="5" l="1"/>
  <c r="AV73" i="5"/>
  <c r="BD73" i="5"/>
  <c r="AR73" i="5"/>
  <c r="Q73" i="5"/>
  <c r="AI73" i="5"/>
  <c r="BY73" i="5"/>
  <c r="AF68" i="3"/>
  <c r="BU73" i="5"/>
  <c r="BC73" i="5"/>
  <c r="P73" i="5"/>
  <c r="AQ73" i="5"/>
  <c r="AH73" i="5"/>
  <c r="C25" i="38"/>
  <c r="R19" i="38"/>
  <c r="AF73" i="5"/>
  <c r="R20" i="38" l="1"/>
  <c r="AF69" i="5"/>
  <c r="R19" i="37" l="1"/>
  <c r="R20" i="37" s="1"/>
  <c r="C25" i="37" l="1"/>
  <c r="AF64" i="5" l="1"/>
  <c r="AF26" i="5" l="1"/>
  <c r="AF27" i="5" l="1"/>
  <c r="AF82" i="5" l="1"/>
  <c r="AF84" i="5" s="1"/>
  <c r="D48" i="36"/>
  <c r="D50" i="36" s="1"/>
  <c r="C48" i="37"/>
  <c r="C50" i="37" s="1"/>
  <c r="AF47" i="5"/>
  <c r="AF81" i="5" s="1"/>
  <c r="AF28" i="5"/>
  <c r="D6" i="36" l="1"/>
  <c r="D8" i="36" s="1"/>
  <c r="C6" i="37"/>
  <c r="C8" i="37" s="1"/>
  <c r="C54" i="36"/>
  <c r="B54" i="37"/>
  <c r="AF48" i="5"/>
  <c r="P30" i="21" l="1"/>
  <c r="AC30" i="21" l="1"/>
  <c r="Q30" i="21"/>
  <c r="AD30" i="21" l="1"/>
  <c r="J31" i="21" l="1"/>
  <c r="J71" i="21"/>
  <c r="I31" i="21"/>
  <c r="I71" i="21"/>
  <c r="I32" i="21" l="1"/>
  <c r="J32" i="21"/>
  <c r="O71" i="21" l="1"/>
  <c r="O32" i="21" l="1"/>
  <c r="O31" i="21"/>
  <c r="P71" i="21" l="1"/>
  <c r="P32" i="21" l="1"/>
  <c r="P31" i="21"/>
  <c r="K71" i="21" l="1"/>
  <c r="K32" i="21" l="1"/>
  <c r="K31" i="21"/>
  <c r="P62" i="21" l="1"/>
  <c r="I62" i="21" l="1"/>
  <c r="I18" i="21" l="1"/>
  <c r="I22" i="21" s="1"/>
  <c r="J62" i="21" l="1"/>
  <c r="K62" i="21" l="1"/>
  <c r="L71" i="21" l="1"/>
  <c r="L32" i="21" l="1"/>
  <c r="L31" i="21"/>
  <c r="M62" i="21" l="1"/>
  <c r="U62" i="21" s="1"/>
  <c r="AN63" i="5" s="1"/>
  <c r="M71" i="21" l="1"/>
  <c r="AB71" i="21" l="1"/>
  <c r="M32" i="21"/>
  <c r="AB32" i="21" s="1"/>
  <c r="M31" i="21"/>
  <c r="AB31" i="21" l="1"/>
  <c r="M18" i="21" l="1"/>
  <c r="M22" i="21" s="1"/>
  <c r="N62" i="21" l="1"/>
  <c r="O62" i="21" l="1"/>
  <c r="AC62" i="21" s="1"/>
  <c r="L62" i="21" l="1"/>
  <c r="AB62" i="21" s="1"/>
  <c r="T62" i="21" l="1"/>
  <c r="Z62" i="21"/>
  <c r="AM63" i="5" l="1"/>
  <c r="AQ63" i="5" l="1"/>
  <c r="G22" i="21" l="1"/>
  <c r="E22" i="21"/>
  <c r="Z18" i="21"/>
  <c r="F22" i="21"/>
  <c r="T71" i="21" l="1"/>
  <c r="AM72" i="5" s="1"/>
  <c r="U71" i="21"/>
  <c r="AN72" i="5" s="1"/>
  <c r="Z71" i="21"/>
  <c r="Z22" i="21"/>
  <c r="T32" i="21"/>
  <c r="AM33" i="5" s="1"/>
  <c r="U31" i="21"/>
  <c r="U32" i="21"/>
  <c r="AN33" i="5" s="1"/>
  <c r="AN32" i="5" l="1"/>
  <c r="T31" i="21"/>
  <c r="Z31" i="21"/>
  <c r="Z32" i="21"/>
  <c r="F26" i="21" l="1"/>
  <c r="F81" i="21" s="1"/>
  <c r="AM32" i="5"/>
  <c r="F27" i="21" l="1"/>
  <c r="E26" i="21" l="1"/>
  <c r="E81" i="21" s="1"/>
  <c r="E27" i="21" l="1"/>
  <c r="Z63" i="21" l="1"/>
  <c r="G26" i="21" l="1"/>
  <c r="G81" i="21" s="1"/>
  <c r="Z25" i="21"/>
  <c r="Z26" i="21" l="1"/>
  <c r="Z81" i="21" s="1"/>
  <c r="G27" i="21"/>
  <c r="Z27" i="21" l="1"/>
  <c r="H62" i="21" l="1"/>
  <c r="S62" i="21" l="1"/>
  <c r="X62" i="21"/>
  <c r="AA62" i="21"/>
  <c r="Q62" i="21"/>
  <c r="AL63" i="5" l="1"/>
  <c r="V62" i="21"/>
  <c r="AD62" i="21"/>
  <c r="H71" i="21"/>
  <c r="H32" i="21"/>
  <c r="BM63" i="5" l="1"/>
  <c r="AO63" i="5"/>
  <c r="AA32" i="21"/>
  <c r="AA71" i="21"/>
  <c r="H31" i="21"/>
  <c r="AA31" i="21" l="1"/>
  <c r="H18" i="21" l="1"/>
  <c r="H22" i="21" l="1"/>
  <c r="H63" i="21" l="1"/>
  <c r="H25" i="21"/>
  <c r="H26" i="21" l="1"/>
  <c r="H81" i="21" s="1"/>
  <c r="H27" i="21" l="1"/>
  <c r="J18" i="21" l="1"/>
  <c r="U18" i="21" l="1"/>
  <c r="J22" i="21"/>
  <c r="AA18" i="21"/>
  <c r="AN19" i="5" l="1"/>
  <c r="U22" i="21"/>
  <c r="AA22" i="21"/>
  <c r="AN23" i="5" l="1"/>
  <c r="I25" i="21"/>
  <c r="I63" i="21"/>
  <c r="I26" i="21" l="1"/>
  <c r="I81" i="21" s="1"/>
  <c r="K63" i="21"/>
  <c r="I27" i="21" l="1"/>
  <c r="J63" i="21"/>
  <c r="AA63" i="21" l="1"/>
  <c r="J25" i="21" l="1"/>
  <c r="J26" i="21" l="1"/>
  <c r="J81" i="21" s="1"/>
  <c r="AA25" i="21"/>
  <c r="AA26" i="21" l="1"/>
  <c r="AA81" i="21" s="1"/>
  <c r="J27" i="21"/>
  <c r="AA27" i="21" l="1"/>
  <c r="K18" i="21" l="1"/>
  <c r="K22" i="21" l="1"/>
  <c r="K25" i="21"/>
  <c r="K26" i="21" l="1"/>
  <c r="K81" i="21" s="1"/>
  <c r="K27" i="21" l="1"/>
  <c r="L18" i="21" l="1"/>
  <c r="L22" i="21" l="1"/>
  <c r="AB18" i="21"/>
  <c r="AB22" i="21" l="1"/>
  <c r="L25" i="21" l="1"/>
  <c r="L63" i="21"/>
  <c r="L26" i="21" l="1"/>
  <c r="L81" i="21" s="1"/>
  <c r="L27" i="21" l="1"/>
  <c r="M25" i="21" l="1"/>
  <c r="M63" i="21"/>
  <c r="U63" i="21" l="1"/>
  <c r="U25" i="21"/>
  <c r="AB63" i="21"/>
  <c r="M26" i="21"/>
  <c r="M81" i="21" s="1"/>
  <c r="AB25" i="21"/>
  <c r="AN26" i="5" l="1"/>
  <c r="U26" i="21"/>
  <c r="AN64" i="5"/>
  <c r="AB26" i="21"/>
  <c r="AB81" i="21" s="1"/>
  <c r="M27" i="21"/>
  <c r="U81" i="21" l="1"/>
  <c r="U27" i="21"/>
  <c r="AN27" i="5"/>
  <c r="AB27" i="21"/>
  <c r="AN82" i="5" l="1"/>
  <c r="AN28" i="5"/>
  <c r="N63" i="21"/>
  <c r="S63" i="21" l="1"/>
  <c r="N18" i="21"/>
  <c r="S18" i="21" l="1"/>
  <c r="AL64" i="5"/>
  <c r="N22" i="21"/>
  <c r="BM64" i="5" l="1"/>
  <c r="AL19" i="5"/>
  <c r="S22" i="21"/>
  <c r="N33" i="21"/>
  <c r="O33" i="21"/>
  <c r="O34" i="21" s="1"/>
  <c r="L33" i="21"/>
  <c r="L34" i="21" s="1"/>
  <c r="I33" i="21"/>
  <c r="I34" i="21" s="1"/>
  <c r="M33" i="21"/>
  <c r="M34" i="21" s="1"/>
  <c r="K33" i="21"/>
  <c r="J33" i="21"/>
  <c r="J34" i="21" s="1"/>
  <c r="P33" i="21"/>
  <c r="P34" i="21" s="1"/>
  <c r="H33" i="21"/>
  <c r="BM19" i="5" l="1"/>
  <c r="AL23" i="5"/>
  <c r="G34" i="21"/>
  <c r="U33" i="21"/>
  <c r="AA33" i="21"/>
  <c r="AA34" i="21" s="1"/>
  <c r="H34" i="21"/>
  <c r="AB33" i="21"/>
  <c r="AB34" i="21" s="1"/>
  <c r="K34" i="21"/>
  <c r="T33" i="21"/>
  <c r="F34" i="21"/>
  <c r="Q33" i="21"/>
  <c r="Z33" i="21"/>
  <c r="S33" i="21"/>
  <c r="X33" i="21"/>
  <c r="E34" i="21"/>
  <c r="AC33" i="21"/>
  <c r="P64" i="21"/>
  <c r="I64" i="21"/>
  <c r="M64" i="21"/>
  <c r="J64" i="21"/>
  <c r="U64" i="21" s="1"/>
  <c r="O64" i="21"/>
  <c r="L64" i="21"/>
  <c r="T64" i="21"/>
  <c r="K35" i="21"/>
  <c r="O35" i="21"/>
  <c r="O59" i="21"/>
  <c r="J35" i="21"/>
  <c r="J59" i="21"/>
  <c r="H35" i="21"/>
  <c r="N35" i="21"/>
  <c r="M59" i="21"/>
  <c r="U59" i="21" s="1"/>
  <c r="AN60" i="5" s="1"/>
  <c r="AN61" i="5" s="1"/>
  <c r="M35" i="21"/>
  <c r="U35" i="21" s="1"/>
  <c r="P35" i="21"/>
  <c r="P59" i="21"/>
  <c r="L59" i="21"/>
  <c r="L35" i="21"/>
  <c r="I35" i="21"/>
  <c r="I59" i="21"/>
  <c r="X35" i="21" l="1"/>
  <c r="BM23" i="5"/>
  <c r="AM65" i="5"/>
  <c r="AN65" i="5"/>
  <c r="AN36" i="5"/>
  <c r="AN34" i="5"/>
  <c r="AN35" i="5" s="1"/>
  <c r="U34" i="21"/>
  <c r="I60" i="21"/>
  <c r="I37" i="21"/>
  <c r="I38" i="21"/>
  <c r="Q35" i="21"/>
  <c r="Z35" i="21"/>
  <c r="S35" i="21"/>
  <c r="L37" i="21"/>
  <c r="L38" i="21" s="1"/>
  <c r="L60" i="21"/>
  <c r="P60" i="21"/>
  <c r="P37" i="21"/>
  <c r="P38" i="21" s="1"/>
  <c r="M60" i="21"/>
  <c r="M37" i="21"/>
  <c r="M38" i="21" s="1"/>
  <c r="AC35" i="21"/>
  <c r="G60" i="21"/>
  <c r="G37" i="21"/>
  <c r="G38" i="21"/>
  <c r="AA35" i="21"/>
  <c r="F37" i="21"/>
  <c r="F60" i="21"/>
  <c r="T59" i="21"/>
  <c r="AM60" i="5" s="1"/>
  <c r="F38" i="21"/>
  <c r="T35" i="21"/>
  <c r="J60" i="21"/>
  <c r="J37" i="21"/>
  <c r="J38" i="21"/>
  <c r="O37" i="21"/>
  <c r="O60" i="21"/>
  <c r="O38" i="21"/>
  <c r="AB35" i="21"/>
  <c r="AL34" i="5"/>
  <c r="V33" i="21"/>
  <c r="AD33" i="21"/>
  <c r="Z34" i="21"/>
  <c r="AM34" i="5"/>
  <c r="T34" i="21"/>
  <c r="M43" i="21"/>
  <c r="M41" i="21"/>
  <c r="M44" i="21" s="1"/>
  <c r="M45" i="21" s="1"/>
  <c r="M82" i="21" s="1"/>
  <c r="M83" i="21" s="1"/>
  <c r="I41" i="21"/>
  <c r="I43" i="21"/>
  <c r="J41" i="21"/>
  <c r="J43" i="21"/>
  <c r="U43" i="21" s="1"/>
  <c r="AN44" i="5" s="1"/>
  <c r="P41" i="21"/>
  <c r="L43" i="21"/>
  <c r="L41" i="21"/>
  <c r="L44" i="21" s="1"/>
  <c r="L45" i="21" s="1"/>
  <c r="L82" i="21" s="1"/>
  <c r="L83" i="21" s="1"/>
  <c r="O43" i="21"/>
  <c r="T43" i="21" s="1"/>
  <c r="AM44" i="5" s="1"/>
  <c r="O41" i="21"/>
  <c r="H59" i="21"/>
  <c r="K59" i="21"/>
  <c r="H41" i="21"/>
  <c r="N59" i="21"/>
  <c r="K41" i="21"/>
  <c r="N41" i="21"/>
  <c r="O44" i="21" l="1"/>
  <c r="O45" i="21" s="1"/>
  <c r="O82" i="21" s="1"/>
  <c r="T60" i="21"/>
  <c r="T37" i="21"/>
  <c r="AM38" i="5" s="1"/>
  <c r="U37" i="21"/>
  <c r="U60" i="21"/>
  <c r="G44" i="21"/>
  <c r="G45" i="21" s="1"/>
  <c r="U41" i="21"/>
  <c r="AN38" i="5"/>
  <c r="AN39" i="5" s="1"/>
  <c r="U38" i="21"/>
  <c r="F44" i="21"/>
  <c r="F45" i="21" s="1"/>
  <c r="F82" i="21" s="1"/>
  <c r="F83" i="21" s="1"/>
  <c r="T41" i="21"/>
  <c r="AC41" i="21"/>
  <c r="AB41" i="21"/>
  <c r="AC59" i="21"/>
  <c r="N60" i="21"/>
  <c r="AC60" i="21" s="1"/>
  <c r="N37" i="21"/>
  <c r="AA41" i="21"/>
  <c r="K37" i="21"/>
  <c r="AB59" i="21"/>
  <c r="K60" i="21"/>
  <c r="AB60" i="21" s="1"/>
  <c r="AA59" i="21"/>
  <c r="H37" i="21"/>
  <c r="H60" i="21"/>
  <c r="AA60" i="21" s="1"/>
  <c r="L46" i="21"/>
  <c r="L80" i="21" s="1"/>
  <c r="J44" i="21"/>
  <c r="J45" i="21" s="1"/>
  <c r="J82" i="21" s="1"/>
  <c r="J83" i="21" s="1"/>
  <c r="Q41" i="21"/>
  <c r="Z41" i="21"/>
  <c r="S41" i="21"/>
  <c r="X41" i="21"/>
  <c r="I44" i="21"/>
  <c r="I45" i="21" s="1"/>
  <c r="I82" i="21" s="1"/>
  <c r="I83" i="21" s="1"/>
  <c r="G46" i="21"/>
  <c r="G80" i="21" s="1"/>
  <c r="M46" i="21"/>
  <c r="M80" i="21" s="1"/>
  <c r="E37" i="21"/>
  <c r="Z59" i="21"/>
  <c r="AD59" i="21" s="1"/>
  <c r="E60" i="21"/>
  <c r="Q59" i="21"/>
  <c r="S59" i="21"/>
  <c r="X59" i="21"/>
  <c r="AM35" i="5"/>
  <c r="BM34" i="5"/>
  <c r="AO34" i="5"/>
  <c r="AM36" i="5"/>
  <c r="T38" i="21"/>
  <c r="AM61" i="5"/>
  <c r="AL36" i="5"/>
  <c r="V35" i="21"/>
  <c r="AD35" i="21"/>
  <c r="K43" i="21"/>
  <c r="H64" i="21"/>
  <c r="AA64" i="21" s="1"/>
  <c r="N43" i="21"/>
  <c r="H43" i="21"/>
  <c r="N64" i="21"/>
  <c r="AC64" i="21" s="1"/>
  <c r="K64" i="21"/>
  <c r="AB64" i="21" s="1"/>
  <c r="G82" i="21" l="1"/>
  <c r="G83" i="21" s="1"/>
  <c r="AN42" i="5"/>
  <c r="AN45" i="5" s="1"/>
  <c r="AN46" i="5" s="1"/>
  <c r="U44" i="21"/>
  <c r="U45" i="21" s="1"/>
  <c r="U82" i="21" s="1"/>
  <c r="U83" i="21" s="1"/>
  <c r="AA43" i="21"/>
  <c r="AA44" i="21" s="1"/>
  <c r="H44" i="21"/>
  <c r="N44" i="21"/>
  <c r="Z43" i="21"/>
  <c r="Z44" i="21" s="1"/>
  <c r="S43" i="21"/>
  <c r="S44" i="21" s="1"/>
  <c r="X43" i="21"/>
  <c r="E44" i="21"/>
  <c r="Z64" i="21"/>
  <c r="Q64" i="21"/>
  <c r="S64" i="21"/>
  <c r="X64" i="21"/>
  <c r="AB43" i="21"/>
  <c r="AB44" i="21" s="1"/>
  <c r="K44" i="21"/>
  <c r="BM36" i="5"/>
  <c r="AO36" i="5"/>
  <c r="AM39" i="5"/>
  <c r="AL60" i="5"/>
  <c r="V59" i="21"/>
  <c r="Z60" i="21"/>
  <c r="AD60" i="21" s="1"/>
  <c r="Q60" i="21"/>
  <c r="S60" i="21"/>
  <c r="V60" i="21" s="1"/>
  <c r="X60" i="21" s="1"/>
  <c r="Q37" i="21"/>
  <c r="Z37" i="21"/>
  <c r="S37" i="21"/>
  <c r="X37" i="21"/>
  <c r="E38" i="21"/>
  <c r="M47" i="21"/>
  <c r="G47" i="21"/>
  <c r="I46" i="21"/>
  <c r="I80" i="21" s="1"/>
  <c r="AL42" i="5"/>
  <c r="V41" i="21"/>
  <c r="AD41" i="21"/>
  <c r="J46" i="21"/>
  <c r="J80" i="21" s="1"/>
  <c r="L47" i="21"/>
  <c r="AA37" i="21"/>
  <c r="AA38" i="21" s="1"/>
  <c r="H38" i="21"/>
  <c r="AB37" i="21"/>
  <c r="AB38" i="21" s="1"/>
  <c r="K38" i="21"/>
  <c r="AC37" i="21"/>
  <c r="AC38" i="21" s="1"/>
  <c r="N38" i="21"/>
  <c r="AM42" i="5"/>
  <c r="T44" i="21"/>
  <c r="T45" i="21" s="1"/>
  <c r="T82" i="21" s="1"/>
  <c r="F46" i="21"/>
  <c r="F80" i="21" s="1"/>
  <c r="X44" i="21" l="1"/>
  <c r="AB45" i="21"/>
  <c r="AB82" i="21" s="1"/>
  <c r="AB83" i="21" s="1"/>
  <c r="AN83" i="5"/>
  <c r="AD64" i="21"/>
  <c r="U46" i="21"/>
  <c r="U80" i="21" s="1"/>
  <c r="AN47" i="5"/>
  <c r="AN81" i="5" s="1"/>
  <c r="F47" i="21"/>
  <c r="AM45" i="5"/>
  <c r="AB46" i="21"/>
  <c r="AB80" i="21" s="1"/>
  <c r="AA45" i="21"/>
  <c r="AA82" i="21" s="1"/>
  <c r="AA83" i="21" s="1"/>
  <c r="J47" i="21"/>
  <c r="BM42" i="5"/>
  <c r="AO42" i="5"/>
  <c r="I47" i="21"/>
  <c r="Q38" i="21"/>
  <c r="X38" i="21"/>
  <c r="AL38" i="5"/>
  <c r="V37" i="21"/>
  <c r="V38" i="21" s="1"/>
  <c r="S38" i="21"/>
  <c r="AD37" i="21"/>
  <c r="AD38" i="21" s="1"/>
  <c r="Z38" i="21"/>
  <c r="Z45" i="21" s="1"/>
  <c r="Z82" i="21" s="1"/>
  <c r="Z83" i="21" s="1"/>
  <c r="BM60" i="5"/>
  <c r="AL61" i="5"/>
  <c r="AO60" i="5"/>
  <c r="K45" i="21"/>
  <c r="K82" i="21" s="1"/>
  <c r="K83" i="21" s="1"/>
  <c r="AL65" i="5"/>
  <c r="V64" i="21"/>
  <c r="E45" i="21"/>
  <c r="E82" i="21" s="1"/>
  <c r="AL44" i="5"/>
  <c r="V43" i="21"/>
  <c r="V44" i="21" s="1"/>
  <c r="H45" i="21"/>
  <c r="H82" i="21" s="1"/>
  <c r="H83" i="21" s="1"/>
  <c r="AN84" i="5" l="1"/>
  <c r="AN48" i="5"/>
  <c r="U47" i="21"/>
  <c r="H46" i="21"/>
  <c r="H80" i="21" s="1"/>
  <c r="BM44" i="5"/>
  <c r="AO44" i="5"/>
  <c r="AL45" i="5"/>
  <c r="E83" i="21"/>
  <c r="E46" i="21"/>
  <c r="E80" i="21" s="1"/>
  <c r="BM65" i="5"/>
  <c r="AO65" i="5"/>
  <c r="K46" i="21"/>
  <c r="K80" i="21" s="1"/>
  <c r="BM61" i="5"/>
  <c r="AO61" i="5"/>
  <c r="Z46" i="21"/>
  <c r="Z80" i="21" s="1"/>
  <c r="BM38" i="5"/>
  <c r="AO38" i="5"/>
  <c r="AL39" i="5"/>
  <c r="AA46" i="21"/>
  <c r="AA80" i="21" s="1"/>
  <c r="AB47" i="21"/>
  <c r="AM46" i="5"/>
  <c r="AM83" i="5" l="1"/>
  <c r="AA47" i="21"/>
  <c r="BM39" i="5"/>
  <c r="AO39" i="5"/>
  <c r="Z47" i="21"/>
  <c r="K47" i="21"/>
  <c r="E47" i="21"/>
  <c r="BM45" i="5"/>
  <c r="AO45" i="5"/>
  <c r="H47" i="21"/>
  <c r="C7" i="22" l="1"/>
  <c r="N71" i="21" l="1"/>
  <c r="S71" i="21" l="1"/>
  <c r="X71" i="21"/>
  <c r="AC71" i="21"/>
  <c r="Q71" i="21"/>
  <c r="N32" i="21"/>
  <c r="N31" i="21"/>
  <c r="S31" i="21" l="1"/>
  <c r="X31" i="21"/>
  <c r="S32" i="21"/>
  <c r="X32" i="21"/>
  <c r="AL72" i="5"/>
  <c r="V71" i="21"/>
  <c r="AD71" i="21"/>
  <c r="AC31" i="21"/>
  <c r="N34" i="21"/>
  <c r="Q31" i="21"/>
  <c r="AC32" i="21"/>
  <c r="AD32" i="21" s="1"/>
  <c r="Q32" i="21"/>
  <c r="BM72" i="5" l="1"/>
  <c r="AO72" i="5"/>
  <c r="AL33" i="5"/>
  <c r="V32" i="21"/>
  <c r="X34" i="21"/>
  <c r="X45" i="21" s="1"/>
  <c r="X82" i="21" s="1"/>
  <c r="AL32" i="5"/>
  <c r="V31" i="21"/>
  <c r="V34" i="21" s="1"/>
  <c r="V45" i="21" s="1"/>
  <c r="V82" i="21" s="1"/>
  <c r="S34" i="21"/>
  <c r="S45" i="21" s="1"/>
  <c r="S82" i="21" s="1"/>
  <c r="Q34" i="21"/>
  <c r="N45" i="21"/>
  <c r="N82" i="21" s="1"/>
  <c r="AC34" i="21"/>
  <c r="AD31" i="21"/>
  <c r="AD34" i="21" s="1"/>
  <c r="BM32" i="5" l="1"/>
  <c r="AO32" i="5"/>
  <c r="AL35" i="5"/>
  <c r="BM33" i="5"/>
  <c r="AO33" i="5"/>
  <c r="N25" i="21"/>
  <c r="S25" i="21" l="1"/>
  <c r="BM35" i="5"/>
  <c r="AO35" i="5"/>
  <c r="AL46" i="5"/>
  <c r="N26" i="21"/>
  <c r="N81" i="21" s="1"/>
  <c r="N83" i="21" s="1"/>
  <c r="AL83" i="5" l="1"/>
  <c r="BM46" i="5"/>
  <c r="BM83" i="5" s="1"/>
  <c r="AO46" i="5"/>
  <c r="AL26" i="5"/>
  <c r="S26" i="21"/>
  <c r="N27" i="21"/>
  <c r="N46" i="21"/>
  <c r="N80" i="21" s="1"/>
  <c r="S81" i="21" l="1"/>
  <c r="S83" i="21" s="1"/>
  <c r="S27" i="21"/>
  <c r="S46" i="21"/>
  <c r="BM26" i="5"/>
  <c r="AL27" i="5"/>
  <c r="AO83" i="5"/>
  <c r="C49" i="33"/>
  <c r="N47" i="21"/>
  <c r="AL82" i="5" l="1"/>
  <c r="BM27" i="5"/>
  <c r="BM82" i="5" s="1"/>
  <c r="BM84" i="5" s="1"/>
  <c r="AL28" i="5"/>
  <c r="BM28" i="5" s="1"/>
  <c r="AL47" i="5"/>
  <c r="S80" i="21"/>
  <c r="S47" i="21"/>
  <c r="O63" i="21"/>
  <c r="T63" i="21" l="1"/>
  <c r="X63" i="21"/>
  <c r="AL81" i="5"/>
  <c r="BM47" i="5"/>
  <c r="BM81" i="5" s="1"/>
  <c r="AL48" i="5"/>
  <c r="BM48" i="5" s="1"/>
  <c r="AL84" i="5"/>
  <c r="O25" i="21"/>
  <c r="O18" i="21"/>
  <c r="T18" i="21" l="1"/>
  <c r="X18" i="21"/>
  <c r="T25" i="21"/>
  <c r="X25" i="21"/>
  <c r="AM64" i="5"/>
  <c r="AO64" i="5" s="1"/>
  <c r="V63" i="21"/>
  <c r="O22" i="21"/>
  <c r="AM26" i="5" l="1"/>
  <c r="AO26" i="5" s="1"/>
  <c r="V25" i="21"/>
  <c r="X22" i="21"/>
  <c r="X26" i="21" s="1"/>
  <c r="AM19" i="5"/>
  <c r="T22" i="21"/>
  <c r="T26" i="21" s="1"/>
  <c r="V18" i="21"/>
  <c r="V22" i="21" s="1"/>
  <c r="O26" i="21"/>
  <c r="O81" i="21" s="1"/>
  <c r="O83" i="21" s="1"/>
  <c r="T81" i="21" l="1"/>
  <c r="T83" i="21" s="1"/>
  <c r="T27" i="21"/>
  <c r="T46" i="21"/>
  <c r="AM23" i="5"/>
  <c r="AO19" i="5"/>
  <c r="X81" i="21"/>
  <c r="X83" i="21" s="1"/>
  <c r="X27" i="21"/>
  <c r="X46" i="21"/>
  <c r="V26" i="21"/>
  <c r="O27" i="21"/>
  <c r="O46" i="21"/>
  <c r="O80" i="21" s="1"/>
  <c r="V81" i="21" l="1"/>
  <c r="V83" i="21" s="1"/>
  <c r="V27" i="21"/>
  <c r="V46" i="21"/>
  <c r="B45" i="27"/>
  <c r="X80" i="21"/>
  <c r="X47" i="21"/>
  <c r="AM27" i="5"/>
  <c r="AO23" i="5"/>
  <c r="T80" i="21"/>
  <c r="T47" i="21"/>
  <c r="O47" i="21"/>
  <c r="AM82" i="5" l="1"/>
  <c r="AM28" i="5"/>
  <c r="AM47" i="5"/>
  <c r="AO27" i="5"/>
  <c r="V80" i="21"/>
  <c r="V47" i="21"/>
  <c r="P43" i="21"/>
  <c r="AO82" i="5" l="1"/>
  <c r="AO84" i="5" s="1"/>
  <c r="C48" i="33"/>
  <c r="C50" i="33" s="1"/>
  <c r="AO28" i="5"/>
  <c r="AM81" i="5"/>
  <c r="AM48" i="5"/>
  <c r="B45" i="31"/>
  <c r="AO47" i="5"/>
  <c r="AM84" i="5"/>
  <c r="C6" i="22"/>
  <c r="C8" i="22" s="1"/>
  <c r="P44" i="21"/>
  <c r="AC43" i="21"/>
  <c r="Q43" i="21"/>
  <c r="AO81" i="5" l="1"/>
  <c r="B54" i="33"/>
  <c r="AO48" i="5"/>
  <c r="AC44" i="21"/>
  <c r="AC45" i="21" s="1"/>
  <c r="AC82" i="21" s="1"/>
  <c r="AD43" i="21"/>
  <c r="AD44" i="21" s="1"/>
  <c r="AD45" i="21" s="1"/>
  <c r="AD82" i="21" s="1"/>
  <c r="P45" i="21"/>
  <c r="P82" i="21" s="1"/>
  <c r="Q44" i="21"/>
  <c r="Q45" i="21" l="1"/>
  <c r="Q82" i="21" s="1"/>
  <c r="P63" i="21" l="1"/>
  <c r="AC63" i="21" l="1"/>
  <c r="Q63" i="21"/>
  <c r="AD63" i="21" l="1"/>
  <c r="P18" i="21"/>
  <c r="P22" i="21" l="1"/>
  <c r="AC18" i="21"/>
  <c r="Q18" i="21"/>
  <c r="AC22" i="21" l="1"/>
  <c r="AD18" i="21"/>
  <c r="AD22" i="21" s="1"/>
  <c r="Q22" i="21"/>
  <c r="P25" i="21" l="1"/>
  <c r="AC25" i="21" l="1"/>
  <c r="Q25" i="21"/>
  <c r="P26" i="21"/>
  <c r="P81" i="21" s="1"/>
  <c r="P83" i="21" s="1"/>
  <c r="P27" i="21" l="1"/>
  <c r="Q27" i="21" s="1"/>
  <c r="P46" i="21"/>
  <c r="P80" i="21" s="1"/>
  <c r="Q26" i="21"/>
  <c r="Q81" i="21" s="1"/>
  <c r="Q83" i="21" s="1"/>
  <c r="AD25" i="21"/>
  <c r="AD26" i="21" s="1"/>
  <c r="AD81" i="21" s="1"/>
  <c r="AD83" i="21" s="1"/>
  <c r="AC26" i="21"/>
  <c r="AC81" i="21" s="1"/>
  <c r="AC83" i="21" s="1"/>
  <c r="AC27" i="21" l="1"/>
  <c r="AC46" i="21"/>
  <c r="AC80" i="21" s="1"/>
  <c r="AD27" i="21"/>
  <c r="AD46" i="21"/>
  <c r="AD80" i="21" s="1"/>
  <c r="P47" i="21"/>
  <c r="Q47" i="21" s="1"/>
  <c r="Q46" i="21"/>
  <c r="Q80" i="21" s="1"/>
  <c r="AD47" i="21" l="1"/>
  <c r="AC47" i="21"/>
  <c r="U54" i="3" l="1"/>
  <c r="H55" i="5" s="1"/>
  <c r="CK55" i="5" l="1"/>
  <c r="BY55" i="5"/>
  <c r="C12" i="38"/>
  <c r="AI55" i="5"/>
  <c r="AR55" i="5"/>
  <c r="BD55" i="5"/>
  <c r="Q55" i="5"/>
  <c r="Z55" i="5"/>
  <c r="AA54" i="3"/>
  <c r="Z54" i="3"/>
  <c r="D12" i="38" l="1"/>
  <c r="D9" i="38" s="1"/>
  <c r="AF54" i="3"/>
  <c r="AA29" i="3" l="1"/>
  <c r="AA28" i="3"/>
  <c r="AA30" i="3"/>
  <c r="U21" i="3" l="1"/>
  <c r="H22" i="5" s="1"/>
  <c r="CK22" i="5" l="1"/>
  <c r="BY22" i="5"/>
  <c r="AI22" i="5"/>
  <c r="AR22" i="5"/>
  <c r="Q22" i="5"/>
  <c r="Z22" i="5"/>
  <c r="BD22" i="5"/>
  <c r="Z21" i="3"/>
  <c r="AA21" i="3"/>
  <c r="AF21" i="3" s="1"/>
  <c r="BS75" i="5" l="1"/>
  <c r="BT75" i="5"/>
  <c r="BW75" i="5" l="1"/>
  <c r="M20" i="34"/>
  <c r="M33" i="22" l="1"/>
  <c r="M46" i="22" s="1"/>
  <c r="Z59" i="3" l="1"/>
  <c r="Z60" i="3" l="1"/>
  <c r="Z37" i="3"/>
  <c r="S75" i="3" l="1"/>
  <c r="F76" i="5" s="1"/>
  <c r="CI76" i="5" s="1"/>
  <c r="BK76" i="5" l="1"/>
  <c r="BG76" i="5"/>
  <c r="BJ76" i="5" s="1"/>
  <c r="BB76" i="5"/>
  <c r="AP76" i="5"/>
  <c r="AG76" i="5"/>
  <c r="O76" i="5"/>
  <c r="AG61" i="37"/>
  <c r="C23" i="38"/>
  <c r="U61" i="37"/>
  <c r="C61" i="37" s="1"/>
  <c r="BK75" i="5" l="1"/>
  <c r="BG75" i="5"/>
  <c r="BB75" i="5"/>
  <c r="AP75" i="5"/>
  <c r="AG75" i="5"/>
  <c r="O75" i="5"/>
  <c r="M20" i="12"/>
  <c r="M23" i="12"/>
  <c r="M35" i="12" s="1"/>
  <c r="M36" i="12" s="1"/>
  <c r="U19" i="37"/>
  <c r="AG19" i="37"/>
  <c r="BJ75" i="5" l="1"/>
  <c r="C23" i="37"/>
  <c r="AH66" i="37" l="1"/>
  <c r="AJ67" i="37" l="1"/>
  <c r="AH22" i="37"/>
  <c r="C24" i="37" l="1"/>
  <c r="E24" i="37" s="1"/>
  <c r="D48" i="37" l="1"/>
  <c r="C6" i="38"/>
  <c r="F54" i="37" l="1"/>
  <c r="E48" i="37"/>
  <c r="S61" i="37" l="1"/>
  <c r="S65" i="37" l="1"/>
  <c r="S75" i="37" s="1"/>
  <c r="Q77" i="37" s="1"/>
  <c r="Q84" i="37" s="1"/>
  <c r="G48" i="37"/>
  <c r="H48" i="37" l="1"/>
  <c r="T67" i="2" l="1"/>
  <c r="U68" i="5" l="1"/>
  <c r="Y68" i="5" l="1"/>
  <c r="S76" i="2" l="1"/>
  <c r="T77" i="5" s="1"/>
  <c r="X77" i="5" l="1"/>
  <c r="T75" i="2"/>
  <c r="U76" i="5" s="1"/>
  <c r="T76" i="2"/>
  <c r="U77" i="5" s="1"/>
  <c r="Z75" i="2"/>
  <c r="Q75" i="2"/>
  <c r="X75" i="2"/>
  <c r="S75" i="2"/>
  <c r="T76" i="5" s="1"/>
  <c r="V76" i="2" l="1"/>
  <c r="X76" i="5"/>
  <c r="Y77" i="5"/>
  <c r="W77" i="5"/>
  <c r="W76" i="5"/>
  <c r="AD75" i="2"/>
  <c r="V75" i="2"/>
  <c r="W75" i="5" l="1"/>
  <c r="X75" i="5"/>
  <c r="T71" i="2" l="1"/>
  <c r="T75" i="3"/>
  <c r="G76" i="5" s="1"/>
  <c r="CJ76" i="5" l="1"/>
  <c r="BL76" i="5"/>
  <c r="BC76" i="5"/>
  <c r="AQ76" i="5"/>
  <c r="AH76" i="5"/>
  <c r="P76" i="5"/>
  <c r="Y76" i="5"/>
  <c r="U72" i="5"/>
  <c r="BL75" i="5"/>
  <c r="BC75" i="5"/>
  <c r="AH75" i="5"/>
  <c r="AQ75" i="5"/>
  <c r="P75" i="5"/>
  <c r="Y75" i="5"/>
  <c r="AB19" i="37" l="1"/>
  <c r="U29" i="3" l="1"/>
  <c r="H30" i="5" s="1"/>
  <c r="CK30" i="5" l="1"/>
  <c r="BY30" i="5"/>
  <c r="AI30" i="5"/>
  <c r="AR30" i="5"/>
  <c r="Q30" i="5"/>
  <c r="Z30" i="5"/>
  <c r="BD30" i="5"/>
  <c r="U30" i="3"/>
  <c r="H31" i="5" s="1"/>
  <c r="CK31" i="5" l="1"/>
  <c r="Z61" i="38"/>
  <c r="BY31" i="5"/>
  <c r="AI31" i="5"/>
  <c r="AR31" i="5"/>
  <c r="Z31" i="5"/>
  <c r="BD31" i="5"/>
  <c r="Q31" i="5"/>
  <c r="Z19" i="38" l="1"/>
  <c r="AA61" i="38"/>
  <c r="AA19" i="38" s="1"/>
  <c r="Z61" i="37" l="1"/>
  <c r="Z19" i="37" s="1"/>
  <c r="AA61" i="37"/>
  <c r="AA19" i="37" s="1"/>
  <c r="Y61" i="37" l="1"/>
  <c r="Y19" i="37" l="1"/>
  <c r="AC61" i="37" l="1"/>
  <c r="AC19" i="37" l="1"/>
  <c r="U28" i="3" l="1"/>
  <c r="H29" i="5" s="1"/>
  <c r="CK29" i="5" l="1"/>
  <c r="BY29" i="5" l="1"/>
  <c r="Z29" i="5"/>
  <c r="AR29" i="5"/>
  <c r="BD29" i="5"/>
  <c r="Q29" i="5"/>
  <c r="AI29" i="5"/>
  <c r="Y61" i="38" l="1"/>
  <c r="Y19" i="38" s="1"/>
  <c r="AD61" i="37" l="1"/>
  <c r="C7" i="38" l="1"/>
  <c r="C45" i="38"/>
  <c r="AD19" i="37"/>
  <c r="AA65" i="37"/>
  <c r="AA70" i="37" s="1"/>
  <c r="AD56" i="37"/>
  <c r="AB21" i="37" l="1"/>
  <c r="AB26" i="37" s="1"/>
  <c r="AB27" i="37" s="1"/>
  <c r="D49" i="37"/>
  <c r="C50" i="38"/>
  <c r="C8" i="38"/>
  <c r="C54" i="37" l="1"/>
  <c r="D54" i="37" s="1"/>
  <c r="G54" i="37"/>
  <c r="E49" i="37"/>
  <c r="D50" i="37"/>
  <c r="E50" i="37" s="1"/>
  <c r="D7" i="37"/>
  <c r="E7" i="37" l="1"/>
  <c r="AH61" i="37"/>
  <c r="I54" i="37"/>
  <c r="G12" i="37"/>
  <c r="AH19" i="37" l="1"/>
  <c r="G9" i="37"/>
  <c r="AH65" i="37"/>
  <c r="AH70" i="37" s="1"/>
  <c r="G49" i="37"/>
  <c r="H49" i="37" l="1"/>
  <c r="G50" i="37"/>
  <c r="F50" i="37" s="1"/>
  <c r="H50" i="37" s="1"/>
  <c r="AH21" i="37"/>
  <c r="AH26" i="37" s="1"/>
  <c r="AH27" i="37" s="1"/>
  <c r="G7" i="37"/>
  <c r="H7" i="37" l="1"/>
  <c r="Z73" i="3" l="1"/>
  <c r="AF73" i="3" l="1"/>
  <c r="U75" i="3" l="1"/>
  <c r="H76" i="5" s="1"/>
  <c r="Q75" i="3"/>
  <c r="Z75" i="3"/>
  <c r="X75" i="3"/>
  <c r="AG62" i="36"/>
  <c r="M53" i="38"/>
  <c r="CK76" i="5" l="1"/>
  <c r="AV76" i="5"/>
  <c r="M53" i="39"/>
  <c r="BY76" i="5"/>
  <c r="BD76" i="5"/>
  <c r="AR76" i="5"/>
  <c r="AI76" i="5"/>
  <c r="Q76" i="5"/>
  <c r="Z76" i="5"/>
  <c r="I76" i="5"/>
  <c r="CN76" i="5" s="1"/>
  <c r="L10" i="38"/>
  <c r="E54" i="38"/>
  <c r="T61" i="38"/>
  <c r="AF75" i="3"/>
  <c r="AD75" i="3"/>
  <c r="V75" i="3"/>
  <c r="CC76" i="5" l="1"/>
  <c r="CL76" i="5"/>
  <c r="F49" i="38"/>
  <c r="L10" i="39"/>
  <c r="E54" i="39"/>
  <c r="T61" i="39"/>
  <c r="BN76" i="5"/>
  <c r="BE76" i="5"/>
  <c r="AS76" i="5"/>
  <c r="AJ76" i="5"/>
  <c r="R76" i="5"/>
  <c r="AA76" i="5"/>
  <c r="BY75" i="5"/>
  <c r="AR75" i="5"/>
  <c r="Q75" i="5"/>
  <c r="Z75" i="5"/>
  <c r="AI75" i="5"/>
  <c r="BD75" i="5"/>
  <c r="I75" i="5"/>
  <c r="CN75" i="5" s="1"/>
  <c r="M15" i="27"/>
  <c r="M23" i="31"/>
  <c r="M14" i="31"/>
  <c r="CC75" i="5" l="1"/>
  <c r="CL75" i="5"/>
  <c r="F49" i="39"/>
  <c r="M15" i="31"/>
  <c r="M18" i="31"/>
  <c r="M30" i="31" s="1"/>
  <c r="M31" i="31" s="1"/>
  <c r="M18" i="27"/>
  <c r="M30" i="27" s="1"/>
  <c r="M31" i="27" s="1"/>
  <c r="BE75" i="5"/>
  <c r="BN75" i="5"/>
  <c r="AJ75" i="5"/>
  <c r="AS75" i="5"/>
  <c r="R75" i="5"/>
  <c r="AA75" i="5"/>
  <c r="M19" i="11"/>
  <c r="M20" i="11" l="1"/>
  <c r="M23" i="11"/>
  <c r="M34" i="11" s="1"/>
  <c r="S24" i="12" l="1"/>
  <c r="S19" i="31" l="1"/>
  <c r="S19" i="27" l="1"/>
  <c r="U65" i="3" l="1"/>
  <c r="H66" i="5" s="1"/>
  <c r="CK66" i="5" l="1"/>
  <c r="AV66" i="5"/>
  <c r="BY66" i="5"/>
  <c r="BD66" i="5"/>
  <c r="Q66" i="5"/>
  <c r="AR66" i="5"/>
  <c r="Z66" i="5"/>
  <c r="AI66" i="5"/>
  <c r="P13" i="39" l="1"/>
  <c r="P13" i="38"/>
  <c r="U66" i="3" l="1"/>
  <c r="H67" i="5" s="1"/>
  <c r="CK67" i="5" l="1"/>
  <c r="AV67" i="5"/>
  <c r="U67" i="3"/>
  <c r="H68" i="5" s="1"/>
  <c r="CK68" i="5" l="1"/>
  <c r="AV68" i="5"/>
  <c r="BY67" i="5"/>
  <c r="BD67" i="5"/>
  <c r="Z67" i="5"/>
  <c r="Q67" i="5"/>
  <c r="AR67" i="5"/>
  <c r="AI67" i="5"/>
  <c r="P14" i="39" l="1"/>
  <c r="P14" i="38"/>
  <c r="BY68" i="5"/>
  <c r="BD68" i="5"/>
  <c r="Z68" i="5"/>
  <c r="AR68" i="5"/>
  <c r="Q68" i="5"/>
  <c r="AI68" i="5"/>
  <c r="P15" i="39" l="1"/>
  <c r="O19" i="39" s="1"/>
  <c r="O20" i="39" s="1"/>
  <c r="P15" i="38"/>
  <c r="O19" i="38" s="1"/>
  <c r="O20" i="38" l="1"/>
  <c r="T66" i="3" l="1"/>
  <c r="G67" i="5" s="1"/>
  <c r="Z66" i="3"/>
  <c r="CJ67" i="5" l="1"/>
  <c r="T66" i="2"/>
  <c r="Z66" i="2"/>
  <c r="X66" i="2"/>
  <c r="Q66" i="2"/>
  <c r="W63" i="7" l="1"/>
  <c r="AD66" i="2"/>
  <c r="U67" i="5"/>
  <c r="V66" i="2"/>
  <c r="BQ67" i="5"/>
  <c r="BL67" i="5"/>
  <c r="BC67" i="5"/>
  <c r="Y67" i="5"/>
  <c r="AQ67" i="5"/>
  <c r="O14" i="22" s="1"/>
  <c r="O19" i="22" s="1"/>
  <c r="AH67" i="5"/>
  <c r="P67" i="5"/>
  <c r="BU67" i="5" l="1"/>
  <c r="W67" i="5"/>
  <c r="AA63" i="7"/>
  <c r="AB63" i="7"/>
  <c r="AF63" i="7" l="1"/>
  <c r="O14" i="34"/>
  <c r="P14" i="37" l="1"/>
  <c r="D6" i="37" l="1"/>
  <c r="P15" i="37"/>
  <c r="O19" i="37"/>
  <c r="O20" i="37" l="1"/>
  <c r="E6" i="37"/>
  <c r="D8" i="37"/>
  <c r="E8" i="37" s="1"/>
  <c r="U76" i="3" l="1"/>
  <c r="H77" i="5" s="1"/>
  <c r="U77" i="3"/>
  <c r="H78" i="5" s="1"/>
  <c r="CK78" i="5" l="1"/>
  <c r="AV78" i="5"/>
  <c r="CK77" i="5"/>
  <c r="AV77" i="5"/>
  <c r="V76" i="3"/>
  <c r="BY77" i="5" l="1"/>
  <c r="AR77" i="5"/>
  <c r="AI77" i="5"/>
  <c r="Z77" i="5"/>
  <c r="Q77" i="5"/>
  <c r="I77" i="5"/>
  <c r="CN77" i="5" s="1"/>
  <c r="BY78" i="5"/>
  <c r="AR78" i="5"/>
  <c r="AI78" i="5"/>
  <c r="Z78" i="5"/>
  <c r="Q78" i="5"/>
  <c r="CL77" i="5" l="1"/>
  <c r="CC77" i="5"/>
  <c r="BN77" i="5"/>
  <c r="AS77" i="5"/>
  <c r="AJ77" i="5"/>
  <c r="AA77" i="5"/>
  <c r="R77" i="5"/>
  <c r="AA67" i="2" l="1"/>
  <c r="S67" i="2"/>
  <c r="Z67" i="2"/>
  <c r="X67" i="2"/>
  <c r="Q67" i="2"/>
  <c r="W64" i="7" l="1"/>
  <c r="AD67" i="2"/>
  <c r="T68" i="5"/>
  <c r="W68" i="5" s="1"/>
  <c r="V67" i="2"/>
  <c r="X64" i="7"/>
  <c r="AC64" i="7" s="1"/>
  <c r="CA68" i="5"/>
  <c r="AA64" i="7" l="1"/>
  <c r="AF64" i="7" s="1"/>
  <c r="AB64" i="7"/>
  <c r="AA65" i="2" l="1"/>
  <c r="S65" i="2"/>
  <c r="Z65" i="2"/>
  <c r="X65" i="2"/>
  <c r="Q65" i="2"/>
  <c r="W62" i="7" l="1"/>
  <c r="AD65" i="2"/>
  <c r="T66" i="5"/>
  <c r="V65" i="2"/>
  <c r="CA66" i="5"/>
  <c r="X62" i="7"/>
  <c r="AC62" i="7" l="1"/>
  <c r="W66" i="5"/>
  <c r="AB62" i="7"/>
  <c r="AA62" i="7"/>
  <c r="AF62" i="7" l="1"/>
  <c r="AB32" i="2" l="1"/>
  <c r="Y33" i="7" s="1"/>
  <c r="AD33" i="7" s="1"/>
  <c r="AC32" i="2"/>
  <c r="Z33" i="7" s="1"/>
  <c r="AE33" i="7" s="1"/>
  <c r="AA32" i="2" l="1"/>
  <c r="S32" i="2"/>
  <c r="AA31" i="2"/>
  <c r="S31" i="2"/>
  <c r="AB31" i="2"/>
  <c r="AC31" i="2"/>
  <c r="Z32" i="7" l="1"/>
  <c r="Y32" i="7"/>
  <c r="T32" i="5"/>
  <c r="V31" i="2"/>
  <c r="CA32" i="5"/>
  <c r="X32" i="7"/>
  <c r="V32" i="2"/>
  <c r="T33" i="5"/>
  <c r="W33" i="5" s="1"/>
  <c r="X33" i="7"/>
  <c r="AC33" i="7" s="1"/>
  <c r="CA33" i="5"/>
  <c r="AC32" i="7" l="1"/>
  <c r="W32" i="5"/>
  <c r="AD32" i="7"/>
  <c r="AE32" i="7"/>
  <c r="AC62" i="2" l="1"/>
  <c r="Z59" i="7" s="1"/>
  <c r="AE59" i="7" s="1"/>
  <c r="AB62" i="2"/>
  <c r="Y59" i="7" s="1"/>
  <c r="AD59" i="7" s="1"/>
  <c r="Z62" i="2"/>
  <c r="Q62" i="2"/>
  <c r="X62" i="2"/>
  <c r="S62" i="2"/>
  <c r="AA62" i="2"/>
  <c r="CA63" i="5" l="1"/>
  <c r="X59" i="7"/>
  <c r="AC59" i="7" s="1"/>
  <c r="T63" i="5"/>
  <c r="V62" i="2"/>
  <c r="W59" i="7"/>
  <c r="AD62" i="2"/>
  <c r="Z63" i="2"/>
  <c r="AB63" i="2" l="1"/>
  <c r="Y60" i="7" s="1"/>
  <c r="AD60" i="7" s="1"/>
  <c r="W60" i="7"/>
  <c r="AB59" i="7"/>
  <c r="AA59" i="7"/>
  <c r="AF59" i="7" s="1"/>
  <c r="W63" i="5"/>
  <c r="AC63" i="2" l="1"/>
  <c r="Z60" i="7" s="1"/>
  <c r="AE60" i="7" s="1"/>
  <c r="AB60" i="7"/>
  <c r="AA63" i="2"/>
  <c r="S63" i="2"/>
  <c r="T64" i="5" s="1"/>
  <c r="X63" i="2"/>
  <c r="Q63" i="2"/>
  <c r="W64" i="5" l="1"/>
  <c r="V63" i="2"/>
  <c r="CA64" i="5"/>
  <c r="X60" i="7"/>
  <c r="AD63" i="2"/>
  <c r="AC60" i="7" l="1"/>
  <c r="AA60" i="7"/>
  <c r="AF60" i="7" s="1"/>
  <c r="P34" i="2" l="1"/>
  <c r="O34" i="2"/>
  <c r="M34" i="2"/>
  <c r="L34" i="2"/>
  <c r="J34" i="2"/>
  <c r="I34" i="2"/>
  <c r="AA35" i="2" l="1"/>
  <c r="S35" i="2"/>
  <c r="AB35" i="2"/>
  <c r="AC35" i="2"/>
  <c r="Q33" i="2"/>
  <c r="Z33" i="2"/>
  <c r="X33" i="2"/>
  <c r="G34" i="2"/>
  <c r="AA33" i="2"/>
  <c r="S33" i="2"/>
  <c r="H34" i="2"/>
  <c r="AB33" i="2"/>
  <c r="K34" i="2"/>
  <c r="AC33" i="2"/>
  <c r="N34" i="2"/>
  <c r="Z41" i="2"/>
  <c r="X41" i="2"/>
  <c r="Q41" i="2"/>
  <c r="G44" i="2"/>
  <c r="AA41" i="2"/>
  <c r="S41" i="2"/>
  <c r="H44" i="2"/>
  <c r="I44" i="2"/>
  <c r="J44" i="2"/>
  <c r="AB41" i="2"/>
  <c r="K44" i="2"/>
  <c r="L44" i="2"/>
  <c r="M44" i="2"/>
  <c r="AC41" i="2"/>
  <c r="N44" i="2"/>
  <c r="O44" i="2"/>
  <c r="P44" i="2"/>
  <c r="Z42" i="7" l="1"/>
  <c r="Y42" i="7"/>
  <c r="T42" i="5"/>
  <c r="V41" i="2"/>
  <c r="CA42" i="5"/>
  <c r="X42" i="7"/>
  <c r="Q44" i="2"/>
  <c r="W42" i="7"/>
  <c r="AD41" i="2"/>
  <c r="Z34" i="7"/>
  <c r="AC34" i="2"/>
  <c r="Y34" i="7"/>
  <c r="AB34" i="2"/>
  <c r="T34" i="5"/>
  <c r="V33" i="2"/>
  <c r="V34" i="2" s="1"/>
  <c r="S34" i="2"/>
  <c r="CA34" i="5"/>
  <c r="X34" i="7"/>
  <c r="AA34" i="2"/>
  <c r="CA35" i="5" s="1"/>
  <c r="W34" i="7"/>
  <c r="AD33" i="2"/>
  <c r="Z36" i="7"/>
  <c r="Y36" i="7"/>
  <c r="T36" i="5"/>
  <c r="V35" i="2"/>
  <c r="CA36" i="5"/>
  <c r="X36" i="7"/>
  <c r="AC43" i="2"/>
  <c r="AB43" i="2"/>
  <c r="AA43" i="2"/>
  <c r="S43" i="2"/>
  <c r="Z43" i="2"/>
  <c r="X43" i="2"/>
  <c r="Q43" i="2"/>
  <c r="P60" i="2"/>
  <c r="P37" i="2"/>
  <c r="P38" i="2" s="1"/>
  <c r="P45" i="2" s="1"/>
  <c r="P83" i="2" s="1"/>
  <c r="O60" i="2"/>
  <c r="O37" i="2"/>
  <c r="O38" i="2" s="1"/>
  <c r="O45" i="2" s="1"/>
  <c r="O83" i="2" s="1"/>
  <c r="AC59" i="2"/>
  <c r="N60" i="2"/>
  <c r="N37" i="2"/>
  <c r="M60" i="2"/>
  <c r="M37" i="2"/>
  <c r="M38" i="2" s="1"/>
  <c r="M45" i="2" s="1"/>
  <c r="M83" i="2" s="1"/>
  <c r="L37" i="2"/>
  <c r="L38" i="2" s="1"/>
  <c r="L45" i="2" s="1"/>
  <c r="L83" i="2" s="1"/>
  <c r="L60" i="2"/>
  <c r="K37" i="2"/>
  <c r="AB59" i="2"/>
  <c r="K60" i="2"/>
  <c r="J37" i="2"/>
  <c r="J60" i="2"/>
  <c r="U60" i="2" s="1"/>
  <c r="I37" i="2"/>
  <c r="I60" i="2"/>
  <c r="H60" i="2"/>
  <c r="AA59" i="2"/>
  <c r="CA60" i="5" s="1"/>
  <c r="H37" i="2"/>
  <c r="S59" i="2"/>
  <c r="T60" i="2" l="1"/>
  <c r="AC60" i="2"/>
  <c r="AB60" i="2"/>
  <c r="J38" i="2"/>
  <c r="J45" i="2" s="1"/>
  <c r="J83" i="2" s="1"/>
  <c r="U37" i="2"/>
  <c r="I38" i="2"/>
  <c r="I45" i="2" s="1"/>
  <c r="I83" i="2" s="1"/>
  <c r="T37" i="2"/>
  <c r="T60" i="5"/>
  <c r="V59" i="2"/>
  <c r="AA37" i="2"/>
  <c r="S37" i="2"/>
  <c r="H38" i="2"/>
  <c r="H45" i="2" s="1"/>
  <c r="H83" i="2" s="1"/>
  <c r="AA60" i="2"/>
  <c r="CA61" i="5" s="1"/>
  <c r="S60" i="2"/>
  <c r="V60" i="2" s="1"/>
  <c r="X60" i="2" s="1"/>
  <c r="AB37" i="2"/>
  <c r="K38" i="2"/>
  <c r="K45" i="2" s="1"/>
  <c r="K83" i="2" s="1"/>
  <c r="AC37" i="2"/>
  <c r="N38" i="2"/>
  <c r="N45" i="2" s="1"/>
  <c r="N83" i="2" s="1"/>
  <c r="X44" i="2"/>
  <c r="Z44" i="2"/>
  <c r="W44" i="7"/>
  <c r="W45" i="7" s="1"/>
  <c r="AD43" i="2"/>
  <c r="AD44" i="2" s="1"/>
  <c r="V43" i="2"/>
  <c r="V44" i="2" s="1"/>
  <c r="T44" i="5"/>
  <c r="W44" i="5" s="1"/>
  <c r="S44" i="2"/>
  <c r="X44" i="7"/>
  <c r="AC44" i="7" s="1"/>
  <c r="CA44" i="5"/>
  <c r="AA44" i="2"/>
  <c r="Y44" i="7"/>
  <c r="AD44" i="7" s="1"/>
  <c r="AB44" i="2"/>
  <c r="Z44" i="7"/>
  <c r="AE44" i="7" s="1"/>
  <c r="AC44" i="2"/>
  <c r="AC36" i="7"/>
  <c r="W36" i="5"/>
  <c r="AD36" i="7"/>
  <c r="AE36" i="7"/>
  <c r="AA34" i="7"/>
  <c r="AF34" i="7" s="1"/>
  <c r="AB34" i="7"/>
  <c r="AC34" i="7"/>
  <c r="X35" i="7"/>
  <c r="AC35" i="7" s="1"/>
  <c r="W34" i="5"/>
  <c r="T35" i="5"/>
  <c r="W35" i="5" s="1"/>
  <c r="AD34" i="7"/>
  <c r="Y35" i="7"/>
  <c r="AD35" i="7" s="1"/>
  <c r="AE34" i="7"/>
  <c r="Z35" i="7"/>
  <c r="AE35" i="7" s="1"/>
  <c r="AB42" i="7"/>
  <c r="AA42" i="7"/>
  <c r="AC42" i="7"/>
  <c r="W42" i="5"/>
  <c r="AD42" i="7"/>
  <c r="AE42" i="7"/>
  <c r="X45" i="7" l="1"/>
  <c r="Z45" i="7"/>
  <c r="Y45" i="7"/>
  <c r="T45" i="5"/>
  <c r="V38" i="5"/>
  <c r="V39" i="5" s="1"/>
  <c r="V46" i="5" s="1"/>
  <c r="U38" i="2"/>
  <c r="U45" i="2" s="1"/>
  <c r="U38" i="5"/>
  <c r="T38" i="2"/>
  <c r="T45" i="2" s="1"/>
  <c r="AE45" i="7"/>
  <c r="AD45" i="7"/>
  <c r="W45" i="5"/>
  <c r="AC45" i="7"/>
  <c r="AB45" i="7"/>
  <c r="AF42" i="7"/>
  <c r="CA45" i="5"/>
  <c r="AA44" i="7"/>
  <c r="AB44" i="7"/>
  <c r="Z38" i="7"/>
  <c r="AC38" i="2"/>
  <c r="AC45" i="2" s="1"/>
  <c r="Y38" i="7"/>
  <c r="AB38" i="2"/>
  <c r="AB45" i="2" s="1"/>
  <c r="V37" i="2"/>
  <c r="V38" i="2" s="1"/>
  <c r="V45" i="2" s="1"/>
  <c r="T38" i="5"/>
  <c r="S38" i="2"/>
  <c r="S45" i="2" s="1"/>
  <c r="X38" i="7"/>
  <c r="CA38" i="5"/>
  <c r="AA38" i="2"/>
  <c r="T61" i="5"/>
  <c r="W61" i="5" s="1"/>
  <c r="W60" i="5"/>
  <c r="AC64" i="2"/>
  <c r="Z61" i="7" s="1"/>
  <c r="AE61" i="7" s="1"/>
  <c r="AB64" i="2"/>
  <c r="Y61" i="7" s="1"/>
  <c r="AD61" i="7" s="1"/>
  <c r="AA64" i="2"/>
  <c r="S64" i="2"/>
  <c r="X64" i="2"/>
  <c r="Q64" i="2"/>
  <c r="Z64" i="2"/>
  <c r="U83" i="2" l="1"/>
  <c r="U46" i="2"/>
  <c r="V83" i="5"/>
  <c r="V47" i="5"/>
  <c r="U39" i="5"/>
  <c r="T46" i="2"/>
  <c r="T47" i="2" s="1"/>
  <c r="T83" i="2"/>
  <c r="W61" i="7"/>
  <c r="AD64" i="2"/>
  <c r="V64" i="2"/>
  <c r="T65" i="5"/>
  <c r="W65" i="5" s="1"/>
  <c r="X61" i="7"/>
  <c r="AC61" i="7" s="1"/>
  <c r="CA65" i="5"/>
  <c r="CA39" i="5"/>
  <c r="AA45" i="2"/>
  <c r="CA46" i="5" s="1"/>
  <c r="C49" i="39" s="1"/>
  <c r="AC38" i="7"/>
  <c r="X39" i="7"/>
  <c r="W38" i="5"/>
  <c r="T39" i="5"/>
  <c r="AD38" i="7"/>
  <c r="Y39" i="7"/>
  <c r="AE38" i="7"/>
  <c r="Z39" i="7"/>
  <c r="AF44" i="7"/>
  <c r="AA45" i="7"/>
  <c r="V48" i="5" l="1"/>
  <c r="U47" i="2"/>
  <c r="U46" i="5"/>
  <c r="AF45" i="7"/>
  <c r="AE39" i="7"/>
  <c r="Z46" i="7"/>
  <c r="AE46" i="7" s="1"/>
  <c r="AD39" i="7"/>
  <c r="Y46" i="7"/>
  <c r="AD46" i="7" s="1"/>
  <c r="W39" i="5"/>
  <c r="T46" i="5"/>
  <c r="AC39" i="7"/>
  <c r="X46" i="7"/>
  <c r="AC46" i="7" s="1"/>
  <c r="AA61" i="7"/>
  <c r="AF61" i="7" s="1"/>
  <c r="AB61" i="7"/>
  <c r="U47" i="5" l="1"/>
  <c r="U48" i="5" s="1"/>
  <c r="U83" i="5"/>
  <c r="F22" i="2"/>
  <c r="C49" i="11"/>
  <c r="W46" i="5"/>
  <c r="C49" i="43" l="1"/>
  <c r="C49" i="15"/>
  <c r="C49" i="40"/>
  <c r="E22" i="2"/>
  <c r="Z35" i="2" l="1"/>
  <c r="X35" i="2"/>
  <c r="Q35" i="2"/>
  <c r="W36" i="7" l="1"/>
  <c r="AD35" i="2"/>
  <c r="G60" i="2"/>
  <c r="G37" i="2"/>
  <c r="Q59" i="2"/>
  <c r="Z59" i="2"/>
  <c r="AD59" i="2" s="1"/>
  <c r="X59" i="2"/>
  <c r="X37" i="2" l="1"/>
  <c r="Q37" i="2"/>
  <c r="Z37" i="2"/>
  <c r="G38" i="2"/>
  <c r="Z60" i="2"/>
  <c r="AD60" i="2" s="1"/>
  <c r="Q60" i="2"/>
  <c r="AB36" i="7"/>
  <c r="AA36" i="7"/>
  <c r="AF36" i="7" l="1"/>
  <c r="Q38" i="2"/>
  <c r="G45" i="2"/>
  <c r="G83" i="2" s="1"/>
  <c r="W38" i="7"/>
  <c r="AD37" i="2"/>
  <c r="AD38" i="2" s="1"/>
  <c r="Z38" i="2"/>
  <c r="X38" i="2"/>
  <c r="AA38" i="7" l="1"/>
  <c r="AB38" i="7"/>
  <c r="W39" i="7"/>
  <c r="AB39" i="7" l="1"/>
  <c r="AF38" i="7"/>
  <c r="AA39" i="7"/>
  <c r="AF39" i="7" l="1"/>
  <c r="I22" i="2" l="1"/>
  <c r="J22" i="2"/>
  <c r="L22" i="2"/>
  <c r="M22" i="2"/>
  <c r="O22" i="2"/>
  <c r="P22" i="2"/>
  <c r="AC18" i="2" l="1"/>
  <c r="N22" i="2"/>
  <c r="AB18" i="2"/>
  <c r="K22" i="2"/>
  <c r="H22" i="2"/>
  <c r="S18" i="2"/>
  <c r="AA18" i="2"/>
  <c r="G22" i="2"/>
  <c r="Z18" i="2"/>
  <c r="Q18" i="2"/>
  <c r="X18" i="2"/>
  <c r="X22" i="2" l="1"/>
  <c r="W19" i="7"/>
  <c r="Z22" i="2"/>
  <c r="AD18" i="2"/>
  <c r="AD22" i="2" s="1"/>
  <c r="Q22" i="2"/>
  <c r="CA19" i="5"/>
  <c r="X19" i="7"/>
  <c r="AA22" i="2"/>
  <c r="T19" i="5"/>
  <c r="S22" i="2"/>
  <c r="V18" i="2"/>
  <c r="V22" i="2" s="1"/>
  <c r="AB22" i="2"/>
  <c r="Y19" i="7"/>
  <c r="AC22" i="2"/>
  <c r="Z19" i="7"/>
  <c r="Z23" i="7" l="1"/>
  <c r="AE19" i="7"/>
  <c r="Y23" i="7"/>
  <c r="AD19" i="7"/>
  <c r="T23" i="5"/>
  <c r="W19" i="5"/>
  <c r="CA23" i="5"/>
  <c r="X23" i="7"/>
  <c r="AC19" i="7"/>
  <c r="W23" i="7"/>
  <c r="AB19" i="7"/>
  <c r="AA19" i="7"/>
  <c r="AA23" i="7" l="1"/>
  <c r="AF19" i="7"/>
  <c r="AB23" i="7"/>
  <c r="AC23" i="7"/>
  <c r="W23" i="5"/>
  <c r="AD23" i="7"/>
  <c r="AE23" i="7"/>
  <c r="AF23" i="7" l="1"/>
  <c r="G26" i="2" l="1"/>
  <c r="I26" i="2"/>
  <c r="J26" i="2"/>
  <c r="L26" i="2"/>
  <c r="M26" i="2"/>
  <c r="O26" i="2"/>
  <c r="P26" i="2"/>
  <c r="P27" i="2" l="1"/>
  <c r="P46" i="2"/>
  <c r="P47" i="2" s="1"/>
  <c r="O27" i="2"/>
  <c r="O46" i="2"/>
  <c r="O47" i="2" s="1"/>
  <c r="AC25" i="2"/>
  <c r="N26" i="2"/>
  <c r="M27" i="2"/>
  <c r="M46" i="2"/>
  <c r="M47" i="2" s="1"/>
  <c r="L46" i="2"/>
  <c r="L47" i="2" s="1"/>
  <c r="L27" i="2"/>
  <c r="AB25" i="2"/>
  <c r="K26" i="2"/>
  <c r="J27" i="2"/>
  <c r="J46" i="2"/>
  <c r="J47" i="2" s="1"/>
  <c r="I27" i="2"/>
  <c r="I46" i="2"/>
  <c r="I47" i="2" s="1"/>
  <c r="S25" i="2"/>
  <c r="AA25" i="2"/>
  <c r="H26" i="2"/>
  <c r="G27" i="2"/>
  <c r="G46" i="2"/>
  <c r="G47" i="2" s="1"/>
  <c r="H27" i="2" l="1"/>
  <c r="H46" i="2"/>
  <c r="H47" i="2" s="1"/>
  <c r="CA26" i="5"/>
  <c r="X26" i="7"/>
  <c r="AA26" i="2"/>
  <c r="T26" i="5"/>
  <c r="V25" i="2"/>
  <c r="V26" i="2" s="1"/>
  <c r="S26" i="2"/>
  <c r="K27" i="2"/>
  <c r="K46" i="2"/>
  <c r="K47" i="2" s="1"/>
  <c r="Y26" i="7"/>
  <c r="AB26" i="2"/>
  <c r="N27" i="2"/>
  <c r="N46" i="2"/>
  <c r="N47" i="2" s="1"/>
  <c r="Z26" i="7"/>
  <c r="AC26" i="2"/>
  <c r="AC27" i="2" l="1"/>
  <c r="AC46" i="2"/>
  <c r="AC47" i="2" s="1"/>
  <c r="AE26" i="7"/>
  <c r="Z27" i="7"/>
  <c r="AB27" i="2"/>
  <c r="AB46" i="2"/>
  <c r="AB47" i="2" s="1"/>
  <c r="AD26" i="7"/>
  <c r="Y27" i="7"/>
  <c r="S27" i="2"/>
  <c r="S46" i="2"/>
  <c r="S47" i="2" s="1"/>
  <c r="V27" i="2"/>
  <c r="V46" i="2"/>
  <c r="V47" i="2" s="1"/>
  <c r="W26" i="5"/>
  <c r="T27" i="5"/>
  <c r="CA27" i="5"/>
  <c r="AA27" i="2"/>
  <c r="CA28" i="5" s="1"/>
  <c r="AA46" i="2"/>
  <c r="AC26" i="7"/>
  <c r="X27" i="7"/>
  <c r="X47" i="7" l="1"/>
  <c r="X28" i="7"/>
  <c r="AC28" i="7" s="1"/>
  <c r="AC27" i="7"/>
  <c r="CA47" i="5"/>
  <c r="B54" i="39" s="1"/>
  <c r="AA47" i="2"/>
  <c r="CA48" i="5" s="1"/>
  <c r="C48" i="39"/>
  <c r="C50" i="39" s="1"/>
  <c r="C48" i="11"/>
  <c r="C50" i="11" s="1"/>
  <c r="T47" i="5"/>
  <c r="T28" i="5"/>
  <c r="W27" i="5"/>
  <c r="Y28" i="7"/>
  <c r="AD28" i="7" s="1"/>
  <c r="Y47" i="7"/>
  <c r="AD27" i="7"/>
  <c r="Z47" i="7"/>
  <c r="Z28" i="7"/>
  <c r="AE28" i="7" s="1"/>
  <c r="AE27" i="7"/>
  <c r="C48" i="43" l="1"/>
  <c r="C50" i="43" s="1"/>
  <c r="Z48" i="7"/>
  <c r="AE48" i="7" s="1"/>
  <c r="AE47" i="7"/>
  <c r="AD47" i="7"/>
  <c r="Y48" i="7"/>
  <c r="AD48" i="7" s="1"/>
  <c r="C48" i="40"/>
  <c r="C50" i="40" s="1"/>
  <c r="C48" i="15"/>
  <c r="C50" i="15" s="1"/>
  <c r="W28" i="5"/>
  <c r="T48" i="5"/>
  <c r="B54" i="11"/>
  <c r="W47" i="5"/>
  <c r="AC47" i="7"/>
  <c r="X48" i="7"/>
  <c r="AC48" i="7" s="1"/>
  <c r="B54" i="43" l="1"/>
  <c r="B54" i="40"/>
  <c r="B54" i="15"/>
  <c r="W48" i="5"/>
  <c r="F34" i="2" l="1"/>
  <c r="F45" i="2" s="1"/>
  <c r="F83" i="2" s="1"/>
  <c r="Q32" i="2"/>
  <c r="Z32" i="2"/>
  <c r="X32" i="2"/>
  <c r="W33" i="7" l="1"/>
  <c r="AD32" i="2"/>
  <c r="X31" i="2"/>
  <c r="Z31" i="2"/>
  <c r="Q31" i="2"/>
  <c r="E34" i="2"/>
  <c r="Q34" i="2" l="1"/>
  <c r="E45" i="2"/>
  <c r="Q45" i="2" s="1"/>
  <c r="W32" i="7"/>
  <c r="AD31" i="2"/>
  <c r="AD34" i="2" s="1"/>
  <c r="AD45" i="2" s="1"/>
  <c r="Z34" i="2"/>
  <c r="Z45" i="2" s="1"/>
  <c r="X34" i="2"/>
  <c r="X45" i="2" s="1"/>
  <c r="AA33" i="7"/>
  <c r="AF33" i="7" s="1"/>
  <c r="AB33" i="7"/>
  <c r="C49" i="42" l="1"/>
  <c r="AB32" i="7"/>
  <c r="AA32" i="7"/>
  <c r="W35" i="7"/>
  <c r="F26" i="2" l="1"/>
  <c r="AB35" i="7"/>
  <c r="W46" i="7"/>
  <c r="AB46" i="7" s="1"/>
  <c r="AF32" i="7"/>
  <c r="AA35" i="7"/>
  <c r="AF35" i="7" l="1"/>
  <c r="AA46" i="7"/>
  <c r="AF46" i="7" s="1"/>
  <c r="Z25" i="2"/>
  <c r="X25" i="2"/>
  <c r="Q25" i="2"/>
  <c r="E26" i="2"/>
  <c r="F27" i="2"/>
  <c r="F46" i="2"/>
  <c r="F47" i="2" s="1"/>
  <c r="E27" i="2" l="1"/>
  <c r="E46" i="2"/>
  <c r="Q26" i="2"/>
  <c r="X26" i="2"/>
  <c r="W26" i="7"/>
  <c r="Z26" i="2"/>
  <c r="AD25" i="2"/>
  <c r="AD26" i="2" s="1"/>
  <c r="C48" i="42" l="1"/>
  <c r="C50" i="42" s="1"/>
  <c r="B54" i="42"/>
  <c r="AD27" i="2"/>
  <c r="AD46" i="2"/>
  <c r="AD47" i="2" s="1"/>
  <c r="Z27" i="2"/>
  <c r="Z46" i="2"/>
  <c r="Z47" i="2" s="1"/>
  <c r="AB26" i="7"/>
  <c r="AA26" i="7"/>
  <c r="W27" i="7"/>
  <c r="X46" i="2"/>
  <c r="X47" i="2" s="1"/>
  <c r="X27" i="2"/>
  <c r="Q27" i="2"/>
  <c r="E47" i="2"/>
  <c r="Q46" i="2"/>
  <c r="Q47" i="2" s="1"/>
  <c r="AB27" i="7" l="1"/>
  <c r="W28" i="7"/>
  <c r="AB28" i="7" s="1"/>
  <c r="W47" i="7"/>
  <c r="AF26" i="7"/>
  <c r="AA27" i="7"/>
  <c r="AF27" i="7" l="1"/>
  <c r="AF72" i="7" s="1"/>
  <c r="AF74" i="7" s="1"/>
  <c r="AA47" i="7"/>
  <c r="AA28" i="7"/>
  <c r="AF28" i="7" s="1"/>
  <c r="W48" i="7"/>
  <c r="AB48" i="7" s="1"/>
  <c r="AB47" i="7"/>
  <c r="AA48" i="7" l="1"/>
  <c r="AF48" i="7" s="1"/>
  <c r="AF47" i="7"/>
  <c r="AF71" i="7" s="1"/>
  <c r="E83" i="2" l="1"/>
  <c r="Z71" i="2"/>
  <c r="W68" i="7" l="1"/>
  <c r="AB68" i="7" l="1"/>
  <c r="W73" i="7"/>
  <c r="AB73" i="7" l="1"/>
  <c r="AB71" i="2" l="1"/>
  <c r="Y68" i="7" l="1"/>
  <c r="AB83" i="2"/>
  <c r="AD68" i="7" l="1"/>
  <c r="Y73" i="7"/>
  <c r="AD73" i="7" l="1"/>
  <c r="AA71" i="2" l="1"/>
  <c r="S71" i="2"/>
  <c r="X71" i="2"/>
  <c r="T72" i="5" l="1"/>
  <c r="V71" i="2"/>
  <c r="CA72" i="5"/>
  <c r="X68" i="7"/>
  <c r="AC68" i="7" l="1"/>
  <c r="X73" i="7"/>
  <c r="W72" i="5"/>
  <c r="AC73" i="7" l="1"/>
  <c r="AC71" i="2" l="1"/>
  <c r="Q71" i="2"/>
  <c r="Z68" i="7" l="1"/>
  <c r="AC83" i="2"/>
  <c r="AD71" i="2"/>
  <c r="AE68" i="7" l="1"/>
  <c r="Z73" i="7"/>
  <c r="AA68" i="7"/>
  <c r="AF68" i="7" l="1"/>
  <c r="AF73" i="7" s="1"/>
  <c r="AA73" i="7"/>
  <c r="AE73" i="7"/>
  <c r="AA77" i="3" l="1"/>
  <c r="S77" i="3"/>
  <c r="AA77" i="2"/>
  <c r="S77" i="2"/>
  <c r="T78" i="5" l="1"/>
  <c r="V77" i="2"/>
  <c r="S83" i="2"/>
  <c r="CA78" i="5"/>
  <c r="AA83" i="2"/>
  <c r="F78" i="5"/>
  <c r="CI78" i="5" s="1"/>
  <c r="V77" i="3"/>
  <c r="BK78" i="5" l="1"/>
  <c r="BG78" i="5"/>
  <c r="BJ78" i="5" s="1"/>
  <c r="AP78" i="5"/>
  <c r="AG78" i="5"/>
  <c r="X78" i="5"/>
  <c r="O78" i="5"/>
  <c r="I78" i="5"/>
  <c r="CN78" i="5" s="1"/>
  <c r="CA83" i="5"/>
  <c r="V83" i="2"/>
  <c r="W78" i="5"/>
  <c r="T83" i="5"/>
  <c r="CC78" i="5" l="1"/>
  <c r="CL78" i="5"/>
  <c r="C7" i="11"/>
  <c r="W83" i="5"/>
  <c r="C7" i="40"/>
  <c r="C7" i="39"/>
  <c r="BN78" i="5"/>
  <c r="AS78" i="5"/>
  <c r="AJ78" i="5"/>
  <c r="AA78" i="5"/>
  <c r="R78" i="5"/>
  <c r="C7" i="33" l="1"/>
  <c r="C7" i="15"/>
  <c r="Q77" i="3" l="1"/>
  <c r="Z77" i="3"/>
  <c r="X77" i="3"/>
  <c r="Z77" i="2"/>
  <c r="AD77" i="2" s="1"/>
  <c r="Q77" i="2"/>
  <c r="X77" i="2"/>
  <c r="Z76" i="2"/>
  <c r="X76" i="2"/>
  <c r="Q76" i="2"/>
  <c r="Z76" i="3"/>
  <c r="X76" i="3"/>
  <c r="Q76" i="3"/>
  <c r="AD76" i="3" l="1"/>
  <c r="AF76" i="3"/>
  <c r="Q83" i="2"/>
  <c r="X83" i="2"/>
  <c r="AD76" i="2"/>
  <c r="Z83" i="2"/>
  <c r="AD77" i="3"/>
  <c r="AF77" i="3"/>
  <c r="AD83" i="2" l="1"/>
  <c r="C7" i="42" l="1"/>
  <c r="S62" i="3" l="1"/>
  <c r="F63" i="5" l="1"/>
  <c r="CI63" i="5" s="1"/>
  <c r="BK63" i="5" l="1"/>
  <c r="BG63" i="5"/>
  <c r="BJ63" i="5" s="1"/>
  <c r="BP63" i="5"/>
  <c r="O63" i="5"/>
  <c r="AG63" i="5"/>
  <c r="BB63" i="5"/>
  <c r="AP63" i="5"/>
  <c r="X63" i="5"/>
  <c r="BS63" i="5" l="1"/>
  <c r="BW63" i="5" s="1"/>
  <c r="BT63" i="5"/>
  <c r="Z67" i="3" l="1"/>
  <c r="AA67" i="3"/>
  <c r="AF67" i="3" s="1"/>
  <c r="O15" i="34" l="1"/>
  <c r="S65" i="3" l="1"/>
  <c r="F66" i="5" l="1"/>
  <c r="CI66" i="5" s="1"/>
  <c r="V65" i="3"/>
  <c r="O13" i="34" l="1"/>
  <c r="O19" i="34" s="1"/>
  <c r="BK66" i="5"/>
  <c r="BG66" i="5"/>
  <c r="BJ66" i="5" s="1"/>
  <c r="BP66" i="5"/>
  <c r="BB66" i="5"/>
  <c r="P13" i="50" s="1"/>
  <c r="AP66" i="5"/>
  <c r="X66" i="5"/>
  <c r="O66" i="5"/>
  <c r="P13" i="9" s="1"/>
  <c r="AG66" i="5"/>
  <c r="I66" i="5"/>
  <c r="CN66" i="5" s="1"/>
  <c r="P13" i="44" l="1"/>
  <c r="CL66" i="5"/>
  <c r="O20" i="34"/>
  <c r="BE66" i="5"/>
  <c r="AJ66" i="5"/>
  <c r="AS66" i="5"/>
  <c r="R66" i="5"/>
  <c r="CC66" i="5"/>
  <c r="AA66" i="5"/>
  <c r="BN66" i="5"/>
  <c r="P13" i="19"/>
  <c r="P13" i="11"/>
  <c r="BT66" i="5"/>
  <c r="BS66" i="5"/>
  <c r="BW66" i="5" s="1"/>
  <c r="P13" i="49" l="1"/>
  <c r="P13" i="43"/>
  <c r="P13" i="36"/>
  <c r="P13" i="20"/>
  <c r="P13" i="40"/>
  <c r="P13" i="33"/>
  <c r="P13" i="15"/>
  <c r="P13" i="14"/>
  <c r="Z29" i="3" l="1"/>
  <c r="Z30" i="3"/>
  <c r="AF30" i="3" l="1"/>
  <c r="AF29" i="3"/>
  <c r="Z28" i="3" l="1"/>
  <c r="AF28" i="3" l="1"/>
  <c r="AA58" i="3" l="1"/>
  <c r="Q58" i="3"/>
  <c r="X58" i="3"/>
  <c r="S58" i="3"/>
  <c r="T58" i="3"/>
  <c r="G59" i="5" s="1"/>
  <c r="AB58" i="3"/>
  <c r="AC58" i="3"/>
  <c r="CJ59" i="5" l="1"/>
  <c r="BL59" i="5"/>
  <c r="BQ59" i="5"/>
  <c r="BU59" i="5" s="1"/>
  <c r="BC59" i="5"/>
  <c r="AH59" i="5"/>
  <c r="AQ59" i="5"/>
  <c r="P59" i="5"/>
  <c r="Y59" i="5"/>
  <c r="F59" i="5"/>
  <c r="V58" i="3"/>
  <c r="V61" i="51"/>
  <c r="V19" i="51" s="1"/>
  <c r="V61" i="12"/>
  <c r="V19" i="12" s="1"/>
  <c r="AF58" i="3"/>
  <c r="AD58" i="3"/>
  <c r="CI59" i="5" l="1"/>
  <c r="V61" i="42"/>
  <c r="V52" i="27"/>
  <c r="V14" i="27" s="1"/>
  <c r="V61" i="34"/>
  <c r="BK59" i="5"/>
  <c r="BG59" i="5"/>
  <c r="BJ59" i="5" s="1"/>
  <c r="BP59" i="5"/>
  <c r="BB59" i="5"/>
  <c r="V61" i="50" s="1"/>
  <c r="V19" i="50" s="1"/>
  <c r="AP59" i="5"/>
  <c r="X59" i="5"/>
  <c r="O59" i="5"/>
  <c r="AG59" i="5"/>
  <c r="I59" i="5"/>
  <c r="CN59" i="5" s="1"/>
  <c r="V61" i="11"/>
  <c r="V61" i="9"/>
  <c r="V19" i="9" s="1"/>
  <c r="V52" i="31"/>
  <c r="V14" i="31" s="1"/>
  <c r="V19" i="22"/>
  <c r="CL59" i="5" l="1"/>
  <c r="V19" i="34"/>
  <c r="AJ59" i="5"/>
  <c r="V61" i="19"/>
  <c r="V19" i="19" s="1"/>
  <c r="V19" i="11"/>
  <c r="V19" i="42"/>
  <c r="CC59" i="5"/>
  <c r="V61" i="39" s="1"/>
  <c r="V19" i="39" s="1"/>
  <c r="BE59" i="5"/>
  <c r="BN59" i="5"/>
  <c r="V61" i="20" s="1"/>
  <c r="V19" i="20" s="1"/>
  <c r="R59" i="5"/>
  <c r="AA59" i="5"/>
  <c r="AS59" i="5"/>
  <c r="BT59" i="5"/>
  <c r="BS59" i="5"/>
  <c r="BW59" i="5" s="1"/>
  <c r="V61" i="36" s="1"/>
  <c r="V19" i="36" s="1"/>
  <c r="T71" i="3" l="1"/>
  <c r="G72" i="5" s="1"/>
  <c r="CJ72" i="5" l="1"/>
  <c r="T32" i="3"/>
  <c r="G33" i="5" s="1"/>
  <c r="CJ33" i="5" l="1"/>
  <c r="BQ72" i="5"/>
  <c r="BL72" i="5"/>
  <c r="Y72" i="5"/>
  <c r="P72" i="5"/>
  <c r="AH72" i="5"/>
  <c r="BC72" i="5"/>
  <c r="AQ72" i="5"/>
  <c r="BQ33" i="5" l="1"/>
  <c r="BL33" i="5"/>
  <c r="P33" i="5"/>
  <c r="Y33" i="5"/>
  <c r="AH33" i="5"/>
  <c r="BC33" i="5"/>
  <c r="AQ33" i="5"/>
  <c r="BU72" i="5"/>
  <c r="AB19" i="38" s="1"/>
  <c r="BU33" i="5" l="1"/>
  <c r="T35" i="3" l="1"/>
  <c r="G36" i="5" s="1"/>
  <c r="T41" i="3"/>
  <c r="G42" i="5" s="1"/>
  <c r="CJ36" i="5" l="1"/>
  <c r="CJ42" i="5"/>
  <c r="BC36" i="5"/>
  <c r="BQ36" i="5" l="1"/>
  <c r="BL36" i="5"/>
  <c r="AH36" i="5"/>
  <c r="Y36" i="5"/>
  <c r="P36" i="5"/>
  <c r="AQ36" i="5"/>
  <c r="BQ42" i="5"/>
  <c r="BL42" i="5"/>
  <c r="P42" i="5"/>
  <c r="Y42" i="5"/>
  <c r="AH42" i="5"/>
  <c r="BC42" i="5"/>
  <c r="AQ42" i="5"/>
  <c r="BU42" i="5" l="1"/>
  <c r="BU36" i="5"/>
  <c r="O9" i="38" l="1"/>
  <c r="O9" i="39"/>
  <c r="O9" i="9"/>
  <c r="O9" i="11" l="1"/>
  <c r="E9" i="39" l="1"/>
  <c r="E9" i="38"/>
  <c r="P4" i="27" l="1"/>
  <c r="P9" i="42" l="1"/>
  <c r="P9" i="12"/>
  <c r="O9" i="36"/>
  <c r="D19" i="36" l="1"/>
  <c r="F34" i="19" l="1"/>
  <c r="F36" i="19"/>
  <c r="F33" i="19"/>
  <c r="E34" i="31" l="1"/>
  <c r="E37" i="31"/>
  <c r="E35" i="31"/>
  <c r="U34" i="39" l="1"/>
  <c r="U71" i="3" l="1"/>
  <c r="H72" i="5" s="1"/>
  <c r="U31" i="3"/>
  <c r="H32" i="5" s="1"/>
  <c r="CK32" i="5" l="1"/>
  <c r="CK72" i="5"/>
  <c r="U32" i="3"/>
  <c r="H33" i="5" s="1"/>
  <c r="CK33" i="5" l="1"/>
  <c r="BY72" i="5"/>
  <c r="Z72" i="5"/>
  <c r="AR72" i="5"/>
  <c r="Q72" i="5"/>
  <c r="AI72" i="5"/>
  <c r="BD72" i="5"/>
  <c r="BY32" i="5"/>
  <c r="AC61" i="38" s="1"/>
  <c r="AC19" i="38" s="1"/>
  <c r="Q32" i="5"/>
  <c r="AR32" i="5"/>
  <c r="Z32" i="5"/>
  <c r="BD32" i="5"/>
  <c r="AI32" i="5"/>
  <c r="BY33" i="5" l="1"/>
  <c r="AR33" i="5"/>
  <c r="Q33" i="5"/>
  <c r="Z33" i="5"/>
  <c r="AI33" i="5"/>
  <c r="BD33" i="5"/>
  <c r="U62" i="3" l="1"/>
  <c r="H63" i="5" s="1"/>
  <c r="X62" i="3"/>
  <c r="AA62" i="3"/>
  <c r="Q62" i="3"/>
  <c r="CK63" i="5" l="1"/>
  <c r="AV63" i="5"/>
  <c r="AF62" i="3"/>
  <c r="AD62" i="3"/>
  <c r="V62" i="3"/>
  <c r="BY63" i="5" l="1"/>
  <c r="Q63" i="5"/>
  <c r="Z63" i="5"/>
  <c r="BD63" i="5"/>
  <c r="AR63" i="5"/>
  <c r="I63" i="5"/>
  <c r="CN63" i="5" s="1"/>
  <c r="AI63" i="5"/>
  <c r="CL63" i="5" l="1"/>
  <c r="BN63" i="5"/>
  <c r="D19" i="20" s="1"/>
  <c r="AJ63" i="5"/>
  <c r="R63" i="5"/>
  <c r="BE63" i="5"/>
  <c r="AS63" i="5"/>
  <c r="CC63" i="5"/>
  <c r="D19" i="39" s="1"/>
  <c r="D20" i="39" s="1"/>
  <c r="AA63" i="5"/>
  <c r="D19" i="40" l="1"/>
  <c r="D20" i="40" s="1"/>
  <c r="D19" i="15"/>
  <c r="D20" i="15" s="1"/>
  <c r="D19" i="33"/>
  <c r="D20" i="33" s="1"/>
  <c r="D19" i="14"/>
  <c r="D19" i="43"/>
  <c r="U41" i="3" l="1"/>
  <c r="H42" i="5" s="1"/>
  <c r="U33" i="3"/>
  <c r="H34" i="5" s="1"/>
  <c r="U59" i="3"/>
  <c r="H60" i="5" s="1"/>
  <c r="U35" i="3"/>
  <c r="H36" i="5" s="1"/>
  <c r="CK36" i="5" l="1"/>
  <c r="AV36" i="5"/>
  <c r="CK42" i="5"/>
  <c r="H61" i="5"/>
  <c r="CK60" i="5"/>
  <c r="H35" i="5"/>
  <c r="CK34" i="5"/>
  <c r="U34" i="3"/>
  <c r="CK35" i="5" l="1"/>
  <c r="CK61" i="5"/>
  <c r="U64" i="3"/>
  <c r="H65" i="5" s="1"/>
  <c r="BY42" i="5"/>
  <c r="AG61" i="38" s="1"/>
  <c r="AG19" i="38" s="1"/>
  <c r="Q42" i="5"/>
  <c r="AR42" i="5"/>
  <c r="Z42" i="5"/>
  <c r="AI42" i="5"/>
  <c r="BD42" i="5"/>
  <c r="BY34" i="5"/>
  <c r="AD61" i="38" s="1"/>
  <c r="AR34" i="5"/>
  <c r="BD34" i="5"/>
  <c r="Z34" i="5"/>
  <c r="Q34" i="5"/>
  <c r="AI34" i="5"/>
  <c r="BY60" i="5"/>
  <c r="X61" i="38" s="1"/>
  <c r="Q60" i="5"/>
  <c r="AR60" i="5"/>
  <c r="BD60" i="5"/>
  <c r="Z60" i="5"/>
  <c r="AI60" i="5"/>
  <c r="BY36" i="5"/>
  <c r="U61" i="38" s="1"/>
  <c r="C64" i="38" s="1"/>
  <c r="AR36" i="5"/>
  <c r="Q36" i="5"/>
  <c r="Z36" i="5"/>
  <c r="AI36" i="5"/>
  <c r="BD36" i="5"/>
  <c r="CK65" i="5" l="1"/>
  <c r="U19" i="38"/>
  <c r="G49" i="38"/>
  <c r="BY61" i="5"/>
  <c r="BD61" i="5"/>
  <c r="AI61" i="5"/>
  <c r="Z61" i="5"/>
  <c r="AR61" i="5"/>
  <c r="Q61" i="5"/>
  <c r="X19" i="38"/>
  <c r="X57" i="38"/>
  <c r="BY35" i="5"/>
  <c r="AI35" i="5"/>
  <c r="AR35" i="5"/>
  <c r="Z35" i="5"/>
  <c r="Q35" i="5"/>
  <c r="BD35" i="5"/>
  <c r="AA65" i="38"/>
  <c r="AA70" i="38" s="1"/>
  <c r="AD56" i="38"/>
  <c r="AD19" i="38"/>
  <c r="AB21" i="38" s="1"/>
  <c r="AB26" i="38" s="1"/>
  <c r="AB27" i="38" l="1"/>
  <c r="BY65" i="5"/>
  <c r="AI65" i="5"/>
  <c r="AR65" i="5"/>
  <c r="Z65" i="5"/>
  <c r="BD65" i="5"/>
  <c r="Q65" i="5"/>
  <c r="G7" i="38"/>
  <c r="U18" i="3" l="1"/>
  <c r="H19" i="5" s="1"/>
  <c r="H23" i="5" l="1"/>
  <c r="CK19" i="5"/>
  <c r="U22" i="3"/>
  <c r="CK23" i="5" l="1"/>
  <c r="BY19" i="5"/>
  <c r="AR19" i="5"/>
  <c r="BD19" i="5"/>
  <c r="Z19" i="5"/>
  <c r="Q19" i="5"/>
  <c r="AI19" i="5"/>
  <c r="BY23" i="5" l="1"/>
  <c r="Z23" i="5"/>
  <c r="AR23" i="5"/>
  <c r="Q23" i="5"/>
  <c r="BD23" i="5"/>
  <c r="AI23" i="5"/>
  <c r="U25" i="3" l="1"/>
  <c r="H26" i="5" s="1"/>
  <c r="U63" i="3"/>
  <c r="H64" i="5" s="1"/>
  <c r="CK64" i="5" l="1"/>
  <c r="H27" i="5"/>
  <c r="CK26" i="5"/>
  <c r="H82" i="5"/>
  <c r="D6" i="38" s="1"/>
  <c r="U26" i="3"/>
  <c r="E6" i="38" l="1"/>
  <c r="H28" i="5"/>
  <c r="D48" i="38"/>
  <c r="E48" i="38" s="1"/>
  <c r="CK28" i="5"/>
  <c r="CK27" i="5"/>
  <c r="U27" i="3"/>
  <c r="U80" i="3"/>
  <c r="BY26" i="5"/>
  <c r="AR26" i="5"/>
  <c r="BD26" i="5"/>
  <c r="Z26" i="5"/>
  <c r="Q26" i="5"/>
  <c r="AI26" i="5"/>
  <c r="BY64" i="5"/>
  <c r="AR64" i="5"/>
  <c r="Z64" i="5"/>
  <c r="Q64" i="5"/>
  <c r="BD64" i="5"/>
  <c r="AI64" i="5"/>
  <c r="CK82" i="5" l="1"/>
  <c r="BY27" i="5"/>
  <c r="AR27" i="5"/>
  <c r="Z27" i="5"/>
  <c r="Q27" i="5"/>
  <c r="BD27" i="5"/>
  <c r="AI27" i="5"/>
  <c r="BY82" i="5" l="1"/>
  <c r="F54" i="38"/>
  <c r="S61" i="38" s="1"/>
  <c r="AI82" i="5"/>
  <c r="BY28" i="5"/>
  <c r="Q28" i="5"/>
  <c r="Z28" i="5"/>
  <c r="BD28" i="5"/>
  <c r="AR28" i="5"/>
  <c r="AI28" i="5"/>
  <c r="BD82" i="5"/>
  <c r="Q82" i="5"/>
  <c r="AR82" i="5"/>
  <c r="G48" i="38" l="1"/>
  <c r="S65" i="38"/>
  <c r="G50" i="38" l="1"/>
  <c r="H48" i="38"/>
  <c r="K19" i="34"/>
  <c r="K20" i="34" s="1"/>
  <c r="G38" i="3" l="1"/>
  <c r="F38" i="3" l="1"/>
  <c r="E38" i="3"/>
  <c r="Z35" i="3"/>
  <c r="Z38" i="3" s="1"/>
  <c r="H60" i="3" l="1"/>
  <c r="H37" i="3"/>
  <c r="H37" i="52" s="1"/>
  <c r="H38" i="52" l="1"/>
  <c r="H38" i="3"/>
  <c r="I60" i="3" l="1"/>
  <c r="I37" i="3"/>
  <c r="I37" i="52" s="1"/>
  <c r="I38" i="52" l="1"/>
  <c r="I38" i="3"/>
  <c r="U61" i="34" l="1"/>
  <c r="AA35" i="3"/>
  <c r="J60" i="3" l="1"/>
  <c r="J37" i="3"/>
  <c r="J37" i="52" s="1"/>
  <c r="AA59" i="3"/>
  <c r="AF35" i="3"/>
  <c r="U19" i="34"/>
  <c r="J38" i="52" l="1"/>
  <c r="AA37" i="52"/>
  <c r="AF59" i="3"/>
  <c r="AA37" i="3"/>
  <c r="J38" i="3"/>
  <c r="AA60" i="3"/>
  <c r="AA38" i="52" l="1"/>
  <c r="AF60" i="3"/>
  <c r="AF37" i="3"/>
  <c r="AA38" i="3"/>
  <c r="AF38" i="3" l="1"/>
  <c r="E7" i="2" l="1"/>
  <c r="F7" i="2"/>
  <c r="G7" i="2"/>
  <c r="H7" i="2"/>
  <c r="I7" i="2"/>
  <c r="J7" i="2"/>
  <c r="K7" i="2"/>
  <c r="L7" i="2"/>
  <c r="M7" i="2"/>
  <c r="U7" i="2" s="1"/>
  <c r="V8" i="5" s="1"/>
  <c r="Z8" i="5" s="1"/>
  <c r="N7" i="2"/>
  <c r="O7" i="2"/>
  <c r="P7" i="2"/>
  <c r="E8" i="2"/>
  <c r="F8" i="2"/>
  <c r="G8" i="2"/>
  <c r="H8" i="2"/>
  <c r="I8" i="2"/>
  <c r="J8" i="2"/>
  <c r="K8" i="2"/>
  <c r="L8" i="2"/>
  <c r="M8" i="2"/>
  <c r="U8" i="2" s="1"/>
  <c r="V9" i="5" s="1"/>
  <c r="Z9" i="5" s="1"/>
  <c r="N8" i="2"/>
  <c r="O8" i="2"/>
  <c r="P8" i="2"/>
  <c r="E9" i="2"/>
  <c r="F9" i="2"/>
  <c r="G9" i="2"/>
  <c r="H9" i="2"/>
  <c r="I9" i="2"/>
  <c r="J9" i="2"/>
  <c r="K9" i="2"/>
  <c r="L9" i="2"/>
  <c r="M9" i="2"/>
  <c r="U9" i="2" s="1"/>
  <c r="V10" i="5" s="1"/>
  <c r="Z10" i="5" s="1"/>
  <c r="N9" i="2"/>
  <c r="O9" i="2"/>
  <c r="P9" i="2"/>
  <c r="E6" i="2"/>
  <c r="F6" i="2"/>
  <c r="G6" i="2"/>
  <c r="H6" i="2"/>
  <c r="I6" i="2"/>
  <c r="J6" i="2"/>
  <c r="K6" i="2"/>
  <c r="L6" i="2"/>
  <c r="M6" i="2"/>
  <c r="U6" i="2" s="1"/>
  <c r="V7" i="5" s="1"/>
  <c r="Z7" i="5" s="1"/>
  <c r="N6" i="2"/>
  <c r="O6" i="2"/>
  <c r="P6" i="2"/>
  <c r="E10" i="2"/>
  <c r="F10" i="2"/>
  <c r="G10" i="2"/>
  <c r="H10" i="2"/>
  <c r="I10" i="2"/>
  <c r="J10" i="2"/>
  <c r="K10" i="2"/>
  <c r="L10" i="2"/>
  <c r="M10" i="2"/>
  <c r="U10" i="2" s="1"/>
  <c r="V11" i="5" s="1"/>
  <c r="N10" i="2"/>
  <c r="O10" i="2"/>
  <c r="P10" i="2"/>
  <c r="E11" i="2"/>
  <c r="F11" i="2"/>
  <c r="G11" i="2"/>
  <c r="H11" i="2"/>
  <c r="I11" i="2"/>
  <c r="J11" i="2"/>
  <c r="K11" i="2"/>
  <c r="L11" i="2"/>
  <c r="M11" i="2"/>
  <c r="U11" i="2" s="1"/>
  <c r="V12" i="5" s="1"/>
  <c r="Z12" i="5" s="1"/>
  <c r="N11" i="2"/>
  <c r="O11" i="2"/>
  <c r="P11" i="2"/>
  <c r="E12" i="2"/>
  <c r="F12" i="2"/>
  <c r="G12" i="2"/>
  <c r="H12" i="2"/>
  <c r="I12" i="2"/>
  <c r="J12" i="2"/>
  <c r="K12" i="2"/>
  <c r="L12" i="2"/>
  <c r="M12" i="2"/>
  <c r="U12" i="2" s="1"/>
  <c r="V13" i="5" s="1"/>
  <c r="Z13" i="5" s="1"/>
  <c r="N12" i="2"/>
  <c r="O12" i="2"/>
  <c r="P12" i="2"/>
  <c r="E13" i="2"/>
  <c r="F13" i="2"/>
  <c r="G13" i="2"/>
  <c r="H13" i="2"/>
  <c r="I13" i="2"/>
  <c r="J13" i="2"/>
  <c r="K13" i="2"/>
  <c r="L13" i="2"/>
  <c r="M13" i="2"/>
  <c r="U13" i="2" s="1"/>
  <c r="V14" i="5" s="1"/>
  <c r="Z14" i="5" s="1"/>
  <c r="N13" i="2"/>
  <c r="O13" i="2"/>
  <c r="P13" i="2"/>
  <c r="E56" i="2"/>
  <c r="F56" i="2"/>
  <c r="G56" i="2"/>
  <c r="H56" i="2"/>
  <c r="I56" i="2"/>
  <c r="J56" i="2"/>
  <c r="K56" i="2"/>
  <c r="L56" i="2"/>
  <c r="M56" i="2"/>
  <c r="U56" i="2" s="1"/>
  <c r="V57" i="5" s="1"/>
  <c r="Z57" i="5" s="1"/>
  <c r="N56" i="2"/>
  <c r="O56" i="2"/>
  <c r="P56" i="2"/>
  <c r="E68" i="2"/>
  <c r="F68" i="2"/>
  <c r="G68" i="2"/>
  <c r="H68" i="2"/>
  <c r="I68" i="2"/>
  <c r="J68" i="2"/>
  <c r="K68" i="2"/>
  <c r="L68" i="2"/>
  <c r="M68" i="2"/>
  <c r="U68" i="2" s="1"/>
  <c r="N68" i="2"/>
  <c r="O68" i="2"/>
  <c r="P68" i="2"/>
  <c r="E72" i="2"/>
  <c r="F72" i="2"/>
  <c r="G72" i="2"/>
  <c r="H72" i="2"/>
  <c r="I72" i="2"/>
  <c r="J72" i="2"/>
  <c r="K72" i="2"/>
  <c r="L72" i="2"/>
  <c r="M72" i="2"/>
  <c r="U72" i="2" s="1"/>
  <c r="V73" i="5" s="1"/>
  <c r="Z73" i="5" s="1"/>
  <c r="N72" i="2"/>
  <c r="O72" i="2"/>
  <c r="P72" i="2"/>
  <c r="T72" i="2" l="1"/>
  <c r="U73" i="5" s="1"/>
  <c r="Y73" i="5" s="1"/>
  <c r="T56" i="2"/>
  <c r="U57" i="5" s="1"/>
  <c r="Y57" i="5" s="1"/>
  <c r="T13" i="2"/>
  <c r="U14" i="5" s="1"/>
  <c r="Y14" i="5" s="1"/>
  <c r="T12" i="2"/>
  <c r="U13" i="5" s="1"/>
  <c r="Y13" i="5" s="1"/>
  <c r="T11" i="2"/>
  <c r="U12" i="5" s="1"/>
  <c r="Y12" i="5" s="1"/>
  <c r="T10" i="2"/>
  <c r="U11" i="5" s="1"/>
  <c r="Y11" i="5" s="1"/>
  <c r="T6" i="2"/>
  <c r="U7" i="5" s="1"/>
  <c r="Y7" i="5" s="1"/>
  <c r="T9" i="2"/>
  <c r="U10" i="5" s="1"/>
  <c r="Y10" i="5" s="1"/>
  <c r="T8" i="2"/>
  <c r="U9" i="5" s="1"/>
  <c r="Y9" i="5" s="1"/>
  <c r="T7" i="2"/>
  <c r="U8" i="5" s="1"/>
  <c r="Y8" i="5" s="1"/>
  <c r="T68" i="2"/>
  <c r="U69" i="5" s="1"/>
  <c r="V69" i="5"/>
  <c r="U82" i="2"/>
  <c r="U84" i="2" s="1"/>
  <c r="U81" i="2"/>
  <c r="AC72" i="2"/>
  <c r="Z69" i="7" s="1"/>
  <c r="AE69" i="7" s="1"/>
  <c r="AB72" i="2"/>
  <c r="Y69" i="7" s="1"/>
  <c r="AD69" i="7" s="1"/>
  <c r="S72" i="2"/>
  <c r="AA72" i="2"/>
  <c r="Z72" i="2"/>
  <c r="X72" i="2"/>
  <c r="Q72" i="2"/>
  <c r="P82" i="2"/>
  <c r="P84" i="2" s="1"/>
  <c r="P81" i="2"/>
  <c r="O82" i="2"/>
  <c r="O84" i="2" s="1"/>
  <c r="O81" i="2"/>
  <c r="AC68" i="2"/>
  <c r="N82" i="2"/>
  <c r="N84" i="2" s="1"/>
  <c r="N81" i="2"/>
  <c r="M82" i="2"/>
  <c r="M84" i="2" s="1"/>
  <c r="M81" i="2"/>
  <c r="L82" i="2"/>
  <c r="L84" i="2" s="1"/>
  <c r="L81" i="2"/>
  <c r="AB68" i="2"/>
  <c r="K82" i="2"/>
  <c r="K84" i="2" s="1"/>
  <c r="K81" i="2"/>
  <c r="S68" i="2"/>
  <c r="J82" i="2"/>
  <c r="J84" i="2" s="1"/>
  <c r="J81" i="2"/>
  <c r="I82" i="2"/>
  <c r="I84" i="2" s="1"/>
  <c r="I81" i="2"/>
  <c r="H82" i="2"/>
  <c r="H84" i="2" s="1"/>
  <c r="H81" i="2"/>
  <c r="AA68" i="2"/>
  <c r="G82" i="2"/>
  <c r="G84" i="2" s="1"/>
  <c r="G81" i="2"/>
  <c r="F82" i="2"/>
  <c r="F84" i="2" s="1"/>
  <c r="F81" i="2"/>
  <c r="E82" i="2"/>
  <c r="E84" i="2" s="1"/>
  <c r="E81" i="2"/>
  <c r="Z68" i="2"/>
  <c r="X68" i="2"/>
  <c r="Q68" i="2"/>
  <c r="AC56" i="2"/>
  <c r="Z57" i="7" s="1"/>
  <c r="AE57" i="7" s="1"/>
  <c r="AB56" i="2"/>
  <c r="Y57" i="7" s="1"/>
  <c r="AD57" i="7" s="1"/>
  <c r="S56" i="2"/>
  <c r="AA56" i="2"/>
  <c r="Z56" i="2"/>
  <c r="X56" i="2"/>
  <c r="Q56" i="2"/>
  <c r="AC13" i="2"/>
  <c r="Z14" i="7" s="1"/>
  <c r="AE14" i="7" s="1"/>
  <c r="AB13" i="2"/>
  <c r="Y14" i="7" s="1"/>
  <c r="AD14" i="7" s="1"/>
  <c r="S13" i="2"/>
  <c r="AA13" i="2"/>
  <c r="Z13" i="2"/>
  <c r="X13" i="2"/>
  <c r="Q13" i="2"/>
  <c r="AC12" i="2"/>
  <c r="Z13" i="7" s="1"/>
  <c r="AE13" i="7" s="1"/>
  <c r="AB12" i="2"/>
  <c r="Y13" i="7" s="1"/>
  <c r="AD13" i="7" s="1"/>
  <c r="S12" i="2"/>
  <c r="AA12" i="2"/>
  <c r="Z12" i="2"/>
  <c r="X12" i="2"/>
  <c r="Q12" i="2"/>
  <c r="AC11" i="2"/>
  <c r="Z12" i="7" s="1"/>
  <c r="AE12" i="7" s="1"/>
  <c r="AB11" i="2"/>
  <c r="Y12" i="7" s="1"/>
  <c r="AD12" i="7" s="1"/>
  <c r="S11" i="2"/>
  <c r="AA11" i="2"/>
  <c r="Z11" i="2"/>
  <c r="X11" i="2"/>
  <c r="Q11" i="2"/>
  <c r="AC10" i="2"/>
  <c r="Z11" i="7" s="1"/>
  <c r="AE11" i="7" s="1"/>
  <c r="AB10" i="2"/>
  <c r="Y11" i="7" s="1"/>
  <c r="AD11" i="7" s="1"/>
  <c r="S10" i="2"/>
  <c r="AA10" i="2"/>
  <c r="Z10" i="2"/>
  <c r="X10" i="2"/>
  <c r="Q10" i="2"/>
  <c r="AC6" i="2"/>
  <c r="Z7" i="7" s="1"/>
  <c r="AE7" i="7" s="1"/>
  <c r="AB6" i="2"/>
  <c r="Y7" i="7" s="1"/>
  <c r="AD7" i="7" s="1"/>
  <c r="S6" i="2"/>
  <c r="AA6" i="2"/>
  <c r="Z6" i="2"/>
  <c r="X6" i="2"/>
  <c r="Q6" i="2"/>
  <c r="AC9" i="2"/>
  <c r="Z10" i="7" s="1"/>
  <c r="AE10" i="7" s="1"/>
  <c r="AB9" i="2"/>
  <c r="Y10" i="7" s="1"/>
  <c r="AD10" i="7" s="1"/>
  <c r="S9" i="2"/>
  <c r="AA9" i="2"/>
  <c r="Z9" i="2"/>
  <c r="X9" i="2"/>
  <c r="Q9" i="2"/>
  <c r="AC8" i="2"/>
  <c r="Z9" i="7" s="1"/>
  <c r="AE9" i="7" s="1"/>
  <c r="AB8" i="2"/>
  <c r="Y9" i="7" s="1"/>
  <c r="AD9" i="7" s="1"/>
  <c r="S8" i="2"/>
  <c r="AA8" i="2"/>
  <c r="Z8" i="2"/>
  <c r="X8" i="2"/>
  <c r="Q8" i="2"/>
  <c r="AC7" i="2"/>
  <c r="Z8" i="7" s="1"/>
  <c r="AE8" i="7" s="1"/>
  <c r="AB7" i="2"/>
  <c r="Y8" i="7" s="1"/>
  <c r="AD8" i="7" s="1"/>
  <c r="S7" i="2"/>
  <c r="AA7" i="2"/>
  <c r="Z7" i="2"/>
  <c r="X7" i="2"/>
  <c r="Q7" i="2"/>
  <c r="T81" i="2" l="1"/>
  <c r="T82" i="2"/>
  <c r="T84" i="2" s="1"/>
  <c r="Z69" i="5"/>
  <c r="Z82" i="5" s="1"/>
  <c r="V82" i="5"/>
  <c r="V84" i="5" s="1"/>
  <c r="V81" i="5"/>
  <c r="Y69" i="5"/>
  <c r="U82" i="5"/>
  <c r="U84" i="5" s="1"/>
  <c r="U81" i="5"/>
  <c r="AD7" i="2"/>
  <c r="W8" i="7"/>
  <c r="X8" i="7"/>
  <c r="AC8" i="7" s="1"/>
  <c r="CA8" i="5"/>
  <c r="T8" i="5"/>
  <c r="V7" i="2"/>
  <c r="AD8" i="2"/>
  <c r="W9" i="7"/>
  <c r="X9" i="7"/>
  <c r="AC9" i="7" s="1"/>
  <c r="CA9" i="5"/>
  <c r="T9" i="5"/>
  <c r="V8" i="2"/>
  <c r="W10" i="7"/>
  <c r="AD9" i="2"/>
  <c r="X10" i="7"/>
  <c r="AC10" i="7" s="1"/>
  <c r="CA10" i="5"/>
  <c r="T10" i="5"/>
  <c r="V9" i="2"/>
  <c r="W7" i="7"/>
  <c r="AD6" i="2"/>
  <c r="X7" i="7"/>
  <c r="AC7" i="7" s="1"/>
  <c r="CA7" i="5"/>
  <c r="T7" i="5"/>
  <c r="V6" i="2"/>
  <c r="AD10" i="2"/>
  <c r="W11" i="7"/>
  <c r="X11" i="7"/>
  <c r="AC11" i="7" s="1"/>
  <c r="CA11" i="5"/>
  <c r="T11" i="5"/>
  <c r="V10" i="2"/>
  <c r="W12" i="7"/>
  <c r="AD11" i="2"/>
  <c r="X12" i="7"/>
  <c r="AC12" i="7" s="1"/>
  <c r="CA12" i="5"/>
  <c r="T12" i="5"/>
  <c r="V11" i="2"/>
  <c r="W13" i="7"/>
  <c r="AD12" i="2"/>
  <c r="X13" i="7"/>
  <c r="AC13" i="7" s="1"/>
  <c r="CA13" i="5"/>
  <c r="T13" i="5"/>
  <c r="V12" i="2"/>
  <c r="W14" i="7"/>
  <c r="AD13" i="2"/>
  <c r="X14" i="7"/>
  <c r="AC14" i="7" s="1"/>
  <c r="CA14" i="5"/>
  <c r="T14" i="5"/>
  <c r="V13" i="2"/>
  <c r="W57" i="7"/>
  <c r="AD56" i="2"/>
  <c r="CA57" i="5"/>
  <c r="X57" i="7"/>
  <c r="AC57" i="7" s="1"/>
  <c r="T57" i="5"/>
  <c r="V56" i="2"/>
  <c r="Q82" i="2"/>
  <c r="Q84" i="2" s="1"/>
  <c r="Q81" i="2"/>
  <c r="X82" i="2"/>
  <c r="X84" i="2" s="1"/>
  <c r="X81" i="2"/>
  <c r="Z82" i="2"/>
  <c r="Z84" i="2" s="1"/>
  <c r="Z81" i="2"/>
  <c r="W65" i="7"/>
  <c r="AD68" i="2"/>
  <c r="AA82" i="2"/>
  <c r="AA84" i="2" s="1"/>
  <c r="AA81" i="2"/>
  <c r="CA69" i="5"/>
  <c r="X65" i="7"/>
  <c r="S82" i="2"/>
  <c r="S84" i="2" s="1"/>
  <c r="S81" i="2"/>
  <c r="T69" i="5"/>
  <c r="V68" i="2"/>
  <c r="Y65" i="7"/>
  <c r="AB82" i="2"/>
  <c r="AB84" i="2" s="1"/>
  <c r="AB81" i="2"/>
  <c r="Z65" i="7"/>
  <c r="AC82" i="2"/>
  <c r="AC84" i="2" s="1"/>
  <c r="AC81" i="2"/>
  <c r="W69" i="7"/>
  <c r="AD72" i="2"/>
  <c r="X69" i="7"/>
  <c r="AC69" i="7" s="1"/>
  <c r="CA73" i="5"/>
  <c r="T73" i="5"/>
  <c r="V72" i="2"/>
  <c r="W73" i="5" l="1"/>
  <c r="AB69" i="7"/>
  <c r="AA69" i="7"/>
  <c r="AF69" i="7" s="1"/>
  <c r="AE65" i="7"/>
  <c r="Z72" i="7"/>
  <c r="Z74" i="7" s="1"/>
  <c r="Z71" i="7"/>
  <c r="AD65" i="7"/>
  <c r="Y72" i="7"/>
  <c r="Y74" i="7" s="1"/>
  <c r="Y71" i="7"/>
  <c r="V82" i="2"/>
  <c r="V84" i="2" s="1"/>
  <c r="V81" i="2"/>
  <c r="T82" i="5"/>
  <c r="T81" i="5"/>
  <c r="W69" i="5"/>
  <c r="X72" i="7"/>
  <c r="X74" i="7" s="1"/>
  <c r="X71" i="7"/>
  <c r="AC65" i="7"/>
  <c r="CA82" i="5"/>
  <c r="CA81" i="5"/>
  <c r="AD82" i="2"/>
  <c r="AD84" i="2" s="1"/>
  <c r="AD81" i="2"/>
  <c r="W72" i="7"/>
  <c r="W74" i="7" s="1"/>
  <c r="W71" i="7"/>
  <c r="AB65" i="7"/>
  <c r="AA65" i="7"/>
  <c r="W57" i="5"/>
  <c r="AB57" i="7"/>
  <c r="AA57" i="7"/>
  <c r="AF57" i="7" s="1"/>
  <c r="W14" i="5"/>
  <c r="AA14" i="7"/>
  <c r="AF14" i="7" s="1"/>
  <c r="AB14" i="7"/>
  <c r="W13" i="5"/>
  <c r="AA13" i="7"/>
  <c r="AF13" i="7" s="1"/>
  <c r="AB13" i="7"/>
  <c r="W12" i="5"/>
  <c r="AA12" i="7"/>
  <c r="AF12" i="7" s="1"/>
  <c r="AB12" i="7"/>
  <c r="W11" i="5"/>
  <c r="AA11" i="7"/>
  <c r="AF11" i="7" s="1"/>
  <c r="AB11" i="7"/>
  <c r="W7" i="5"/>
  <c r="AA7" i="7"/>
  <c r="AF7" i="7" s="1"/>
  <c r="AB7" i="7"/>
  <c r="W10" i="5"/>
  <c r="AA10" i="7"/>
  <c r="AF10" i="7" s="1"/>
  <c r="AB10" i="7"/>
  <c r="W9" i="5"/>
  <c r="AA9" i="7"/>
  <c r="AF9" i="7" s="1"/>
  <c r="AB9" i="7"/>
  <c r="W8" i="5"/>
  <c r="AA8" i="7"/>
  <c r="AF8" i="7" s="1"/>
  <c r="AB8" i="7"/>
  <c r="C6" i="42" l="1"/>
  <c r="AF65" i="7"/>
  <c r="AA72" i="7"/>
  <c r="AA74" i="7" s="1"/>
  <c r="AA71" i="7"/>
  <c r="AB72" i="7"/>
  <c r="AB74" i="7" s="1"/>
  <c r="AB71" i="7"/>
  <c r="C6" i="40"/>
  <c r="C6" i="39"/>
  <c r="CA84" i="5"/>
  <c r="AC72" i="7"/>
  <c r="AC74" i="7" s="1"/>
  <c r="AC71" i="7"/>
  <c r="W82" i="5"/>
  <c r="W81" i="5"/>
  <c r="T84" i="5"/>
  <c r="C6" i="11"/>
  <c r="AD72" i="7"/>
  <c r="AD74" i="7" s="1"/>
  <c r="AD71" i="7"/>
  <c r="AE72" i="7"/>
  <c r="AE74" i="7" s="1"/>
  <c r="AE71" i="7"/>
  <c r="C8" i="11" l="1"/>
  <c r="C6" i="33"/>
  <c r="C6" i="15"/>
  <c r="W84" i="5"/>
  <c r="C8" i="39"/>
  <c r="C8" i="40"/>
  <c r="C8" i="42"/>
  <c r="C8" i="15" l="1"/>
  <c r="C8" i="33"/>
  <c r="K4" i="31" l="1"/>
  <c r="O4" i="31" s="1"/>
  <c r="AA15" i="31"/>
  <c r="L4" i="31"/>
  <c r="E7" i="31"/>
  <c r="J4" i="31"/>
  <c r="B14" i="31" l="1"/>
  <c r="B15" i="31" s="1"/>
  <c r="E3" i="31"/>
  <c r="D34" i="11" l="1"/>
  <c r="F34" i="11" s="1"/>
  <c r="D33" i="11"/>
  <c r="F33" i="11" s="1"/>
  <c r="E36" i="38"/>
  <c r="F36" i="38" s="1"/>
  <c r="E36" i="39"/>
  <c r="F36" i="39" s="1"/>
  <c r="D36" i="11"/>
  <c r="F36" i="11" s="1"/>
  <c r="D34" i="9"/>
  <c r="F34" i="9" s="1"/>
  <c r="D36" i="9"/>
  <c r="F36" i="9" s="1"/>
  <c r="D33" i="9"/>
  <c r="F33" i="9" s="1"/>
  <c r="F33" i="42" l="1"/>
  <c r="F36" i="42"/>
  <c r="F34" i="42"/>
  <c r="D33" i="12"/>
  <c r="F33" i="12" s="1"/>
  <c r="D34" i="12"/>
  <c r="F34" i="12" s="1"/>
  <c r="D36" i="12"/>
  <c r="F36" i="12" s="1"/>
  <c r="AA20" i="11" l="1"/>
  <c r="K9" i="37" l="1"/>
  <c r="O9" i="37" s="1"/>
  <c r="D19" i="37" s="1"/>
  <c r="D20" i="37" s="1"/>
  <c r="K9" i="19"/>
  <c r="O9" i="19" s="1"/>
  <c r="Z77" i="11"/>
  <c r="V93" i="43"/>
  <c r="L9" i="37" l="1"/>
  <c r="Q9" i="37" s="1"/>
  <c r="L9" i="19"/>
  <c r="U82" i="19" l="1"/>
  <c r="S67" i="19" l="1"/>
  <c r="V89" i="43"/>
  <c r="V80" i="11"/>
  <c r="V75" i="31"/>
  <c r="U91" i="9"/>
  <c r="U81" i="38" l="1"/>
  <c r="D19" i="19"/>
  <c r="D20" i="19" s="1"/>
  <c r="V94" i="12"/>
  <c r="V69" i="27" l="1"/>
  <c r="E12" i="37" l="1"/>
  <c r="J9" i="37"/>
  <c r="E12" i="19"/>
  <c r="J9" i="19"/>
  <c r="N9" i="37"/>
  <c r="E13" i="37" l="1"/>
  <c r="C26" i="37"/>
  <c r="C19" i="37"/>
  <c r="E9" i="19"/>
  <c r="E9" i="37"/>
  <c r="V81" i="11"/>
  <c r="C20" i="37" l="1"/>
  <c r="G6" i="37"/>
  <c r="G8" i="37" s="1"/>
  <c r="F8" i="37" s="1"/>
  <c r="H8" i="37" s="1"/>
  <c r="B19" i="37"/>
  <c r="F12" i="37"/>
  <c r="V90" i="43"/>
  <c r="F9" i="37" l="1"/>
  <c r="S19" i="37"/>
  <c r="I12" i="37"/>
  <c r="B20" i="37"/>
  <c r="F6" i="37"/>
  <c r="H6" i="37" s="1"/>
  <c r="S32" i="37" l="1"/>
  <c r="S20" i="37"/>
  <c r="V92" i="12" l="1"/>
  <c r="S67" i="38" l="1"/>
  <c r="S77" i="9"/>
  <c r="S67" i="11" l="1"/>
  <c r="S58" i="31"/>
  <c r="D14" i="31" s="1"/>
  <c r="S25" i="9"/>
  <c r="U22" i="9"/>
  <c r="D19" i="9"/>
  <c r="D19" i="38"/>
  <c r="D20" i="38" s="1"/>
  <c r="U34" i="38"/>
  <c r="S75" i="38"/>
  <c r="Q77" i="38" s="1"/>
  <c r="Q84" i="38" s="1"/>
  <c r="U22" i="11" l="1"/>
  <c r="D19" i="11"/>
  <c r="D20" i="9"/>
  <c r="D15" i="31"/>
  <c r="V88" i="43" l="1"/>
  <c r="V79" i="11"/>
  <c r="D20" i="11"/>
  <c r="V89" i="9"/>
  <c r="S79" i="12" l="1"/>
  <c r="D19" i="12" s="1"/>
  <c r="S58" i="27" l="1"/>
  <c r="D20" i="12"/>
  <c r="V91" i="12" l="1"/>
  <c r="V106" i="12" l="1"/>
  <c r="T63" i="3" l="1"/>
  <c r="G64" i="5" s="1"/>
  <c r="CJ64" i="5" s="1"/>
  <c r="BQ64" i="5" l="1"/>
  <c r="BU64" i="5" s="1"/>
  <c r="C24" i="38" s="1"/>
  <c r="E24" i="38" s="1"/>
  <c r="BL64" i="5"/>
  <c r="AH64" i="5"/>
  <c r="Y64" i="5"/>
  <c r="P64" i="5"/>
  <c r="BC64" i="5"/>
  <c r="AQ64" i="5"/>
  <c r="M19" i="44" l="1"/>
  <c r="M23" i="44" l="1"/>
  <c r="M32" i="44" s="1"/>
  <c r="M33" i="44" s="1"/>
  <c r="M65" i="49" l="1"/>
  <c r="M74" i="49" s="1"/>
  <c r="M19" i="49"/>
  <c r="M23" i="49"/>
  <c r="M28" i="49"/>
  <c r="U43" i="3" l="1"/>
  <c r="H44" i="5" s="1"/>
  <c r="U44" i="3" l="1"/>
  <c r="CK44" i="5" l="1"/>
  <c r="H45" i="5"/>
  <c r="BY44" i="5"/>
  <c r="Q44" i="5"/>
  <c r="Z44" i="5"/>
  <c r="AR44" i="5"/>
  <c r="BD44" i="5"/>
  <c r="AI44" i="5"/>
  <c r="CK45" i="5" l="1"/>
  <c r="BY45" i="5"/>
  <c r="Z45" i="5"/>
  <c r="Q45" i="5"/>
  <c r="AR45" i="5"/>
  <c r="BD45" i="5"/>
  <c r="AI45" i="5"/>
  <c r="U10" i="3" l="1"/>
  <c r="AB10" i="3"/>
  <c r="H11" i="5" l="1"/>
  <c r="CK11" i="5" l="1"/>
  <c r="AV11" i="5"/>
  <c r="E33" i="39"/>
  <c r="F33" i="39" s="1"/>
  <c r="BY11" i="5"/>
  <c r="E33" i="38"/>
  <c r="F33" i="38" s="1"/>
  <c r="BD11" i="5"/>
  <c r="Q11" i="5"/>
  <c r="AR11" i="5"/>
  <c r="AI11" i="5"/>
  <c r="Z11" i="5"/>
  <c r="D19" i="44" l="1"/>
  <c r="M29" i="49" l="1"/>
  <c r="U73" i="3" l="1"/>
  <c r="H74" i="5" l="1"/>
  <c r="CK74" i="5" l="1"/>
  <c r="BY74" i="5"/>
  <c r="BD74" i="5"/>
  <c r="AI74" i="5"/>
  <c r="Q74" i="5"/>
  <c r="AR74" i="5"/>
  <c r="Z74" i="5"/>
  <c r="AJ66" i="38" l="1"/>
  <c r="AJ66" i="39"/>
  <c r="P9" i="39" l="1"/>
  <c r="P9" i="38"/>
  <c r="AH66" i="38"/>
  <c r="AJ67" i="38" l="1"/>
  <c r="V97" i="38" s="1"/>
  <c r="U83" i="38" s="1"/>
  <c r="E14" i="38"/>
  <c r="N9" i="38"/>
  <c r="Q9" i="38"/>
  <c r="E14" i="39"/>
  <c r="N9" i="39"/>
  <c r="Q9" i="39"/>
  <c r="C26" i="39" l="1"/>
  <c r="E13" i="39"/>
  <c r="T19" i="39"/>
  <c r="F7" i="39" s="1"/>
  <c r="G12" i="39"/>
  <c r="C26" i="38"/>
  <c r="E13" i="38"/>
  <c r="C19" i="38"/>
  <c r="T19" i="38"/>
  <c r="F7" i="38" s="1"/>
  <c r="C20" i="38" l="1"/>
  <c r="G6" i="38"/>
  <c r="G8" i="38" s="1"/>
  <c r="B19" i="38"/>
  <c r="F12" i="38"/>
  <c r="G9" i="39"/>
  <c r="B19" i="39"/>
  <c r="B20" i="39" l="1"/>
  <c r="F6" i="39"/>
  <c r="F9" i="38"/>
  <c r="S19" i="38"/>
  <c r="I12" i="38"/>
  <c r="B20" i="38"/>
  <c r="F6" i="38"/>
  <c r="H6" i="38" s="1"/>
  <c r="S20" i="38" l="1"/>
  <c r="S32" i="38"/>
  <c r="S42" i="38" s="1"/>
  <c r="S43" i="38" s="1"/>
  <c r="AU74" i="5" l="1"/>
  <c r="AB73" i="3"/>
  <c r="T73" i="3"/>
  <c r="Q73" i="3"/>
  <c r="X73" i="3"/>
  <c r="G74" i="5" l="1"/>
  <c r="V73" i="3"/>
  <c r="AD73" i="3"/>
  <c r="AV74" i="5"/>
  <c r="AJ66" i="34" l="1"/>
  <c r="CJ74" i="5"/>
  <c r="BL74" i="5"/>
  <c r="BQ74" i="5"/>
  <c r="AQ74" i="5"/>
  <c r="BC74" i="5"/>
  <c r="Y74" i="5"/>
  <c r="AJ66" i="11" s="1"/>
  <c r="AG62" i="11" s="1"/>
  <c r="AH74" i="5"/>
  <c r="P74" i="5"/>
  <c r="AJ76" i="9" s="1"/>
  <c r="AG62" i="9" s="1"/>
  <c r="I74" i="5"/>
  <c r="AJ57" i="31" l="1"/>
  <c r="M44" i="31" s="1"/>
  <c r="L5" i="31" s="1"/>
  <c r="P4" i="31" s="1"/>
  <c r="AJ33" i="22"/>
  <c r="AJ66" i="19"/>
  <c r="M53" i="19" s="1"/>
  <c r="L10" i="19" s="1"/>
  <c r="P9" i="19" s="1"/>
  <c r="M53" i="9"/>
  <c r="M53" i="11"/>
  <c r="AJ78" i="12"/>
  <c r="AJ74" i="42"/>
  <c r="AJ57" i="27"/>
  <c r="CN74" i="5"/>
  <c r="CL74" i="5"/>
  <c r="CC74" i="5"/>
  <c r="BN74" i="5"/>
  <c r="AJ74" i="5"/>
  <c r="BE74" i="5"/>
  <c r="R74" i="5"/>
  <c r="AS74" i="5"/>
  <c r="AA74" i="5"/>
  <c r="BS74" i="5"/>
  <c r="BU74" i="5"/>
  <c r="AG62" i="34"/>
  <c r="T52" i="31" l="1"/>
  <c r="E54" i="19"/>
  <c r="T61" i="19"/>
  <c r="F49" i="19" s="1"/>
  <c r="E9" i="31"/>
  <c r="Q4" i="31"/>
  <c r="N4" i="31"/>
  <c r="T61" i="11"/>
  <c r="F49" i="11" s="1"/>
  <c r="L10" i="11"/>
  <c r="P9" i="11" s="1"/>
  <c r="E54" i="11"/>
  <c r="E9" i="11" s="1"/>
  <c r="E14" i="19"/>
  <c r="T19" i="19" s="1"/>
  <c r="F7" i="19" s="1"/>
  <c r="Q9" i="19"/>
  <c r="N9" i="19"/>
  <c r="T61" i="9"/>
  <c r="F49" i="9" s="1"/>
  <c r="L10" i="9"/>
  <c r="P9" i="9" s="1"/>
  <c r="E54" i="9"/>
  <c r="E9" i="9" s="1"/>
  <c r="M53" i="34"/>
  <c r="BW74" i="5"/>
  <c r="AJ66" i="15"/>
  <c r="AJ66" i="40"/>
  <c r="AJ66" i="33"/>
  <c r="AJ64" i="14"/>
  <c r="AJ73" i="43"/>
  <c r="AJ64" i="20"/>
  <c r="AJ64" i="49"/>
  <c r="AJ65" i="44"/>
  <c r="M44" i="27"/>
  <c r="AG62" i="42"/>
  <c r="AG62" i="12"/>
  <c r="N9" i="9" l="1"/>
  <c r="E14" i="9"/>
  <c r="T19" i="9" s="1"/>
  <c r="F7" i="9" s="1"/>
  <c r="Q9" i="9"/>
  <c r="C26" i="19"/>
  <c r="E13" i="19"/>
  <c r="B19" i="19" s="1"/>
  <c r="N9" i="11"/>
  <c r="E14" i="11"/>
  <c r="T19" i="11" s="1"/>
  <c r="F7" i="11" s="1"/>
  <c r="Q9" i="11"/>
  <c r="C21" i="31"/>
  <c r="E8" i="31"/>
  <c r="M53" i="12"/>
  <c r="M53" i="42"/>
  <c r="E45" i="27"/>
  <c r="T52" i="27"/>
  <c r="L5" i="27"/>
  <c r="Q4" i="27" s="1"/>
  <c r="M54" i="44"/>
  <c r="M53" i="49"/>
  <c r="M53" i="20"/>
  <c r="AH22" i="20"/>
  <c r="M53" i="43"/>
  <c r="M53" i="14"/>
  <c r="AG62" i="33"/>
  <c r="P9" i="33"/>
  <c r="AG62" i="40"/>
  <c r="P9" i="40"/>
  <c r="AG62" i="15"/>
  <c r="P9" i="15"/>
  <c r="AJ64" i="36"/>
  <c r="L10" i="34"/>
  <c r="E54" i="34"/>
  <c r="T61" i="34"/>
  <c r="F49" i="34" s="1"/>
  <c r="E13" i="11" l="1"/>
  <c r="B19" i="11" s="1"/>
  <c r="C26" i="11"/>
  <c r="B20" i="19"/>
  <c r="F6" i="19"/>
  <c r="E13" i="9"/>
  <c r="B19" i="9" s="1"/>
  <c r="C26" i="9"/>
  <c r="AH22" i="36"/>
  <c r="M53" i="36"/>
  <c r="E14" i="15"/>
  <c r="N9" i="15"/>
  <c r="Q9" i="15"/>
  <c r="E14" i="40"/>
  <c r="Q9" i="40"/>
  <c r="N9" i="40"/>
  <c r="N9" i="33"/>
  <c r="E14" i="33"/>
  <c r="Q9" i="33"/>
  <c r="T61" i="14"/>
  <c r="F49" i="14" s="1"/>
  <c r="L10" i="14"/>
  <c r="P9" i="14" s="1"/>
  <c r="E54" i="14"/>
  <c r="T61" i="43"/>
  <c r="F49" i="43" s="1"/>
  <c r="L10" i="43"/>
  <c r="P9" i="43" s="1"/>
  <c r="E54" i="43"/>
  <c r="L10" i="20"/>
  <c r="P9" i="20" s="1"/>
  <c r="E54" i="20"/>
  <c r="T61" i="20"/>
  <c r="F49" i="20" s="1"/>
  <c r="L10" i="49"/>
  <c r="P9" i="49" s="1"/>
  <c r="N9" i="49" s="1"/>
  <c r="E54" i="49"/>
  <c r="T61" i="49"/>
  <c r="F49" i="49" s="1"/>
  <c r="L10" i="44"/>
  <c r="P9" i="44" s="1"/>
  <c r="N9" i="44" s="1"/>
  <c r="E55" i="44"/>
  <c r="T62" i="44"/>
  <c r="F50" i="44" s="1"/>
  <c r="E9" i="27"/>
  <c r="N4" i="27"/>
  <c r="R4" i="27"/>
  <c r="E3" i="27"/>
  <c r="T61" i="42"/>
  <c r="F49" i="42" s="1"/>
  <c r="E54" i="42"/>
  <c r="L10" i="42"/>
  <c r="Q9" i="42" s="1"/>
  <c r="T61" i="12"/>
  <c r="F49" i="12" s="1"/>
  <c r="L10" i="12"/>
  <c r="Q9" i="12" s="1"/>
  <c r="E54" i="12"/>
  <c r="B20" i="9" l="1"/>
  <c r="F6" i="9"/>
  <c r="B20" i="11"/>
  <c r="F6" i="11"/>
  <c r="E9" i="12"/>
  <c r="N9" i="12"/>
  <c r="E14" i="12"/>
  <c r="R9" i="12"/>
  <c r="N9" i="42"/>
  <c r="E14" i="42"/>
  <c r="R9" i="42"/>
  <c r="E9" i="42"/>
  <c r="C21" i="27"/>
  <c r="E8" i="27"/>
  <c r="E9" i="44"/>
  <c r="E14" i="44"/>
  <c r="Q9" i="44"/>
  <c r="E9" i="49"/>
  <c r="Q9" i="49"/>
  <c r="E14" i="49"/>
  <c r="E9" i="20"/>
  <c r="E14" i="20"/>
  <c r="N9" i="20"/>
  <c r="Q9" i="20"/>
  <c r="E9" i="43"/>
  <c r="E14" i="43"/>
  <c r="Q9" i="43"/>
  <c r="N9" i="43"/>
  <c r="E9" i="14"/>
  <c r="E14" i="14"/>
  <c r="N9" i="14"/>
  <c r="Q9" i="14"/>
  <c r="T19" i="33"/>
  <c r="F7" i="33" s="1"/>
  <c r="E13" i="33"/>
  <c r="C26" i="33"/>
  <c r="E13" i="40"/>
  <c r="C26" i="40"/>
  <c r="T19" i="40"/>
  <c r="F7" i="40" s="1"/>
  <c r="C26" i="15"/>
  <c r="E13" i="15"/>
  <c r="T19" i="15"/>
  <c r="F7" i="15" s="1"/>
  <c r="E54" i="36"/>
  <c r="L10" i="36"/>
  <c r="P9" i="36" s="1"/>
  <c r="T61" i="36"/>
  <c r="F49" i="36" s="1"/>
  <c r="E14" i="36" l="1"/>
  <c r="N9" i="36"/>
  <c r="Q9" i="36"/>
  <c r="E9" i="36"/>
  <c r="B19" i="15"/>
  <c r="B19" i="40"/>
  <c r="B19" i="33"/>
  <c r="E13" i="14"/>
  <c r="T19" i="14"/>
  <c r="F7" i="14" s="1"/>
  <c r="E13" i="43"/>
  <c r="T19" i="43"/>
  <c r="F7" i="43" s="1"/>
  <c r="G12" i="43"/>
  <c r="E13" i="20"/>
  <c r="T19" i="20"/>
  <c r="F7" i="20" s="1"/>
  <c r="T19" i="49"/>
  <c r="F7" i="49" s="1"/>
  <c r="E13" i="49"/>
  <c r="T19" i="44"/>
  <c r="F7" i="44" s="1"/>
  <c r="E13" i="44"/>
  <c r="B14" i="27"/>
  <c r="B15" i="27" s="1"/>
  <c r="T19" i="42"/>
  <c r="F7" i="42" s="1"/>
  <c r="G14" i="42"/>
  <c r="E13" i="42"/>
  <c r="N11" i="42"/>
  <c r="C26" i="42"/>
  <c r="G14" i="12"/>
  <c r="T19" i="12"/>
  <c r="F7" i="12" s="1"/>
  <c r="C26" i="12"/>
  <c r="E13" i="12"/>
  <c r="N11" i="12"/>
  <c r="B19" i="12" l="1"/>
  <c r="G13" i="12"/>
  <c r="B19" i="42"/>
  <c r="G13" i="42"/>
  <c r="B19" i="44"/>
  <c r="F6" i="44" s="1"/>
  <c r="B19" i="49"/>
  <c r="F6" i="49" s="1"/>
  <c r="B19" i="20"/>
  <c r="F6" i="20" s="1"/>
  <c r="B19" i="43"/>
  <c r="F6" i="43" s="1"/>
  <c r="F12" i="43"/>
  <c r="B19" i="14"/>
  <c r="F6" i="14" s="1"/>
  <c r="B20" i="33"/>
  <c r="F6" i="33"/>
  <c r="B20" i="40"/>
  <c r="F6" i="40"/>
  <c r="F6" i="15"/>
  <c r="B20" i="15"/>
  <c r="E13" i="36"/>
  <c r="T19" i="36"/>
  <c r="F7" i="36" s="1"/>
  <c r="B19" i="36" l="1"/>
  <c r="F6" i="36" s="1"/>
  <c r="F6" i="42"/>
  <c r="B20" i="42"/>
  <c r="F6" i="12"/>
  <c r="B20" i="12"/>
  <c r="C4" i="29" l="1"/>
  <c r="V90" i="42" l="1"/>
  <c r="W86" i="42" l="1"/>
  <c r="S75" i="42" l="1"/>
  <c r="S25" i="42" l="1"/>
  <c r="U27" i="42"/>
  <c r="D19" i="42"/>
  <c r="D20" i="42" l="1"/>
  <c r="S66" i="3" l="1"/>
  <c r="AC66" i="3"/>
  <c r="F67" i="5" l="1"/>
  <c r="V66" i="3"/>
  <c r="CI67" i="5" l="1"/>
  <c r="BK67" i="5"/>
  <c r="BG67" i="5"/>
  <c r="BP67" i="5"/>
  <c r="BB67" i="5"/>
  <c r="AP67" i="5"/>
  <c r="O67" i="5"/>
  <c r="X67" i="5"/>
  <c r="AG67" i="5"/>
  <c r="I67" i="5"/>
  <c r="U63" i="22" l="1"/>
  <c r="CN67" i="5"/>
  <c r="CL67" i="5"/>
  <c r="CC67" i="5"/>
  <c r="R67" i="5"/>
  <c r="BE67" i="5"/>
  <c r="AJ67" i="5"/>
  <c r="AS67" i="5"/>
  <c r="AA67" i="5"/>
  <c r="P14" i="19"/>
  <c r="P14" i="11"/>
  <c r="P14" i="9"/>
  <c r="P14" i="50"/>
  <c r="BT67" i="5"/>
  <c r="BS67" i="5"/>
  <c r="BJ67" i="5"/>
  <c r="BN67" i="5" l="1"/>
  <c r="BW67" i="5"/>
  <c r="P14" i="40"/>
  <c r="P14" i="15"/>
  <c r="P14" i="33"/>
  <c r="P14" i="43"/>
  <c r="P14" i="14"/>
  <c r="P14" i="49"/>
  <c r="P14" i="44"/>
  <c r="P14" i="36" l="1"/>
  <c r="P14" i="20"/>
  <c r="O9" i="50" l="1"/>
  <c r="P9" i="50" l="1"/>
  <c r="E14" i="50" l="1"/>
  <c r="N9" i="50"/>
  <c r="T19" i="50"/>
  <c r="F7" i="50" s="1"/>
  <c r="O9" i="51"/>
  <c r="Q9" i="50" l="1"/>
  <c r="E13" i="50"/>
  <c r="B19" i="50" s="1"/>
  <c r="C26" i="50"/>
  <c r="E9" i="50"/>
  <c r="B20" i="50" l="1"/>
  <c r="F6" i="50"/>
  <c r="Q13" i="3" l="1"/>
  <c r="X13" i="3"/>
  <c r="AC13" i="3"/>
  <c r="AD13" i="3" s="1"/>
  <c r="S13" i="3"/>
  <c r="Q12" i="3"/>
  <c r="X12" i="3"/>
  <c r="S12" i="3"/>
  <c r="AC12" i="3"/>
  <c r="AD12" i="3" s="1"/>
  <c r="X11" i="3"/>
  <c r="Q11" i="3"/>
  <c r="AC11" i="3"/>
  <c r="AD11" i="3" s="1"/>
  <c r="S11" i="3"/>
  <c r="S10" i="3"/>
  <c r="AC10" i="3"/>
  <c r="AD10" i="3" s="1"/>
  <c r="Q10" i="3"/>
  <c r="X10" i="3"/>
  <c r="Q6" i="3"/>
  <c r="AC6" i="3"/>
  <c r="AD6" i="3" s="1"/>
  <c r="S6" i="3"/>
  <c r="X6" i="3"/>
  <c r="S9" i="3"/>
  <c r="AC9" i="3"/>
  <c r="AD9" i="3" s="1"/>
  <c r="X9" i="3"/>
  <c r="Q9" i="3"/>
  <c r="AC8" i="3"/>
  <c r="AD8" i="3" s="1"/>
  <c r="S8" i="3"/>
  <c r="X8" i="3"/>
  <c r="Q8" i="3"/>
  <c r="AC7" i="3"/>
  <c r="AD7" i="3" s="1"/>
  <c r="S7" i="3"/>
  <c r="X7" i="3"/>
  <c r="Q7" i="3"/>
  <c r="V7" i="3" l="1"/>
  <c r="F8" i="5"/>
  <c r="F9" i="5"/>
  <c r="V8" i="3"/>
  <c r="F10" i="5"/>
  <c r="V9" i="3"/>
  <c r="F7" i="5"/>
  <c r="V6" i="3"/>
  <c r="F11" i="5"/>
  <c r="V10" i="3"/>
  <c r="F12" i="5"/>
  <c r="V11" i="3"/>
  <c r="F13" i="5"/>
  <c r="V12" i="3"/>
  <c r="F14" i="5"/>
  <c r="V13" i="3"/>
  <c r="CI14" i="5" l="1"/>
  <c r="BK14" i="5"/>
  <c r="BG14" i="5"/>
  <c r="BJ14" i="5" s="1"/>
  <c r="D34" i="20" s="1"/>
  <c r="BP14" i="5"/>
  <c r="BB14" i="5"/>
  <c r="AP14" i="5"/>
  <c r="I14" i="5"/>
  <c r="AG14" i="5"/>
  <c r="O14" i="5"/>
  <c r="R14" i="5"/>
  <c r="X14" i="5"/>
  <c r="CI13" i="5"/>
  <c r="BK13" i="5"/>
  <c r="BG13" i="5"/>
  <c r="BJ13" i="5" s="1"/>
  <c r="BP13" i="5"/>
  <c r="BB13" i="5"/>
  <c r="I13" i="5"/>
  <c r="AP13" i="5"/>
  <c r="AG13" i="5"/>
  <c r="R13" i="5"/>
  <c r="O13" i="5"/>
  <c r="X13" i="5"/>
  <c r="CI12" i="5"/>
  <c r="BK12" i="5"/>
  <c r="BG12" i="5"/>
  <c r="BJ12" i="5" s="1"/>
  <c r="BP12" i="5"/>
  <c r="BB12" i="5"/>
  <c r="AP12" i="5"/>
  <c r="I12" i="5"/>
  <c r="AG12" i="5"/>
  <c r="R12" i="5"/>
  <c r="O12" i="5"/>
  <c r="X12" i="5"/>
  <c r="CI11" i="5"/>
  <c r="BK11" i="5"/>
  <c r="BG11" i="5"/>
  <c r="BJ11" i="5" s="1"/>
  <c r="D33" i="20" s="1"/>
  <c r="BP11" i="5"/>
  <c r="BB11" i="5"/>
  <c r="AP11" i="5"/>
  <c r="AG11" i="5"/>
  <c r="R11" i="5"/>
  <c r="O11" i="5"/>
  <c r="X11" i="5"/>
  <c r="I11" i="5"/>
  <c r="CI7" i="5"/>
  <c r="BK7" i="5"/>
  <c r="BG7" i="5"/>
  <c r="BJ7" i="5" s="1"/>
  <c r="BP7" i="5"/>
  <c r="BB7" i="5"/>
  <c r="AP7" i="5"/>
  <c r="I7" i="5"/>
  <c r="AG7" i="5"/>
  <c r="O7" i="5"/>
  <c r="X7" i="5"/>
  <c r="CI10" i="5"/>
  <c r="BK10" i="5"/>
  <c r="BG10" i="5"/>
  <c r="BJ10" i="5" s="1"/>
  <c r="BP10" i="5"/>
  <c r="BB10" i="5"/>
  <c r="AP10" i="5"/>
  <c r="I10" i="5"/>
  <c r="AG10" i="5"/>
  <c r="R10" i="5"/>
  <c r="O10" i="5"/>
  <c r="X10" i="5"/>
  <c r="CI9" i="5"/>
  <c r="BK9" i="5"/>
  <c r="BG9" i="5"/>
  <c r="BJ9" i="5" s="1"/>
  <c r="BP9" i="5"/>
  <c r="BB9" i="5"/>
  <c r="AP9" i="5"/>
  <c r="I9" i="5"/>
  <c r="AG9" i="5"/>
  <c r="O9" i="5"/>
  <c r="R9" i="5"/>
  <c r="X9" i="5"/>
  <c r="CI8" i="5"/>
  <c r="BK8" i="5"/>
  <c r="BG8" i="5"/>
  <c r="BJ8" i="5" s="1"/>
  <c r="BP8" i="5"/>
  <c r="BB8" i="5"/>
  <c r="AP8" i="5"/>
  <c r="I8" i="5"/>
  <c r="AG8" i="5"/>
  <c r="R8" i="5"/>
  <c r="O8" i="5"/>
  <c r="X8" i="5"/>
  <c r="CN8" i="5" l="1"/>
  <c r="CL8" i="5"/>
  <c r="BE8" i="5"/>
  <c r="BN8" i="5"/>
  <c r="AS8" i="5"/>
  <c r="AJ8" i="5"/>
  <c r="CC8" i="5"/>
  <c r="AA8" i="5"/>
  <c r="BS8" i="5"/>
  <c r="BW8" i="5" s="1"/>
  <c r="BT8" i="5"/>
  <c r="CN9" i="5"/>
  <c r="CL9" i="5"/>
  <c r="BE9" i="5"/>
  <c r="BN9" i="5"/>
  <c r="AS9" i="5"/>
  <c r="AJ9" i="5"/>
  <c r="CC9" i="5"/>
  <c r="AA9" i="5"/>
  <c r="BS9" i="5"/>
  <c r="BW9" i="5" s="1"/>
  <c r="BT9" i="5"/>
  <c r="CN10" i="5"/>
  <c r="CL10" i="5"/>
  <c r="BE10" i="5"/>
  <c r="BN10" i="5"/>
  <c r="AS10" i="5"/>
  <c r="AJ10" i="5"/>
  <c r="CC10" i="5"/>
  <c r="AA10" i="5"/>
  <c r="BS10" i="5"/>
  <c r="BW10" i="5" s="1"/>
  <c r="BT10" i="5"/>
  <c r="CN7" i="5"/>
  <c r="CL7" i="5"/>
  <c r="BE7" i="5"/>
  <c r="BN7" i="5"/>
  <c r="AS7" i="5"/>
  <c r="AJ7" i="5"/>
  <c r="R7" i="5"/>
  <c r="CC7" i="5"/>
  <c r="AA7" i="5"/>
  <c r="BS7" i="5"/>
  <c r="BW7" i="5" s="1"/>
  <c r="BT7" i="5"/>
  <c r="CN11" i="5"/>
  <c r="CL11" i="5"/>
  <c r="BE11" i="5"/>
  <c r="BN11" i="5"/>
  <c r="E33" i="20"/>
  <c r="F33" i="20" s="1"/>
  <c r="AS11" i="5"/>
  <c r="AJ11" i="5"/>
  <c r="CC11" i="5"/>
  <c r="AA11" i="5"/>
  <c r="E33" i="36"/>
  <c r="F33" i="36" s="1"/>
  <c r="BS11" i="5"/>
  <c r="BT11" i="5"/>
  <c r="CN12" i="5"/>
  <c r="CL12" i="5"/>
  <c r="BE12" i="5"/>
  <c r="BN12" i="5"/>
  <c r="AS12" i="5"/>
  <c r="AJ12" i="5"/>
  <c r="CC12" i="5"/>
  <c r="AA12" i="5"/>
  <c r="BS12" i="5"/>
  <c r="BW12" i="5" s="1"/>
  <c r="BT12" i="5"/>
  <c r="CN13" i="5"/>
  <c r="CL13" i="5"/>
  <c r="BE13" i="5"/>
  <c r="BN13" i="5"/>
  <c r="AS13" i="5"/>
  <c r="AJ13" i="5"/>
  <c r="CC13" i="5"/>
  <c r="AA13" i="5"/>
  <c r="BS13" i="5"/>
  <c r="BW13" i="5" s="1"/>
  <c r="BT13" i="5"/>
  <c r="CN14" i="5"/>
  <c r="CL14" i="5"/>
  <c r="BE14" i="5"/>
  <c r="BN14" i="5"/>
  <c r="E34" i="20"/>
  <c r="F34" i="20" s="1"/>
  <c r="AS14" i="5"/>
  <c r="AJ14" i="5"/>
  <c r="CC14" i="5"/>
  <c r="AA14" i="5"/>
  <c r="BS14" i="5"/>
  <c r="BT14" i="5"/>
  <c r="E34" i="36" l="1"/>
  <c r="F34" i="36" s="1"/>
  <c r="E34" i="37"/>
  <c r="F34" i="37" s="1"/>
  <c r="BW14" i="5"/>
  <c r="E33" i="37"/>
  <c r="F33" i="37" s="1"/>
  <c r="BW11" i="5"/>
  <c r="AC70" i="3" l="1"/>
  <c r="AD70" i="3" s="1"/>
  <c r="S70" i="3"/>
  <c r="X70" i="3"/>
  <c r="Q70" i="3"/>
  <c r="S27" i="12" l="1"/>
  <c r="U27" i="12" s="1"/>
  <c r="F71" i="5"/>
  <c r="V70" i="3"/>
  <c r="CI71" i="5" l="1"/>
  <c r="BK71" i="5"/>
  <c r="BG71" i="5"/>
  <c r="BJ71" i="5" s="1"/>
  <c r="BP71" i="5"/>
  <c r="BB71" i="5"/>
  <c r="X71" i="5"/>
  <c r="AP71" i="5"/>
  <c r="I71" i="5"/>
  <c r="O71" i="5"/>
  <c r="AG71" i="5"/>
  <c r="S25" i="27"/>
  <c r="U17" i="27" s="1"/>
  <c r="S23" i="31"/>
  <c r="U17" i="31" s="1"/>
  <c r="S35" i="19" l="1"/>
  <c r="U34" i="19" s="1"/>
  <c r="CN71" i="5"/>
  <c r="CC71" i="5"/>
  <c r="CL71" i="5"/>
  <c r="S35" i="49" s="1"/>
  <c r="BE71" i="5"/>
  <c r="BN71" i="5"/>
  <c r="S37" i="20" s="1"/>
  <c r="U34" i="20" s="1"/>
  <c r="AA71" i="5"/>
  <c r="AJ71" i="5"/>
  <c r="AS71" i="5"/>
  <c r="R71" i="5"/>
  <c r="BS71" i="5"/>
  <c r="BW71" i="5" s="1"/>
  <c r="S35" i="37" s="1"/>
  <c r="BT71" i="5"/>
  <c r="X20" i="22"/>
  <c r="K11" i="22" s="1"/>
  <c r="U34" i="37" l="1"/>
  <c r="S42" i="37"/>
  <c r="S43" i="37" s="1"/>
  <c r="S35" i="43"/>
  <c r="S35" i="14"/>
  <c r="S26" i="40"/>
  <c r="U23" i="40" s="1"/>
  <c r="S26" i="33"/>
  <c r="U23" i="33" s="1"/>
  <c r="S26" i="15"/>
  <c r="U23" i="15" s="1"/>
  <c r="K10" i="22" l="1"/>
  <c r="B19" i="22" l="1"/>
  <c r="Q9" i="22"/>
  <c r="N9" i="22" s="1"/>
  <c r="F6" i="22" l="1"/>
  <c r="T19" i="22"/>
  <c r="R9" i="22"/>
  <c r="F7" i="22" l="1"/>
  <c r="K9" i="22" l="1"/>
  <c r="AC68" i="3" l="1"/>
  <c r="S68" i="3"/>
  <c r="X68" i="3"/>
  <c r="Q68" i="3"/>
  <c r="AC72" i="3"/>
  <c r="AD72" i="3" s="1"/>
  <c r="S72" i="3"/>
  <c r="X72" i="3"/>
  <c r="Q72" i="3"/>
  <c r="F73" i="5" l="1"/>
  <c r="V72" i="3"/>
  <c r="F69" i="5"/>
  <c r="V68" i="3"/>
  <c r="AD68" i="3"/>
  <c r="CI69" i="5" l="1"/>
  <c r="BK69" i="5"/>
  <c r="BG69" i="5"/>
  <c r="BP69" i="5"/>
  <c r="BB69" i="5"/>
  <c r="AP69" i="5"/>
  <c r="O69" i="5"/>
  <c r="I69" i="5"/>
  <c r="AG69" i="5"/>
  <c r="X69" i="5"/>
  <c r="CI73" i="5"/>
  <c r="BK73" i="5"/>
  <c r="BG73" i="5"/>
  <c r="BJ73" i="5" s="1"/>
  <c r="BP73" i="5"/>
  <c r="BB73" i="5"/>
  <c r="AP73" i="5"/>
  <c r="O73" i="5"/>
  <c r="R19" i="9" s="1"/>
  <c r="R20" i="9" s="1"/>
  <c r="AG73" i="5"/>
  <c r="I73" i="5"/>
  <c r="X73" i="5"/>
  <c r="R19" i="11" s="1"/>
  <c r="R20" i="11" s="1"/>
  <c r="R19" i="42"/>
  <c r="R20" i="42" s="1"/>
  <c r="R19" i="12"/>
  <c r="R20" i="12" s="1"/>
  <c r="R14" i="31"/>
  <c r="R15" i="31" s="1"/>
  <c r="R14" i="27"/>
  <c r="R15" i="27" s="1"/>
  <c r="R19" i="51"/>
  <c r="R20" i="51" s="1"/>
  <c r="R19" i="19" l="1"/>
  <c r="R20" i="19" s="1"/>
  <c r="S56" i="3"/>
  <c r="X56" i="3"/>
  <c r="Q56" i="3"/>
  <c r="AC56" i="3"/>
  <c r="AD56" i="3" s="1"/>
  <c r="CN73" i="5"/>
  <c r="R19" i="44" s="1"/>
  <c r="CL73" i="5"/>
  <c r="R19" i="49" s="1"/>
  <c r="BE73" i="5"/>
  <c r="BN73" i="5"/>
  <c r="R19" i="20" s="1"/>
  <c r="AS73" i="5"/>
  <c r="R73" i="5"/>
  <c r="AJ73" i="5"/>
  <c r="CC73" i="5"/>
  <c r="R19" i="39" s="1"/>
  <c r="R20" i="39" s="1"/>
  <c r="AA73" i="5"/>
  <c r="R19" i="50"/>
  <c r="R20" i="50" s="1"/>
  <c r="BS73" i="5"/>
  <c r="BW73" i="5" s="1"/>
  <c r="R19" i="36" s="1"/>
  <c r="BT73" i="5"/>
  <c r="C25" i="42"/>
  <c r="C25" i="12"/>
  <c r="C20" i="31"/>
  <c r="C20" i="27"/>
  <c r="C25" i="51"/>
  <c r="C25" i="11"/>
  <c r="C25" i="19"/>
  <c r="CN69" i="5"/>
  <c r="CL69" i="5"/>
  <c r="BE69" i="5"/>
  <c r="R69" i="5"/>
  <c r="AS69" i="5"/>
  <c r="AJ69" i="5"/>
  <c r="CC69" i="5"/>
  <c r="AA69" i="5"/>
  <c r="C25" i="9"/>
  <c r="C25" i="50"/>
  <c r="BS69" i="5"/>
  <c r="BT69" i="5"/>
  <c r="BJ69" i="5"/>
  <c r="BN69" i="5" l="1"/>
  <c r="BW69" i="5"/>
  <c r="C25" i="40"/>
  <c r="C25" i="33"/>
  <c r="C25" i="15"/>
  <c r="R19" i="40"/>
  <c r="R20" i="40" s="1"/>
  <c r="R19" i="33"/>
  <c r="R20" i="33" s="1"/>
  <c r="R19" i="15"/>
  <c r="R20" i="15" s="1"/>
  <c r="R19" i="43"/>
  <c r="R19" i="14"/>
  <c r="V56" i="3"/>
  <c r="F57" i="5"/>
  <c r="AG57" i="5" l="1"/>
  <c r="CI57" i="5"/>
  <c r="BK57" i="5"/>
  <c r="BG57" i="5"/>
  <c r="BJ57" i="5" s="1"/>
  <c r="BP57" i="5"/>
  <c r="BB57" i="5"/>
  <c r="I57" i="5"/>
  <c r="AP57" i="5"/>
  <c r="O57" i="5"/>
  <c r="X57" i="5"/>
  <c r="CN57" i="5" l="1"/>
  <c r="CL57" i="5"/>
  <c r="BE57" i="5"/>
  <c r="BN57" i="5"/>
  <c r="AS57" i="5"/>
  <c r="R57" i="5"/>
  <c r="AJ57" i="5"/>
  <c r="CC57" i="5"/>
  <c r="AA57" i="5"/>
  <c r="BS57" i="5"/>
  <c r="BW57" i="5" s="1"/>
  <c r="BT57" i="5"/>
  <c r="AB66" i="3" l="1"/>
  <c r="AA66" i="3" l="1"/>
  <c r="Q66" i="3"/>
  <c r="X66" i="3"/>
  <c r="AF66" i="3" l="1"/>
  <c r="AD66" i="3"/>
  <c r="Z65" i="3" l="1"/>
  <c r="X65" i="3"/>
  <c r="Q65" i="3"/>
  <c r="AA65" i="3"/>
  <c r="AF65" i="3" s="1"/>
  <c r="P14" i="42"/>
  <c r="P14" i="12"/>
  <c r="P14" i="51"/>
  <c r="P9" i="31"/>
  <c r="P9" i="27"/>
  <c r="AD65" i="3" l="1"/>
  <c r="P13" i="42" l="1"/>
  <c r="P13" i="12"/>
  <c r="P8" i="27"/>
  <c r="P8" i="31"/>
  <c r="P13" i="51"/>
  <c r="O9" i="34" l="1"/>
  <c r="P9" i="34"/>
  <c r="N9" i="34" l="1"/>
  <c r="E14" i="34"/>
  <c r="T19" i="34" l="1"/>
  <c r="F7" i="34" s="1"/>
  <c r="Q9" i="34" l="1"/>
  <c r="E9" i="34" l="1"/>
  <c r="C26" i="34" l="1"/>
  <c r="E13" i="34"/>
  <c r="B19" i="34" s="1"/>
  <c r="F6" i="34" l="1"/>
  <c r="B20" i="34"/>
  <c r="F34" i="34" l="1"/>
  <c r="F36" i="34" l="1"/>
  <c r="F33" i="34"/>
  <c r="E34" i="27" l="1"/>
  <c r="E35" i="27"/>
  <c r="E36" i="51"/>
  <c r="E37" i="27"/>
  <c r="T54" i="3" l="1"/>
  <c r="G55" i="5" s="1"/>
  <c r="M54" i="52"/>
  <c r="L54" i="52"/>
  <c r="K54" i="52"/>
  <c r="T21" i="3"/>
  <c r="G22" i="5" s="1"/>
  <c r="CJ22" i="5" l="1"/>
  <c r="BQ22" i="5"/>
  <c r="BU22" i="5" s="1"/>
  <c r="BL22" i="5"/>
  <c r="P22" i="5"/>
  <c r="AQ22" i="5"/>
  <c r="AH22" i="5"/>
  <c r="Y22" i="5"/>
  <c r="BC22" i="5"/>
  <c r="AB54" i="52"/>
  <c r="AD54" i="52" s="1"/>
  <c r="Q54" i="52"/>
  <c r="X54" i="52"/>
  <c r="CJ55" i="5"/>
  <c r="BL55" i="5"/>
  <c r="BC55" i="5"/>
  <c r="AQ55" i="5"/>
  <c r="Y55" i="5"/>
  <c r="AH55" i="5"/>
  <c r="P55" i="5"/>
  <c r="AB54" i="3"/>
  <c r="Q54" i="3"/>
  <c r="X54" i="3"/>
  <c r="AU55" i="5"/>
  <c r="S54" i="3"/>
  <c r="AC54" i="3"/>
  <c r="V54" i="3" l="1"/>
  <c r="F55" i="5"/>
  <c r="B12" i="34"/>
  <c r="AV55" i="5"/>
  <c r="C12" i="51"/>
  <c r="D12" i="51" s="1"/>
  <c r="C12" i="42"/>
  <c r="D12" i="42" s="1"/>
  <c r="C7" i="31"/>
  <c r="D7" i="31" s="1"/>
  <c r="C7" i="27"/>
  <c r="D7" i="27" s="1"/>
  <c r="C7" i="17"/>
  <c r="D7" i="17" s="1"/>
  <c r="I7" i="17" s="1"/>
  <c r="C12" i="12"/>
  <c r="D12" i="12" s="1"/>
  <c r="AD54" i="3"/>
  <c r="C12" i="50" l="1"/>
  <c r="D12" i="50" s="1"/>
  <c r="CI55" i="5"/>
  <c r="BK55" i="5"/>
  <c r="BG55" i="5"/>
  <c r="BJ55" i="5" s="1"/>
  <c r="B12" i="20" s="1"/>
  <c r="BB55" i="5"/>
  <c r="X55" i="5"/>
  <c r="O55" i="5"/>
  <c r="I55" i="5"/>
  <c r="AP55" i="5"/>
  <c r="AG55" i="5"/>
  <c r="C12" i="11"/>
  <c r="D12" i="11" s="1"/>
  <c r="C12" i="34"/>
  <c r="D12" i="34" s="1"/>
  <c r="C12" i="22"/>
  <c r="C12" i="9"/>
  <c r="D12" i="9" s="1"/>
  <c r="C7" i="16"/>
  <c r="D7" i="16" s="1"/>
  <c r="I7" i="16" s="1"/>
  <c r="C12" i="19"/>
  <c r="D12" i="19" s="1"/>
  <c r="D9" i="19" s="1"/>
  <c r="D12" i="22" l="1"/>
  <c r="C12" i="49"/>
  <c r="D12" i="49" s="1"/>
  <c r="CN55" i="5"/>
  <c r="CL55" i="5"/>
  <c r="C12" i="44"/>
  <c r="D12" i="44" s="1"/>
  <c r="CC55" i="5"/>
  <c r="C12" i="43"/>
  <c r="D12" i="43" s="1"/>
  <c r="C12" i="40"/>
  <c r="D12" i="40" s="1"/>
  <c r="C12" i="39"/>
  <c r="D12" i="39" s="1"/>
  <c r="D9" i="39" s="1"/>
  <c r="BN55" i="5"/>
  <c r="C12" i="33"/>
  <c r="D12" i="33" s="1"/>
  <c r="AS55" i="5"/>
  <c r="R55" i="5"/>
  <c r="C12" i="15"/>
  <c r="D12" i="15" s="1"/>
  <c r="C12" i="20"/>
  <c r="D12" i="20" s="1"/>
  <c r="BE55" i="5"/>
  <c r="AA55" i="5"/>
  <c r="C12" i="14"/>
  <c r="D12" i="14" s="1"/>
  <c r="AJ55" i="5"/>
  <c r="I12" i="43" l="1"/>
  <c r="K29" i="52" l="1"/>
  <c r="L29" i="52"/>
  <c r="M29" i="52"/>
  <c r="T29" i="3"/>
  <c r="G30" i="5" s="1"/>
  <c r="CJ30" i="5" l="1"/>
  <c r="BQ30" i="5"/>
  <c r="BU30" i="5" s="1"/>
  <c r="BL30" i="5"/>
  <c r="AH30" i="5"/>
  <c r="AQ30" i="5"/>
  <c r="P30" i="5"/>
  <c r="Y30" i="5"/>
  <c r="BC30" i="5"/>
  <c r="AB29" i="52"/>
  <c r="AD29" i="52" s="1"/>
  <c r="Q29" i="52"/>
  <c r="X29" i="52"/>
  <c r="AU30" i="5"/>
  <c r="AV30" i="5" s="1"/>
  <c r="Z61" i="34" s="1"/>
  <c r="Z19" i="34" s="1"/>
  <c r="AB29" i="3"/>
  <c r="K30" i="52"/>
  <c r="M30" i="52"/>
  <c r="T30" i="3"/>
  <c r="G31" i="5" s="1"/>
  <c r="L30" i="52"/>
  <c r="M28" i="52"/>
  <c r="L28" i="52"/>
  <c r="T28" i="3"/>
  <c r="K28" i="52"/>
  <c r="AB28" i="52" l="1"/>
  <c r="Q28" i="52"/>
  <c r="X28" i="52"/>
  <c r="G29" i="5"/>
  <c r="CJ31" i="5"/>
  <c r="BQ31" i="5"/>
  <c r="BU31" i="5" s="1"/>
  <c r="BL31" i="5"/>
  <c r="AH31" i="5"/>
  <c r="P31" i="5"/>
  <c r="AQ31" i="5"/>
  <c r="Y31" i="5"/>
  <c r="BC31" i="5"/>
  <c r="AB30" i="52"/>
  <c r="AD30" i="52" s="1"/>
  <c r="Q30" i="52"/>
  <c r="X30" i="52"/>
  <c r="AB28" i="3"/>
  <c r="AU29" i="5"/>
  <c r="AV29" i="5" s="1"/>
  <c r="Y61" i="34" s="1"/>
  <c r="Y19" i="34" s="1"/>
  <c r="AC29" i="3"/>
  <c r="AD29" i="3" s="1"/>
  <c r="S29" i="3"/>
  <c r="Q29" i="3"/>
  <c r="X29" i="3"/>
  <c r="AU31" i="5"/>
  <c r="AV31" i="5" s="1"/>
  <c r="AA61" i="34" s="1"/>
  <c r="AC30" i="3"/>
  <c r="S30" i="3"/>
  <c r="AB30" i="3"/>
  <c r="Q30" i="3"/>
  <c r="X30" i="3"/>
  <c r="AD30" i="3" l="1"/>
  <c r="CJ29" i="5"/>
  <c r="BQ29" i="5"/>
  <c r="BU29" i="5" s="1"/>
  <c r="BL29" i="5"/>
  <c r="AQ29" i="5"/>
  <c r="Y29" i="5"/>
  <c r="P29" i="5"/>
  <c r="BC29" i="5"/>
  <c r="AH29" i="5"/>
  <c r="AD28" i="52"/>
  <c r="AC28" i="3"/>
  <c r="AD28" i="3" s="1"/>
  <c r="S28" i="3"/>
  <c r="X28" i="3"/>
  <c r="Q28" i="3"/>
  <c r="AA61" i="42"/>
  <c r="AA61" i="12"/>
  <c r="F31" i="5"/>
  <c r="V30" i="3"/>
  <c r="Z61" i="42"/>
  <c r="Z19" i="42" s="1"/>
  <c r="Z61" i="12"/>
  <c r="Z19" i="12" s="1"/>
  <c r="F30" i="5"/>
  <c r="V29" i="3"/>
  <c r="CI30" i="5" l="1"/>
  <c r="BK30" i="5"/>
  <c r="BG30" i="5"/>
  <c r="BJ30" i="5" s="1"/>
  <c r="BP30" i="5"/>
  <c r="O30" i="5"/>
  <c r="Z61" i="9" s="1"/>
  <c r="Z19" i="9" s="1"/>
  <c r="AP30" i="5"/>
  <c r="X30" i="5"/>
  <c r="Z61" i="11" s="1"/>
  <c r="Z19" i="11" s="1"/>
  <c r="BB30" i="5"/>
  <c r="AG30" i="5"/>
  <c r="I30" i="5"/>
  <c r="Z52" i="27"/>
  <c r="Z14" i="27" s="1"/>
  <c r="Z61" i="51"/>
  <c r="Z19" i="51" s="1"/>
  <c r="CI31" i="5"/>
  <c r="BK31" i="5"/>
  <c r="BG31" i="5"/>
  <c r="BJ31" i="5" s="1"/>
  <c r="BP31" i="5"/>
  <c r="O31" i="5"/>
  <c r="AA61" i="9" s="1"/>
  <c r="AP31" i="5"/>
  <c r="X31" i="5"/>
  <c r="AA61" i="11" s="1"/>
  <c r="BB31" i="5"/>
  <c r="AG31" i="5"/>
  <c r="I31" i="5"/>
  <c r="AA52" i="27"/>
  <c r="AA61" i="51"/>
  <c r="F29" i="5"/>
  <c r="V28" i="3"/>
  <c r="Z61" i="19" l="1"/>
  <c r="Z19" i="19" s="1"/>
  <c r="AA61" i="19"/>
  <c r="CI29" i="5"/>
  <c r="BK29" i="5"/>
  <c r="BG29" i="5"/>
  <c r="BJ29" i="5" s="1"/>
  <c r="BP29" i="5"/>
  <c r="AP29" i="5"/>
  <c r="BB29" i="5"/>
  <c r="X29" i="5"/>
  <c r="Y61" i="11" s="1"/>
  <c r="Y19" i="11" s="1"/>
  <c r="O29" i="5"/>
  <c r="Y61" i="9" s="1"/>
  <c r="Y19" i="9" s="1"/>
  <c r="AG29" i="5"/>
  <c r="I29" i="5"/>
  <c r="Y61" i="12"/>
  <c r="Y19" i="12" s="1"/>
  <c r="Y61" i="42"/>
  <c r="Y19" i="42" s="1"/>
  <c r="CN31" i="5"/>
  <c r="AA62" i="44" s="1"/>
  <c r="CL31" i="5"/>
  <c r="AA61" i="49" s="1"/>
  <c r="CC31" i="5"/>
  <c r="AA61" i="39" s="1"/>
  <c r="BN31" i="5"/>
  <c r="AA61" i="20" s="1"/>
  <c r="AS31" i="5"/>
  <c r="AA61" i="33" s="1"/>
  <c r="AA31" i="5"/>
  <c r="BE31" i="5"/>
  <c r="R31" i="5"/>
  <c r="AA61" i="14" s="1"/>
  <c r="AJ31" i="5"/>
  <c r="AA61" i="50"/>
  <c r="AA52" i="31"/>
  <c r="BT31" i="5"/>
  <c r="BS31" i="5"/>
  <c r="BW31" i="5" s="1"/>
  <c r="AA61" i="36" s="1"/>
  <c r="CN30" i="5"/>
  <c r="Z62" i="44" s="1"/>
  <c r="CL30" i="5"/>
  <c r="Z61" i="49" s="1"/>
  <c r="Z19" i="49" s="1"/>
  <c r="CC30" i="5"/>
  <c r="Z61" i="39" s="1"/>
  <c r="Z19" i="39" s="1"/>
  <c r="BN30" i="5"/>
  <c r="Z61" i="20" s="1"/>
  <c r="Z19" i="20" s="1"/>
  <c r="AA30" i="5"/>
  <c r="BE30" i="5"/>
  <c r="AS30" i="5"/>
  <c r="Z61" i="33" s="1"/>
  <c r="Z19" i="33" s="1"/>
  <c r="R30" i="5"/>
  <c r="AJ30" i="5"/>
  <c r="Z61" i="50"/>
  <c r="Z19" i="50" s="1"/>
  <c r="Z19" i="22"/>
  <c r="Z52" i="31"/>
  <c r="Z14" i="31" s="1"/>
  <c r="BT30" i="5"/>
  <c r="BS30" i="5"/>
  <c r="BW30" i="5" s="1"/>
  <c r="Z61" i="36" s="1"/>
  <c r="Z19" i="36" s="1"/>
  <c r="Y61" i="19" l="1"/>
  <c r="Y19" i="19" s="1"/>
  <c r="Z19" i="44"/>
  <c r="Z61" i="14"/>
  <c r="Z19" i="14" s="1"/>
  <c r="Z61" i="43"/>
  <c r="Z19" i="43" s="1"/>
  <c r="Z61" i="15"/>
  <c r="Z19" i="15" s="1"/>
  <c r="Z61" i="40"/>
  <c r="Z19" i="40" s="1"/>
  <c r="AA61" i="43"/>
  <c r="AA61" i="15"/>
  <c r="AA61" i="40"/>
  <c r="Y52" i="27"/>
  <c r="Y14" i="27" s="1"/>
  <c r="Y61" i="51"/>
  <c r="Y19" i="51" s="1"/>
  <c r="CN29" i="5"/>
  <c r="Y62" i="44" s="1"/>
  <c r="CL29" i="5"/>
  <c r="Y61" i="49" s="1"/>
  <c r="Y19" i="49" s="1"/>
  <c r="CC29" i="5"/>
  <c r="Y61" i="39" s="1"/>
  <c r="BN29" i="5"/>
  <c r="Y61" i="20" s="1"/>
  <c r="Y19" i="20" s="1"/>
  <c r="BE29" i="5"/>
  <c r="AA29" i="5"/>
  <c r="AS29" i="5"/>
  <c r="Y61" i="33" s="1"/>
  <c r="Y19" i="33" s="1"/>
  <c r="R29" i="5"/>
  <c r="AJ29" i="5"/>
  <c r="Y61" i="50"/>
  <c r="Y19" i="50" s="1"/>
  <c r="Y52" i="31"/>
  <c r="Y14" i="31" s="1"/>
  <c r="Y19" i="22"/>
  <c r="BT29" i="5"/>
  <c r="BS29" i="5"/>
  <c r="BW29" i="5" s="1"/>
  <c r="Y61" i="36" s="1"/>
  <c r="Y19" i="36" s="1"/>
  <c r="Y19" i="44" l="1"/>
  <c r="Y61" i="14"/>
  <c r="Y19" i="14" s="1"/>
  <c r="Y61" i="43"/>
  <c r="Y19" i="43" s="1"/>
  <c r="Y61" i="15"/>
  <c r="Y19" i="15" s="1"/>
  <c r="Y61" i="40"/>
  <c r="Y19" i="40" s="1"/>
  <c r="T31" i="3" l="1"/>
  <c r="G32" i="5" l="1"/>
  <c r="L21" i="52"/>
  <c r="M21" i="52"/>
  <c r="CJ32" i="5" l="1"/>
  <c r="BQ32" i="5"/>
  <c r="BU32" i="5" s="1"/>
  <c r="BL32" i="5"/>
  <c r="P32" i="5"/>
  <c r="BC32" i="5"/>
  <c r="Y32" i="5"/>
  <c r="AH32" i="5"/>
  <c r="AQ32" i="5"/>
  <c r="AC21" i="3"/>
  <c r="S21" i="3"/>
  <c r="AU22" i="5"/>
  <c r="AV22" i="5" s="1"/>
  <c r="K21" i="52"/>
  <c r="AB21" i="52" l="1"/>
  <c r="AD21" i="52" s="1"/>
  <c r="Q21" i="52"/>
  <c r="X21" i="52"/>
  <c r="X21" i="3"/>
  <c r="AB21" i="3"/>
  <c r="AD21" i="3" s="1"/>
  <c r="Q21" i="3"/>
  <c r="F22" i="5"/>
  <c r="V21" i="3"/>
  <c r="CI22" i="5" l="1"/>
  <c r="BK22" i="5"/>
  <c r="BG22" i="5"/>
  <c r="BJ22" i="5" s="1"/>
  <c r="BP22" i="5"/>
  <c r="I22" i="5"/>
  <c r="AP22" i="5"/>
  <c r="O22" i="5"/>
  <c r="BB22" i="5"/>
  <c r="X22" i="5"/>
  <c r="AG22" i="5"/>
  <c r="CN22" i="5" l="1"/>
  <c r="CC22" i="5"/>
  <c r="CL22" i="5"/>
  <c r="BN22" i="5"/>
  <c r="AA22" i="5"/>
  <c r="BE22" i="5"/>
  <c r="AS22" i="5"/>
  <c r="R22" i="5"/>
  <c r="AJ22" i="5"/>
  <c r="BS22" i="5"/>
  <c r="BW22" i="5" s="1"/>
  <c r="BT22" i="5"/>
  <c r="L59" i="52" l="1"/>
  <c r="L60" i="52" s="1"/>
  <c r="T59" i="3"/>
  <c r="G60" i="5" s="1"/>
  <c r="T33" i="3"/>
  <c r="G34" i="5" l="1"/>
  <c r="T34" i="3"/>
  <c r="CJ60" i="5"/>
  <c r="G61" i="5"/>
  <c r="BQ60" i="5"/>
  <c r="BU60" i="5" s="1"/>
  <c r="BL60" i="5"/>
  <c r="Y60" i="5"/>
  <c r="Y61" i="5" s="1"/>
  <c r="BC60" i="5"/>
  <c r="P60" i="5"/>
  <c r="P61" i="5" s="1"/>
  <c r="AH60" i="5"/>
  <c r="AQ60" i="5"/>
  <c r="AQ61" i="5" s="1"/>
  <c r="O34" i="3"/>
  <c r="O60" i="3"/>
  <c r="T60" i="3" s="1"/>
  <c r="O37" i="3"/>
  <c r="T37" i="3" s="1"/>
  <c r="AU60" i="5"/>
  <c r="AV60" i="5" s="1"/>
  <c r="X61" i="34" s="1"/>
  <c r="L60" i="3"/>
  <c r="AU61" i="5" s="1"/>
  <c r="AV61" i="5" s="1"/>
  <c r="L37" i="3"/>
  <c r="L37" i="52" s="1"/>
  <c r="L38" i="52" s="1"/>
  <c r="K59" i="52"/>
  <c r="K60" i="52" l="1"/>
  <c r="G38" i="5"/>
  <c r="T38" i="3"/>
  <c r="CJ61" i="5"/>
  <c r="BQ61" i="5"/>
  <c r="BU61" i="5" s="1"/>
  <c r="BL61" i="5"/>
  <c r="AH61" i="5"/>
  <c r="BC61" i="5"/>
  <c r="CJ34" i="5"/>
  <c r="BQ34" i="5"/>
  <c r="BU34" i="5" s="1"/>
  <c r="BL34" i="5"/>
  <c r="BC34" i="5"/>
  <c r="P34" i="5"/>
  <c r="Y34" i="5"/>
  <c r="AH34" i="5"/>
  <c r="AQ34" i="5"/>
  <c r="G35" i="5"/>
  <c r="K37" i="3"/>
  <c r="K37" i="52" s="1"/>
  <c r="K60" i="3"/>
  <c r="AU38" i="5"/>
  <c r="L38" i="3"/>
  <c r="AU39" i="5" s="1"/>
  <c r="X19" i="34"/>
  <c r="X57" i="34"/>
  <c r="U37" i="3"/>
  <c r="O38" i="3"/>
  <c r="U38" i="3" l="1"/>
  <c r="U45" i="3" s="1"/>
  <c r="H38" i="5"/>
  <c r="K38" i="52"/>
  <c r="CJ35" i="5"/>
  <c r="BQ35" i="5"/>
  <c r="BU35" i="5" s="1"/>
  <c r="BL35" i="5"/>
  <c r="AH35" i="5"/>
  <c r="BC35" i="5"/>
  <c r="Y35" i="5"/>
  <c r="P35" i="5"/>
  <c r="AQ35" i="5"/>
  <c r="CJ38" i="5"/>
  <c r="G39" i="5"/>
  <c r="BQ38" i="5"/>
  <c r="BU38" i="5" s="1"/>
  <c r="BL38" i="5"/>
  <c r="BC38" i="5"/>
  <c r="Y38" i="5"/>
  <c r="P38" i="5"/>
  <c r="AH38" i="5"/>
  <c r="AQ38" i="5"/>
  <c r="U46" i="3"/>
  <c r="U81" i="3"/>
  <c r="U82" i="3" s="1"/>
  <c r="K38" i="3"/>
  <c r="CK38" i="5" l="1"/>
  <c r="H39" i="5"/>
  <c r="BY38" i="5"/>
  <c r="AR38" i="5"/>
  <c r="Q38" i="5"/>
  <c r="Z38" i="5"/>
  <c r="BD38" i="5"/>
  <c r="AI38" i="5"/>
  <c r="AV38" i="5"/>
  <c r="CJ39" i="5"/>
  <c r="BQ39" i="5"/>
  <c r="BU39" i="5" s="1"/>
  <c r="BL39" i="5"/>
  <c r="P39" i="5"/>
  <c r="AH39" i="5"/>
  <c r="Y39" i="5"/>
  <c r="BC39" i="5"/>
  <c r="AQ39" i="5"/>
  <c r="U47" i="3"/>
  <c r="U79" i="3"/>
  <c r="CK39" i="5" l="1"/>
  <c r="BY39" i="5"/>
  <c r="AI39" i="5"/>
  <c r="Z39" i="5"/>
  <c r="BD39" i="5"/>
  <c r="AR39" i="5"/>
  <c r="Q39" i="5"/>
  <c r="H46" i="5"/>
  <c r="D49" i="38" s="1"/>
  <c r="AV39" i="5"/>
  <c r="D50" i="38" l="1"/>
  <c r="E50" i="38" s="1"/>
  <c r="F50" i="38" s="1"/>
  <c r="H50" i="38" s="1"/>
  <c r="E49" i="38"/>
  <c r="H49" i="38" s="1"/>
  <c r="CK46" i="5"/>
  <c r="CK83" i="5" s="1"/>
  <c r="CK84" i="5" s="1"/>
  <c r="AR46" i="5"/>
  <c r="AR83" i="5" s="1"/>
  <c r="AR84" i="5" s="1"/>
  <c r="Z46" i="5"/>
  <c r="Z83" i="5" s="1"/>
  <c r="Z84" i="5" s="1"/>
  <c r="Q46" i="5"/>
  <c r="Q83" i="5" s="1"/>
  <c r="Q84" i="5" s="1"/>
  <c r="BD46" i="5"/>
  <c r="BD83" i="5" s="1"/>
  <c r="BD84" i="5" s="1"/>
  <c r="AI46" i="5"/>
  <c r="AI83" i="5" s="1"/>
  <c r="AI84" i="5" s="1"/>
  <c r="H47" i="5"/>
  <c r="C54" i="38" s="1"/>
  <c r="D54" i="38" s="1"/>
  <c r="I54" i="38" s="1"/>
  <c r="BY46" i="5"/>
  <c r="H83" i="5"/>
  <c r="BY83" i="5" l="1"/>
  <c r="G54" i="38"/>
  <c r="AH61" i="38" s="1"/>
  <c r="AH65" i="38" s="1"/>
  <c r="AH70" i="38" s="1"/>
  <c r="H84" i="5"/>
  <c r="D7" i="38"/>
  <c r="BY84" i="5"/>
  <c r="BY87" i="5"/>
  <c r="G12" i="38"/>
  <c r="CK47" i="5"/>
  <c r="CK81" i="5" s="1"/>
  <c r="H48" i="5"/>
  <c r="BY47" i="5"/>
  <c r="BY81" i="5" s="1"/>
  <c r="Q47" i="5"/>
  <c r="Q81" i="5" s="1"/>
  <c r="AR47" i="5"/>
  <c r="AR81" i="5" s="1"/>
  <c r="Z47" i="5"/>
  <c r="Z81" i="5" s="1"/>
  <c r="BD47" i="5"/>
  <c r="BD81" i="5" s="1"/>
  <c r="AI47" i="5"/>
  <c r="AI81" i="5" s="1"/>
  <c r="H81" i="5"/>
  <c r="E7" i="38" l="1"/>
  <c r="H7" i="38" s="1"/>
  <c r="D8" i="38"/>
  <c r="E8" i="38" s="1"/>
  <c r="F8" i="38" s="1"/>
  <c r="H8" i="38" s="1"/>
  <c r="CK48" i="5"/>
  <c r="BY48" i="5"/>
  <c r="Z48" i="5"/>
  <c r="Q48" i="5"/>
  <c r="BD48" i="5"/>
  <c r="AR48" i="5"/>
  <c r="AI48" i="5"/>
  <c r="AH19" i="38"/>
  <c r="AH21" i="38" s="1"/>
  <c r="AH26" i="38" s="1"/>
  <c r="AH27" i="38" s="1"/>
  <c r="G9" i="38"/>
  <c r="G73" i="29"/>
  <c r="H73" i="29"/>
  <c r="I73" i="29"/>
  <c r="F73" i="29"/>
  <c r="F83" i="29" l="1"/>
  <c r="F84" i="29" s="1"/>
  <c r="F81" i="29"/>
  <c r="I83" i="29"/>
  <c r="I84" i="29" s="1"/>
  <c r="I81" i="29"/>
  <c r="AA73" i="29"/>
  <c r="H83" i="29"/>
  <c r="H84" i="29" s="1"/>
  <c r="H81" i="29"/>
  <c r="G83" i="29"/>
  <c r="G84" i="29" s="1"/>
  <c r="G81" i="29"/>
  <c r="E73" i="29"/>
  <c r="Z73" i="29" l="1"/>
  <c r="Q73" i="29"/>
  <c r="X73" i="29"/>
  <c r="E83" i="29"/>
  <c r="E84" i="29" s="1"/>
  <c r="E81" i="29"/>
  <c r="AA83" i="29"/>
  <c r="AA84" i="29" s="1"/>
  <c r="AA81" i="29"/>
  <c r="X83" i="29" l="1"/>
  <c r="X84" i="29" s="1"/>
  <c r="X81" i="29"/>
  <c r="Q83" i="29"/>
  <c r="Q84" i="29" s="1"/>
  <c r="Q81" i="29"/>
  <c r="AD73" i="29"/>
  <c r="Z83" i="29"/>
  <c r="Z84" i="29" s="1"/>
  <c r="Z81" i="29"/>
  <c r="AD83" i="29" l="1"/>
  <c r="AD84" i="29" s="1"/>
  <c r="AD81" i="29"/>
  <c r="AJ66" i="51" l="1"/>
  <c r="C7" i="51"/>
  <c r="C8" i="51" l="1"/>
  <c r="M53" i="51"/>
  <c r="L10" i="51" l="1"/>
  <c r="P9" i="51" s="1"/>
  <c r="N9" i="51" s="1"/>
  <c r="E54" i="51"/>
  <c r="T61" i="51"/>
  <c r="F49" i="51" s="1"/>
  <c r="E9" i="51" l="1"/>
  <c r="E14" i="51"/>
  <c r="Q9" i="51"/>
  <c r="C26" i="51" l="1"/>
  <c r="E13" i="51"/>
  <c r="T19" i="51"/>
  <c r="F7" i="51" s="1"/>
  <c r="B19" i="51" l="1"/>
  <c r="B20" i="51" l="1"/>
  <c r="F6" i="51"/>
  <c r="F36" i="50" l="1"/>
  <c r="F33" i="50"/>
  <c r="F34" i="50"/>
  <c r="F36" i="51" l="1"/>
  <c r="F33" i="51"/>
  <c r="F34" i="51"/>
  <c r="AC67" i="3" l="1"/>
  <c r="X67" i="3"/>
  <c r="Q67" i="3"/>
  <c r="S67" i="3"/>
  <c r="F68" i="5" l="1"/>
  <c r="V67" i="3"/>
  <c r="AD67" i="3"/>
  <c r="CI68" i="5" l="1"/>
  <c r="BK68" i="5"/>
  <c r="BG68" i="5"/>
  <c r="BP68" i="5"/>
  <c r="BB68" i="5"/>
  <c r="AP68" i="5"/>
  <c r="O68" i="5"/>
  <c r="AG68" i="5"/>
  <c r="X68" i="5"/>
  <c r="I68" i="5"/>
  <c r="CN68" i="5" l="1"/>
  <c r="CL68" i="5"/>
  <c r="CC68" i="5"/>
  <c r="AJ68" i="5"/>
  <c r="AS68" i="5"/>
  <c r="R68" i="5"/>
  <c r="BE68" i="5"/>
  <c r="AA68" i="5"/>
  <c r="P15" i="11"/>
  <c r="O19" i="11"/>
  <c r="P15" i="19"/>
  <c r="O19" i="19"/>
  <c r="P15" i="9"/>
  <c r="O19" i="9" s="1"/>
  <c r="P15" i="50"/>
  <c r="O19" i="50" s="1"/>
  <c r="O20" i="50" s="1"/>
  <c r="BT68" i="5"/>
  <c r="BS68" i="5"/>
  <c r="BJ68" i="5"/>
  <c r="P15" i="51"/>
  <c r="O19" i="51"/>
  <c r="O20" i="51" s="1"/>
  <c r="P15" i="42"/>
  <c r="P15" i="12"/>
  <c r="O19" i="42"/>
  <c r="O19" i="12"/>
  <c r="P10" i="31"/>
  <c r="P10" i="27"/>
  <c r="D14" i="27" s="1"/>
  <c r="D15" i="27" s="1"/>
  <c r="O14" i="31"/>
  <c r="O15" i="31" s="1"/>
  <c r="O14" i="27"/>
  <c r="O15" i="27" s="1"/>
  <c r="O20" i="12" l="1"/>
  <c r="O20" i="42"/>
  <c r="BN68" i="5"/>
  <c r="BW68" i="5"/>
  <c r="D23" i="22"/>
  <c r="O20" i="9"/>
  <c r="O20" i="19"/>
  <c r="O20" i="11"/>
  <c r="P15" i="33"/>
  <c r="O19" i="33" s="1"/>
  <c r="O20" i="33" s="1"/>
  <c r="P15" i="15"/>
  <c r="O19" i="15" s="1"/>
  <c r="O20" i="15" s="1"/>
  <c r="P15" i="40"/>
  <c r="O19" i="40" s="1"/>
  <c r="O20" i="40" s="1"/>
  <c r="P15" i="14"/>
  <c r="P15" i="43"/>
  <c r="O19" i="43"/>
  <c r="O19" i="14"/>
  <c r="P15" i="49"/>
  <c r="O19" i="49"/>
  <c r="P15" i="44"/>
  <c r="O19" i="44"/>
  <c r="P15" i="36" l="1"/>
  <c r="O19" i="36"/>
  <c r="P15" i="20"/>
  <c r="O19" i="20"/>
  <c r="F34" i="49" l="1"/>
  <c r="F33" i="49"/>
  <c r="F36" i="49"/>
  <c r="F36" i="44" l="1"/>
  <c r="F33" i="44"/>
  <c r="F34" i="44"/>
  <c r="S25" i="34" l="1"/>
  <c r="U22" i="34"/>
  <c r="D19" i="34"/>
  <c r="D20" i="34" s="1"/>
  <c r="S25" i="50"/>
  <c r="D19" i="50"/>
  <c r="D19" i="49" l="1"/>
  <c r="D20" i="50"/>
  <c r="S25" i="51"/>
  <c r="U23" i="51"/>
  <c r="D19" i="51"/>
  <c r="D20" i="51" l="1"/>
  <c r="I71" i="3" l="1"/>
  <c r="I71" i="52" s="1"/>
  <c r="G71" i="3" l="1"/>
  <c r="G71" i="52" s="1"/>
  <c r="F71" i="3"/>
  <c r="F71" i="52" s="1"/>
  <c r="E71" i="3"/>
  <c r="E71" i="52" l="1"/>
  <c r="Z71" i="3"/>
  <c r="Z71" i="52" l="1"/>
  <c r="J31" i="3" l="1"/>
  <c r="J71" i="3"/>
  <c r="J71" i="52" s="1"/>
  <c r="I31" i="3"/>
  <c r="I31" i="52" l="1"/>
  <c r="J31" i="52"/>
  <c r="I32" i="3"/>
  <c r="J32" i="3"/>
  <c r="J32" i="52" l="1"/>
  <c r="I32" i="52"/>
  <c r="P71" i="3" l="1"/>
  <c r="P32" i="3" l="1"/>
  <c r="P31" i="3"/>
  <c r="K71" i="3" l="1"/>
  <c r="K71" i="52" l="1"/>
  <c r="K32" i="3"/>
  <c r="K31" i="3"/>
  <c r="K31" i="52" l="1"/>
  <c r="K32" i="52"/>
  <c r="I18" i="3" l="1"/>
  <c r="I18" i="52" l="1"/>
  <c r="I22" i="52" s="1"/>
  <c r="I22" i="3"/>
  <c r="L71" i="3" l="1"/>
  <c r="L71" i="52" l="1"/>
  <c r="AU72" i="5"/>
  <c r="AV72" i="5" s="1"/>
  <c r="AB19" i="34" s="1"/>
  <c r="L32" i="3"/>
  <c r="L31" i="3"/>
  <c r="L31" i="52" l="1"/>
  <c r="AU32" i="5"/>
  <c r="AV32" i="5" s="1"/>
  <c r="AC61" i="34" s="1"/>
  <c r="L32" i="52"/>
  <c r="AU33" i="5"/>
  <c r="AV33" i="5" s="1"/>
  <c r="AC19" i="34" l="1"/>
  <c r="M71" i="3"/>
  <c r="M71" i="52" l="1"/>
  <c r="AB71" i="52" s="1"/>
  <c r="AB71" i="3"/>
  <c r="M32" i="3"/>
  <c r="M31" i="3"/>
  <c r="M31" i="52" l="1"/>
  <c r="AB31" i="52" s="1"/>
  <c r="AB31" i="3"/>
  <c r="M32" i="52"/>
  <c r="AB32" i="52" s="1"/>
  <c r="AB32" i="3"/>
  <c r="G31" i="3" l="1"/>
  <c r="G32" i="3"/>
  <c r="G32" i="52" s="1"/>
  <c r="G31" i="52" l="1"/>
  <c r="H71" i="3" l="1"/>
  <c r="H32" i="3"/>
  <c r="H32" i="52" l="1"/>
  <c r="AA32" i="52" s="1"/>
  <c r="AA32" i="3"/>
  <c r="H71" i="52"/>
  <c r="AA71" i="3"/>
  <c r="AF71" i="3" s="1"/>
  <c r="H31" i="3"/>
  <c r="H31" i="52" l="1"/>
  <c r="AA31" i="3"/>
  <c r="AA71" i="52"/>
  <c r="AD71" i="52" s="1"/>
  <c r="Q71" i="52"/>
  <c r="X71" i="52"/>
  <c r="AA31" i="52" l="1"/>
  <c r="N71" i="3" l="1"/>
  <c r="S71" i="3" l="1"/>
  <c r="AC71" i="3"/>
  <c r="AD71" i="3" s="1"/>
  <c r="X71" i="3"/>
  <c r="Q71" i="3"/>
  <c r="N32" i="3"/>
  <c r="N31" i="3"/>
  <c r="S31" i="3" l="1"/>
  <c r="AC31" i="3"/>
  <c r="S32" i="3"/>
  <c r="AC32" i="3"/>
  <c r="F72" i="5"/>
  <c r="V71" i="3"/>
  <c r="CI72" i="5" l="1"/>
  <c r="BK72" i="5"/>
  <c r="BG72" i="5"/>
  <c r="BJ72" i="5" s="1"/>
  <c r="BP72" i="5"/>
  <c r="O72" i="5"/>
  <c r="AB19" i="9" s="1"/>
  <c r="X72" i="5"/>
  <c r="AB19" i="11" s="1"/>
  <c r="AG72" i="5"/>
  <c r="BB72" i="5"/>
  <c r="AB19" i="50" s="1"/>
  <c r="AP72" i="5"/>
  <c r="AB19" i="22" s="1"/>
  <c r="I72" i="5"/>
  <c r="AB14" i="31"/>
  <c r="AB14" i="27"/>
  <c r="AB19" i="51"/>
  <c r="AB19" i="12"/>
  <c r="AB19" i="42"/>
  <c r="F33" i="5"/>
  <c r="V32" i="3"/>
  <c r="F32" i="5"/>
  <c r="V31" i="3"/>
  <c r="AB19" i="19" l="1"/>
  <c r="CI32" i="5"/>
  <c r="BK32" i="5"/>
  <c r="BG32" i="5"/>
  <c r="BJ32" i="5" s="1"/>
  <c r="BP32" i="5"/>
  <c r="X32" i="5"/>
  <c r="AC61" i="11" s="1"/>
  <c r="O32" i="5"/>
  <c r="AC61" i="9" s="1"/>
  <c r="BB32" i="5"/>
  <c r="AG32" i="5"/>
  <c r="AP32" i="5"/>
  <c r="I32" i="5"/>
  <c r="CI33" i="5"/>
  <c r="BK33" i="5"/>
  <c r="BG33" i="5"/>
  <c r="BJ33" i="5" s="1"/>
  <c r="BP33" i="5"/>
  <c r="O33" i="5"/>
  <c r="X33" i="5"/>
  <c r="AG33" i="5"/>
  <c r="BB33" i="5"/>
  <c r="AP33" i="5"/>
  <c r="I33" i="5"/>
  <c r="CN72" i="5"/>
  <c r="AB19" i="44" s="1"/>
  <c r="CL72" i="5"/>
  <c r="AB19" i="49" s="1"/>
  <c r="BN72" i="5"/>
  <c r="AB19" i="20" s="1"/>
  <c r="R72" i="5"/>
  <c r="AJ72" i="5"/>
  <c r="BE72" i="5"/>
  <c r="AS72" i="5"/>
  <c r="CC72" i="5"/>
  <c r="AB19" i="39" s="1"/>
  <c r="AA72" i="5"/>
  <c r="BT72" i="5"/>
  <c r="BS72" i="5"/>
  <c r="BW72" i="5" s="1"/>
  <c r="AB19" i="36" s="1"/>
  <c r="AC61" i="19" l="1"/>
  <c r="AC19" i="19" s="1"/>
  <c r="AC19" i="22"/>
  <c r="AC52" i="31"/>
  <c r="AC61" i="50"/>
  <c r="AB19" i="40"/>
  <c r="AB19" i="33"/>
  <c r="AB19" i="15"/>
  <c r="AB19" i="14"/>
  <c r="AB19" i="43"/>
  <c r="CL33" i="5"/>
  <c r="CC33" i="5"/>
  <c r="BN33" i="5"/>
  <c r="R33" i="5"/>
  <c r="AA33" i="5"/>
  <c r="AJ33" i="5"/>
  <c r="BE33" i="5"/>
  <c r="AS33" i="5"/>
  <c r="BT33" i="5"/>
  <c r="BS33" i="5"/>
  <c r="BW33" i="5" s="1"/>
  <c r="CN32" i="5"/>
  <c r="AC62" i="44" s="1"/>
  <c r="AC19" i="44" s="1"/>
  <c r="CL32" i="5"/>
  <c r="AC61" i="49" s="1"/>
  <c r="AC19" i="49" s="1"/>
  <c r="CC32" i="5"/>
  <c r="AC61" i="39" s="1"/>
  <c r="AC19" i="39" s="1"/>
  <c r="BN32" i="5"/>
  <c r="AC61" i="20" s="1"/>
  <c r="AC19" i="20" s="1"/>
  <c r="AA32" i="5"/>
  <c r="BE32" i="5"/>
  <c r="R32" i="5"/>
  <c r="AC61" i="14" s="1"/>
  <c r="AC19" i="14" s="1"/>
  <c r="AJ32" i="5"/>
  <c r="AS32" i="5"/>
  <c r="AC61" i="33" s="1"/>
  <c r="U85" i="50"/>
  <c r="AC19" i="50"/>
  <c r="AC19" i="9"/>
  <c r="V100" i="9"/>
  <c r="AC19" i="11"/>
  <c r="V84" i="11"/>
  <c r="BT32" i="5"/>
  <c r="BS32" i="5"/>
  <c r="BW32" i="5" s="1"/>
  <c r="AC61" i="36" s="1"/>
  <c r="AC19" i="36" s="1"/>
  <c r="AC14" i="31" l="1"/>
  <c r="V80" i="31"/>
  <c r="AC19" i="33"/>
  <c r="U88" i="33"/>
  <c r="U87" i="33" s="1"/>
  <c r="AC61" i="43"/>
  <c r="AC19" i="43" s="1"/>
  <c r="AC61" i="15"/>
  <c r="AC61" i="40"/>
  <c r="O18" i="3"/>
  <c r="T18" i="3" l="1"/>
  <c r="O22" i="3"/>
  <c r="U85" i="40"/>
  <c r="U84" i="40" s="1"/>
  <c r="AC19" i="40"/>
  <c r="AC19" i="15"/>
  <c r="U85" i="15"/>
  <c r="U84" i="15" s="1"/>
  <c r="G19" i="5" l="1"/>
  <c r="T22" i="3"/>
  <c r="CJ19" i="5" l="1"/>
  <c r="G23" i="5"/>
  <c r="BQ19" i="5"/>
  <c r="BU19" i="5" s="1"/>
  <c r="BL19" i="5"/>
  <c r="Y19" i="5"/>
  <c r="BC19" i="5"/>
  <c r="P19" i="5"/>
  <c r="AH19" i="5"/>
  <c r="AQ19" i="5"/>
  <c r="CJ23" i="5" l="1"/>
  <c r="BQ23" i="5"/>
  <c r="BU23" i="5" s="1"/>
  <c r="BL23" i="5"/>
  <c r="AH23" i="5"/>
  <c r="P23" i="5"/>
  <c r="Y23" i="5"/>
  <c r="BC23" i="5"/>
  <c r="AQ23" i="5"/>
  <c r="P18" i="3" l="1"/>
  <c r="P22" i="3" s="1"/>
  <c r="P25" i="3" l="1"/>
  <c r="P26" i="3" s="1"/>
  <c r="P63" i="3"/>
  <c r="P27" i="3" l="1"/>
  <c r="P80" i="3"/>
  <c r="F32" i="3" l="1"/>
  <c r="F32" i="52" s="1"/>
  <c r="E32" i="3"/>
  <c r="E32" i="52" l="1"/>
  <c r="Z32" i="3"/>
  <c r="X32" i="3"/>
  <c r="Q32" i="3"/>
  <c r="E31" i="3"/>
  <c r="F31" i="3"/>
  <c r="F31" i="52" l="1"/>
  <c r="E31" i="52"/>
  <c r="Z31" i="3"/>
  <c r="X31" i="3"/>
  <c r="Q31" i="3"/>
  <c r="AD32" i="3"/>
  <c r="AF32" i="3"/>
  <c r="Z32" i="52"/>
  <c r="AD32" i="52" s="1"/>
  <c r="Q32" i="52"/>
  <c r="X32" i="52"/>
  <c r="AF31" i="3" l="1"/>
  <c r="AD31" i="3"/>
  <c r="Z31" i="52"/>
  <c r="Q31" i="52"/>
  <c r="X31" i="52"/>
  <c r="AD31" i="52" l="1"/>
  <c r="AC61" i="12"/>
  <c r="AC61" i="42"/>
  <c r="AC19" i="42" s="1"/>
  <c r="AC52" i="27" l="1"/>
  <c r="AC19" i="12"/>
  <c r="V104" i="12"/>
  <c r="AC61" i="51"/>
  <c r="U85" i="51" l="1"/>
  <c r="AC19" i="51"/>
  <c r="AC14" i="27"/>
  <c r="V88" i="27"/>
  <c r="M59" i="3" l="1"/>
  <c r="M35" i="3"/>
  <c r="N35" i="3"/>
  <c r="P35" i="3"/>
  <c r="P59" i="3"/>
  <c r="E33" i="3"/>
  <c r="F33" i="3"/>
  <c r="G33" i="3"/>
  <c r="H33" i="3"/>
  <c r="J33" i="3"/>
  <c r="K33" i="3"/>
  <c r="L33" i="3"/>
  <c r="M33" i="3"/>
  <c r="N33" i="3"/>
  <c r="P33" i="3"/>
  <c r="P34" i="3" s="1"/>
  <c r="E41" i="3"/>
  <c r="F43" i="3"/>
  <c r="F43" i="52" s="1"/>
  <c r="F41" i="3"/>
  <c r="G41" i="3"/>
  <c r="H41" i="3"/>
  <c r="J43" i="3"/>
  <c r="J43" i="52" s="1"/>
  <c r="J41" i="3"/>
  <c r="K41" i="3"/>
  <c r="L41" i="3"/>
  <c r="M41" i="3"/>
  <c r="N41" i="3"/>
  <c r="O43" i="3"/>
  <c r="P43" i="3"/>
  <c r="P41" i="3"/>
  <c r="P44" i="3" s="1"/>
  <c r="T43" i="3" l="1"/>
  <c r="O44" i="3"/>
  <c r="O45" i="3" s="1"/>
  <c r="AC41" i="3"/>
  <c r="S41" i="3"/>
  <c r="M41" i="52"/>
  <c r="L41" i="52"/>
  <c r="AU42" i="5"/>
  <c r="AV42" i="5" s="1"/>
  <c r="AG61" i="34" s="1"/>
  <c r="AG19" i="34" s="1"/>
  <c r="K41" i="52"/>
  <c r="AB41" i="3"/>
  <c r="J41" i="52"/>
  <c r="J44" i="52" s="1"/>
  <c r="J44" i="3"/>
  <c r="H41" i="52"/>
  <c r="G41" i="52"/>
  <c r="F41" i="52"/>
  <c r="F44" i="52" s="1"/>
  <c r="F44" i="3"/>
  <c r="E41" i="52"/>
  <c r="Z41" i="3"/>
  <c r="AC33" i="3"/>
  <c r="AC34" i="3" s="1"/>
  <c r="S33" i="3"/>
  <c r="N34" i="3"/>
  <c r="M33" i="52"/>
  <c r="M34" i="52" s="1"/>
  <c r="M34" i="3"/>
  <c r="L33" i="52"/>
  <c r="L34" i="52" s="1"/>
  <c r="AU34" i="5"/>
  <c r="AV34" i="5" s="1"/>
  <c r="AD61" i="34" s="1"/>
  <c r="L34" i="3"/>
  <c r="AU35" i="5" s="1"/>
  <c r="AV35" i="5" s="1"/>
  <c r="K33" i="52"/>
  <c r="AB33" i="3"/>
  <c r="AB34" i="3" s="1"/>
  <c r="K34" i="3"/>
  <c r="J33" i="52"/>
  <c r="J34" i="52" s="1"/>
  <c r="J34" i="3"/>
  <c r="H33" i="52"/>
  <c r="H34" i="3"/>
  <c r="G33" i="52"/>
  <c r="G34" i="52" s="1"/>
  <c r="G34" i="3"/>
  <c r="F33" i="52"/>
  <c r="F34" i="52" s="1"/>
  <c r="F34" i="3"/>
  <c r="E33" i="52"/>
  <c r="Z33" i="3"/>
  <c r="E34" i="3"/>
  <c r="P60" i="3"/>
  <c r="P37" i="3"/>
  <c r="P38" i="3"/>
  <c r="P45" i="3" s="1"/>
  <c r="AC35" i="3"/>
  <c r="S35" i="3"/>
  <c r="M35" i="52"/>
  <c r="AB35" i="3"/>
  <c r="X35" i="3"/>
  <c r="Q35" i="3"/>
  <c r="M59" i="52"/>
  <c r="M60" i="3"/>
  <c r="M37" i="3"/>
  <c r="AB59" i="3"/>
  <c r="N43" i="3"/>
  <c r="K43" i="3"/>
  <c r="H43" i="3"/>
  <c r="E43" i="3"/>
  <c r="P64" i="3"/>
  <c r="O64" i="3"/>
  <c r="T64" i="3" s="1"/>
  <c r="G65" i="5" s="1"/>
  <c r="M64" i="3"/>
  <c r="M64" i="52" s="1"/>
  <c r="L64" i="3"/>
  <c r="J64" i="3"/>
  <c r="J64" i="52" s="1"/>
  <c r="G64" i="3"/>
  <c r="G64" i="52" s="1"/>
  <c r="F64" i="3"/>
  <c r="F64" i="52" s="1"/>
  <c r="N59" i="3"/>
  <c r="S59" i="3" l="1"/>
  <c r="N60" i="3"/>
  <c r="AC59" i="3"/>
  <c r="AD59" i="3" s="1"/>
  <c r="N37" i="3"/>
  <c r="X59" i="3"/>
  <c r="Q59" i="3"/>
  <c r="L64" i="52"/>
  <c r="AU65" i="5"/>
  <c r="AV65" i="5" s="1"/>
  <c r="AA19" i="34" s="1"/>
  <c r="CJ65" i="5"/>
  <c r="BQ65" i="5"/>
  <c r="BU65" i="5" s="1"/>
  <c r="BL65" i="5"/>
  <c r="P65" i="5"/>
  <c r="Y65" i="5"/>
  <c r="BC65" i="5"/>
  <c r="AH65" i="5"/>
  <c r="AQ65" i="5"/>
  <c r="E43" i="52"/>
  <c r="E44" i="52" s="1"/>
  <c r="E44" i="3"/>
  <c r="H43" i="52"/>
  <c r="H44" i="52" s="1"/>
  <c r="H45" i="52" s="1"/>
  <c r="H44" i="3"/>
  <c r="H45" i="3" s="1"/>
  <c r="K43" i="52"/>
  <c r="K44" i="52" s="1"/>
  <c r="K45" i="52" s="1"/>
  <c r="K44" i="3"/>
  <c r="K45" i="3" s="1"/>
  <c r="S43" i="3"/>
  <c r="S44" i="3" s="1"/>
  <c r="AC43" i="3"/>
  <c r="AC44" i="3" s="1"/>
  <c r="N44" i="3"/>
  <c r="M37" i="52"/>
  <c r="AB37" i="3"/>
  <c r="X37" i="3"/>
  <c r="Q37" i="3"/>
  <c r="M38" i="3"/>
  <c r="U60" i="3"/>
  <c r="AB60" i="3"/>
  <c r="Q60" i="3"/>
  <c r="M60" i="52"/>
  <c r="AB59" i="52"/>
  <c r="AD59" i="52" s="1"/>
  <c r="Q59" i="52"/>
  <c r="X59" i="52"/>
  <c r="AD35" i="3"/>
  <c r="AB38" i="3"/>
  <c r="Q35" i="52"/>
  <c r="X35" i="52"/>
  <c r="AB35" i="52"/>
  <c r="F36" i="5"/>
  <c r="V35" i="3"/>
  <c r="P81" i="3"/>
  <c r="P82" i="3" s="1"/>
  <c r="P46" i="3"/>
  <c r="Z34" i="3"/>
  <c r="Z33" i="52"/>
  <c r="E34" i="52"/>
  <c r="H34" i="52"/>
  <c r="AB33" i="52"/>
  <c r="AB34" i="52" s="1"/>
  <c r="K34" i="52"/>
  <c r="AD19" i="34"/>
  <c r="AA23" i="34" s="1"/>
  <c r="AA28" i="34" s="1"/>
  <c r="AA65" i="34"/>
  <c r="AA70" i="34" s="1"/>
  <c r="AD56" i="34"/>
  <c r="F34" i="5"/>
  <c r="V33" i="3"/>
  <c r="V34" i="3" s="1"/>
  <c r="S34" i="3"/>
  <c r="Z41" i="52"/>
  <c r="F45" i="3"/>
  <c r="F81" i="3" s="1"/>
  <c r="F45" i="52"/>
  <c r="F78" i="52" s="1"/>
  <c r="J45" i="3"/>
  <c r="J81" i="3" s="1"/>
  <c r="J45" i="52"/>
  <c r="J78" i="52" s="1"/>
  <c r="AB41" i="52"/>
  <c r="F42" i="5"/>
  <c r="V41" i="3"/>
  <c r="O81" i="3"/>
  <c r="G44" i="5"/>
  <c r="T44" i="3"/>
  <c r="T45" i="3" s="1"/>
  <c r="T81" i="3" s="1"/>
  <c r="X38" i="3" l="1"/>
  <c r="CJ44" i="5"/>
  <c r="G45" i="5"/>
  <c r="BQ44" i="5"/>
  <c r="BU44" i="5" s="1"/>
  <c r="BL44" i="5"/>
  <c r="BC44" i="5"/>
  <c r="Y44" i="5"/>
  <c r="P44" i="5"/>
  <c r="AH44" i="5"/>
  <c r="AQ44" i="5"/>
  <c r="CI42" i="5"/>
  <c r="BK42" i="5"/>
  <c r="BG42" i="5"/>
  <c r="BJ42" i="5" s="1"/>
  <c r="BP42" i="5"/>
  <c r="O42" i="5"/>
  <c r="AG61" i="9" s="1"/>
  <c r="AG19" i="9" s="1"/>
  <c r="X42" i="5"/>
  <c r="AG61" i="11" s="1"/>
  <c r="AG19" i="11" s="1"/>
  <c r="BB42" i="5"/>
  <c r="AG42" i="5"/>
  <c r="AP42" i="5"/>
  <c r="I42" i="5"/>
  <c r="E45" i="52"/>
  <c r="CI34" i="5"/>
  <c r="BK34" i="5"/>
  <c r="BG34" i="5"/>
  <c r="BJ34" i="5" s="1"/>
  <c r="BP34" i="5"/>
  <c r="X34" i="5"/>
  <c r="AD61" i="11" s="1"/>
  <c r="BB34" i="5"/>
  <c r="AD61" i="50" s="1"/>
  <c r="O34" i="5"/>
  <c r="AD61" i="9" s="1"/>
  <c r="AG34" i="5"/>
  <c r="AP34" i="5"/>
  <c r="I34" i="5"/>
  <c r="F35" i="5"/>
  <c r="AA29" i="34"/>
  <c r="Z34" i="52"/>
  <c r="P79" i="3"/>
  <c r="P47" i="3"/>
  <c r="BB36" i="5"/>
  <c r="U61" i="50" s="1"/>
  <c r="CI36" i="5"/>
  <c r="BK36" i="5"/>
  <c r="BG36" i="5"/>
  <c r="BJ36" i="5" s="1"/>
  <c r="BP36" i="5"/>
  <c r="X36" i="5"/>
  <c r="U61" i="11" s="1"/>
  <c r="O36" i="5"/>
  <c r="U61" i="9" s="1"/>
  <c r="AG36" i="5"/>
  <c r="AP36" i="5"/>
  <c r="I36" i="5"/>
  <c r="AD35" i="52"/>
  <c r="U61" i="12"/>
  <c r="U61" i="42"/>
  <c r="AB60" i="52"/>
  <c r="AD60" i="52" s="1"/>
  <c r="Q60" i="52"/>
  <c r="M38" i="52"/>
  <c r="Q38" i="52" s="1"/>
  <c r="AB37" i="52"/>
  <c r="Q37" i="52"/>
  <c r="X37" i="52"/>
  <c r="X38" i="52" s="1"/>
  <c r="F44" i="5"/>
  <c r="V43" i="3"/>
  <c r="V44" i="3" s="1"/>
  <c r="E45" i="3"/>
  <c r="X61" i="12"/>
  <c r="X61" i="42"/>
  <c r="AC37" i="3"/>
  <c r="S37" i="3"/>
  <c r="N38" i="3"/>
  <c r="AC60" i="3"/>
  <c r="AD60" i="3" s="1"/>
  <c r="S60" i="3"/>
  <c r="V60" i="3" s="1"/>
  <c r="X60" i="3" s="1"/>
  <c r="F60" i="5"/>
  <c r="V59" i="3"/>
  <c r="N64" i="3"/>
  <c r="K64" i="3"/>
  <c r="H64" i="3"/>
  <c r="E64" i="3"/>
  <c r="U52" i="31" l="1"/>
  <c r="U19" i="22"/>
  <c r="C25" i="22" s="1"/>
  <c r="AD19" i="22"/>
  <c r="AD52" i="31"/>
  <c r="AG61" i="19"/>
  <c r="AG19" i="19" s="1"/>
  <c r="U61" i="19"/>
  <c r="AD61" i="19"/>
  <c r="AA65" i="19" s="1"/>
  <c r="AA70" i="19" s="1"/>
  <c r="AG52" i="31"/>
  <c r="AG14" i="31" s="1"/>
  <c r="AG19" i="22"/>
  <c r="AH34" i="22"/>
  <c r="AJ36" i="22"/>
  <c r="AG61" i="50"/>
  <c r="AG19" i="50" s="1"/>
  <c r="E64" i="52"/>
  <c r="E78" i="52" s="1"/>
  <c r="Z64" i="3"/>
  <c r="H64" i="52"/>
  <c r="H81" i="3"/>
  <c r="K64" i="52"/>
  <c r="AB64" i="3"/>
  <c r="K81" i="3"/>
  <c r="S64" i="3"/>
  <c r="AC64" i="3"/>
  <c r="CI60" i="5"/>
  <c r="BK60" i="5"/>
  <c r="BG60" i="5"/>
  <c r="BJ60" i="5" s="1"/>
  <c r="BP60" i="5"/>
  <c r="O60" i="5"/>
  <c r="X61" i="9" s="1"/>
  <c r="X60" i="5"/>
  <c r="X61" i="11" s="1"/>
  <c r="BB60" i="5"/>
  <c r="AG60" i="5"/>
  <c r="AP60" i="5"/>
  <c r="F61" i="5"/>
  <c r="I60" i="5"/>
  <c r="N45" i="3"/>
  <c r="N81" i="3" s="1"/>
  <c r="Q38" i="3"/>
  <c r="F38" i="5"/>
  <c r="V37" i="3"/>
  <c r="V38" i="3" s="1"/>
  <c r="S38" i="3"/>
  <c r="S45" i="3" s="1"/>
  <c r="AC38" i="3"/>
  <c r="AC45" i="3" s="1"/>
  <c r="AD37" i="3"/>
  <c r="AD38" i="3" s="1"/>
  <c r="X52" i="27"/>
  <c r="X19" i="42"/>
  <c r="X57" i="42"/>
  <c r="X19" i="12"/>
  <c r="X57" i="12"/>
  <c r="X61" i="51"/>
  <c r="E81" i="3"/>
  <c r="V45" i="3"/>
  <c r="CI44" i="5"/>
  <c r="BK44" i="5"/>
  <c r="BG44" i="5"/>
  <c r="BJ44" i="5" s="1"/>
  <c r="BP44" i="5"/>
  <c r="BB44" i="5"/>
  <c r="O44" i="5"/>
  <c r="AH76" i="9" s="1"/>
  <c r="X44" i="5"/>
  <c r="AH66" i="11" s="1"/>
  <c r="AG44" i="5"/>
  <c r="AH66" i="19" s="1"/>
  <c r="AP44" i="5"/>
  <c r="AH57" i="31" s="1"/>
  <c r="I44" i="5"/>
  <c r="F45" i="5"/>
  <c r="AD37" i="52"/>
  <c r="AD38" i="52" s="1"/>
  <c r="AB38" i="52"/>
  <c r="U61" i="51"/>
  <c r="U19" i="42"/>
  <c r="U19" i="12"/>
  <c r="U52" i="27"/>
  <c r="CN36" i="5"/>
  <c r="U62" i="44" s="1"/>
  <c r="CL36" i="5"/>
  <c r="U61" i="49" s="1"/>
  <c r="CC36" i="5"/>
  <c r="U61" i="39" s="1"/>
  <c r="BN36" i="5"/>
  <c r="U61" i="20" s="1"/>
  <c r="R36" i="5"/>
  <c r="U61" i="14" s="1"/>
  <c r="AA36" i="5"/>
  <c r="BE36" i="5"/>
  <c r="AJ36" i="5"/>
  <c r="AS36" i="5"/>
  <c r="U61" i="33" s="1"/>
  <c r="U19" i="19"/>
  <c r="U19" i="9"/>
  <c r="U19" i="11"/>
  <c r="BT36" i="5"/>
  <c r="BS36" i="5"/>
  <c r="BW36" i="5" s="1"/>
  <c r="U61" i="36" s="1"/>
  <c r="U19" i="50"/>
  <c r="CI35" i="5"/>
  <c r="BK35" i="5"/>
  <c r="BG35" i="5"/>
  <c r="BJ35" i="5" s="1"/>
  <c r="BP35" i="5"/>
  <c r="X35" i="5"/>
  <c r="BB35" i="5"/>
  <c r="O35" i="5"/>
  <c r="AG35" i="5"/>
  <c r="AP35" i="5"/>
  <c r="I35" i="5"/>
  <c r="CN34" i="5"/>
  <c r="AD62" i="44" s="1"/>
  <c r="CL34" i="5"/>
  <c r="AD61" i="49" s="1"/>
  <c r="CC34" i="5"/>
  <c r="AD61" i="39" s="1"/>
  <c r="BN34" i="5"/>
  <c r="AD61" i="20" s="1"/>
  <c r="AA34" i="5"/>
  <c r="R34" i="5"/>
  <c r="AD61" i="14" s="1"/>
  <c r="BE34" i="5"/>
  <c r="AJ34" i="5"/>
  <c r="AS34" i="5"/>
  <c r="AD61" i="33" s="1"/>
  <c r="AD56" i="19"/>
  <c r="AD19" i="9"/>
  <c r="AA23" i="9" s="1"/>
  <c r="AA28" i="9" s="1"/>
  <c r="AA75" i="9"/>
  <c r="AA80" i="9" s="1"/>
  <c r="AD56" i="9"/>
  <c r="AA65" i="50"/>
  <c r="AA70" i="50" s="1"/>
  <c r="AD19" i="50"/>
  <c r="AA23" i="50" s="1"/>
  <c r="AA28" i="50" s="1"/>
  <c r="AD56" i="50"/>
  <c r="AD19" i="11"/>
  <c r="AA23" i="11" s="1"/>
  <c r="AA28" i="11" s="1"/>
  <c r="AD56" i="11"/>
  <c r="AA65" i="11"/>
  <c r="AA70" i="11" s="1"/>
  <c r="BT34" i="5"/>
  <c r="BS34" i="5"/>
  <c r="BW34" i="5" s="1"/>
  <c r="AD61" i="36" s="1"/>
  <c r="CN42" i="5"/>
  <c r="AG62" i="44" s="1"/>
  <c r="AG19" i="44" s="1"/>
  <c r="CL42" i="5"/>
  <c r="AG61" i="49" s="1"/>
  <c r="AG19" i="49" s="1"/>
  <c r="CC42" i="5"/>
  <c r="AG61" i="39" s="1"/>
  <c r="AG19" i="39" s="1"/>
  <c r="BN42" i="5"/>
  <c r="AG61" i="20" s="1"/>
  <c r="AG19" i="20" s="1"/>
  <c r="AA42" i="5"/>
  <c r="R42" i="5"/>
  <c r="AG61" i="14" s="1"/>
  <c r="AG19" i="14" s="1"/>
  <c r="AJ42" i="5"/>
  <c r="BE42" i="5"/>
  <c r="AS42" i="5"/>
  <c r="AG61" i="33" s="1"/>
  <c r="AG19" i="33" s="1"/>
  <c r="BT42" i="5"/>
  <c r="BS42" i="5"/>
  <c r="BW42" i="5" s="1"/>
  <c r="AG61" i="36" s="1"/>
  <c r="AG19" i="36" s="1"/>
  <c r="CJ45" i="5"/>
  <c r="BQ45" i="5"/>
  <c r="BU45" i="5" s="1"/>
  <c r="BL45" i="5"/>
  <c r="Y45" i="5"/>
  <c r="AH45" i="5"/>
  <c r="P45" i="5"/>
  <c r="BC45" i="5"/>
  <c r="AQ45" i="5"/>
  <c r="G46" i="5"/>
  <c r="X52" i="31" l="1"/>
  <c r="X19" i="22"/>
  <c r="X57" i="9"/>
  <c r="X19" i="9"/>
  <c r="AA56" i="31"/>
  <c r="AA61" i="31" s="1"/>
  <c r="AD14" i="31"/>
  <c r="AA18" i="31" s="1"/>
  <c r="AA23" i="31" s="1"/>
  <c r="AA24" i="31" s="1"/>
  <c r="AD47" i="31"/>
  <c r="AD14" i="22"/>
  <c r="AA33" i="22"/>
  <c r="AA40" i="22" s="1"/>
  <c r="X57" i="11"/>
  <c r="X19" i="11"/>
  <c r="AD19" i="19"/>
  <c r="AB21" i="19" s="1"/>
  <c r="AB26" i="19" s="1"/>
  <c r="AJ60" i="5"/>
  <c r="X61" i="19"/>
  <c r="U14" i="31"/>
  <c r="C52" i="31"/>
  <c r="C18" i="31" s="1"/>
  <c r="AB27" i="19"/>
  <c r="AC81" i="3"/>
  <c r="S81" i="3"/>
  <c r="AA29" i="50"/>
  <c r="CJ46" i="5"/>
  <c r="BQ46" i="5"/>
  <c r="BL46" i="5"/>
  <c r="BL83" i="5" s="1"/>
  <c r="AH46" i="5"/>
  <c r="BC46" i="5"/>
  <c r="Y46" i="5"/>
  <c r="P46" i="5"/>
  <c r="AQ46" i="5"/>
  <c r="G83" i="5"/>
  <c r="AG61" i="43"/>
  <c r="AG19" i="43" s="1"/>
  <c r="AG61" i="15"/>
  <c r="AG19" i="15" s="1"/>
  <c r="AG61" i="40"/>
  <c r="AG19" i="40" s="1"/>
  <c r="AB63" i="36"/>
  <c r="AB68" i="36" s="1"/>
  <c r="AD56" i="36"/>
  <c r="AD19" i="36"/>
  <c r="AB21" i="36" s="1"/>
  <c r="AB26" i="36" s="1"/>
  <c r="AA29" i="11"/>
  <c r="AA30" i="9"/>
  <c r="AA65" i="33"/>
  <c r="AA70" i="33" s="1"/>
  <c r="AD19" i="33"/>
  <c r="AA23" i="33" s="1"/>
  <c r="AA28" i="33" s="1"/>
  <c r="AA29" i="33" s="1"/>
  <c r="AD56" i="33"/>
  <c r="AD56" i="14"/>
  <c r="AD19" i="14"/>
  <c r="AB21" i="14" s="1"/>
  <c r="AB26" i="14" s="1"/>
  <c r="AB63" i="14"/>
  <c r="AB68" i="14" s="1"/>
  <c r="AD61" i="43"/>
  <c r="AD61" i="15"/>
  <c r="AD61" i="40"/>
  <c r="AD56" i="20"/>
  <c r="AD19" i="20"/>
  <c r="AB21" i="20" s="1"/>
  <c r="AB26" i="20" s="1"/>
  <c r="AB63" i="20"/>
  <c r="AB68" i="20" s="1"/>
  <c r="AA65" i="39"/>
  <c r="AA70" i="39" s="1"/>
  <c r="AD19" i="39"/>
  <c r="AB21" i="39" s="1"/>
  <c r="AB26" i="39" s="1"/>
  <c r="AB27" i="39" s="1"/>
  <c r="AD56" i="39"/>
  <c r="AB63" i="49"/>
  <c r="AB68" i="49" s="1"/>
  <c r="AD56" i="49"/>
  <c r="AD19" i="49"/>
  <c r="AB21" i="49" s="1"/>
  <c r="AB26" i="49" s="1"/>
  <c r="AB27" i="49" s="1"/>
  <c r="AB64" i="44"/>
  <c r="AB69" i="44" s="1"/>
  <c r="AD57" i="44"/>
  <c r="AD19" i="44"/>
  <c r="AB21" i="44" s="1"/>
  <c r="AB26" i="44" s="1"/>
  <c r="CN35" i="5"/>
  <c r="CL35" i="5"/>
  <c r="CC35" i="5"/>
  <c r="BN35" i="5"/>
  <c r="BE35" i="5"/>
  <c r="R35" i="5"/>
  <c r="AJ35" i="5"/>
  <c r="AA35" i="5"/>
  <c r="AS35" i="5"/>
  <c r="BT35" i="5"/>
  <c r="BS35" i="5"/>
  <c r="BW35" i="5" s="1"/>
  <c r="C61" i="36"/>
  <c r="U19" i="36"/>
  <c r="G7" i="36" s="1"/>
  <c r="G49" i="36"/>
  <c r="U19" i="33"/>
  <c r="G7" i="33" s="1"/>
  <c r="G49" i="33"/>
  <c r="G50" i="33" s="1"/>
  <c r="U61" i="43"/>
  <c r="U61" i="15"/>
  <c r="U61" i="40"/>
  <c r="U19" i="14"/>
  <c r="U19" i="20"/>
  <c r="C64" i="39"/>
  <c r="C61" i="39"/>
  <c r="U19" i="39"/>
  <c r="U19" i="49"/>
  <c r="U19" i="44"/>
  <c r="U14" i="27"/>
  <c r="C56" i="27"/>
  <c r="U19" i="51"/>
  <c r="CI45" i="5"/>
  <c r="BK45" i="5"/>
  <c r="BG45" i="5"/>
  <c r="BJ45" i="5" s="1"/>
  <c r="BP45" i="5"/>
  <c r="O45" i="5"/>
  <c r="X45" i="5"/>
  <c r="BB45" i="5"/>
  <c r="AG45" i="5"/>
  <c r="AP45" i="5"/>
  <c r="I45" i="5"/>
  <c r="CN44" i="5"/>
  <c r="AH65" i="44" s="1"/>
  <c r="CL44" i="5"/>
  <c r="AH64" i="49" s="1"/>
  <c r="CC44" i="5"/>
  <c r="AH66" i="39" s="1"/>
  <c r="AJ67" i="39" s="1"/>
  <c r="BN44" i="5"/>
  <c r="AH64" i="20" s="1"/>
  <c r="AJ65" i="20" s="1"/>
  <c r="AA44" i="5"/>
  <c r="BE44" i="5"/>
  <c r="R44" i="5"/>
  <c r="AJ44" i="5"/>
  <c r="AS44" i="5"/>
  <c r="AH66" i="33" s="1"/>
  <c r="AJ58" i="31"/>
  <c r="AH19" i="31"/>
  <c r="AJ67" i="19"/>
  <c r="AH22" i="19"/>
  <c r="AH24" i="11"/>
  <c r="AJ67" i="11"/>
  <c r="U85" i="11" s="1"/>
  <c r="U83" i="11" s="1"/>
  <c r="AH24" i="9"/>
  <c r="AJ77" i="9"/>
  <c r="U101" i="9" s="1"/>
  <c r="U99" i="9" s="1"/>
  <c r="BT44" i="5"/>
  <c r="BS44" i="5"/>
  <c r="BW44" i="5" s="1"/>
  <c r="AH64" i="36" s="1"/>
  <c r="AJ65" i="36" s="1"/>
  <c r="X19" i="51"/>
  <c r="X57" i="51"/>
  <c r="X14" i="27"/>
  <c r="X48" i="27"/>
  <c r="CI38" i="5"/>
  <c r="BK38" i="5"/>
  <c r="BG38" i="5"/>
  <c r="BJ38" i="5" s="1"/>
  <c r="BP38" i="5"/>
  <c r="O38" i="5"/>
  <c r="BB38" i="5"/>
  <c r="X61" i="50" s="1"/>
  <c r="X38" i="5"/>
  <c r="AG38" i="5"/>
  <c r="AP38" i="5"/>
  <c r="I38" i="5"/>
  <c r="F39" i="5"/>
  <c r="CN60" i="5"/>
  <c r="CL60" i="5"/>
  <c r="CC60" i="5"/>
  <c r="X61" i="39" s="1"/>
  <c r="BE60" i="5"/>
  <c r="BN60" i="5"/>
  <c r="CI61" i="5"/>
  <c r="BP61" i="5"/>
  <c r="BK61" i="5"/>
  <c r="BG61" i="5"/>
  <c r="BJ61" i="5" s="1"/>
  <c r="BB61" i="5"/>
  <c r="AG61" i="5"/>
  <c r="AJ61" i="5" s="1"/>
  <c r="I61" i="5"/>
  <c r="AP61" i="5"/>
  <c r="AS61" i="5" s="1"/>
  <c r="AS60" i="5"/>
  <c r="X61" i="5"/>
  <c r="AA61" i="5" s="1"/>
  <c r="AA60" i="5"/>
  <c r="O61" i="5"/>
  <c r="R61" i="5" s="1"/>
  <c r="R60" i="5"/>
  <c r="BT60" i="5"/>
  <c r="BS60" i="5"/>
  <c r="BW60" i="5" s="1"/>
  <c r="X61" i="37" s="1"/>
  <c r="F65" i="5"/>
  <c r="V64" i="3"/>
  <c r="V81" i="3" s="1"/>
  <c r="AB64" i="52"/>
  <c r="K78" i="52"/>
  <c r="H78" i="52"/>
  <c r="Z64" i="52"/>
  <c r="X57" i="19" l="1"/>
  <c r="X19" i="19"/>
  <c r="V97" i="19"/>
  <c r="U83" i="19" s="1"/>
  <c r="X48" i="31"/>
  <c r="V81" i="31" s="1"/>
  <c r="V79" i="31" s="1"/>
  <c r="X14" i="31"/>
  <c r="AB27" i="44"/>
  <c r="AB27" i="36"/>
  <c r="CI65" i="5"/>
  <c r="BK65" i="5"/>
  <c r="BG65" i="5"/>
  <c r="BJ65" i="5" s="1"/>
  <c r="BP65" i="5"/>
  <c r="X65" i="5"/>
  <c r="AA19" i="11" s="1"/>
  <c r="BB65" i="5"/>
  <c r="AA19" i="50" s="1"/>
  <c r="O65" i="5"/>
  <c r="AA19" i="9" s="1"/>
  <c r="AG65" i="5"/>
  <c r="AP65" i="5"/>
  <c r="AA19" i="22" s="1"/>
  <c r="I65" i="5"/>
  <c r="X57" i="37"/>
  <c r="V97" i="37" s="1"/>
  <c r="U83" i="37" s="1"/>
  <c r="X19" i="37"/>
  <c r="CN61" i="5"/>
  <c r="CL61" i="5"/>
  <c r="CC61" i="5"/>
  <c r="BE61" i="5"/>
  <c r="BN61" i="5"/>
  <c r="BT61" i="5"/>
  <c r="BS61" i="5"/>
  <c r="BW61" i="5" s="1"/>
  <c r="X19" i="39"/>
  <c r="X57" i="39"/>
  <c r="V97" i="39" s="1"/>
  <c r="U83" i="39" s="1"/>
  <c r="G49" i="39"/>
  <c r="CI39" i="5"/>
  <c r="BK39" i="5"/>
  <c r="BG39" i="5"/>
  <c r="BJ39" i="5" s="1"/>
  <c r="BP39" i="5"/>
  <c r="BB39" i="5"/>
  <c r="X39" i="5"/>
  <c r="O39" i="5"/>
  <c r="AG39" i="5"/>
  <c r="AP39" i="5"/>
  <c r="I39" i="5"/>
  <c r="F46" i="5"/>
  <c r="CN38" i="5"/>
  <c r="X62" i="44" s="1"/>
  <c r="CL38" i="5"/>
  <c r="X61" i="49" s="1"/>
  <c r="CC38" i="5"/>
  <c r="BN38" i="5"/>
  <c r="X61" i="20" s="1"/>
  <c r="BE38" i="5"/>
  <c r="R38" i="5"/>
  <c r="X61" i="14" s="1"/>
  <c r="AA38" i="5"/>
  <c r="AJ38" i="5"/>
  <c r="AS38" i="5"/>
  <c r="X61" i="33" s="1"/>
  <c r="X19" i="50"/>
  <c r="X57" i="50"/>
  <c r="U87" i="50" s="1"/>
  <c r="U84" i="50" s="1"/>
  <c r="BT38" i="5"/>
  <c r="BS38" i="5"/>
  <c r="BW38" i="5" s="1"/>
  <c r="X61" i="36" s="1"/>
  <c r="AJ67" i="33"/>
  <c r="AH24" i="33"/>
  <c r="AH73" i="43"/>
  <c r="AH64" i="14"/>
  <c r="AH66" i="40"/>
  <c r="AH66" i="15"/>
  <c r="AJ65" i="49"/>
  <c r="AH22" i="49"/>
  <c r="AJ66" i="44"/>
  <c r="AH22" i="44"/>
  <c r="CN45" i="5"/>
  <c r="CL45" i="5"/>
  <c r="CC45" i="5"/>
  <c r="BN45" i="5"/>
  <c r="BE45" i="5"/>
  <c r="R45" i="5"/>
  <c r="AA45" i="5"/>
  <c r="AJ45" i="5"/>
  <c r="AS45" i="5"/>
  <c r="BT45" i="5"/>
  <c r="BS45" i="5"/>
  <c r="BW45" i="5" s="1"/>
  <c r="C23" i="39"/>
  <c r="C19" i="39"/>
  <c r="G49" i="40"/>
  <c r="G50" i="40" s="1"/>
  <c r="U19" i="40"/>
  <c r="G7" i="40" s="1"/>
  <c r="U19" i="15"/>
  <c r="G7" i="15" s="1"/>
  <c r="G49" i="15"/>
  <c r="G50" i="15" s="1"/>
  <c r="U19" i="43"/>
  <c r="G48" i="36"/>
  <c r="G50" i="36" s="1"/>
  <c r="AB27" i="20"/>
  <c r="AA65" i="40"/>
  <c r="AA70" i="40" s="1"/>
  <c r="AD19" i="40"/>
  <c r="AA23" i="40" s="1"/>
  <c r="AA28" i="40" s="1"/>
  <c r="AD56" i="40"/>
  <c r="AA65" i="15"/>
  <c r="AA70" i="15" s="1"/>
  <c r="AD19" i="15"/>
  <c r="AA23" i="15" s="1"/>
  <c r="AA28" i="15" s="1"/>
  <c r="AD56" i="15"/>
  <c r="AD56" i="43"/>
  <c r="AB72" i="43"/>
  <c r="AB77" i="43" s="1"/>
  <c r="AD19" i="43"/>
  <c r="AB21" i="43" s="1"/>
  <c r="AB26" i="43" s="1"/>
  <c r="AB27" i="14"/>
  <c r="D7" i="22"/>
  <c r="E7" i="22" s="1"/>
  <c r="AQ83" i="5"/>
  <c r="P83" i="5"/>
  <c r="Y83" i="5"/>
  <c r="BC83" i="5"/>
  <c r="AH83" i="5"/>
  <c r="BU46" i="5"/>
  <c r="BU83" i="5" s="1"/>
  <c r="BQ83" i="5"/>
  <c r="CJ83" i="5"/>
  <c r="D49" i="34" l="1"/>
  <c r="D49" i="11"/>
  <c r="E49" i="11" s="1"/>
  <c r="D49" i="19"/>
  <c r="E49" i="19" s="1"/>
  <c r="D49" i="9"/>
  <c r="E49" i="9" s="1"/>
  <c r="AA19" i="19"/>
  <c r="AA29" i="40"/>
  <c r="AA29" i="15"/>
  <c r="AB27" i="43"/>
  <c r="C20" i="39"/>
  <c r="G6" i="39"/>
  <c r="AJ67" i="15"/>
  <c r="AH24" i="15"/>
  <c r="AJ67" i="40"/>
  <c r="AH24" i="40"/>
  <c r="AH22" i="14"/>
  <c r="AJ65" i="14"/>
  <c r="AJ74" i="43"/>
  <c r="AH22" i="43"/>
  <c r="X57" i="36"/>
  <c r="U94" i="36" s="1"/>
  <c r="U91" i="36" s="1"/>
  <c r="X19" i="36"/>
  <c r="X19" i="33"/>
  <c r="X57" i="33"/>
  <c r="U90" i="33" s="1"/>
  <c r="X61" i="43"/>
  <c r="X61" i="15"/>
  <c r="X61" i="40"/>
  <c r="X19" i="14"/>
  <c r="X57" i="14"/>
  <c r="X57" i="20"/>
  <c r="U94" i="20" s="1"/>
  <c r="U91" i="20" s="1"/>
  <c r="X19" i="20"/>
  <c r="X57" i="49"/>
  <c r="X19" i="49"/>
  <c r="X58" i="44"/>
  <c r="X19" i="44"/>
  <c r="D49" i="50"/>
  <c r="E49" i="50" s="1"/>
  <c r="CI46" i="5"/>
  <c r="CI83" i="5" s="1"/>
  <c r="F83" i="5"/>
  <c r="BK46" i="5"/>
  <c r="BK83" i="5" s="1"/>
  <c r="BG46" i="5"/>
  <c r="BP46" i="5"/>
  <c r="X46" i="5"/>
  <c r="O46" i="5"/>
  <c r="BB46" i="5"/>
  <c r="AG46" i="5"/>
  <c r="AP46" i="5"/>
  <c r="I46" i="5"/>
  <c r="CN39" i="5"/>
  <c r="CL39" i="5"/>
  <c r="CC39" i="5"/>
  <c r="BN39" i="5"/>
  <c r="BE39" i="5"/>
  <c r="R39" i="5"/>
  <c r="AA39" i="5"/>
  <c r="AJ39" i="5"/>
  <c r="AS39" i="5"/>
  <c r="BT39" i="5"/>
  <c r="BS39" i="5"/>
  <c r="BW39" i="5" s="1"/>
  <c r="CN65" i="5"/>
  <c r="AA19" i="44" s="1"/>
  <c r="CL65" i="5"/>
  <c r="AA19" i="49" s="1"/>
  <c r="CC65" i="5"/>
  <c r="AA19" i="39" s="1"/>
  <c r="BN65" i="5"/>
  <c r="AA19" i="20" s="1"/>
  <c r="R65" i="5"/>
  <c r="AJ65" i="5"/>
  <c r="BE65" i="5"/>
  <c r="AA65" i="5"/>
  <c r="AS65" i="5"/>
  <c r="BT65" i="5"/>
  <c r="BS65" i="5"/>
  <c r="BW65" i="5" s="1"/>
  <c r="AA19" i="36" s="1"/>
  <c r="AP83" i="5" l="1"/>
  <c r="G12" i="22" s="1"/>
  <c r="G45" i="31"/>
  <c r="AH52" i="31" s="1"/>
  <c r="AH56" i="31" s="1"/>
  <c r="AH61" i="31" s="1"/>
  <c r="D7" i="50"/>
  <c r="E7" i="50" s="1"/>
  <c r="D7" i="11"/>
  <c r="E7" i="11" s="1"/>
  <c r="D7" i="34"/>
  <c r="D7" i="19"/>
  <c r="E7" i="19" s="1"/>
  <c r="D7" i="9"/>
  <c r="E7" i="9" s="1"/>
  <c r="O83" i="5"/>
  <c r="G12" i="9" s="1"/>
  <c r="G9" i="9" s="1"/>
  <c r="G54" i="9"/>
  <c r="AH61" i="9" s="1"/>
  <c r="AG83" i="5"/>
  <c r="G54" i="19"/>
  <c r="AH61" i="19" s="1"/>
  <c r="X83" i="5"/>
  <c r="G12" i="11" s="1"/>
  <c r="G54" i="11"/>
  <c r="AH61" i="11" s="1"/>
  <c r="AH19" i="22"/>
  <c r="AA19" i="33"/>
  <c r="AA19" i="40"/>
  <c r="AA19" i="15"/>
  <c r="AA19" i="14"/>
  <c r="AA19" i="43"/>
  <c r="G7" i="39"/>
  <c r="G8" i="39" s="1"/>
  <c r="AH19" i="39"/>
  <c r="AH21" i="39" s="1"/>
  <c r="AH26" i="39" s="1"/>
  <c r="D49" i="49"/>
  <c r="E49" i="49" s="1"/>
  <c r="CN46" i="5"/>
  <c r="CL46" i="5"/>
  <c r="D50" i="44"/>
  <c r="E50" i="44" s="1"/>
  <c r="D49" i="43"/>
  <c r="E49" i="43" s="1"/>
  <c r="D49" i="39"/>
  <c r="E49" i="39" s="1"/>
  <c r="H49" i="39" s="1"/>
  <c r="CC46" i="5"/>
  <c r="D49" i="40"/>
  <c r="E49" i="40" s="1"/>
  <c r="H49" i="40" s="1"/>
  <c r="D49" i="33"/>
  <c r="E49" i="33" s="1"/>
  <c r="H49" i="33" s="1"/>
  <c r="D49" i="20"/>
  <c r="AA46" i="5"/>
  <c r="D49" i="15"/>
  <c r="E49" i="15" s="1"/>
  <c r="H49" i="15" s="1"/>
  <c r="BE46" i="5"/>
  <c r="BE83" i="5" s="1"/>
  <c r="D49" i="14"/>
  <c r="E49" i="14" s="1"/>
  <c r="R46" i="5"/>
  <c r="AJ46" i="5"/>
  <c r="AJ83" i="5" s="1"/>
  <c r="AS46" i="5"/>
  <c r="I83" i="5"/>
  <c r="G54" i="50"/>
  <c r="AH61" i="50" s="1"/>
  <c r="BB83" i="5"/>
  <c r="G12" i="50" s="1"/>
  <c r="G9" i="11"/>
  <c r="AH19" i="11"/>
  <c r="BP83" i="5"/>
  <c r="BT46" i="5"/>
  <c r="BT83" i="5" s="1"/>
  <c r="BS46" i="5"/>
  <c r="BG83" i="5"/>
  <c r="BJ46" i="5"/>
  <c r="X19" i="40"/>
  <c r="X57" i="40"/>
  <c r="U87" i="40" s="1"/>
  <c r="X57" i="15"/>
  <c r="U87" i="15" s="1"/>
  <c r="X19" i="15"/>
  <c r="X57" i="43"/>
  <c r="X19" i="43"/>
  <c r="AH75" i="9" l="1"/>
  <c r="AH80" i="9" s="1"/>
  <c r="G49" i="9"/>
  <c r="H49" i="9" s="1"/>
  <c r="AH65" i="11"/>
  <c r="AH70" i="11" s="1"/>
  <c r="G49" i="11"/>
  <c r="H49" i="11" s="1"/>
  <c r="G12" i="19"/>
  <c r="AH19" i="9"/>
  <c r="G49" i="19"/>
  <c r="H49" i="19" s="1"/>
  <c r="AH65" i="19"/>
  <c r="AH70" i="19" s="1"/>
  <c r="AH33" i="22"/>
  <c r="AH38" i="22" s="1"/>
  <c r="G7" i="22"/>
  <c r="H7" i="22" s="1"/>
  <c r="AH19" i="43"/>
  <c r="AH21" i="43" s="1"/>
  <c r="AH26" i="43" s="1"/>
  <c r="BJ83" i="5"/>
  <c r="C7" i="20" s="1"/>
  <c r="C49" i="20"/>
  <c r="E49" i="20" s="1"/>
  <c r="BN46" i="5"/>
  <c r="C49" i="36"/>
  <c r="E49" i="36" s="1"/>
  <c r="H49" i="36" s="1"/>
  <c r="BW46" i="5"/>
  <c r="BS83" i="5"/>
  <c r="AH23" i="11"/>
  <c r="AH28" i="11" s="1"/>
  <c r="AH29" i="11" s="1"/>
  <c r="G7" i="11"/>
  <c r="H7" i="11" s="1"/>
  <c r="AH23" i="9"/>
  <c r="AH28" i="9" s="1"/>
  <c r="AH29" i="9" s="1"/>
  <c r="G7" i="9"/>
  <c r="H7" i="9" s="1"/>
  <c r="AH19" i="50"/>
  <c r="G9" i="50"/>
  <c r="AH65" i="50"/>
  <c r="AH70" i="50" s="1"/>
  <c r="G49" i="50"/>
  <c r="H49" i="50" s="1"/>
  <c r="D7" i="49"/>
  <c r="E7" i="49" s="1"/>
  <c r="D7" i="44"/>
  <c r="E7" i="44" s="1"/>
  <c r="D7" i="43"/>
  <c r="E7" i="43" s="1"/>
  <c r="D7" i="40"/>
  <c r="E7" i="40" s="1"/>
  <c r="H7" i="40" s="1"/>
  <c r="D7" i="39"/>
  <c r="E7" i="39" s="1"/>
  <c r="H7" i="39" s="1"/>
  <c r="D7" i="33"/>
  <c r="E7" i="33" s="1"/>
  <c r="H7" i="33" s="1"/>
  <c r="D7" i="14"/>
  <c r="E7" i="14" s="1"/>
  <c r="D7" i="20"/>
  <c r="D7" i="15"/>
  <c r="E7" i="15" s="1"/>
  <c r="H7" i="15" s="1"/>
  <c r="G54" i="33"/>
  <c r="AH61" i="33" s="1"/>
  <c r="AH65" i="33" s="1"/>
  <c r="AH70" i="33" s="1"/>
  <c r="AS83" i="5"/>
  <c r="R83" i="5"/>
  <c r="G12" i="14" s="1"/>
  <c r="G54" i="14"/>
  <c r="AH61" i="14" s="1"/>
  <c r="G54" i="40"/>
  <c r="AH61" i="40" s="1"/>
  <c r="AH65" i="40" s="1"/>
  <c r="AH70" i="40" s="1"/>
  <c r="G54" i="15"/>
  <c r="AH61" i="15" s="1"/>
  <c r="AH65" i="15" s="1"/>
  <c r="AH70" i="15" s="1"/>
  <c r="AA83" i="5"/>
  <c r="G54" i="43"/>
  <c r="G54" i="39"/>
  <c r="AH61" i="39" s="1"/>
  <c r="AH65" i="39" s="1"/>
  <c r="AH70" i="39" s="1"/>
  <c r="AH27" i="39" s="1"/>
  <c r="CC83" i="5"/>
  <c r="CL83" i="5"/>
  <c r="G12" i="49" s="1"/>
  <c r="G54" i="49"/>
  <c r="AH61" i="49" s="1"/>
  <c r="CN83" i="5"/>
  <c r="G12" i="44" s="1"/>
  <c r="G55" i="44"/>
  <c r="AH62" i="44" s="1"/>
  <c r="AH19" i="19" l="1"/>
  <c r="G9" i="19"/>
  <c r="E7" i="20"/>
  <c r="G7" i="43"/>
  <c r="H7" i="43" s="1"/>
  <c r="AH64" i="44"/>
  <c r="AH69" i="44" s="1"/>
  <c r="G50" i="44"/>
  <c r="H50" i="44" s="1"/>
  <c r="AH19" i="44"/>
  <c r="G9" i="44"/>
  <c r="AH63" i="49"/>
  <c r="AH68" i="49" s="1"/>
  <c r="G49" i="49"/>
  <c r="H49" i="49" s="1"/>
  <c r="AH19" i="49"/>
  <c r="G9" i="49"/>
  <c r="AH61" i="43"/>
  <c r="G9" i="43"/>
  <c r="G12" i="33"/>
  <c r="G12" i="40"/>
  <c r="G12" i="15"/>
  <c r="AH63" i="14"/>
  <c r="AH68" i="14" s="1"/>
  <c r="G49" i="14"/>
  <c r="H49" i="14" s="1"/>
  <c r="G9" i="14"/>
  <c r="AH19" i="14"/>
  <c r="AH23" i="50"/>
  <c r="AH28" i="50" s="1"/>
  <c r="AH29" i="50" s="1"/>
  <c r="G7" i="50"/>
  <c r="H7" i="50" s="1"/>
  <c r="BW83" i="5"/>
  <c r="G54" i="36"/>
  <c r="AH61" i="36" s="1"/>
  <c r="AH63" i="36" s="1"/>
  <c r="AH68" i="36" s="1"/>
  <c r="BN83" i="5"/>
  <c r="G12" i="20" s="1"/>
  <c r="G54" i="20"/>
  <c r="AH61" i="20" s="1"/>
  <c r="AH21" i="19" l="1"/>
  <c r="AH26" i="19" s="1"/>
  <c r="AH27" i="19" s="1"/>
  <c r="G7" i="19"/>
  <c r="H7" i="19" s="1"/>
  <c r="AH63" i="20"/>
  <c r="AH68" i="20" s="1"/>
  <c r="G49" i="20"/>
  <c r="H49" i="20" s="1"/>
  <c r="AH19" i="20"/>
  <c r="G9" i="20"/>
  <c r="C7" i="36"/>
  <c r="E7" i="36" s="1"/>
  <c r="H7" i="36" s="1"/>
  <c r="G12" i="36"/>
  <c r="AH21" i="14"/>
  <c r="AH26" i="14" s="1"/>
  <c r="AH27" i="14" s="1"/>
  <c r="G7" i="14"/>
  <c r="H7" i="14" s="1"/>
  <c r="G9" i="15"/>
  <c r="AH19" i="15"/>
  <c r="AH23" i="15" s="1"/>
  <c r="AH28" i="15" s="1"/>
  <c r="AH29" i="15" s="1"/>
  <c r="AH19" i="40"/>
  <c r="AH23" i="40" s="1"/>
  <c r="AH28" i="40" s="1"/>
  <c r="AH29" i="40" s="1"/>
  <c r="G9" i="40"/>
  <c r="AH19" i="33"/>
  <c r="AH23" i="33" s="1"/>
  <c r="AH28" i="33" s="1"/>
  <c r="AH29" i="33" s="1"/>
  <c r="G9" i="33"/>
  <c r="AH72" i="43"/>
  <c r="AH77" i="43" s="1"/>
  <c r="AH27" i="43" s="1"/>
  <c r="G49" i="43"/>
  <c r="H49" i="43" s="1"/>
  <c r="AH21" i="49"/>
  <c r="AH26" i="49" s="1"/>
  <c r="AH27" i="49" s="1"/>
  <c r="G7" i="49"/>
  <c r="H7" i="49" s="1"/>
  <c r="AH21" i="44"/>
  <c r="AH26" i="44" s="1"/>
  <c r="AH27" i="44" s="1"/>
  <c r="G7" i="44"/>
  <c r="H7" i="44" s="1"/>
  <c r="AH19" i="36" l="1"/>
  <c r="AH21" i="36" s="1"/>
  <c r="AH26" i="36" s="1"/>
  <c r="AH27" i="36" s="1"/>
  <c r="G9" i="36"/>
  <c r="AH21" i="20"/>
  <c r="AH26" i="20" s="1"/>
  <c r="AH27" i="20" s="1"/>
  <c r="G7" i="20"/>
  <c r="H7" i="20" s="1"/>
  <c r="G43" i="3" l="1"/>
  <c r="G43" i="52" l="1"/>
  <c r="G44" i="3"/>
  <c r="Z43" i="3"/>
  <c r="Z44" i="3" l="1"/>
  <c r="Z45" i="3" s="1"/>
  <c r="Z81" i="3" s="1"/>
  <c r="G45" i="3"/>
  <c r="G44" i="52"/>
  <c r="Z43" i="52"/>
  <c r="Z44" i="52" l="1"/>
  <c r="Z45" i="52" s="1"/>
  <c r="Z78" i="52" s="1"/>
  <c r="G45" i="52"/>
  <c r="G81" i="3"/>
  <c r="G78" i="52" l="1"/>
  <c r="I41" i="3" l="1"/>
  <c r="I33" i="3"/>
  <c r="I33" i="52" l="1"/>
  <c r="I34" i="3"/>
  <c r="Q34" i="3" s="1"/>
  <c r="AA33" i="3"/>
  <c r="X33" i="3"/>
  <c r="Q33" i="3"/>
  <c r="I41" i="52"/>
  <c r="AA41" i="3"/>
  <c r="X41" i="3"/>
  <c r="Q41" i="3"/>
  <c r="I43" i="3"/>
  <c r="I43" i="52" l="1"/>
  <c r="AA43" i="3"/>
  <c r="I44" i="3"/>
  <c r="AF41" i="3"/>
  <c r="AA44" i="3"/>
  <c r="AD41" i="3"/>
  <c r="I44" i="52"/>
  <c r="Q41" i="52"/>
  <c r="X41" i="52"/>
  <c r="AA41" i="52"/>
  <c r="X34" i="3"/>
  <c r="AF33" i="3"/>
  <c r="AA34" i="3"/>
  <c r="AF34" i="3" s="1"/>
  <c r="AD33" i="3"/>
  <c r="AD34" i="3" s="1"/>
  <c r="I34" i="52"/>
  <c r="Q34" i="52" s="1"/>
  <c r="Q33" i="52"/>
  <c r="X33" i="52"/>
  <c r="X34" i="52" s="1"/>
  <c r="AA33" i="52"/>
  <c r="AA34" i="52" l="1"/>
  <c r="AD33" i="52"/>
  <c r="AD34" i="52" s="1"/>
  <c r="AD61" i="42"/>
  <c r="AD61" i="12"/>
  <c r="AD41" i="52"/>
  <c r="I45" i="52"/>
  <c r="AF44" i="3"/>
  <c r="AA45" i="3"/>
  <c r="AG61" i="42"/>
  <c r="AG19" i="42" s="1"/>
  <c r="AG61" i="12"/>
  <c r="AG19" i="12" s="1"/>
  <c r="I45" i="3"/>
  <c r="AF43" i="3"/>
  <c r="AA43" i="52"/>
  <c r="I64" i="3"/>
  <c r="I64" i="52" l="1"/>
  <c r="I78" i="52" s="1"/>
  <c r="X64" i="3"/>
  <c r="Q64" i="3"/>
  <c r="AA64" i="3"/>
  <c r="AA81" i="3" s="1"/>
  <c r="AA44" i="52"/>
  <c r="AA45" i="52" s="1"/>
  <c r="I81" i="3"/>
  <c r="AG52" i="27"/>
  <c r="AG14" i="27" s="1"/>
  <c r="AG61" i="51"/>
  <c r="AG19" i="51" s="1"/>
  <c r="AF45" i="3"/>
  <c r="AD52" i="27"/>
  <c r="AD19" i="12"/>
  <c r="AA23" i="12" s="1"/>
  <c r="AA28" i="12" s="1"/>
  <c r="AA77" i="12"/>
  <c r="AA82" i="12" s="1"/>
  <c r="AD56" i="12"/>
  <c r="AA73" i="42"/>
  <c r="AA78" i="42" s="1"/>
  <c r="AD19" i="42"/>
  <c r="AA23" i="42" s="1"/>
  <c r="AA28" i="42" s="1"/>
  <c r="AD56" i="42"/>
  <c r="AD61" i="51"/>
  <c r="AA29" i="42" l="1"/>
  <c r="AA65" i="51"/>
  <c r="AA70" i="51" s="1"/>
  <c r="AD19" i="51"/>
  <c r="AA23" i="51" s="1"/>
  <c r="AA28" i="51" s="1"/>
  <c r="AD56" i="51"/>
  <c r="AA29" i="12"/>
  <c r="AA56" i="27"/>
  <c r="AA61" i="27" s="1"/>
  <c r="AD14" i="27"/>
  <c r="AA18" i="27" s="1"/>
  <c r="AA23" i="27" s="1"/>
  <c r="AD47" i="27"/>
  <c r="AF64" i="3"/>
  <c r="AF81" i="3" s="1"/>
  <c r="AD64" i="3"/>
  <c r="AA64" i="52"/>
  <c r="Q64" i="52"/>
  <c r="X64" i="52"/>
  <c r="AA29" i="51" l="1"/>
  <c r="AA24" i="27"/>
  <c r="AD64" i="52"/>
  <c r="AA78" i="52"/>
  <c r="AA14" i="27"/>
  <c r="AA14" i="31"/>
  <c r="AA19" i="12"/>
  <c r="AA19" i="42"/>
  <c r="AA19" i="51"/>
  <c r="J18" i="3" l="1"/>
  <c r="J18" i="52" l="1"/>
  <c r="J22" i="52" s="1"/>
  <c r="J22" i="3"/>
  <c r="K18" i="3" l="1"/>
  <c r="K18" i="52" l="1"/>
  <c r="K22" i="3"/>
  <c r="K22" i="52" l="1"/>
  <c r="L18" i="3" l="1"/>
  <c r="L18" i="52" l="1"/>
  <c r="AU19" i="5"/>
  <c r="AV19" i="5" s="1"/>
  <c r="L22" i="3"/>
  <c r="AU23" i="5" l="1"/>
  <c r="AV23" i="5" s="1"/>
  <c r="L22" i="52"/>
  <c r="L43" i="3" l="1"/>
  <c r="L43" i="52" l="1"/>
  <c r="AU44" i="5"/>
  <c r="AV44" i="5" s="1"/>
  <c r="AH66" i="34" s="1"/>
  <c r="L44" i="3"/>
  <c r="AU45" i="5" l="1"/>
  <c r="AV45" i="5" s="1"/>
  <c r="L45" i="3"/>
  <c r="AJ67" i="34"/>
  <c r="U86" i="34" s="1"/>
  <c r="U84" i="34" s="1"/>
  <c r="AH24" i="34"/>
  <c r="L44" i="52"/>
  <c r="L45" i="52" l="1"/>
  <c r="AU46" i="5"/>
  <c r="L81" i="3"/>
  <c r="C49" i="34" l="1"/>
  <c r="E49" i="34" s="1"/>
  <c r="AV46" i="5"/>
  <c r="AU83" i="5"/>
  <c r="C7" i="34" s="1"/>
  <c r="E7" i="34" s="1"/>
  <c r="L78" i="52"/>
  <c r="AV83" i="5" l="1"/>
  <c r="G12" i="34" s="1"/>
  <c r="G54" i="34"/>
  <c r="AH61" i="34" s="1"/>
  <c r="G18" i="3"/>
  <c r="E18" i="3"/>
  <c r="F18" i="3"/>
  <c r="H18" i="3"/>
  <c r="AH65" i="34" l="1"/>
  <c r="AH70" i="34" s="1"/>
  <c r="G49" i="34"/>
  <c r="H49" i="34" s="1"/>
  <c r="AH19" i="34"/>
  <c r="G9" i="34"/>
  <c r="H18" i="52"/>
  <c r="H22" i="3"/>
  <c r="AA18" i="3"/>
  <c r="F18" i="52"/>
  <c r="F22" i="52" s="1"/>
  <c r="F22" i="3"/>
  <c r="E18" i="52"/>
  <c r="E22" i="3"/>
  <c r="Z18" i="3"/>
  <c r="G22" i="3"/>
  <c r="G18" i="52"/>
  <c r="G22" i="52" s="1"/>
  <c r="AH23" i="34" l="1"/>
  <c r="AH28" i="34" s="1"/>
  <c r="AH29" i="34" s="1"/>
  <c r="G7" i="34"/>
  <c r="H7" i="34" s="1"/>
  <c r="Z22" i="3"/>
  <c r="E22" i="52"/>
  <c r="Z18" i="52"/>
  <c r="AA22" i="3"/>
  <c r="AF18" i="3"/>
  <c r="H22" i="52"/>
  <c r="AA18" i="52"/>
  <c r="AA22" i="52" s="1"/>
  <c r="AF22" i="3" l="1"/>
  <c r="Z22" i="52"/>
  <c r="M43" i="3" l="1"/>
  <c r="M43" i="52" l="1"/>
  <c r="M44" i="3"/>
  <c r="AB43" i="3"/>
  <c r="X43" i="3"/>
  <c r="Q43" i="3"/>
  <c r="X44" i="3" l="1"/>
  <c r="X45" i="3" s="1"/>
  <c r="X81" i="3" s="1"/>
  <c r="AB44" i="3"/>
  <c r="AB45" i="3" s="1"/>
  <c r="AB81" i="3" s="1"/>
  <c r="AD43" i="3"/>
  <c r="AD44" i="3" s="1"/>
  <c r="AD45" i="3" s="1"/>
  <c r="AD81" i="3" s="1"/>
  <c r="M45" i="3"/>
  <c r="Q44" i="3"/>
  <c r="M44" i="52"/>
  <c r="AB43" i="52"/>
  <c r="Q43" i="52"/>
  <c r="X43" i="52"/>
  <c r="X44" i="52" s="1"/>
  <c r="X45" i="52" s="1"/>
  <c r="X78" i="52" s="1"/>
  <c r="AB44" i="52" l="1"/>
  <c r="AB45" i="52" s="1"/>
  <c r="AB78" i="52" s="1"/>
  <c r="AD43" i="52"/>
  <c r="AD44" i="52" s="1"/>
  <c r="AD45" i="52" s="1"/>
  <c r="AD78" i="52" s="1"/>
  <c r="M45" i="52"/>
  <c r="Q44" i="52"/>
  <c r="M81" i="3"/>
  <c r="Q45" i="3"/>
  <c r="Q81" i="3" s="1"/>
  <c r="AH57" i="27" l="1"/>
  <c r="AH74" i="42"/>
  <c r="AH78" i="12"/>
  <c r="AH66" i="51"/>
  <c r="M78" i="52"/>
  <c r="Q45" i="52"/>
  <c r="Q78" i="52" s="1"/>
  <c r="AJ67" i="51" l="1"/>
  <c r="U87" i="51" s="1"/>
  <c r="U84" i="51" s="1"/>
  <c r="AH24" i="51"/>
  <c r="AJ79" i="12"/>
  <c r="U105" i="12" s="1"/>
  <c r="U103" i="12" s="1"/>
  <c r="W99" i="12" s="1"/>
  <c r="AH24" i="12"/>
  <c r="AJ75" i="42"/>
  <c r="U98" i="42" s="1"/>
  <c r="U96" i="42" s="1"/>
  <c r="AH24" i="42"/>
  <c r="AJ58" i="27"/>
  <c r="V89" i="27" s="1"/>
  <c r="V87" i="27" s="1"/>
  <c r="AH19" i="27"/>
  <c r="D49" i="51"/>
  <c r="E49" i="51" s="1"/>
  <c r="D49" i="42"/>
  <c r="E49" i="42" s="1"/>
  <c r="D49" i="12"/>
  <c r="E49" i="12" s="1"/>
  <c r="D7" i="51" l="1"/>
  <c r="E7" i="51" s="1"/>
  <c r="D7" i="42"/>
  <c r="E7" i="42" s="1"/>
  <c r="D7" i="12"/>
  <c r="E7" i="12" s="1"/>
  <c r="G45" i="27"/>
  <c r="AH52" i="27" s="1"/>
  <c r="AH56" i="27" s="1"/>
  <c r="AH61" i="27" s="1"/>
  <c r="G12" i="12"/>
  <c r="G54" i="12"/>
  <c r="AH61" i="12" s="1"/>
  <c r="G12" i="42"/>
  <c r="G54" i="42"/>
  <c r="AH61" i="42" s="1"/>
  <c r="G54" i="51"/>
  <c r="AH61" i="51" s="1"/>
  <c r="AH65" i="51" l="1"/>
  <c r="AH70" i="51" s="1"/>
  <c r="G49" i="51"/>
  <c r="G12" i="51"/>
  <c r="AH73" i="42"/>
  <c r="AH78" i="42" s="1"/>
  <c r="G49" i="42"/>
  <c r="H49" i="42" s="1"/>
  <c r="AH19" i="42"/>
  <c r="G9" i="42"/>
  <c r="AH77" i="12"/>
  <c r="AH82" i="12" s="1"/>
  <c r="G49" i="12"/>
  <c r="H49" i="12" s="1"/>
  <c r="AH19" i="12"/>
  <c r="G9" i="12"/>
  <c r="G7" i="31"/>
  <c r="G7" i="27"/>
  <c r="AH14" i="27" l="1"/>
  <c r="AH18" i="27" s="1"/>
  <c r="AH23" i="27" s="1"/>
  <c r="AH24" i="27" s="1"/>
  <c r="G3" i="27"/>
  <c r="G3" i="31"/>
  <c r="AH14" i="31"/>
  <c r="AH18" i="31" s="1"/>
  <c r="AH23" i="31" s="1"/>
  <c r="AH24" i="31" s="1"/>
  <c r="AH23" i="12"/>
  <c r="AH28" i="12" s="1"/>
  <c r="AH29" i="12" s="1"/>
  <c r="G7" i="12"/>
  <c r="H7" i="12" s="1"/>
  <c r="AH23" i="42"/>
  <c r="AH28" i="42" s="1"/>
  <c r="AH29" i="42" s="1"/>
  <c r="G7" i="42"/>
  <c r="H7" i="42" s="1"/>
  <c r="AH19" i="51"/>
  <c r="G9" i="51"/>
  <c r="H49" i="51"/>
  <c r="AH23" i="51" l="1"/>
  <c r="AH28" i="51" s="1"/>
  <c r="AH29" i="51" s="1"/>
  <c r="G7" i="51"/>
  <c r="H7" i="51" s="1"/>
  <c r="N18" i="3"/>
  <c r="S18" i="3" l="1"/>
  <c r="N22" i="3"/>
  <c r="AC18" i="3"/>
  <c r="AC22" i="3" s="1"/>
  <c r="S22" i="3" l="1"/>
  <c r="F19" i="5"/>
  <c r="V18" i="3"/>
  <c r="V22" i="3" s="1"/>
  <c r="CI19" i="5" l="1"/>
  <c r="BK19" i="5"/>
  <c r="BG19" i="5"/>
  <c r="BJ19" i="5" s="1"/>
  <c r="BP19" i="5"/>
  <c r="X19" i="5"/>
  <c r="BB19" i="5"/>
  <c r="O19" i="5"/>
  <c r="F23" i="5"/>
  <c r="AG19" i="5"/>
  <c r="AP19" i="5"/>
  <c r="I19" i="5"/>
  <c r="CN19" i="5" l="1"/>
  <c r="CL19" i="5"/>
  <c r="CC19" i="5"/>
  <c r="BN19" i="5"/>
  <c r="R19" i="5"/>
  <c r="AA19" i="5"/>
  <c r="BE19" i="5"/>
  <c r="AJ19" i="5"/>
  <c r="AS19" i="5"/>
  <c r="CI23" i="5"/>
  <c r="BK23" i="5"/>
  <c r="BG23" i="5"/>
  <c r="BJ23" i="5" s="1"/>
  <c r="BP23" i="5"/>
  <c r="X23" i="5"/>
  <c r="O23" i="5"/>
  <c r="BB23" i="5"/>
  <c r="AG23" i="5"/>
  <c r="AP23" i="5"/>
  <c r="I23" i="5"/>
  <c r="BT19" i="5"/>
  <c r="BS19" i="5"/>
  <c r="BW19" i="5" s="1"/>
  <c r="CN23" i="5" l="1"/>
  <c r="CL23" i="5"/>
  <c r="CC23" i="5"/>
  <c r="BN23" i="5"/>
  <c r="R23" i="5"/>
  <c r="AA23" i="5"/>
  <c r="AJ23" i="5"/>
  <c r="BE23" i="5"/>
  <c r="AS23" i="5"/>
  <c r="BT23" i="5"/>
  <c r="BS23" i="5"/>
  <c r="BW23" i="5" s="1"/>
  <c r="M18" i="3" l="1"/>
  <c r="M18" i="52" l="1"/>
  <c r="M22" i="3"/>
  <c r="AB18" i="3"/>
  <c r="X18" i="3"/>
  <c r="Q18" i="3"/>
  <c r="X22" i="3" l="1"/>
  <c r="AB22" i="3"/>
  <c r="AD18" i="3"/>
  <c r="AD22" i="3" s="1"/>
  <c r="Q22" i="3"/>
  <c r="M22" i="52"/>
  <c r="Q22" i="52" s="1"/>
  <c r="AB18" i="52"/>
  <c r="Q18" i="52"/>
  <c r="X18" i="52"/>
  <c r="X22" i="52" s="1"/>
  <c r="AB22" i="52" l="1"/>
  <c r="AD18" i="52"/>
  <c r="AD22" i="52" s="1"/>
  <c r="N25" i="3" l="1"/>
  <c r="N63" i="3"/>
  <c r="G25" i="3"/>
  <c r="I25" i="3"/>
  <c r="M25" i="3"/>
  <c r="M25" i="52" l="1"/>
  <c r="M26" i="52" s="1"/>
  <c r="M26" i="3"/>
  <c r="I25" i="52"/>
  <c r="I26" i="52" s="1"/>
  <c r="I26" i="3"/>
  <c r="G25" i="52"/>
  <c r="G26" i="52" s="1"/>
  <c r="G26" i="3"/>
  <c r="AC63" i="3"/>
  <c r="S63" i="3"/>
  <c r="S25" i="3"/>
  <c r="N26" i="3"/>
  <c r="K25" i="3"/>
  <c r="K63" i="3"/>
  <c r="M63" i="3"/>
  <c r="M63" i="52" s="1"/>
  <c r="I63" i="3"/>
  <c r="I63" i="52" s="1"/>
  <c r="G63" i="3"/>
  <c r="G63" i="52" s="1"/>
  <c r="J25" i="3"/>
  <c r="J25" i="52" l="1"/>
  <c r="J26" i="52" s="1"/>
  <c r="J26" i="3"/>
  <c r="K63" i="52"/>
  <c r="K25" i="52"/>
  <c r="K26" i="3"/>
  <c r="N27" i="3"/>
  <c r="N46" i="3"/>
  <c r="N80" i="3"/>
  <c r="N82" i="3" s="1"/>
  <c r="F26" i="5"/>
  <c r="S26" i="3"/>
  <c r="F64" i="5"/>
  <c r="V63" i="3"/>
  <c r="G27" i="3"/>
  <c r="G46" i="3"/>
  <c r="G80" i="3"/>
  <c r="G82" i="3" s="1"/>
  <c r="G27" i="52"/>
  <c r="G46" i="52"/>
  <c r="G77" i="52"/>
  <c r="G79" i="52" s="1"/>
  <c r="I27" i="3"/>
  <c r="I46" i="3"/>
  <c r="I80" i="3"/>
  <c r="I82" i="3" s="1"/>
  <c r="I27" i="52"/>
  <c r="I77" i="52"/>
  <c r="I79" i="52" s="1"/>
  <c r="I46" i="52"/>
  <c r="M27" i="3"/>
  <c r="M80" i="3"/>
  <c r="M82" i="3" s="1"/>
  <c r="M46" i="3"/>
  <c r="M27" i="52"/>
  <c r="M46" i="52"/>
  <c r="M77" i="52"/>
  <c r="M79" i="52" s="1"/>
  <c r="L25" i="3"/>
  <c r="E63" i="3"/>
  <c r="E25" i="3"/>
  <c r="H63" i="3"/>
  <c r="H25" i="3"/>
  <c r="J63" i="3"/>
  <c r="J63" i="52" s="1"/>
  <c r="L63" i="3"/>
  <c r="L63" i="52" l="1"/>
  <c r="AU64" i="5"/>
  <c r="AV64" i="5" s="1"/>
  <c r="AB63" i="3"/>
  <c r="H25" i="52"/>
  <c r="AA25" i="3"/>
  <c r="H26" i="3"/>
  <c r="H63" i="52"/>
  <c r="AA63" i="52" s="1"/>
  <c r="AA63" i="3"/>
  <c r="E25" i="52"/>
  <c r="E26" i="3"/>
  <c r="E63" i="52"/>
  <c r="L25" i="52"/>
  <c r="L26" i="52" s="1"/>
  <c r="AU26" i="5"/>
  <c r="AV26" i="5" s="1"/>
  <c r="L26" i="3"/>
  <c r="AB25" i="3"/>
  <c r="AB26" i="3" s="1"/>
  <c r="M47" i="52"/>
  <c r="M76" i="52"/>
  <c r="M47" i="3"/>
  <c r="M79" i="3"/>
  <c r="I47" i="52"/>
  <c r="I76" i="52"/>
  <c r="I47" i="3"/>
  <c r="I79" i="3"/>
  <c r="G47" i="52"/>
  <c r="G76" i="52"/>
  <c r="G47" i="3"/>
  <c r="G79" i="3"/>
  <c r="CI64" i="5"/>
  <c r="BK64" i="5"/>
  <c r="BG64" i="5"/>
  <c r="BJ64" i="5" s="1"/>
  <c r="BP64" i="5"/>
  <c r="O64" i="5"/>
  <c r="X64" i="5"/>
  <c r="AG64" i="5"/>
  <c r="BB64" i="5"/>
  <c r="AP64" i="5"/>
  <c r="I64" i="5"/>
  <c r="S27" i="3"/>
  <c r="S46" i="3"/>
  <c r="S80" i="3"/>
  <c r="S82" i="3" s="1"/>
  <c r="CI26" i="5"/>
  <c r="BK26" i="5"/>
  <c r="BG26" i="5"/>
  <c r="BJ26" i="5" s="1"/>
  <c r="BP26" i="5"/>
  <c r="O26" i="5"/>
  <c r="BB26" i="5"/>
  <c r="X26" i="5"/>
  <c r="AG26" i="5"/>
  <c r="AP26" i="5"/>
  <c r="F27" i="5"/>
  <c r="N47" i="3"/>
  <c r="N79" i="3"/>
  <c r="K27" i="3"/>
  <c r="K80" i="3"/>
  <c r="K82" i="3" s="1"/>
  <c r="K46" i="3"/>
  <c r="K26" i="52"/>
  <c r="AB63" i="52"/>
  <c r="J80" i="3"/>
  <c r="J82" i="3" s="1"/>
  <c r="J27" i="3"/>
  <c r="J46" i="3"/>
  <c r="J27" i="52"/>
  <c r="J46" i="52"/>
  <c r="J77" i="52"/>
  <c r="J79" i="52" s="1"/>
  <c r="C24" i="19" l="1"/>
  <c r="E24" i="19" s="1"/>
  <c r="C19" i="19"/>
  <c r="C20" i="19" s="1"/>
  <c r="C24" i="11"/>
  <c r="E24" i="11" s="1"/>
  <c r="C19" i="11"/>
  <c r="C20" i="11" s="1"/>
  <c r="C24" i="9"/>
  <c r="E24" i="9" s="1"/>
  <c r="C19" i="9"/>
  <c r="C20" i="9" s="1"/>
  <c r="C19" i="34"/>
  <c r="C20" i="34" s="1"/>
  <c r="C24" i="34"/>
  <c r="E24" i="34" s="1"/>
  <c r="C22" i="34"/>
  <c r="AB25" i="52"/>
  <c r="AB26" i="52" s="1"/>
  <c r="J47" i="52"/>
  <c r="J76" i="52"/>
  <c r="J79" i="3"/>
  <c r="J47" i="3"/>
  <c r="K46" i="52"/>
  <c r="K27" i="52"/>
  <c r="K77" i="52"/>
  <c r="K79" i="52" s="1"/>
  <c r="AB46" i="52"/>
  <c r="AB27" i="52"/>
  <c r="AB77" i="52"/>
  <c r="AB79" i="52" s="1"/>
  <c r="K79" i="3"/>
  <c r="K47" i="3"/>
  <c r="D48" i="50"/>
  <c r="CI27" i="5"/>
  <c r="CI82" i="5" s="1"/>
  <c r="CI84" i="5" s="1"/>
  <c r="BK27" i="5"/>
  <c r="BK82" i="5" s="1"/>
  <c r="BK84" i="5" s="1"/>
  <c r="BG27" i="5"/>
  <c r="BP27" i="5"/>
  <c r="O27" i="5"/>
  <c r="O82" i="5" s="1"/>
  <c r="O84" i="5" s="1"/>
  <c r="X27" i="5"/>
  <c r="X82" i="5" s="1"/>
  <c r="X84" i="5" s="1"/>
  <c r="F28" i="5"/>
  <c r="BB27" i="5"/>
  <c r="AG27" i="5"/>
  <c r="AG82" i="5" s="1"/>
  <c r="AG84" i="5" s="1"/>
  <c r="AP27" i="5"/>
  <c r="AP82" i="5" s="1"/>
  <c r="AP84" i="5" s="1"/>
  <c r="F47" i="5"/>
  <c r="F82" i="5"/>
  <c r="BT26" i="5"/>
  <c r="S47" i="3"/>
  <c r="S79" i="3"/>
  <c r="CN64" i="5"/>
  <c r="C19" i="44" s="1"/>
  <c r="CL64" i="5"/>
  <c r="C19" i="49" s="1"/>
  <c r="CC64" i="5"/>
  <c r="AA64" i="5"/>
  <c r="AJ64" i="5"/>
  <c r="BE64" i="5"/>
  <c r="R64" i="5"/>
  <c r="AS64" i="5"/>
  <c r="BN64" i="5"/>
  <c r="C19" i="20" s="1"/>
  <c r="C24" i="50"/>
  <c r="E24" i="50" s="1"/>
  <c r="C19" i="50"/>
  <c r="BT64" i="5"/>
  <c r="BS64" i="5"/>
  <c r="BW64" i="5" s="1"/>
  <c r="C19" i="36" s="1"/>
  <c r="G6" i="36" s="1"/>
  <c r="G8" i="36" s="1"/>
  <c r="AB27" i="3"/>
  <c r="AB80" i="3"/>
  <c r="AB82" i="3" s="1"/>
  <c r="AB46" i="3"/>
  <c r="AU27" i="5"/>
  <c r="L27" i="3"/>
  <c r="AU28" i="5" s="1"/>
  <c r="AV28" i="5" s="1"/>
  <c r="L80" i="3"/>
  <c r="L82" i="3" s="1"/>
  <c r="L46" i="3"/>
  <c r="L27" i="52"/>
  <c r="L46" i="52"/>
  <c r="L77" i="52"/>
  <c r="L79" i="52" s="1"/>
  <c r="E27" i="3"/>
  <c r="E80" i="3"/>
  <c r="E82" i="3" s="1"/>
  <c r="E46" i="3"/>
  <c r="E26" i="52"/>
  <c r="H27" i="3"/>
  <c r="H80" i="3"/>
  <c r="H82" i="3" s="1"/>
  <c r="H46" i="3"/>
  <c r="AA26" i="3"/>
  <c r="AA25" i="52"/>
  <c r="AA26" i="52" s="1"/>
  <c r="H26" i="52"/>
  <c r="H46" i="52" l="1"/>
  <c r="H27" i="52"/>
  <c r="H77" i="52"/>
  <c r="H79" i="52" s="1"/>
  <c r="AA46" i="52"/>
  <c r="AA27" i="52"/>
  <c r="AA77" i="52"/>
  <c r="AA79" i="52" s="1"/>
  <c r="AA27" i="3"/>
  <c r="AA80" i="3"/>
  <c r="AA82" i="3" s="1"/>
  <c r="AA46" i="3"/>
  <c r="H47" i="3"/>
  <c r="H79" i="3"/>
  <c r="E46" i="52"/>
  <c r="E27" i="52"/>
  <c r="E77" i="52"/>
  <c r="E79" i="52" s="1"/>
  <c r="E47" i="3"/>
  <c r="E79" i="3"/>
  <c r="L47" i="52"/>
  <c r="L76" i="52"/>
  <c r="AU47" i="5"/>
  <c r="L47" i="3"/>
  <c r="AU48" i="5" s="1"/>
  <c r="AV48" i="5" s="1"/>
  <c r="L79" i="3"/>
  <c r="AV27" i="5"/>
  <c r="C48" i="34"/>
  <c r="C50" i="34" s="1"/>
  <c r="AU82" i="5"/>
  <c r="AB47" i="3"/>
  <c r="AB79" i="3"/>
  <c r="C20" i="50"/>
  <c r="C19" i="14"/>
  <c r="C19" i="43"/>
  <c r="C24" i="40"/>
  <c r="E24" i="40" s="1"/>
  <c r="C24" i="33"/>
  <c r="E24" i="33" s="1"/>
  <c r="C24" i="15"/>
  <c r="E24" i="15" s="1"/>
  <c r="C19" i="33"/>
  <c r="C19" i="40"/>
  <c r="C19" i="15"/>
  <c r="D6" i="50"/>
  <c r="F84" i="5"/>
  <c r="C54" i="50"/>
  <c r="D54" i="50" s="1"/>
  <c r="D9" i="50" s="1"/>
  <c r="CI47" i="5"/>
  <c r="CI81" i="5" s="1"/>
  <c r="BP47" i="5"/>
  <c r="BK47" i="5"/>
  <c r="BK81" i="5" s="1"/>
  <c r="BG47" i="5"/>
  <c r="X47" i="5"/>
  <c r="X81" i="5" s="1"/>
  <c r="BB47" i="5"/>
  <c r="BB81" i="5" s="1"/>
  <c r="F48" i="5"/>
  <c r="O47" i="5"/>
  <c r="O81" i="5" s="1"/>
  <c r="AG47" i="5"/>
  <c r="AG81" i="5" s="1"/>
  <c r="AP47" i="5"/>
  <c r="AP81" i="5" s="1"/>
  <c r="F81" i="5"/>
  <c r="F54" i="50"/>
  <c r="BB82" i="5"/>
  <c r="CI28" i="5"/>
  <c r="BK28" i="5"/>
  <c r="BG28" i="5"/>
  <c r="BP28" i="5"/>
  <c r="BT28" i="5" s="1"/>
  <c r="X28" i="5"/>
  <c r="O28" i="5"/>
  <c r="BB28" i="5"/>
  <c r="AG28" i="5"/>
  <c r="AP28" i="5"/>
  <c r="BT27" i="5"/>
  <c r="BT82" i="5" s="1"/>
  <c r="BT84" i="5" s="1"/>
  <c r="BP82" i="5"/>
  <c r="BP84" i="5" s="1"/>
  <c r="BJ27" i="5"/>
  <c r="BG82" i="5"/>
  <c r="BG84" i="5" s="1"/>
  <c r="D50" i="50"/>
  <c r="E50" i="50" s="1"/>
  <c r="E48" i="50"/>
  <c r="AB47" i="52"/>
  <c r="AB76" i="52"/>
  <c r="K47" i="52"/>
  <c r="K76" i="52"/>
  <c r="C48" i="20" l="1"/>
  <c r="C50" i="20" s="1"/>
  <c r="BJ28" i="5"/>
  <c r="BJ82" i="5"/>
  <c r="BB84" i="5"/>
  <c r="F12" i="50"/>
  <c r="S61" i="50"/>
  <c r="I54" i="50"/>
  <c r="CI48" i="5"/>
  <c r="BK48" i="5"/>
  <c r="BG48" i="5"/>
  <c r="BP48" i="5"/>
  <c r="BT48" i="5" s="1"/>
  <c r="X48" i="5"/>
  <c r="O48" i="5"/>
  <c r="BB48" i="5"/>
  <c r="AG48" i="5"/>
  <c r="AP48" i="5"/>
  <c r="BJ47" i="5"/>
  <c r="BG81" i="5"/>
  <c r="BT47" i="5"/>
  <c r="BT81" i="5" s="1"/>
  <c r="BP81" i="5"/>
  <c r="D8" i="50"/>
  <c r="E8" i="50" s="1"/>
  <c r="E6" i="50"/>
  <c r="C20" i="15"/>
  <c r="G6" i="15"/>
  <c r="G8" i="15" s="1"/>
  <c r="C20" i="40"/>
  <c r="G6" i="40"/>
  <c r="G8" i="40" s="1"/>
  <c r="C20" i="33"/>
  <c r="G6" i="33"/>
  <c r="G8" i="33" s="1"/>
  <c r="S19" i="43"/>
  <c r="S32" i="43" s="1"/>
  <c r="S42" i="43" s="1"/>
  <c r="S43" i="43" s="1"/>
  <c r="C6" i="34"/>
  <c r="C8" i="34" s="1"/>
  <c r="AU84" i="5"/>
  <c r="F54" i="34"/>
  <c r="S61" i="34" s="1"/>
  <c r="AV82" i="5"/>
  <c r="B54" i="34"/>
  <c r="AV47" i="5"/>
  <c r="AV81" i="5" s="1"/>
  <c r="AU81" i="5"/>
  <c r="E47" i="52"/>
  <c r="E76" i="52"/>
  <c r="AA47" i="3"/>
  <c r="AA79" i="3"/>
  <c r="AA47" i="52"/>
  <c r="AA76" i="52"/>
  <c r="H47" i="52"/>
  <c r="H76" i="52"/>
  <c r="G6" i="43" l="1"/>
  <c r="G8" i="43" s="1"/>
  <c r="AV84" i="5"/>
  <c r="F12" i="34"/>
  <c r="S65" i="34"/>
  <c r="S75" i="34" s="1"/>
  <c r="G48" i="34"/>
  <c r="G50" i="34" s="1"/>
  <c r="B54" i="20"/>
  <c r="BJ48" i="5"/>
  <c r="BJ81" i="5"/>
  <c r="S65" i="50"/>
  <c r="S75" i="50" s="1"/>
  <c r="G48" i="50"/>
  <c r="F9" i="50"/>
  <c r="I12" i="50"/>
  <c r="S19" i="50"/>
  <c r="C6" i="20"/>
  <c r="C8" i="20" s="1"/>
  <c r="BJ84" i="5"/>
  <c r="S23" i="50" l="1"/>
  <c r="S33" i="50" s="1"/>
  <c r="S34" i="50" s="1"/>
  <c r="S20" i="50"/>
  <c r="G6" i="50"/>
  <c r="G50" i="50"/>
  <c r="F50" i="50" s="1"/>
  <c r="H50" i="50" s="1"/>
  <c r="H48" i="50"/>
  <c r="S77" i="50"/>
  <c r="Q77" i="50"/>
  <c r="Q84" i="50" s="1"/>
  <c r="S77" i="34"/>
  <c r="Q77" i="34"/>
  <c r="Q84" i="34" s="1"/>
  <c r="F9" i="34"/>
  <c r="I12" i="34"/>
  <c r="S19" i="34"/>
  <c r="G6" i="34" s="1"/>
  <c r="G8" i="34" s="1"/>
  <c r="S23" i="34" l="1"/>
  <c r="S33" i="34" s="1"/>
  <c r="S34" i="34" s="1"/>
  <c r="S20" i="34"/>
  <c r="G8" i="50"/>
  <c r="F8" i="50" s="1"/>
  <c r="H8" i="50" s="1"/>
  <c r="H6" i="50"/>
  <c r="F63" i="3" l="1"/>
  <c r="F25" i="3"/>
  <c r="F25" i="52" l="1"/>
  <c r="F26" i="3"/>
  <c r="Z25" i="3"/>
  <c r="F63" i="52"/>
  <c r="Z63" i="3"/>
  <c r="X63" i="3"/>
  <c r="Q63" i="3"/>
  <c r="AD63" i="3" l="1"/>
  <c r="AF63" i="3"/>
  <c r="Z63" i="52"/>
  <c r="AD63" i="52" s="1"/>
  <c r="Q63" i="52"/>
  <c r="X63" i="52"/>
  <c r="Z26" i="3"/>
  <c r="AF25" i="3"/>
  <c r="F27" i="3"/>
  <c r="F80" i="3"/>
  <c r="F82" i="3" s="1"/>
  <c r="F46" i="3"/>
  <c r="F26" i="52"/>
  <c r="Z25" i="52"/>
  <c r="Q25" i="52"/>
  <c r="X25" i="52"/>
  <c r="X26" i="52" s="1"/>
  <c r="X27" i="52" l="1"/>
  <c r="X46" i="52"/>
  <c r="X77" i="52"/>
  <c r="X79" i="52" s="1"/>
  <c r="AD25" i="52"/>
  <c r="AD26" i="52" s="1"/>
  <c r="Z26" i="52"/>
  <c r="F27" i="52"/>
  <c r="F46" i="52"/>
  <c r="F77" i="52"/>
  <c r="F79" i="52" s="1"/>
  <c r="Q26" i="52"/>
  <c r="F47" i="3"/>
  <c r="F79" i="3"/>
  <c r="Z27" i="3"/>
  <c r="AF27" i="3" s="1"/>
  <c r="Z80" i="3"/>
  <c r="Z82" i="3" s="1"/>
  <c r="Z46" i="3"/>
  <c r="AF26" i="3"/>
  <c r="AF80" i="3" s="1"/>
  <c r="AF82" i="3" s="1"/>
  <c r="C19" i="31"/>
  <c r="E19" i="31" s="1"/>
  <c r="C19" i="27"/>
  <c r="E19" i="27" s="1"/>
  <c r="C14" i="31"/>
  <c r="C15" i="31" s="1"/>
  <c r="C14" i="27"/>
  <c r="C15" i="27" s="1"/>
  <c r="C24" i="51"/>
  <c r="E24" i="51" s="1"/>
  <c r="C19" i="51"/>
  <c r="C24" i="42"/>
  <c r="E24" i="42" s="1"/>
  <c r="C24" i="12"/>
  <c r="E24" i="12" s="1"/>
  <c r="C19" i="42"/>
  <c r="C19" i="12"/>
  <c r="C20" i="12" l="1"/>
  <c r="C20" i="42"/>
  <c r="C20" i="51"/>
  <c r="Z47" i="3"/>
  <c r="AF47" i="3" s="1"/>
  <c r="Z79" i="3"/>
  <c r="AF46" i="3"/>
  <c r="AF79" i="3" s="1"/>
  <c r="Q27" i="52"/>
  <c r="Q77" i="52"/>
  <c r="Q79" i="52" s="1"/>
  <c r="F47" i="52"/>
  <c r="F76" i="52"/>
  <c r="Q46" i="52"/>
  <c r="Z27" i="52"/>
  <c r="Z46" i="52"/>
  <c r="Z77" i="52"/>
  <c r="Z79" i="52" s="1"/>
  <c r="AD27" i="52"/>
  <c r="AD46" i="52"/>
  <c r="AD77" i="52"/>
  <c r="AD79" i="52" s="1"/>
  <c r="X47" i="52"/>
  <c r="X76" i="52"/>
  <c r="AD47" i="52" l="1"/>
  <c r="AD76" i="52"/>
  <c r="Z47" i="52"/>
  <c r="Z76" i="52"/>
  <c r="Q47" i="52"/>
  <c r="Q76" i="52"/>
  <c r="O25" i="3" l="1"/>
  <c r="T25" i="3" l="1"/>
  <c r="O26" i="3"/>
  <c r="AC25" i="3"/>
  <c r="X25" i="3"/>
  <c r="Q25" i="3"/>
  <c r="X26" i="3" l="1"/>
  <c r="AC26" i="3"/>
  <c r="AD25" i="3"/>
  <c r="AD26" i="3" s="1"/>
  <c r="O27" i="3"/>
  <c r="Q27" i="3" s="1"/>
  <c r="O80" i="3"/>
  <c r="O82" i="3" s="1"/>
  <c r="O46" i="3"/>
  <c r="Q26" i="3"/>
  <c r="Q80" i="3" s="1"/>
  <c r="Q82" i="3" s="1"/>
  <c r="G26" i="5"/>
  <c r="T26" i="3"/>
  <c r="V25" i="3"/>
  <c r="V26" i="3" s="1"/>
  <c r="V27" i="3" l="1"/>
  <c r="V46" i="3"/>
  <c r="V80" i="3"/>
  <c r="V82" i="3" s="1"/>
  <c r="T27" i="3"/>
  <c r="T80" i="3"/>
  <c r="T82" i="3" s="1"/>
  <c r="T46" i="3"/>
  <c r="CJ26" i="5"/>
  <c r="BQ26" i="5"/>
  <c r="BL26" i="5"/>
  <c r="P26" i="5"/>
  <c r="Y26" i="5"/>
  <c r="AH26" i="5"/>
  <c r="BC26" i="5"/>
  <c r="AQ26" i="5"/>
  <c r="G27" i="5"/>
  <c r="I26" i="5"/>
  <c r="O79" i="3"/>
  <c r="O47" i="3"/>
  <c r="Q47" i="3" s="1"/>
  <c r="Q46" i="3"/>
  <c r="Q79" i="3" s="1"/>
  <c r="AD27" i="3"/>
  <c r="AD46" i="3"/>
  <c r="AD80" i="3"/>
  <c r="AD82" i="3" s="1"/>
  <c r="AC27" i="3"/>
  <c r="AC46" i="3"/>
  <c r="AC80" i="3"/>
  <c r="AC82" i="3" s="1"/>
  <c r="X27" i="3"/>
  <c r="X46" i="3"/>
  <c r="X80" i="3"/>
  <c r="X82" i="3" s="1"/>
  <c r="D48" i="51" l="1"/>
  <c r="D48" i="42"/>
  <c r="D48" i="12"/>
  <c r="X47" i="3"/>
  <c r="X79" i="3"/>
  <c r="AC47" i="3"/>
  <c r="AC79" i="3"/>
  <c r="AD47" i="3"/>
  <c r="AD79" i="3"/>
  <c r="CN26" i="5"/>
  <c r="CL26" i="5"/>
  <c r="CC26" i="5"/>
  <c r="BN26" i="5"/>
  <c r="BE26" i="5"/>
  <c r="AA26" i="5"/>
  <c r="R26" i="5"/>
  <c r="AJ26" i="5"/>
  <c r="AS26" i="5"/>
  <c r="CJ27" i="5"/>
  <c r="G28" i="5"/>
  <c r="BQ27" i="5"/>
  <c r="BL27" i="5"/>
  <c r="BL82" i="5" s="1"/>
  <c r="BL84" i="5" s="1"/>
  <c r="Y27" i="5"/>
  <c r="P27" i="5"/>
  <c r="AH27" i="5"/>
  <c r="BC27" i="5"/>
  <c r="AQ27" i="5"/>
  <c r="G82" i="5"/>
  <c r="G47" i="5"/>
  <c r="D48" i="19"/>
  <c r="D48" i="11"/>
  <c r="D48" i="34"/>
  <c r="D48" i="9"/>
  <c r="I27" i="5"/>
  <c r="BU26" i="5"/>
  <c r="BS26" i="5"/>
  <c r="BW26" i="5" s="1"/>
  <c r="T47" i="3"/>
  <c r="T79" i="3"/>
  <c r="V47" i="3"/>
  <c r="V79" i="3"/>
  <c r="D48" i="49" l="1"/>
  <c r="CN27" i="5"/>
  <c r="CL27" i="5"/>
  <c r="D49" i="44"/>
  <c r="D48" i="43"/>
  <c r="CC27" i="5"/>
  <c r="D48" i="39"/>
  <c r="D48" i="40"/>
  <c r="D48" i="15"/>
  <c r="I28" i="5"/>
  <c r="D48" i="14"/>
  <c r="D48" i="33"/>
  <c r="AJ27" i="5"/>
  <c r="AJ82" i="5" s="1"/>
  <c r="AJ84" i="5" s="1"/>
  <c r="BE27" i="5"/>
  <c r="BE82" i="5" s="1"/>
  <c r="BE84" i="5" s="1"/>
  <c r="D48" i="20"/>
  <c r="AA27" i="5"/>
  <c r="R27" i="5"/>
  <c r="AS27" i="5"/>
  <c r="BN27" i="5"/>
  <c r="I82" i="5"/>
  <c r="E48" i="9"/>
  <c r="D50" i="9"/>
  <c r="E50" i="9" s="1"/>
  <c r="D50" i="34"/>
  <c r="E50" i="34" s="1"/>
  <c r="F50" i="34" s="1"/>
  <c r="H50" i="34" s="1"/>
  <c r="E48" i="34"/>
  <c r="H48" i="34" s="1"/>
  <c r="E48" i="11"/>
  <c r="D50" i="11"/>
  <c r="E50" i="11" s="1"/>
  <c r="E48" i="19"/>
  <c r="D50" i="19"/>
  <c r="E50" i="19" s="1"/>
  <c r="CJ47" i="5"/>
  <c r="CJ81" i="5" s="1"/>
  <c r="G48" i="5"/>
  <c r="BQ47" i="5"/>
  <c r="BL47" i="5"/>
  <c r="BL81" i="5" s="1"/>
  <c r="BC47" i="5"/>
  <c r="BC81" i="5" s="1"/>
  <c r="AH47" i="5"/>
  <c r="AH81" i="5" s="1"/>
  <c r="Y47" i="5"/>
  <c r="Y81" i="5" s="1"/>
  <c r="P47" i="5"/>
  <c r="P81" i="5" s="1"/>
  <c r="AQ47" i="5"/>
  <c r="AQ81" i="5" s="1"/>
  <c r="G81" i="5"/>
  <c r="C54" i="19"/>
  <c r="D54" i="19" s="1"/>
  <c r="C45" i="31"/>
  <c r="D45" i="31" s="1"/>
  <c r="D3" i="31" s="1"/>
  <c r="C54" i="11"/>
  <c r="D54" i="11" s="1"/>
  <c r="D9" i="11" s="1"/>
  <c r="C54" i="34"/>
  <c r="D54" i="34" s="1"/>
  <c r="C54" i="9"/>
  <c r="D54" i="9" s="1"/>
  <c r="D9" i="9" s="1"/>
  <c r="I47" i="5"/>
  <c r="G84" i="5"/>
  <c r="D6" i="34"/>
  <c r="D6" i="19"/>
  <c r="D6" i="22"/>
  <c r="D6" i="9"/>
  <c r="D6" i="11"/>
  <c r="AQ82" i="5"/>
  <c r="F45" i="31"/>
  <c r="BC82" i="5"/>
  <c r="AH82" i="5"/>
  <c r="F54" i="19"/>
  <c r="P82" i="5"/>
  <c r="F54" i="9"/>
  <c r="Y82" i="5"/>
  <c r="F54" i="11"/>
  <c r="BU27" i="5"/>
  <c r="BU82" i="5" s="1"/>
  <c r="BU84" i="5" s="1"/>
  <c r="BQ82" i="5"/>
  <c r="BQ84" i="5" s="1"/>
  <c r="BS27" i="5"/>
  <c r="CJ28" i="5"/>
  <c r="BQ28" i="5"/>
  <c r="BU28" i="5" s="1"/>
  <c r="BL28" i="5"/>
  <c r="P28" i="5"/>
  <c r="AH28" i="5"/>
  <c r="BC28" i="5"/>
  <c r="Y28" i="5"/>
  <c r="AQ28" i="5"/>
  <c r="CJ82" i="5"/>
  <c r="D6" i="51"/>
  <c r="D6" i="42"/>
  <c r="D6" i="12"/>
  <c r="C54" i="51"/>
  <c r="D54" i="51" s="1"/>
  <c r="D9" i="51" s="1"/>
  <c r="C54" i="42"/>
  <c r="D54" i="42" s="1"/>
  <c r="D9" i="42" s="1"/>
  <c r="C45" i="27"/>
  <c r="D45" i="27" s="1"/>
  <c r="D3" i="27" s="1"/>
  <c r="C54" i="12"/>
  <c r="D54" i="12" s="1"/>
  <c r="D9" i="12" s="1"/>
  <c r="F45" i="27"/>
  <c r="F54" i="42"/>
  <c r="E48" i="12"/>
  <c r="D50" i="12"/>
  <c r="E50" i="12" s="1"/>
  <c r="F54" i="51"/>
  <c r="F54" i="12"/>
  <c r="E48" i="42"/>
  <c r="D50" i="42"/>
  <c r="E50" i="42" s="1"/>
  <c r="E48" i="51"/>
  <c r="D50" i="51"/>
  <c r="E50" i="51" s="1"/>
  <c r="F12" i="12" l="1"/>
  <c r="S61" i="12"/>
  <c r="I54" i="12"/>
  <c r="F12" i="51"/>
  <c r="S61" i="51"/>
  <c r="I54" i="51"/>
  <c r="F12" i="42"/>
  <c r="S61" i="42"/>
  <c r="I54" i="42"/>
  <c r="F7" i="31"/>
  <c r="F7" i="27"/>
  <c r="S52" i="27"/>
  <c r="S56" i="27" s="1"/>
  <c r="S67" i="27" s="1"/>
  <c r="I45" i="27"/>
  <c r="E6" i="12"/>
  <c r="D8" i="12"/>
  <c r="E8" i="12" s="1"/>
  <c r="E6" i="42"/>
  <c r="D8" i="42"/>
  <c r="E8" i="42" s="1"/>
  <c r="D8" i="51"/>
  <c r="E8" i="51" s="1"/>
  <c r="E6" i="51"/>
  <c r="CJ84" i="5"/>
  <c r="C48" i="36"/>
  <c r="BW27" i="5"/>
  <c r="BS28" i="5"/>
  <c r="BW28" i="5" s="1"/>
  <c r="BS82" i="5"/>
  <c r="BS84" i="5" s="1"/>
  <c r="S61" i="11"/>
  <c r="I54" i="11"/>
  <c r="F12" i="11"/>
  <c r="Y84" i="5"/>
  <c r="S61" i="9"/>
  <c r="I54" i="9"/>
  <c r="F12" i="9"/>
  <c r="P84" i="5"/>
  <c r="S61" i="19"/>
  <c r="I54" i="19"/>
  <c r="F12" i="19"/>
  <c r="AH84" i="5"/>
  <c r="BC84" i="5"/>
  <c r="S52" i="31"/>
  <c r="S56" i="31" s="1"/>
  <c r="S66" i="31" s="1"/>
  <c r="I45" i="31"/>
  <c r="F12" i="22"/>
  <c r="AQ84" i="5"/>
  <c r="E6" i="11"/>
  <c r="D8" i="11"/>
  <c r="E8" i="11" s="1"/>
  <c r="E6" i="9"/>
  <c r="D8" i="9"/>
  <c r="E8" i="9" s="1"/>
  <c r="E6" i="22"/>
  <c r="D8" i="22"/>
  <c r="E8" i="22" s="1"/>
  <c r="E6" i="19"/>
  <c r="D8" i="19"/>
  <c r="E8" i="19" s="1"/>
  <c r="D8" i="34"/>
  <c r="E8" i="34" s="1"/>
  <c r="F8" i="34" s="1"/>
  <c r="H8" i="34" s="1"/>
  <c r="E6" i="34"/>
  <c r="H6" i="34" s="1"/>
  <c r="C54" i="49"/>
  <c r="D54" i="49" s="1"/>
  <c r="D9" i="49" s="1"/>
  <c r="CN47" i="5"/>
  <c r="CN81" i="5" s="1"/>
  <c r="CL47" i="5"/>
  <c r="CL81" i="5" s="1"/>
  <c r="C55" i="44"/>
  <c r="D55" i="44" s="1"/>
  <c r="D9" i="44" s="1"/>
  <c r="C54" i="43"/>
  <c r="D54" i="43" s="1"/>
  <c r="D9" i="43" s="1"/>
  <c r="CC47" i="5"/>
  <c r="CC81" i="5" s="1"/>
  <c r="C54" i="39"/>
  <c r="D54" i="39" s="1"/>
  <c r="I54" i="39" s="1"/>
  <c r="C54" i="40"/>
  <c r="D54" i="40" s="1"/>
  <c r="BE47" i="5"/>
  <c r="BE81" i="5" s="1"/>
  <c r="C54" i="20"/>
  <c r="D54" i="20" s="1"/>
  <c r="D9" i="20" s="1"/>
  <c r="C54" i="33"/>
  <c r="D54" i="33" s="1"/>
  <c r="C54" i="14"/>
  <c r="D54" i="14" s="1"/>
  <c r="D9" i="14" s="1"/>
  <c r="AA47" i="5"/>
  <c r="AA81" i="5" s="1"/>
  <c r="I48" i="5"/>
  <c r="R47" i="5"/>
  <c r="R81" i="5" s="1"/>
  <c r="C54" i="15"/>
  <c r="D54" i="15" s="1"/>
  <c r="AJ47" i="5"/>
  <c r="AJ81" i="5" s="1"/>
  <c r="AS47" i="5"/>
  <c r="AS81" i="5" s="1"/>
  <c r="BN47" i="5"/>
  <c r="BN81" i="5" s="1"/>
  <c r="I81" i="5"/>
  <c r="D9" i="34"/>
  <c r="I54" i="34"/>
  <c r="BU47" i="5"/>
  <c r="BU81" i="5" s="1"/>
  <c r="BQ81" i="5"/>
  <c r="BS47" i="5"/>
  <c r="CJ48" i="5"/>
  <c r="BQ48" i="5"/>
  <c r="BU48" i="5" s="1"/>
  <c r="BL48" i="5"/>
  <c r="BC48" i="5"/>
  <c r="P48" i="5"/>
  <c r="AH48" i="5"/>
  <c r="Y48" i="5"/>
  <c r="AQ48" i="5"/>
  <c r="D6" i="49"/>
  <c r="D6" i="44"/>
  <c r="D6" i="43"/>
  <c r="D6" i="40"/>
  <c r="D6" i="39"/>
  <c r="D6" i="14"/>
  <c r="D6" i="15"/>
  <c r="D6" i="33"/>
  <c r="D6" i="20"/>
  <c r="I84" i="5"/>
  <c r="F54" i="20"/>
  <c r="BN82" i="5"/>
  <c r="F54" i="33"/>
  <c r="S61" i="33" s="1"/>
  <c r="S65" i="33" s="1"/>
  <c r="S75" i="33" s="1"/>
  <c r="AS82" i="5"/>
  <c r="AS84" i="5" s="1"/>
  <c r="F54" i="14"/>
  <c r="R82" i="5"/>
  <c r="F54" i="43"/>
  <c r="F54" i="40"/>
  <c r="S61" i="40" s="1"/>
  <c r="S65" i="40" s="1"/>
  <c r="S75" i="40" s="1"/>
  <c r="F54" i="15"/>
  <c r="S61" i="15" s="1"/>
  <c r="S65" i="15" s="1"/>
  <c r="S75" i="15" s="1"/>
  <c r="AA82" i="5"/>
  <c r="E48" i="20"/>
  <c r="D50" i="20"/>
  <c r="E50" i="20" s="1"/>
  <c r="E48" i="33"/>
  <c r="H48" i="33" s="1"/>
  <c r="D50" i="33"/>
  <c r="E50" i="33" s="1"/>
  <c r="F50" i="33" s="1"/>
  <c r="H50" i="33" s="1"/>
  <c r="E48" i="14"/>
  <c r="D50" i="14"/>
  <c r="E50" i="14" s="1"/>
  <c r="CN28" i="5"/>
  <c r="CL28" i="5"/>
  <c r="CC28" i="5"/>
  <c r="BN28" i="5"/>
  <c r="R28" i="5"/>
  <c r="BE28" i="5"/>
  <c r="AA28" i="5"/>
  <c r="AJ28" i="5"/>
  <c r="AS28" i="5"/>
  <c r="E48" i="15"/>
  <c r="H48" i="15" s="1"/>
  <c r="D50" i="15"/>
  <c r="E50" i="15" s="1"/>
  <c r="F50" i="15" s="1"/>
  <c r="H50" i="15" s="1"/>
  <c r="E48" i="40"/>
  <c r="H48" i="40" s="1"/>
  <c r="D50" i="40"/>
  <c r="E50" i="40" s="1"/>
  <c r="F50" i="40" s="1"/>
  <c r="H50" i="40" s="1"/>
  <c r="E48" i="39"/>
  <c r="D50" i="39"/>
  <c r="E50" i="39" s="1"/>
  <c r="F54" i="39"/>
  <c r="S61" i="39" s="1"/>
  <c r="CC82" i="5"/>
  <c r="E48" i="43"/>
  <c r="D50" i="43"/>
  <c r="E50" i="43" s="1"/>
  <c r="E49" i="44"/>
  <c r="D51" i="44"/>
  <c r="E51" i="44" s="1"/>
  <c r="F54" i="49"/>
  <c r="CL82" i="5"/>
  <c r="F55" i="44"/>
  <c r="CN82" i="5"/>
  <c r="E48" i="49"/>
  <c r="D50" i="49"/>
  <c r="E50" i="49" s="1"/>
  <c r="CN84" i="5" l="1"/>
  <c r="F12" i="44"/>
  <c r="S62" i="44"/>
  <c r="I55" i="44"/>
  <c r="CL84" i="5"/>
  <c r="F12" i="49"/>
  <c r="S61" i="49"/>
  <c r="I54" i="49"/>
  <c r="F12" i="39"/>
  <c r="CC84" i="5"/>
  <c r="CC87" i="5"/>
  <c r="S65" i="39"/>
  <c r="S75" i="39" s="1"/>
  <c r="Q77" i="39" s="1"/>
  <c r="Q84" i="39" s="1"/>
  <c r="G48" i="39"/>
  <c r="G50" i="39" s="1"/>
  <c r="F50" i="39" s="1"/>
  <c r="H50" i="39" s="1"/>
  <c r="AA84" i="5"/>
  <c r="F12" i="15"/>
  <c r="F12" i="40"/>
  <c r="F12" i="33"/>
  <c r="S77" i="15"/>
  <c r="Q77" i="15"/>
  <c r="Q84" i="15" s="1"/>
  <c r="S77" i="40"/>
  <c r="Q77" i="40"/>
  <c r="Q84" i="40" s="1"/>
  <c r="S61" i="43"/>
  <c r="I54" i="43"/>
  <c r="F9" i="43"/>
  <c r="R84" i="5"/>
  <c r="F12" i="14"/>
  <c r="S61" i="14"/>
  <c r="I54" i="14"/>
  <c r="S77" i="33"/>
  <c r="Q77" i="33"/>
  <c r="Q84" i="33" s="1"/>
  <c r="BN84" i="5"/>
  <c r="F12" i="20"/>
  <c r="S61" i="20"/>
  <c r="I54" i="20"/>
  <c r="D8" i="20"/>
  <c r="E8" i="20" s="1"/>
  <c r="E6" i="20"/>
  <c r="E6" i="33"/>
  <c r="H6" i="33" s="1"/>
  <c r="D8" i="33"/>
  <c r="E8" i="33" s="1"/>
  <c r="F8" i="33" s="1"/>
  <c r="H8" i="33" s="1"/>
  <c r="E6" i="15"/>
  <c r="H6" i="15" s="1"/>
  <c r="D8" i="15"/>
  <c r="E8" i="15" s="1"/>
  <c r="F8" i="15" s="1"/>
  <c r="H8" i="15" s="1"/>
  <c r="E6" i="14"/>
  <c r="D8" i="14"/>
  <c r="E8" i="14" s="1"/>
  <c r="E6" i="39"/>
  <c r="D8" i="39"/>
  <c r="E8" i="39" s="1"/>
  <c r="F8" i="39" s="1"/>
  <c r="H8" i="39" s="1"/>
  <c r="E6" i="40"/>
  <c r="H6" i="40" s="1"/>
  <c r="D8" i="40"/>
  <c r="E8" i="40" s="1"/>
  <c r="F8" i="40" s="1"/>
  <c r="H8" i="40" s="1"/>
  <c r="E6" i="43"/>
  <c r="H6" i="43" s="1"/>
  <c r="D8" i="43"/>
  <c r="E8" i="43" s="1"/>
  <c r="F8" i="43" s="1"/>
  <c r="H8" i="43" s="1"/>
  <c r="E6" i="44"/>
  <c r="D8" i="44"/>
  <c r="E8" i="44" s="1"/>
  <c r="E6" i="49"/>
  <c r="D8" i="49"/>
  <c r="E8" i="49" s="1"/>
  <c r="B54" i="36"/>
  <c r="D54" i="36" s="1"/>
  <c r="BW47" i="5"/>
  <c r="BW81" i="5" s="1"/>
  <c r="BS48" i="5"/>
  <c r="BW48" i="5" s="1"/>
  <c r="BS81" i="5"/>
  <c r="I54" i="15"/>
  <c r="D9" i="15"/>
  <c r="CN48" i="5"/>
  <c r="CL48" i="5"/>
  <c r="CC48" i="5"/>
  <c r="BN48" i="5"/>
  <c r="BE48" i="5"/>
  <c r="AA48" i="5"/>
  <c r="AJ48" i="5"/>
  <c r="R48" i="5"/>
  <c r="AS48" i="5"/>
  <c r="I54" i="33"/>
  <c r="D9" i="33"/>
  <c r="I54" i="40"/>
  <c r="D9" i="40"/>
  <c r="I12" i="22"/>
  <c r="S68" i="31"/>
  <c r="Q68" i="31"/>
  <c r="Q77" i="31" s="1"/>
  <c r="F9" i="19"/>
  <c r="S19" i="19"/>
  <c r="I12" i="19"/>
  <c r="S65" i="19"/>
  <c r="S75" i="19" s="1"/>
  <c r="Q77" i="19" s="1"/>
  <c r="Q84" i="19" s="1"/>
  <c r="G48" i="19"/>
  <c r="F9" i="9"/>
  <c r="S19" i="9"/>
  <c r="I12" i="9"/>
  <c r="S75" i="9"/>
  <c r="S85" i="9" s="1"/>
  <c r="G48" i="9"/>
  <c r="F9" i="11"/>
  <c r="S19" i="11"/>
  <c r="I12" i="11"/>
  <c r="S65" i="11"/>
  <c r="S75" i="11" s="1"/>
  <c r="G48" i="11"/>
  <c r="F54" i="36"/>
  <c r="S61" i="36" s="1"/>
  <c r="S74" i="36" s="1"/>
  <c r="S84" i="36" s="1"/>
  <c r="P86" i="36" s="1"/>
  <c r="BW82" i="5"/>
  <c r="E48" i="36"/>
  <c r="H48" i="36" s="1"/>
  <c r="C50" i="36"/>
  <c r="E50" i="36" s="1"/>
  <c r="F50" i="36" s="1"/>
  <c r="H50" i="36" s="1"/>
  <c r="S69" i="27"/>
  <c r="Q69" i="27"/>
  <c r="Q78" i="27" s="1"/>
  <c r="F3" i="27"/>
  <c r="S14" i="27"/>
  <c r="I7" i="27"/>
  <c r="F3" i="31"/>
  <c r="S14" i="31"/>
  <c r="I7" i="31"/>
  <c r="S73" i="42"/>
  <c r="S83" i="42" s="1"/>
  <c r="G48" i="42"/>
  <c r="I12" i="42"/>
  <c r="F9" i="42"/>
  <c r="S19" i="42"/>
  <c r="S65" i="51"/>
  <c r="S76" i="51" s="1"/>
  <c r="G48" i="51"/>
  <c r="F9" i="51"/>
  <c r="I12" i="51"/>
  <c r="S19" i="51"/>
  <c r="S77" i="12"/>
  <c r="S87" i="12" s="1"/>
  <c r="G48" i="12"/>
  <c r="F9" i="12"/>
  <c r="S19" i="12"/>
  <c r="I12" i="12"/>
  <c r="H48" i="39" l="1"/>
  <c r="S20" i="12"/>
  <c r="S23" i="12"/>
  <c r="S33" i="12" s="1"/>
  <c r="S34" i="12" s="1"/>
  <c r="G6" i="12"/>
  <c r="G50" i="12"/>
  <c r="F50" i="12" s="1"/>
  <c r="H50" i="12" s="1"/>
  <c r="H48" i="12"/>
  <c r="S89" i="12"/>
  <c r="X87" i="12" s="1"/>
  <c r="Q89" i="12"/>
  <c r="Q95" i="12" s="1"/>
  <c r="S23" i="51"/>
  <c r="S34" i="51" s="1"/>
  <c r="S35" i="51" s="1"/>
  <c r="S20" i="51"/>
  <c r="G6" i="51"/>
  <c r="G50" i="51"/>
  <c r="F50" i="51" s="1"/>
  <c r="H50" i="51" s="1"/>
  <c r="H48" i="51"/>
  <c r="S78" i="51"/>
  <c r="P79" i="51"/>
  <c r="S20" i="42"/>
  <c r="S23" i="42"/>
  <c r="S33" i="42" s="1"/>
  <c r="S34" i="42" s="1"/>
  <c r="G6" i="42"/>
  <c r="G50" i="42"/>
  <c r="F50" i="42" s="1"/>
  <c r="H50" i="42" s="1"/>
  <c r="H48" i="42"/>
  <c r="S85" i="42"/>
  <c r="Q85" i="42"/>
  <c r="Q91" i="42" s="1"/>
  <c r="S15" i="31"/>
  <c r="S18" i="31"/>
  <c r="S28" i="31" s="1"/>
  <c r="S29" i="31" s="1"/>
  <c r="S18" i="27"/>
  <c r="S28" i="27" s="1"/>
  <c r="S29" i="27" s="1"/>
  <c r="S15" i="27"/>
  <c r="C6" i="36"/>
  <c r="BW84" i="5"/>
  <c r="F12" i="36"/>
  <c r="G50" i="11"/>
  <c r="F50" i="11" s="1"/>
  <c r="H50" i="11" s="1"/>
  <c r="H48" i="11"/>
  <c r="S77" i="11"/>
  <c r="Q77" i="11"/>
  <c r="Q82" i="11" s="1"/>
  <c r="S20" i="11"/>
  <c r="S23" i="11"/>
  <c r="S33" i="11" s="1"/>
  <c r="G6" i="11"/>
  <c r="G50" i="9"/>
  <c r="F50" i="9" s="1"/>
  <c r="H50" i="9" s="1"/>
  <c r="H48" i="9"/>
  <c r="S87" i="9"/>
  <c r="Q87" i="9"/>
  <c r="Q95" i="9" s="1"/>
  <c r="S20" i="9"/>
  <c r="S23" i="9"/>
  <c r="S33" i="9" s="1"/>
  <c r="S34" i="9" s="1"/>
  <c r="G6" i="9"/>
  <c r="G50" i="19"/>
  <c r="F50" i="19" s="1"/>
  <c r="H50" i="19" s="1"/>
  <c r="H48" i="19"/>
  <c r="S32" i="19"/>
  <c r="S42" i="19" s="1"/>
  <c r="S43" i="19" s="1"/>
  <c r="S20" i="19"/>
  <c r="G6" i="19"/>
  <c r="D9" i="36"/>
  <c r="I54" i="36"/>
  <c r="I22" i="39"/>
  <c r="H6" i="39"/>
  <c r="G48" i="20"/>
  <c r="S74" i="20"/>
  <c r="S84" i="20" s="1"/>
  <c r="P86" i="20" s="1"/>
  <c r="S19" i="20"/>
  <c r="F9" i="20"/>
  <c r="I12" i="20"/>
  <c r="S74" i="14"/>
  <c r="S84" i="14" s="1"/>
  <c r="G48" i="14"/>
  <c r="F9" i="14"/>
  <c r="S19" i="14"/>
  <c r="I12" i="14"/>
  <c r="S74" i="43"/>
  <c r="S84" i="43" s="1"/>
  <c r="G48" i="43"/>
  <c r="I12" i="33"/>
  <c r="F9" i="33"/>
  <c r="S19" i="33"/>
  <c r="F9" i="40"/>
  <c r="I12" i="40"/>
  <c r="S19" i="40"/>
  <c r="I12" i="15"/>
  <c r="F9" i="15"/>
  <c r="S19" i="15"/>
  <c r="F9" i="39"/>
  <c r="I12" i="39"/>
  <c r="S19" i="39"/>
  <c r="G48" i="49"/>
  <c r="S74" i="49"/>
  <c r="S84" i="49" s="1"/>
  <c r="F9" i="49"/>
  <c r="I12" i="49"/>
  <c r="S19" i="49"/>
  <c r="S75" i="44"/>
  <c r="S87" i="44" s="1"/>
  <c r="G49" i="44"/>
  <c r="F9" i="44"/>
  <c r="I12" i="44"/>
  <c r="S19" i="44"/>
  <c r="S32" i="44" l="1"/>
  <c r="S43" i="44" s="1"/>
  <c r="S44" i="44" s="1"/>
  <c r="G6" i="44"/>
  <c r="G51" i="44"/>
  <c r="F51" i="44" s="1"/>
  <c r="H51" i="44" s="1"/>
  <c r="H49" i="44"/>
  <c r="S32" i="49"/>
  <c r="S42" i="49" s="1"/>
  <c r="S43" i="49" s="1"/>
  <c r="G6" i="49"/>
  <c r="G50" i="49"/>
  <c r="F50" i="49" s="1"/>
  <c r="H50" i="49" s="1"/>
  <c r="H48" i="49"/>
  <c r="S32" i="39"/>
  <c r="S42" i="39" s="1"/>
  <c r="S43" i="39" s="1"/>
  <c r="S20" i="39"/>
  <c r="S23" i="15"/>
  <c r="S33" i="15" s="1"/>
  <c r="S34" i="15" s="1"/>
  <c r="S20" i="15"/>
  <c r="S23" i="40"/>
  <c r="S33" i="40" s="1"/>
  <c r="S34" i="40" s="1"/>
  <c r="S20" i="40"/>
  <c r="S23" i="33"/>
  <c r="S33" i="33" s="1"/>
  <c r="S34" i="33" s="1"/>
  <c r="S20" i="33"/>
  <c r="G50" i="43"/>
  <c r="F50" i="43" s="1"/>
  <c r="H50" i="43" s="1"/>
  <c r="H48" i="43"/>
  <c r="S86" i="43"/>
  <c r="Q86" i="43"/>
  <c r="Q91" i="43" s="1"/>
  <c r="S32" i="14"/>
  <c r="S42" i="14" s="1"/>
  <c r="S43" i="14" s="1"/>
  <c r="G6" i="14"/>
  <c r="G50" i="14"/>
  <c r="F50" i="14" s="1"/>
  <c r="H50" i="14" s="1"/>
  <c r="H48" i="14"/>
  <c r="S32" i="20"/>
  <c r="S42" i="20" s="1"/>
  <c r="S43" i="20" s="1"/>
  <c r="G6" i="20"/>
  <c r="G50" i="20"/>
  <c r="F50" i="20" s="1"/>
  <c r="H50" i="20" s="1"/>
  <c r="H48" i="20"/>
  <c r="G8" i="19"/>
  <c r="F8" i="19" s="1"/>
  <c r="H8" i="19" s="1"/>
  <c r="H6" i="19"/>
  <c r="G8" i="9"/>
  <c r="F8" i="9" s="1"/>
  <c r="H8" i="9" s="1"/>
  <c r="H6" i="9"/>
  <c r="G8" i="11"/>
  <c r="F8" i="11" s="1"/>
  <c r="H8" i="11" s="1"/>
  <c r="H6" i="11"/>
  <c r="F9" i="36"/>
  <c r="S19" i="36"/>
  <c r="S32" i="36" s="1"/>
  <c r="S42" i="36" s="1"/>
  <c r="S43" i="36" s="1"/>
  <c r="I12" i="36"/>
  <c r="E6" i="36"/>
  <c r="H6" i="36" s="1"/>
  <c r="C8" i="36"/>
  <c r="E8" i="36" s="1"/>
  <c r="F8" i="36" s="1"/>
  <c r="H8" i="36" s="1"/>
  <c r="G8" i="42"/>
  <c r="F8" i="42" s="1"/>
  <c r="H8" i="42" s="1"/>
  <c r="H6" i="42"/>
  <c r="G8" i="51"/>
  <c r="F8" i="51" s="1"/>
  <c r="H8" i="51" s="1"/>
  <c r="H6" i="51"/>
  <c r="G8" i="12"/>
  <c r="F8" i="12" s="1"/>
  <c r="H8" i="12" s="1"/>
  <c r="H6" i="12"/>
  <c r="G8" i="20" l="1"/>
  <c r="F8" i="20" s="1"/>
  <c r="H8" i="20" s="1"/>
  <c r="H6" i="20"/>
  <c r="G8" i="14"/>
  <c r="F8" i="14" s="1"/>
  <c r="H8" i="14" s="1"/>
  <c r="H6" i="14"/>
  <c r="G8" i="49"/>
  <c r="F8" i="49" s="1"/>
  <c r="H8" i="49" s="1"/>
  <c r="H6" i="49"/>
  <c r="G8" i="44"/>
  <c r="F8" i="44" s="1"/>
  <c r="H8" i="44" s="1"/>
  <c r="H6" i="44"/>
  <c r="D44" i="22" l="1"/>
  <c r="D46" i="22"/>
  <c r="D43" i="22"/>
  <c r="D34" i="31" l="1"/>
  <c r="F34" i="31" s="1"/>
  <c r="F43" i="22"/>
  <c r="D37" i="31"/>
  <c r="F37" i="31" s="1"/>
  <c r="F46" i="22"/>
  <c r="D35" i="31"/>
  <c r="F35" i="31" s="1"/>
  <c r="F44" i="22"/>
  <c r="U62" i="22"/>
  <c r="X62" i="22" s="1"/>
  <c r="D35" i="27" l="1"/>
  <c r="F35" i="27" s="1"/>
  <c r="D34" i="27"/>
  <c r="F34" i="27" s="1"/>
  <c r="D37" i="27"/>
  <c r="F37" i="27" s="1"/>
  <c r="X13" i="22"/>
  <c r="X14" i="22"/>
  <c r="X15" i="22" l="1"/>
  <c r="U57" i="22" s="1"/>
  <c r="S59" i="22" l="1"/>
  <c r="C24" i="22" l="1"/>
  <c r="C23" i="22" l="1"/>
  <c r="D22" i="22" l="1"/>
  <c r="D26" i="22" s="1"/>
  <c r="D19" i="22"/>
  <c r="C22" i="22"/>
  <c r="C26" i="22" s="1"/>
  <c r="C19" i="22"/>
  <c r="S34" i="22"/>
  <c r="R19" i="22" l="1"/>
  <c r="S19" i="22" l="1"/>
  <c r="S33" i="22" s="1"/>
  <c r="G6" i="22" l="1"/>
  <c r="G8" i="22" s="1"/>
  <c r="F8" i="22" s="1"/>
  <c r="H8" i="22" s="1"/>
  <c r="H6" i="22" l="1"/>
  <c r="V46" i="22" l="1"/>
  <c r="V42" i="22" l="1"/>
  <c r="S38" i="22" s="1"/>
  <c r="S43" i="22" s="1"/>
  <c r="S45" i="2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tc={198B128D-DFE5-44B2-81AF-587CF61A4F8C}</author>
    <author>tc={030A73A9-9C7A-46F3-865A-84FD7E9CDCBA}</author>
  </authors>
  <commentList>
    <comment ref="U59" authorId="0" shapeId="0" xr:uid="{198B128D-DFE5-44B2-81AF-587CF61A4F8C}">
      <text>
        <t>[Threaded comment]
Your version of Excel allows you to read this threaded comment; however, any edits to it will get removed if the file is opened in a newer version of Excel. Learn more: https://go.microsoft.com/fwlink/?linkid=870924
Comment:
    In case of Warranty for ROP we don’t calculate similar to CMPI-FC. Check logic</t>
      </text>
    </comment>
    <comment ref="X62" authorId="1" shapeId="0" xr:uid="{030A73A9-9C7A-46F3-865A-84FD7E9CDCBA}">
      <text>
        <t>[Threaded comment]
Your version of Excel allows you to read this threaded comment; however, any edits to it will get removed if the file is opened in a newer version of Excel. Learn more: https://go.microsoft.com/fwlink/?linkid=870924
Comment:
    Diff of 0.42 is FX to be add to Royalty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tc={7B9D578B-330C-4C28-8B4D-D55BBC7D85A2}</author>
    <author>Kushalappa, Usha (NissanContractor)</author>
  </authors>
  <commentList>
    <comment ref="F24" authorId="0" shapeId="0" xr:uid="{7B9D578B-330C-4C28-8B4D-D55BBC7D85A2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data is from Profit in VA FX section</t>
      </text>
    </comment>
    <comment ref="Q89" authorId="1" shapeId="0" xr:uid="{9659E3D4-1589-464C-8CB1-EA8E981B3370}">
      <text>
        <r>
          <rPr>
            <b/>
            <sz val="9"/>
            <color indexed="81"/>
            <rFont val="Tahoma"/>
            <family val="2"/>
          </rPr>
          <t>Kushalappa, Usha (NissanContractor):</t>
        </r>
        <r>
          <rPr>
            <sz val="9"/>
            <color indexed="81"/>
            <rFont val="Tahoma"/>
            <family val="2"/>
          </rPr>
          <t xml:space="preserve">
CMPI others on the walk. Reconcile with Csaba - others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Sapozhnikova, Olga</author>
  </authors>
  <commentList>
    <comment ref="M19" authorId="0" shapeId="0" xr:uid="{D132E9D6-6CF6-403F-BA12-A3ED55A98CAB}">
      <text>
        <r>
          <rPr>
            <b/>
            <sz val="9"/>
            <color indexed="81"/>
            <rFont val="Tahoma"/>
            <family val="2"/>
          </rPr>
          <t>Sapozhnikova, Olga:</t>
        </r>
        <r>
          <rPr>
            <sz val="9"/>
            <color indexed="81"/>
            <rFont val="Tahoma"/>
            <family val="2"/>
          </rPr>
          <t xml:space="preserve">
MZ 1.8
Micra -1.5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tc={D82221CF-4213-4A66-81AE-0C29EE133A7C}</author>
    <author>Kushalappa, Usha (NissanContractor)</author>
  </authors>
  <commentList>
    <comment ref="F24" authorId="0" shapeId="0" xr:uid="{D82221CF-4213-4A66-81AE-0C29EE133A7C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data is from Profit in VA FX section</t>
      </text>
    </comment>
    <comment ref="Q85" authorId="1" shapeId="0" xr:uid="{77EAC61A-C8C6-489C-96FB-9FE7A3B59142}">
      <text>
        <r>
          <rPr>
            <b/>
            <sz val="9"/>
            <color indexed="81"/>
            <rFont val="Tahoma"/>
            <family val="2"/>
          </rPr>
          <t>Kushalappa, Usha (NissanContractor):</t>
        </r>
        <r>
          <rPr>
            <sz val="9"/>
            <color indexed="81"/>
            <rFont val="Tahoma"/>
            <family val="2"/>
          </rPr>
          <t xml:space="preserve">
CMPI others on the walk. Reconcile with Csaba - others</t>
        </r>
      </text>
    </comment>
  </commentList>
</comments>
</file>

<file path=xl/sharedStrings.xml><?xml version="1.0" encoding="utf-8"?>
<sst xmlns="http://schemas.openxmlformats.org/spreadsheetml/2006/main" count="6073" uniqueCount="571">
  <si>
    <t>CMP-I + Fixed Cost</t>
    <phoneticPr fontId="0"/>
  </si>
  <si>
    <t>M EUR</t>
    <phoneticPr fontId="0"/>
  </si>
  <si>
    <t>M04</t>
  </si>
  <si>
    <t>M05</t>
  </si>
  <si>
    <t>M06</t>
  </si>
  <si>
    <t>TIV</t>
    <phoneticPr fontId="0"/>
  </si>
  <si>
    <t>Retail sales volume (K units) - NISSAN</t>
    <phoneticPr fontId="0"/>
  </si>
  <si>
    <t>Retail sales volume (K units) - INFINITI</t>
    <phoneticPr fontId="0"/>
  </si>
  <si>
    <t>Retail sales volume (K units) - DATSUN</t>
    <phoneticPr fontId="0"/>
  </si>
  <si>
    <t>Wholesale volume (K units) To third party (Domestic) - NISSAN</t>
    <phoneticPr fontId="0"/>
  </si>
  <si>
    <t>Wholesale volume (K units) To third party (Domestic) - INFINITI</t>
    <phoneticPr fontId="0"/>
  </si>
  <si>
    <t>Wholesale volume (K units) To third party (Domestic) - DATSUN</t>
    <phoneticPr fontId="0"/>
  </si>
  <si>
    <t>Wholesale volume (K units) To third party (Export)</t>
    <phoneticPr fontId="0"/>
  </si>
  <si>
    <t>Gross Sales - New Vehicle (M&amp;S function scope)</t>
  </si>
  <si>
    <t>Gross Sales - Other External sales</t>
  </si>
  <si>
    <t>Gross Sales</t>
    <phoneticPr fontId="0"/>
  </si>
  <si>
    <t>VME - New Vehicle (M&amp;S function scope)</t>
  </si>
  <si>
    <t>VME - Other</t>
  </si>
  <si>
    <t>VME Total</t>
    <phoneticPr fontId="0"/>
  </si>
  <si>
    <t>Net Sales</t>
    <phoneticPr fontId="0"/>
  </si>
  <si>
    <t>@Std. Cost</t>
  </si>
  <si>
    <t>Other MFG variable</t>
    <phoneticPr fontId="0"/>
  </si>
  <si>
    <t>Parts / Materials and Others</t>
    <phoneticPr fontId="0"/>
  </si>
  <si>
    <t>CMP-I</t>
    <phoneticPr fontId="0"/>
  </si>
  <si>
    <t>% of Gross Sales</t>
  </si>
  <si>
    <t>MFG</t>
  </si>
  <si>
    <t>VT</t>
  </si>
  <si>
    <t>R&amp;D *except for function</t>
    <phoneticPr fontId="0"/>
  </si>
  <si>
    <t>Warranty</t>
  </si>
  <si>
    <t>*RS (Global Function Cost)</t>
    <phoneticPr fontId="0"/>
  </si>
  <si>
    <t>MFG - out of function scope</t>
  </si>
  <si>
    <t>MZK Total</t>
    <phoneticPr fontId="0"/>
  </si>
  <si>
    <t>FMI (M&amp;S)</t>
    <phoneticPr fontId="0"/>
  </si>
  <si>
    <t>FMI- out of function scope</t>
  </si>
  <si>
    <t>FMI Total</t>
    <phoneticPr fontId="0"/>
  </si>
  <si>
    <t>*GNX G&amp;A (Global Function Cost)</t>
    <phoneticPr fontId="0"/>
  </si>
  <si>
    <t>Global AS</t>
  </si>
  <si>
    <t>G&amp;A (region)</t>
  </si>
  <si>
    <t>Credit Loss / Provision</t>
  </si>
  <si>
    <t>G&amp;A out of function scope</t>
  </si>
  <si>
    <t>G&amp;A Total</t>
    <phoneticPr fontId="0"/>
  </si>
  <si>
    <t>Fixed Cost Total</t>
    <phoneticPr fontId="0"/>
  </si>
  <si>
    <t>CMP-I + Fixed Cost</t>
    <phoneticPr fontId="0"/>
  </si>
  <si>
    <t>% of Net Sales</t>
  </si>
  <si>
    <t>R&amp;D</t>
    <phoneticPr fontId="0"/>
  </si>
  <si>
    <t>RS</t>
    <phoneticPr fontId="0"/>
  </si>
  <si>
    <t>GNX G&amp;A (NML Only)</t>
    <phoneticPr fontId="0"/>
  </si>
  <si>
    <t>Global Function Cost</t>
    <phoneticPr fontId="0"/>
  </si>
  <si>
    <t>ROP (PKG)</t>
    <phoneticPr fontId="0"/>
  </si>
  <si>
    <t>* ICP (Infiniti Contribution Profit)</t>
    <phoneticPr fontId="0"/>
  </si>
  <si>
    <t>Export OSP (Out)</t>
  </si>
  <si>
    <t>Import OSP (In)</t>
  </si>
  <si>
    <t>R&amp;D (Functional ROP)</t>
  </si>
  <si>
    <t>ITP MZ</t>
  </si>
  <si>
    <t>ITP Import CBU</t>
  </si>
  <si>
    <t>ITP Export CBU</t>
  </si>
  <si>
    <t>Royalty NV</t>
  </si>
  <si>
    <t>Royalty Export</t>
  </si>
  <si>
    <t>CCS</t>
  </si>
  <si>
    <t>RS</t>
  </si>
  <si>
    <t>NII</t>
  </si>
  <si>
    <t>check</t>
  </si>
  <si>
    <t>CMPI</t>
  </si>
  <si>
    <t>FC</t>
  </si>
  <si>
    <t>Check RMPI</t>
  </si>
  <si>
    <t>M01</t>
  </si>
  <si>
    <t>M02</t>
  </si>
  <si>
    <t>M03</t>
  </si>
  <si>
    <t>M07</t>
  </si>
  <si>
    <t>M08</t>
  </si>
  <si>
    <t>M09</t>
  </si>
  <si>
    <t>M10</t>
  </si>
  <si>
    <t>M11</t>
  </si>
  <si>
    <t>M12</t>
  </si>
  <si>
    <t>FY</t>
  </si>
  <si>
    <t>Q1</t>
  </si>
  <si>
    <t>Q2</t>
  </si>
  <si>
    <t>Q3</t>
  </si>
  <si>
    <t>Q4</t>
  </si>
  <si>
    <t>YTD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</si>
  <si>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</si>
  <si>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</si>
  <si>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</si>
  <si>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</si>
  <si>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</si>
  <si>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</si>
  <si>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</si>
  <si>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</si>
  <si>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</si>
  <si>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</si>
  <si>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</si>
  <si>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</si>
  <si>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</si>
  <si>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</si>
  <si>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</si>
  <si>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</si>
  <si>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</si>
  <si>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</si>
  <si>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</si>
  <si>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</si>
  <si>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</si>
  <si>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</si>
  <si>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</si>
  <si>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MTD</t>
  </si>
  <si>
    <t>QTD</t>
  </si>
  <si>
    <t>H1</t>
  </si>
  <si>
    <t>H2</t>
  </si>
  <si>
    <t>CMP-I + Fixed Cost</t>
    <phoneticPr fontId="7"/>
  </si>
  <si>
    <t>TIV</t>
    <phoneticPr fontId="7"/>
  </si>
  <si>
    <t>Retail sales volume (K units) - NISSAN</t>
    <phoneticPr fontId="7"/>
  </si>
  <si>
    <t>Retail sales volume (K units) - INFINITI</t>
    <phoneticPr fontId="7"/>
  </si>
  <si>
    <t>Retail sales volume (K units) - DATSUN</t>
    <phoneticPr fontId="7"/>
  </si>
  <si>
    <t>Wholesale volume (K units) To third party (Domestic) - NISSAN</t>
    <phoneticPr fontId="7"/>
  </si>
  <si>
    <t>Wholesale volume (K units) To third party (Domestic) - INFINITI</t>
    <phoneticPr fontId="7"/>
  </si>
  <si>
    <t>Wholesale volume (K units) To third party (Domestic) - DATSUN</t>
    <phoneticPr fontId="7"/>
  </si>
  <si>
    <t>Wholesale volume (K units) To third party (Export)</t>
    <phoneticPr fontId="7"/>
  </si>
  <si>
    <t>Gross Sales</t>
    <phoneticPr fontId="7"/>
  </si>
  <si>
    <t>VME Total</t>
    <phoneticPr fontId="8"/>
  </si>
  <si>
    <t>Net Sales</t>
    <phoneticPr fontId="7"/>
  </si>
  <si>
    <t>Other MFG variable</t>
    <phoneticPr fontId="8"/>
  </si>
  <si>
    <t>Parts / Materials and Others</t>
    <phoneticPr fontId="8"/>
  </si>
  <si>
    <t>CMP-I</t>
    <phoneticPr fontId="8"/>
  </si>
  <si>
    <t>R&amp;D *except for function</t>
    <phoneticPr fontId="12"/>
  </si>
  <si>
    <t>*RS (Global Function Cost)</t>
    <phoneticPr fontId="12"/>
  </si>
  <si>
    <t>MZK Total</t>
    <phoneticPr fontId="8"/>
  </si>
  <si>
    <t>FMI (M&amp;S)</t>
    <phoneticPr fontId="12"/>
  </si>
  <si>
    <t>CFMI</t>
    <phoneticPr fontId="12"/>
  </si>
  <si>
    <t>FMI Total</t>
    <phoneticPr fontId="8"/>
  </si>
  <si>
    <t>*GNX G&amp;A (Global Function Cost)</t>
    <phoneticPr fontId="12"/>
  </si>
  <si>
    <t>G&amp;A Total</t>
    <phoneticPr fontId="8"/>
  </si>
  <si>
    <t>Fixed Cost Total</t>
    <phoneticPr fontId="8"/>
  </si>
  <si>
    <t>CMP-I + Fixed Cost</t>
    <phoneticPr fontId="8"/>
  </si>
  <si>
    <t>R&amp;D</t>
    <phoneticPr fontId="12"/>
  </si>
  <si>
    <t>RS</t>
    <phoneticPr fontId="12"/>
  </si>
  <si>
    <t>GNX G&amp;A (NML Only)</t>
    <phoneticPr fontId="12"/>
  </si>
  <si>
    <t>Global Function Cost</t>
    <phoneticPr fontId="12"/>
  </si>
  <si>
    <t>ROP (PKG)</t>
    <phoneticPr fontId="8"/>
  </si>
  <si>
    <t>* ICP (Infiniti Contribution Profit)</t>
    <phoneticPr fontId="12"/>
  </si>
  <si>
    <t>M EUR</t>
    <phoneticPr fontId="7"/>
  </si>
  <si>
    <t>NV</t>
  </si>
  <si>
    <t>Exp</t>
  </si>
  <si>
    <t>R&amp;D</t>
  </si>
  <si>
    <t>ITP</t>
  </si>
  <si>
    <t>Export</t>
  </si>
  <si>
    <t>Others</t>
  </si>
  <si>
    <t>AS</t>
  </si>
  <si>
    <t>Actual</t>
  </si>
  <si>
    <t>BP</t>
  </si>
  <si>
    <t>Act vs BP</t>
  </si>
  <si>
    <t>Act vs FC</t>
  </si>
  <si>
    <t>Select Month</t>
  </si>
  <si>
    <t>Latest FC</t>
  </si>
  <si>
    <t>latest FC vs BP</t>
  </si>
  <si>
    <t>Previous FC</t>
  </si>
  <si>
    <t>FX</t>
    <phoneticPr fontId="7"/>
  </si>
  <si>
    <t>RMP-i</t>
    <phoneticPr fontId="7"/>
  </si>
  <si>
    <t>Fixed Cost</t>
    <phoneticPr fontId="7"/>
  </si>
  <si>
    <t>Detailed Analysis</t>
    <phoneticPr fontId="7"/>
  </si>
  <si>
    <t>FX</t>
    <phoneticPr fontId="12"/>
  </si>
  <si>
    <t>RMP-I</t>
    <phoneticPr fontId="12"/>
  </si>
  <si>
    <t>Fixed Cost</t>
  </si>
  <si>
    <t>M&amp;S</t>
    <phoneticPr fontId="12"/>
  </si>
  <si>
    <t>FNFR
Revenue</t>
    <phoneticPr fontId="12"/>
  </si>
  <si>
    <t>TdC</t>
    <phoneticPr fontId="12"/>
  </si>
  <si>
    <t>ITP
Change</t>
    <phoneticPr fontId="12"/>
  </si>
  <si>
    <t>Royalty
rate
change</t>
    <phoneticPr fontId="12"/>
  </si>
  <si>
    <t>SF</t>
    <phoneticPr fontId="12"/>
  </si>
  <si>
    <t>AS</t>
    <phoneticPr fontId="12"/>
  </si>
  <si>
    <t>Others</t>
    <phoneticPr fontId="7"/>
  </si>
  <si>
    <t>FMI</t>
    <phoneticPr fontId="12"/>
  </si>
  <si>
    <t>Vol. &amp; Mix</t>
    <phoneticPr fontId="7"/>
  </si>
  <si>
    <t>Export</t>
    <phoneticPr fontId="7"/>
  </si>
  <si>
    <t>VME</t>
    <phoneticPr fontId="7"/>
  </si>
  <si>
    <t>Grade
Mix</t>
    <phoneticPr fontId="7"/>
  </si>
  <si>
    <t>Pricing</t>
    <phoneticPr fontId="7"/>
  </si>
  <si>
    <t>CR</t>
    <phoneticPr fontId="7"/>
  </si>
  <si>
    <t>RM</t>
    <phoneticPr fontId="7"/>
  </si>
  <si>
    <t>MFG variable</t>
    <phoneticPr fontId="7"/>
  </si>
  <si>
    <t>SCM</t>
    <phoneticPr fontId="7"/>
  </si>
  <si>
    <t>FNFR
Cost</t>
    <phoneticPr fontId="12"/>
  </si>
  <si>
    <t>CFMI</t>
    <phoneticPr fontId="7"/>
  </si>
  <si>
    <t>Remktg</t>
    <phoneticPr fontId="12"/>
  </si>
  <si>
    <t>Others</t>
    <phoneticPr fontId="12"/>
  </si>
  <si>
    <t>VT</t>
    <phoneticPr fontId="7"/>
  </si>
  <si>
    <t>Warranty</t>
    <phoneticPr fontId="7"/>
  </si>
  <si>
    <t>TdC Others</t>
  </si>
  <si>
    <t>Fixed Cost Others</t>
    <phoneticPr fontId="7"/>
  </si>
  <si>
    <t>G&amp;A out of function</t>
  </si>
  <si>
    <t>TdC Others</t>
    <phoneticPr fontId="7"/>
  </si>
  <si>
    <t>(units)</t>
    <phoneticPr fontId="12"/>
  </si>
  <si>
    <t>Var.</t>
    <phoneticPr fontId="12"/>
  </si>
  <si>
    <t>RMP-i Others</t>
    <phoneticPr fontId="7"/>
  </si>
  <si>
    <t>WS</t>
    <phoneticPr fontId="12"/>
  </si>
  <si>
    <t>UC</t>
  </si>
  <si>
    <t>Export</t>
    <phoneticPr fontId="12"/>
  </si>
  <si>
    <t>NRV</t>
  </si>
  <si>
    <t>Prod.</t>
    <phoneticPr fontId="12"/>
  </si>
  <si>
    <t>[CMP-i + Fixed Cost] Variance Analysis</t>
    <phoneticPr fontId="7"/>
  </si>
  <si>
    <t>CMP-i</t>
    <phoneticPr fontId="7"/>
  </si>
  <si>
    <t>CMP-I</t>
    <phoneticPr fontId="12"/>
  </si>
  <si>
    <t>MZ</t>
  </si>
  <si>
    <t>MFG</t>
    <phoneticPr fontId="7"/>
  </si>
  <si>
    <t>[ROP] Variance Analysis</t>
  </si>
  <si>
    <t>FMI (M&amp;S)</t>
  </si>
  <si>
    <t>R&amp;D *except for function</t>
  </si>
  <si>
    <t>*RS (Global Function Cost)</t>
  </si>
  <si>
    <t>BP MTD</t>
  </si>
  <si>
    <t>Act MTD</t>
  </si>
  <si>
    <t>Check</t>
  </si>
  <si>
    <t>BP YTD</t>
  </si>
  <si>
    <t>Act YTD</t>
  </si>
  <si>
    <t>FC YTD</t>
  </si>
  <si>
    <t>FC MTD</t>
  </si>
  <si>
    <t>BP QTD</t>
  </si>
  <si>
    <t>Act QTD</t>
  </si>
  <si>
    <t>FC QTD</t>
  </si>
  <si>
    <t>H60/U60</t>
  </si>
  <si>
    <t>OCS no TdC</t>
  </si>
  <si>
    <t>LY</t>
  </si>
  <si>
    <t>LY YTD</t>
  </si>
  <si>
    <t>LY MTD</t>
  </si>
  <si>
    <t>to be updated manually</t>
  </si>
  <si>
    <t>Contingency</t>
  </si>
  <si>
    <t>UED</t>
  </si>
  <si>
    <t>Ariya</t>
  </si>
  <si>
    <t>Sentra</t>
  </si>
  <si>
    <t>J12</t>
  </si>
  <si>
    <t>J11</t>
  </si>
  <si>
    <t>F16</t>
  </si>
  <si>
    <t>NMGR</t>
  </si>
  <si>
    <t>NMISA</t>
  </si>
  <si>
    <t>T32</t>
  </si>
  <si>
    <t>Domestic</t>
  </si>
  <si>
    <t>T33</t>
  </si>
  <si>
    <t>XFK</t>
  </si>
  <si>
    <t>D10</t>
  </si>
  <si>
    <t>ZE1</t>
  </si>
  <si>
    <t>Z52</t>
  </si>
  <si>
    <t>FE0</t>
  </si>
  <si>
    <t>Logistics</t>
  </si>
  <si>
    <t>Energy bus</t>
  </si>
  <si>
    <t>K14</t>
  </si>
  <si>
    <t>-2 conversion</t>
  </si>
  <si>
    <t>OL</t>
  </si>
  <si>
    <t>Act vs OL</t>
  </si>
  <si>
    <t>OL MTD</t>
  </si>
  <si>
    <t>UP</t>
  </si>
  <si>
    <t>CAFÉ</t>
  </si>
  <si>
    <t xml:space="preserve"> fuel cost up &amp; supplier capacity issue </t>
  </si>
  <si>
    <t>Out of scope comp</t>
  </si>
  <si>
    <t>VAT</t>
  </si>
  <si>
    <t>Warr</t>
  </si>
  <si>
    <t>warr</t>
  </si>
  <si>
    <t>17 J12; -5 J11; -3 F16; -3.5 D23</t>
  </si>
  <si>
    <r>
      <t>-21</t>
    </r>
    <r>
      <rPr>
        <sz val="11"/>
        <color rgb="FFFF0000"/>
        <rFont val="Arial"/>
        <family val="2"/>
      </rPr>
      <t xml:space="preserve"> </t>
    </r>
    <r>
      <rPr>
        <sz val="11"/>
        <rFont val="Arial"/>
        <family val="2"/>
      </rPr>
      <t>East</t>
    </r>
  </si>
  <si>
    <t>-2 tech lit</t>
  </si>
  <si>
    <t>-9 AUS and SWI move to INSC</t>
  </si>
  <si>
    <t>5 Scrap</t>
  </si>
  <si>
    <t>tbc</t>
  </si>
  <si>
    <t>14 Mfg (+24 volume; -10 pay rise)</t>
  </si>
  <si>
    <t>OCS TdC</t>
  </si>
  <si>
    <t>FY23</t>
  </si>
  <si>
    <t>G&amp;A reclass</t>
  </si>
  <si>
    <t>G&amp;A</t>
  </si>
  <si>
    <t>-0.3 K14; -0.2 F16;+0.1 ZE1</t>
  </si>
  <si>
    <t>Act vs LY</t>
  </si>
  <si>
    <t>CR</t>
  </si>
  <si>
    <t>X-badge/Micra</t>
  </si>
  <si>
    <t>Other</t>
  </si>
  <si>
    <t>NISA/NMUK</t>
  </si>
  <si>
    <t>Other HQ</t>
  </si>
  <si>
    <t>Other fixed</t>
  </si>
  <si>
    <t>Volume mix</t>
  </si>
  <si>
    <t>MZ and S&amp;M</t>
  </si>
  <si>
    <t>FX</t>
  </si>
  <si>
    <t>Duty</t>
  </si>
  <si>
    <t>X-badge TP</t>
  </si>
  <si>
    <t>CMPI vol mix</t>
  </si>
  <si>
    <t>Profit-in</t>
  </si>
  <si>
    <t>Royalty</t>
  </si>
  <si>
    <t>FX diff</t>
  </si>
  <si>
    <t>Volu</t>
  </si>
  <si>
    <t>Outbound logistics</t>
  </si>
  <si>
    <t>Methodology diff</t>
  </si>
  <si>
    <t>Methdology diff</t>
  </si>
  <si>
    <t>Vol&amp;model mix</t>
  </si>
  <si>
    <t xml:space="preserve">ctry mix </t>
  </si>
  <si>
    <t>Act</t>
  </si>
  <si>
    <t>X-badges TP</t>
  </si>
  <si>
    <t>Methodology diiff</t>
  </si>
  <si>
    <t>Duties for CBUs</t>
  </si>
  <si>
    <t>ACT</t>
  </si>
  <si>
    <t>HQ others</t>
  </si>
  <si>
    <t>MZ&amp;S&amp;M var</t>
  </si>
  <si>
    <t>Micra SC</t>
  </si>
  <si>
    <t>Duties</t>
  </si>
  <si>
    <t>RBUs</t>
  </si>
  <si>
    <t>CFMI</t>
    <phoneticPr fontId="3"/>
  </si>
  <si>
    <t>Other</t>
    <phoneticPr fontId="3"/>
  </si>
  <si>
    <t>*FMI- out of function scope (CFMI &amp; Other)</t>
    <phoneticPr fontId="3"/>
  </si>
  <si>
    <r>
      <t xml:space="preserve">Remarketing </t>
    </r>
    <r>
      <rPr>
        <i/>
        <sz val="10"/>
        <rFont val="Verdana"/>
        <family val="2"/>
      </rPr>
      <t>(USA/Canada/Infiniti)</t>
    </r>
  </si>
  <si>
    <t>FX var</t>
  </si>
  <si>
    <t>FX fixed</t>
  </si>
  <si>
    <t>The rest CMPI</t>
  </si>
  <si>
    <t>Fixed</t>
  </si>
  <si>
    <t>Fixed plugged</t>
  </si>
  <si>
    <t>Plug between Fixed and var</t>
  </si>
  <si>
    <t>ROP</t>
  </si>
  <si>
    <t>RMPI</t>
  </si>
  <si>
    <t>Fixed C</t>
  </si>
  <si>
    <t>Previous month</t>
  </si>
  <si>
    <t>OL QTD</t>
  </si>
  <si>
    <t>U60 Claim</t>
  </si>
  <si>
    <t>MZ now</t>
  </si>
  <si>
    <t>Legacy claims</t>
  </si>
  <si>
    <t>HFM diff</t>
  </si>
  <si>
    <t>G2I</t>
  </si>
  <si>
    <t>SCOS reclass</t>
  </si>
  <si>
    <t>RBU</t>
  </si>
  <si>
    <t>Capacity reservation</t>
  </si>
  <si>
    <t>var.</t>
    <phoneticPr fontId="5"/>
  </si>
  <si>
    <t>FX</t>
    <phoneticPr fontId="5"/>
  </si>
  <si>
    <t>Perf.</t>
    <phoneticPr fontId="5"/>
  </si>
  <si>
    <t>check</t>
    <phoneticPr fontId="5"/>
  </si>
  <si>
    <t>CMP-i</t>
    <phoneticPr fontId="5"/>
  </si>
  <si>
    <t>Fixed Cost</t>
    <phoneticPr fontId="5"/>
  </si>
  <si>
    <t>Total</t>
    <phoneticPr fontId="5"/>
  </si>
  <si>
    <t>RMP-i</t>
    <phoneticPr fontId="5"/>
  </si>
  <si>
    <t>OSP</t>
  </si>
  <si>
    <t>OSP update</t>
  </si>
  <si>
    <t>Volume impact on iTP</t>
  </si>
  <si>
    <t>NMPC</t>
  </si>
  <si>
    <t>X-badge</t>
  </si>
  <si>
    <t>Service costs</t>
  </si>
  <si>
    <t>CBUs</t>
  </si>
  <si>
    <t>Q2 vs Q1</t>
  </si>
  <si>
    <t>NANO</t>
  </si>
  <si>
    <t>Aprite VME</t>
  </si>
  <si>
    <t>NMUK prov</t>
  </si>
  <si>
    <t>OCS noTdC</t>
  </si>
  <si>
    <t>HFM</t>
  </si>
  <si>
    <t>FC-1 MTD</t>
  </si>
  <si>
    <t>FC-1 QTD</t>
  </si>
  <si>
    <t>LY QTD</t>
  </si>
  <si>
    <t>UED reversal</t>
  </si>
  <si>
    <t>Non-funct R&amp;D</t>
  </si>
  <si>
    <t>mainly energy bus</t>
  </si>
  <si>
    <t>(22;-16 bl task)</t>
  </si>
  <si>
    <t>mainly VAT</t>
  </si>
  <si>
    <t>HQ Other</t>
  </si>
  <si>
    <t>Other OCS no TdC</t>
  </si>
  <si>
    <t>OCS Others</t>
  </si>
  <si>
    <t>OSP/ITP</t>
  </si>
  <si>
    <t>X-vbadge</t>
  </si>
  <si>
    <t>Micra</t>
  </si>
  <si>
    <t>GAP</t>
  </si>
  <si>
    <t>Energy Bus</t>
  </si>
  <si>
    <t>CMPI FX var</t>
  </si>
  <si>
    <t>Perf.</t>
  </si>
  <si>
    <t>Energy Business</t>
  </si>
  <si>
    <t>As per current gap.</t>
  </si>
  <si>
    <t>Supplier claims</t>
  </si>
  <si>
    <t>AVL/CTB</t>
  </si>
  <si>
    <t>ILN business</t>
  </si>
  <si>
    <t>Supplier claims (c/o)</t>
  </si>
  <si>
    <t>Parts business (vol/mix)</t>
  </si>
  <si>
    <t>Energy</t>
  </si>
  <si>
    <t>KD ITPs/ Ren TPs</t>
  </si>
  <si>
    <t>Cap res</t>
  </si>
  <si>
    <t>Inv movement</t>
  </si>
  <si>
    <t>PM</t>
  </si>
  <si>
    <t>FX balance in OCS no Tdc to be added to Royalty</t>
  </si>
  <si>
    <t>Supplier Claims</t>
  </si>
  <si>
    <t>Logistic</t>
  </si>
  <si>
    <t>FY24</t>
  </si>
  <si>
    <t>Café</t>
  </si>
  <si>
    <t>HQ items</t>
  </si>
  <si>
    <t>NEW KPI-Done &amp; Aligned, shared with NML as per below email.</t>
  </si>
  <si>
    <t>Supplement KPI - Done &amp; Aligned, shared with NML as per below email.</t>
  </si>
  <si>
    <t>VA – To be sent today, COB. WIP</t>
  </si>
  <si>
    <t xml:space="preserve">Vs 2+1 corrected version </t>
  </si>
  <si>
    <t>VS PY YTD (ROP)</t>
  </si>
  <si>
    <t>VS 0+3 QTD (New KPI)</t>
  </si>
  <si>
    <t>BP25 Q1 vs FY24 Q4</t>
  </si>
  <si>
    <t>BP25 FY vs FY24 FY</t>
  </si>
  <si>
    <t>Today's deliverable</t>
  </si>
  <si>
    <t>Done</t>
  </si>
  <si>
    <t>(Accounting Task 30; BT -15)</t>
  </si>
  <si>
    <t xml:space="preserve"> VAT not recoverable</t>
  </si>
  <si>
    <t>Act vs OL (0+3)</t>
  </si>
  <si>
    <t xml:space="preserve"> X-badges</t>
  </si>
  <si>
    <t>Legacy claims March push down</t>
  </si>
  <si>
    <t>Bosch claim</t>
  </si>
  <si>
    <t>PUR Blind task</t>
  </si>
  <si>
    <t>Inv mvnt</t>
  </si>
  <si>
    <t>HQ Items</t>
  </si>
  <si>
    <t>Parts business</t>
  </si>
  <si>
    <t>Inventory mvnt</t>
  </si>
  <si>
    <t>CH Sales to renault</t>
  </si>
  <si>
    <t>SCOS update</t>
  </si>
  <si>
    <t>Blind Task</t>
  </si>
  <si>
    <t>MZ Others</t>
  </si>
  <si>
    <t>OL (1+2)</t>
  </si>
  <si>
    <t>SCOS</t>
  </si>
  <si>
    <t>ILN parts business</t>
  </si>
  <si>
    <t>cap res</t>
  </si>
  <si>
    <t>KD ITPs</t>
  </si>
  <si>
    <t>OL (2+1)</t>
  </si>
  <si>
    <t>OL(2+1)vs OL (0+3)</t>
  </si>
  <si>
    <t>Inv movement (timing)</t>
  </si>
  <si>
    <t>Others (timing)</t>
  </si>
  <si>
    <t>UP/Accouting timing</t>
  </si>
  <si>
    <t>Blind task.</t>
  </si>
  <si>
    <t>Capacity Reservation</t>
  </si>
  <si>
    <t>OL Q1 (0+3)</t>
  </si>
  <si>
    <t>OL Q1 (2+1)</t>
  </si>
  <si>
    <t>VT impairment</t>
  </si>
  <si>
    <t>IH Impairment</t>
  </si>
  <si>
    <t>Cap res Impairment</t>
  </si>
  <si>
    <t>Q1 OL(2+1) June MTD</t>
  </si>
  <si>
    <t>OL (2+1) Jun MTD</t>
  </si>
  <si>
    <t>G&amp;A Impairment</t>
  </si>
  <si>
    <t>Jun MTD vs OL(2+1)</t>
  </si>
  <si>
    <t>Compact EV</t>
  </si>
  <si>
    <t>MZ impairment</t>
  </si>
  <si>
    <t>Legacy Claims</t>
  </si>
  <si>
    <t>Act vs FC2+10</t>
  </si>
  <si>
    <t>NCIC ITPs (timing)</t>
  </si>
  <si>
    <t xml:space="preserve">Inv movement </t>
  </si>
  <si>
    <t>CAFÉ penalty</t>
  </si>
  <si>
    <t>MZ Impairment</t>
  </si>
  <si>
    <t>JunACT</t>
  </si>
  <si>
    <t>FY25 ACT Jun MTD</t>
  </si>
  <si>
    <t>Holiday pay (timing)</t>
  </si>
  <si>
    <t>(BT +37.3, Res +4.3)</t>
  </si>
  <si>
    <t>G&amp;A impairment</t>
  </si>
  <si>
    <t>FC 2+10</t>
  </si>
  <si>
    <t>ITP relief timing (outside PER)</t>
  </si>
  <si>
    <t>OCS  no Tdc</t>
  </si>
  <si>
    <t>Supplier claims (timing)</t>
  </si>
  <si>
    <t>ILN Parts business/Other OMP</t>
  </si>
  <si>
    <t>Mgt Task</t>
  </si>
  <si>
    <t>Q2 2+10</t>
  </si>
  <si>
    <t>FY25 ACT Q1</t>
  </si>
  <si>
    <t>Q2 FC 2+10</t>
  </si>
  <si>
    <t xml:space="preserve">Q2 </t>
  </si>
  <si>
    <t>Compact EV/VT Impairment</t>
  </si>
  <si>
    <t>Q2(2+10) vs Jun FY25 Q1</t>
  </si>
  <si>
    <t>Source is from MFG out of scope internal file.</t>
  </si>
  <si>
    <t>Email from Nga</t>
  </si>
  <si>
    <t>2+10 YTD</t>
  </si>
  <si>
    <t>Fixed variance OCS TdC from Nga's email</t>
  </si>
  <si>
    <t>MFG out of function file</t>
  </si>
  <si>
    <t>Insurance</t>
  </si>
  <si>
    <t>Need this compare for S&amp;M (BP to derive gap as technical challenge)</t>
  </si>
  <si>
    <t xml:space="preserve">S&amp;M </t>
  </si>
  <si>
    <t>BP2</t>
  </si>
  <si>
    <t>BP3</t>
  </si>
  <si>
    <t>Technical challenge S&amp;M</t>
  </si>
  <si>
    <t>Pension interest</t>
  </si>
  <si>
    <t>Region (non B01)</t>
  </si>
  <si>
    <t>FC2+10 YTD</t>
  </si>
  <si>
    <t xml:space="preserve">NRV </t>
  </si>
  <si>
    <t>Gross Sales</t>
  </si>
  <si>
    <t>VME Total</t>
  </si>
  <si>
    <t>Parts / Materials and Others</t>
  </si>
  <si>
    <t>*FMI- out of function scope (CFMI &amp; Other)</t>
  </si>
  <si>
    <t>CFMI</t>
  </si>
  <si>
    <t>ROP (PKG)</t>
  </si>
  <si>
    <t>P33B ePwr Step 2</t>
  </si>
  <si>
    <t>Others MZ</t>
  </si>
  <si>
    <t>2+10</t>
  </si>
  <si>
    <t>ITP relief catch up (outside PER)</t>
  </si>
  <si>
    <t>BT</t>
  </si>
  <si>
    <t>OCS Ntdc</t>
  </si>
  <si>
    <t>OCS TdC VA supporting file</t>
  </si>
  <si>
    <t>HQ supporting file source</t>
  </si>
  <si>
    <t>MFG out fo function</t>
  </si>
  <si>
    <t>Nga's emails for Fixed Cost</t>
  </si>
  <si>
    <t>MGD out of function</t>
  </si>
  <si>
    <t>Others(Fixed Cost)</t>
  </si>
  <si>
    <t>Capacity Reserve</t>
  </si>
  <si>
    <t>Say it Reserve</t>
  </si>
  <si>
    <t>Cap reservation</t>
  </si>
  <si>
    <t>CONVERT THIS TO FC2+10</t>
  </si>
  <si>
    <t>LINK THIS TO CURRENT YEAR</t>
  </si>
  <si>
    <t>`</t>
  </si>
  <si>
    <t>FC 5+7</t>
  </si>
  <si>
    <t>Act vs FC 5+7</t>
  </si>
  <si>
    <t>Capacity reserv</t>
  </si>
  <si>
    <t>Sep Link</t>
  </si>
  <si>
    <t>Master file link</t>
  </si>
  <si>
    <t>Not Applicable</t>
  </si>
  <si>
    <t>Comes From LIAM</t>
  </si>
  <si>
    <t>Summary</t>
  </si>
  <si>
    <t>Month</t>
  </si>
  <si>
    <t>Tab</t>
  </si>
  <si>
    <t>See formula on O19</t>
  </si>
  <si>
    <t>SCOS Update</t>
  </si>
  <si>
    <t>Blind task</t>
  </si>
  <si>
    <t>Elena's Input</t>
  </si>
  <si>
    <t>Q2 FC2+10</t>
  </si>
  <si>
    <t>Master</t>
  </si>
  <si>
    <t>FunctmP&amp;L</t>
  </si>
  <si>
    <t>Input from Elena</t>
  </si>
  <si>
    <t>FC5+7</t>
  </si>
  <si>
    <t>QQ Step 2 ITPs</t>
  </si>
  <si>
    <t>Nissan NV</t>
  </si>
  <si>
    <t>Datsun NV</t>
  </si>
  <si>
    <t>Infiniti NV</t>
  </si>
  <si>
    <t>Avila sales to Renault</t>
  </si>
  <si>
    <t xml:space="preserve">SCOS </t>
  </si>
  <si>
    <t xml:space="preserve">G2I </t>
  </si>
  <si>
    <t>VAT N/R</t>
  </si>
  <si>
    <t>VAT not recoverable</t>
  </si>
  <si>
    <t>energy business</t>
  </si>
  <si>
    <t>Energy business</t>
  </si>
  <si>
    <t>NAE</t>
  </si>
  <si>
    <t>Completed</t>
  </si>
  <si>
    <t xml:space="preserve">G2I Deferred </t>
  </si>
  <si>
    <t xml:space="preserve">Functional P&amp;L </t>
  </si>
  <si>
    <t>Renault TP increase</t>
  </si>
  <si>
    <t>P&amp;L</t>
  </si>
  <si>
    <t>Veh Stock Movement</t>
  </si>
  <si>
    <t>SCOS related</t>
  </si>
  <si>
    <t>MoM
M09 vs M08</t>
  </si>
  <si>
    <t>FC 7+5</t>
  </si>
  <si>
    <t>Act vs FC 7+5</t>
  </si>
  <si>
    <t>7+5 Q3</t>
  </si>
  <si>
    <t>Q3 Actual vs 7+5 Q4</t>
  </si>
  <si>
    <t>7+5 Q4</t>
  </si>
  <si>
    <t>NISA</t>
  </si>
  <si>
    <t>Contigency</t>
  </si>
  <si>
    <t>X badges</t>
  </si>
  <si>
    <t>Vehicle stock adjustment</t>
  </si>
  <si>
    <t>Bosch Lge SC</t>
  </si>
  <si>
    <t>KP ITPs (timing)</t>
  </si>
  <si>
    <t>MZ others</t>
  </si>
  <si>
    <t>RBU West &amp; others</t>
  </si>
  <si>
    <t>RBU West</t>
  </si>
  <si>
    <t>FY25 FC5+7 December MTD</t>
  </si>
  <si>
    <t>FY25 ACT December MTD</t>
  </si>
  <si>
    <t>FY25 FC5+7 December YTD</t>
  </si>
  <si>
    <t>FY25 ACT December YTD</t>
  </si>
  <si>
    <t>7+5 Q4 QTD</t>
  </si>
  <si>
    <t>Act Q3 QTD</t>
  </si>
  <si>
    <t>25 Q3</t>
  </si>
  <si>
    <t>6,7,8</t>
  </si>
  <si>
    <t>Qi- 10&amp;11</t>
  </si>
  <si>
    <t>Q113</t>
  </si>
  <si>
    <t>Qi 12</t>
  </si>
  <si>
    <t>Qi 9</t>
  </si>
  <si>
    <t>Prince - 10 on</t>
  </si>
  <si>
    <t>Prince 6,8</t>
  </si>
  <si>
    <t>Pri - 9</t>
  </si>
  <si>
    <t>Function P&amp;L</t>
  </si>
  <si>
    <t>='[FY25 P&amp;L Summary Jan New KPI - NO ePWR.xlsx]P&amp;L vs BP'!$CM$166 minus pri 9</t>
  </si>
  <si>
    <t>D - 6,7,8</t>
  </si>
  <si>
    <t>D - 9</t>
  </si>
  <si>
    <t>D-C10</t>
  </si>
  <si>
    <t>D - total fixed cost-venfor tool</t>
  </si>
  <si>
    <t>K -12=16+19</t>
  </si>
  <si>
    <t>NA</t>
  </si>
  <si>
    <t>Meena - 9</t>
  </si>
  <si>
    <t>D - everything except FMI&amp; forex - 10 to 13</t>
  </si>
  <si>
    <t>Plant AS</t>
  </si>
  <si>
    <t>Others one off</t>
  </si>
  <si>
    <t>Feb Link</t>
  </si>
  <si>
    <t>OCS No TdC</t>
  </si>
  <si>
    <t>Only Link to PM Var Master YTD tab file</t>
  </si>
  <si>
    <t>NMPC + RBU 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</si>
</sst>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0">
    <numFmt numFmtId="7" formatCode="&quot;£&quot;#,##0.00;\-&quot;£&quot;#,##0.00"/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0_ "/>
    <numFmt numFmtId="167" formatCode="#,##0.0"/>
    <numFmt numFmtId="168" formatCode="0.0%"/>
    <numFmt numFmtId="169" formatCode="#,##0.0;\-#,##0.0"/>
    <numFmt numFmtId="170" formatCode="#,##0.0;[Red]\-#,##0.0"/>
    <numFmt numFmtId="171" formatCode="#,##0.0_ "/>
    <numFmt numFmtId="172" formatCode="0.0"/>
    <numFmt numFmtId="173" formatCode="_(* #,##0.0_);_(* \(#,##0.0\);_(* &quot;-&quot;??_);_(@_)"/>
    <numFmt numFmtId="174" formatCode="#,##0.00_ "/>
    <numFmt numFmtId="175" formatCode="#,##0.0000000000000"/>
    <numFmt numFmtId="176" formatCode="_(* #,##0.0_);_(* \(#,##0.0\);_(* &quot;-&quot;_);_(@_)"/>
    <numFmt numFmtId="177" formatCode="#,##0.00000000"/>
    <numFmt numFmtId="178" formatCode="#,##0_ "/>
    <numFmt numFmtId="179" formatCode="_(* #,##0_);_(* \(#,##0\);_(* &quot;-&quot;??_);_(@_)"/>
    <numFmt numFmtId="180" formatCode="#,##0.000"/>
    <numFmt numFmtId="181" formatCode="_(* #,##0.00_);_(* \(#,##0.00\);_(* &quot;-&quot;_);_(@_)"/>
    <numFmt numFmtId="182" formatCode="#,##0.000000000000"/>
    <numFmt numFmtId="183" formatCode="_(* #,##0.0_);_(* \(#,##0.0\);_(* &quot;-&quot;?_);_(@_)"/>
    <numFmt numFmtId="184" formatCode="#,##0.00000000000000"/>
    <numFmt numFmtId="185" formatCode="#,##0.0000000"/>
    <numFmt numFmtId="186" formatCode="#,##0.000000000000000"/>
    <numFmt numFmtId="187" formatCode="#,##0.000000000"/>
    <numFmt numFmtId="188" formatCode="#,##0.000_ "/>
    <numFmt numFmtId="189" formatCode="_-* #,##0.0_-;\-* #,##0.0_-;_-* &quot;-&quot;??_-;_-@_-"/>
    <numFmt numFmtId="190" formatCode="&quot;$&quot;#,##0_);\(&quot;$&quot;#,##0\)"/>
    <numFmt numFmtId="191" formatCode="&quot;$&quot;#,##0_);[Red]\(&quot;$&quot;#,##0\)"/>
    <numFmt numFmtId="192" formatCode="&quot;$&quot;#,##0.00_);\(&quot;$&quot;#,##0.00\)"/>
    <numFmt numFmtId="193" formatCode="&quot;$&quot;#,##0.00_);[Red]\(&quot;$&quot;#,##0.00\)"/>
    <numFmt numFmtId="194" formatCode="_(&quot;$&quot;* #,##0_);_(&quot;$&quot;* \(#,##0\);_(&quot;$&quot;* &quot;-&quot;_);_(@_)"/>
    <numFmt numFmtId="195" formatCode="_(&quot;$&quot;* #,##0.00_);_(&quot;$&quot;* \(#,##0.00\);_(&quot;$&quot;* &quot;-&quot;??_);_(@_)"/>
    <numFmt numFmtId="196" formatCode="_-* #,##0.00\ &quot;€&quot;_-;\-* #,##0.00\ &quot;€&quot;_-;_-* &quot;-&quot;??\ &quot;€&quot;_-;_-@_-"/>
    <numFmt numFmtId="197" formatCode="_-* #,##0.00\ _€_-;\-* #,##0.00\ _€_-;_-* &quot;-&quot;??\ _€_-;_-@_-"/>
    <numFmt numFmtId="198" formatCode="&quot;¥&quot;#,##0;&quot;¥&quot;\-#,##0"/>
    <numFmt numFmtId="199" formatCode="&quot;¥&quot;#,##0;[Red]&quot;¥&quot;\-#,##0"/>
    <numFmt numFmtId="200" formatCode="&quot;¥&quot;#,##0.00;[Red]&quot;¥&quot;\-#,##0.00"/>
    <numFmt numFmtId="201" formatCode="_ &quot;¥&quot;* #,##0_ ;_ &quot;¥&quot;* \-#,##0_ ;_ &quot;¥&quot;* &quot;-&quot;_ ;_ @_ "/>
    <numFmt numFmtId="202" formatCode="_ * #,##0_ ;_ * \-#,##0_ ;_ * &quot;-&quot;_ ;_ @_ "/>
    <numFmt numFmtId="203" formatCode="_ &quot;¥&quot;* #,##0.00_ ;_ &quot;¥&quot;* \-#,##0.00_ ;_ &quot;¥&quot;* &quot;-&quot;??_ ;_ @_ "/>
    <numFmt numFmtId="204" formatCode="_ * #,##0.00_ ;_ * \-#,##0.00_ ;_ * &quot;-&quot;??_ ;_ @_ "/>
    <numFmt numFmtId="205" formatCode="&quot;$&quot;#,"/>
    <numFmt numFmtId="206" formatCode="&quot;¥&quot;#,##0.00;[Red]\-&quot;¥&quot;#,##0.00"/>
    <numFmt numFmtId="207" formatCode="_-* #,##0\ _F_-;\-* #,##0\ _F_-;_-* &quot;-&quot;\ _F_-;_-@_-"/>
    <numFmt numFmtId="208" formatCode="_-* #,##0.00\ _F_-;\-* #,##0.00\ _F_-;_-* &quot;-&quot;??\ _F_-;_-@_-"/>
    <numFmt numFmtId="209" formatCode="_-* #,##0.00_-;_-* #,##0.00\-;_-* &quot;-&quot;??_-;_-@_-"/>
    <numFmt numFmtId="210" formatCode="_-* #,##0_-;_-* #,##0\-;_-* &quot;-&quot;_-;_-@_-"/>
    <numFmt numFmtId="211" formatCode="_ &quot;¥&quot;* #,##0_ ;_ &quot;¥&quot;* &quot;¥&quot;&quot;¥&quot;\-#,##0_ ;_ &quot;¥&quot;* &quot;-&quot;_ ;_ @_ "/>
    <numFmt numFmtId="212" formatCode="_-* #,##0.00_-;&quot;¥&quot;&quot;¥&quot;&quot;¥&quot;\-* #,##0.00_-;_-* &quot;-&quot;??_-;_-@_-"/>
    <numFmt numFmtId="213" formatCode="_-* #,##0_-;&quot;¥&quot;&quot;¥&quot;&quot;¥&quot;\-* #,##0_-;_-* &quot;-&quot;_-;_-@_-"/>
    <numFmt numFmtId="214" formatCode="_-&quot;$&quot;* #,##0_-;\-&quot;$&quot;* #,##0_-;_-&quot;$&quot;* &quot;-&quot;_-;_-@_-"/>
    <numFmt numFmtId="215" formatCode="&quot;¥&quot;#,##0.00;&quot;¥&quot;\-&quot;¥&quot;#,##0.00"/>
    <numFmt numFmtId="216" formatCode="_-&quot;$&quot;* #,##0.00_-;\-&quot;$&quot;* #,##0.00_-;_-&quot;$&quot;* &quot;-&quot;??_-;_-@_-"/>
    <numFmt numFmtId="217" formatCode="&quot;¥&quot;#,##0;&quot;¥&quot;\-&quot;¥&quot;#,##0"/>
    <numFmt numFmtId="218" formatCode="_-&quot;$&quot;* #,##0.00_-;&quot;¥&quot;&quot;¥&quot;&quot;¥&quot;\-&quot;$&quot;* #,##0.00_-;_-&quot;$&quot;* &quot;-&quot;??_-;_-@_-"/>
    <numFmt numFmtId="219" formatCode="_-* #,##0.00\ &quot;F&quot;_-;\-* #,##0.00\ &quot;F&quot;_-;_-* &quot;-&quot;??\ &quot;F&quot;_-;_-@_-"/>
    <numFmt numFmtId="220" formatCode="_-* #,##0\ &quot;F&quot;_-;\-* #,##0\ &quot;F&quot;_-;_-* &quot;-&quot;\ &quot;F&quot;_-;_-@_-"/>
    <numFmt numFmtId="221" formatCode="0_)"/>
    <numFmt numFmtId="222" formatCode="#,##0.0_);\(#,##0.0\)"/>
    <numFmt numFmtId="223" formatCode="&quot;$&quot;_(#,##0.00_);&quot;$&quot;\(#,##0.00\)"/>
    <numFmt numFmtId="224" formatCode="#,##0.0_)\x;\(#,##0.0\)\x"/>
    <numFmt numFmtId="225" formatCode="#,##0.0_)_x;\(#,##0.0\)_x"/>
    <numFmt numFmtId="226" formatCode="0.0_)\%;\(0.0\)\%"/>
    <numFmt numFmtId="227" formatCode="#,##0.0_)_%;\(#,##0.0\)_%"/>
    <numFmt numFmtId="228" formatCode="#,##0_);\(#,##0\);&quot;- &quot;"/>
    <numFmt numFmtId="229" formatCode="_-#,##0_-;\(#,##0\);_-\ \ &quot;-&quot;_-;_-@_-"/>
    <numFmt numFmtId="230" formatCode="_-#,##0.00_-;\(#,##0.00\);_-\ \ &quot;-&quot;_-;_-@_-"/>
    <numFmt numFmtId="231" formatCode="mmm/dd/yyyy;_-\ &quot;N/A&quot;_-;_-\ &quot;-&quot;_-"/>
    <numFmt numFmtId="232" formatCode="mmm/yyyy;_-\ &quot;N/A&quot;_-;_-\ &quot;-&quot;_-"/>
    <numFmt numFmtId="233" formatCode="_-#,##0%_-;\(#,##0%\);_-\ &quot;-&quot;_-"/>
    <numFmt numFmtId="234" formatCode="_-#,###,_-;\(#,###,\);_-\ \ &quot;-&quot;_-;_-@_-"/>
    <numFmt numFmtId="235" formatCode="_-#,###.00,_-;\(#,###.00,\);_-\ \ &quot;-&quot;_-;_-@_-"/>
    <numFmt numFmtId="236" formatCode="_-#0&quot;.&quot;0,_-;\(#0&quot;.&quot;0,\);_-\ \ &quot;-&quot;_-;_-@_-"/>
    <numFmt numFmtId="237" formatCode="_-#0&quot;.&quot;0000_-;\(#0&quot;.&quot;0000\);_-\ \ &quot;-&quot;_-;_-@_-"/>
    <numFmt numFmtId="238" formatCode="&quot;¥&quot;#,##0;[Red]\-&quot;¥&quot;#,##0"/>
    <numFmt numFmtId="239" formatCode="_-&quot;?&quot;* #,##0.00_-;\-&quot;?&quot;* #,##0.00_-;_-&quot;?&quot;* &quot;-&quot;??_-;_-@_-"/>
    <numFmt numFmtId="240" formatCode="_-&quot;?&quot;* #,##0_-;\-&quot;?&quot;* #,##0_-;_-&quot;?&quot;* &quot;-&quot;_-;_-@_-"/>
    <numFmt numFmtId="241" formatCode="_-&quot;￡&quot;* #,##0.00_-;\-&quot;￡&quot;* #,##0.00_-;_-&quot;￡&quot;* &quot;-&quot;??_-;_-@_-"/>
    <numFmt numFmtId="242" formatCode="_-&quot;＝f&quot;* #,##0.00_-;\-&quot;＝f&quot;* #,##0.00_-;_-&quot;＝f&quot;* &quot;-&quot;??_-;_-@_-"/>
    <numFmt numFmtId="243" formatCode="_-* #,##0.00\ &quot;kr&quot;_-;\-* #,##0.00\ &quot;kr&quot;_-;_-* &quot;-&quot;??\ &quot;kr&quot;_-;_-@_-"/>
    <numFmt numFmtId="244" formatCode="_-&quot;￡&quot;* #,##0_-;\-&quot;￡&quot;* #,##0_-;_-&quot;￡&quot;* &quot;-&quot;_-;_-@_-"/>
    <numFmt numFmtId="245" formatCode="_-&quot;＝f&quot;* #,##0_-;\-&quot;＝f&quot;* #,##0_-;_-&quot;＝f&quot;* &quot;-&quot;_-;_-@_-"/>
    <numFmt numFmtId="246" formatCode="_-* #,##0\ &quot;kr&quot;_-;\-* #,##0\ &quot;kr&quot;_-;_-* &quot;-&quot;\ &quot;kr&quot;_-;_-@_-"/>
    <numFmt numFmtId="247" formatCode="0.000000%"/>
    <numFmt numFmtId="248" formatCode="#,##0,"/>
    <numFmt numFmtId="249" formatCode=";;;"/>
    <numFmt numFmtId="250" formatCode="0.0000"/>
    <numFmt numFmtId="251" formatCode="00"/>
    <numFmt numFmtId="252" formatCode="0.000"/>
    <numFmt numFmtId="253" formatCode="000"/>
    <numFmt numFmtId="254" formatCode="&quot;ｪ&quot;&quot;ｪ&quot;\:&quot;ｹ&quot;&quot;ｹ&quot;\:&quot;ｷ&quot;&quot;ｷ&quot;"/>
    <numFmt numFmtId="255" formatCode="\ \ \ \ \ @"/>
    <numFmt numFmtId="256" formatCode="#,##0.00_);\(#,##0.00\);&quot;-&quot;_);@_)"/>
    <numFmt numFmtId="257" formatCode="m/d"/>
    <numFmt numFmtId="258" formatCode="#,##0\ &quot;FB&quot;;[Red]\-#,##0\ &quot;FB&quot;"/>
    <numFmt numFmtId="259" formatCode="#,##0;\-#,##0;&quot;-&quot;"/>
    <numFmt numFmtId="260" formatCode="0.0%;\(0.0%\)"/>
    <numFmt numFmtId="261" formatCode="mm/yy"/>
    <numFmt numFmtId="262" formatCode="[Red][&gt;0.4]&quot;CAUTION&quot;;;;"/>
    <numFmt numFmtId="263" formatCode="#,##0.0_);\(#,##0.0\);&quot;-&quot;_);@_)"/>
    <numFmt numFmtId="264" formatCode="_ &quot;¥&quot;* #,##0.00_ ;_ &quot;¥&quot;* &quot;¥&quot;&quot;¥&quot;&quot;¥&quot;\-#,##0.00_ ;_ &quot;¥&quot;* &quot;-&quot;??_ ;_ @_ "/>
    <numFmt numFmtId="265" formatCode="#,##0;\(#,##0\)"/>
    <numFmt numFmtId="266" formatCode="0.000%"/>
    <numFmt numFmtId="267" formatCode="_ &quot;SFr.&quot;* #,##0_ ;_ &quot;SFr.&quot;* \-#,##0_ ;_ &quot;SFr.&quot;* &quot;-&quot;_ ;_ @_ "/>
    <numFmt numFmtId="268" formatCode="\$#,##0.00;[Red]\-\$#,##0.00"/>
    <numFmt numFmtId="269" formatCode="&quot;$&quot;#,##0;\-&quot;$&quot;#,##0"/>
    <numFmt numFmtId="270" formatCode="\$#,##0\ ;\(\$#,##0\)"/>
    <numFmt numFmtId="271" formatCode="\$#,##0.00;\(\$#,##0.00\)"/>
    <numFmt numFmtId="272" formatCode="mm/dd"/>
    <numFmt numFmtId="273" formatCode="0&quot;百万円&quot;\ "/>
    <numFmt numFmtId="274" formatCode="yy/m"/>
    <numFmt numFmtId="275" formatCode="yy/mm/dd"/>
    <numFmt numFmtId="276" formatCode="mmmm\ d\,\ yyyy"/>
    <numFmt numFmtId="277" formatCode="_-&quot;L.&quot;\ * #,##0_-;\-&quot;L.&quot;\ * #,##0_-;_-&quot;L.&quot;\ * &quot;-&quot;_-;_-@_-"/>
    <numFmt numFmtId="278" formatCode="\ #,##0_-;\(#,##0\);\ &quot;-&quot;_-;_-@_-"/>
    <numFmt numFmtId="279" formatCode="\$#,##0;\(\$#,##0\)"/>
    <numFmt numFmtId="280" formatCode="_-* #,##0\ _z_3_-;\-* #,##0\ _z_3_-;_-* &quot;-&quot;\ _z_3_-;_-@_-"/>
    <numFmt numFmtId="281" formatCode="d/m/yy"/>
    <numFmt numFmtId="282" formatCode="_-* #,##0.00\ _z_3_-;\-* #,##0.00\ _z_3_-;_-* &quot;-&quot;??\ _z_3_-;_-@_-"/>
    <numFmt numFmtId="283" formatCode="_([$€]* #,##0.00_);_([$€]* \(#,##0.00\);_([$€]* &quot;-&quot;??_);_(@_)"/>
    <numFmt numFmtId="284" formatCode="_([$€-2]* #,##0.00_);_([$€-2]* \(#,##0.00\);_([$€-2]* &quot;-&quot;??_)"/>
    <numFmt numFmtId="285" formatCode="#,##0\ \(\2\)"/>
    <numFmt numFmtId="286" formatCode="#,###&quot; &quot;;;;"/>
    <numFmt numFmtId="287" formatCode="mmm\ yy"/>
    <numFmt numFmtId="288" formatCode="_-#,##0_-;\(#,##0\);_-&quot;-&quot;_-;_-@_-"/>
    <numFmt numFmtId="289" formatCode="_-* #,##0_-;\(#,##0\);_-* &quot;-&quot;_-;_-@_-"/>
    <numFmt numFmtId="290" formatCode="_-* #,##0.0_-;\(#,##0.0\);_-* &quot;-&quot;_-;_-@_-"/>
    <numFmt numFmtId="291" formatCode="_(* #,##0.00_)_;;_(* \(#,##0.00\)_;;_(* #,##0.00_)_;"/>
    <numFmt numFmtId="292" formatCode="_(* #,##0.0000_)_;;_(* \(#,##0.0000\)_;;_(* #,##0.0000_)_;"/>
    <numFmt numFmtId="293" formatCode="\ 0%;\-0%"/>
    <numFmt numFmtId="294" formatCode="\ 0.0%;\-0.0%"/>
    <numFmt numFmtId="295" formatCode="\ 0.00%;\-0.00%"/>
    <numFmt numFmtId="296" formatCode="\ 0.000%;\-0.000%"/>
    <numFmt numFmtId="297" formatCode="\ 0.0000%;\-0.0000%"/>
    <numFmt numFmtId="298" formatCode="&quot;     &quot;@"/>
    <numFmt numFmtId="299" formatCode="_-* #,##0.00_-;\(#,##0.00\);_-* &quot;-&quot;??_-;_-@_-"/>
    <numFmt numFmtId="300" formatCode="0.00%_);\(0.00%\);&quot;-&quot;_%_)"/>
    <numFmt numFmtId="301" formatCode="[Red]#,##0.0_);\(#,##0.0\);&quot;-&quot;_);@_)"/>
    <numFmt numFmtId="302" formatCode="#,##0%;\(#,##0%\)"/>
    <numFmt numFmtId="303" formatCode="\ #,##0\ ;\ &quot;▲&quot;#,##0\ ;&quot;±&quot;0\ ;_ @_ "/>
    <numFmt numFmtId="304" formatCode="&quot;-&quot;@"/>
    <numFmt numFmtId="305" formatCode="#,###,##0"/>
    <numFmt numFmtId="306" formatCode="#,##0_ ;[Red]\-#,##0\ "/>
    <numFmt numFmtId="307" formatCode="&quot;R$&quot;#,##0_);[Red]\(&quot;R$&quot;#,##0\)"/>
    <numFmt numFmtId="308" formatCode="&quot;R$&quot;#,##0.00_);[Red]\(&quot;R$&quot;#,##0.00\)"/>
    <numFmt numFmtId="309" formatCode="0E+00"/>
    <numFmt numFmtId="310" formatCode="#,##0.00\ &quot;F&quot;;[Red]\-#,##0.00\ &quot;F&quot;"/>
    <numFmt numFmtId="311" formatCode="&quot;$&quot;#,##0.00_-;[Red]&quot;$&quot;#,##0.00\-"/>
    <numFmt numFmtId="312" formatCode="0.00_)"/>
    <numFmt numFmtId="313" formatCode="_-\ #,##0.0_-;\(#,##0.0\);_-\ &quot;-&quot;_-;_-@_-"/>
    <numFmt numFmtId="314" formatCode="\ #,##0.00_-;\(#,##0.00\);\ &quot;-&quot;_-;_-@_-"/>
    <numFmt numFmtId="315" formatCode="\ #,##0.000_-;\(#,##0.000\);\ &quot;-&quot;_-;_-@_-"/>
    <numFmt numFmtId="316" formatCode="\ #,##0.0000_-;\(#,##0.0000\);\ &quot;-&quot;_-;_-@_-"/>
    <numFmt numFmtId="317" formatCode="mmm"/>
    <numFmt numFmtId="318" formatCode="&quot;Yes&quot;;;&quot;No&quot;"/>
    <numFmt numFmtId="319" formatCode="#,##0\ \(\o\p\t\i\o\n\)"/>
    <numFmt numFmtId="320" formatCode="&quot;Over&quot;;&quot;Under&quot;;&quot;On&quot;"/>
    <numFmt numFmtId="321" formatCode="0.0%_);\(0.0%\);&quot;-&quot;_%_)"/>
    <numFmt numFmtId="322" formatCode="0.000000"/>
    <numFmt numFmtId="323" formatCode="#,##0\ &quot;DM&quot;;[Red]\-#,##0\ &quot;DM&quot;"/>
    <numFmt numFmtId="324" formatCode="0%_);\(0%\)"/>
    <numFmt numFmtId="325" formatCode="&quot;$&quot;#,##0.00_-;&quot;$&quot;#,##0.00\-"/>
    <numFmt numFmtId="326" formatCode="#,##0%_ ;[Red]\-#,##0%\ "/>
    <numFmt numFmtId="327" formatCode="General_)"/>
    <numFmt numFmtId="328" formatCode=";;;&quot;[&quot;@&quot;]&quot;"/>
    <numFmt numFmtId="329" formatCode="_(#,##0.0_);\(#,##0.0\);_(#,##0.0_)"/>
    <numFmt numFmtId="330" formatCode="_-* #,##0_-;\-* #,##0_-;_-* &quot;-&quot;??_-;_-@_-"/>
    <numFmt numFmtId="331" formatCode="#,###,&quot; &quot;"/>
    <numFmt numFmtId="332" formatCode="#,##0.0;\(#,##0.0\);&quot;- &quot;"/>
    <numFmt numFmtId="333" formatCode="&quot;$&quot;#,##0,_);[Red]\(&quot;$&quot;#,##0,\)"/>
    <numFmt numFmtId="334" formatCode="#,##0.0_);\(#,##0.0\);&quot;- &quot;"/>
    <numFmt numFmtId="335" formatCode="_-&quot;F&quot;\ * #,##0_-;_-&quot;F&quot;\ * #,##0\-;_-&quot;F&quot;\ * &quot;-&quot;_-;_-@_-"/>
    <numFmt numFmtId="336" formatCode="_-&quot;F&quot;\ * #,##0.00_-;_-&quot;F&quot;\ * #,##0.00\-;_-&quot;F&quot;\ * &quot;-&quot;??_-;_-@_-"/>
    <numFmt numFmtId="337" formatCode="_-* #,##0\ &quot;z3&quot;_-;\-* #,##0\ &quot;z3&quot;_-;_-* &quot;-&quot;\ &quot;z3&quot;_-;_-@_-"/>
    <numFmt numFmtId="338" formatCode="_-&quot;｣&quot;* #,##0_-;\-&quot;｣&quot;* #,##0_-;_-&quot;｣&quot;* &quot;-&quot;_-;_-@_-"/>
    <numFmt numFmtId="339" formatCode="_-&quot;｣&quot;* #,##0.00_-;\-&quot;｣&quot;* #,##0.00_-;_-&quot;｣&quot;* &quot;-&quot;??_-;_-@_-"/>
    <numFmt numFmtId="340" formatCode="_ &quot;SFr.&quot;\ * #,##0.00_ ;_ &quot;SFr.&quot;\ * \-#,##0.00_ ;_ &quot;SFr.&quot;\ * &quot;-&quot;??_ ;_ @_ "/>
    <numFmt numFmtId="341" formatCode="_(&quot;¥&quot;\ * #,##0_);_(&quot;¥&quot;\ * \(#,##0\);_(&quot;¥&quot;\ * &quot;-&quot;_);_(@_)"/>
    <numFmt numFmtId="342" formatCode="_-* #,##0_р_._-;\-* #,##0_р_._-;_-* &quot;-&quot;_р_._-;_-@_-"/>
    <numFmt numFmtId="343" formatCode="##,##0.00_);\(#,##0.00\)"/>
    <numFmt numFmtId="344" formatCode="#,##0.00000_);\(#,##0.00000\)"/>
    <numFmt numFmtId="345" formatCode="_(&quot;L&quot;* #,##0_);_(&quot;L&quot;* \(#,##0\);_(&quot;L&quot;* &quot;-&quot;_);_(@_)"/>
    <numFmt numFmtId="346" formatCode="&quot;L&quot;#,##0.00_);\(&quot;L&quot;#,##0.00\)"/>
    <numFmt numFmtId="347" formatCode="_-&quot;฿&quot;* #,##0_-;\-&quot;฿&quot;* #,##0_-;_-&quot;฿&quot;* &quot;-&quot;_-;_-@_-"/>
    <numFmt numFmtId="348" formatCode="_-&quot;฿&quot;* #,##0.00_-;\-&quot;฿&quot;* #,##0.00_-;_-&quot;฿&quot;* &quot;-&quot;??_-;_-@_-"/>
    <numFmt numFmtId="349" formatCode="&quot;&quot;#,##0.00;&quot;¥&quot;\!\-&quot;&quot;#,##0.00"/>
    <numFmt numFmtId="350" formatCode="&quot;$&quot;#,##0;[Red]\-&quot;$&quot;#,##0"/>
    <numFmt numFmtId="351" formatCode="\ #,##0&quot;台&quot;\ ;\ &quot;▲&quot;#,##0&quot;台&quot;\ ;&quot;±&quot;0&quot;台&quot;\ ;_ @_ "/>
    <numFmt numFmtId="352" formatCode="0.00_);[Red]\(0.00\)"/>
    <numFmt numFmtId="353" formatCode="_(* #,##0.000_);_(* \(#,##0.000\);_(* &quot;-&quot;??_);_(@_)"/>
    <numFmt numFmtId="354" formatCode="#,##0.00000000000000_ ;[Red]\-#,##0.00000000000000\ "/>
    <numFmt numFmtId="355" formatCode="#,##0.000000"/>
    <numFmt numFmtId="356" formatCode="#,##0.0000_ "/>
    <numFmt numFmtId="357" formatCode="0.00000"/>
    <numFmt numFmtId="358" formatCode="_(* #,##0.0000_);_(* \(#,##0.0000\);_(* &quot;-&quot;??_);_(@_)"/>
  </numFmts>
  <fonts count="65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ＭＳ Ｐゴシック"/>
      <family val="3"/>
      <charset val="128"/>
    </font>
    <font>
      <b/>
      <sz val="11"/>
      <color theme="1"/>
      <name val="Verdana"/>
      <family val="2"/>
    </font>
    <font>
      <sz val="11"/>
      <color theme="1"/>
      <name val="Calibri"/>
      <family val="2"/>
      <charset val="128"/>
      <scheme val="minor"/>
    </font>
    <font>
      <sz val="11"/>
      <color theme="1"/>
      <name val="Verdana"/>
      <family val="2"/>
    </font>
    <font>
      <b/>
      <sz val="10"/>
      <color theme="1"/>
      <name val="Verdana"/>
      <family val="2"/>
    </font>
    <font>
      <b/>
      <sz val="10"/>
      <name val="Verdana"/>
      <family val="2"/>
    </font>
    <font>
      <sz val="11"/>
      <name val="Verdana"/>
      <family val="2"/>
    </font>
    <font>
      <b/>
      <sz val="11"/>
      <name val="Verdana"/>
      <family val="2"/>
    </font>
    <font>
      <i/>
      <sz val="11"/>
      <color theme="0" tint="-0.499984740745262"/>
      <name val="Verdana"/>
      <family val="2"/>
    </font>
    <font>
      <sz val="11"/>
      <color theme="1" tint="0.499984740745262"/>
      <name val="Verdana"/>
      <family val="2"/>
    </font>
    <font>
      <i/>
      <sz val="11"/>
      <color theme="1" tint="0.499984740745262"/>
      <name val="Verdana"/>
      <family val="2"/>
    </font>
    <font>
      <i/>
      <sz val="11"/>
      <color rgb="FFFF0000"/>
      <name val="Verdana"/>
      <family val="2"/>
    </font>
    <font>
      <i/>
      <sz val="11"/>
      <name val="Verdana"/>
      <family val="2"/>
    </font>
    <font>
      <i/>
      <sz val="11"/>
      <color theme="1"/>
      <name val="Verdana"/>
      <family val="2"/>
    </font>
    <font>
      <sz val="8"/>
      <name val="Calibri"/>
      <family val="2"/>
      <scheme val="minor"/>
    </font>
    <font>
      <sz val="10"/>
      <name val="Arial"/>
      <family val="2"/>
    </font>
    <font>
      <sz val="11"/>
      <color theme="0" tint="-0.34998626667073579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name val="Verdana"/>
      <family val="2"/>
    </font>
    <font>
      <b/>
      <sz val="11"/>
      <color theme="1"/>
      <name val="Calibri"/>
      <family val="2"/>
      <charset val="128"/>
      <scheme val="minor"/>
    </font>
    <font>
      <sz val="11"/>
      <name val="Calibri"/>
      <family val="2"/>
      <scheme val="minor"/>
    </font>
    <font>
      <sz val="14"/>
      <name val="Arial"/>
      <family val="2"/>
    </font>
    <font>
      <sz val="11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i/>
      <sz val="16"/>
      <name val="Arial"/>
      <family val="2"/>
    </font>
    <font>
      <sz val="11"/>
      <color theme="1"/>
      <name val="Calibri"/>
      <family val="3"/>
      <charset val="128"/>
      <scheme val="minor"/>
    </font>
    <font>
      <sz val="12"/>
      <name val="Arial"/>
      <family val="2"/>
    </font>
    <font>
      <sz val="11"/>
      <name val="Segoe UI Symbol"/>
      <family val="2"/>
    </font>
    <font>
      <b/>
      <sz val="24"/>
      <color rgb="FF000080"/>
      <name val="メイリオ"/>
      <family val="2"/>
      <charset val="128"/>
    </font>
    <font>
      <b/>
      <sz val="2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0" tint="-0.34998626667073579"/>
      <name val="Arial"/>
      <family val="2"/>
    </font>
    <font>
      <sz val="11"/>
      <color rgb="FFFF0000"/>
      <name val="Arial"/>
      <family val="2"/>
    </font>
    <font>
      <sz val="11"/>
      <color theme="0" tint="-0.14999847407452621"/>
      <name val="Calibri"/>
      <family val="2"/>
      <scheme val="minor"/>
    </font>
    <font>
      <sz val="11"/>
      <color theme="0" tint="-0.14999847407452621"/>
      <name val="Arial"/>
      <family val="2"/>
    </font>
    <font>
      <sz val="14"/>
      <color theme="0" tint="-0.14999847407452621"/>
      <name val="Arial"/>
      <family val="2"/>
    </font>
    <font>
      <sz val="11"/>
      <color theme="1"/>
      <name val="Arial"/>
      <family val="2"/>
    </font>
    <font>
      <sz val="11"/>
      <color rgb="FF00000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b/>
      <sz val="11"/>
      <color rgb="FF0070C0"/>
      <name val="Verdana"/>
      <family val="2"/>
    </font>
    <font>
      <i/>
      <sz val="10"/>
      <name val="Verdana"/>
      <family val="2"/>
    </font>
    <font>
      <b/>
      <i/>
      <sz val="11"/>
      <name val="Verdana"/>
      <family val="2"/>
    </font>
    <font>
      <i/>
      <sz val="11"/>
      <color theme="1"/>
      <name val="Calibri"/>
      <family val="2"/>
      <scheme val="minor"/>
    </font>
    <font>
      <i/>
      <sz val="11"/>
      <color theme="0" tint="-0.34998626667073579"/>
      <name val="Arial"/>
      <family val="2"/>
    </font>
    <font>
      <sz val="11"/>
      <color rgb="FFFF0000"/>
      <name val="Calibri"/>
      <family val="2"/>
      <scheme val="minor"/>
    </font>
    <font>
      <sz val="12"/>
      <color theme="1"/>
      <name val="Aptos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6"/>
      <color theme="1"/>
      <name val="Arial"/>
      <family val="2"/>
    </font>
    <font>
      <sz val="11"/>
      <color theme="1"/>
      <name val="Calibri"/>
      <family val="2"/>
    </font>
    <font>
      <sz val="10"/>
      <name val="Verdana"/>
      <family val="2"/>
    </font>
    <font>
      <sz val="10"/>
      <name val="MS Sans Serif"/>
      <family val="2"/>
    </font>
    <font>
      <sz val="9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ＭＳ Ｐゴシック"/>
      <family val="3"/>
      <charset val="128"/>
    </font>
    <font>
      <sz val="8"/>
      <color indexed="8"/>
      <name val="Helvetica"/>
      <family val="2"/>
    </font>
    <font>
      <sz val="12"/>
      <name val="ｷsｲﾓｩ愰 "/>
      <family val="1"/>
    </font>
    <font>
      <sz val="12"/>
      <name val="ｷsｲﾓｩ愰 "/>
      <family val="3"/>
      <charset val="128"/>
    </font>
    <font>
      <sz val="12"/>
      <name val="ｷsｲﾓｩ愰 "/>
      <family val="3"/>
    </font>
    <font>
      <sz val="12"/>
      <name val="ｷsｲﾓｩ愰 "/>
      <family val="1"/>
      <charset val="128"/>
    </font>
    <font>
      <sz val="8"/>
      <name val="Tahoma"/>
      <family val="2"/>
    </font>
    <font>
      <sz val="11"/>
      <name val="｢ﾛ｢・｢ﾞ????"/>
      <family val="3"/>
    </font>
    <font>
      <sz val="11"/>
      <name val="｢ﾛ｢・｢ﾞ????"/>
      <family val="3"/>
      <charset val="128"/>
    </font>
    <font>
      <sz val="12"/>
      <name val="?s???? "/>
      <family val="1"/>
    </font>
    <font>
      <sz val="12"/>
      <name val="新細明?"/>
      <family val="3"/>
      <charset val="128"/>
    </font>
    <font>
      <sz val="11"/>
      <name val="ＭＳ Ｐ明朝"/>
      <family val="1"/>
      <charset val="128"/>
    </font>
    <font>
      <sz val="10"/>
      <name val="ＭＳ 明朝"/>
      <family val="1"/>
      <charset val="128"/>
    </font>
    <font>
      <sz val="11"/>
      <name val="돋움"/>
      <family val="2"/>
      <charset val="129"/>
    </font>
    <font>
      <sz val="11"/>
      <name val="?? ??"/>
      <family val="1"/>
    </font>
    <font>
      <sz val="11"/>
      <name val="??"/>
      <family val="1"/>
    </font>
    <font>
      <sz val="12"/>
      <name val="바탕체"/>
      <family val="3"/>
      <charset val="129"/>
    </font>
    <font>
      <sz val="14"/>
      <name val="?? ??"/>
      <family val="1"/>
      <charset val="128"/>
    </font>
    <font>
      <sz val="11"/>
      <name val="??? "/>
      <family val="3"/>
      <charset val="128"/>
    </font>
    <font>
      <sz val="11"/>
      <name val="?¸¿?"/>
      <family val="3"/>
      <charset val="129"/>
    </font>
    <font>
      <sz val="12"/>
      <name val="??????"/>
      <family val="1"/>
      <charset val="128"/>
    </font>
    <font>
      <sz val="10"/>
      <name val="?? ????"/>
      <family val="3"/>
      <charset val="128"/>
    </font>
    <font>
      <u/>
      <sz val="11"/>
      <color indexed="12"/>
      <name val="?? ?????"/>
      <family val="3"/>
      <charset val="128"/>
    </font>
    <font>
      <u/>
      <sz val="12"/>
      <color indexed="12"/>
      <name val="Osaka"/>
      <family val="3"/>
      <charset val="128"/>
    </font>
    <font>
      <u/>
      <sz val="8.25"/>
      <color indexed="12"/>
      <name val="?? ???"/>
      <family val="3"/>
    </font>
    <font>
      <u/>
      <sz val="8.25"/>
      <color indexed="12"/>
      <name val="?? ?????"/>
      <family val="3"/>
      <charset val="128"/>
    </font>
    <font>
      <u/>
      <sz val="8.25"/>
      <color indexed="12"/>
      <name val="?? ???"/>
      <family val="1"/>
      <charset val="128"/>
    </font>
    <font>
      <u/>
      <sz val="8.25"/>
      <color indexed="12"/>
      <name val="?? ?????"/>
      <family val="3"/>
    </font>
    <font>
      <u/>
      <sz val="11"/>
      <color indexed="12"/>
      <name val="?? ?????"/>
      <family val="3"/>
    </font>
    <font>
      <u/>
      <sz val="8.25"/>
      <color indexed="12"/>
      <name val="?? ???"/>
      <family val="3"/>
      <charset val="128"/>
    </font>
    <font>
      <u/>
      <sz val="11"/>
      <color indexed="12"/>
      <name val="?? ?????"/>
      <family val="2"/>
    </font>
    <font>
      <u/>
      <sz val="10"/>
      <color indexed="12"/>
      <name val="Arial"/>
      <family val="2"/>
    </font>
    <font>
      <sz val="12"/>
      <name val="1UAAA?"/>
      <family val="1"/>
    </font>
    <font>
      <u/>
      <sz val="10"/>
      <color indexed="12"/>
      <name val="MS Sans Serif"/>
      <family val="2"/>
    </font>
    <font>
      <u/>
      <sz val="8.25"/>
      <color indexed="36"/>
      <name val="?? ?????"/>
      <family val="3"/>
      <charset val="128"/>
    </font>
    <font>
      <u/>
      <sz val="11"/>
      <color indexed="36"/>
      <name val="MS P????"/>
      <family val="3"/>
    </font>
    <font>
      <u/>
      <sz val="10"/>
      <color indexed="36"/>
      <name val="Arial"/>
      <family val="2"/>
    </font>
    <font>
      <u/>
      <sz val="8.25"/>
      <color indexed="36"/>
      <name val="?? ?????"/>
      <family val="1"/>
    </font>
    <font>
      <u/>
      <sz val="12"/>
      <color indexed="36"/>
      <name val="Osaka"/>
      <family val="3"/>
      <charset val="128"/>
    </font>
    <font>
      <u/>
      <sz val="9"/>
      <color indexed="36"/>
      <name val="Arial"/>
      <family val="2"/>
    </font>
    <font>
      <u/>
      <sz val="8.25"/>
      <color indexed="36"/>
      <name val="?? ?????"/>
      <family val="3"/>
    </font>
    <font>
      <u/>
      <sz val="8.25"/>
      <color indexed="36"/>
      <name val="?? ?????"/>
      <family val="2"/>
    </font>
    <font>
      <u/>
      <sz val="8.25"/>
      <color indexed="36"/>
      <name val="MS P????"/>
      <family val="3"/>
    </font>
    <font>
      <u/>
      <sz val="8.25"/>
      <color indexed="36"/>
      <name val="MS P????"/>
      <family val="2"/>
    </font>
    <font>
      <u/>
      <sz val="11"/>
      <color indexed="36"/>
      <name val="?? ?????"/>
      <family val="3"/>
    </font>
    <font>
      <u/>
      <sz val="11"/>
      <color indexed="36"/>
      <name val="MS P????"/>
      <family val="2"/>
    </font>
    <font>
      <u/>
      <sz val="6.6"/>
      <color indexed="12"/>
      <name val="Arial"/>
      <family val="2"/>
    </font>
    <font>
      <u/>
      <sz val="6.6"/>
      <color indexed="36"/>
      <name val="MS P????"/>
      <family val="3"/>
    </font>
    <font>
      <u/>
      <sz val="8.25"/>
      <color indexed="12"/>
      <name val="MS P????"/>
      <family val="3"/>
    </font>
    <font>
      <u/>
      <sz val="8.25"/>
      <color indexed="36"/>
      <name val="?? ???"/>
      <family val="3"/>
    </font>
    <font>
      <u/>
      <sz val="12"/>
      <color indexed="36"/>
      <name val="Arial"/>
      <family val="2"/>
    </font>
    <font>
      <u/>
      <sz val="11"/>
      <color indexed="36"/>
      <name val="MS P????"/>
      <family val="3"/>
      <charset val="128"/>
    </font>
    <font>
      <u/>
      <sz val="10"/>
      <color indexed="36"/>
      <name val="MS Sans Serif"/>
      <family val="2"/>
    </font>
    <font>
      <u/>
      <sz val="10"/>
      <color indexed="36"/>
      <name val="Geneva"/>
      <family val="2"/>
    </font>
    <font>
      <u/>
      <sz val="10"/>
      <color indexed="36"/>
      <name val="MS P????"/>
      <family val="3"/>
    </font>
    <font>
      <u/>
      <sz val="10"/>
      <color indexed="36"/>
      <name val="MS P????"/>
      <family val="2"/>
    </font>
    <font>
      <u/>
      <sz val="11"/>
      <color indexed="12"/>
      <name val="MS P????"/>
      <family val="1"/>
    </font>
    <font>
      <u/>
      <sz val="10"/>
      <color indexed="12"/>
      <name val="MS P????"/>
      <family val="3"/>
    </font>
    <font>
      <u/>
      <sz val="10"/>
      <color indexed="12"/>
      <name val="MS P????"/>
      <family val="2"/>
    </font>
    <font>
      <u/>
      <sz val="8.25"/>
      <color indexed="12"/>
      <name val="MS P????"/>
      <family val="2"/>
    </font>
    <font>
      <u/>
      <sz val="11"/>
      <color indexed="12"/>
      <name val="MS P????"/>
      <family val="3"/>
      <charset val="128"/>
    </font>
    <font>
      <u/>
      <sz val="11"/>
      <color indexed="12"/>
      <name val="MS P????"/>
      <family val="3"/>
    </font>
    <font>
      <u/>
      <sz val="6.6"/>
      <color indexed="12"/>
      <name val="MS P????"/>
      <family val="3"/>
    </font>
    <font>
      <u/>
      <sz val="11"/>
      <color indexed="12"/>
      <name val="ＭＳ Ｐ????"/>
      <family val="1"/>
      <charset val="136"/>
    </font>
    <font>
      <u/>
      <sz val="12"/>
      <color indexed="12"/>
      <name val="Arial"/>
      <family val="2"/>
    </font>
    <font>
      <u/>
      <sz val="11"/>
      <color indexed="12"/>
      <name val="MS P????"/>
      <family val="2"/>
    </font>
    <font>
      <u/>
      <sz val="10"/>
      <color indexed="12"/>
      <name val="Geneva"/>
      <family val="2"/>
    </font>
    <font>
      <sz val="12"/>
      <name val="??????"/>
      <family val="2"/>
    </font>
    <font>
      <sz val="12"/>
      <name val="±¼¸²?¼"/>
      <family val="3"/>
      <charset val="129"/>
    </font>
    <font>
      <sz val="11"/>
      <name val="?l?r ?o?S?V?b?N"/>
      <family val="1"/>
    </font>
    <font>
      <sz val="11"/>
      <name val="?l?r ?o?S?V?b?N"/>
      <family val="2"/>
    </font>
    <font>
      <sz val="12"/>
      <name val="?s???? "/>
      <family val="3"/>
    </font>
    <font>
      <sz val="12"/>
      <name val="?s???? "/>
      <family val="1"/>
      <charset val="128"/>
    </font>
    <font>
      <sz val="11"/>
      <name val="?? ?????"/>
      <family val="3"/>
      <charset val="128"/>
    </font>
    <font>
      <sz val="11"/>
      <name val="?? ???"/>
      <family val="3"/>
    </font>
    <font>
      <sz val="11"/>
      <name val="?l?r ???"/>
      <family val="1"/>
      <charset val="128"/>
    </font>
    <font>
      <u/>
      <sz val="11"/>
      <color indexed="36"/>
      <name val="?l?r ?o?S?V?b?N"/>
      <family val="2"/>
    </font>
    <font>
      <u/>
      <sz val="8.25"/>
      <color indexed="36"/>
      <name val="?l?r ?o?S?V?b?N"/>
      <family val="1"/>
    </font>
    <font>
      <u/>
      <sz val="8.25"/>
      <color indexed="36"/>
      <name val="?l?r ?o?S?V?b?N"/>
      <family val="3"/>
    </font>
    <font>
      <u/>
      <sz val="8.25"/>
      <color indexed="36"/>
      <name val="?l?r ?o?S?V?b?N"/>
      <family val="2"/>
    </font>
    <font>
      <u/>
      <sz val="11"/>
      <color indexed="36"/>
      <name val="?l?r ??’c"/>
      <family val="1"/>
      <charset val="128"/>
    </font>
    <font>
      <u/>
      <sz val="11"/>
      <color indexed="36"/>
      <name val="?l?r ??fc"/>
      <family val="1"/>
      <charset val="128"/>
    </font>
    <font>
      <u/>
      <sz val="11"/>
      <color indexed="36"/>
      <name val="?l?r ??’c"/>
      <family val="3"/>
      <charset val="128"/>
    </font>
    <font>
      <sz val="12"/>
      <name val="??????"/>
      <family val="1"/>
    </font>
    <font>
      <sz val="11"/>
      <name val="?l?r ?o?S?V?b?N"/>
      <family val="3"/>
    </font>
    <font>
      <sz val="11"/>
      <name val="?l?r ??団"/>
      <family val="1"/>
      <charset val="128"/>
    </font>
    <font>
      <sz val="11"/>
      <name val="?l?r ?’c"/>
      <family val="1"/>
      <charset val="128"/>
    </font>
    <font>
      <sz val="14"/>
      <name val="Cordia New"/>
      <family val="2"/>
    </font>
    <font>
      <sz val="11"/>
      <name val="?l?r Efc"/>
      <family val="1"/>
    </font>
    <font>
      <sz val="11"/>
      <name val="?l?r ??fc"/>
      <family val="1"/>
    </font>
    <font>
      <sz val="11"/>
      <name val="?"/>
      <family val="3"/>
      <charset val="136"/>
    </font>
    <font>
      <sz val="11"/>
      <name val="?"/>
      <family val="3"/>
      <charset val="255"/>
    </font>
    <font>
      <sz val="11"/>
      <name val="絡?"/>
      <family val="3"/>
      <charset val="136"/>
    </font>
    <font>
      <u/>
      <sz val="11"/>
      <color indexed="12"/>
      <name val="?l?r ??’c"/>
      <family val="1"/>
      <charset val="128"/>
    </font>
    <font>
      <u/>
      <sz val="10.5"/>
      <color indexed="12"/>
      <name val="?l?r ??・"/>
      <family val="3"/>
      <charset val="128"/>
    </font>
    <font>
      <u/>
      <sz val="10.5"/>
      <color indexed="12"/>
      <name val="?l?r ??・"/>
      <family val="1"/>
      <charset val="128"/>
    </font>
    <font>
      <u/>
      <sz val="11"/>
      <color indexed="12"/>
      <name val="?l?r ??fc"/>
      <family val="1"/>
      <charset val="128"/>
    </font>
    <font>
      <u/>
      <sz val="11"/>
      <color indexed="12"/>
      <name val="?l?r ??’c"/>
      <family val="3"/>
      <charset val="128"/>
    </font>
    <font>
      <u/>
      <sz val="11"/>
      <color indexed="12"/>
      <name val="?l?r ?o?S?V?b?N"/>
      <family val="2"/>
    </font>
    <font>
      <sz val="11"/>
      <color indexed="8"/>
      <name val="?l?r ?o?S?V?b?N"/>
      <family val="2"/>
    </font>
    <font>
      <sz val="11"/>
      <name val="?l?r ・’c"/>
      <family val="1"/>
      <charset val="128"/>
    </font>
    <font>
      <sz val="11"/>
      <name val="??’c"/>
      <family val="3"/>
      <charset val="128"/>
    </font>
    <font>
      <sz val="12"/>
      <name val="??????"/>
      <family val="3"/>
    </font>
    <font>
      <u/>
      <sz val="12"/>
      <color indexed="36"/>
      <name val="???"/>
      <family val="3"/>
      <charset val="255"/>
    </font>
    <font>
      <sz val="12"/>
      <name val="???"/>
      <family val="3"/>
    </font>
    <font>
      <sz val="10"/>
      <name val="Times New Roman"/>
      <family val="1"/>
    </font>
    <font>
      <u/>
      <sz val="8.25"/>
      <color indexed="36"/>
      <name val="굃굍 뼻뮝"/>
      <family val="1"/>
      <charset val="129"/>
    </font>
    <font>
      <u/>
      <sz val="12"/>
      <color indexed="36"/>
      <name val="蘜???"/>
      <family val="3"/>
    </font>
    <font>
      <sz val="10"/>
      <name val="Helv"/>
      <family val="2"/>
    </font>
    <font>
      <sz val="9"/>
      <name val="Arial MT"/>
      <family val="2"/>
    </font>
    <font>
      <sz val="12"/>
      <name val="宋体"/>
      <family val="3"/>
      <charset val="128"/>
    </font>
    <font>
      <sz val="12"/>
      <name val="宋体"/>
      <family val="1"/>
      <charset val="255"/>
    </font>
    <font>
      <sz val="10"/>
      <color indexed="8"/>
      <name val="Arial"/>
      <family val="2"/>
    </font>
    <font>
      <sz val="10"/>
      <color indexed="8"/>
      <name val="MS Sans Serif"/>
      <family val="2"/>
    </font>
    <font>
      <sz val="12"/>
      <name val="Times New Roman"/>
      <family val="1"/>
    </font>
    <font>
      <sz val="10"/>
      <name val="Courier"/>
      <family val="3"/>
    </font>
    <font>
      <sz val="11"/>
      <name val="μ，? "/>
      <family val="3"/>
      <charset val="128"/>
    </font>
    <font>
      <sz val="10"/>
      <name val="Geneva"/>
      <family val="2"/>
    </font>
    <font>
      <sz val="10"/>
      <color indexed="12"/>
      <name val="Helv"/>
      <family val="2"/>
    </font>
    <font>
      <sz val="10"/>
      <color indexed="12"/>
      <name val="Helv"/>
    </font>
    <font>
      <sz val="10"/>
      <color indexed="17"/>
      <name val="Helv"/>
      <family val="2"/>
    </font>
    <font>
      <sz val="10"/>
      <color indexed="17"/>
      <name val="Helv"/>
    </font>
    <font>
      <b/>
      <sz val="22"/>
      <color indexed="18"/>
      <name val="Arial"/>
      <family val="2"/>
    </font>
    <font>
      <sz val="10"/>
      <color indexed="18"/>
      <name val="Helv"/>
      <family val="2"/>
    </font>
    <font>
      <sz val="10"/>
      <color indexed="18"/>
      <name val="Helv"/>
    </font>
    <font>
      <sz val="10"/>
      <color indexed="18"/>
      <name val="CG Times (WN)"/>
      <family val="1"/>
    </font>
    <font>
      <sz val="10"/>
      <color indexed="18"/>
      <name val="CG Times (WN)"/>
    </font>
    <font>
      <sz val="10"/>
      <color indexed="10"/>
      <name val="Helv"/>
      <family val="2"/>
    </font>
    <font>
      <sz val="10"/>
      <color indexed="10"/>
      <name val="Helv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sz val="11"/>
      <name val="ＭＳ Ｐゴシック"/>
      <family val="3"/>
    </font>
    <font>
      <sz val="14"/>
      <name val="System"/>
      <family val="2"/>
    </font>
    <font>
      <u val="singleAccounting"/>
      <vertAlign val="subscript"/>
      <sz val="10"/>
      <name val="Times New Roman"/>
      <family val="1"/>
    </font>
    <font>
      <i/>
      <sz val="9"/>
      <name val="Times New Roman"/>
      <family val="1"/>
    </font>
    <font>
      <sz val="11"/>
      <name val="??’?"/>
      <family val="1"/>
      <charset val="128"/>
    </font>
    <font>
      <sz val="11"/>
      <name val="?l?r ??’c"/>
      <family val="3"/>
      <charset val="128"/>
    </font>
    <font>
      <sz val="10"/>
      <name val="MS P????"/>
      <family val="3"/>
    </font>
    <font>
      <sz val="11"/>
      <name val="‚l‚r ‚oƒSƒVƒbƒN"/>
      <family val="3"/>
    </font>
    <font>
      <sz val="11"/>
      <name val="‚l‚r ‚oƒSƒVƒbƒN"/>
      <family val="3"/>
      <charset val="128"/>
    </font>
    <font>
      <sz val="10"/>
      <name val="Arial"/>
      <family val="2"/>
      <charset val="238"/>
    </font>
    <font>
      <sz val="14"/>
      <name val="‚l‚r –¾’©"/>
      <family val="1"/>
      <charset val="128"/>
    </font>
    <font>
      <sz val="10"/>
      <name val="Arial CE"/>
      <family val="2"/>
      <charset val="238"/>
    </font>
    <font>
      <sz val="20"/>
      <name val="돋움체"/>
      <family val="3"/>
      <charset val="129"/>
    </font>
    <font>
      <sz val="11"/>
      <name val="??・"/>
      <family val="3"/>
      <charset val="128"/>
    </font>
    <font>
      <u/>
      <sz val="8.25"/>
      <color indexed="36"/>
      <name val="®l®r ®o™S™V™b™N"/>
      <family val="3"/>
      <charset val="128"/>
    </font>
    <font>
      <u/>
      <sz val="11"/>
      <color indexed="36"/>
      <name val="‚l‚r ‚oƒSƒVƒbƒN"/>
      <family val="3"/>
      <charset val="128"/>
    </font>
    <font>
      <u/>
      <sz val="11"/>
      <color indexed="36"/>
      <name val="‚l‚r –¾’©"/>
      <family val="1"/>
      <charset val="128"/>
    </font>
    <font>
      <u/>
      <sz val="10"/>
      <color indexed="36"/>
      <name val="‚l‚r ‚oƒSƒVƒbƒN"/>
      <family val="3"/>
      <charset val="128"/>
    </font>
    <font>
      <u/>
      <sz val="11"/>
      <color indexed="36"/>
      <name val="‚l‚r ‚oƒSƒVƒbƒN"/>
      <family val="3"/>
    </font>
    <font>
      <u/>
      <sz val="11"/>
      <color indexed="36"/>
      <name val="‚l‚r –¾’©"/>
      <family val="3"/>
      <charset val="128"/>
    </font>
    <font>
      <sz val="12"/>
      <name val="×–¾’©‘Ì"/>
      <family val="3"/>
      <charset val="128"/>
    </font>
    <font>
      <sz val="12"/>
      <name val="Courier"/>
      <family val="3"/>
    </font>
    <font>
      <u/>
      <sz val="11"/>
      <color indexed="36"/>
      <name val="lr oSVbN"/>
      <family val="3"/>
      <charset val="128"/>
    </font>
    <font>
      <u/>
      <sz val="11"/>
      <color indexed="36"/>
      <name val="lr oSVbN"/>
      <family val="3"/>
      <charset val="255"/>
    </font>
    <font>
      <u/>
      <sz val="8.25"/>
      <color indexed="36"/>
      <name val="lr oSVbN"/>
      <family val="3"/>
      <charset val="128"/>
    </font>
    <font>
      <u/>
      <sz val="10"/>
      <color indexed="36"/>
      <name val="lr oSVbN"/>
      <family val="3"/>
      <charset val="128"/>
    </font>
    <font>
      <u/>
      <sz val="6.6"/>
      <color indexed="36"/>
      <name val="lr oSVbN"/>
      <family val="3"/>
      <charset val="128"/>
    </font>
    <font>
      <u/>
      <sz val="7.5"/>
      <color indexed="36"/>
      <name val="Times New Roman"/>
      <family val="1"/>
    </font>
    <font>
      <sz val="12"/>
      <name val="ìVã»"/>
      <family val="1"/>
      <charset val="136"/>
    </font>
    <font>
      <sz val="11"/>
      <name val="lr oSVbN"/>
      <family val="3"/>
      <charset val="128"/>
    </font>
    <font>
      <sz val="12"/>
      <name val="V×¾é"/>
      <family val="1"/>
      <charset val="136"/>
    </font>
    <font>
      <u/>
      <sz val="11"/>
      <color indexed="12"/>
      <name val="lr oSVbN"/>
      <family val="3"/>
      <charset val="128"/>
    </font>
    <font>
      <u/>
      <sz val="8.25"/>
      <color indexed="12"/>
      <name val="lr oSVbN"/>
      <family val="3"/>
      <charset val="128"/>
    </font>
    <font>
      <u/>
      <sz val="10"/>
      <color indexed="12"/>
      <name val="lr oSVbN"/>
      <family val="3"/>
      <charset val="128"/>
    </font>
    <font>
      <u/>
      <sz val="6.6"/>
      <color indexed="12"/>
      <name val="lr oSVbN"/>
      <family val="3"/>
      <charset val="128"/>
    </font>
    <font>
      <u/>
      <sz val="7.5"/>
      <color indexed="12"/>
      <name val="Times New Roman"/>
      <family val="1"/>
    </font>
    <font>
      <sz val="10"/>
      <name val="ＭＳ ゴシック"/>
      <family val="3"/>
      <charset val="128"/>
    </font>
    <font>
      <sz val="9"/>
      <name val="???????????"/>
      <family val="3"/>
    </font>
    <font>
      <sz val="9"/>
      <name val="?????BBB-??"/>
      <family val="3"/>
    </font>
    <font>
      <sz val="12"/>
      <name val="ＭＳ Ｐゴシック"/>
      <family val="3"/>
      <charset val="128"/>
    </font>
    <font>
      <sz val="9"/>
      <name val="中ゴシックＢＢＢ－等幅"/>
      <family val="3"/>
      <charset val="128"/>
    </font>
    <font>
      <sz val="12"/>
      <name val="±?，2A?"/>
      <family val="3"/>
      <charset val="128"/>
    </font>
    <font>
      <sz val="12"/>
      <name val="¹ÙÅÁÃ¼"/>
      <family val="1"/>
      <charset val="128"/>
    </font>
    <font>
      <sz val="12"/>
      <name val="ｹﾙﾅﾁﾃｼ"/>
      <family val="1"/>
      <charset val="128"/>
    </font>
    <font>
      <sz val="11"/>
      <color indexed="8"/>
      <name val="Calibri"/>
      <family val="2"/>
    </font>
    <font>
      <sz val="11"/>
      <color indexed="8"/>
      <name val="Arial"/>
      <family val="2"/>
    </font>
    <font>
      <sz val="11"/>
      <color indexed="8"/>
      <name val="Tahoma"/>
      <family val="2"/>
      <charset val="222"/>
    </font>
    <font>
      <sz val="11"/>
      <color indexed="8"/>
      <name val="Tahoma"/>
      <family val="2"/>
    </font>
    <font>
      <sz val="11"/>
      <color indexed="8"/>
      <name val="ＭＳ Ｐゴシック"/>
      <family val="3"/>
      <charset val="128"/>
    </font>
    <font>
      <sz val="11"/>
      <color indexed="8"/>
      <name val="宋体"/>
      <family val="1"/>
      <charset val="255"/>
    </font>
    <font>
      <sz val="11"/>
      <color indexed="8"/>
      <name val="宋体"/>
      <family val="3"/>
      <charset val="128"/>
    </font>
    <font>
      <sz val="11"/>
      <color indexed="9"/>
      <name val="Calibri"/>
      <family val="2"/>
    </font>
    <font>
      <sz val="11"/>
      <color indexed="9"/>
      <name val="Arial"/>
      <family val="2"/>
    </font>
    <font>
      <sz val="11"/>
      <color indexed="9"/>
      <name val="Tahoma"/>
      <family val="2"/>
      <charset val="222"/>
    </font>
    <font>
      <sz val="11"/>
      <color indexed="9"/>
      <name val="Tahoma"/>
      <family val="2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11"/>
      <color indexed="9"/>
      <name val="宋体"/>
      <family val="1"/>
      <charset val="255"/>
    </font>
    <font>
      <sz val="11"/>
      <color indexed="9"/>
      <name val="宋体"/>
      <family val="3"/>
      <charset val="128"/>
    </font>
    <font>
      <sz val="10"/>
      <color indexed="32"/>
      <name val="Times New Roman"/>
      <family val="1"/>
      <charset val="162"/>
    </font>
    <font>
      <sz val="10"/>
      <color indexed="32"/>
      <name val="Times New Roman"/>
      <family val="1"/>
    </font>
    <font>
      <b/>
      <sz val="10"/>
      <name val="Times New Roman"/>
      <family val="1"/>
      <charset val="162"/>
    </font>
    <font>
      <b/>
      <sz val="10"/>
      <name val="Times New Roman"/>
      <family val="1"/>
    </font>
    <font>
      <sz val="12"/>
      <name val="細明朝体"/>
      <family val="3"/>
      <charset val="128"/>
    </font>
    <font>
      <b/>
      <sz val="11"/>
      <name val="宋体"/>
      <family val="3"/>
      <charset val="128"/>
    </font>
    <font>
      <sz val="12"/>
      <name val="細明朝体"/>
      <family val="2"/>
    </font>
    <font>
      <sz val="12"/>
      <name val="細明朝体"/>
      <family val="3"/>
      <charset val="255"/>
    </font>
    <font>
      <b/>
      <sz val="11"/>
      <name val="宋体"/>
      <family val="1"/>
      <charset val="255"/>
    </font>
    <font>
      <b/>
      <sz val="24"/>
      <color indexed="13"/>
      <name val="MS Sans Serif"/>
      <family val="2"/>
    </font>
    <font>
      <sz val="10"/>
      <name val="Helvetica"/>
      <family val="2"/>
    </font>
    <font>
      <sz val="11"/>
      <name val="µ¸¿ò"/>
      <family val="3"/>
      <charset val="129"/>
    </font>
    <font>
      <sz val="11"/>
      <name val="μ¸¿o"/>
      <family val="3"/>
      <charset val="129"/>
    </font>
    <font>
      <sz val="8"/>
      <name val="Times New Roman"/>
      <family val="1"/>
    </font>
    <font>
      <sz val="12"/>
      <name val="¹UAAA¼"/>
      <family val="1"/>
      <charset val="129"/>
    </font>
    <font>
      <sz val="12"/>
      <name val="¹ÙÅÁÃ¼"/>
      <family val="1"/>
    </font>
    <font>
      <sz val="12"/>
      <name val="¹UAAA¼"/>
      <family val="3"/>
      <charset val="255"/>
    </font>
    <font>
      <sz val="11"/>
      <color indexed="10"/>
      <name val="Calibri"/>
      <family val="2"/>
    </font>
    <font>
      <sz val="14"/>
      <name val="Terminal"/>
      <family val="3"/>
      <charset val="255"/>
    </font>
    <font>
      <sz val="11"/>
      <color indexed="20"/>
      <name val="Arial"/>
      <family val="2"/>
    </font>
    <font>
      <sz val="11"/>
      <color indexed="20"/>
      <name val="Calibri"/>
      <family val="2"/>
    </font>
    <font>
      <sz val="11"/>
      <color indexed="20"/>
      <name val="Tahoma"/>
      <family val="2"/>
      <charset val="222"/>
    </font>
    <font>
      <sz val="11"/>
      <color indexed="20"/>
      <name val="Tahoma"/>
      <family val="2"/>
    </font>
    <font>
      <sz val="10"/>
      <color indexed="20"/>
      <name val="Arial"/>
      <family val="2"/>
    </font>
    <font>
      <sz val="8"/>
      <color indexed="22"/>
      <name val="Arial"/>
      <family val="2"/>
    </font>
    <font>
      <b/>
      <i/>
      <sz val="9"/>
      <name val="Geneva"/>
      <family val="2"/>
    </font>
    <font>
      <sz val="9"/>
      <color indexed="12"/>
      <name val="Arial"/>
      <family val="2"/>
    </font>
    <font>
      <b/>
      <sz val="10"/>
      <name val="MS Sans Serif"/>
      <family val="2"/>
    </font>
    <font>
      <b/>
      <sz val="10"/>
      <name val="Helv"/>
      <family val="2"/>
    </font>
    <font>
      <i/>
      <sz val="8"/>
      <name val="Arial"/>
      <family val="2"/>
    </font>
    <font>
      <b/>
      <sz val="9"/>
      <name val="Arial"/>
      <family val="2"/>
    </font>
    <font>
      <sz val="11"/>
      <color indexed="17"/>
      <name val="Calibri"/>
      <family val="2"/>
    </font>
    <font>
      <sz val="8"/>
      <color indexed="20"/>
      <name val="Tahoma"/>
      <family val="2"/>
    </font>
    <font>
      <sz val="12"/>
      <name val="±¼¸²Ã¼"/>
      <family val="3"/>
      <charset val="129"/>
    </font>
    <font>
      <sz val="11"/>
      <name val="ｵｸｿ "/>
      <family val="3"/>
      <charset val="128"/>
    </font>
    <font>
      <sz val="11"/>
      <name val="ｵｸｿ "/>
      <family val="3"/>
      <charset val="255"/>
    </font>
    <font>
      <sz val="18"/>
      <color indexed="24"/>
      <name val="Arial"/>
      <family val="2"/>
    </font>
    <font>
      <sz val="8"/>
      <color indexed="24"/>
      <name val="Arial"/>
      <family val="2"/>
    </font>
    <font>
      <b/>
      <sz val="12"/>
      <name val="Arial Narrow"/>
      <family val="2"/>
    </font>
    <font>
      <sz val="10"/>
      <name val="MS Serif"/>
      <family val="1"/>
    </font>
    <font>
      <b/>
      <sz val="11"/>
      <color indexed="52"/>
      <name val="Calibri"/>
      <family val="2"/>
    </font>
    <font>
      <b/>
      <sz val="11"/>
      <color indexed="52"/>
      <name val="Arial"/>
      <family val="2"/>
    </font>
    <font>
      <b/>
      <sz val="11"/>
      <color indexed="52"/>
      <name val="Tahoma"/>
      <family val="2"/>
    </font>
    <font>
      <b/>
      <sz val="10"/>
      <color indexed="52"/>
      <name val="Arial"/>
      <family val="2"/>
    </font>
    <font>
      <b/>
      <sz val="11"/>
      <color indexed="52"/>
      <name val="Tahoma"/>
      <family val="2"/>
      <charset val="222"/>
    </font>
    <font>
      <b/>
      <sz val="11"/>
      <color indexed="10"/>
      <name val="Calibri"/>
      <family val="2"/>
    </font>
    <font>
      <sz val="12"/>
      <name val="Gill Sans"/>
      <family val="2"/>
    </font>
    <font>
      <b/>
      <sz val="9"/>
      <name val="Times New Roman"/>
      <family val="1"/>
      <charset val="162"/>
    </font>
    <font>
      <b/>
      <sz val="9"/>
      <name val="Times New Roman"/>
      <family val="1"/>
    </font>
    <font>
      <sz val="8"/>
      <name val="Times New Roman"/>
      <family val="1"/>
      <charset val="162"/>
    </font>
    <font>
      <sz val="9"/>
      <color indexed="32"/>
      <name val="Times New Roman"/>
      <family val="1"/>
      <charset val="162"/>
    </font>
    <font>
      <sz val="9"/>
      <color indexed="32"/>
      <name val="Times New Roman"/>
      <family val="1"/>
    </font>
    <font>
      <b/>
      <i/>
      <u/>
      <sz val="9"/>
      <name val="Arial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9"/>
      <name val="Arial"/>
      <family val="2"/>
    </font>
    <font>
      <b/>
      <sz val="11"/>
      <color indexed="9"/>
      <name val="Tahoma"/>
      <family val="2"/>
    </font>
    <font>
      <b/>
      <sz val="11"/>
      <color indexed="9"/>
      <name val="Tahoma"/>
      <family val="2"/>
      <charset val="222"/>
    </font>
    <font>
      <b/>
      <sz val="10"/>
      <color indexed="9"/>
      <name val="Arial"/>
      <family val="2"/>
    </font>
    <font>
      <u/>
      <sz val="10"/>
      <color indexed="12"/>
      <name val="μ¸¿oA¼"/>
      <family val="3"/>
      <charset val="129"/>
    </font>
    <font>
      <b/>
      <sz val="8"/>
      <name val="Arial"/>
      <family val="2"/>
    </font>
    <font>
      <u/>
      <sz val="8"/>
      <color indexed="12"/>
      <name val="Helv"/>
      <family val="2"/>
    </font>
    <font>
      <u/>
      <sz val="8"/>
      <color indexed="36"/>
      <name val="Helv"/>
      <family val="2"/>
    </font>
    <font>
      <b/>
      <sz val="9.75"/>
      <name val="Abadi MT Condensed"/>
      <family val="2"/>
    </font>
    <font>
      <sz val="10"/>
      <color indexed="8"/>
      <name val="Impact"/>
      <family val="2"/>
    </font>
    <font>
      <i/>
      <sz val="8"/>
      <color indexed="10"/>
      <name val="Tahoma"/>
      <family val="2"/>
    </font>
    <font>
      <b/>
      <sz val="10"/>
      <name val="Tms Rmn"/>
      <family val="1"/>
    </font>
    <font>
      <sz val="12"/>
      <name val="Tms Rmn"/>
      <family val="1"/>
    </font>
    <font>
      <sz val="10"/>
      <name val="CG Times (WN)"/>
      <family val="1"/>
    </font>
    <font>
      <sz val="11"/>
      <name val="Arial Unicode MS"/>
      <family val="3"/>
      <charset val="128"/>
    </font>
    <font>
      <sz val="11"/>
      <color indexed="8"/>
      <name val="Calibri"/>
      <family val="3"/>
      <charset val="128"/>
    </font>
    <font>
      <sz val="12"/>
      <color indexed="8"/>
      <name val="Verdana"/>
      <family val="2"/>
    </font>
    <font>
      <sz val="10"/>
      <color indexed="24"/>
      <name val="Courier New"/>
      <family val="3"/>
    </font>
    <font>
      <sz val="11"/>
      <name val="lr oSVbN"/>
      <family val="3"/>
    </font>
    <font>
      <sz val="7"/>
      <name val="Times New Roman"/>
      <family val="1"/>
    </font>
    <font>
      <sz val="9.75"/>
      <name val="Abadi MT Condensed"/>
      <family val="2"/>
    </font>
    <font>
      <sz val="10"/>
      <color indexed="18"/>
      <name val="Abadi MT Condensed"/>
      <family val="2"/>
    </font>
    <font>
      <b/>
      <sz val="12"/>
      <name val="Helv"/>
      <family val="2"/>
    </font>
    <font>
      <sz val="8"/>
      <name val="CG Times (E1)"/>
      <family val="1"/>
    </font>
    <font>
      <sz val="10"/>
      <name val="Abadi MT Condensed"/>
      <family val="2"/>
    </font>
    <font>
      <strike/>
      <sz val="10"/>
      <name val="Courier New"/>
      <family val="3"/>
    </font>
    <font>
      <sz val="8"/>
      <color indexed="58"/>
      <name val="Arial"/>
      <family val="2"/>
    </font>
    <font>
      <sz val="10"/>
      <color indexed="10"/>
      <name val="Times New Roman"/>
      <family val="1"/>
    </font>
    <font>
      <sz val="8"/>
      <color indexed="19"/>
      <name val="Tahoma"/>
      <family val="2"/>
    </font>
    <font>
      <b/>
      <sz val="11"/>
      <color indexed="8"/>
      <name val="Calibri"/>
      <family val="2"/>
    </font>
    <font>
      <b/>
      <sz val="11"/>
      <color indexed="56"/>
      <name val="Calibri"/>
      <family val="2"/>
    </font>
    <font>
      <sz val="10"/>
      <color indexed="16"/>
      <name val="MS Serif"/>
      <family val="1"/>
    </font>
    <font>
      <sz val="11"/>
      <color indexed="62"/>
      <name val="Calibri"/>
      <family val="2"/>
    </font>
    <font>
      <sz val="9"/>
      <name val="Times New Roman"/>
      <family val="1"/>
    </font>
    <font>
      <i/>
      <sz val="8"/>
      <color indexed="11"/>
      <name val="Tahoma"/>
      <family val="2"/>
    </font>
    <font>
      <sz val="14"/>
      <name val="AngsanaUPC"/>
      <family val="1"/>
    </font>
    <font>
      <sz val="16"/>
      <name val="Times New Roman"/>
      <family val="1"/>
    </font>
    <font>
      <i/>
      <sz val="11"/>
      <color indexed="23"/>
      <name val="Arial"/>
      <family val="2"/>
    </font>
    <font>
      <i/>
      <sz val="11"/>
      <color indexed="23"/>
      <name val="Calibri"/>
      <family val="2"/>
    </font>
    <font>
      <i/>
      <sz val="11"/>
      <color indexed="23"/>
      <name val="Tahoma"/>
      <family val="2"/>
    </font>
    <font>
      <i/>
      <sz val="11"/>
      <color indexed="23"/>
      <name val="Tahoma"/>
      <family val="2"/>
      <charset val="222"/>
    </font>
    <font>
      <i/>
      <sz val="10"/>
      <color indexed="23"/>
      <name val="Arial"/>
      <family val="2"/>
    </font>
    <font>
      <sz val="12"/>
      <name val="ＭＳ ゴシック"/>
      <family val="3"/>
      <charset val="128"/>
    </font>
    <font>
      <u/>
      <sz val="12"/>
      <name val="ＭＳ ゴシック"/>
      <family val="3"/>
      <charset val="128"/>
    </font>
    <font>
      <sz val="16"/>
      <name val="ＭＳ ゴシック"/>
      <family val="3"/>
      <charset val="128"/>
    </font>
    <font>
      <u/>
      <sz val="16"/>
      <name val="ＭＳ ゴシック"/>
      <family val="3"/>
      <charset val="128"/>
    </font>
    <font>
      <sz val="12"/>
      <color indexed="24"/>
      <name val="Arial"/>
      <family val="2"/>
    </font>
    <font>
      <u/>
      <sz val="11"/>
      <color indexed="12"/>
      <name val="‚l‚r –¾’©"/>
      <family val="1"/>
      <charset val="128"/>
    </font>
    <font>
      <u/>
      <sz val="10"/>
      <color indexed="12"/>
      <name val="‚l‚r ‚oƒSƒVƒbƒN"/>
      <family val="3"/>
      <charset val="128"/>
    </font>
    <font>
      <u/>
      <sz val="11"/>
      <color indexed="12"/>
      <name val="‚l‚r ‚oƒSƒVƒbƒN"/>
      <family val="3"/>
      <charset val="128"/>
    </font>
    <font>
      <u/>
      <sz val="11"/>
      <color indexed="12"/>
      <name val="‚l‚r ‚oƒSƒVƒbƒN"/>
      <family val="3"/>
    </font>
    <font>
      <u/>
      <sz val="11"/>
      <color indexed="12"/>
      <name val="‚l‚r –¾’©"/>
      <family val="3"/>
      <charset val="128"/>
    </font>
    <font>
      <u/>
      <sz val="11"/>
      <color indexed="36"/>
      <name val="ＭＳ Ｐゴシック"/>
      <family val="3"/>
      <charset val="128"/>
    </font>
    <font>
      <u/>
      <sz val="11"/>
      <color indexed="36"/>
      <name val="?? ?????"/>
      <family val="3"/>
      <charset val="128"/>
    </font>
    <font>
      <i/>
      <sz val="8"/>
      <color indexed="12"/>
      <name val="Tahoma"/>
      <family val="2"/>
    </font>
    <font>
      <sz val="14"/>
      <name val="MS ｷ?"/>
      <family val="1"/>
      <charset val="128"/>
    </font>
    <font>
      <sz val="11"/>
      <color indexed="17"/>
      <name val="Arial"/>
      <family val="2"/>
    </font>
    <font>
      <sz val="11"/>
      <color indexed="17"/>
      <name val="Tahoma"/>
      <family val="2"/>
      <charset val="222"/>
    </font>
    <font>
      <sz val="11"/>
      <color indexed="17"/>
      <name val="Tahoma"/>
      <family val="2"/>
    </font>
    <font>
      <sz val="10"/>
      <color indexed="17"/>
      <name val="Arial"/>
      <family val="2"/>
    </font>
    <font>
      <i/>
      <u/>
      <sz val="12"/>
      <name val="Times New Roman"/>
      <family val="1"/>
    </font>
    <font>
      <b/>
      <sz val="8"/>
      <color indexed="9"/>
      <name val="Arial"/>
      <family val="2"/>
    </font>
    <font>
      <sz val="16"/>
      <color indexed="56"/>
      <name val="Impact"/>
      <family val="2"/>
    </font>
    <font>
      <b/>
      <u/>
      <sz val="11"/>
      <color indexed="37"/>
      <name val="Arial"/>
      <family val="2"/>
    </font>
    <font>
      <b/>
      <sz val="12"/>
      <name val="Arial"/>
      <family val="2"/>
    </font>
    <font>
      <sz val="18"/>
      <name val="Abadi MT Condensed Extra Bold"/>
      <family val="2"/>
    </font>
    <font>
      <b/>
      <sz val="15"/>
      <color indexed="56"/>
      <name val="Arial"/>
      <family val="2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8"/>
      <name val="Arial"/>
      <family val="2"/>
    </font>
    <font>
      <b/>
      <sz val="13"/>
      <color indexed="56"/>
      <name val="Arial"/>
      <family val="2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1"/>
      <color indexed="56"/>
      <name val="Arial"/>
      <family val="2"/>
    </font>
    <font>
      <b/>
      <sz val="11"/>
      <color indexed="56"/>
      <name val="Tahoma"/>
      <family val="2"/>
      <charset val="222"/>
    </font>
    <font>
      <b/>
      <sz val="11"/>
      <color indexed="62"/>
      <name val="Calibri"/>
      <family val="2"/>
    </font>
    <font>
      <b/>
      <sz val="11"/>
      <color indexed="56"/>
      <name val="Tahoma"/>
      <family val="2"/>
    </font>
    <font>
      <sz val="8"/>
      <color indexed="56"/>
      <name val="Arial"/>
      <family val="2"/>
    </font>
    <font>
      <b/>
      <sz val="18"/>
      <name val="Helv"/>
      <family val="2"/>
    </font>
    <font>
      <b/>
      <sz val="14"/>
      <name val="Helv"/>
      <family val="2"/>
    </font>
    <font>
      <b/>
      <sz val="8"/>
      <color indexed="12"/>
      <name val="Helvetica"/>
      <family val="2"/>
    </font>
    <font>
      <sz val="10"/>
      <color indexed="12"/>
      <name val="Arial"/>
      <family val="2"/>
    </font>
    <font>
      <u/>
      <sz val="8"/>
      <color indexed="12"/>
      <name val="Arial"/>
      <family val="2"/>
    </font>
    <font>
      <u/>
      <sz val="8"/>
      <color indexed="36"/>
      <name val="Arial"/>
      <family val="2"/>
    </font>
    <font>
      <u/>
      <sz val="7.5"/>
      <color indexed="36"/>
      <name val="Arial"/>
      <family val="2"/>
    </font>
    <font>
      <u/>
      <sz val="11"/>
      <color indexed="12"/>
      <name val="?? ?????"/>
      <family val="1"/>
    </font>
    <font>
      <u/>
      <sz val="11"/>
      <color indexed="36"/>
      <name val="?? ?????"/>
      <family val="1"/>
    </font>
    <font>
      <sz val="8"/>
      <name val="Geneva"/>
    </font>
    <font>
      <sz val="8"/>
      <name val="Geneva"/>
      <family val="2"/>
    </font>
    <font>
      <u/>
      <sz val="11"/>
      <color indexed="12"/>
      <name val="ＭＳ Ｐゴシック"/>
      <family val="3"/>
      <charset val="128"/>
    </font>
    <font>
      <u/>
      <sz val="7.7"/>
      <color indexed="12"/>
      <name val="ＭＳ Ｐゴシック"/>
      <family val="3"/>
      <charset val="128"/>
    </font>
    <font>
      <b/>
      <sz val="10"/>
      <color indexed="61"/>
      <name val="Wingdings"/>
      <charset val="2"/>
    </font>
    <font>
      <u/>
      <sz val="12.85"/>
      <color indexed="36"/>
      <name val="Arial"/>
      <family val="2"/>
    </font>
    <font>
      <b/>
      <u/>
      <sz val="8"/>
      <color indexed="61"/>
      <name val="Arial"/>
      <family val="2"/>
    </font>
    <font>
      <u/>
      <sz val="10"/>
      <color indexed="12"/>
      <name val="Arial CE"/>
      <family val="2"/>
      <charset val="238"/>
    </font>
    <font>
      <sz val="8"/>
      <color indexed="12"/>
      <name val="Arial"/>
      <family val="2"/>
    </font>
    <font>
      <shadow/>
      <sz val="8"/>
      <color indexed="12"/>
      <name val="Times New Roman"/>
      <family val="1"/>
    </font>
    <font>
      <sz val="10"/>
      <color indexed="62"/>
      <name val="Arial"/>
      <family val="2"/>
    </font>
    <font>
      <sz val="12"/>
      <color indexed="12"/>
      <name val="Times New Roman"/>
      <family val="1"/>
    </font>
    <font>
      <sz val="12"/>
      <color indexed="23"/>
      <name val="Times New Roman"/>
      <family val="1"/>
    </font>
    <font>
      <sz val="10"/>
      <color indexed="18"/>
      <name val="Times New Roman"/>
      <family val="1"/>
    </font>
    <font>
      <sz val="10"/>
      <color indexed="60"/>
      <name val="Arial"/>
      <family val="2"/>
    </font>
    <font>
      <b/>
      <i/>
      <sz val="9"/>
      <color indexed="17"/>
      <name val="Arial"/>
      <family val="2"/>
    </font>
    <font>
      <sz val="8"/>
      <color indexed="8"/>
      <name val="Tahoma"/>
      <family val="2"/>
    </font>
    <font>
      <b/>
      <i/>
      <sz val="14"/>
      <name val="Arial"/>
      <family val="2"/>
    </font>
    <font>
      <sz val="9"/>
      <color indexed="10"/>
      <name val="Arial"/>
      <family val="2"/>
    </font>
    <font>
      <b/>
      <sz val="8"/>
      <name val="Times New Roman"/>
      <family val="1"/>
    </font>
    <font>
      <u/>
      <sz val="7.5"/>
      <color indexed="12"/>
      <name val="Arial"/>
      <family val="2"/>
    </font>
    <font>
      <u/>
      <sz val="8.25"/>
      <color indexed="36"/>
      <name val="ＭＳ Ｐゴシック"/>
      <family val="3"/>
      <charset val="128"/>
    </font>
    <font>
      <u/>
      <sz val="10"/>
      <color indexed="20"/>
      <name val="Arial"/>
      <family val="2"/>
    </font>
    <font>
      <u/>
      <sz val="11"/>
      <color indexed="36"/>
      <name val="?? ?????"/>
      <family val="2"/>
    </font>
    <font>
      <sz val="11"/>
      <color indexed="52"/>
      <name val="Arial"/>
      <family val="2"/>
    </font>
    <font>
      <sz val="11"/>
      <color indexed="52"/>
      <name val="Tahoma"/>
      <family val="2"/>
      <charset val="222"/>
    </font>
    <font>
      <sz val="11"/>
      <color indexed="52"/>
      <name val="Tahoma"/>
      <family val="2"/>
    </font>
    <font>
      <sz val="10"/>
      <color indexed="52"/>
      <name val="Arial"/>
      <family val="2"/>
    </font>
    <font>
      <u/>
      <sz val="8"/>
      <name val="Arial"/>
      <family val="2"/>
    </font>
    <font>
      <i/>
      <u/>
      <sz val="8"/>
      <name val="Arial"/>
      <family val="2"/>
    </font>
    <font>
      <b/>
      <sz val="12"/>
      <color indexed="8"/>
      <name val="Times New Roman"/>
      <family val="1"/>
    </font>
    <font>
      <sz val="16"/>
      <name val="Times New Roman"/>
      <family val="1"/>
      <charset val="162"/>
    </font>
    <font>
      <sz val="10"/>
      <name val="UNIVERS"/>
      <family val="2"/>
    </font>
    <font>
      <sz val="11"/>
      <name val="明朝"/>
      <family val="1"/>
      <charset val="128"/>
    </font>
    <font>
      <b/>
      <sz val="11"/>
      <name val="Helv"/>
      <family val="2"/>
    </font>
    <font>
      <sz val="10"/>
      <name val="µ¸¿ò"/>
      <family val="2"/>
    </font>
    <font>
      <sz val="10"/>
      <name val="Arial"/>
      <family val="2"/>
      <charset val="204"/>
    </font>
    <font>
      <sz val="9"/>
      <name val="ＭＳ Ｐゴシック"/>
      <family val="3"/>
      <charset val="128"/>
    </font>
    <font>
      <sz val="9"/>
      <name val="ＭＳ ゴシック"/>
      <family val="3"/>
      <charset val="128"/>
    </font>
    <font>
      <sz val="11"/>
      <color indexed="60"/>
      <name val="Arial"/>
      <family val="2"/>
    </font>
    <font>
      <sz val="11"/>
      <color indexed="60"/>
      <name val="Calibri"/>
      <family val="2"/>
    </font>
    <font>
      <sz val="11"/>
      <color indexed="60"/>
      <name val="Tahoma"/>
      <family val="2"/>
      <charset val="222"/>
    </font>
    <font>
      <sz val="11"/>
      <color indexed="19"/>
      <name val="Calibri"/>
      <family val="2"/>
    </font>
    <font>
      <sz val="11"/>
      <color indexed="60"/>
      <name val="Tahoma"/>
      <family val="2"/>
    </font>
    <font>
      <b/>
      <i/>
      <sz val="14"/>
      <color indexed="21"/>
      <name val="Times New Roman"/>
      <family val="1"/>
    </font>
    <font>
      <sz val="7"/>
      <name val="Small Fonts"/>
      <family val="2"/>
    </font>
    <font>
      <sz val="10"/>
      <name val="Courier New"/>
      <family val="3"/>
    </font>
    <font>
      <b/>
      <i/>
      <sz val="16"/>
      <name val="Helv"/>
      <family val="2"/>
    </font>
    <font>
      <b/>
      <i/>
      <sz val="16"/>
      <name val="Helv"/>
    </font>
    <font>
      <sz val="12"/>
      <name val="Abadi MT Condensed Light"/>
      <family val="2"/>
    </font>
    <font>
      <sz val="8"/>
      <name val="ＭＳ Ｐゴシック"/>
      <family val="3"/>
      <charset val="128"/>
    </font>
    <font>
      <sz val="14"/>
      <name val="ＭＳ Ｐゴシック"/>
      <family val="3"/>
      <charset val="128"/>
    </font>
    <font>
      <sz val="11"/>
      <name val="?l?r ?S?V?b?N"/>
      <family val="3"/>
    </font>
    <font>
      <sz val="10"/>
      <color indexed="16"/>
      <name val="Arial"/>
      <family val="2"/>
    </font>
    <font>
      <sz val="8"/>
      <color indexed="23"/>
      <name val="Arial"/>
      <family val="2"/>
    </font>
    <font>
      <b/>
      <sz val="8"/>
      <color indexed="23"/>
      <name val="Arial"/>
      <family val="2"/>
    </font>
    <font>
      <sz val="10"/>
      <color indexed="23"/>
      <name val="Arial"/>
      <family val="2"/>
    </font>
    <font>
      <sz val="11"/>
      <name val="‚l‚r –¾’©"/>
      <family val="1"/>
      <charset val="128"/>
    </font>
    <font>
      <b/>
      <sz val="11"/>
      <color indexed="63"/>
      <name val="Arial"/>
      <family val="2"/>
    </font>
    <font>
      <b/>
      <sz val="11"/>
      <color indexed="63"/>
      <name val="Calibri"/>
      <family val="2"/>
    </font>
    <font>
      <b/>
      <sz val="11"/>
      <color indexed="63"/>
      <name val="Tahoma"/>
      <family val="2"/>
    </font>
    <font>
      <b/>
      <sz val="10"/>
      <color indexed="63"/>
      <name val="Arial"/>
      <family val="2"/>
    </font>
    <font>
      <b/>
      <sz val="11"/>
      <color indexed="63"/>
      <name val="Tahoma"/>
      <family val="2"/>
      <charset val="222"/>
    </font>
    <font>
      <b/>
      <sz val="10"/>
      <color indexed="14"/>
      <name val="Helvetica"/>
      <family val="2"/>
    </font>
    <font>
      <sz val="10"/>
      <color indexed="17"/>
      <name val="Abadi MT Condensed"/>
      <family val="2"/>
    </font>
    <font>
      <sz val="10"/>
      <name val="Univers (W1)"/>
      <family val="2"/>
    </font>
    <font>
      <i/>
      <sz val="8"/>
      <color indexed="23"/>
      <name val="Tahoma"/>
      <family val="2"/>
    </font>
    <font>
      <i/>
      <sz val="9"/>
      <color indexed="17"/>
      <name val="Arial"/>
      <family val="2"/>
    </font>
    <font>
      <sz val="14"/>
      <color indexed="10"/>
      <name val="Abadi MT Condensed Extra Bold"/>
      <family val="2"/>
    </font>
    <font>
      <sz val="10"/>
      <color indexed="10"/>
      <name val="MS Sans Serif"/>
      <family val="2"/>
    </font>
    <font>
      <sz val="8"/>
      <color indexed="16"/>
      <name val="Century Schoolbook"/>
      <family val="1"/>
    </font>
    <font>
      <sz val="8"/>
      <name val="Helv"/>
      <family val="2"/>
    </font>
    <font>
      <sz val="9.75"/>
      <name val="Helv"/>
      <family val="2"/>
    </font>
    <font>
      <sz val="11"/>
      <name val="Abadi MT Condensed Extra Bold"/>
      <family val="2"/>
    </font>
    <font>
      <b/>
      <sz val="12"/>
      <name val="Abadi MT Condensed"/>
      <family val="2"/>
    </font>
    <font>
      <sz val="12"/>
      <color indexed="12"/>
      <name val="Arial"/>
      <family val="2"/>
    </font>
    <font>
      <sz val="10"/>
      <color indexed="56"/>
      <name val="Times New Roman"/>
      <family val="1"/>
    </font>
    <font>
      <b/>
      <sz val="11"/>
      <color indexed="18"/>
      <name val="Arial"/>
      <family val="2"/>
    </font>
    <font>
      <b/>
      <sz val="10"/>
      <color indexed="8"/>
      <name val="Arial"/>
      <family val="2"/>
    </font>
    <font>
      <b/>
      <i/>
      <sz val="11"/>
      <color indexed="18"/>
      <name val="Arial"/>
      <family val="2"/>
    </font>
    <font>
      <b/>
      <sz val="10"/>
      <color indexed="39"/>
      <name val="Arial"/>
      <family val="2"/>
    </font>
    <font>
      <sz val="12"/>
      <color indexed="18"/>
      <name val="MS Sans Serif"/>
      <family val="2"/>
    </font>
    <font>
      <sz val="12"/>
      <color indexed="9"/>
      <name val="MS Sans Serif"/>
      <family val="2"/>
    </font>
    <font>
      <b/>
      <sz val="11"/>
      <color indexed="18"/>
      <name val="Arial Narrow"/>
      <family val="2"/>
    </font>
    <font>
      <b/>
      <sz val="11"/>
      <color indexed="9"/>
      <name val="Arial Narrow"/>
      <family val="2"/>
    </font>
    <font>
      <b/>
      <sz val="12"/>
      <color indexed="8"/>
      <name val="Arial"/>
      <family val="2"/>
    </font>
    <font>
      <sz val="11"/>
      <color indexed="18"/>
      <name val="Arial"/>
      <family val="2"/>
    </font>
    <font>
      <sz val="10"/>
      <color indexed="56"/>
      <name val="Arial"/>
      <family val="2"/>
    </font>
    <font>
      <sz val="10"/>
      <color indexed="18"/>
      <name val="Arial"/>
      <family val="2"/>
    </font>
    <font>
      <sz val="12"/>
      <color indexed="56"/>
      <name val="Arial"/>
      <family val="2"/>
    </font>
    <font>
      <i/>
      <sz val="12"/>
      <color indexed="56"/>
      <name val="Arial"/>
      <family val="2"/>
    </font>
    <font>
      <sz val="10"/>
      <color indexed="39"/>
      <name val="Arial"/>
      <family val="2"/>
    </font>
    <font>
      <sz val="11"/>
      <color indexed="56"/>
      <name val="Arial"/>
      <family val="2"/>
    </font>
    <font>
      <i/>
      <sz val="11"/>
      <color indexed="56"/>
      <name val="Arial"/>
      <family val="2"/>
    </font>
    <font>
      <sz val="10"/>
      <color indexed="8"/>
      <name val="Times New Roman"/>
      <family val="1"/>
    </font>
    <font>
      <b/>
      <i/>
      <sz val="11"/>
      <color indexed="56"/>
      <name val="Arial"/>
      <family val="2"/>
    </font>
    <font>
      <sz val="18"/>
      <color indexed="18"/>
      <name val="Arial"/>
      <family val="2"/>
    </font>
    <font>
      <sz val="11"/>
      <color indexed="10"/>
      <name val="Arial"/>
      <family val="2"/>
    </font>
    <font>
      <sz val="10"/>
      <color indexed="10"/>
      <name val="Arial"/>
      <family val="2"/>
    </font>
    <font>
      <sz val="12"/>
      <name val="굴림체"/>
      <family val="3"/>
      <charset val="129"/>
    </font>
    <font>
      <u/>
      <sz val="9"/>
      <name val="Arial"/>
      <family val="2"/>
    </font>
    <font>
      <b/>
      <i/>
      <sz val="10"/>
      <name val="Times New Roman"/>
      <family val="1"/>
    </font>
    <font>
      <b/>
      <sz val="13"/>
      <name val="Arial"/>
      <family val="2"/>
    </font>
    <font>
      <b/>
      <u/>
      <sz val="9"/>
      <name val="Arial"/>
      <family val="2"/>
    </font>
    <font>
      <b/>
      <sz val="14"/>
      <name val="Arial"/>
      <family val="2"/>
    </font>
    <font>
      <u/>
      <sz val="10"/>
      <color indexed="36"/>
      <name val="Arial CE"/>
      <family val="2"/>
      <charset val="238"/>
    </font>
    <font>
      <b/>
      <sz val="12"/>
      <name val="MS Sans Serif"/>
      <family val="2"/>
    </font>
    <font>
      <sz val="8"/>
      <color indexed="8"/>
      <name val="Arial"/>
      <family val="2"/>
    </font>
    <font>
      <sz val="8"/>
      <color indexed="39"/>
      <name val="Arial"/>
      <family val="2"/>
    </font>
    <font>
      <sz val="8"/>
      <color indexed="10"/>
      <name val="Arial"/>
      <family val="2"/>
    </font>
    <font>
      <sz val="9"/>
      <color indexed="9"/>
      <name val="Arial"/>
      <family val="2"/>
    </font>
    <font>
      <b/>
      <sz val="10"/>
      <color indexed="10"/>
      <name val="Arial"/>
      <family val="2"/>
    </font>
    <font>
      <b/>
      <sz val="10"/>
      <color indexed="33"/>
      <name val="Arial"/>
      <family val="2"/>
    </font>
    <font>
      <sz val="12"/>
      <name val="MS Sans Serif"/>
      <family val="2"/>
    </font>
    <font>
      <b/>
      <sz val="10"/>
      <name val="MS Serif"/>
      <family val="1"/>
    </font>
    <font>
      <sz val="10"/>
      <name val="Abadi MT Condensed Extra Bold"/>
      <family val="2"/>
    </font>
    <font>
      <sz val="12"/>
      <name val="Abadi MT Condensed Extra Bold"/>
      <family val="2"/>
    </font>
    <font>
      <b/>
      <sz val="8"/>
      <color indexed="8"/>
      <name val="Helv"/>
      <family val="2"/>
    </font>
    <font>
      <b/>
      <sz val="12"/>
      <name val="Univers (WN)"/>
      <family val="2"/>
    </font>
    <font>
      <sz val="8.5"/>
      <color indexed="10"/>
      <name val="MS Sans Serif"/>
      <family val="2"/>
    </font>
    <font>
      <sz val="12"/>
      <name val="¹UAAA¼"/>
      <family val="3"/>
    </font>
    <font>
      <b/>
      <sz val="8"/>
      <name val="Helvetica-Narrow"/>
      <family val="2"/>
    </font>
    <font>
      <b/>
      <sz val="18"/>
      <color indexed="56"/>
      <name val="Cambria"/>
      <family val="1"/>
    </font>
    <font>
      <b/>
      <sz val="18"/>
      <color indexed="62"/>
      <name val="Cambria"/>
      <family val="1"/>
    </font>
    <font>
      <i/>
      <sz val="12"/>
      <color indexed="18"/>
      <name val="Times New Roman"/>
      <family val="1"/>
    </font>
    <font>
      <b/>
      <sz val="20"/>
      <name val="Arial"/>
      <family val="2"/>
    </font>
    <font>
      <b/>
      <sz val="18"/>
      <color indexed="56"/>
      <name val="Cambria"/>
      <family val="2"/>
    </font>
    <font>
      <sz val="12"/>
      <name val="Arial MT"/>
      <family val="2"/>
    </font>
    <font>
      <u/>
      <sz val="8.25"/>
      <color indexed="12"/>
      <name val="®l®r ®o™S™V™b™N"/>
      <family val="3"/>
      <charset val="128"/>
    </font>
    <font>
      <sz val="10"/>
      <name val="Univers (E1)"/>
      <family val="2"/>
    </font>
    <font>
      <sz val="7"/>
      <color indexed="55"/>
      <name val="Arial"/>
      <family val="2"/>
    </font>
    <font>
      <b/>
      <sz val="12"/>
      <name val="Marlett"/>
      <charset val="2"/>
    </font>
    <font>
      <sz val="8"/>
      <color indexed="18"/>
      <name val="Tahoma"/>
      <family val="2"/>
    </font>
    <font>
      <i/>
      <sz val="8"/>
      <color indexed="8"/>
      <name val="Tahoma"/>
      <family val="2"/>
    </font>
    <font>
      <sz val="11"/>
      <color indexed="10"/>
      <name val="Tahoma"/>
      <family val="2"/>
    </font>
    <font>
      <sz val="11"/>
      <color indexed="10"/>
      <name val="Tahoma"/>
      <family val="2"/>
      <charset val="222"/>
    </font>
    <font>
      <b/>
      <sz val="9"/>
      <color indexed="17"/>
      <name val="Arial"/>
      <family val="2"/>
    </font>
    <font>
      <sz val="12"/>
      <name val="ｱｼｸｲﾃｼ"/>
      <family val="3"/>
      <charset val="128"/>
    </font>
    <font>
      <sz val="12"/>
      <name val="HG丸ｺﾞｼｯｸM-PRO"/>
      <family val="3"/>
      <charset val="128"/>
    </font>
    <font>
      <u/>
      <sz val="10"/>
      <color indexed="14"/>
      <name val="μ¸¿oA¼"/>
      <family val="3"/>
      <charset val="129"/>
    </font>
    <font>
      <sz val="10"/>
      <name val="Arial Cyr"/>
      <family val="2"/>
      <charset val="204"/>
    </font>
    <font>
      <u/>
      <sz val="9"/>
      <color indexed="12"/>
      <name val="ﾋﾎﾌ "/>
      <family val="3"/>
      <charset val="128"/>
    </font>
    <font>
      <u/>
      <sz val="11"/>
      <color indexed="8"/>
      <name val="ＭＳ Ｐゴシック"/>
      <family val="3"/>
      <charset val="128"/>
    </font>
    <font>
      <u/>
      <sz val="9"/>
      <color indexed="36"/>
      <name val="ﾋﾎﾌ "/>
      <family val="3"/>
      <charset val="128"/>
    </font>
    <font>
      <b/>
      <sz val="10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u/>
      <sz val="11"/>
      <color indexed="12"/>
      <name val="ｵｸｿ "/>
      <family val="3"/>
      <charset val="129"/>
    </font>
    <font>
      <sz val="12"/>
      <color theme="1"/>
      <name val="メイリオ"/>
      <family val="2"/>
      <charset val="128"/>
    </font>
    <font>
      <sz val="11"/>
      <color theme="1"/>
      <name val="Arial"/>
      <family val="2"/>
      <charset val="128"/>
    </font>
    <font>
      <u/>
      <sz val="8.25"/>
      <color indexed="12"/>
      <name val="ＭＳ Ｐゴシック"/>
      <family val="3"/>
      <charset val="128"/>
    </font>
    <font>
      <u/>
      <sz val="8.25"/>
      <color indexed="12"/>
      <name val="?? ?????"/>
      <family val="1"/>
    </font>
    <font>
      <u/>
      <sz val="11"/>
      <color indexed="12"/>
      <name val="Arial"/>
      <family val="2"/>
    </font>
    <font>
      <u/>
      <sz val="6.6"/>
      <color indexed="12"/>
      <name val="ＭＳ Ｐゴシック"/>
      <family val="3"/>
      <charset val="128"/>
    </font>
    <font>
      <u/>
      <sz val="9"/>
      <color indexed="12"/>
      <name val="Osaka"/>
      <family val="3"/>
      <charset val="128"/>
    </font>
    <font>
      <sz val="11"/>
      <name val="ｵｸｿ "/>
      <family val="3"/>
    </font>
    <font>
      <sz val="11"/>
      <color indexed="52"/>
      <name val="ＭＳ Ｐゴシック"/>
      <family val="3"/>
      <charset val="128"/>
    </font>
    <font>
      <sz val="14"/>
      <name val="Cordia New"/>
      <family val="2"/>
      <charset val="222"/>
    </font>
    <font>
      <sz val="11"/>
      <name val="ＭＳ ゴシック"/>
      <family val="3"/>
      <charset val="128"/>
    </font>
    <font>
      <sz val="12"/>
      <name val="???"/>
      <family val="3"/>
      <charset val="255"/>
    </font>
    <font>
      <sz val="12"/>
      <name val="?"/>
      <family val="3"/>
      <charset val="136"/>
    </font>
    <font>
      <sz val="7"/>
      <name val="Tms Rmn"/>
      <family val="1"/>
    </font>
    <font>
      <sz val="11"/>
      <name val=" "/>
      <family val="3"/>
    </font>
    <font>
      <u/>
      <sz val="12"/>
      <color indexed="36"/>
      <name val="?"/>
      <family val="3"/>
      <charset val="136"/>
    </font>
    <font>
      <u/>
      <sz val="11"/>
      <color indexed="36"/>
      <name val=" "/>
      <family val="3"/>
      <charset val="136"/>
    </font>
    <font>
      <u/>
      <sz val="12"/>
      <color indexed="36"/>
      <name val="?"/>
      <family val="3"/>
      <charset val="128"/>
    </font>
    <font>
      <u/>
      <sz val="8.25"/>
      <color indexed="36"/>
      <name val=" "/>
      <family val="3"/>
    </font>
    <font>
      <u/>
      <sz val="12"/>
      <color indexed="12"/>
      <name val="?"/>
      <family val="3"/>
      <charset val="136"/>
    </font>
    <font>
      <u/>
      <sz val="11"/>
      <color indexed="12"/>
      <name val=" "/>
      <family val="3"/>
      <charset val="136"/>
    </font>
    <font>
      <u/>
      <sz val="12"/>
      <color indexed="12"/>
      <name val="?"/>
      <family val="3"/>
      <charset val="128"/>
    </font>
    <font>
      <sz val="12"/>
      <name val="?"/>
      <family val="3"/>
      <charset val="136"/>
    </font>
    <font>
      <sz val="11"/>
      <name val="明朝"/>
      <family val="3"/>
      <charset val="128"/>
    </font>
    <font>
      <u/>
      <sz val="8.25"/>
      <color indexed="12"/>
      <name val="굃굍 뼻뮝"/>
      <family val="1"/>
      <charset val="129"/>
    </font>
    <font>
      <sz val="11"/>
      <color indexed="20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12"/>
      <name val="新細明體"/>
      <family val="1"/>
      <charset val="134"/>
    </font>
    <font>
      <i/>
      <sz val="11"/>
      <color indexed="23"/>
      <name val="宋体"/>
      <family val="1"/>
      <charset val="255"/>
    </font>
    <font>
      <i/>
      <sz val="11"/>
      <color indexed="23"/>
      <name val="宋体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10"/>
      <name val="宋体"/>
      <family val="1"/>
      <charset val="255"/>
    </font>
    <font>
      <sz val="11"/>
      <color indexed="10"/>
      <name val="宋体"/>
      <family val="3"/>
      <charset val="128"/>
    </font>
    <font>
      <sz val="11"/>
      <color theme="1"/>
      <name val="Verdana"/>
      <family val="2"/>
      <charset val="128"/>
    </font>
    <font>
      <sz val="10"/>
      <color theme="1"/>
      <name val="Meiryo UI"/>
      <family val="2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24"/>
      <name val="ＭＳ ゴシック"/>
      <family val="3"/>
      <charset val="128"/>
    </font>
    <font>
      <b/>
      <sz val="20"/>
      <name val="ＭＳ ゴシック"/>
      <family val="3"/>
      <charset val="128"/>
    </font>
    <font>
      <b/>
      <sz val="16"/>
      <name val="ＭＳ ゴシック"/>
      <family val="3"/>
      <charset val="128"/>
    </font>
    <font>
      <b/>
      <sz val="14"/>
      <name val="ＭＳ ゴシック"/>
      <family val="3"/>
      <charset val="128"/>
    </font>
    <font>
      <b/>
      <sz val="12"/>
      <name val="ＭＳ ゴシック"/>
      <family val="3"/>
      <charset val="128"/>
    </font>
    <font>
      <b/>
      <sz val="11"/>
      <name val="ＭＳ ゴシック"/>
      <family val="3"/>
      <charset val="128"/>
    </font>
    <font>
      <sz val="11"/>
      <color indexed="17"/>
      <name val="宋体"/>
      <family val="1"/>
      <charset val="255"/>
    </font>
    <font>
      <sz val="11"/>
      <color indexed="17"/>
      <name val="宋体"/>
      <family val="3"/>
      <charset val="128"/>
    </font>
    <font>
      <sz val="11"/>
      <color indexed="20"/>
      <name val="宋体"/>
      <family val="1"/>
      <charset val="255"/>
    </font>
    <font>
      <sz val="11"/>
      <color indexed="20"/>
      <name val="宋体"/>
      <family val="3"/>
      <charset val="128"/>
    </font>
    <font>
      <u/>
      <sz val="10"/>
      <color indexed="14"/>
      <name val="MS Sans Serif"/>
      <family val="2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sz val="10"/>
      <name val="宋体"/>
      <family val="1"/>
      <charset val="255"/>
    </font>
    <font>
      <i/>
      <sz val="11"/>
      <color indexed="23"/>
      <name val="ＭＳ Ｐゴシック"/>
      <family val="3"/>
      <charset val="128"/>
    </font>
    <font>
      <b/>
      <u/>
      <sz val="12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8"/>
      <name val="ＭＳ ゴシック"/>
      <family val="3"/>
      <charset val="128"/>
    </font>
    <font>
      <sz val="11"/>
      <name val="Calibri"/>
      <family val="3"/>
      <charset val="128"/>
      <scheme val="minor"/>
    </font>
    <font>
      <sz val="11"/>
      <color rgb="FF000000"/>
      <name val="Calibri"/>
      <family val="3"/>
      <charset val="128"/>
      <scheme val="minor"/>
    </font>
    <font>
      <sz val="10"/>
      <name val="Calibri"/>
      <family val="2"/>
    </font>
    <font>
      <sz val="11"/>
      <color theme="1"/>
      <name val="ＭＳ Ｐゴシック"/>
      <family val="3"/>
      <charset val="128"/>
    </font>
    <font>
      <sz val="10"/>
      <color theme="1"/>
      <name val="HGPｺﾞｼｯｸE"/>
      <family val="3"/>
      <charset val="128"/>
    </font>
    <font>
      <sz val="11"/>
      <color theme="1"/>
      <name val="Calibri"/>
      <family val="2"/>
      <charset val="128"/>
    </font>
    <font>
      <sz val="10"/>
      <name val="細明朝体"/>
      <family val="3"/>
      <charset val="128"/>
    </font>
    <font>
      <sz val="10"/>
      <color indexed="8"/>
      <name val="細明朝体"/>
      <family val="3"/>
      <charset val="128"/>
    </font>
    <font>
      <sz val="10"/>
      <color indexed="8"/>
      <name val="細明朝体"/>
      <family val="2"/>
    </font>
    <font>
      <sz val="10"/>
      <name val="本明朝－Ｍ"/>
      <family val="3"/>
      <charset val="128"/>
    </font>
    <font>
      <sz val="10"/>
      <name val="本明朝－Ｍ"/>
      <family val="1"/>
      <charset val="128"/>
    </font>
    <font>
      <sz val="10"/>
      <name val="中ゴシック体"/>
      <family val="3"/>
      <charset val="128"/>
    </font>
    <font>
      <u/>
      <sz val="10"/>
      <color indexed="36"/>
      <name val="ＭＳ Ｐゴシック"/>
      <family val="3"/>
      <charset val="128"/>
    </font>
    <font>
      <u/>
      <sz val="11"/>
      <color indexed="36"/>
      <name val="ＭＳ Ｐ????"/>
      <family val="1"/>
      <charset val="136"/>
    </font>
    <font>
      <u/>
      <sz val="6.6"/>
      <color indexed="36"/>
      <name val="ＭＳ Ｐゴシック"/>
      <family val="3"/>
      <charset val="128"/>
    </font>
    <font>
      <u/>
      <sz val="11"/>
      <color indexed="20"/>
      <name val="ＭＳ Ｐゴシック"/>
      <family val="3"/>
      <charset val="128"/>
    </font>
    <font>
      <u/>
      <sz val="9"/>
      <color indexed="36"/>
      <name val="Osaka"/>
      <family val="3"/>
      <charset val="128"/>
    </font>
    <font>
      <u/>
      <sz val="11"/>
      <color indexed="36"/>
      <name val="Arial"/>
      <family val="2"/>
    </font>
    <font>
      <sz val="14"/>
      <name val="ＭＳ ・団"/>
      <family val="1"/>
      <charset val="128"/>
    </font>
    <font>
      <sz val="14"/>
      <name val="ＭＳ 明朝"/>
      <family val="1"/>
      <charset val="128"/>
    </font>
    <font>
      <sz val="14"/>
      <name val="ＭＳ 明朝"/>
      <family val="1"/>
    </font>
    <font>
      <sz val="11"/>
      <color indexed="17"/>
      <name val="ＭＳ Ｐゴシック"/>
      <family val="3"/>
      <charset val="128"/>
    </font>
    <font>
      <sz val="12"/>
      <name val="夥鰻羹"/>
      <family val="1"/>
      <charset val="136"/>
    </font>
    <font>
      <u/>
      <sz val="6.6"/>
      <color indexed="36"/>
      <name val=" "/>
      <family val="3"/>
    </font>
    <font>
      <u/>
      <sz val="8.25"/>
      <color indexed="12"/>
      <name val="Arial"/>
      <family val="2"/>
    </font>
    <font>
      <u/>
      <sz val="9"/>
      <color indexed="12"/>
      <name val="俵俽 俹僑僔僢僋"/>
      <family val="3"/>
      <charset val="128"/>
    </font>
    <font>
      <u/>
      <sz val="9.35"/>
      <color indexed="36"/>
      <name val="俵俽 俹僑僔僢僋"/>
      <family val="3"/>
      <charset val="128"/>
    </font>
    <font>
      <u/>
      <sz val="8.25"/>
      <color indexed="36"/>
      <name val="Arial"/>
      <family val="2"/>
    </font>
    <font>
      <u/>
      <sz val="9"/>
      <color indexed="36"/>
      <name val="俵俽 俹僑僔僢僋"/>
      <family val="3"/>
      <charset val="128"/>
    </font>
    <font>
      <sz val="12"/>
      <name val="바탕체"/>
      <family val="1"/>
      <charset val="255"/>
    </font>
    <font>
      <b/>
      <sz val="18"/>
      <color indexed="56"/>
      <name val="宋体"/>
      <family val="1"/>
      <charset val="255"/>
    </font>
    <font>
      <b/>
      <sz val="15"/>
      <color indexed="56"/>
      <name val="宋体"/>
      <family val="1"/>
      <charset val="255"/>
    </font>
    <font>
      <b/>
      <sz val="15"/>
      <color indexed="56"/>
      <name val="宋体"/>
      <family val="3"/>
      <charset val="128"/>
    </font>
    <font>
      <b/>
      <sz val="13"/>
      <color indexed="56"/>
      <name val="宋体"/>
      <family val="1"/>
      <charset val="255"/>
    </font>
    <font>
      <b/>
      <sz val="13"/>
      <color indexed="56"/>
      <name val="宋体"/>
      <family val="3"/>
      <charset val="128"/>
    </font>
    <font>
      <b/>
      <sz val="11"/>
      <color indexed="56"/>
      <name val="宋体"/>
      <family val="1"/>
      <charset val="255"/>
    </font>
    <font>
      <b/>
      <sz val="11"/>
      <color indexed="56"/>
      <name val="宋体"/>
      <family val="3"/>
      <charset val="128"/>
    </font>
    <font>
      <b/>
      <sz val="18"/>
      <color indexed="56"/>
      <name val="宋体"/>
      <family val="3"/>
      <charset val="128"/>
    </font>
    <font>
      <b/>
      <sz val="11"/>
      <color indexed="9"/>
      <name val="宋体"/>
      <family val="1"/>
      <charset val="255"/>
    </font>
    <font>
      <b/>
      <sz val="11"/>
      <color indexed="9"/>
      <name val="宋体"/>
      <family val="3"/>
      <charset val="128"/>
    </font>
    <font>
      <b/>
      <sz val="11"/>
      <color indexed="8"/>
      <name val="宋体"/>
      <family val="1"/>
      <charset val="255"/>
    </font>
    <font>
      <b/>
      <sz val="11"/>
      <color indexed="8"/>
      <name val="宋体"/>
      <family val="3"/>
      <charset val="128"/>
    </font>
    <font>
      <b/>
      <sz val="11"/>
      <color indexed="52"/>
      <name val="宋体"/>
      <family val="1"/>
      <charset val="255"/>
    </font>
    <font>
      <b/>
      <sz val="11"/>
      <color indexed="52"/>
      <name val="宋体"/>
      <family val="3"/>
      <charset val="128"/>
    </font>
    <font>
      <b/>
      <sz val="11"/>
      <color indexed="63"/>
      <name val="宋体"/>
      <family val="1"/>
      <charset val="255"/>
    </font>
    <font>
      <b/>
      <sz val="11"/>
      <color indexed="63"/>
      <name val="宋体"/>
      <family val="3"/>
      <charset val="128"/>
    </font>
    <font>
      <sz val="11"/>
      <color indexed="62"/>
      <name val="宋体"/>
      <family val="1"/>
      <charset val="255"/>
    </font>
    <font>
      <sz val="11"/>
      <color indexed="62"/>
      <name val="宋体"/>
      <family val="3"/>
      <charset val="128"/>
    </font>
    <font>
      <sz val="11"/>
      <color indexed="60"/>
      <name val="宋体"/>
      <family val="1"/>
      <charset val="255"/>
    </font>
    <font>
      <sz val="11"/>
      <color indexed="60"/>
      <name val="宋体"/>
      <family val="3"/>
      <charset val="128"/>
    </font>
    <font>
      <sz val="12"/>
      <name val="蘜???"/>
      <family val="3"/>
    </font>
    <font>
      <sz val="11"/>
      <name val="蹈框"/>
      <family val="2"/>
    </font>
    <font>
      <sz val="11"/>
      <color indexed="52"/>
      <name val="宋体"/>
      <family val="1"/>
      <charset val="255"/>
    </font>
    <font>
      <sz val="11"/>
      <color indexed="52"/>
      <name val="宋体"/>
      <family val="3"/>
      <charset val="128"/>
    </font>
    <font>
      <u/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1"/>
      <name val="Arial"/>
      <family val="2"/>
    </font>
    <font>
      <b/>
      <sz val="11"/>
      <name val="Calibri"/>
      <family val="2"/>
      <scheme val="minor"/>
    </font>
    <font>
      <sz val="20"/>
      <color theme="1"/>
      <name val="Calibri"/>
      <family val="2"/>
      <scheme val="minor"/>
    </font>
    <font>
      <sz val="16"/>
      <color rgb="FFFF0000"/>
      <name val="Arial"/>
      <family val="2"/>
    </font>
  </fonts>
  <fills count="1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AC75D5"/>
        <bgColor indexed="64"/>
      </patternFill>
    </fill>
    <fill>
      <patternFill patternType="solid">
        <fgColor rgb="FFC9A6E4"/>
        <bgColor indexed="64"/>
      </patternFill>
    </fill>
    <fill>
      <patternFill patternType="solid">
        <fgColor rgb="FF009AD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62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4"/>
        <bgColor indexed="24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15"/>
        <bgColor indexed="15"/>
      </patternFill>
    </fill>
    <fill>
      <patternFill patternType="solid">
        <fgColor indexed="45"/>
        <bgColor indexed="45"/>
      </patternFill>
    </fill>
    <fill>
      <patternFill patternType="solid">
        <fgColor indexed="55"/>
        <bgColor indexed="55"/>
      </patternFill>
    </fill>
    <fill>
      <patternFill patternType="solid">
        <fgColor indexed="57"/>
      </patternFill>
    </fill>
    <fill>
      <patternFill patternType="solid">
        <fgColor indexed="41"/>
        <bgColor indexed="41"/>
      </patternFill>
    </fill>
    <fill>
      <patternFill patternType="solid">
        <fgColor indexed="40"/>
        <bgColor indexed="40"/>
      </patternFill>
    </fill>
    <fill>
      <patternFill patternType="solid">
        <fgColor indexed="22"/>
        <bgColor indexed="22"/>
      </patternFill>
    </fill>
    <fill>
      <patternFill patternType="solid">
        <f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22"/>
        <bgColor indexed="64"/>
      </patternFill>
    </fill>
    <fill>
      <patternFill patternType="darkGray">
        <fgColor indexed="9"/>
        <bgColor indexed="10"/>
      </patternFill>
    </fill>
    <fill>
      <patternFill patternType="mediumGray">
        <fgColor indexed="9"/>
        <bgColor indexed="12"/>
      </patternFill>
    </fill>
    <fill>
      <patternFill patternType="solid">
        <fgColor indexed="9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5"/>
      </patternFill>
    </fill>
    <fill>
      <patternFill patternType="solid">
        <fgColor indexed="26"/>
        <bgColor indexed="64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57"/>
      </patternFill>
    </fill>
    <fill>
      <patternFill patternType="solid">
        <fgColor indexed="31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1"/>
        <bgColor indexed="64"/>
      </patternFill>
    </fill>
    <fill>
      <patternFill patternType="lightGray">
        <fgColor indexed="34"/>
        <bgColor indexed="9"/>
      </patternFill>
    </fill>
    <fill>
      <patternFill patternType="gray0625">
        <fgColor indexed="9"/>
        <bgColor indexed="9"/>
      </patternFill>
    </fill>
    <fill>
      <patternFill patternType="solid">
        <fgColor indexed="6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0"/>
      </patternFill>
    </fill>
    <fill>
      <patternFill patternType="solid">
        <fgColor indexed="4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0"/>
      </patternFill>
    </fill>
    <fill>
      <patternFill patternType="lightUp">
        <fgColor indexed="54"/>
        <bgColor indexed="41"/>
      </patternFill>
    </fill>
    <fill>
      <patternFill patternType="solid">
        <fgColor indexed="41"/>
      </patternFill>
    </fill>
    <fill>
      <patternFill patternType="lightGray"/>
    </fill>
    <fill>
      <patternFill patternType="gray0625"/>
    </fill>
    <fill>
      <patternFill patternType="solid">
        <fgColor indexed="6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23"/>
      </patternFill>
    </fill>
    <fill>
      <patternFill patternType="solid">
        <fgColor indexed="19"/>
        <bgColor indexed="64"/>
      </patternFill>
    </fill>
    <fill>
      <patternFill patternType="gray0625">
        <fgColor indexed="9"/>
      </patternFill>
    </fill>
    <fill>
      <patternFill patternType="gray125">
        <fgColor indexed="8"/>
      </patternFill>
    </fill>
    <fill>
      <patternFill patternType="solid">
        <fgColor indexed="22"/>
        <bgColor indexed="2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9FF66"/>
        <bgColor indexed="64"/>
      </patternFill>
    </fill>
  </fills>
  <borders count="158">
    <border>
      <left/>
      <right/>
      <top/>
      <bottom/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FF0000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rgb="FFFF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FF0000"/>
      </left>
      <right style="thin">
        <color indexed="64"/>
      </right>
      <top/>
      <bottom style="thin">
        <color indexed="64"/>
      </bottom>
      <diagonal/>
    </border>
    <border>
      <left style="medium">
        <color rgb="FFFF0000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medium">
        <color rgb="FFFF0000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thin">
        <color indexed="64"/>
      </left>
      <right style="medium">
        <color rgb="FFFF0000"/>
      </right>
      <top/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/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/>
      <right style="medium">
        <color rgb="FFFF0000"/>
      </right>
      <top/>
      <bottom/>
      <diagonal/>
    </border>
    <border>
      <left style="thin">
        <color indexed="64"/>
      </left>
      <right style="medium">
        <color rgb="FFFF0000"/>
      </right>
      <top/>
      <bottom/>
      <diagonal/>
    </border>
    <border>
      <left style="thin">
        <color indexed="64"/>
      </left>
      <right style="medium">
        <color rgb="FFFF0000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medium">
        <color rgb="FFFF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theme="3" tint="0.7999816888943144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/>
      <right/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tted">
        <color indexed="12"/>
      </left>
      <right style="dotted">
        <color indexed="12"/>
      </right>
      <top style="dotted">
        <color indexed="12"/>
      </top>
      <bottom style="dotted">
        <color indexed="12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/>
      <right/>
      <top/>
      <bottom style="double">
        <color indexed="1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medium">
        <color indexed="64"/>
      </right>
      <top style="thick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ck">
        <color indexed="4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thin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double">
        <color indexed="64"/>
      </top>
      <bottom/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/>
      <top/>
      <bottom style="double">
        <color indexed="64"/>
      </bottom>
      <diagonal/>
    </border>
    <border>
      <left style="thin">
        <color indexed="27"/>
      </left>
      <right style="thin">
        <color indexed="27"/>
      </right>
      <top style="thin">
        <color indexed="27"/>
      </top>
      <bottom style="thin">
        <color indexed="27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/>
      <top/>
      <bottom style="medium">
        <color auto="1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thin">
        <color indexed="27"/>
      </left>
      <right style="thin">
        <color indexed="27"/>
      </right>
      <top style="thin">
        <color indexed="27"/>
      </top>
      <bottom style="thin">
        <color indexed="27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medium">
        <color rgb="FFFF0000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38780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>
      <alignment vertical="center"/>
    </xf>
    <xf numFmtId="0" fontId="4" fillId="0" borderId="0">
      <alignment vertical="center"/>
    </xf>
    <xf numFmtId="0" fontId="2" fillId="0" borderId="0"/>
    <xf numFmtId="0" fontId="2" fillId="0" borderId="0"/>
    <xf numFmtId="38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7" fillId="0" borderId="0"/>
    <xf numFmtId="0" fontId="2" fillId="0" borderId="0"/>
    <xf numFmtId="0" fontId="28" fillId="0" borderId="0"/>
    <xf numFmtId="0" fontId="2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4" fillId="0" borderId="0"/>
    <xf numFmtId="4" fontId="1" fillId="0" borderId="65" applyFont="0" applyFill="0" applyAlignment="0"/>
    <xf numFmtId="43" fontId="1" fillId="0" borderId="0" applyFont="0" applyFill="0" applyBorder="0" applyAlignment="0" applyProtection="0"/>
    <xf numFmtId="0" fontId="17" fillId="51" borderId="134" applyNumberFormat="0" applyFont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4" fillId="0" borderId="0"/>
    <xf numFmtId="38" fontId="24" fillId="0" borderId="0" applyFont="0" applyFill="0" applyBorder="0" applyAlignment="0" applyProtection="0">
      <alignment vertical="center"/>
    </xf>
    <xf numFmtId="40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17" fillId="0" borderId="0"/>
    <xf numFmtId="0" fontId="1" fillId="0" borderId="0"/>
    <xf numFmtId="1" fontId="264" fillId="0" borderId="136">
      <protection hidden="1"/>
    </xf>
    <xf numFmtId="0" fontId="2" fillId="0" borderId="0"/>
    <xf numFmtId="38" fontId="55" fillId="0" borderId="0" applyFont="0" applyFill="0" applyBorder="0" applyAlignment="0" applyProtection="0"/>
    <xf numFmtId="0" fontId="53" fillId="0" borderId="0">
      <alignment vertical="center"/>
    </xf>
    <xf numFmtId="1" fontId="264" fillId="0" borderId="136">
      <protection hidden="1"/>
    </xf>
    <xf numFmtId="38" fontId="2" fillId="0" borderId="0" applyFont="0" applyFill="0" applyBorder="0" applyAlignment="0" applyProtection="0">
      <alignment vertical="center"/>
    </xf>
    <xf numFmtId="38" fontId="5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205" fontId="60" fillId="0" borderId="0" applyFont="0" applyBorder="0" applyAlignment="0">
      <alignment horizontal="right"/>
    </xf>
    <xf numFmtId="0" fontId="17" fillId="0" borderId="0"/>
    <xf numFmtId="0" fontId="61" fillId="0" borderId="0"/>
    <xf numFmtId="0" fontId="62" fillId="0" borderId="0"/>
    <xf numFmtId="0" fontId="63" fillId="0" borderId="0"/>
    <xf numFmtId="0" fontId="64" fillId="0" borderId="0"/>
    <xf numFmtId="0" fontId="63" fillId="0" borderId="0"/>
    <xf numFmtId="0" fontId="65" fillId="0" borderId="0"/>
    <xf numFmtId="0" fontId="63" fillId="0" borderId="0"/>
    <xf numFmtId="0" fontId="64" fillId="0" borderId="0"/>
    <xf numFmtId="0" fontId="63" fillId="0" borderId="0"/>
    <xf numFmtId="0" fontId="66" fillId="0" borderId="0"/>
    <xf numFmtId="0" fontId="65" fillId="0" borderId="0"/>
    <xf numFmtId="0" fontId="65" fillId="0" borderId="0"/>
    <xf numFmtId="0" fontId="65" fillId="0" borderId="0"/>
    <xf numFmtId="0" fontId="2" fillId="0" borderId="0"/>
    <xf numFmtId="0" fontId="2" fillId="0" borderId="0"/>
    <xf numFmtId="0" fontId="63" fillId="0" borderId="0"/>
    <xf numFmtId="0" fontId="61" fillId="0" borderId="0"/>
    <xf numFmtId="0" fontId="65" fillId="0" borderId="0"/>
    <xf numFmtId="0" fontId="65" fillId="0" borderId="0"/>
    <xf numFmtId="0" fontId="65" fillId="0" borderId="0"/>
    <xf numFmtId="0" fontId="66" fillId="0" borderId="0"/>
    <xf numFmtId="0" fontId="67" fillId="0" borderId="0"/>
    <xf numFmtId="0" fontId="68" fillId="0" borderId="0"/>
    <xf numFmtId="0" fontId="69" fillId="0" borderId="0"/>
    <xf numFmtId="0" fontId="65" fillId="0" borderId="0"/>
    <xf numFmtId="0" fontId="66" fillId="0" borderId="0"/>
    <xf numFmtId="0" fontId="70" fillId="0" borderId="0"/>
    <xf numFmtId="41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3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3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40" fontId="2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1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40" fontId="70" fillId="0" borderId="0" applyFont="0" applyFill="0" applyBorder="0" applyAlignment="0" applyProtection="0"/>
    <xf numFmtId="0" fontId="71" fillId="0" borderId="0"/>
    <xf numFmtId="0" fontId="72" fillId="0" borderId="0"/>
    <xf numFmtId="0" fontId="73" fillId="0" borderId="0"/>
    <xf numFmtId="206" fontId="74" fillId="0" borderId="0" applyFont="0" applyFill="0" applyBorder="0" applyAlignment="0" applyProtection="0"/>
    <xf numFmtId="0" fontId="17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5" fillId="0" borderId="0"/>
    <xf numFmtId="0" fontId="72" fillId="0" borderId="0"/>
    <xf numFmtId="0" fontId="72" fillId="0" borderId="0"/>
    <xf numFmtId="0" fontId="72" fillId="0" borderId="0"/>
    <xf numFmtId="0" fontId="75" fillId="0" borderId="0"/>
    <xf numFmtId="0" fontId="75" fillId="0" borderId="0"/>
    <xf numFmtId="0" fontId="75" fillId="0" borderId="0"/>
    <xf numFmtId="0" fontId="76" fillId="0" borderId="0"/>
    <xf numFmtId="201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79" fillId="0" borderId="0"/>
    <xf numFmtId="0" fontId="17" fillId="0" borderId="0"/>
    <xf numFmtId="43" fontId="17" fillId="0" borderId="0" applyFont="0" applyFill="0" applyBorder="0" applyAlignment="0" applyProtection="0"/>
    <xf numFmtId="202" fontId="77" fillId="0" borderId="0" applyFont="0" applyFill="0" applyBorder="0" applyAlignment="0" applyProtection="0"/>
    <xf numFmtId="0" fontId="80" fillId="0" borderId="0"/>
    <xf numFmtId="0" fontId="81" fillId="0" borderId="0" applyNumberFormat="0" applyFill="0" applyBorder="0" applyAlignment="0" applyProtection="0">
      <alignment vertical="top"/>
      <protection locked="0"/>
    </xf>
    <xf numFmtId="0" fontId="82" fillId="0" borderId="0" applyNumberFormat="0" applyFill="0" applyBorder="0" applyAlignment="0" applyProtection="0">
      <alignment vertical="top"/>
      <protection locked="0"/>
    </xf>
    <xf numFmtId="0" fontId="83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5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5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5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5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3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3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3" fillId="0" borderId="0" applyNumberFormat="0" applyFill="0" applyBorder="0" applyAlignment="0" applyProtection="0">
      <alignment vertical="top"/>
      <protection locked="0"/>
    </xf>
    <xf numFmtId="0" fontId="86" fillId="0" borderId="0" applyNumberFormat="0" applyFill="0" applyBorder="0" applyAlignment="0" applyProtection="0">
      <alignment vertical="top"/>
      <protection locked="0"/>
    </xf>
    <xf numFmtId="0" fontId="83" fillId="0" borderId="0" applyNumberFormat="0" applyFill="0" applyBorder="0" applyAlignment="0" applyProtection="0">
      <alignment vertical="top"/>
      <protection locked="0"/>
    </xf>
    <xf numFmtId="0" fontId="86" fillId="0" borderId="0" applyNumberFormat="0" applyFill="0" applyBorder="0" applyAlignment="0" applyProtection="0">
      <alignment vertical="top"/>
      <protection locked="0"/>
    </xf>
    <xf numFmtId="0" fontId="83" fillId="0" borderId="0" applyNumberFormat="0" applyFill="0" applyBorder="0" applyAlignment="0" applyProtection="0">
      <alignment vertical="top"/>
      <protection locked="0"/>
    </xf>
    <xf numFmtId="0" fontId="86" fillId="0" borderId="0" applyNumberFormat="0" applyFill="0" applyBorder="0" applyAlignment="0" applyProtection="0">
      <alignment vertical="top"/>
      <protection locked="0"/>
    </xf>
    <xf numFmtId="0" fontId="83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0" fontId="88" fillId="0" borderId="0" applyNumberFormat="0" applyFill="0" applyBorder="0" applyAlignment="0" applyProtection="0">
      <alignment vertical="top"/>
      <protection locked="0"/>
    </xf>
    <xf numFmtId="0" fontId="86" fillId="0" borderId="0" applyNumberFormat="0" applyFill="0" applyBorder="0" applyAlignment="0" applyProtection="0">
      <alignment vertical="top"/>
      <protection locked="0"/>
    </xf>
    <xf numFmtId="0" fontId="83" fillId="0" borderId="0" applyNumberFormat="0" applyFill="0" applyBorder="0" applyAlignment="0" applyProtection="0">
      <alignment vertical="top"/>
      <protection locked="0"/>
    </xf>
    <xf numFmtId="0" fontId="86" fillId="0" borderId="0" applyNumberFormat="0" applyFill="0" applyBorder="0" applyAlignment="0" applyProtection="0">
      <alignment vertical="top"/>
      <protection locked="0"/>
    </xf>
    <xf numFmtId="0" fontId="83" fillId="0" borderId="0" applyNumberFormat="0" applyFill="0" applyBorder="0" applyAlignment="0" applyProtection="0">
      <alignment vertical="top"/>
      <protection locked="0"/>
    </xf>
    <xf numFmtId="0" fontId="86" fillId="0" borderId="0" applyNumberFormat="0" applyFill="0" applyBorder="0" applyAlignment="0" applyProtection="0">
      <alignment vertical="top"/>
      <protection locked="0"/>
    </xf>
    <xf numFmtId="0" fontId="83" fillId="0" borderId="0" applyNumberFormat="0" applyFill="0" applyBorder="0" applyAlignment="0" applyProtection="0">
      <alignment vertical="top"/>
      <protection locked="0"/>
    </xf>
    <xf numFmtId="0" fontId="86" fillId="0" borderId="0" applyNumberFormat="0" applyFill="0" applyBorder="0" applyAlignment="0" applyProtection="0">
      <alignment vertical="top"/>
      <protection locked="0"/>
    </xf>
    <xf numFmtId="0" fontId="83" fillId="0" borderId="0" applyNumberFormat="0" applyFill="0" applyBorder="0" applyAlignment="0" applyProtection="0">
      <alignment vertical="top"/>
      <protection locked="0"/>
    </xf>
    <xf numFmtId="0" fontId="86" fillId="0" borderId="0" applyNumberFormat="0" applyFill="0" applyBorder="0" applyAlignment="0" applyProtection="0">
      <alignment vertical="top"/>
      <protection locked="0"/>
    </xf>
    <xf numFmtId="0" fontId="83" fillId="0" borderId="0" applyNumberFormat="0" applyFill="0" applyBorder="0" applyAlignment="0" applyProtection="0">
      <alignment vertical="top"/>
      <protection locked="0"/>
    </xf>
    <xf numFmtId="0" fontId="86" fillId="0" borderId="0" applyNumberFormat="0" applyFill="0" applyBorder="0" applyAlignment="0" applyProtection="0">
      <alignment vertical="top"/>
      <protection locked="0"/>
    </xf>
    <xf numFmtId="0" fontId="83" fillId="0" borderId="0" applyNumberFormat="0" applyFill="0" applyBorder="0" applyAlignment="0" applyProtection="0">
      <alignment vertical="top"/>
      <protection locked="0"/>
    </xf>
    <xf numFmtId="0" fontId="86" fillId="0" borderId="0" applyNumberFormat="0" applyFill="0" applyBorder="0" applyAlignment="0" applyProtection="0">
      <alignment vertical="top"/>
      <protection locked="0"/>
    </xf>
    <xf numFmtId="0" fontId="83" fillId="0" borderId="0" applyNumberFormat="0" applyFill="0" applyBorder="0" applyAlignment="0" applyProtection="0">
      <alignment vertical="top"/>
      <protection locked="0"/>
    </xf>
    <xf numFmtId="0" fontId="86" fillId="0" borderId="0" applyNumberFormat="0" applyFill="0" applyBorder="0" applyAlignment="0" applyProtection="0">
      <alignment vertical="top"/>
      <protection locked="0"/>
    </xf>
    <xf numFmtId="0" fontId="83" fillId="0" borderId="0" applyNumberFormat="0" applyFill="0" applyBorder="0" applyAlignment="0" applyProtection="0">
      <alignment vertical="top"/>
      <protection locked="0"/>
    </xf>
    <xf numFmtId="0" fontId="86" fillId="0" borderId="0" applyNumberFormat="0" applyFill="0" applyBorder="0" applyAlignment="0" applyProtection="0">
      <alignment vertical="top"/>
      <protection locked="0"/>
    </xf>
    <xf numFmtId="0" fontId="83" fillId="0" borderId="0" applyNumberFormat="0" applyFill="0" applyBorder="0" applyAlignment="0" applyProtection="0">
      <alignment vertical="top"/>
      <protection locked="0"/>
    </xf>
    <xf numFmtId="0" fontId="86" fillId="0" borderId="0" applyNumberFormat="0" applyFill="0" applyBorder="0" applyAlignment="0" applyProtection="0">
      <alignment vertical="top"/>
      <protection locked="0"/>
    </xf>
    <xf numFmtId="0" fontId="83" fillId="0" borderId="0" applyNumberFormat="0" applyFill="0" applyBorder="0" applyAlignment="0" applyProtection="0">
      <alignment vertical="top"/>
      <protection locked="0"/>
    </xf>
    <xf numFmtId="0" fontId="86" fillId="0" borderId="0" applyNumberFormat="0" applyFill="0" applyBorder="0" applyAlignment="0" applyProtection="0">
      <alignment vertical="top"/>
      <protection locked="0"/>
    </xf>
    <xf numFmtId="0" fontId="88" fillId="0" borderId="0" applyNumberFormat="0" applyFill="0" applyBorder="0" applyAlignment="0" applyProtection="0">
      <alignment vertical="top"/>
      <protection locked="0"/>
    </xf>
    <xf numFmtId="0" fontId="81" fillId="0" borderId="0" applyNumberFormat="0" applyFill="0" applyBorder="0" applyAlignment="0" applyProtection="0">
      <alignment vertical="top"/>
      <protection locked="0"/>
    </xf>
    <xf numFmtId="0" fontId="83" fillId="0" borderId="0" applyNumberFormat="0" applyFill="0" applyBorder="0" applyAlignment="0" applyProtection="0">
      <alignment vertical="top"/>
      <protection locked="0"/>
    </xf>
    <xf numFmtId="0" fontId="85" fillId="0" borderId="0" applyNumberFormat="0" applyFill="0" applyBorder="0" applyAlignment="0" applyProtection="0">
      <alignment vertical="top"/>
      <protection locked="0"/>
    </xf>
    <xf numFmtId="0" fontId="86" fillId="0" borderId="0" applyNumberFormat="0" applyFill="0" applyBorder="0" applyAlignment="0" applyProtection="0">
      <alignment vertical="top"/>
      <protection locked="0"/>
    </xf>
    <xf numFmtId="0" fontId="83" fillId="0" borderId="0" applyNumberFormat="0" applyFill="0" applyBorder="0" applyAlignment="0" applyProtection="0">
      <alignment vertical="top"/>
      <protection locked="0"/>
    </xf>
    <xf numFmtId="0" fontId="86" fillId="0" borderId="0" applyNumberFormat="0" applyFill="0" applyBorder="0" applyAlignment="0" applyProtection="0">
      <alignment vertical="top"/>
      <protection locked="0"/>
    </xf>
    <xf numFmtId="0" fontId="83" fillId="0" borderId="0" applyNumberFormat="0" applyFill="0" applyBorder="0" applyAlignment="0" applyProtection="0">
      <alignment vertical="top"/>
      <protection locked="0"/>
    </xf>
    <xf numFmtId="0" fontId="86" fillId="0" borderId="0" applyNumberFormat="0" applyFill="0" applyBorder="0" applyAlignment="0" applyProtection="0">
      <alignment vertical="top"/>
      <protection locked="0"/>
    </xf>
    <xf numFmtId="0" fontId="83" fillId="0" borderId="0" applyNumberFormat="0" applyFill="0" applyBorder="0" applyAlignment="0" applyProtection="0">
      <alignment vertical="top"/>
      <protection locked="0"/>
    </xf>
    <xf numFmtId="0" fontId="86" fillId="0" borderId="0" applyNumberFormat="0" applyFill="0" applyBorder="0" applyAlignment="0" applyProtection="0">
      <alignment vertical="top"/>
      <protection locked="0"/>
    </xf>
    <xf numFmtId="0" fontId="83" fillId="0" borderId="0" applyNumberFormat="0" applyFill="0" applyBorder="0" applyAlignment="0" applyProtection="0">
      <alignment vertical="top"/>
      <protection locked="0"/>
    </xf>
    <xf numFmtId="0" fontId="86" fillId="0" borderId="0" applyNumberFormat="0" applyFill="0" applyBorder="0" applyAlignment="0" applyProtection="0">
      <alignment vertical="top"/>
      <protection locked="0"/>
    </xf>
    <xf numFmtId="0" fontId="83" fillId="0" borderId="0" applyNumberFormat="0" applyFill="0" applyBorder="0" applyAlignment="0" applyProtection="0">
      <alignment vertical="top"/>
      <protection locked="0"/>
    </xf>
    <xf numFmtId="0" fontId="86" fillId="0" borderId="0" applyNumberFormat="0" applyFill="0" applyBorder="0" applyAlignment="0" applyProtection="0">
      <alignment vertical="top"/>
      <protection locked="0"/>
    </xf>
    <xf numFmtId="0" fontId="83" fillId="0" borderId="0" applyNumberFormat="0" applyFill="0" applyBorder="0" applyAlignment="0" applyProtection="0">
      <alignment vertical="top"/>
      <protection locked="0"/>
    </xf>
    <xf numFmtId="0" fontId="86" fillId="0" borderId="0" applyNumberFormat="0" applyFill="0" applyBorder="0" applyAlignment="0" applyProtection="0">
      <alignment vertical="top"/>
      <protection locked="0"/>
    </xf>
    <xf numFmtId="0" fontId="83" fillId="0" borderId="0" applyNumberFormat="0" applyFill="0" applyBorder="0" applyAlignment="0" applyProtection="0">
      <alignment vertical="top"/>
      <protection locked="0"/>
    </xf>
    <xf numFmtId="0" fontId="86" fillId="0" borderId="0" applyNumberFormat="0" applyFill="0" applyBorder="0" applyAlignment="0" applyProtection="0">
      <alignment vertical="top"/>
      <protection locked="0"/>
    </xf>
    <xf numFmtId="0" fontId="83" fillId="0" borderId="0" applyNumberFormat="0" applyFill="0" applyBorder="0" applyAlignment="0" applyProtection="0">
      <alignment vertical="top"/>
      <protection locked="0"/>
    </xf>
    <xf numFmtId="0" fontId="86" fillId="0" borderId="0" applyNumberFormat="0" applyFill="0" applyBorder="0" applyAlignment="0" applyProtection="0">
      <alignment vertical="top"/>
      <protection locked="0"/>
    </xf>
    <xf numFmtId="0" fontId="85" fillId="0" borderId="0" applyNumberFormat="0" applyFill="0" applyBorder="0" applyAlignment="0" applyProtection="0">
      <alignment vertical="top"/>
      <protection locked="0"/>
    </xf>
    <xf numFmtId="0" fontId="86" fillId="0" borderId="0" applyNumberFormat="0" applyFill="0" applyBorder="0" applyAlignment="0" applyProtection="0">
      <alignment vertical="top"/>
      <protection locked="0"/>
    </xf>
    <xf numFmtId="0" fontId="86" fillId="0" borderId="0" applyNumberFormat="0" applyFill="0" applyBorder="0" applyAlignment="0" applyProtection="0">
      <alignment vertical="top"/>
      <protection locked="0"/>
    </xf>
    <xf numFmtId="0" fontId="83" fillId="0" borderId="0" applyNumberFormat="0" applyFill="0" applyBorder="0" applyAlignment="0" applyProtection="0">
      <alignment vertical="top"/>
      <protection locked="0"/>
    </xf>
    <xf numFmtId="0" fontId="81" fillId="0" borderId="0" applyNumberFormat="0" applyFill="0" applyBorder="0" applyAlignment="0" applyProtection="0">
      <alignment vertical="top"/>
      <protection locked="0"/>
    </xf>
    <xf numFmtId="0" fontId="83" fillId="0" borderId="0" applyNumberFormat="0" applyFill="0" applyBorder="0" applyAlignment="0" applyProtection="0">
      <alignment vertical="top"/>
      <protection locked="0"/>
    </xf>
    <xf numFmtId="0" fontId="85" fillId="0" borderId="0" applyNumberFormat="0" applyFill="0" applyBorder="0" applyAlignment="0" applyProtection="0">
      <alignment vertical="top"/>
      <protection locked="0"/>
    </xf>
    <xf numFmtId="0" fontId="86" fillId="0" borderId="0" applyNumberFormat="0" applyFill="0" applyBorder="0" applyAlignment="0" applyProtection="0">
      <alignment vertical="top"/>
      <protection locked="0"/>
    </xf>
    <xf numFmtId="0" fontId="81" fillId="0" borderId="0" applyNumberFormat="0" applyFill="0" applyBorder="0" applyAlignment="0" applyProtection="0">
      <alignment vertical="top"/>
      <protection locked="0"/>
    </xf>
    <xf numFmtId="0" fontId="81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3" fillId="0" borderId="0" applyNumberFormat="0" applyFill="0" applyBorder="0" applyAlignment="0" applyProtection="0">
      <alignment vertical="top"/>
      <protection locked="0"/>
    </xf>
    <xf numFmtId="0" fontId="81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3" fillId="0" borderId="0" applyNumberFormat="0" applyFill="0" applyBorder="0" applyAlignment="0" applyProtection="0">
      <alignment vertical="top"/>
      <protection locked="0"/>
    </xf>
    <xf numFmtId="0" fontId="81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3" fillId="0" borderId="0" applyNumberFormat="0" applyFill="0" applyBorder="0" applyAlignment="0" applyProtection="0">
      <alignment vertical="top"/>
      <protection locked="0"/>
    </xf>
    <xf numFmtId="0" fontId="86" fillId="0" borderId="0" applyNumberFormat="0" applyFill="0" applyBorder="0" applyAlignment="0" applyProtection="0">
      <alignment vertical="top"/>
      <protection locked="0"/>
    </xf>
    <xf numFmtId="0" fontId="83" fillId="0" borderId="0" applyNumberFormat="0" applyFill="0" applyBorder="0" applyAlignment="0" applyProtection="0">
      <alignment vertical="top"/>
      <protection locked="0"/>
    </xf>
    <xf numFmtId="0" fontId="86" fillId="0" borderId="0" applyNumberFormat="0" applyFill="0" applyBorder="0" applyAlignment="0" applyProtection="0">
      <alignment vertical="top"/>
      <protection locked="0"/>
    </xf>
    <xf numFmtId="0" fontId="83" fillId="0" borderId="0" applyNumberFormat="0" applyFill="0" applyBorder="0" applyAlignment="0" applyProtection="0">
      <alignment vertical="top"/>
      <protection locked="0"/>
    </xf>
    <xf numFmtId="0" fontId="86" fillId="0" borderId="0" applyNumberFormat="0" applyFill="0" applyBorder="0" applyAlignment="0" applyProtection="0">
      <alignment vertical="top"/>
      <protection locked="0"/>
    </xf>
    <xf numFmtId="0" fontId="83" fillId="0" borderId="0" applyNumberFormat="0" applyFill="0" applyBorder="0" applyAlignment="0" applyProtection="0">
      <alignment vertical="top"/>
      <protection locked="0"/>
    </xf>
    <xf numFmtId="0" fontId="86" fillId="0" borderId="0" applyNumberFormat="0" applyFill="0" applyBorder="0" applyAlignment="0" applyProtection="0">
      <alignment vertical="top"/>
      <protection locked="0"/>
    </xf>
    <xf numFmtId="0" fontId="83" fillId="0" borderId="0" applyNumberFormat="0" applyFill="0" applyBorder="0" applyAlignment="0" applyProtection="0">
      <alignment vertical="top"/>
      <protection locked="0"/>
    </xf>
    <xf numFmtId="0" fontId="86" fillId="0" borderId="0" applyNumberFormat="0" applyFill="0" applyBorder="0" applyAlignment="0" applyProtection="0">
      <alignment vertical="top"/>
      <protection locked="0"/>
    </xf>
    <xf numFmtId="0" fontId="83" fillId="0" borderId="0" applyNumberFormat="0" applyFill="0" applyBorder="0" applyAlignment="0" applyProtection="0">
      <alignment vertical="top"/>
      <protection locked="0"/>
    </xf>
    <xf numFmtId="0" fontId="86" fillId="0" borderId="0" applyNumberFormat="0" applyFill="0" applyBorder="0" applyAlignment="0" applyProtection="0">
      <alignment vertical="top"/>
      <protection locked="0"/>
    </xf>
    <xf numFmtId="0" fontId="83" fillId="0" borderId="0" applyNumberFormat="0" applyFill="0" applyBorder="0" applyAlignment="0" applyProtection="0">
      <alignment vertical="top"/>
      <protection locked="0"/>
    </xf>
    <xf numFmtId="0" fontId="86" fillId="0" borderId="0" applyNumberFormat="0" applyFill="0" applyBorder="0" applyAlignment="0" applyProtection="0">
      <alignment vertical="top"/>
      <protection locked="0"/>
    </xf>
    <xf numFmtId="0" fontId="83" fillId="0" borderId="0" applyNumberFormat="0" applyFill="0" applyBorder="0" applyAlignment="0" applyProtection="0">
      <alignment vertical="top"/>
      <protection locked="0"/>
    </xf>
    <xf numFmtId="0" fontId="86" fillId="0" borderId="0" applyNumberFormat="0" applyFill="0" applyBorder="0" applyAlignment="0" applyProtection="0">
      <alignment vertical="top"/>
      <protection locked="0"/>
    </xf>
    <xf numFmtId="0" fontId="83" fillId="0" borderId="0" applyNumberFormat="0" applyFill="0" applyBorder="0" applyAlignment="0" applyProtection="0">
      <alignment vertical="top"/>
      <protection locked="0"/>
    </xf>
    <xf numFmtId="0" fontId="86" fillId="0" borderId="0" applyNumberFormat="0" applyFill="0" applyBorder="0" applyAlignment="0" applyProtection="0">
      <alignment vertical="top"/>
      <protection locked="0"/>
    </xf>
    <xf numFmtId="0" fontId="83" fillId="0" borderId="0" applyNumberFormat="0" applyFill="0" applyBorder="0" applyAlignment="0" applyProtection="0">
      <alignment vertical="top"/>
      <protection locked="0"/>
    </xf>
    <xf numFmtId="0" fontId="86" fillId="0" borderId="0" applyNumberFormat="0" applyFill="0" applyBorder="0" applyAlignment="0" applyProtection="0">
      <alignment vertical="top"/>
      <protection locked="0"/>
    </xf>
    <xf numFmtId="0" fontId="83" fillId="0" borderId="0" applyNumberFormat="0" applyFill="0" applyBorder="0" applyAlignment="0" applyProtection="0">
      <alignment vertical="top"/>
      <protection locked="0"/>
    </xf>
    <xf numFmtId="0" fontId="86" fillId="0" borderId="0" applyNumberFormat="0" applyFill="0" applyBorder="0" applyAlignment="0" applyProtection="0">
      <alignment vertical="top"/>
      <protection locked="0"/>
    </xf>
    <xf numFmtId="0" fontId="83" fillId="0" borderId="0" applyNumberFormat="0" applyFill="0" applyBorder="0" applyAlignment="0" applyProtection="0">
      <alignment vertical="top"/>
      <protection locked="0"/>
    </xf>
    <xf numFmtId="0" fontId="86" fillId="0" borderId="0" applyNumberFormat="0" applyFill="0" applyBorder="0" applyAlignment="0" applyProtection="0">
      <alignment vertical="top"/>
      <protection locked="0"/>
    </xf>
    <xf numFmtId="0" fontId="83" fillId="0" borderId="0" applyNumberFormat="0" applyFill="0" applyBorder="0" applyAlignment="0" applyProtection="0">
      <alignment vertical="top"/>
      <protection locked="0"/>
    </xf>
    <xf numFmtId="0" fontId="86" fillId="0" borderId="0" applyNumberFormat="0" applyFill="0" applyBorder="0" applyAlignment="0" applyProtection="0">
      <alignment vertical="top"/>
      <protection locked="0"/>
    </xf>
    <xf numFmtId="0" fontId="83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0" fontId="83" fillId="0" borderId="0" applyNumberFormat="0" applyFill="0" applyBorder="0" applyAlignment="0" applyProtection="0">
      <alignment vertical="top"/>
      <protection locked="0"/>
    </xf>
    <xf numFmtId="0" fontId="86" fillId="0" borderId="0" applyNumberFormat="0" applyFill="0" applyBorder="0" applyAlignment="0" applyProtection="0">
      <alignment vertical="top"/>
      <protection locked="0"/>
    </xf>
    <xf numFmtId="0" fontId="89" fillId="0" borderId="0" applyNumberFormat="0" applyFill="0" applyBorder="0" applyAlignment="0" applyProtection="0">
      <alignment vertical="top"/>
      <protection locked="0"/>
    </xf>
    <xf numFmtId="0" fontId="81" fillId="0" borderId="0" applyNumberFormat="0" applyFill="0" applyBorder="0" applyAlignment="0" applyProtection="0">
      <alignment vertical="top"/>
      <protection locked="0"/>
    </xf>
    <xf numFmtId="0" fontId="81" fillId="0" borderId="0" applyNumberFormat="0" applyFill="0" applyBorder="0" applyAlignment="0" applyProtection="0">
      <alignment vertical="top"/>
      <protection locked="0"/>
    </xf>
    <xf numFmtId="0" fontId="86" fillId="0" borderId="0" applyNumberFormat="0" applyFill="0" applyBorder="0" applyAlignment="0" applyProtection="0">
      <alignment vertical="top"/>
      <protection locked="0"/>
    </xf>
    <xf numFmtId="0" fontId="83" fillId="0" borderId="0" applyNumberFormat="0" applyFill="0" applyBorder="0" applyAlignment="0" applyProtection="0">
      <alignment vertical="top"/>
      <protection locked="0"/>
    </xf>
    <xf numFmtId="0" fontId="86" fillId="0" borderId="0" applyNumberFormat="0" applyFill="0" applyBorder="0" applyAlignment="0" applyProtection="0">
      <alignment vertical="top"/>
      <protection locked="0"/>
    </xf>
    <xf numFmtId="0" fontId="83" fillId="0" borderId="0" applyNumberFormat="0" applyFill="0" applyBorder="0" applyAlignment="0" applyProtection="0">
      <alignment vertical="top"/>
      <protection locked="0"/>
    </xf>
    <xf numFmtId="0" fontId="86" fillId="0" borderId="0" applyNumberFormat="0" applyFill="0" applyBorder="0" applyAlignment="0" applyProtection="0">
      <alignment vertical="top"/>
      <protection locked="0"/>
    </xf>
    <xf numFmtId="0" fontId="83" fillId="0" borderId="0" applyNumberFormat="0" applyFill="0" applyBorder="0" applyAlignment="0" applyProtection="0">
      <alignment vertical="top"/>
      <protection locked="0"/>
    </xf>
    <xf numFmtId="0" fontId="86" fillId="0" borderId="0" applyNumberFormat="0" applyFill="0" applyBorder="0" applyAlignment="0" applyProtection="0">
      <alignment vertical="top"/>
      <protection locked="0"/>
    </xf>
    <xf numFmtId="0" fontId="83" fillId="0" borderId="0" applyNumberFormat="0" applyFill="0" applyBorder="0" applyAlignment="0" applyProtection="0">
      <alignment vertical="top"/>
      <protection locked="0"/>
    </xf>
    <xf numFmtId="0" fontId="86" fillId="0" borderId="0" applyNumberFormat="0" applyFill="0" applyBorder="0" applyAlignment="0" applyProtection="0">
      <alignment vertical="top"/>
      <protection locked="0"/>
    </xf>
    <xf numFmtId="0" fontId="83" fillId="0" borderId="0" applyNumberFormat="0" applyFill="0" applyBorder="0" applyAlignment="0" applyProtection="0">
      <alignment vertical="top"/>
      <protection locked="0"/>
    </xf>
    <xf numFmtId="0" fontId="86" fillId="0" borderId="0" applyNumberFormat="0" applyFill="0" applyBorder="0" applyAlignment="0" applyProtection="0">
      <alignment vertical="top"/>
      <protection locked="0"/>
    </xf>
    <xf numFmtId="0" fontId="83" fillId="0" borderId="0" applyNumberFormat="0" applyFill="0" applyBorder="0" applyAlignment="0" applyProtection="0">
      <alignment vertical="top"/>
      <protection locked="0"/>
    </xf>
    <xf numFmtId="0" fontId="86" fillId="0" borderId="0" applyNumberFormat="0" applyFill="0" applyBorder="0" applyAlignment="0" applyProtection="0">
      <alignment vertical="top"/>
      <protection locked="0"/>
    </xf>
    <xf numFmtId="0" fontId="83" fillId="0" borderId="0" applyNumberFormat="0" applyFill="0" applyBorder="0" applyAlignment="0" applyProtection="0">
      <alignment vertical="top"/>
      <protection locked="0"/>
    </xf>
    <xf numFmtId="0" fontId="86" fillId="0" borderId="0" applyNumberFormat="0" applyFill="0" applyBorder="0" applyAlignment="0" applyProtection="0">
      <alignment vertical="top"/>
      <protection locked="0"/>
    </xf>
    <xf numFmtId="0" fontId="83" fillId="0" borderId="0" applyNumberFormat="0" applyFill="0" applyBorder="0" applyAlignment="0" applyProtection="0">
      <alignment vertical="top"/>
      <protection locked="0"/>
    </xf>
    <xf numFmtId="0" fontId="86" fillId="0" borderId="0" applyNumberFormat="0" applyFill="0" applyBorder="0" applyAlignment="0" applyProtection="0">
      <alignment vertical="top"/>
      <protection locked="0"/>
    </xf>
    <xf numFmtId="0" fontId="83" fillId="0" borderId="0" applyNumberFormat="0" applyFill="0" applyBorder="0" applyAlignment="0" applyProtection="0">
      <alignment vertical="top"/>
      <protection locked="0"/>
    </xf>
    <xf numFmtId="0" fontId="86" fillId="0" borderId="0" applyNumberFormat="0" applyFill="0" applyBorder="0" applyAlignment="0" applyProtection="0">
      <alignment vertical="top"/>
      <protection locked="0"/>
    </xf>
    <xf numFmtId="0" fontId="85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0" fontId="83" fillId="0" borderId="0" applyNumberFormat="0" applyFill="0" applyBorder="0" applyAlignment="0" applyProtection="0">
      <alignment vertical="top"/>
      <protection locked="0"/>
    </xf>
    <xf numFmtId="0" fontId="86" fillId="0" borderId="0" applyNumberFormat="0" applyFill="0" applyBorder="0" applyAlignment="0" applyProtection="0">
      <alignment vertical="top"/>
      <protection locked="0"/>
    </xf>
    <xf numFmtId="0" fontId="81" fillId="0" borderId="0" applyNumberFormat="0" applyFill="0" applyBorder="0" applyAlignment="0" applyProtection="0">
      <alignment vertical="top"/>
      <protection locked="0"/>
    </xf>
    <xf numFmtId="0" fontId="81" fillId="0" borderId="0" applyNumberFormat="0" applyFill="0" applyBorder="0" applyAlignment="0" applyProtection="0">
      <alignment vertical="top"/>
      <protection locked="0"/>
    </xf>
    <xf numFmtId="0" fontId="86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0" fontId="83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6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1" fillId="0" borderId="0" applyNumberFormat="0" applyFill="0" applyBorder="0" applyAlignment="0" applyProtection="0">
      <alignment vertical="top"/>
      <protection locked="0"/>
    </xf>
    <xf numFmtId="0" fontId="81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0" fontId="83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6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1" fillId="0" borderId="0" applyNumberFormat="0" applyFill="0" applyBorder="0" applyAlignment="0" applyProtection="0">
      <alignment vertical="top"/>
      <protection locked="0"/>
    </xf>
    <xf numFmtId="0" fontId="81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0" fontId="83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6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6" fillId="0" borderId="0" applyNumberFormat="0" applyFill="0" applyBorder="0" applyAlignment="0" applyProtection="0">
      <alignment vertical="top"/>
      <protection locked="0"/>
    </xf>
    <xf numFmtId="0" fontId="83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6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0" fontId="83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90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91" fillId="0" borderId="0"/>
    <xf numFmtId="0" fontId="92" fillId="0" borderId="0" applyNumberFormat="0" applyFill="0" applyBorder="0" applyAlignment="0" applyProtection="0">
      <alignment vertical="top"/>
      <protection locked="0"/>
    </xf>
    <xf numFmtId="207" fontId="57" fillId="0" borderId="0" applyFont="0" applyFill="0" applyBorder="0" applyAlignment="0" applyProtection="0"/>
    <xf numFmtId="0" fontId="93" fillId="0" borderId="0" applyNumberFormat="0" applyFill="0" applyBorder="0" applyAlignment="0" applyProtection="0">
      <alignment vertical="top"/>
      <protection locked="0"/>
    </xf>
    <xf numFmtId="0" fontId="94" fillId="0" borderId="0" applyNumberFormat="0" applyFill="0" applyBorder="0" applyAlignment="0" applyProtection="0">
      <alignment vertical="top"/>
      <protection locked="0"/>
    </xf>
    <xf numFmtId="0" fontId="95" fillId="0" borderId="0" applyNumberFormat="0" applyFill="0" applyBorder="0" applyAlignment="0" applyProtection="0">
      <alignment vertical="top"/>
      <protection locked="0"/>
    </xf>
    <xf numFmtId="0" fontId="96" fillId="0" borderId="0" applyNumberFormat="0" applyFill="0" applyBorder="0" applyAlignment="0" applyProtection="0">
      <alignment vertical="top"/>
      <protection locked="0"/>
    </xf>
    <xf numFmtId="0" fontId="97" fillId="0" borderId="0" applyNumberFormat="0" applyFill="0" applyBorder="0" applyAlignment="0" applyProtection="0">
      <alignment vertical="top"/>
      <protection locked="0"/>
    </xf>
    <xf numFmtId="0" fontId="96" fillId="0" borderId="0" applyNumberFormat="0" applyFill="0" applyBorder="0" applyAlignment="0" applyProtection="0">
      <alignment vertical="top"/>
      <protection locked="0"/>
    </xf>
    <xf numFmtId="0" fontId="98" fillId="0" borderId="0" applyNumberFormat="0" applyFill="0" applyBorder="0" applyAlignment="0" applyProtection="0">
      <alignment vertical="top"/>
      <protection locked="0"/>
    </xf>
    <xf numFmtId="0" fontId="98" fillId="0" borderId="0" applyNumberFormat="0" applyFill="0" applyBorder="0" applyAlignment="0" applyProtection="0">
      <alignment vertical="top"/>
      <protection locked="0"/>
    </xf>
    <xf numFmtId="0" fontId="98" fillId="0" borderId="0" applyNumberFormat="0" applyFill="0" applyBorder="0" applyAlignment="0" applyProtection="0">
      <alignment vertical="top"/>
      <protection locked="0"/>
    </xf>
    <xf numFmtId="0" fontId="95" fillId="0" borderId="0" applyNumberFormat="0" applyFill="0" applyBorder="0" applyAlignment="0" applyProtection="0">
      <alignment vertical="top"/>
      <protection locked="0"/>
    </xf>
    <xf numFmtId="0" fontId="93" fillId="0" borderId="0" applyNumberFormat="0" applyFill="0" applyBorder="0" applyAlignment="0" applyProtection="0">
      <alignment vertical="top"/>
      <protection locked="0"/>
    </xf>
    <xf numFmtId="0" fontId="99" fillId="0" borderId="0" applyNumberFormat="0" applyFill="0" applyBorder="0" applyAlignment="0" applyProtection="0">
      <alignment vertical="top"/>
      <protection locked="0"/>
    </xf>
    <xf numFmtId="0" fontId="96" fillId="0" borderId="0" applyNumberFormat="0" applyFill="0" applyBorder="0" applyAlignment="0" applyProtection="0">
      <alignment vertical="top"/>
      <protection locked="0"/>
    </xf>
    <xf numFmtId="0" fontId="93" fillId="0" borderId="0" applyNumberFormat="0" applyFill="0" applyBorder="0" applyAlignment="0" applyProtection="0">
      <alignment vertical="top"/>
      <protection locked="0"/>
    </xf>
    <xf numFmtId="0" fontId="100" fillId="0" borderId="0" applyNumberFormat="0" applyFill="0" applyBorder="0" applyAlignment="0" applyProtection="0">
      <alignment vertical="top"/>
      <protection locked="0"/>
    </xf>
    <xf numFmtId="0" fontId="93" fillId="0" borderId="0" applyNumberFormat="0" applyFill="0" applyBorder="0" applyAlignment="0" applyProtection="0">
      <alignment vertical="top"/>
      <protection locked="0"/>
    </xf>
    <xf numFmtId="0" fontId="93" fillId="0" borderId="0" applyNumberFormat="0" applyFill="0" applyBorder="0" applyAlignment="0" applyProtection="0">
      <alignment vertical="top"/>
      <protection locked="0"/>
    </xf>
    <xf numFmtId="0" fontId="96" fillId="0" borderId="0" applyNumberFormat="0" applyFill="0" applyBorder="0" applyAlignment="0" applyProtection="0">
      <alignment vertical="top"/>
      <protection locked="0"/>
    </xf>
    <xf numFmtId="0" fontId="96" fillId="0" borderId="0" applyNumberFormat="0" applyFill="0" applyBorder="0" applyAlignment="0" applyProtection="0">
      <alignment vertical="top"/>
      <protection locked="0"/>
    </xf>
    <xf numFmtId="0" fontId="99" fillId="0" borderId="0" applyNumberFormat="0" applyFill="0" applyBorder="0" applyAlignment="0" applyProtection="0">
      <alignment vertical="top"/>
      <protection locked="0"/>
    </xf>
    <xf numFmtId="0" fontId="96" fillId="0" borderId="0" applyNumberFormat="0" applyFill="0" applyBorder="0" applyAlignment="0" applyProtection="0">
      <alignment vertical="top"/>
      <protection locked="0"/>
    </xf>
    <xf numFmtId="0" fontId="99" fillId="0" borderId="0" applyNumberFormat="0" applyFill="0" applyBorder="0" applyAlignment="0" applyProtection="0">
      <alignment vertical="top"/>
      <protection locked="0"/>
    </xf>
    <xf numFmtId="0" fontId="93" fillId="0" borderId="0" applyNumberFormat="0" applyFill="0" applyBorder="0" applyAlignment="0" applyProtection="0">
      <alignment vertical="top"/>
      <protection locked="0"/>
    </xf>
    <xf numFmtId="0" fontId="99" fillId="0" borderId="0" applyNumberFormat="0" applyFill="0" applyBorder="0" applyAlignment="0" applyProtection="0">
      <alignment vertical="top"/>
      <protection locked="0"/>
    </xf>
    <xf numFmtId="0" fontId="101" fillId="0" borderId="0" applyNumberFormat="0" applyFill="0" applyBorder="0" applyAlignment="0" applyProtection="0">
      <alignment vertical="top"/>
      <protection locked="0"/>
    </xf>
    <xf numFmtId="0" fontId="102" fillId="0" borderId="0" applyNumberFormat="0" applyFill="0" applyBorder="0" applyAlignment="0" applyProtection="0">
      <alignment vertical="top"/>
      <protection locked="0"/>
    </xf>
    <xf numFmtId="38" fontId="2" fillId="0" borderId="0" applyFont="0" applyFill="0" applyBorder="0" applyAlignment="0" applyProtection="0"/>
    <xf numFmtId="0" fontId="91" fillId="0" borderId="0"/>
    <xf numFmtId="0" fontId="55" fillId="0" borderId="0"/>
    <xf numFmtId="43" fontId="17" fillId="0" borderId="0" applyFont="0" applyFill="0" applyBorder="0" applyAlignment="0" applyProtection="0"/>
    <xf numFmtId="0" fontId="103" fillId="0" borderId="0" applyNumberFormat="0" applyFill="0" applyBorder="0" applyAlignment="0" applyProtection="0">
      <alignment vertical="top"/>
      <protection locked="0"/>
    </xf>
    <xf numFmtId="0" fontId="94" fillId="0" borderId="0" applyNumberFormat="0" applyFill="0" applyBorder="0" applyAlignment="0" applyProtection="0">
      <alignment vertical="top"/>
      <protection locked="0"/>
    </xf>
    <xf numFmtId="0" fontId="104" fillId="0" borderId="0" applyNumberFormat="0" applyFill="0" applyBorder="0" applyAlignment="0" applyProtection="0">
      <alignment vertical="top"/>
      <protection locked="0"/>
    </xf>
    <xf numFmtId="0" fontId="101" fillId="0" borderId="0" applyNumberFormat="0" applyFill="0" applyBorder="0" applyAlignment="0" applyProtection="0">
      <alignment vertical="top"/>
      <protection locked="0"/>
    </xf>
    <xf numFmtId="0" fontId="105" fillId="0" borderId="0" applyNumberFormat="0" applyFill="0" applyBorder="0" applyAlignment="0" applyProtection="0">
      <alignment vertical="top"/>
      <protection locked="0"/>
    </xf>
    <xf numFmtId="0" fontId="97" fillId="0" borderId="0" applyNumberFormat="0" applyFill="0" applyBorder="0" applyAlignment="0" applyProtection="0">
      <alignment vertical="top"/>
      <protection locked="0"/>
    </xf>
    <xf numFmtId="0" fontId="95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>
      <alignment vertical="top"/>
      <protection locked="0"/>
    </xf>
    <xf numFmtId="0" fontId="101" fillId="0" borderId="0" applyNumberFormat="0" applyFill="0" applyBorder="0" applyAlignment="0" applyProtection="0">
      <alignment vertical="top"/>
      <protection locked="0"/>
    </xf>
    <xf numFmtId="0" fontId="107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109" fillId="0" borderId="0" applyNumberFormat="0" applyFill="0" applyBorder="0" applyAlignment="0" applyProtection="0">
      <alignment vertical="top"/>
      <protection locked="0"/>
    </xf>
    <xf numFmtId="0" fontId="110" fillId="0" borderId="0" applyNumberFormat="0" applyFill="0" applyBorder="0" applyAlignment="0" applyProtection="0">
      <alignment vertical="top"/>
      <protection locked="0"/>
    </xf>
    <xf numFmtId="0" fontId="94" fillId="0" borderId="0" applyNumberFormat="0" applyFill="0" applyBorder="0" applyAlignment="0" applyProtection="0">
      <alignment vertical="top"/>
      <protection locked="0"/>
    </xf>
    <xf numFmtId="0" fontId="94" fillId="0" borderId="0" applyNumberFormat="0" applyFill="0" applyBorder="0" applyAlignment="0" applyProtection="0">
      <alignment vertical="top"/>
      <protection locked="0"/>
    </xf>
    <xf numFmtId="0" fontId="101" fillId="0" borderId="0" applyNumberFormat="0" applyFill="0" applyBorder="0" applyAlignment="0" applyProtection="0">
      <alignment vertical="top"/>
      <protection locked="0"/>
    </xf>
    <xf numFmtId="0" fontId="102" fillId="0" borderId="0" applyNumberFormat="0" applyFill="0" applyBorder="0" applyAlignment="0" applyProtection="0">
      <alignment vertical="top"/>
      <protection locked="0"/>
    </xf>
    <xf numFmtId="0" fontId="101" fillId="0" borderId="0" applyNumberFormat="0" applyFill="0" applyBorder="0" applyAlignment="0" applyProtection="0">
      <alignment vertical="top"/>
      <protection locked="0"/>
    </xf>
    <xf numFmtId="0" fontId="111" fillId="0" borderId="0" applyNumberFormat="0" applyFill="0" applyBorder="0" applyAlignment="0" applyProtection="0">
      <alignment vertical="top"/>
      <protection locked="0"/>
    </xf>
    <xf numFmtId="0" fontId="94" fillId="0" borderId="0" applyNumberFormat="0" applyFill="0" applyBorder="0" applyAlignment="0" applyProtection="0">
      <alignment vertical="top"/>
      <protection locked="0"/>
    </xf>
    <xf numFmtId="0" fontId="112" fillId="0" borderId="0" applyNumberFormat="0" applyFill="0" applyBorder="0" applyAlignment="0" applyProtection="0">
      <alignment vertical="top"/>
      <protection locked="0"/>
    </xf>
    <xf numFmtId="0" fontId="113" fillId="0" borderId="0" applyNumberFormat="0" applyFill="0" applyBorder="0" applyAlignment="0" applyProtection="0">
      <alignment vertical="top"/>
      <protection locked="0"/>
    </xf>
    <xf numFmtId="0" fontId="114" fillId="0" borderId="0" applyNumberFormat="0" applyFill="0" applyBorder="0" applyAlignment="0" applyProtection="0">
      <alignment vertical="top"/>
      <protection locked="0"/>
    </xf>
    <xf numFmtId="43" fontId="17" fillId="0" borderId="0" applyFont="0" applyFill="0" applyBorder="0" applyAlignment="0" applyProtection="0"/>
    <xf numFmtId="0" fontId="115" fillId="0" borderId="0" applyNumberFormat="0" applyFill="0" applyBorder="0" applyAlignment="0" applyProtection="0">
      <alignment vertical="top"/>
      <protection locked="0"/>
    </xf>
    <xf numFmtId="0" fontId="107" fillId="0" borderId="0" applyNumberFormat="0" applyFill="0" applyBorder="0" applyAlignment="0" applyProtection="0">
      <alignment vertical="top"/>
      <protection locked="0"/>
    </xf>
    <xf numFmtId="44" fontId="17" fillId="0" borderId="0" applyFont="0" applyFill="0" applyBorder="0" applyAlignment="0" applyProtection="0"/>
    <xf numFmtId="0" fontId="116" fillId="0" borderId="0" applyNumberFormat="0" applyFill="0" applyBorder="0" applyAlignment="0" applyProtection="0">
      <alignment vertical="top"/>
      <protection locked="0"/>
    </xf>
    <xf numFmtId="0" fontId="117" fillId="0" borderId="0" applyNumberFormat="0" applyFill="0" applyBorder="0" applyAlignment="0" applyProtection="0">
      <alignment vertical="top"/>
      <protection locked="0"/>
    </xf>
    <xf numFmtId="0" fontId="107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top"/>
      <protection locked="0"/>
    </xf>
    <xf numFmtId="0" fontId="119" fillId="0" borderId="0" applyNumberFormat="0" applyFill="0" applyBorder="0" applyAlignment="0" applyProtection="0">
      <alignment vertical="top"/>
      <protection locked="0"/>
    </xf>
    <xf numFmtId="0" fontId="120" fillId="0" borderId="0" applyNumberFormat="0" applyFill="0" applyBorder="0" applyAlignment="0" applyProtection="0">
      <alignment vertical="top"/>
      <protection locked="0"/>
    </xf>
    <xf numFmtId="0" fontId="120" fillId="0" borderId="0" applyNumberFormat="0" applyFill="0" applyBorder="0" applyAlignment="0" applyProtection="0">
      <alignment vertical="top"/>
      <protection locked="0"/>
    </xf>
    <xf numFmtId="0" fontId="107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top"/>
      <protection locked="0"/>
    </xf>
    <xf numFmtId="0" fontId="121" fillId="0" borderId="0" applyNumberFormat="0" applyFill="0" applyBorder="0" applyAlignment="0" applyProtection="0">
      <alignment vertical="top"/>
      <protection locked="0"/>
    </xf>
    <xf numFmtId="0" fontId="122" fillId="0" borderId="0" applyNumberFormat="0" applyFill="0" applyBorder="0" applyAlignment="0" applyProtection="0">
      <alignment vertical="top"/>
      <protection locked="0"/>
    </xf>
    <xf numFmtId="0" fontId="92" fillId="0" borderId="0" applyNumberFormat="0" applyFill="0" applyBorder="0" applyAlignment="0" applyProtection="0">
      <alignment vertical="top"/>
      <protection locked="0"/>
    </xf>
    <xf numFmtId="0" fontId="107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top"/>
      <protection locked="0"/>
    </xf>
    <xf numFmtId="0" fontId="107" fillId="0" borderId="0" applyNumberFormat="0" applyFill="0" applyBorder="0" applyAlignment="0" applyProtection="0">
      <alignment vertical="top"/>
      <protection locked="0"/>
    </xf>
    <xf numFmtId="0" fontId="123" fillId="0" borderId="0" applyNumberFormat="0" applyFill="0" applyBorder="0" applyAlignment="0" applyProtection="0">
      <alignment vertical="top"/>
      <protection locked="0"/>
    </xf>
    <xf numFmtId="0" fontId="120" fillId="0" borderId="0" applyNumberFormat="0" applyFill="0" applyBorder="0" applyAlignment="0" applyProtection="0">
      <alignment vertical="top"/>
      <protection locked="0"/>
    </xf>
    <xf numFmtId="0" fontId="124" fillId="0" borderId="0" applyNumberFormat="0" applyFill="0" applyBorder="0" applyAlignment="0" applyProtection="0">
      <alignment vertical="top"/>
      <protection locked="0"/>
    </xf>
    <xf numFmtId="0" fontId="120" fillId="0" borderId="0" applyNumberFormat="0" applyFill="0" applyBorder="0" applyAlignment="0" applyProtection="0">
      <alignment vertical="top"/>
      <protection locked="0"/>
    </xf>
    <xf numFmtId="0" fontId="115" fillId="0" borderId="0" applyNumberFormat="0" applyFill="0" applyBorder="0" applyAlignment="0" applyProtection="0">
      <alignment vertical="top"/>
      <protection locked="0"/>
    </xf>
    <xf numFmtId="0" fontId="90" fillId="0" borderId="0" applyNumberFormat="0" applyFill="0" applyBorder="0" applyAlignment="0" applyProtection="0">
      <alignment vertical="top"/>
      <protection locked="0"/>
    </xf>
    <xf numFmtId="0" fontId="125" fillId="0" borderId="0" applyNumberFormat="0" applyFill="0" applyBorder="0" applyAlignment="0" applyProtection="0">
      <alignment vertical="top"/>
      <protection locked="0"/>
    </xf>
    <xf numFmtId="9" fontId="126" fillId="0" borderId="0" applyFont="0" applyFill="0" applyBorder="0" applyAlignment="0" applyProtection="0"/>
    <xf numFmtId="0" fontId="126" fillId="0" borderId="0"/>
    <xf numFmtId="0" fontId="126" fillId="0" borderId="0" applyFont="0" applyFill="0" applyBorder="0" applyAlignment="0" applyProtection="0"/>
    <xf numFmtId="0" fontId="78" fillId="0" borderId="0" applyFont="0" applyFill="0" applyBorder="0" applyAlignment="0" applyProtection="0"/>
    <xf numFmtId="204" fontId="77" fillId="0" borderId="0" applyFont="0" applyFill="0" applyBorder="0" applyAlignment="0" applyProtection="0"/>
    <xf numFmtId="0" fontId="94" fillId="0" borderId="0" applyNumberFormat="0" applyFill="0" applyBorder="0" applyAlignment="0" applyProtection="0">
      <alignment vertical="top"/>
      <protection locked="0"/>
    </xf>
    <xf numFmtId="208" fontId="17" fillId="0" borderId="0" applyFont="0" applyFill="0" applyBorder="0" applyAlignment="0" applyProtection="0"/>
    <xf numFmtId="207" fontId="17" fillId="0" borderId="0" applyFont="0" applyFill="0" applyBorder="0" applyAlignment="0" applyProtection="0"/>
    <xf numFmtId="0" fontId="127" fillId="0" borderId="0"/>
    <xf numFmtId="0" fontId="109" fillId="0" borderId="0" applyNumberFormat="0" applyFill="0" applyBorder="0" applyAlignment="0" applyProtection="0">
      <alignment vertical="top"/>
      <protection locked="0"/>
    </xf>
    <xf numFmtId="0" fontId="128" fillId="0" borderId="0"/>
    <xf numFmtId="0" fontId="65" fillId="0" borderId="0"/>
    <xf numFmtId="40" fontId="129" fillId="0" borderId="0" applyFont="0" applyFill="0" applyBorder="0" applyAlignment="0" applyProtection="0"/>
    <xf numFmtId="38" fontId="129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30" fillId="0" borderId="0"/>
    <xf numFmtId="0" fontId="68" fillId="0" borderId="0"/>
    <xf numFmtId="0" fontId="131" fillId="0" borderId="0"/>
    <xf numFmtId="0" fontId="68" fillId="0" borderId="0"/>
    <xf numFmtId="0" fontId="65" fillId="0" borderId="0"/>
    <xf numFmtId="0" fontId="130" fillId="0" borderId="0"/>
    <xf numFmtId="0" fontId="68" fillId="0" borderId="0"/>
    <xf numFmtId="0" fontId="131" fillId="0" borderId="0"/>
    <xf numFmtId="0" fontId="68" fillId="0" borderId="0"/>
    <xf numFmtId="0" fontId="65" fillId="0" borderId="0"/>
    <xf numFmtId="0" fontId="65" fillId="0" borderId="0"/>
    <xf numFmtId="0" fontId="132" fillId="0" borderId="0"/>
    <xf numFmtId="0" fontId="130" fillId="0" borderId="0"/>
    <xf numFmtId="0" fontId="65" fillId="0" borderId="0"/>
    <xf numFmtId="0" fontId="65" fillId="0" borderId="0"/>
    <xf numFmtId="0" fontId="65" fillId="0" borderId="0"/>
    <xf numFmtId="0" fontId="133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200" fontId="134" fillId="0" borderId="0" applyFont="0" applyFill="0" applyBorder="0" applyAlignment="0" applyProtection="0"/>
    <xf numFmtId="199" fontId="134" fillId="0" borderId="0" applyFont="0" applyFill="0" applyBorder="0" applyAlignment="0" applyProtection="0"/>
    <xf numFmtId="0" fontId="135" fillId="0" borderId="0" applyNumberFormat="0" applyFill="0" applyBorder="0" applyAlignment="0" applyProtection="0">
      <alignment vertical="top"/>
      <protection locked="0"/>
    </xf>
    <xf numFmtId="0" fontId="135" fillId="0" borderId="0" applyNumberFormat="0" applyFill="0" applyBorder="0" applyAlignment="0" applyProtection="0">
      <alignment vertical="top"/>
      <protection locked="0"/>
    </xf>
    <xf numFmtId="0" fontId="136" fillId="0" borderId="0" applyNumberFormat="0" applyFill="0" applyBorder="0" applyAlignment="0" applyProtection="0">
      <alignment vertical="top"/>
      <protection locked="0"/>
    </xf>
    <xf numFmtId="0" fontId="95" fillId="0" borderId="0" applyNumberFormat="0" applyFill="0" applyBorder="0" applyAlignment="0" applyProtection="0">
      <alignment vertical="top"/>
      <protection locked="0"/>
    </xf>
    <xf numFmtId="0" fontId="137" fillId="0" borderId="0" applyNumberFormat="0" applyFill="0" applyBorder="0" applyAlignment="0" applyProtection="0">
      <alignment vertical="top"/>
      <protection locked="0"/>
    </xf>
    <xf numFmtId="0" fontId="138" fillId="0" borderId="0" applyNumberFormat="0" applyFill="0" applyBorder="0" applyAlignment="0" applyProtection="0">
      <alignment vertical="top"/>
      <protection locked="0"/>
    </xf>
    <xf numFmtId="0" fontId="135" fillId="0" borderId="0" applyNumberFormat="0" applyFill="0" applyBorder="0" applyAlignment="0" applyProtection="0">
      <alignment vertical="top"/>
      <protection locked="0"/>
    </xf>
    <xf numFmtId="0" fontId="138" fillId="0" borderId="0" applyNumberFormat="0" applyFill="0" applyBorder="0" applyAlignment="0" applyProtection="0">
      <alignment vertical="top"/>
      <protection locked="0"/>
    </xf>
    <xf numFmtId="0" fontId="138" fillId="0" borderId="0" applyNumberFormat="0" applyFill="0" applyBorder="0" applyAlignment="0" applyProtection="0">
      <alignment vertical="top"/>
      <protection locked="0"/>
    </xf>
    <xf numFmtId="0" fontId="136" fillId="0" borderId="0" applyNumberFormat="0" applyFill="0" applyBorder="0" applyAlignment="0" applyProtection="0">
      <alignment vertical="top"/>
      <protection locked="0"/>
    </xf>
    <xf numFmtId="0" fontId="95" fillId="0" borderId="0" applyNumberFormat="0" applyFill="0" applyBorder="0" applyAlignment="0" applyProtection="0">
      <alignment vertical="top"/>
      <protection locked="0"/>
    </xf>
    <xf numFmtId="0" fontId="103" fillId="0" borderId="0" applyNumberFormat="0" applyFill="0" applyBorder="0" applyAlignment="0" applyProtection="0">
      <alignment vertical="top"/>
      <protection locked="0"/>
    </xf>
    <xf numFmtId="0" fontId="139" fillId="0" borderId="0" applyNumberFormat="0" applyFill="0" applyBorder="0" applyAlignment="0" applyProtection="0">
      <alignment vertical="top"/>
      <protection locked="0"/>
    </xf>
    <xf numFmtId="0" fontId="140" fillId="0" borderId="0" applyNumberFormat="0" applyFill="0" applyBorder="0" applyAlignment="0" applyProtection="0">
      <alignment vertical="top"/>
      <protection locked="0"/>
    </xf>
    <xf numFmtId="0" fontId="141" fillId="0" borderId="0" applyNumberFormat="0" applyFill="0" applyBorder="0" applyAlignment="0" applyProtection="0">
      <alignment vertical="top"/>
      <protection locked="0"/>
    </xf>
    <xf numFmtId="0" fontId="139" fillId="0" borderId="0" applyNumberFormat="0" applyFill="0" applyBorder="0" applyAlignment="0" applyProtection="0">
      <alignment vertical="top"/>
      <protection locked="0"/>
    </xf>
    <xf numFmtId="0" fontId="141" fillId="0" borderId="0" applyNumberFormat="0" applyFill="0" applyBorder="0" applyAlignment="0" applyProtection="0">
      <alignment vertical="top"/>
      <protection locked="0"/>
    </xf>
    <xf numFmtId="0" fontId="109" fillId="0" borderId="0" applyNumberFormat="0" applyFill="0" applyBorder="0" applyAlignment="0" applyProtection="0">
      <alignment vertical="top"/>
      <protection locked="0"/>
    </xf>
    <xf numFmtId="201" fontId="142" fillId="0" borderId="0" applyFont="0" applyFill="0" applyBorder="0" applyAlignment="0" applyProtection="0"/>
    <xf numFmtId="203" fontId="142" fillId="0" borderId="0" applyFont="0" applyFill="0" applyBorder="0" applyAlignment="0" applyProtection="0"/>
    <xf numFmtId="40" fontId="143" fillId="0" borderId="0" applyFont="0" applyFill="0" applyBorder="0" applyAlignment="0" applyProtection="0"/>
    <xf numFmtId="38" fontId="143" fillId="0" borderId="0" applyFont="0" applyFill="0" applyBorder="0" applyAlignment="0" applyProtection="0"/>
    <xf numFmtId="201" fontId="142" fillId="0" borderId="0" applyFont="0" applyFill="0" applyBorder="0" applyAlignment="0" applyProtection="0"/>
    <xf numFmtId="203" fontId="142" fillId="0" borderId="0" applyFont="0" applyFill="0" applyBorder="0" applyAlignment="0" applyProtection="0"/>
    <xf numFmtId="40" fontId="143" fillId="0" borderId="0" applyFont="0" applyFill="0" applyBorder="0" applyAlignment="0" applyProtection="0"/>
    <xf numFmtId="38" fontId="144" fillId="0" borderId="0" applyFont="0" applyFill="0" applyBorder="0" applyAlignment="0" applyProtection="0"/>
    <xf numFmtId="209" fontId="17" fillId="0" borderId="0" applyFont="0" applyFill="0" applyBorder="0" applyAlignment="0" applyProtection="0"/>
    <xf numFmtId="210" fontId="17" fillId="0" borderId="0" applyFont="0" applyFill="0" applyBorder="0" applyAlignment="0" applyProtection="0"/>
    <xf numFmtId="209" fontId="17" fillId="0" borderId="0" applyFont="0" applyFill="0" applyBorder="0" applyAlignment="0" applyProtection="0"/>
    <xf numFmtId="210" fontId="17" fillId="0" borderId="0" applyFont="0" applyFill="0" applyBorder="0" applyAlignment="0" applyProtection="0"/>
    <xf numFmtId="40" fontId="145" fillId="0" borderId="0" applyFont="0" applyFill="0" applyBorder="0" applyAlignment="0" applyProtection="0"/>
    <xf numFmtId="38" fontId="145" fillId="0" borderId="0" applyFont="0" applyFill="0" applyBorder="0" applyAlignment="0" applyProtection="0"/>
    <xf numFmtId="209" fontId="17" fillId="0" borderId="0" applyFont="0" applyFill="0" applyBorder="0" applyAlignment="0" applyProtection="0"/>
    <xf numFmtId="21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43" fontId="146" fillId="0" borderId="0" applyFont="0" applyFill="0" applyBorder="0" applyAlignment="0" applyProtection="0"/>
    <xf numFmtId="41" fontId="146" fillId="0" borderId="0" applyFont="0" applyFill="0" applyBorder="0" applyAlignment="0" applyProtection="0"/>
    <xf numFmtId="40" fontId="147" fillId="0" borderId="0" applyFont="0" applyFill="0" applyBorder="0" applyAlignment="0" applyProtection="0"/>
    <xf numFmtId="38" fontId="148" fillId="0" borderId="0" applyFont="0" applyFill="0" applyBorder="0" applyAlignment="0" applyProtection="0"/>
    <xf numFmtId="40" fontId="143" fillId="0" borderId="0" applyFont="0" applyFill="0" applyBorder="0" applyAlignment="0" applyProtection="0"/>
    <xf numFmtId="211" fontId="17" fillId="0" borderId="0" applyFont="0" applyFill="0" applyBorder="0" applyAlignment="0" applyProtection="0"/>
    <xf numFmtId="41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68" fillId="0" borderId="0" applyFont="0" applyFill="0" applyBorder="0" applyAlignment="0" applyProtection="0"/>
    <xf numFmtId="43" fontId="131" fillId="0" borderId="0" applyFont="0" applyFill="0" applyBorder="0" applyAlignment="0" applyProtection="0"/>
    <xf numFmtId="43" fontId="68" fillId="0" borderId="0" applyFont="0" applyFill="0" applyBorder="0" applyAlignment="0" applyProtection="0"/>
    <xf numFmtId="212" fontId="65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68" fillId="0" borderId="0" applyFont="0" applyFill="0" applyBorder="0" applyAlignment="0" applyProtection="0"/>
    <xf numFmtId="43" fontId="131" fillId="0" borderId="0" applyFont="0" applyFill="0" applyBorder="0" applyAlignment="0" applyProtection="0"/>
    <xf numFmtId="43" fontId="68" fillId="0" borderId="0" applyFont="0" applyFill="0" applyBorder="0" applyAlignment="0" applyProtection="0"/>
    <xf numFmtId="212" fontId="65" fillId="0" borderId="0" applyFont="0" applyFill="0" applyBorder="0" applyAlignment="0" applyProtection="0"/>
    <xf numFmtId="40" fontId="132" fillId="0" borderId="0" applyFont="0" applyFill="0" applyBorder="0" applyAlignment="0" applyProtection="0"/>
    <xf numFmtId="43" fontId="130" fillId="0" borderId="0" applyFont="0" applyFill="0" applyBorder="0" applyAlignment="0" applyProtection="0"/>
    <xf numFmtId="212" fontId="65" fillId="0" borderId="0" applyFont="0" applyFill="0" applyBorder="0" applyAlignment="0" applyProtection="0"/>
    <xf numFmtId="40" fontId="133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213" fontId="65" fillId="0" borderId="0" applyFont="0" applyFill="0" applyBorder="0" applyAlignment="0" applyProtection="0"/>
    <xf numFmtId="212" fontId="65" fillId="0" borderId="0" applyFont="0" applyFill="0" applyBorder="0" applyAlignment="0" applyProtection="0"/>
    <xf numFmtId="212" fontId="65" fillId="0" borderId="0" applyFont="0" applyFill="0" applyBorder="0" applyAlignment="0" applyProtection="0"/>
    <xf numFmtId="212" fontId="65" fillId="0" borderId="0" applyFont="0" applyFill="0" applyBorder="0" applyAlignment="0" applyProtection="0"/>
    <xf numFmtId="9" fontId="79" fillId="0" borderId="0" applyFont="0" applyFill="0" applyBorder="0" applyAlignment="0" applyProtection="0"/>
    <xf numFmtId="203" fontId="149" fillId="0" borderId="0" applyFont="0" applyFill="0" applyBorder="0" applyAlignment="0" applyProtection="0"/>
    <xf numFmtId="203" fontId="149" fillId="0" borderId="0" applyFont="0" applyFill="0" applyBorder="0" applyAlignment="0" applyProtection="0"/>
    <xf numFmtId="203" fontId="150" fillId="0" borderId="0" applyFont="0" applyFill="0" applyBorder="0" applyAlignment="0" applyProtection="0"/>
    <xf numFmtId="203" fontId="151" fillId="0" borderId="0" applyFont="0" applyFill="0" applyBorder="0" applyAlignment="0" applyProtection="0"/>
    <xf numFmtId="214" fontId="130" fillId="0" borderId="0" applyFont="0" applyFill="0" applyBorder="0" applyAlignment="0" applyProtection="0"/>
    <xf numFmtId="215" fontId="17" fillId="0" borderId="0" applyFont="0" applyFill="0" applyBorder="0" applyAlignment="0" applyProtection="0"/>
    <xf numFmtId="216" fontId="130" fillId="0" borderId="0" applyFont="0" applyFill="0" applyBorder="0" applyAlignment="0" applyProtection="0"/>
    <xf numFmtId="216" fontId="130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131" fillId="0" borderId="0" applyFont="0" applyFill="0" applyBorder="0" applyAlignment="0" applyProtection="0"/>
    <xf numFmtId="216" fontId="68" fillId="0" borderId="0" applyFont="0" applyFill="0" applyBorder="0" applyAlignment="0" applyProtection="0"/>
    <xf numFmtId="215" fontId="17" fillId="0" borderId="0" applyFont="0" applyFill="0" applyBorder="0" applyAlignment="0" applyProtection="0"/>
    <xf numFmtId="216" fontId="130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131" fillId="0" borderId="0" applyFont="0" applyFill="0" applyBorder="0" applyAlignment="0" applyProtection="0"/>
    <xf numFmtId="216" fontId="68" fillId="0" borderId="0" applyFont="0" applyFill="0" applyBorder="0" applyAlignment="0" applyProtection="0"/>
    <xf numFmtId="215" fontId="17" fillId="0" borderId="0" applyFont="0" applyFill="0" applyBorder="0" applyAlignment="0" applyProtection="0"/>
    <xf numFmtId="200" fontId="132" fillId="0" borderId="0" applyFont="0" applyFill="0" applyBorder="0" applyAlignment="0" applyProtection="0"/>
    <xf numFmtId="216" fontId="130" fillId="0" borderId="0" applyFont="0" applyFill="0" applyBorder="0" applyAlignment="0" applyProtection="0"/>
    <xf numFmtId="215" fontId="17" fillId="0" borderId="0" applyFont="0" applyFill="0" applyBorder="0" applyAlignment="0" applyProtection="0"/>
    <xf numFmtId="200" fontId="133" fillId="0" borderId="0" applyFont="0" applyFill="0" applyBorder="0" applyAlignment="0" applyProtection="0"/>
    <xf numFmtId="217" fontId="17" fillId="0" borderId="0" applyFont="0" applyFill="0" applyBorder="0" applyAlignment="0" applyProtection="0"/>
    <xf numFmtId="217" fontId="17" fillId="0" borderId="0" applyFont="0" applyFill="0" applyBorder="0" applyAlignment="0" applyProtection="0"/>
    <xf numFmtId="218" fontId="65" fillId="0" borderId="0" applyFont="0" applyFill="0" applyBorder="0" applyAlignment="0" applyProtection="0"/>
    <xf numFmtId="218" fontId="65" fillId="0" borderId="0" applyFont="0" applyFill="0" applyBorder="0" applyAlignment="0" applyProtection="0"/>
    <xf numFmtId="218" fontId="65" fillId="0" borderId="0" applyFont="0" applyFill="0" applyBorder="0" applyAlignment="0" applyProtection="0"/>
    <xf numFmtId="0" fontId="152" fillId="0" borderId="0" applyNumberFormat="0" applyFill="0" applyBorder="0" applyAlignment="0" applyProtection="0">
      <alignment vertical="top"/>
      <protection locked="0"/>
    </xf>
    <xf numFmtId="0" fontId="153" fillId="0" borderId="0" applyNumberFormat="0" applyFill="0" applyBorder="0" applyAlignment="0" applyProtection="0">
      <alignment vertical="top"/>
      <protection locked="0"/>
    </xf>
    <xf numFmtId="0" fontId="154" fillId="0" borderId="0" applyNumberFormat="0" applyFill="0" applyBorder="0" applyAlignment="0" applyProtection="0">
      <alignment vertical="top"/>
      <protection locked="0"/>
    </xf>
    <xf numFmtId="0" fontId="154" fillId="0" borderId="0" applyNumberFormat="0" applyFill="0" applyBorder="0" applyAlignment="0" applyProtection="0">
      <alignment vertical="top"/>
      <protection locked="0"/>
    </xf>
    <xf numFmtId="0" fontId="153" fillId="0" borderId="0" applyNumberFormat="0" applyFill="0" applyBorder="0" applyAlignment="0" applyProtection="0">
      <alignment vertical="top"/>
      <protection locked="0"/>
    </xf>
    <xf numFmtId="0" fontId="153" fillId="0" borderId="0" applyNumberFormat="0" applyFill="0" applyBorder="0" applyAlignment="0" applyProtection="0">
      <alignment vertical="top"/>
      <protection locked="0"/>
    </xf>
    <xf numFmtId="0" fontId="153" fillId="0" borderId="0" applyNumberFormat="0" applyFill="0" applyBorder="0" applyAlignment="0" applyProtection="0">
      <alignment vertical="top"/>
      <protection locked="0"/>
    </xf>
    <xf numFmtId="0" fontId="155" fillId="0" borderId="0" applyNumberFormat="0" applyFill="0" applyBorder="0" applyAlignment="0" applyProtection="0">
      <alignment vertical="top"/>
      <protection locked="0"/>
    </xf>
    <xf numFmtId="0" fontId="155" fillId="0" borderId="0" applyNumberFormat="0" applyFill="0" applyBorder="0" applyAlignment="0" applyProtection="0">
      <alignment vertical="top"/>
      <protection locked="0"/>
    </xf>
    <xf numFmtId="0" fontId="90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0" fontId="156" fillId="0" borderId="0" applyNumberFormat="0" applyFill="0" applyBorder="0" applyAlignment="0" applyProtection="0">
      <alignment vertical="top"/>
      <protection locked="0"/>
    </xf>
    <xf numFmtId="0" fontId="152" fillId="0" borderId="0" applyNumberFormat="0" applyFill="0" applyBorder="0" applyAlignment="0" applyProtection="0">
      <alignment vertical="top"/>
      <protection locked="0"/>
    </xf>
    <xf numFmtId="0" fontId="152" fillId="0" borderId="0" applyNumberFormat="0" applyFill="0" applyBorder="0" applyAlignment="0" applyProtection="0">
      <alignment vertical="top"/>
      <protection locked="0"/>
    </xf>
    <xf numFmtId="0" fontId="157" fillId="0" borderId="0" applyNumberFormat="0" applyFill="0" applyBorder="0" applyAlignment="0" applyProtection="0">
      <alignment vertical="top"/>
      <protection locked="0"/>
    </xf>
    <xf numFmtId="0" fontId="152" fillId="0" borderId="0" applyNumberFormat="0" applyFill="0" applyBorder="0" applyAlignment="0" applyProtection="0">
      <alignment vertical="top"/>
      <protection locked="0"/>
    </xf>
    <xf numFmtId="0" fontId="156" fillId="0" borderId="0" applyNumberFormat="0" applyFill="0" applyBorder="0" applyAlignment="0" applyProtection="0">
      <alignment vertical="top"/>
      <protection locked="0"/>
    </xf>
    <xf numFmtId="0" fontId="78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129" fillId="0" borderId="0"/>
    <xf numFmtId="0" fontId="158" fillId="0" borderId="0"/>
    <xf numFmtId="0" fontId="159" fillId="0" borderId="0"/>
    <xf numFmtId="0" fontId="17" fillId="0" borderId="0"/>
    <xf numFmtId="0" fontId="129" fillId="0" borderId="0"/>
    <xf numFmtId="0" fontId="129" fillId="0" borderId="0"/>
    <xf numFmtId="0" fontId="128" fillId="0" borderId="0"/>
    <xf numFmtId="0" fontId="160" fillId="0" borderId="0"/>
    <xf numFmtId="201" fontId="161" fillId="0" borderId="0" applyFont="0" applyFill="0" applyBorder="0" applyAlignment="0" applyProtection="0"/>
    <xf numFmtId="203" fontId="161" fillId="0" borderId="0" applyFont="0" applyFill="0" applyBorder="0" applyAlignment="0" applyProtection="0"/>
    <xf numFmtId="40" fontId="129" fillId="0" borderId="0" applyFont="0" applyFill="0" applyBorder="0" applyAlignment="0" applyProtection="0"/>
    <xf numFmtId="38" fontId="129" fillId="0" borderId="0" applyFont="0" applyFill="0" applyBorder="0" applyAlignment="0" applyProtection="0"/>
    <xf numFmtId="0" fontId="162" fillId="0" borderId="0" applyNumberFormat="0" applyFill="0" applyBorder="0" applyAlignment="0" applyProtection="0">
      <alignment vertical="top"/>
      <protection locked="0"/>
    </xf>
    <xf numFmtId="0" fontId="163" fillId="0" borderId="0"/>
    <xf numFmtId="208" fontId="164" fillId="0" borderId="0" applyFont="0" applyFill="0" applyBorder="0" applyAlignment="0" applyProtection="0"/>
    <xf numFmtId="207" fontId="164" fillId="0" borderId="0" applyFont="0" applyFill="0" applyBorder="0" applyAlignment="0" applyProtection="0"/>
    <xf numFmtId="219" fontId="164" fillId="0" borderId="0" applyFont="0" applyFill="0" applyBorder="0" applyAlignment="0" applyProtection="0"/>
    <xf numFmtId="220" fontId="164" fillId="0" borderId="0" applyFont="0" applyFill="0" applyBorder="0" applyAlignment="0" applyProtection="0"/>
    <xf numFmtId="0" fontId="165" fillId="0" borderId="0" applyNumberFormat="0" applyFill="0" applyBorder="0" applyAlignment="0" applyProtection="0">
      <alignment vertical="top"/>
      <protection locked="0"/>
    </xf>
    <xf numFmtId="9" fontId="79" fillId="0" borderId="0" applyFont="0" applyFill="0" applyBorder="0" applyAlignment="0" applyProtection="0"/>
    <xf numFmtId="201" fontId="77" fillId="0" borderId="0" applyFont="0" applyFill="0" applyBorder="0" applyAlignment="0" applyProtection="0"/>
    <xf numFmtId="203" fontId="77" fillId="0" borderId="0" applyFont="0" applyFill="0" applyBorder="0" applyAlignment="0" applyProtection="0"/>
    <xf numFmtId="0" fontId="163" fillId="0" borderId="0"/>
    <xf numFmtId="0" fontId="166" fillId="0" borderId="0" applyNumberFormat="0" applyFill="0" applyBorder="0" applyAlignment="0" applyProtection="0">
      <alignment vertical="top"/>
      <protection locked="0"/>
    </xf>
    <xf numFmtId="49" fontId="164" fillId="0" borderId="0" applyProtection="0">
      <alignment horizontal="left"/>
    </xf>
    <xf numFmtId="0" fontId="17" fillId="0" borderId="0"/>
    <xf numFmtId="0" fontId="65" fillId="0" borderId="0"/>
    <xf numFmtId="0" fontId="167" fillId="0" borderId="0"/>
    <xf numFmtId="0" fontId="167" fillId="0" borderId="0"/>
    <xf numFmtId="0" fontId="16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9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7" fillId="0" borderId="0"/>
    <xf numFmtId="0" fontId="169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69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69" fillId="0" borderId="0"/>
    <xf numFmtId="0" fontId="167" fillId="0" borderId="0"/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2" fillId="0" borderId="0"/>
    <xf numFmtId="0" fontId="167" fillId="0" borderId="0"/>
    <xf numFmtId="0" fontId="167" fillId="0" borderId="0"/>
    <xf numFmtId="0" fontId="167" fillId="0" borderId="0"/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67" fillId="0" borderId="0"/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69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69" fillId="0" borderId="0"/>
    <xf numFmtId="0" fontId="17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69" fillId="0" borderId="0"/>
    <xf numFmtId="0" fontId="17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69" fillId="0" borderId="0"/>
    <xf numFmtId="0" fontId="170" fillId="0" borderId="0"/>
    <xf numFmtId="0" fontId="169" fillId="0" borderId="0"/>
    <xf numFmtId="0" fontId="2" fillId="0" borderId="0"/>
    <xf numFmtId="0" fontId="169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69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69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69" fillId="0" borderId="0"/>
    <xf numFmtId="0" fontId="17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69" fillId="0" borderId="0"/>
    <xf numFmtId="0" fontId="17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69" fillId="0" borderId="0"/>
    <xf numFmtId="0" fontId="170" fillId="0" borderId="0"/>
    <xf numFmtId="0" fontId="169" fillId="0" borderId="0"/>
    <xf numFmtId="0" fontId="2" fillId="0" borderId="0"/>
    <xf numFmtId="0" fontId="169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69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69" fillId="0" borderId="0"/>
    <xf numFmtId="0" fontId="169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69" fillId="0" borderId="0"/>
    <xf numFmtId="0" fontId="17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69" fillId="0" borderId="0"/>
    <xf numFmtId="0" fontId="17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69" fillId="0" borderId="0"/>
    <xf numFmtId="0" fontId="170" fillId="0" borderId="0"/>
    <xf numFmtId="0" fontId="169" fillId="0" borderId="0"/>
    <xf numFmtId="0" fontId="2" fillId="0" borderId="0"/>
    <xf numFmtId="0" fontId="169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69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69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69" fillId="0" borderId="0"/>
    <xf numFmtId="0" fontId="17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69" fillId="0" borderId="0"/>
    <xf numFmtId="0" fontId="17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69" fillId="0" borderId="0"/>
    <xf numFmtId="0" fontId="170" fillId="0" borderId="0"/>
    <xf numFmtId="0" fontId="169" fillId="0" borderId="0"/>
    <xf numFmtId="0" fontId="2" fillId="0" borderId="0"/>
    <xf numFmtId="0" fontId="169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69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69" fillId="0" borderId="0"/>
    <xf numFmtId="0" fontId="169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69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69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69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69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69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69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69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69" fillId="0" borderId="0"/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67" fillId="0" borderId="0"/>
    <xf numFmtId="0" fontId="167" fillId="0" borderId="0"/>
    <xf numFmtId="0" fontId="173" fillId="0" borderId="0"/>
    <xf numFmtId="0" fontId="173" fillId="0" borderId="0"/>
    <xf numFmtId="0" fontId="173" fillId="0" borderId="0"/>
    <xf numFmtId="0" fontId="167" fillId="0" borderId="0"/>
    <xf numFmtId="0" fontId="167" fillId="0" borderId="0"/>
    <xf numFmtId="0" fontId="167" fillId="0" borderId="0"/>
    <xf numFmtId="0" fontId="167" fillId="0" borderId="0"/>
    <xf numFmtId="0" fontId="167" fillId="0" borderId="0"/>
    <xf numFmtId="0" fontId="167" fillId="0" borderId="0"/>
    <xf numFmtId="0" fontId="167" fillId="0" borderId="0"/>
    <xf numFmtId="0" fontId="171" fillId="0" borderId="0">
      <alignment vertical="top"/>
    </xf>
    <xf numFmtId="0" fontId="171" fillId="0" borderId="0">
      <alignment vertical="top"/>
    </xf>
    <xf numFmtId="0" fontId="170" fillId="0" borderId="0"/>
    <xf numFmtId="0" fontId="170" fillId="0" borderId="0"/>
    <xf numFmtId="0" fontId="170" fillId="0" borderId="0"/>
    <xf numFmtId="0" fontId="170" fillId="0" borderId="0"/>
    <xf numFmtId="0" fontId="167" fillId="0" borderId="0"/>
    <xf numFmtId="0" fontId="167" fillId="0" borderId="0"/>
    <xf numFmtId="0" fontId="171" fillId="0" borderId="0">
      <alignment vertical="top"/>
    </xf>
    <xf numFmtId="0" fontId="171" fillId="0" borderId="0">
      <alignment vertical="top"/>
    </xf>
    <xf numFmtId="0" fontId="167" fillId="0" borderId="0"/>
    <xf numFmtId="0" fontId="167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7" fillId="0" borderId="0"/>
    <xf numFmtId="0" fontId="167" fillId="0" borderId="0"/>
    <xf numFmtId="0" fontId="167" fillId="0" borderId="0"/>
    <xf numFmtId="0" fontId="173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7" fillId="0" borderId="0"/>
    <xf numFmtId="221" fontId="174" fillId="0" borderId="0"/>
    <xf numFmtId="221" fontId="174" fillId="0" borderId="0"/>
    <xf numFmtId="0" fontId="17" fillId="0" borderId="0"/>
    <xf numFmtId="0" fontId="17" fillId="0" borderId="0"/>
    <xf numFmtId="0" fontId="167" fillId="0" borderId="0"/>
    <xf numFmtId="0" fontId="173" fillId="0" borderId="0"/>
    <xf numFmtId="0" fontId="170" fillId="0" borderId="0"/>
    <xf numFmtId="0" fontId="170" fillId="0" borderId="0"/>
    <xf numFmtId="221" fontId="174" fillId="0" borderId="0"/>
    <xf numFmtId="221" fontId="174" fillId="0" borderId="0"/>
    <xf numFmtId="0" fontId="170" fillId="0" borderId="0"/>
    <xf numFmtId="0" fontId="170" fillId="0" borderId="0"/>
    <xf numFmtId="0" fontId="167" fillId="0" borderId="0"/>
    <xf numFmtId="0" fontId="170" fillId="0" borderId="0"/>
    <xf numFmtId="0" fontId="170" fillId="0" borderId="0"/>
    <xf numFmtId="0" fontId="167" fillId="0" borderId="0"/>
    <xf numFmtId="0" fontId="173" fillId="0" borderId="0"/>
    <xf numFmtId="0" fontId="167" fillId="0" borderId="0"/>
    <xf numFmtId="0" fontId="167" fillId="0" borderId="0"/>
    <xf numFmtId="0" fontId="167" fillId="0" borderId="0"/>
    <xf numFmtId="0" fontId="167" fillId="0" borderId="0"/>
    <xf numFmtId="0" fontId="167" fillId="0" borderId="0"/>
    <xf numFmtId="0" fontId="167" fillId="0" borderId="0"/>
    <xf numFmtId="0" fontId="167" fillId="0" borderId="0"/>
    <xf numFmtId="0" fontId="167" fillId="0" borderId="0"/>
    <xf numFmtId="0" fontId="171" fillId="0" borderId="0">
      <alignment vertical="top"/>
    </xf>
    <xf numFmtId="0" fontId="167" fillId="0" borderId="0"/>
    <xf numFmtId="0" fontId="167" fillId="0" borderId="0"/>
    <xf numFmtId="0" fontId="75" fillId="0" borderId="0"/>
    <xf numFmtId="0" fontId="167" fillId="0" borderId="0"/>
    <xf numFmtId="0" fontId="167" fillId="0" borderId="0"/>
    <xf numFmtId="0" fontId="167" fillId="0" borderId="0"/>
    <xf numFmtId="0" fontId="17" fillId="0" borderId="0"/>
    <xf numFmtId="0" fontId="17" fillId="0" borderId="0"/>
    <xf numFmtId="0" fontId="91" fillId="0" borderId="0"/>
    <xf numFmtId="0" fontId="55" fillId="0" borderId="0"/>
    <xf numFmtId="0" fontId="17" fillId="0" borderId="0"/>
    <xf numFmtId="0" fontId="164" fillId="0" borderId="0"/>
    <xf numFmtId="0" fontId="55" fillId="0" borderId="0"/>
    <xf numFmtId="0" fontId="91" fillId="0" borderId="0"/>
    <xf numFmtId="0" fontId="164" fillId="0" borderId="0"/>
    <xf numFmtId="0" fontId="175" fillId="0" borderId="0"/>
    <xf numFmtId="0" fontId="167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67" fillId="0" borderId="0"/>
    <xf numFmtId="0" fontId="171" fillId="0" borderId="0">
      <alignment vertical="top"/>
    </xf>
    <xf numFmtId="0" fontId="173" fillId="0" borderId="0"/>
    <xf numFmtId="0" fontId="167" fillId="0" borderId="0"/>
    <xf numFmtId="0" fontId="167" fillId="0" borderId="0"/>
    <xf numFmtId="0" fontId="167" fillId="0" borderId="0"/>
    <xf numFmtId="0" fontId="167" fillId="0" borderId="0"/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67" fillId="0" borderId="0"/>
    <xf numFmtId="0" fontId="17" fillId="0" borderId="0"/>
    <xf numFmtId="0" fontId="167" fillId="0" borderId="0"/>
    <xf numFmtId="0" fontId="176" fillId="0" borderId="0"/>
    <xf numFmtId="0" fontId="167" fillId="0" borderId="0"/>
    <xf numFmtId="0" fontId="17" fillId="0" borderId="0"/>
    <xf numFmtId="0" fontId="167" fillId="0" borderId="0"/>
    <xf numFmtId="0" fontId="167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" fillId="0" borderId="0"/>
    <xf numFmtId="0" fontId="17" fillId="0" borderId="0"/>
    <xf numFmtId="0" fontId="167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7" fillId="0" borderId="0"/>
    <xf numFmtId="0" fontId="168" fillId="0" borderId="0"/>
    <xf numFmtId="0" fontId="167" fillId="0" borderId="0"/>
    <xf numFmtId="0" fontId="17" fillId="0" borderId="0"/>
    <xf numFmtId="0" fontId="17" fillId="0" borderId="0"/>
    <xf numFmtId="0" fontId="167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3" fillId="0" borderId="0"/>
    <xf numFmtId="0" fontId="173" fillId="0" borderId="0"/>
    <xf numFmtId="0" fontId="167" fillId="0" borderId="0"/>
    <xf numFmtId="0" fontId="167" fillId="0" borderId="0"/>
    <xf numFmtId="0" fontId="167" fillId="0" borderId="0"/>
    <xf numFmtId="0" fontId="173" fillId="0" borderId="0"/>
    <xf numFmtId="0" fontId="173" fillId="0" borderId="0"/>
    <xf numFmtId="0" fontId="177" fillId="0" borderId="0"/>
    <xf numFmtId="0" fontId="178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8" fillId="0" borderId="0"/>
    <xf numFmtId="0" fontId="177" fillId="0" borderId="0"/>
    <xf numFmtId="0" fontId="177" fillId="0" borderId="0"/>
    <xf numFmtId="38" fontId="177" fillId="0" borderId="0"/>
    <xf numFmtId="38" fontId="178" fillId="0" borderId="0"/>
    <xf numFmtId="38" fontId="177" fillId="0" borderId="0"/>
    <xf numFmtId="38" fontId="177" fillId="0" borderId="0"/>
    <xf numFmtId="38" fontId="177" fillId="0" borderId="0"/>
    <xf numFmtId="38" fontId="177" fillId="0" borderId="0"/>
    <xf numFmtId="38" fontId="177" fillId="0" borderId="0"/>
    <xf numFmtId="38" fontId="177" fillId="0" borderId="0"/>
    <xf numFmtId="38" fontId="177" fillId="0" borderId="0"/>
    <xf numFmtId="38" fontId="177" fillId="0" borderId="0"/>
    <xf numFmtId="38" fontId="177" fillId="0" borderId="0"/>
    <xf numFmtId="38" fontId="177" fillId="0" borderId="0"/>
    <xf numFmtId="38" fontId="177" fillId="0" borderId="0"/>
    <xf numFmtId="38" fontId="177" fillId="0" borderId="0"/>
    <xf numFmtId="38" fontId="177" fillId="0" borderId="0"/>
    <xf numFmtId="38" fontId="178" fillId="0" borderId="0"/>
    <xf numFmtId="38" fontId="177" fillId="0" borderId="0"/>
    <xf numFmtId="38" fontId="177" fillId="0" borderId="0"/>
    <xf numFmtId="38" fontId="177" fillId="0" borderId="0"/>
    <xf numFmtId="38" fontId="177" fillId="0" borderId="0"/>
    <xf numFmtId="38" fontId="177" fillId="0" borderId="0"/>
    <xf numFmtId="38" fontId="177" fillId="0" borderId="0"/>
    <xf numFmtId="38" fontId="177" fillId="0" borderId="0"/>
    <xf numFmtId="38" fontId="177" fillId="0" borderId="0"/>
    <xf numFmtId="38" fontId="177" fillId="0" borderId="0"/>
    <xf numFmtId="38" fontId="2" fillId="0" borderId="0"/>
    <xf numFmtId="38" fontId="177" fillId="0" borderId="0"/>
    <xf numFmtId="38" fontId="2" fillId="0" borderId="0"/>
    <xf numFmtId="38" fontId="2" fillId="0" borderId="0"/>
    <xf numFmtId="38" fontId="2" fillId="0" borderId="0"/>
    <xf numFmtId="38" fontId="2" fillId="0" borderId="0"/>
    <xf numFmtId="38" fontId="2" fillId="0" borderId="0"/>
    <xf numFmtId="38" fontId="2" fillId="0" borderId="0"/>
    <xf numFmtId="38" fontId="2" fillId="0" borderId="0"/>
    <xf numFmtId="38" fontId="2" fillId="0" borderId="0"/>
    <xf numFmtId="38" fontId="2" fillId="0" borderId="0"/>
    <xf numFmtId="38" fontId="2" fillId="0" borderId="0"/>
    <xf numFmtId="38" fontId="2" fillId="0" borderId="0"/>
    <xf numFmtId="38" fontId="2" fillId="0" borderId="0"/>
    <xf numFmtId="38" fontId="2" fillId="0" borderId="0"/>
    <xf numFmtId="38" fontId="2" fillId="0" borderId="0"/>
    <xf numFmtId="38" fontId="177" fillId="0" borderId="0"/>
    <xf numFmtId="38" fontId="2" fillId="0" borderId="0"/>
    <xf numFmtId="38" fontId="2" fillId="0" borderId="0"/>
    <xf numFmtId="38" fontId="178" fillId="0" borderId="0"/>
    <xf numFmtId="38" fontId="178" fillId="0" borderId="0"/>
    <xf numFmtId="38" fontId="177" fillId="0" borderId="0"/>
    <xf numFmtId="38" fontId="177" fillId="0" borderId="0"/>
    <xf numFmtId="38" fontId="177" fillId="0" borderId="0"/>
    <xf numFmtId="38" fontId="177" fillId="0" borderId="0"/>
    <xf numFmtId="38" fontId="177" fillId="0" borderId="0"/>
    <xf numFmtId="38" fontId="177" fillId="0" borderId="0"/>
    <xf numFmtId="38" fontId="178" fillId="0" borderId="0"/>
    <xf numFmtId="38" fontId="177" fillId="0" borderId="0"/>
    <xf numFmtId="38" fontId="177" fillId="0" borderId="0"/>
    <xf numFmtId="38" fontId="178" fillId="0" borderId="0"/>
    <xf numFmtId="38" fontId="178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2" fillId="0" borderId="0"/>
    <xf numFmtId="0" fontId="17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7" fillId="0" borderId="0"/>
    <xf numFmtId="0" fontId="2" fillId="0" borderId="0"/>
    <xf numFmtId="0" fontId="2" fillId="0" borderId="0"/>
    <xf numFmtId="0" fontId="178" fillId="0" borderId="0"/>
    <xf numFmtId="0" fontId="178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7" fillId="0" borderId="0"/>
    <xf numFmtId="0" fontId="178" fillId="0" borderId="0"/>
    <xf numFmtId="0" fontId="177" fillId="0" borderId="0"/>
    <xf numFmtId="0" fontId="177" fillId="0" borderId="0"/>
    <xf numFmtId="0" fontId="17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67" fillId="0" borderId="0"/>
    <xf numFmtId="0" fontId="167" fillId="0" borderId="0"/>
    <xf numFmtId="0" fontId="169" fillId="0" borderId="0"/>
    <xf numFmtId="0" fontId="17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69" fillId="0" borderId="0"/>
    <xf numFmtId="0" fontId="171" fillId="0" borderId="0">
      <alignment vertical="top"/>
    </xf>
    <xf numFmtId="0" fontId="171" fillId="0" borderId="0">
      <alignment vertical="top"/>
    </xf>
    <xf numFmtId="0" fontId="167" fillId="0" borderId="0"/>
    <xf numFmtId="0" fontId="167" fillId="0" borderId="0"/>
    <xf numFmtId="0" fontId="171" fillId="0" borderId="0">
      <alignment vertical="top"/>
    </xf>
    <xf numFmtId="0" fontId="171" fillId="0" borderId="0">
      <alignment vertical="top"/>
    </xf>
    <xf numFmtId="0" fontId="170" fillId="0" borderId="0"/>
    <xf numFmtId="0" fontId="170" fillId="0" borderId="0"/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67" fillId="0" borderId="0"/>
    <xf numFmtId="0" fontId="17" fillId="0" borderId="0"/>
    <xf numFmtId="0" fontId="17" fillId="0" borderId="0"/>
    <xf numFmtId="0" fontId="167" fillId="0" borderId="0"/>
    <xf numFmtId="0" fontId="173" fillId="0" borderId="0"/>
    <xf numFmtId="222" fontId="2" fillId="0" borderId="0" applyFont="0" applyFill="0" applyBorder="0" applyAlignment="0" applyProtection="0"/>
    <xf numFmtId="0" fontId="75" fillId="0" borderId="0"/>
    <xf numFmtId="0" fontId="173" fillId="0" borderId="0"/>
    <xf numFmtId="223" fontId="2" fillId="0" borderId="0" applyFont="0" applyFill="0" applyBorder="0" applyAlignment="0" applyProtection="0"/>
    <xf numFmtId="222" fontId="2" fillId="0" borderId="0" applyFont="0" applyFill="0" applyBorder="0" applyAlignment="0" applyProtection="0"/>
    <xf numFmtId="0" fontId="167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69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69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69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69" fillId="0" borderId="0"/>
    <xf numFmtId="0" fontId="167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69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69" fillId="0" borderId="0"/>
    <xf numFmtId="0" fontId="2" fillId="0" borderId="0"/>
    <xf numFmtId="0" fontId="17" fillId="0" borderId="0"/>
    <xf numFmtId="0" fontId="173" fillId="0" borderId="0"/>
    <xf numFmtId="0" fontId="167" fillId="0" borderId="0"/>
    <xf numFmtId="0" fontId="17" fillId="0" borderId="0"/>
    <xf numFmtId="0" fontId="17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69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69" fillId="0" borderId="0"/>
    <xf numFmtId="0" fontId="167" fillId="0" borderId="0"/>
    <xf numFmtId="0" fontId="167" fillId="0" borderId="0"/>
    <xf numFmtId="0" fontId="167" fillId="0" borderId="0"/>
    <xf numFmtId="0" fontId="167" fillId="0" borderId="0"/>
    <xf numFmtId="0" fontId="167" fillId="0" borderId="0"/>
    <xf numFmtId="0" fontId="167" fillId="0" borderId="0"/>
    <xf numFmtId="0" fontId="167" fillId="0" borderId="0"/>
    <xf numFmtId="0" fontId="167" fillId="0" borderId="0"/>
    <xf numFmtId="0" fontId="171" fillId="0" borderId="0">
      <alignment vertical="top"/>
    </xf>
    <xf numFmtId="0" fontId="167" fillId="0" borderId="0"/>
    <xf numFmtId="0" fontId="169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69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69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69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69" fillId="0" borderId="0"/>
    <xf numFmtId="0" fontId="167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69" fillId="0" borderId="0"/>
    <xf numFmtId="0" fontId="169" fillId="0" borderId="0"/>
    <xf numFmtId="0" fontId="169" fillId="0" borderId="0"/>
    <xf numFmtId="0" fontId="169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69" fillId="0" borderId="0"/>
    <xf numFmtId="0" fontId="169" fillId="0" borderId="0"/>
    <xf numFmtId="0" fontId="169" fillId="0" borderId="0"/>
    <xf numFmtId="0" fontId="169" fillId="0" borderId="0"/>
    <xf numFmtId="0" fontId="17" fillId="0" borderId="0"/>
    <xf numFmtId="0" fontId="17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6" fillId="0" borderId="0"/>
    <xf numFmtId="0" fontId="167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3" fillId="0" borderId="0"/>
    <xf numFmtId="0" fontId="173" fillId="0" borderId="0"/>
    <xf numFmtId="0" fontId="167" fillId="0" borderId="0"/>
    <xf numFmtId="221" fontId="174" fillId="0" borderId="0"/>
    <xf numFmtId="0" fontId="173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69" fillId="0" borderId="0"/>
    <xf numFmtId="0" fontId="169" fillId="0" borderId="0"/>
    <xf numFmtId="0" fontId="173" fillId="0" borderId="0"/>
    <xf numFmtId="0" fontId="173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69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69" fillId="0" borderId="0"/>
    <xf numFmtId="0" fontId="167" fillId="0" borderId="0"/>
    <xf numFmtId="0" fontId="17" fillId="0" borderId="0"/>
    <xf numFmtId="0" fontId="17" fillId="0" borderId="0"/>
    <xf numFmtId="0" fontId="167" fillId="0" borderId="0"/>
    <xf numFmtId="0" fontId="167" fillId="0" borderId="0"/>
    <xf numFmtId="0" fontId="171" fillId="0" borderId="0">
      <alignment vertical="top"/>
    </xf>
    <xf numFmtId="0" fontId="173" fillId="0" borderId="0"/>
    <xf numFmtId="0" fontId="173" fillId="0" borderId="0"/>
    <xf numFmtId="0" fontId="173" fillId="0" borderId="0"/>
    <xf numFmtId="0" fontId="170" fillId="0" borderId="0"/>
    <xf numFmtId="0" fontId="169" fillId="0" borderId="0"/>
    <xf numFmtId="0" fontId="169" fillId="0" borderId="0"/>
    <xf numFmtId="0" fontId="169" fillId="0" borderId="0"/>
    <xf numFmtId="0" fontId="169" fillId="0" borderId="0"/>
    <xf numFmtId="0" fontId="169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69" fillId="0" borderId="0"/>
    <xf numFmtId="0" fontId="169" fillId="0" borderId="0"/>
    <xf numFmtId="0" fontId="169" fillId="0" borderId="0"/>
    <xf numFmtId="0" fontId="167" fillId="0" borderId="0"/>
    <xf numFmtId="0" fontId="167" fillId="0" borderId="0"/>
    <xf numFmtId="0" fontId="170" fillId="0" borderId="0"/>
    <xf numFmtId="0" fontId="169" fillId="0" borderId="0"/>
    <xf numFmtId="0" fontId="169" fillId="0" borderId="0"/>
    <xf numFmtId="0" fontId="170" fillId="0" borderId="0"/>
    <xf numFmtId="0" fontId="167" fillId="0" borderId="0"/>
    <xf numFmtId="0" fontId="167" fillId="0" borderId="0"/>
    <xf numFmtId="0" fontId="167" fillId="0" borderId="0"/>
    <xf numFmtId="0" fontId="169" fillId="0" borderId="0"/>
    <xf numFmtId="0" fontId="170" fillId="0" borderId="0"/>
    <xf numFmtId="0" fontId="170" fillId="0" borderId="0"/>
    <xf numFmtId="0" fontId="171" fillId="0" borderId="0">
      <alignment vertical="top"/>
    </xf>
    <xf numFmtId="0" fontId="169" fillId="0" borderId="0"/>
    <xf numFmtId="0" fontId="167" fillId="0" borderId="0"/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67" fillId="0" borderId="0"/>
    <xf numFmtId="0" fontId="17" fillId="0" borderId="0"/>
    <xf numFmtId="0" fontId="17" fillId="0" borderId="0"/>
    <xf numFmtId="0" fontId="169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69" fillId="0" borderId="0"/>
    <xf numFmtId="0" fontId="170" fillId="0" borderId="0"/>
    <xf numFmtId="0" fontId="170" fillId="0" borderId="0"/>
    <xf numFmtId="0" fontId="170" fillId="0" borderId="0"/>
    <xf numFmtId="0" fontId="179" fillId="0" borderId="0"/>
    <xf numFmtId="0" fontId="180" fillId="0" borderId="0"/>
    <xf numFmtId="0" fontId="179" fillId="0" borderId="0"/>
    <xf numFmtId="0" fontId="179" fillId="0" borderId="0"/>
    <xf numFmtId="0" fontId="179" fillId="0" borderId="0"/>
    <xf numFmtId="0" fontId="179" fillId="0" borderId="0"/>
    <xf numFmtId="0" fontId="179" fillId="0" borderId="0"/>
    <xf numFmtId="0" fontId="179" fillId="0" borderId="0"/>
    <xf numFmtId="0" fontId="179" fillId="0" borderId="0"/>
    <xf numFmtId="0" fontId="179" fillId="0" borderId="0"/>
    <xf numFmtId="0" fontId="179" fillId="0" borderId="0"/>
    <xf numFmtId="0" fontId="179" fillId="0" borderId="0"/>
    <xf numFmtId="0" fontId="179" fillId="0" borderId="0"/>
    <xf numFmtId="0" fontId="179" fillId="0" borderId="0"/>
    <xf numFmtId="0" fontId="179" fillId="0" borderId="0"/>
    <xf numFmtId="0" fontId="180" fillId="0" borderId="0"/>
    <xf numFmtId="0" fontId="179" fillId="0" borderId="0"/>
    <xf numFmtId="0" fontId="179" fillId="0" borderId="0"/>
    <xf numFmtId="38" fontId="179" fillId="0" borderId="0"/>
    <xf numFmtId="38" fontId="180" fillId="0" borderId="0"/>
    <xf numFmtId="38" fontId="179" fillId="0" borderId="0"/>
    <xf numFmtId="38" fontId="179" fillId="0" borderId="0"/>
    <xf numFmtId="38" fontId="179" fillId="0" borderId="0"/>
    <xf numFmtId="38" fontId="179" fillId="0" borderId="0"/>
    <xf numFmtId="38" fontId="179" fillId="0" borderId="0"/>
    <xf numFmtId="38" fontId="179" fillId="0" borderId="0"/>
    <xf numFmtId="38" fontId="179" fillId="0" borderId="0"/>
    <xf numFmtId="38" fontId="179" fillId="0" borderId="0"/>
    <xf numFmtId="38" fontId="179" fillId="0" borderId="0"/>
    <xf numFmtId="38" fontId="179" fillId="0" borderId="0"/>
    <xf numFmtId="38" fontId="179" fillId="0" borderId="0"/>
    <xf numFmtId="38" fontId="179" fillId="0" borderId="0"/>
    <xf numFmtId="38" fontId="179" fillId="0" borderId="0"/>
    <xf numFmtId="38" fontId="180" fillId="0" borderId="0"/>
    <xf numFmtId="38" fontId="179" fillId="0" borderId="0"/>
    <xf numFmtId="38" fontId="179" fillId="0" borderId="0"/>
    <xf numFmtId="38" fontId="179" fillId="0" borderId="0"/>
    <xf numFmtId="38" fontId="179" fillId="0" borderId="0"/>
    <xf numFmtId="38" fontId="179" fillId="0" borderId="0"/>
    <xf numFmtId="38" fontId="179" fillId="0" borderId="0"/>
    <xf numFmtId="38" fontId="179" fillId="0" borderId="0"/>
    <xf numFmtId="38" fontId="179" fillId="0" borderId="0"/>
    <xf numFmtId="38" fontId="179" fillId="0" borderId="0"/>
    <xf numFmtId="38" fontId="2" fillId="0" borderId="0"/>
    <xf numFmtId="38" fontId="179" fillId="0" borderId="0"/>
    <xf numFmtId="38" fontId="2" fillId="0" borderId="0"/>
    <xf numFmtId="38" fontId="2" fillId="0" borderId="0"/>
    <xf numFmtId="38" fontId="2" fillId="0" borderId="0"/>
    <xf numFmtId="38" fontId="2" fillId="0" borderId="0"/>
    <xf numFmtId="38" fontId="2" fillId="0" borderId="0"/>
    <xf numFmtId="38" fontId="2" fillId="0" borderId="0"/>
    <xf numFmtId="38" fontId="2" fillId="0" borderId="0"/>
    <xf numFmtId="38" fontId="2" fillId="0" borderId="0"/>
    <xf numFmtId="38" fontId="2" fillId="0" borderId="0"/>
    <xf numFmtId="38" fontId="2" fillId="0" borderId="0"/>
    <xf numFmtId="38" fontId="2" fillId="0" borderId="0"/>
    <xf numFmtId="38" fontId="2" fillId="0" borderId="0"/>
    <xf numFmtId="38" fontId="2" fillId="0" borderId="0"/>
    <xf numFmtId="38" fontId="2" fillId="0" borderId="0"/>
    <xf numFmtId="38" fontId="179" fillId="0" borderId="0"/>
    <xf numFmtId="38" fontId="2" fillId="0" borderId="0"/>
    <xf numFmtId="38" fontId="2" fillId="0" borderId="0"/>
    <xf numFmtId="38" fontId="180" fillId="0" borderId="0"/>
    <xf numFmtId="38" fontId="180" fillId="0" borderId="0"/>
    <xf numFmtId="38" fontId="179" fillId="0" borderId="0"/>
    <xf numFmtId="38" fontId="179" fillId="0" borderId="0"/>
    <xf numFmtId="38" fontId="179" fillId="0" borderId="0"/>
    <xf numFmtId="38" fontId="179" fillId="0" borderId="0"/>
    <xf numFmtId="38" fontId="179" fillId="0" borderId="0"/>
    <xf numFmtId="38" fontId="179" fillId="0" borderId="0"/>
    <xf numFmtId="38" fontId="180" fillId="0" borderId="0"/>
    <xf numFmtId="38" fontId="179" fillId="0" borderId="0"/>
    <xf numFmtId="38" fontId="179" fillId="0" borderId="0"/>
    <xf numFmtId="38" fontId="180" fillId="0" borderId="0"/>
    <xf numFmtId="38" fontId="180" fillId="0" borderId="0"/>
    <xf numFmtId="0" fontId="179" fillId="0" borderId="0"/>
    <xf numFmtId="0" fontId="179" fillId="0" borderId="0"/>
    <xf numFmtId="0" fontId="179" fillId="0" borderId="0"/>
    <xf numFmtId="0" fontId="179" fillId="0" borderId="0"/>
    <xf numFmtId="0" fontId="179" fillId="0" borderId="0"/>
    <xf numFmtId="0" fontId="179" fillId="0" borderId="0"/>
    <xf numFmtId="0" fontId="179" fillId="0" borderId="0"/>
    <xf numFmtId="0" fontId="2" fillId="0" borderId="0"/>
    <xf numFmtId="0" fontId="17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9" fillId="0" borderId="0"/>
    <xf numFmtId="0" fontId="2" fillId="0" borderId="0"/>
    <xf numFmtId="0" fontId="2" fillId="0" borderId="0"/>
    <xf numFmtId="0" fontId="180" fillId="0" borderId="0"/>
    <xf numFmtId="0" fontId="180" fillId="0" borderId="0"/>
    <xf numFmtId="0" fontId="179" fillId="0" borderId="0"/>
    <xf numFmtId="0" fontId="179" fillId="0" borderId="0"/>
    <xf numFmtId="0" fontId="179" fillId="0" borderId="0"/>
    <xf numFmtId="0" fontId="179" fillId="0" borderId="0"/>
    <xf numFmtId="0" fontId="179" fillId="0" borderId="0"/>
    <xf numFmtId="0" fontId="179" fillId="0" borderId="0"/>
    <xf numFmtId="0" fontId="180" fillId="0" borderId="0"/>
    <xf numFmtId="0" fontId="179" fillId="0" borderId="0"/>
    <xf numFmtId="0" fontId="179" fillId="0" borderId="0"/>
    <xf numFmtId="0" fontId="169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69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69" fillId="0" borderId="0"/>
    <xf numFmtId="0" fontId="171" fillId="0" borderId="0">
      <alignment vertical="top"/>
    </xf>
    <xf numFmtId="0" fontId="167" fillId="0" borderId="0"/>
    <xf numFmtId="0" fontId="171" fillId="0" borderId="0">
      <alignment vertical="top"/>
    </xf>
    <xf numFmtId="0" fontId="167" fillId="0" borderId="0"/>
    <xf numFmtId="0" fontId="167" fillId="0" borderId="0"/>
    <xf numFmtId="0" fontId="167" fillId="0" borderId="0"/>
    <xf numFmtId="0" fontId="167" fillId="0" borderId="0"/>
    <xf numFmtId="0" fontId="167" fillId="0" borderId="0"/>
    <xf numFmtId="0" fontId="167" fillId="0" borderId="0"/>
    <xf numFmtId="0" fontId="167" fillId="0" borderId="0"/>
    <xf numFmtId="0" fontId="171" fillId="0" borderId="0">
      <alignment vertical="top"/>
    </xf>
    <xf numFmtId="0" fontId="169" fillId="0" borderId="0"/>
    <xf numFmtId="0" fontId="170" fillId="0" borderId="0"/>
    <xf numFmtId="0" fontId="170" fillId="0" borderId="0"/>
    <xf numFmtId="0" fontId="167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81" fillId="0" borderId="0" applyNumberFormat="0" applyFill="0" applyBorder="0" applyAlignment="0" applyProtection="0"/>
    <xf numFmtId="0" fontId="167" fillId="0" borderId="0"/>
    <xf numFmtId="0" fontId="171" fillId="0" borderId="0">
      <alignment vertical="top"/>
    </xf>
    <xf numFmtId="0" fontId="171" fillId="0" borderId="0">
      <alignment vertical="top"/>
    </xf>
    <xf numFmtId="0" fontId="167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69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69" fillId="0" borderId="0"/>
    <xf numFmtId="0" fontId="17" fillId="0" borderId="0"/>
    <xf numFmtId="0" fontId="171" fillId="0" borderId="0">
      <alignment vertical="top"/>
    </xf>
    <xf numFmtId="0" fontId="171" fillId="0" borderId="0">
      <alignment vertical="top"/>
    </xf>
    <xf numFmtId="201" fontId="72" fillId="0" borderId="0" applyFont="0" applyFill="0" applyBorder="0" applyAlignment="0" applyProtection="0"/>
    <xf numFmtId="0" fontId="17" fillId="0" borderId="0"/>
    <xf numFmtId="0" fontId="173" fillId="0" borderId="0"/>
    <xf numFmtId="0" fontId="167" fillId="0" borderId="0"/>
    <xf numFmtId="0" fontId="167" fillId="0" borderId="0"/>
    <xf numFmtId="0" fontId="17" fillId="0" borderId="0"/>
    <xf numFmtId="0" fontId="17" fillId="0" borderId="0"/>
    <xf numFmtId="201" fontId="75" fillId="0" borderId="0" applyFont="0" applyFill="0" applyBorder="0" applyAlignment="0" applyProtection="0"/>
    <xf numFmtId="203" fontId="72" fillId="0" borderId="0" applyFont="0" applyFill="0" applyBorder="0" applyAlignment="0" applyProtection="0"/>
    <xf numFmtId="201" fontId="72" fillId="0" borderId="0" applyFont="0" applyFill="0" applyBorder="0" applyAlignment="0" applyProtection="0"/>
    <xf numFmtId="0" fontId="167" fillId="0" borderId="0"/>
    <xf numFmtId="0" fontId="171" fillId="0" borderId="0">
      <alignment vertical="top"/>
    </xf>
    <xf numFmtId="0" fontId="170" fillId="0" borderId="0"/>
    <xf numFmtId="0" fontId="170" fillId="0" borderId="0"/>
    <xf numFmtId="0" fontId="167" fillId="0" borderId="0"/>
    <xf numFmtId="0" fontId="17" fillId="0" borderId="0"/>
    <xf numFmtId="0" fontId="17" fillId="0" borderId="0"/>
    <xf numFmtId="0" fontId="171" fillId="0" borderId="0">
      <alignment vertical="top"/>
    </xf>
    <xf numFmtId="0" fontId="167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69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69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69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69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69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69" fillId="0" borderId="0"/>
    <xf numFmtId="0" fontId="17" fillId="0" borderId="0"/>
    <xf numFmtId="0" fontId="17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69" fillId="0" borderId="0"/>
    <xf numFmtId="0" fontId="169" fillId="0" borderId="0"/>
    <xf numFmtId="0" fontId="169" fillId="0" borderId="0"/>
    <xf numFmtId="0" fontId="169" fillId="0" borderId="0"/>
    <xf numFmtId="0" fontId="167" fillId="0" borderId="0"/>
    <xf numFmtId="0" fontId="17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3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69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69" fillId="0" borderId="0"/>
    <xf numFmtId="0" fontId="17" fillId="0" borderId="0"/>
    <xf numFmtId="0" fontId="17" fillId="0" borderId="0"/>
    <xf numFmtId="0" fontId="167" fillId="0" borderId="0"/>
    <xf numFmtId="0" fontId="171" fillId="0" borderId="0">
      <alignment vertical="top"/>
    </xf>
    <xf numFmtId="0" fontId="170" fillId="0" borderId="0"/>
    <xf numFmtId="0" fontId="170" fillId="0" borderId="0"/>
    <xf numFmtId="0" fontId="170" fillId="0" borderId="0"/>
    <xf numFmtId="0" fontId="170" fillId="0" borderId="0"/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" fillId="0" borderId="0"/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67" fillId="0" borderId="0"/>
    <xf numFmtId="0" fontId="167" fillId="0" borderId="0"/>
    <xf numFmtId="0" fontId="167" fillId="0" borderId="0"/>
    <xf numFmtId="0" fontId="171" fillId="0" borderId="0">
      <alignment vertical="top"/>
    </xf>
    <xf numFmtId="224" fontId="2" fillId="0" borderId="0" applyFont="0" applyFill="0" applyBorder="0" applyAlignment="0" applyProtection="0"/>
    <xf numFmtId="225" fontId="2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67" fillId="0" borderId="0"/>
    <xf numFmtId="0" fontId="173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" fillId="0" borderId="0"/>
    <xf numFmtId="0" fontId="17" fillId="0" borderId="0"/>
    <xf numFmtId="0" fontId="170" fillId="0" borderId="0"/>
    <xf numFmtId="0" fontId="170" fillId="0" borderId="0"/>
    <xf numFmtId="0" fontId="167" fillId="0" borderId="0"/>
    <xf numFmtId="0" fontId="167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69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69" fillId="0" borderId="0"/>
    <xf numFmtId="0" fontId="17" fillId="0" borderId="0"/>
    <xf numFmtId="0" fontId="169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69" fillId="0" borderId="0"/>
    <xf numFmtId="0" fontId="17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69" fillId="0" borderId="0"/>
    <xf numFmtId="0" fontId="17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69" fillId="0" borderId="0"/>
    <xf numFmtId="0" fontId="170" fillId="0" borderId="0"/>
    <xf numFmtId="0" fontId="169" fillId="0" borderId="0"/>
    <xf numFmtId="0" fontId="2" fillId="0" borderId="0"/>
    <xf numFmtId="0" fontId="169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69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69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69" fillId="0" borderId="0"/>
    <xf numFmtId="0" fontId="17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69" fillId="0" borderId="0"/>
    <xf numFmtId="0" fontId="17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69" fillId="0" borderId="0"/>
    <xf numFmtId="0" fontId="170" fillId="0" borderId="0"/>
    <xf numFmtId="0" fontId="169" fillId="0" borderId="0"/>
    <xf numFmtId="0" fontId="2" fillId="0" borderId="0"/>
    <xf numFmtId="0" fontId="169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69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69" fillId="0" borderId="0"/>
    <xf numFmtId="0" fontId="169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69" fillId="0" borderId="0"/>
    <xf numFmtId="0" fontId="17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69" fillId="0" borderId="0"/>
    <xf numFmtId="0" fontId="17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69" fillId="0" borderId="0"/>
    <xf numFmtId="0" fontId="170" fillId="0" borderId="0"/>
    <xf numFmtId="0" fontId="169" fillId="0" borderId="0"/>
    <xf numFmtId="0" fontId="2" fillId="0" borderId="0"/>
    <xf numFmtId="0" fontId="169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69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69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69" fillId="0" borderId="0"/>
    <xf numFmtId="0" fontId="17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69" fillId="0" borderId="0"/>
    <xf numFmtId="0" fontId="17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69" fillId="0" borderId="0"/>
    <xf numFmtId="0" fontId="170" fillId="0" borderId="0"/>
    <xf numFmtId="0" fontId="169" fillId="0" borderId="0"/>
    <xf numFmtId="0" fontId="2" fillId="0" borderId="0"/>
    <xf numFmtId="0" fontId="169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69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69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69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69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69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69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69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69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69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69" fillId="0" borderId="0"/>
    <xf numFmtId="0" fontId="173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69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69" fillId="0" borderId="0"/>
    <xf numFmtId="0" fontId="171" fillId="0" borderId="0">
      <alignment vertical="top"/>
    </xf>
    <xf numFmtId="0" fontId="167" fillId="0" borderId="0"/>
    <xf numFmtId="0" fontId="167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69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69" fillId="0" borderId="0"/>
    <xf numFmtId="0" fontId="17" fillId="0" borderId="0"/>
    <xf numFmtId="0" fontId="170" fillId="0" borderId="0"/>
    <xf numFmtId="0" fontId="170" fillId="0" borderId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9" fillId="0" borderId="0"/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67" fillId="0" borderId="0"/>
    <xf numFmtId="0" fontId="167" fillId="0" borderId="0"/>
    <xf numFmtId="226" fontId="2" fillId="0" borderId="0" applyFont="0" applyFill="0" applyBorder="0" applyAlignment="0" applyProtection="0"/>
    <xf numFmtId="227" fontId="2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7" fillId="0" borderId="0"/>
    <xf numFmtId="0" fontId="167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69" fillId="0" borderId="0"/>
    <xf numFmtId="0" fontId="169" fillId="0" borderId="0"/>
    <xf numFmtId="0" fontId="169" fillId="0" borderId="0"/>
    <xf numFmtId="0" fontId="169" fillId="0" borderId="0"/>
    <xf numFmtId="0" fontId="182" fillId="0" borderId="0"/>
    <xf numFmtId="0" fontId="183" fillId="0" borderId="0"/>
    <xf numFmtId="0" fontId="182" fillId="0" borderId="0"/>
    <xf numFmtId="0" fontId="182" fillId="0" borderId="0"/>
    <xf numFmtId="0" fontId="182" fillId="0" borderId="0"/>
    <xf numFmtId="0" fontId="182" fillId="0" borderId="0"/>
    <xf numFmtId="0" fontId="182" fillId="0" borderId="0"/>
    <xf numFmtId="0" fontId="182" fillId="0" borderId="0"/>
    <xf numFmtId="0" fontId="182" fillId="0" borderId="0"/>
    <xf numFmtId="0" fontId="182" fillId="0" borderId="0"/>
    <xf numFmtId="0" fontId="182" fillId="0" borderId="0"/>
    <xf numFmtId="0" fontId="182" fillId="0" borderId="0"/>
    <xf numFmtId="0" fontId="182" fillId="0" borderId="0"/>
    <xf numFmtId="0" fontId="182" fillId="0" borderId="0"/>
    <xf numFmtId="0" fontId="182" fillId="0" borderId="0"/>
    <xf numFmtId="0" fontId="183" fillId="0" borderId="0"/>
    <xf numFmtId="0" fontId="182" fillId="0" borderId="0"/>
    <xf numFmtId="0" fontId="182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7" fillId="0" borderId="0"/>
    <xf numFmtId="38" fontId="183" fillId="0" borderId="0"/>
    <xf numFmtId="38" fontId="183" fillId="0" borderId="0"/>
    <xf numFmtId="0" fontId="182" fillId="0" borderId="0"/>
    <xf numFmtId="0" fontId="182" fillId="0" borderId="0"/>
    <xf numFmtId="228" fontId="184" fillId="0" borderId="0"/>
    <xf numFmtId="228" fontId="185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5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5" fillId="0" borderId="0"/>
    <xf numFmtId="228" fontId="185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0" fontId="2" fillId="0" borderId="0"/>
    <xf numFmtId="228" fontId="18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28" fontId="184" fillId="0" borderId="0"/>
    <xf numFmtId="228" fontId="18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28" fontId="184" fillId="0" borderId="0"/>
    <xf numFmtId="0" fontId="2" fillId="0" borderId="0"/>
    <xf numFmtId="0" fontId="2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0" fontId="2" fillId="0" borderId="0"/>
    <xf numFmtId="228" fontId="18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28" fontId="184" fillId="0" borderId="0"/>
    <xf numFmtId="228" fontId="18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28" fontId="184" fillId="0" borderId="0"/>
    <xf numFmtId="0" fontId="2" fillId="0" borderId="0"/>
    <xf numFmtId="0" fontId="2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5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5" fillId="0" borderId="0"/>
    <xf numFmtId="228" fontId="185" fillId="0" borderId="0"/>
    <xf numFmtId="0" fontId="2" fillId="0" borderId="0"/>
    <xf numFmtId="228" fontId="18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28" fontId="184" fillId="0" borderId="0"/>
    <xf numFmtId="0" fontId="2" fillId="0" borderId="0"/>
    <xf numFmtId="0" fontId="2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0" fontId="2" fillId="0" borderId="0"/>
    <xf numFmtId="228" fontId="18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28" fontId="184" fillId="0" borderId="0"/>
    <xf numFmtId="228" fontId="18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28" fontId="184" fillId="0" borderId="0"/>
    <xf numFmtId="0" fontId="2" fillId="0" borderId="0"/>
    <xf numFmtId="0" fontId="2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0" fontId="2" fillId="0" borderId="0"/>
    <xf numFmtId="228" fontId="18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28" fontId="184" fillId="0" borderId="0"/>
    <xf numFmtId="228" fontId="18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28" fontId="184" fillId="0" borderId="0"/>
    <xf numFmtId="0" fontId="2" fillId="0" borderId="0"/>
    <xf numFmtId="0" fontId="2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0" fontId="2" fillId="0" borderId="0"/>
    <xf numFmtId="228" fontId="18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28" fontId="184" fillId="0" borderId="0"/>
    <xf numFmtId="228" fontId="18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28" fontId="184" fillId="0" borderId="0"/>
    <xf numFmtId="0" fontId="2" fillId="0" borderId="0"/>
    <xf numFmtId="0" fontId="2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0" fontId="2" fillId="0" borderId="0"/>
    <xf numFmtId="228" fontId="18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28" fontId="184" fillId="0" borderId="0"/>
    <xf numFmtId="228" fontId="18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28" fontId="184" fillId="0" borderId="0"/>
    <xf numFmtId="0" fontId="2" fillId="0" borderId="0"/>
    <xf numFmtId="0" fontId="2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5" fillId="0" borderId="0"/>
    <xf numFmtId="228" fontId="184" fillId="0" borderId="0"/>
    <xf numFmtId="228" fontId="185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0" fontId="2" fillId="0" borderId="0"/>
    <xf numFmtId="228" fontId="18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28" fontId="184" fillId="0" borderId="0"/>
    <xf numFmtId="228" fontId="18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28" fontId="184" fillId="0" borderId="0"/>
    <xf numFmtId="0" fontId="2" fillId="0" borderId="0"/>
    <xf numFmtId="0" fontId="2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0" fontId="2" fillId="0" borderId="0"/>
    <xf numFmtId="228" fontId="18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28" fontId="184" fillId="0" borderId="0"/>
    <xf numFmtId="228" fontId="18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28" fontId="184" fillId="0" borderId="0"/>
    <xf numFmtId="0" fontId="2" fillId="0" borderId="0"/>
    <xf numFmtId="0" fontId="2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0" fontId="2" fillId="0" borderId="0"/>
    <xf numFmtId="228" fontId="18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28" fontId="184" fillId="0" borderId="0"/>
    <xf numFmtId="228" fontId="18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28" fontId="184" fillId="0" borderId="0"/>
    <xf numFmtId="0" fontId="2" fillId="0" borderId="0"/>
    <xf numFmtId="0" fontId="2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0" fontId="2" fillId="0" borderId="0"/>
    <xf numFmtId="228" fontId="18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28" fontId="184" fillId="0" borderId="0"/>
    <xf numFmtId="228" fontId="18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28" fontId="184" fillId="0" borderId="0"/>
    <xf numFmtId="0" fontId="2" fillId="0" borderId="0"/>
    <xf numFmtId="0" fontId="2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5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0" fontId="2" fillId="0" borderId="0"/>
    <xf numFmtId="228" fontId="18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28" fontId="184" fillId="0" borderId="0"/>
    <xf numFmtId="228" fontId="18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28" fontId="184" fillId="0" borderId="0"/>
    <xf numFmtId="0" fontId="2" fillId="0" borderId="0"/>
    <xf numFmtId="0" fontId="2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0" fontId="182" fillId="0" borderId="0"/>
    <xf numFmtId="0" fontId="182" fillId="0" borderId="0"/>
    <xf numFmtId="0" fontId="182" fillId="0" borderId="0"/>
    <xf numFmtId="0" fontId="182" fillId="0" borderId="0"/>
    <xf numFmtId="0" fontId="182" fillId="0" borderId="0"/>
    <xf numFmtId="0" fontId="2" fillId="0" borderId="0"/>
    <xf numFmtId="0" fontId="18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2" fillId="0" borderId="0"/>
    <xf numFmtId="0" fontId="2" fillId="0" borderId="0"/>
    <xf numFmtId="0" fontId="2" fillId="0" borderId="0"/>
    <xf numFmtId="0" fontId="183" fillId="0" borderId="0"/>
    <xf numFmtId="0" fontId="183" fillId="0" borderId="0"/>
    <xf numFmtId="0" fontId="182" fillId="0" borderId="0"/>
    <xf numFmtId="0" fontId="182" fillId="0" borderId="0"/>
    <xf numFmtId="0" fontId="182" fillId="0" borderId="0"/>
    <xf numFmtId="0" fontId="182" fillId="0" borderId="0"/>
    <xf numFmtId="0" fontId="182" fillId="0" borderId="0"/>
    <xf numFmtId="0" fontId="182" fillId="0" borderId="0"/>
    <xf numFmtId="228" fontId="184" fillId="0" borderId="0"/>
    <xf numFmtId="228" fontId="185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5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0" fontId="2" fillId="0" borderId="0"/>
    <xf numFmtId="228" fontId="18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28" fontId="184" fillId="0" borderId="0"/>
    <xf numFmtId="228" fontId="18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28" fontId="184" fillId="0" borderId="0"/>
    <xf numFmtId="0" fontId="2" fillId="0" borderId="0"/>
    <xf numFmtId="0" fontId="2" fillId="0" borderId="0"/>
    <xf numFmtId="228" fontId="185" fillId="0" borderId="0"/>
    <xf numFmtId="228" fontId="185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5" fillId="0" borderId="0"/>
    <xf numFmtId="228" fontId="184" fillId="0" borderId="0"/>
    <xf numFmtId="228" fontId="184" fillId="0" borderId="0"/>
    <xf numFmtId="228" fontId="184" fillId="0" borderId="0"/>
    <xf numFmtId="228" fontId="185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5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0" fontId="2" fillId="0" borderId="0"/>
    <xf numFmtId="228" fontId="18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28" fontId="184" fillId="0" borderId="0"/>
    <xf numFmtId="228" fontId="18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28" fontId="184" fillId="0" borderId="0"/>
    <xf numFmtId="0" fontId="2" fillId="0" borderId="0"/>
    <xf numFmtId="0" fontId="2" fillId="0" borderId="0"/>
    <xf numFmtId="228" fontId="185" fillId="0" borderId="0"/>
    <xf numFmtId="228" fontId="185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4" fillId="0" borderId="0"/>
    <xf numFmtId="228" fontId="185" fillId="0" borderId="0"/>
    <xf numFmtId="228" fontId="184" fillId="0" borderId="0"/>
    <xf numFmtId="228" fontId="184" fillId="0" borderId="0"/>
    <xf numFmtId="0" fontId="183" fillId="0" borderId="0"/>
    <xf numFmtId="0" fontId="182" fillId="0" borderId="0"/>
    <xf numFmtId="0" fontId="182" fillId="0" borderId="0"/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86" fillId="0" borderId="0"/>
    <xf numFmtId="0" fontId="187" fillId="0" borderId="0"/>
    <xf numFmtId="0" fontId="186" fillId="0" borderId="0"/>
    <xf numFmtId="0" fontId="186" fillId="0" borderId="0"/>
    <xf numFmtId="0" fontId="186" fillId="0" borderId="0"/>
    <xf numFmtId="0" fontId="186" fillId="0" borderId="0"/>
    <xf numFmtId="0" fontId="186" fillId="0" borderId="0"/>
    <xf numFmtId="0" fontId="186" fillId="0" borderId="0"/>
    <xf numFmtId="0" fontId="186" fillId="0" borderId="0"/>
    <xf numFmtId="0" fontId="186" fillId="0" borderId="0"/>
    <xf numFmtId="0" fontId="186" fillId="0" borderId="0"/>
    <xf numFmtId="0" fontId="186" fillId="0" borderId="0"/>
    <xf numFmtId="0" fontId="186" fillId="0" borderId="0"/>
    <xf numFmtId="0" fontId="186" fillId="0" borderId="0"/>
    <xf numFmtId="0" fontId="186" fillId="0" borderId="0"/>
    <xf numFmtId="0" fontId="187" fillId="0" borderId="0"/>
    <xf numFmtId="0" fontId="186" fillId="0" borderId="0"/>
    <xf numFmtId="0" fontId="186" fillId="0" borderId="0"/>
    <xf numFmtId="38" fontId="186" fillId="0" borderId="0"/>
    <xf numFmtId="38" fontId="187" fillId="0" borderId="0"/>
    <xf numFmtId="38" fontId="186" fillId="0" borderId="0"/>
    <xf numFmtId="38" fontId="186" fillId="0" borderId="0"/>
    <xf numFmtId="38" fontId="186" fillId="0" borderId="0"/>
    <xf numFmtId="38" fontId="186" fillId="0" borderId="0"/>
    <xf numFmtId="38" fontId="186" fillId="0" borderId="0"/>
    <xf numFmtId="38" fontId="186" fillId="0" borderId="0"/>
    <xf numFmtId="38" fontId="186" fillId="0" borderId="0"/>
    <xf numFmtId="38" fontId="186" fillId="0" borderId="0"/>
    <xf numFmtId="38" fontId="186" fillId="0" borderId="0"/>
    <xf numFmtId="38" fontId="186" fillId="0" borderId="0"/>
    <xf numFmtId="38" fontId="186" fillId="0" borderId="0"/>
    <xf numFmtId="38" fontId="186" fillId="0" borderId="0"/>
    <xf numFmtId="38" fontId="186" fillId="0" borderId="0"/>
    <xf numFmtId="38" fontId="187" fillId="0" borderId="0"/>
    <xf numFmtId="38" fontId="186" fillId="0" borderId="0"/>
    <xf numFmtId="38" fontId="186" fillId="0" borderId="0"/>
    <xf numFmtId="38" fontId="186" fillId="0" borderId="0"/>
    <xf numFmtId="38" fontId="186" fillId="0" borderId="0"/>
    <xf numFmtId="38" fontId="186" fillId="0" borderId="0"/>
    <xf numFmtId="38" fontId="186" fillId="0" borderId="0"/>
    <xf numFmtId="38" fontId="186" fillId="0" borderId="0"/>
    <xf numFmtId="38" fontId="186" fillId="0" borderId="0"/>
    <xf numFmtId="38" fontId="186" fillId="0" borderId="0"/>
    <xf numFmtId="38" fontId="2" fillId="0" borderId="0"/>
    <xf numFmtId="38" fontId="186" fillId="0" borderId="0"/>
    <xf numFmtId="38" fontId="2" fillId="0" borderId="0"/>
    <xf numFmtId="38" fontId="2" fillId="0" borderId="0"/>
    <xf numFmtId="38" fontId="2" fillId="0" borderId="0"/>
    <xf numFmtId="38" fontId="2" fillId="0" borderId="0"/>
    <xf numFmtId="38" fontId="2" fillId="0" borderId="0"/>
    <xf numFmtId="38" fontId="2" fillId="0" borderId="0"/>
    <xf numFmtId="38" fontId="2" fillId="0" borderId="0"/>
    <xf numFmtId="38" fontId="2" fillId="0" borderId="0"/>
    <xf numFmtId="38" fontId="2" fillId="0" borderId="0"/>
    <xf numFmtId="38" fontId="2" fillId="0" borderId="0"/>
    <xf numFmtId="38" fontId="2" fillId="0" borderId="0"/>
    <xf numFmtId="38" fontId="2" fillId="0" borderId="0"/>
    <xf numFmtId="38" fontId="2" fillId="0" borderId="0"/>
    <xf numFmtId="38" fontId="2" fillId="0" borderId="0"/>
    <xf numFmtId="38" fontId="186" fillId="0" borderId="0"/>
    <xf numFmtId="38" fontId="2" fillId="0" borderId="0"/>
    <xf numFmtId="38" fontId="2" fillId="0" borderId="0"/>
    <xf numFmtId="38" fontId="187" fillId="0" borderId="0"/>
    <xf numFmtId="38" fontId="187" fillId="0" borderId="0"/>
    <xf numFmtId="38" fontId="186" fillId="0" borderId="0"/>
    <xf numFmtId="38" fontId="186" fillId="0" borderId="0"/>
    <xf numFmtId="38" fontId="186" fillId="0" borderId="0"/>
    <xf numFmtId="38" fontId="186" fillId="0" borderId="0"/>
    <xf numFmtId="38" fontId="186" fillId="0" borderId="0"/>
    <xf numFmtId="38" fontId="186" fillId="0" borderId="0"/>
    <xf numFmtId="38" fontId="187" fillId="0" borderId="0"/>
    <xf numFmtId="38" fontId="186" fillId="0" borderId="0"/>
    <xf numFmtId="38" fontId="186" fillId="0" borderId="0"/>
    <xf numFmtId="38" fontId="187" fillId="0" borderId="0"/>
    <xf numFmtId="38" fontId="187" fillId="0" borderId="0"/>
    <xf numFmtId="0" fontId="186" fillId="0" borderId="0"/>
    <xf numFmtId="0" fontId="186" fillId="0" borderId="0"/>
    <xf numFmtId="0" fontId="186" fillId="0" borderId="0"/>
    <xf numFmtId="0" fontId="186" fillId="0" borderId="0"/>
    <xf numFmtId="0" fontId="186" fillId="0" borderId="0"/>
    <xf numFmtId="0" fontId="186" fillId="0" borderId="0"/>
    <xf numFmtId="0" fontId="186" fillId="0" borderId="0"/>
    <xf numFmtId="0" fontId="2" fillId="0" borderId="0"/>
    <xf numFmtId="0" fontId="18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6" fillId="0" borderId="0"/>
    <xf numFmtId="0" fontId="2" fillId="0" borderId="0"/>
    <xf numFmtId="0" fontId="2" fillId="0" borderId="0"/>
    <xf numFmtId="0" fontId="187" fillId="0" borderId="0"/>
    <xf numFmtId="0" fontId="187" fillId="0" borderId="0"/>
    <xf numFmtId="0" fontId="186" fillId="0" borderId="0"/>
    <xf numFmtId="0" fontId="186" fillId="0" borderId="0"/>
    <xf numFmtId="0" fontId="186" fillId="0" borderId="0"/>
    <xf numFmtId="0" fontId="186" fillId="0" borderId="0"/>
    <xf numFmtId="0" fontId="186" fillId="0" borderId="0"/>
    <xf numFmtId="0" fontId="186" fillId="0" borderId="0"/>
    <xf numFmtId="0" fontId="187" fillId="0" borderId="0"/>
    <xf numFmtId="0" fontId="186" fillId="0" borderId="0"/>
    <xf numFmtId="0" fontId="186" fillId="0" borderId="0"/>
    <xf numFmtId="0" fontId="17" fillId="0" borderId="0"/>
    <xf numFmtId="0" fontId="17" fillId="0" borderId="0"/>
    <xf numFmtId="221" fontId="174" fillId="0" borderId="0"/>
    <xf numFmtId="221" fontId="174" fillId="0" borderId="0"/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67" fillId="0" borderId="0"/>
    <xf numFmtId="0" fontId="167" fillId="0" borderId="0"/>
    <xf numFmtId="0" fontId="173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69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69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69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69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69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71" fillId="0" borderId="0">
      <alignment vertical="top"/>
    </xf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69" fillId="0" borderId="0"/>
    <xf numFmtId="0" fontId="169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69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69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69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69" fillId="0" borderId="0"/>
    <xf numFmtId="0" fontId="169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69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69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69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69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69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69" fillId="0" borderId="0"/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69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69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69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69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69" fillId="0" borderId="0"/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67" fillId="0" borderId="0"/>
    <xf numFmtId="0" fontId="167" fillId="0" borderId="0"/>
    <xf numFmtId="0" fontId="167" fillId="0" borderId="0"/>
    <xf numFmtId="0" fontId="171" fillId="0" borderId="0">
      <alignment vertical="top"/>
    </xf>
    <xf numFmtId="0" fontId="171" fillId="0" borderId="0">
      <alignment vertical="top"/>
    </xf>
    <xf numFmtId="0" fontId="167" fillId="0" borderId="0"/>
    <xf numFmtId="0" fontId="169" fillId="0" borderId="0"/>
    <xf numFmtId="0" fontId="170" fillId="0" borderId="0"/>
    <xf numFmtId="0" fontId="170" fillId="0" borderId="0"/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67" fillId="0" borderId="0"/>
    <xf numFmtId="0" fontId="167" fillId="0" borderId="0"/>
    <xf numFmtId="0" fontId="167" fillId="0" borderId="0"/>
    <xf numFmtId="0" fontId="167" fillId="0" borderId="0"/>
    <xf numFmtId="0" fontId="167" fillId="0" borderId="0"/>
    <xf numFmtId="0" fontId="167" fillId="0" borderId="0"/>
    <xf numFmtId="0" fontId="171" fillId="0" borderId="0">
      <alignment vertical="top"/>
    </xf>
    <xf numFmtId="0" fontId="167" fillId="0" borderId="0"/>
    <xf numFmtId="0" fontId="171" fillId="0" borderId="0">
      <alignment vertical="top"/>
    </xf>
    <xf numFmtId="0" fontId="17" fillId="0" borderId="0"/>
    <xf numFmtId="0" fontId="170" fillId="0" borderId="0"/>
    <xf numFmtId="0" fontId="170" fillId="0" borderId="0"/>
    <xf numFmtId="0" fontId="167" fillId="0" borderId="0"/>
    <xf numFmtId="0" fontId="170" fillId="0" borderId="0"/>
    <xf numFmtId="0" fontId="170" fillId="0" borderId="0"/>
    <xf numFmtId="0" fontId="171" fillId="0" borderId="0">
      <alignment vertical="top"/>
    </xf>
    <xf numFmtId="0" fontId="167" fillId="0" borderId="0"/>
    <xf numFmtId="0" fontId="188" fillId="0" borderId="0" applyNumberFormat="0" applyFill="0" applyBorder="0" applyAlignment="0" applyProtection="0"/>
    <xf numFmtId="0" fontId="173" fillId="0" borderId="0"/>
    <xf numFmtId="0" fontId="167" fillId="0" borderId="0"/>
    <xf numFmtId="0" fontId="189" fillId="0" borderId="71" applyNumberFormat="0" applyFill="0" applyAlignment="0" applyProtection="0"/>
    <xf numFmtId="0" fontId="189" fillId="0" borderId="71" applyNumberFormat="0" applyFill="0" applyAlignment="0" applyProtection="0"/>
    <xf numFmtId="0" fontId="189" fillId="0" borderId="71" applyNumberFormat="0" applyFill="0" applyAlignment="0" applyProtection="0"/>
    <xf numFmtId="0" fontId="189" fillId="0" borderId="71" applyNumberFormat="0" applyFill="0" applyAlignment="0" applyProtection="0"/>
    <xf numFmtId="0" fontId="189" fillId="0" borderId="71" applyNumberFormat="0" applyFill="0" applyAlignment="0" applyProtection="0"/>
    <xf numFmtId="0" fontId="189" fillId="0" borderId="71" applyNumberFormat="0" applyFill="0" applyAlignment="0" applyProtection="0"/>
    <xf numFmtId="0" fontId="189" fillId="0" borderId="71" applyNumberFormat="0" applyFill="0" applyAlignment="0" applyProtection="0"/>
    <xf numFmtId="0" fontId="189" fillId="0" borderId="71" applyNumberFormat="0" applyFill="0" applyAlignment="0" applyProtection="0"/>
    <xf numFmtId="0" fontId="189" fillId="0" borderId="71" applyNumberFormat="0" applyFill="0" applyAlignment="0" applyProtection="0"/>
    <xf numFmtId="0" fontId="189" fillId="0" borderId="71" applyNumberFormat="0" applyFill="0" applyAlignment="0" applyProtection="0"/>
    <xf numFmtId="0" fontId="189" fillId="0" borderId="0" applyNumberFormat="0" applyFill="0" applyBorder="0" applyAlignment="0" applyProtection="0"/>
    <xf numFmtId="0" fontId="189" fillId="0" borderId="0" applyNumberFormat="0" applyFill="0" applyBorder="0" applyAlignment="0" applyProtection="0"/>
    <xf numFmtId="0" fontId="190" fillId="0" borderId="72" applyNumberFormat="0" applyFill="0" applyProtection="0">
      <alignment horizontal="center"/>
    </xf>
    <xf numFmtId="0" fontId="2" fillId="0" borderId="73" applyNumberFormat="0" applyFont="0" applyFill="0" applyAlignment="0" applyProtection="0"/>
    <xf numFmtId="0" fontId="2" fillId="0" borderId="73" applyNumberFormat="0" applyFont="0" applyFill="0" applyAlignment="0" applyProtection="0"/>
    <xf numFmtId="0" fontId="2" fillId="0" borderId="73" applyNumberFormat="0" applyFont="0" applyFill="0" applyAlignment="0" applyProtection="0"/>
    <xf numFmtId="0" fontId="2" fillId="0" borderId="73" applyNumberFormat="0" applyFont="0" applyFill="0" applyAlignment="0" applyProtection="0"/>
    <xf numFmtId="0" fontId="190" fillId="0" borderId="0" applyNumberFormat="0" applyFill="0" applyBorder="0" applyProtection="0">
      <alignment horizontal="left"/>
    </xf>
    <xf numFmtId="0" fontId="191" fillId="0" borderId="0" applyNumberFormat="0" applyFill="0" applyBorder="0" applyProtection="0">
      <alignment horizontal="centerContinuous"/>
    </xf>
    <xf numFmtId="0" fontId="167" fillId="0" borderId="0"/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69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69" fillId="0" borderId="0"/>
    <xf numFmtId="0" fontId="173" fillId="0" borderId="0"/>
    <xf numFmtId="0" fontId="167" fillId="0" borderId="0"/>
    <xf numFmtId="0" fontId="173" fillId="0" borderId="0"/>
    <xf numFmtId="0" fontId="173" fillId="0" borderId="0"/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0" fillId="0" borderId="0"/>
    <xf numFmtId="0" fontId="170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69" fillId="0" borderId="0"/>
    <xf numFmtId="0" fontId="169" fillId="0" borderId="0"/>
    <xf numFmtId="0" fontId="169" fillId="0" borderId="0"/>
    <xf numFmtId="0" fontId="169" fillId="0" borderId="0"/>
    <xf numFmtId="0" fontId="167" fillId="0" borderId="0"/>
    <xf numFmtId="0" fontId="167" fillId="0" borderId="0"/>
    <xf numFmtId="0" fontId="167" fillId="0" borderId="0"/>
    <xf numFmtId="0" fontId="167" fillId="0" borderId="0"/>
    <xf numFmtId="0" fontId="167" fillId="0" borderId="0"/>
    <xf numFmtId="201" fontId="72" fillId="0" borderId="0" applyFont="0" applyFill="0" applyBorder="0" applyAlignment="0" applyProtection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69" fillId="0" borderId="0"/>
    <xf numFmtId="0" fontId="169" fillId="0" borderId="0"/>
    <xf numFmtId="0" fontId="169" fillId="0" borderId="0"/>
    <xf numFmtId="0" fontId="169" fillId="0" borderId="0"/>
    <xf numFmtId="0" fontId="167" fillId="0" borderId="0"/>
    <xf numFmtId="0" fontId="167" fillId="0" borderId="0"/>
    <xf numFmtId="0" fontId="17" fillId="0" borderId="0"/>
    <xf numFmtId="0" fontId="17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19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19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192" fillId="0" borderId="0">
      <alignment vertical="top"/>
    </xf>
    <xf numFmtId="0" fontId="192" fillId="0" borderId="0">
      <alignment vertical="top"/>
    </xf>
    <xf numFmtId="0" fontId="2" fillId="0" borderId="0">
      <alignment vertical="top"/>
    </xf>
    <xf numFmtId="0" fontId="192" fillId="0" borderId="0">
      <alignment vertical="top"/>
    </xf>
    <xf numFmtId="0" fontId="192" fillId="0" borderId="0">
      <alignment vertical="top"/>
    </xf>
    <xf numFmtId="0" fontId="192" fillId="0" borderId="0">
      <alignment vertical="top"/>
    </xf>
    <xf numFmtId="0" fontId="2" fillId="0" borderId="0">
      <alignment vertical="top"/>
    </xf>
    <xf numFmtId="0" fontId="192" fillId="0" borderId="0">
      <alignment vertical="top"/>
    </xf>
    <xf numFmtId="0" fontId="19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19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19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192" fillId="0" borderId="0">
      <alignment vertical="top"/>
    </xf>
    <xf numFmtId="0" fontId="2" fillId="0" borderId="0">
      <alignment vertical="top"/>
    </xf>
    <xf numFmtId="0" fontId="19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192" fillId="0" borderId="0">
      <alignment vertical="top"/>
    </xf>
    <xf numFmtId="0" fontId="2" fillId="0" borderId="0">
      <alignment vertical="top"/>
    </xf>
    <xf numFmtId="0" fontId="19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19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192" fillId="0" borderId="0">
      <alignment vertical="top"/>
    </xf>
    <xf numFmtId="0" fontId="192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67" fillId="0" borderId="0"/>
    <xf numFmtId="0" fontId="167" fillId="0" borderId="0"/>
    <xf numFmtId="0" fontId="17" fillId="0" borderId="0"/>
    <xf numFmtId="0" fontId="17" fillId="0" borderId="0"/>
    <xf numFmtId="0" fontId="2" fillId="0" borderId="0"/>
    <xf numFmtId="0" fontId="193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67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69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69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69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69" fillId="0" borderId="0"/>
    <xf numFmtId="0" fontId="167" fillId="0" borderId="0"/>
    <xf numFmtId="0" fontId="171" fillId="0" borderId="0">
      <alignment vertical="top"/>
    </xf>
    <xf numFmtId="0" fontId="167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93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69" fillId="0" borderId="0"/>
    <xf numFmtId="0" fontId="169" fillId="0" borderId="0"/>
    <xf numFmtId="0" fontId="169" fillId="0" borderId="0"/>
    <xf numFmtId="0" fontId="169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69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69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69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9" fillId="0" borderId="0"/>
    <xf numFmtId="0" fontId="169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69" fillId="0" borderId="0"/>
    <xf numFmtId="0" fontId="169" fillId="0" borderId="0"/>
    <xf numFmtId="0" fontId="169" fillId="0" borderId="0"/>
    <xf numFmtId="0" fontId="169" fillId="0" borderId="0"/>
    <xf numFmtId="0" fontId="167" fillId="0" borderId="0"/>
    <xf numFmtId="0" fontId="17" fillId="0" borderId="0"/>
    <xf numFmtId="0" fontId="17" fillId="0" borderId="0"/>
    <xf numFmtId="0" fontId="17" fillId="0" borderId="0"/>
    <xf numFmtId="0" fontId="167" fillId="0" borderId="0"/>
    <xf numFmtId="0" fontId="167" fillId="0" borderId="0"/>
    <xf numFmtId="0" fontId="17" fillId="0" borderId="0"/>
    <xf numFmtId="0" fontId="17" fillId="0" borderId="0"/>
    <xf numFmtId="0" fontId="167" fillId="0" borderId="0"/>
    <xf numFmtId="0" fontId="167" fillId="0" borderId="0"/>
    <xf numFmtId="0" fontId="167" fillId="0" borderId="0"/>
    <xf numFmtId="0" fontId="193" fillId="0" borderId="0"/>
    <xf numFmtId="0" fontId="167" fillId="0" borderId="0"/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67" fillId="0" borderId="0"/>
    <xf numFmtId="0" fontId="167" fillId="0" borderId="0"/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67" fillId="0" borderId="0"/>
    <xf numFmtId="0" fontId="171" fillId="0" borderId="0">
      <alignment vertical="top"/>
    </xf>
    <xf numFmtId="0" fontId="167" fillId="0" borderId="0"/>
    <xf numFmtId="0" fontId="167" fillId="0" borderId="0"/>
    <xf numFmtId="0" fontId="171" fillId="0" borderId="0">
      <alignment vertical="top"/>
    </xf>
    <xf numFmtId="0" fontId="167" fillId="0" borderId="0"/>
    <xf numFmtId="0" fontId="167" fillId="0" borderId="0"/>
    <xf numFmtId="0" fontId="167" fillId="0" borderId="0"/>
    <xf numFmtId="0" fontId="167" fillId="0" borderId="0"/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67" fillId="0" borderId="0"/>
    <xf numFmtId="0" fontId="167" fillId="0" borderId="0"/>
    <xf numFmtId="0" fontId="167" fillId="0" borderId="0"/>
    <xf numFmtId="0" fontId="171" fillId="0" borderId="0">
      <alignment vertical="top"/>
      <protection locked="0"/>
    </xf>
    <xf numFmtId="0" fontId="167" fillId="0" borderId="0"/>
    <xf numFmtId="0" fontId="167" fillId="0" borderId="0"/>
    <xf numFmtId="0" fontId="171" fillId="0" borderId="0">
      <alignment vertical="top"/>
    </xf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69" fillId="0" borderId="0"/>
    <xf numFmtId="0" fontId="169" fillId="0" borderId="0"/>
    <xf numFmtId="0" fontId="169" fillId="0" borderId="0"/>
    <xf numFmtId="0" fontId="169" fillId="0" borderId="0"/>
    <xf numFmtId="0" fontId="167" fillId="0" borderId="0"/>
    <xf numFmtId="0" fontId="167" fillId="0" borderId="0"/>
    <xf numFmtId="0" fontId="167" fillId="0" borderId="0"/>
    <xf numFmtId="0" fontId="167" fillId="0" borderId="0"/>
    <xf numFmtId="0" fontId="171" fillId="0" borderId="0">
      <alignment vertical="top"/>
      <protection locked="0"/>
    </xf>
    <xf numFmtId="0" fontId="170" fillId="0" borderId="0"/>
    <xf numFmtId="0" fontId="170" fillId="0" borderId="0"/>
    <xf numFmtId="0" fontId="168" fillId="0" borderId="0"/>
    <xf numFmtId="0" fontId="167" fillId="0" borderId="0"/>
    <xf numFmtId="0" fontId="167" fillId="0" borderId="0"/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" fillId="0" borderId="0"/>
    <xf numFmtId="0" fontId="17" fillId="0" borderId="0"/>
    <xf numFmtId="201" fontId="75" fillId="0" borderId="0" applyFont="0" applyFill="0" applyBorder="0" applyAlignment="0" applyProtection="0"/>
    <xf numFmtId="203" fontId="72" fillId="0" borderId="0" applyFont="0" applyFill="0" applyBorder="0" applyAlignment="0" applyProtection="0"/>
    <xf numFmtId="0" fontId="167" fillId="0" borderId="0"/>
    <xf numFmtId="0" fontId="167" fillId="0" borderId="0"/>
    <xf numFmtId="0" fontId="17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7" fillId="0" borderId="0"/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67" fillId="0" borderId="0"/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71" fillId="0" borderId="0">
      <alignment vertical="top"/>
    </xf>
    <xf numFmtId="0" fontId="167" fillId="0" borderId="0"/>
    <xf numFmtId="229" fontId="164" fillId="0" borderId="0" applyFill="0" applyBorder="0" applyProtection="0">
      <alignment horizontal="right"/>
    </xf>
    <xf numFmtId="230" fontId="164" fillId="0" borderId="0" applyFill="0" applyBorder="0" applyProtection="0">
      <alignment horizontal="right"/>
    </xf>
    <xf numFmtId="231" fontId="194" fillId="0" borderId="0" applyFill="0" applyBorder="0" applyProtection="0">
      <alignment horizontal="center"/>
    </xf>
    <xf numFmtId="232" fontId="194" fillId="0" borderId="0" applyFill="0" applyBorder="0" applyProtection="0">
      <alignment horizontal="center"/>
    </xf>
    <xf numFmtId="233" fontId="195" fillId="0" borderId="0" applyFill="0" applyBorder="0" applyProtection="0">
      <alignment horizontal="right"/>
    </xf>
    <xf numFmtId="234" fontId="164" fillId="0" borderId="0" applyFill="0" applyBorder="0" applyProtection="0">
      <alignment horizontal="right"/>
    </xf>
    <xf numFmtId="235" fontId="164" fillId="0" borderId="0" applyFill="0" applyBorder="0" applyProtection="0">
      <alignment horizontal="right"/>
    </xf>
    <xf numFmtId="236" fontId="164" fillId="0" borderId="0" applyFill="0" applyBorder="0" applyProtection="0">
      <alignment horizontal="right"/>
    </xf>
    <xf numFmtId="237" fontId="164" fillId="0" borderId="0" applyFill="0" applyBorder="0" applyProtection="0">
      <alignment horizontal="right"/>
    </xf>
    <xf numFmtId="0" fontId="29" fillId="0" borderId="0">
      <alignment vertical="center"/>
    </xf>
    <xf numFmtId="206" fontId="196" fillId="0" borderId="0" applyFont="0" applyFill="0" applyBorder="0" applyAlignment="0" applyProtection="0"/>
    <xf numFmtId="238" fontId="196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195" fontId="24" fillId="0" borderId="0" applyFont="0" applyFill="0" applyBorder="0" applyAlignment="0" applyProtection="0"/>
    <xf numFmtId="200" fontId="197" fillId="0" borderId="0" applyFont="0" applyFill="0" applyBorder="0" applyAlignment="0" applyProtection="0"/>
    <xf numFmtId="0" fontId="17" fillId="0" borderId="0" applyFont="0" applyFill="0" applyBorder="0" applyAlignment="0" applyProtection="0"/>
    <xf numFmtId="194" fontId="24" fillId="0" borderId="0" applyFont="0" applyFill="0" applyBorder="0" applyAlignment="0" applyProtection="0"/>
    <xf numFmtId="199" fontId="197" fillId="0" borderId="0" applyFont="0" applyFill="0" applyBorder="0" applyAlignment="0" applyProtection="0"/>
    <xf numFmtId="0" fontId="17" fillId="0" borderId="0" applyFont="0" applyFill="0" applyBorder="0" applyAlignment="0" applyProtection="0"/>
    <xf numFmtId="239" fontId="146" fillId="0" borderId="0" applyFont="0" applyFill="0" applyBorder="0" applyAlignment="0" applyProtection="0"/>
    <xf numFmtId="240" fontId="146" fillId="0" borderId="0" applyFont="0" applyFill="0" applyBorder="0" applyAlignment="0" applyProtection="0"/>
    <xf numFmtId="193" fontId="167" fillId="0" borderId="0" applyFont="0" applyFill="0" applyBorder="0" applyAlignment="0" applyProtection="0"/>
    <xf numFmtId="241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241" fontId="17" fillId="0" borderId="0" applyFont="0" applyFill="0" applyBorder="0" applyAlignment="0" applyProtection="0"/>
    <xf numFmtId="195" fontId="17" fillId="0" borderId="0" applyFont="0" applyFill="0" applyBorder="0" applyAlignment="0" applyProtection="0"/>
    <xf numFmtId="195" fontId="24" fillId="0" borderId="0" applyFont="0" applyFill="0" applyBorder="0" applyAlignment="0" applyProtection="0"/>
    <xf numFmtId="195" fontId="24" fillId="0" borderId="0" applyFont="0" applyFill="0" applyBorder="0" applyAlignment="0" applyProtection="0"/>
    <xf numFmtId="242" fontId="17" fillId="0" borderId="0" applyFont="0" applyFill="0" applyBorder="0" applyAlignment="0" applyProtection="0"/>
    <xf numFmtId="200" fontId="198" fillId="0" borderId="0" applyFont="0" applyFill="0" applyBorder="0" applyAlignment="0" applyProtection="0"/>
    <xf numFmtId="243" fontId="164" fillId="0" borderId="0" applyFont="0" applyFill="0" applyBorder="0" applyAlignment="0" applyProtection="0"/>
    <xf numFmtId="195" fontId="17" fillId="0" borderId="0" applyFont="0" applyFill="0" applyBorder="0" applyAlignment="0" applyProtection="0"/>
    <xf numFmtId="195" fontId="17" fillId="0" borderId="0" applyFont="0" applyFill="0" applyBorder="0" applyAlignment="0" applyProtection="0"/>
    <xf numFmtId="200" fontId="199" fillId="0" borderId="0" applyFont="0" applyFill="0" applyBorder="0" applyAlignment="0" applyProtection="0"/>
    <xf numFmtId="195" fontId="24" fillId="0" borderId="0" applyFont="0" applyFill="0" applyBorder="0" applyAlignment="0" applyProtection="0"/>
    <xf numFmtId="195" fontId="17" fillId="0" borderId="0" applyFont="0" applyFill="0" applyBorder="0" applyAlignment="0" applyProtection="0"/>
    <xf numFmtId="195" fontId="17" fillId="0" borderId="0" applyFont="0" applyFill="0" applyBorder="0" applyAlignment="0" applyProtection="0"/>
    <xf numFmtId="195" fontId="24" fillId="0" borderId="0" applyFont="0" applyFill="0" applyBorder="0" applyAlignment="0" applyProtection="0"/>
    <xf numFmtId="242" fontId="164" fillId="0" borderId="0" applyFont="0" applyFill="0" applyBorder="0" applyAlignment="0" applyProtection="0"/>
    <xf numFmtId="2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244" fontId="17" fillId="0" borderId="0" applyFont="0" applyFill="0" applyBorder="0" applyAlignment="0" applyProtection="0"/>
    <xf numFmtId="194" fontId="17" fillId="0" borderId="0" applyFont="0" applyFill="0" applyBorder="0" applyAlignment="0" applyProtection="0"/>
    <xf numFmtId="194" fontId="24" fillId="0" borderId="0" applyFont="0" applyFill="0" applyBorder="0" applyAlignment="0" applyProtection="0"/>
    <xf numFmtId="194" fontId="24" fillId="0" borderId="0" applyFont="0" applyFill="0" applyBorder="0" applyAlignment="0" applyProtection="0"/>
    <xf numFmtId="245" fontId="17" fillId="0" borderId="0" applyFont="0" applyFill="0" applyBorder="0" applyAlignment="0" applyProtection="0"/>
    <xf numFmtId="199" fontId="198" fillId="0" borderId="0" applyFont="0" applyFill="0" applyBorder="0" applyAlignment="0" applyProtection="0"/>
    <xf numFmtId="246" fontId="164" fillId="0" borderId="0" applyFont="0" applyFill="0" applyBorder="0" applyAlignment="0" applyProtection="0"/>
    <xf numFmtId="194" fontId="17" fillId="0" borderId="0" applyFont="0" applyFill="0" applyBorder="0" applyAlignment="0" applyProtection="0"/>
    <xf numFmtId="194" fontId="17" fillId="0" borderId="0" applyFont="0" applyFill="0" applyBorder="0" applyAlignment="0" applyProtection="0"/>
    <xf numFmtId="199" fontId="200" fillId="0" borderId="0" applyFont="0" applyFill="0" applyBorder="0" applyAlignment="0" applyProtection="0"/>
    <xf numFmtId="194" fontId="24" fillId="0" borderId="0" applyFont="0" applyFill="0" applyBorder="0" applyAlignment="0" applyProtection="0"/>
    <xf numFmtId="194" fontId="17" fillId="0" borderId="0" applyFont="0" applyFill="0" applyBorder="0" applyAlignment="0" applyProtection="0"/>
    <xf numFmtId="0" fontId="128" fillId="0" borderId="0" applyFont="0" applyFill="0" applyBorder="0" applyAlignment="0" applyProtection="0"/>
    <xf numFmtId="194" fontId="24" fillId="0" borderId="0" applyFont="0" applyFill="0" applyBorder="0" applyAlignment="0" applyProtection="0"/>
    <xf numFmtId="245" fontId="164" fillId="0" borderId="0" applyFont="0" applyFill="0" applyBorder="0" applyAlignment="0" applyProtection="0"/>
    <xf numFmtId="0" fontId="201" fillId="0" borderId="0"/>
    <xf numFmtId="0" fontId="17" fillId="0" borderId="0"/>
    <xf numFmtId="0" fontId="202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213" fontId="65" fillId="0" borderId="0" applyFont="0" applyFill="0" applyBorder="0" applyAlignment="0" applyProtection="0"/>
    <xf numFmtId="212" fontId="65" fillId="0" borderId="0" applyFont="0" applyFill="0" applyBorder="0" applyAlignment="0" applyProtection="0"/>
    <xf numFmtId="212" fontId="65" fillId="0" borderId="0" applyFont="0" applyFill="0" applyBorder="0" applyAlignment="0" applyProtection="0"/>
    <xf numFmtId="212" fontId="65" fillId="0" borderId="0" applyFont="0" applyFill="0" applyBorder="0" applyAlignment="0" applyProtection="0"/>
    <xf numFmtId="0" fontId="203" fillId="0" borderId="0" applyNumberFormat="0" applyFill="0" applyBorder="0" applyAlignment="0" applyProtection="0"/>
    <xf numFmtId="0" fontId="204" fillId="0" borderId="0">
      <alignment horizontal="centerContinuous"/>
    </xf>
    <xf numFmtId="206" fontId="205" fillId="0" borderId="0" applyFont="0" applyFill="0" applyBorder="0" applyAlignment="0" applyProtection="0"/>
    <xf numFmtId="238" fontId="205" fillId="0" borderId="0" applyFont="0" applyFill="0" applyBorder="0" applyAlignment="0" applyProtection="0"/>
    <xf numFmtId="0" fontId="206" fillId="0" borderId="0" applyNumberFormat="0" applyFill="0" applyBorder="0" applyAlignment="0" applyProtection="0">
      <alignment vertical="top"/>
      <protection locked="0"/>
    </xf>
    <xf numFmtId="0" fontId="206" fillId="0" borderId="0" applyNumberFormat="0" applyFill="0" applyBorder="0" applyAlignment="0" applyProtection="0">
      <alignment vertical="top"/>
      <protection locked="0"/>
    </xf>
    <xf numFmtId="0" fontId="207" fillId="0" borderId="0" applyNumberFormat="0" applyFill="0" applyBorder="0" applyAlignment="0" applyProtection="0">
      <alignment vertical="top"/>
      <protection locked="0"/>
    </xf>
    <xf numFmtId="0" fontId="103" fillId="0" borderId="0" applyNumberFormat="0" applyFill="0" applyBorder="0" applyAlignment="0" applyProtection="0">
      <alignment vertical="top"/>
      <protection locked="0"/>
    </xf>
    <xf numFmtId="0" fontId="208" fillId="0" borderId="0" applyNumberFormat="0" applyFill="0" applyBorder="0" applyAlignment="0" applyProtection="0">
      <alignment vertical="top"/>
      <protection locked="0"/>
    </xf>
    <xf numFmtId="0" fontId="209" fillId="0" borderId="0" applyNumberFormat="0" applyFill="0" applyBorder="0" applyAlignment="0" applyProtection="0">
      <alignment vertical="top"/>
      <protection locked="0"/>
    </xf>
    <xf numFmtId="0" fontId="207" fillId="0" borderId="0" applyNumberFormat="0" applyFill="0" applyBorder="0" applyAlignment="0" applyProtection="0">
      <alignment vertical="top"/>
      <protection locked="0"/>
    </xf>
    <xf numFmtId="0" fontId="95" fillId="0" borderId="0" applyNumberFormat="0" applyFill="0" applyBorder="0" applyAlignment="0" applyProtection="0">
      <alignment vertical="top"/>
      <protection locked="0"/>
    </xf>
    <xf numFmtId="0" fontId="210" fillId="0" borderId="0" applyNumberFormat="0" applyFill="0" applyBorder="0" applyAlignment="0" applyProtection="0">
      <alignment vertical="top"/>
      <protection locked="0"/>
    </xf>
    <xf numFmtId="0" fontId="211" fillId="0" borderId="0" applyNumberFormat="0" applyFill="0" applyBorder="0" applyAlignment="0" applyProtection="0">
      <alignment vertical="top"/>
      <protection locked="0"/>
    </xf>
    <xf numFmtId="0" fontId="210" fillId="0" borderId="0" applyNumberFormat="0" applyFill="0" applyBorder="0" applyAlignment="0" applyProtection="0">
      <alignment vertical="top"/>
      <protection locked="0"/>
    </xf>
    <xf numFmtId="0" fontId="17" fillId="0" borderId="0"/>
    <xf numFmtId="0" fontId="129" fillId="0" borderId="0"/>
    <xf numFmtId="0" fontId="212" fillId="0" borderId="0"/>
    <xf numFmtId="0" fontId="24" fillId="0" borderId="0"/>
    <xf numFmtId="0" fontId="17" fillId="0" borderId="0"/>
    <xf numFmtId="0" fontId="17" fillId="0" borderId="0"/>
    <xf numFmtId="0" fontId="213" fillId="0" borderId="0"/>
    <xf numFmtId="0" fontId="214" fillId="0" borderId="0" applyNumberFormat="0" applyFill="0" applyBorder="0" applyAlignment="0" applyProtection="0">
      <alignment vertical="top"/>
      <protection locked="0"/>
    </xf>
    <xf numFmtId="0" fontId="214" fillId="0" borderId="0" applyNumberFormat="0" applyFill="0" applyBorder="0" applyAlignment="0" applyProtection="0">
      <alignment vertical="top"/>
      <protection locked="0"/>
    </xf>
    <xf numFmtId="0" fontId="215" fillId="0" borderId="0" applyNumberFormat="0" applyFill="0" applyBorder="0" applyAlignment="0" applyProtection="0">
      <alignment vertical="top"/>
      <protection locked="0"/>
    </xf>
    <xf numFmtId="0" fontId="214" fillId="0" borderId="0" applyNumberFormat="0" applyFill="0" applyBorder="0" applyAlignment="0" applyProtection="0">
      <alignment vertical="top"/>
      <protection locked="0"/>
    </xf>
    <xf numFmtId="0" fontId="216" fillId="0" borderId="0" applyNumberFormat="0" applyFill="0" applyBorder="0" applyAlignment="0" applyProtection="0">
      <alignment vertical="top"/>
      <protection locked="0"/>
    </xf>
    <xf numFmtId="0" fontId="217" fillId="0" borderId="0" applyNumberFormat="0" applyFill="0" applyBorder="0" applyAlignment="0" applyProtection="0">
      <alignment vertical="top"/>
      <protection locked="0"/>
    </xf>
    <xf numFmtId="0" fontId="216" fillId="0" borderId="0" applyNumberFormat="0" applyFill="0" applyBorder="0" applyAlignment="0" applyProtection="0">
      <alignment vertical="top"/>
      <protection locked="0"/>
    </xf>
    <xf numFmtId="0" fontId="218" fillId="0" borderId="0" applyNumberFormat="0" applyFill="0" applyBorder="0" applyAlignment="0" applyProtection="0">
      <alignment vertical="top"/>
      <protection locked="0"/>
    </xf>
    <xf numFmtId="0" fontId="217" fillId="0" borderId="0" applyNumberFormat="0" applyFill="0" applyBorder="0" applyAlignment="0" applyProtection="0">
      <alignment vertical="top"/>
      <protection locked="0"/>
    </xf>
    <xf numFmtId="0" fontId="219" fillId="0" borderId="0" applyNumberFormat="0" applyFill="0" applyBorder="0" applyAlignment="0" applyProtection="0">
      <alignment vertical="top"/>
      <protection locked="0"/>
    </xf>
    <xf numFmtId="9" fontId="220" fillId="0" borderId="0" applyFont="0" applyFill="0" applyBorder="0" applyAlignment="0" applyProtection="0"/>
    <xf numFmtId="40" fontId="221" fillId="0" borderId="0" applyFont="0" applyFill="0" applyBorder="0" applyAlignment="0" applyProtection="0"/>
    <xf numFmtId="38" fontId="221" fillId="0" borderId="0" applyFont="0" applyFill="0" applyBorder="0" applyAlignment="0" applyProtection="0"/>
    <xf numFmtId="43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0" fontId="222" fillId="0" borderId="0"/>
    <xf numFmtId="195" fontId="17" fillId="0" borderId="0" applyFont="0" applyFill="0" applyBorder="0" applyAlignment="0" applyProtection="0"/>
    <xf numFmtId="200" fontId="221" fillId="0" borderId="0" applyFont="0" applyFill="0" applyBorder="0" applyAlignment="0" applyProtection="0"/>
    <xf numFmtId="194" fontId="17" fillId="0" borderId="0" applyFont="0" applyFill="0" applyBorder="0" applyAlignment="0" applyProtection="0"/>
    <xf numFmtId="199" fontId="221" fillId="0" borderId="0" applyFont="0" applyFill="0" applyBorder="0" applyAlignment="0" applyProtection="0"/>
    <xf numFmtId="199" fontId="221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198" fontId="17" fillId="0" borderId="0" applyFont="0" applyFill="0" applyBorder="0" applyAlignment="0" applyProtection="0"/>
    <xf numFmtId="247" fontId="17" fillId="0" borderId="0" applyFont="0" applyFill="0" applyBorder="0" applyAlignment="0" applyProtection="0"/>
    <xf numFmtId="248" fontId="59" fillId="0" borderId="0" applyFont="0" applyFill="0" applyBorder="0" applyAlignment="0" applyProtection="0"/>
    <xf numFmtId="200" fontId="147" fillId="0" borderId="0" applyFont="0" applyFill="0" applyBorder="0" applyAlignment="0" applyProtection="0"/>
    <xf numFmtId="249" fontId="59" fillId="0" borderId="0" applyFont="0" applyFill="0" applyBorder="0" applyAlignment="0" applyProtection="0"/>
    <xf numFmtId="199" fontId="147" fillId="0" borderId="0" applyFont="0" applyFill="0" applyBorder="0" applyAlignment="0" applyProtection="0"/>
    <xf numFmtId="0" fontId="223" fillId="0" borderId="0" applyNumberFormat="0" applyFill="0" applyBorder="0" applyAlignment="0" applyProtection="0">
      <alignment vertical="top"/>
      <protection locked="0"/>
    </xf>
    <xf numFmtId="0" fontId="224" fillId="0" borderId="0" applyNumberFormat="0" applyFill="0" applyBorder="0" applyAlignment="0" applyProtection="0">
      <alignment vertical="top"/>
      <protection locked="0"/>
    </xf>
    <xf numFmtId="0" fontId="225" fillId="0" borderId="0" applyNumberFormat="0" applyFill="0" applyBorder="0" applyAlignment="0" applyProtection="0">
      <alignment vertical="top"/>
      <protection locked="0"/>
    </xf>
    <xf numFmtId="0" fontId="224" fillId="0" borderId="0" applyNumberFormat="0" applyFill="0" applyBorder="0" applyAlignment="0" applyProtection="0">
      <alignment vertical="top"/>
      <protection locked="0"/>
    </xf>
    <xf numFmtId="0" fontId="226" fillId="0" borderId="0" applyNumberFormat="0" applyFill="0" applyBorder="0" applyAlignment="0" applyProtection="0">
      <alignment vertical="top"/>
      <protection locked="0"/>
    </xf>
    <xf numFmtId="0" fontId="225" fillId="0" borderId="0" applyNumberFormat="0" applyFill="0" applyBorder="0" applyAlignment="0" applyProtection="0">
      <alignment vertical="top"/>
      <protection locked="0"/>
    </xf>
    <xf numFmtId="0" fontId="227" fillId="0" borderId="0" applyNumberFormat="0" applyFill="0" applyBorder="0" applyAlignment="0" applyProtection="0">
      <alignment vertical="top"/>
      <protection locked="0"/>
    </xf>
    <xf numFmtId="202" fontId="149" fillId="0" borderId="0" applyFont="0" applyFill="0" applyBorder="0" applyAlignment="0" applyProtection="0"/>
    <xf numFmtId="204" fontId="149" fillId="0" borderId="0" applyFont="0" applyFill="0" applyBorder="0" applyAlignment="0" applyProtection="0"/>
    <xf numFmtId="0" fontId="221" fillId="0" borderId="0"/>
    <xf numFmtId="194" fontId="173" fillId="0" borderId="0" applyFont="0" applyFill="0" applyBorder="0" applyAlignment="0" applyProtection="0"/>
    <xf numFmtId="0" fontId="2" fillId="0" borderId="0"/>
    <xf numFmtId="0" fontId="2" fillId="0" borderId="0"/>
    <xf numFmtId="0" fontId="173" fillId="0" borderId="0"/>
    <xf numFmtId="0" fontId="173" fillId="0" borderId="0"/>
    <xf numFmtId="0" fontId="71" fillId="0" borderId="0"/>
    <xf numFmtId="0" fontId="71" fillId="0" borderId="0"/>
    <xf numFmtId="172" fontId="228" fillId="0" borderId="0" applyFill="0" applyBorder="0" applyAlignment="0" applyProtection="0"/>
    <xf numFmtId="208" fontId="17" fillId="0" borderId="74" applyFont="0" applyBorder="0">
      <alignment horizontal="center"/>
    </xf>
    <xf numFmtId="208" fontId="17" fillId="0" borderId="74" applyFont="0" applyBorder="0">
      <alignment horizontal="center"/>
    </xf>
    <xf numFmtId="250" fontId="228" fillId="0" borderId="0" applyFill="0" applyBorder="0" applyAlignment="0" applyProtection="0"/>
    <xf numFmtId="251" fontId="229" fillId="0" borderId="10" applyFont="0" applyFill="0" applyBorder="0" applyAlignment="0" applyProtection="0">
      <alignment horizontal="center"/>
    </xf>
    <xf numFmtId="0" fontId="229" fillId="0" borderId="10" applyFont="0" applyFill="0" applyBorder="0" applyAlignment="0" applyProtection="0">
      <alignment horizontal="center"/>
    </xf>
    <xf numFmtId="251" fontId="229" fillId="0" borderId="10" applyFont="0" applyFill="0" applyBorder="0" applyAlignment="0" applyProtection="0">
      <alignment horizontal="center"/>
    </xf>
    <xf numFmtId="0" fontId="229" fillId="0" borderId="10" applyFont="0" applyFill="0" applyBorder="0" applyAlignment="0" applyProtection="0">
      <alignment horizontal="center"/>
    </xf>
    <xf numFmtId="251" fontId="230" fillId="0" borderId="10" applyFont="0" applyFill="0" applyBorder="0" applyAlignment="0" applyProtection="0">
      <alignment horizontal="center"/>
    </xf>
    <xf numFmtId="251" fontId="230" fillId="0" borderId="10" applyFont="0" applyFill="0" applyBorder="0" applyAlignment="0" applyProtection="0">
      <alignment horizontal="center"/>
    </xf>
    <xf numFmtId="251" fontId="230" fillId="0" borderId="10" applyFont="0" applyFill="0" applyBorder="0" applyAlignment="0" applyProtection="0">
      <alignment horizontal="center"/>
    </xf>
    <xf numFmtId="251" fontId="230" fillId="0" borderId="10" applyFont="0" applyFill="0" applyBorder="0" applyAlignment="0" applyProtection="0">
      <alignment horizontal="center"/>
    </xf>
    <xf numFmtId="251" fontId="230" fillId="0" borderId="10" applyFont="0" applyFill="0" applyBorder="0" applyAlignment="0" applyProtection="0">
      <alignment horizontal="center"/>
    </xf>
    <xf numFmtId="251" fontId="230" fillId="0" borderId="10" applyFont="0" applyFill="0" applyBorder="0" applyAlignment="0" applyProtection="0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3" fontId="231" fillId="0" borderId="6">
      <alignment horizontal="center"/>
    </xf>
    <xf numFmtId="253" fontId="231" fillId="0" borderId="6">
      <alignment horizontal="center"/>
    </xf>
    <xf numFmtId="253" fontId="231" fillId="0" borderId="6">
      <alignment horizontal="center"/>
    </xf>
    <xf numFmtId="253" fontId="231" fillId="0" borderId="6">
      <alignment horizontal="center"/>
    </xf>
    <xf numFmtId="253" fontId="231" fillId="0" borderId="6">
      <alignment horizontal="center"/>
    </xf>
    <xf numFmtId="253" fontId="231" fillId="0" borderId="6">
      <alignment horizontal="center"/>
    </xf>
    <xf numFmtId="253" fontId="231" fillId="0" borderId="6">
      <alignment horizontal="center"/>
    </xf>
    <xf numFmtId="253" fontId="231" fillId="0" borderId="6">
      <alignment horizontal="center"/>
    </xf>
    <xf numFmtId="253" fontId="231" fillId="0" borderId="6">
      <alignment horizontal="center"/>
    </xf>
    <xf numFmtId="253" fontId="231" fillId="0" borderId="6">
      <alignment horizontal="center"/>
    </xf>
    <xf numFmtId="253" fontId="231" fillId="0" borderId="6">
      <alignment horizontal="center"/>
    </xf>
    <xf numFmtId="253" fontId="231" fillId="0" borderId="6">
      <alignment horizontal="center"/>
    </xf>
    <xf numFmtId="253" fontId="231" fillId="0" borderId="6">
      <alignment horizontal="center"/>
    </xf>
    <xf numFmtId="253" fontId="231" fillId="0" borderId="6">
      <alignment horizontal="center"/>
    </xf>
    <xf numFmtId="253" fontId="231" fillId="0" borderId="6">
      <alignment horizontal="center"/>
    </xf>
    <xf numFmtId="253" fontId="231" fillId="0" borderId="6">
      <alignment horizontal="center"/>
    </xf>
    <xf numFmtId="253" fontId="231" fillId="0" borderId="6">
      <alignment horizontal="center"/>
    </xf>
    <xf numFmtId="253" fontId="231" fillId="0" borderId="6">
      <alignment horizontal="center"/>
    </xf>
    <xf numFmtId="253" fontId="231" fillId="0" borderId="6">
      <alignment horizontal="center"/>
    </xf>
    <xf numFmtId="253" fontId="231" fillId="0" borderId="6">
      <alignment horizontal="center"/>
    </xf>
    <xf numFmtId="253" fontId="231" fillId="0" borderId="6">
      <alignment horizontal="center"/>
    </xf>
    <xf numFmtId="253" fontId="231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3" fontId="231" fillId="0" borderId="6">
      <alignment horizontal="center"/>
    </xf>
    <xf numFmtId="253" fontId="231" fillId="0" borderId="6">
      <alignment horizontal="center"/>
    </xf>
    <xf numFmtId="253" fontId="231" fillId="0" borderId="6">
      <alignment horizontal="center"/>
    </xf>
    <xf numFmtId="253" fontId="231" fillId="0" borderId="6">
      <alignment horizontal="center"/>
    </xf>
    <xf numFmtId="253" fontId="231" fillId="0" borderId="6">
      <alignment horizontal="center"/>
    </xf>
    <xf numFmtId="253" fontId="231" fillId="0" borderId="6">
      <alignment horizontal="center"/>
    </xf>
    <xf numFmtId="253" fontId="231" fillId="0" borderId="6">
      <alignment horizontal="center"/>
    </xf>
    <xf numFmtId="253" fontId="231" fillId="0" borderId="6">
      <alignment horizontal="center"/>
    </xf>
    <xf numFmtId="253" fontId="231" fillId="0" borderId="6">
      <alignment horizontal="center"/>
    </xf>
    <xf numFmtId="253" fontId="231" fillId="0" borderId="6">
      <alignment horizontal="center"/>
    </xf>
    <xf numFmtId="253" fontId="231" fillId="0" borderId="6">
      <alignment horizontal="center"/>
    </xf>
    <xf numFmtId="253" fontId="231" fillId="0" borderId="6">
      <alignment horizontal="center"/>
    </xf>
    <xf numFmtId="253" fontId="231" fillId="0" borderId="6">
      <alignment horizontal="center"/>
    </xf>
    <xf numFmtId="253" fontId="231" fillId="0" borderId="6">
      <alignment horizontal="center"/>
    </xf>
    <xf numFmtId="253" fontId="231" fillId="0" borderId="6">
      <alignment horizontal="center"/>
    </xf>
    <xf numFmtId="253" fontId="231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3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251" fontId="232" fillId="0" borderId="10" applyFont="0" applyFill="0" applyBorder="0" applyAlignment="0" applyProtection="0">
      <alignment horizontal="center"/>
    </xf>
    <xf numFmtId="251" fontId="232" fillId="0" borderId="10" applyFont="0" applyFill="0" applyBorder="0" applyAlignment="0" applyProtection="0">
      <alignment horizontal="center"/>
    </xf>
    <xf numFmtId="251" fontId="232" fillId="0" borderId="10" applyFont="0" applyFill="0" applyBorder="0" applyAlignment="0" applyProtection="0">
      <alignment horizontal="center"/>
    </xf>
    <xf numFmtId="251" fontId="232" fillId="0" borderId="10" applyFont="0" applyFill="0" applyBorder="0" applyAlignment="0" applyProtection="0">
      <alignment horizontal="center"/>
    </xf>
    <xf numFmtId="251" fontId="232" fillId="0" borderId="10" applyFont="0" applyFill="0" applyBorder="0" applyAlignment="0" applyProtection="0">
      <alignment horizontal="center"/>
    </xf>
    <xf numFmtId="251" fontId="232" fillId="0" borderId="10" applyFont="0" applyFill="0" applyBorder="0" applyAlignment="0" applyProtection="0">
      <alignment horizontal="center"/>
    </xf>
    <xf numFmtId="251" fontId="232" fillId="0" borderId="10" applyFont="0" applyFill="0" applyBorder="0" applyAlignment="0" applyProtection="0">
      <alignment horizontal="center"/>
    </xf>
    <xf numFmtId="251" fontId="232" fillId="0" borderId="10" applyFont="0" applyFill="0" applyBorder="0" applyAlignment="0" applyProtection="0">
      <alignment horizontal="center"/>
    </xf>
    <xf numFmtId="9" fontId="233" fillId="0" borderId="0" applyFont="0" applyFill="0" applyBorder="0" applyAlignment="0" applyProtection="0"/>
    <xf numFmtId="9" fontId="234" fillId="0" borderId="0" applyFont="0" applyFill="0" applyBorder="0" applyAlignment="0" applyProtection="0"/>
    <xf numFmtId="9" fontId="91" fillId="0" borderId="0" applyFont="0" applyFill="0" applyBorder="0" applyAlignment="0" applyProtection="0"/>
    <xf numFmtId="9" fontId="235" fillId="0" borderId="0" applyFont="0" applyFill="0" applyBorder="0" applyAlignment="0" applyProtection="0"/>
    <xf numFmtId="0" fontId="236" fillId="43" borderId="0" applyNumberFormat="0" applyBorder="0" applyAlignment="0" applyProtection="0"/>
    <xf numFmtId="0" fontId="236" fillId="43" borderId="0" applyNumberFormat="0" applyBorder="0" applyAlignment="0" applyProtection="0"/>
    <xf numFmtId="0" fontId="236" fillId="44" borderId="0" applyNumberFormat="0" applyBorder="0" applyAlignment="0" applyProtection="0"/>
    <xf numFmtId="0" fontId="236" fillId="44" borderId="0" applyNumberFormat="0" applyBorder="0" applyAlignment="0" applyProtection="0"/>
    <xf numFmtId="0" fontId="236" fillId="45" borderId="0" applyNumberFormat="0" applyBorder="0" applyAlignment="0" applyProtection="0"/>
    <xf numFmtId="0" fontId="236" fillId="45" borderId="0" applyNumberFormat="0" applyBorder="0" applyAlignment="0" applyProtection="0"/>
    <xf numFmtId="0" fontId="236" fillId="46" borderId="0" applyNumberFormat="0" applyBorder="0" applyAlignment="0" applyProtection="0"/>
    <xf numFmtId="0" fontId="236" fillId="46" borderId="0" applyNumberFormat="0" applyBorder="0" applyAlignment="0" applyProtection="0"/>
    <xf numFmtId="0" fontId="236" fillId="47" borderId="0" applyNumberFormat="0" applyBorder="0" applyAlignment="0" applyProtection="0"/>
    <xf numFmtId="0" fontId="236" fillId="47" borderId="0" applyNumberFormat="0" applyBorder="0" applyAlignment="0" applyProtection="0"/>
    <xf numFmtId="0" fontId="236" fillId="48" borderId="0" applyNumberFormat="0" applyBorder="0" applyAlignment="0" applyProtection="0"/>
    <xf numFmtId="0" fontId="236" fillId="48" borderId="0" applyNumberFormat="0" applyBorder="0" applyAlignment="0" applyProtection="0"/>
    <xf numFmtId="0" fontId="237" fillId="43" borderId="0" applyNumberFormat="0" applyBorder="0" applyAlignment="0" applyProtection="0"/>
    <xf numFmtId="0" fontId="236" fillId="43" borderId="0" applyNumberFormat="0" applyBorder="0" applyAlignment="0" applyProtection="0"/>
    <xf numFmtId="0" fontId="236" fillId="43" borderId="0" applyNumberFormat="0" applyBorder="0" applyAlignment="0" applyProtection="0"/>
    <xf numFmtId="0" fontId="236" fillId="48" borderId="0" applyNumberFormat="0" applyBorder="0" applyAlignment="0" applyProtection="0"/>
    <xf numFmtId="0" fontId="236" fillId="43" borderId="0" applyNumberFormat="0" applyBorder="0" applyAlignment="0" applyProtection="0"/>
    <xf numFmtId="0" fontId="236" fillId="43" borderId="0" applyNumberFormat="0" applyBorder="0" applyAlignment="0" applyProtection="0"/>
    <xf numFmtId="0" fontId="238" fillId="43" borderId="0" applyNumberFormat="0" applyBorder="0" applyAlignment="0" applyProtection="0"/>
    <xf numFmtId="0" fontId="236" fillId="43" borderId="0" applyNumberFormat="0" applyBorder="0" applyAlignment="0" applyProtection="0"/>
    <xf numFmtId="0" fontId="238" fillId="43" borderId="0" applyNumberFormat="0" applyBorder="0" applyAlignment="0" applyProtection="0"/>
    <xf numFmtId="0" fontId="239" fillId="43" borderId="0" applyNumberFormat="0" applyBorder="0" applyAlignment="0" applyProtection="0"/>
    <xf numFmtId="0" fontId="236" fillId="49" borderId="0" applyNumberFormat="0" applyBorder="0" applyAlignment="0" applyProtection="0"/>
    <xf numFmtId="0" fontId="236" fillId="49" borderId="0" applyNumberFormat="0" applyBorder="0" applyAlignment="0" applyProtection="0"/>
    <xf numFmtId="0" fontId="238" fillId="43" borderId="0" applyNumberFormat="0" applyBorder="0" applyAlignment="0" applyProtection="0"/>
    <xf numFmtId="0" fontId="237" fillId="43" borderId="0" applyNumberFormat="0" applyBorder="0" applyAlignment="0" applyProtection="0"/>
    <xf numFmtId="0" fontId="239" fillId="43" borderId="0" applyNumberFormat="0" applyBorder="0" applyAlignment="0" applyProtection="0"/>
    <xf numFmtId="0" fontId="171" fillId="43" borderId="0" applyNumberFormat="0" applyBorder="0" applyAlignment="0" applyProtection="0"/>
    <xf numFmtId="0" fontId="237" fillId="44" borderId="0" applyNumberFormat="0" applyBorder="0" applyAlignment="0" applyProtection="0"/>
    <xf numFmtId="0" fontId="236" fillId="44" borderId="0" applyNumberFormat="0" applyBorder="0" applyAlignment="0" applyProtection="0"/>
    <xf numFmtId="0" fontId="236" fillId="44" borderId="0" applyNumberFormat="0" applyBorder="0" applyAlignment="0" applyProtection="0"/>
    <xf numFmtId="0" fontId="236" fillId="50" borderId="0" applyNumberFormat="0" applyBorder="0" applyAlignment="0" applyProtection="0"/>
    <xf numFmtId="0" fontId="236" fillId="44" borderId="0" applyNumberFormat="0" applyBorder="0" applyAlignment="0" applyProtection="0"/>
    <xf numFmtId="0" fontId="236" fillId="44" borderId="0" applyNumberFormat="0" applyBorder="0" applyAlignment="0" applyProtection="0"/>
    <xf numFmtId="0" fontId="238" fillId="44" borderId="0" applyNumberFormat="0" applyBorder="0" applyAlignment="0" applyProtection="0"/>
    <xf numFmtId="0" fontId="236" fillId="44" borderId="0" applyNumberFormat="0" applyBorder="0" applyAlignment="0" applyProtection="0"/>
    <xf numFmtId="0" fontId="238" fillId="44" borderId="0" applyNumberFormat="0" applyBorder="0" applyAlignment="0" applyProtection="0"/>
    <xf numFmtId="0" fontId="239" fillId="44" borderId="0" applyNumberFormat="0" applyBorder="0" applyAlignment="0" applyProtection="0"/>
    <xf numFmtId="0" fontId="236" fillId="50" borderId="0" applyNumberFormat="0" applyBorder="0" applyAlignment="0" applyProtection="0"/>
    <xf numFmtId="0" fontId="236" fillId="50" borderId="0" applyNumberFormat="0" applyBorder="0" applyAlignment="0" applyProtection="0"/>
    <xf numFmtId="0" fontId="238" fillId="44" borderId="0" applyNumberFormat="0" applyBorder="0" applyAlignment="0" applyProtection="0"/>
    <xf numFmtId="0" fontId="237" fillId="44" borderId="0" applyNumberFormat="0" applyBorder="0" applyAlignment="0" applyProtection="0"/>
    <xf numFmtId="0" fontId="239" fillId="44" borderId="0" applyNumberFormat="0" applyBorder="0" applyAlignment="0" applyProtection="0"/>
    <xf numFmtId="0" fontId="171" fillId="44" borderId="0" applyNumberFormat="0" applyBorder="0" applyAlignment="0" applyProtection="0"/>
    <xf numFmtId="0" fontId="237" fillId="45" borderId="0" applyNumberFormat="0" applyBorder="0" applyAlignment="0" applyProtection="0"/>
    <xf numFmtId="0" fontId="236" fillId="45" borderId="0" applyNumberFormat="0" applyBorder="0" applyAlignment="0" applyProtection="0"/>
    <xf numFmtId="0" fontId="236" fillId="45" borderId="0" applyNumberFormat="0" applyBorder="0" applyAlignment="0" applyProtection="0"/>
    <xf numFmtId="0" fontId="236" fillId="51" borderId="0" applyNumberFormat="0" applyBorder="0" applyAlignment="0" applyProtection="0"/>
    <xf numFmtId="0" fontId="236" fillId="45" borderId="0" applyNumberFormat="0" applyBorder="0" applyAlignment="0" applyProtection="0"/>
    <xf numFmtId="0" fontId="236" fillId="45" borderId="0" applyNumberFormat="0" applyBorder="0" applyAlignment="0" applyProtection="0"/>
    <xf numFmtId="0" fontId="238" fillId="45" borderId="0" applyNumberFormat="0" applyBorder="0" applyAlignment="0" applyProtection="0"/>
    <xf numFmtId="0" fontId="236" fillId="45" borderId="0" applyNumberFormat="0" applyBorder="0" applyAlignment="0" applyProtection="0"/>
    <xf numFmtId="0" fontId="238" fillId="45" borderId="0" applyNumberFormat="0" applyBorder="0" applyAlignment="0" applyProtection="0"/>
    <xf numFmtId="0" fontId="239" fillId="45" borderId="0" applyNumberFormat="0" applyBorder="0" applyAlignment="0" applyProtection="0"/>
    <xf numFmtId="0" fontId="236" fillId="51" borderId="0" applyNumberFormat="0" applyBorder="0" applyAlignment="0" applyProtection="0"/>
    <xf numFmtId="0" fontId="236" fillId="51" borderId="0" applyNumberFormat="0" applyBorder="0" applyAlignment="0" applyProtection="0"/>
    <xf numFmtId="0" fontId="238" fillId="45" borderId="0" applyNumberFormat="0" applyBorder="0" applyAlignment="0" applyProtection="0"/>
    <xf numFmtId="0" fontId="237" fillId="45" borderId="0" applyNumberFormat="0" applyBorder="0" applyAlignment="0" applyProtection="0"/>
    <xf numFmtId="0" fontId="239" fillId="45" borderId="0" applyNumberFormat="0" applyBorder="0" applyAlignment="0" applyProtection="0"/>
    <xf numFmtId="0" fontId="171" fillId="45" borderId="0" applyNumberFormat="0" applyBorder="0" applyAlignment="0" applyProtection="0"/>
    <xf numFmtId="0" fontId="237" fillId="46" borderId="0" applyNumberFormat="0" applyBorder="0" applyAlignment="0" applyProtection="0"/>
    <xf numFmtId="0" fontId="236" fillId="46" borderId="0" applyNumberFormat="0" applyBorder="0" applyAlignment="0" applyProtection="0"/>
    <xf numFmtId="0" fontId="236" fillId="46" borderId="0" applyNumberFormat="0" applyBorder="0" applyAlignment="0" applyProtection="0"/>
    <xf numFmtId="0" fontId="236" fillId="48" borderId="0" applyNumberFormat="0" applyBorder="0" applyAlignment="0" applyProtection="0"/>
    <xf numFmtId="0" fontId="236" fillId="46" borderId="0" applyNumberFormat="0" applyBorder="0" applyAlignment="0" applyProtection="0"/>
    <xf numFmtId="0" fontId="236" fillId="46" borderId="0" applyNumberFormat="0" applyBorder="0" applyAlignment="0" applyProtection="0"/>
    <xf numFmtId="0" fontId="238" fillId="46" borderId="0" applyNumberFormat="0" applyBorder="0" applyAlignment="0" applyProtection="0"/>
    <xf numFmtId="0" fontId="236" fillId="46" borderId="0" applyNumberFormat="0" applyBorder="0" applyAlignment="0" applyProtection="0"/>
    <xf numFmtId="0" fontId="238" fillId="46" borderId="0" applyNumberFormat="0" applyBorder="0" applyAlignment="0" applyProtection="0"/>
    <xf numFmtId="0" fontId="239" fillId="46" borderId="0" applyNumberFormat="0" applyBorder="0" applyAlignment="0" applyProtection="0"/>
    <xf numFmtId="0" fontId="236" fillId="48" borderId="0" applyNumberFormat="0" applyBorder="0" applyAlignment="0" applyProtection="0"/>
    <xf numFmtId="0" fontId="236" fillId="48" borderId="0" applyNumberFormat="0" applyBorder="0" applyAlignment="0" applyProtection="0"/>
    <xf numFmtId="0" fontId="238" fillId="46" borderId="0" applyNumberFormat="0" applyBorder="0" applyAlignment="0" applyProtection="0"/>
    <xf numFmtId="0" fontId="237" fillId="46" borderId="0" applyNumberFormat="0" applyBorder="0" applyAlignment="0" applyProtection="0"/>
    <xf numFmtId="0" fontId="239" fillId="46" borderId="0" applyNumberFormat="0" applyBorder="0" applyAlignment="0" applyProtection="0"/>
    <xf numFmtId="0" fontId="171" fillId="46" borderId="0" applyNumberFormat="0" applyBorder="0" applyAlignment="0" applyProtection="0"/>
    <xf numFmtId="0" fontId="237" fillId="47" borderId="0" applyNumberFormat="0" applyBorder="0" applyAlignment="0" applyProtection="0"/>
    <xf numFmtId="0" fontId="236" fillId="47" borderId="0" applyNumberFormat="0" applyBorder="0" applyAlignment="0" applyProtection="0"/>
    <xf numFmtId="0" fontId="236" fillId="47" borderId="0" applyNumberFormat="0" applyBorder="0" applyAlignment="0" applyProtection="0"/>
    <xf numFmtId="0" fontId="236" fillId="47" borderId="0" applyNumberFormat="0" applyBorder="0" applyAlignment="0" applyProtection="0"/>
    <xf numFmtId="0" fontId="236" fillId="47" borderId="0" applyNumberFormat="0" applyBorder="0" applyAlignment="0" applyProtection="0"/>
    <xf numFmtId="0" fontId="238" fillId="47" borderId="0" applyNumberFormat="0" applyBorder="0" applyAlignment="0" applyProtection="0"/>
    <xf numFmtId="0" fontId="236" fillId="47" borderId="0" applyNumberFormat="0" applyBorder="0" applyAlignment="0" applyProtection="0"/>
    <xf numFmtId="0" fontId="238" fillId="47" borderId="0" applyNumberFormat="0" applyBorder="0" applyAlignment="0" applyProtection="0"/>
    <xf numFmtId="0" fontId="239" fillId="47" borderId="0" applyNumberFormat="0" applyBorder="0" applyAlignment="0" applyProtection="0"/>
    <xf numFmtId="0" fontId="237" fillId="47" borderId="0" applyNumberFormat="0" applyBorder="0" applyAlignment="0" applyProtection="0"/>
    <xf numFmtId="0" fontId="237" fillId="47" borderId="0" applyNumberFormat="0" applyBorder="0" applyAlignment="0" applyProtection="0"/>
    <xf numFmtId="0" fontId="238" fillId="47" borderId="0" applyNumberFormat="0" applyBorder="0" applyAlignment="0" applyProtection="0"/>
    <xf numFmtId="0" fontId="239" fillId="47" borderId="0" applyNumberFormat="0" applyBorder="0" applyAlignment="0" applyProtection="0"/>
    <xf numFmtId="0" fontId="171" fillId="47" borderId="0" applyNumberFormat="0" applyBorder="0" applyAlignment="0" applyProtection="0"/>
    <xf numFmtId="0" fontId="237" fillId="48" borderId="0" applyNumberFormat="0" applyBorder="0" applyAlignment="0" applyProtection="0"/>
    <xf numFmtId="0" fontId="236" fillId="48" borderId="0" applyNumberFormat="0" applyBorder="0" applyAlignment="0" applyProtection="0"/>
    <xf numFmtId="0" fontId="236" fillId="48" borderId="0" applyNumberFormat="0" applyBorder="0" applyAlignment="0" applyProtection="0"/>
    <xf numFmtId="0" fontId="236" fillId="51" borderId="0" applyNumberFormat="0" applyBorder="0" applyAlignment="0" applyProtection="0"/>
    <xf numFmtId="0" fontId="236" fillId="48" borderId="0" applyNumberFormat="0" applyBorder="0" applyAlignment="0" applyProtection="0"/>
    <xf numFmtId="0" fontId="236" fillId="48" borderId="0" applyNumberFormat="0" applyBorder="0" applyAlignment="0" applyProtection="0"/>
    <xf numFmtId="0" fontId="238" fillId="48" borderId="0" applyNumberFormat="0" applyBorder="0" applyAlignment="0" applyProtection="0"/>
    <xf numFmtId="0" fontId="236" fillId="48" borderId="0" applyNumberFormat="0" applyBorder="0" applyAlignment="0" applyProtection="0"/>
    <xf numFmtId="0" fontId="238" fillId="48" borderId="0" applyNumberFormat="0" applyBorder="0" applyAlignment="0" applyProtection="0"/>
    <xf numFmtId="0" fontId="239" fillId="48" borderId="0" applyNumberFormat="0" applyBorder="0" applyAlignment="0" applyProtection="0"/>
    <xf numFmtId="0" fontId="236" fillId="51" borderId="0" applyNumberFormat="0" applyBorder="0" applyAlignment="0" applyProtection="0"/>
    <xf numFmtId="0" fontId="236" fillId="51" borderId="0" applyNumberFormat="0" applyBorder="0" applyAlignment="0" applyProtection="0"/>
    <xf numFmtId="0" fontId="238" fillId="48" borderId="0" applyNumberFormat="0" applyBorder="0" applyAlignment="0" applyProtection="0"/>
    <xf numFmtId="0" fontId="237" fillId="48" borderId="0" applyNumberFormat="0" applyBorder="0" applyAlignment="0" applyProtection="0"/>
    <xf numFmtId="0" fontId="239" fillId="48" borderId="0" applyNumberFormat="0" applyBorder="0" applyAlignment="0" applyProtection="0"/>
    <xf numFmtId="0" fontId="171" fillId="48" borderId="0" applyNumberFormat="0" applyBorder="0" applyAlignment="0" applyProtection="0"/>
    <xf numFmtId="0" fontId="236" fillId="43" borderId="0" applyNumberFormat="0" applyBorder="0" applyAlignment="0" applyProtection="0"/>
    <xf numFmtId="0" fontId="236" fillId="44" borderId="0" applyNumberFormat="0" applyBorder="0" applyAlignment="0" applyProtection="0"/>
    <xf numFmtId="0" fontId="236" fillId="45" borderId="0" applyNumberFormat="0" applyBorder="0" applyAlignment="0" applyProtection="0"/>
    <xf numFmtId="0" fontId="236" fillId="46" borderId="0" applyNumberFormat="0" applyBorder="0" applyAlignment="0" applyProtection="0"/>
    <xf numFmtId="0" fontId="236" fillId="47" borderId="0" applyNumberFormat="0" applyBorder="0" applyAlignment="0" applyProtection="0"/>
    <xf numFmtId="0" fontId="236" fillId="48" borderId="0" applyNumberFormat="0" applyBorder="0" applyAlignment="0" applyProtection="0"/>
    <xf numFmtId="0" fontId="4" fillId="29" borderId="0" applyNumberFormat="0" applyBorder="0" applyAlignment="0" applyProtection="0">
      <alignment vertical="center"/>
    </xf>
    <xf numFmtId="0" fontId="236" fillId="43" borderId="0" applyNumberFormat="0" applyBorder="0" applyAlignment="0" applyProtection="0"/>
    <xf numFmtId="0" fontId="240" fillId="43" borderId="0" applyNumberFormat="0" applyBorder="0" applyAlignment="0" applyProtection="0">
      <alignment vertical="center"/>
    </xf>
    <xf numFmtId="0" fontId="240" fillId="43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236" fillId="44" borderId="0" applyNumberFormat="0" applyBorder="0" applyAlignment="0" applyProtection="0"/>
    <xf numFmtId="0" fontId="240" fillId="44" borderId="0" applyNumberFormat="0" applyBorder="0" applyAlignment="0" applyProtection="0">
      <alignment vertical="center"/>
    </xf>
    <xf numFmtId="0" fontId="240" fillId="44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236" fillId="45" borderId="0" applyNumberFormat="0" applyBorder="0" applyAlignment="0" applyProtection="0"/>
    <xf numFmtId="0" fontId="240" fillId="45" borderId="0" applyNumberFormat="0" applyBorder="0" applyAlignment="0" applyProtection="0">
      <alignment vertical="center"/>
    </xf>
    <xf numFmtId="0" fontId="240" fillId="45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236" fillId="46" borderId="0" applyNumberFormat="0" applyBorder="0" applyAlignment="0" applyProtection="0"/>
    <xf numFmtId="0" fontId="240" fillId="46" borderId="0" applyNumberFormat="0" applyBorder="0" applyAlignment="0" applyProtection="0">
      <alignment vertical="center"/>
    </xf>
    <xf numFmtId="0" fontId="240" fillId="46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236" fillId="47" borderId="0" applyNumberFormat="0" applyBorder="0" applyAlignment="0" applyProtection="0"/>
    <xf numFmtId="0" fontId="240" fillId="47" borderId="0" applyNumberFormat="0" applyBorder="0" applyAlignment="0" applyProtection="0">
      <alignment vertical="center"/>
    </xf>
    <xf numFmtId="0" fontId="240" fillId="4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236" fillId="48" borderId="0" applyNumberFormat="0" applyBorder="0" applyAlignment="0" applyProtection="0"/>
    <xf numFmtId="0" fontId="240" fillId="48" borderId="0" applyNumberFormat="0" applyBorder="0" applyAlignment="0" applyProtection="0">
      <alignment vertical="center"/>
    </xf>
    <xf numFmtId="0" fontId="240" fillId="4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241" fillId="43" borderId="0" applyNumberFormat="0" applyBorder="0" applyAlignment="0" applyProtection="0">
      <alignment vertical="center"/>
    </xf>
    <xf numFmtId="0" fontId="241" fillId="43" borderId="0" applyNumberFormat="0" applyBorder="0" applyAlignment="0" applyProtection="0">
      <alignment vertical="center"/>
    </xf>
    <xf numFmtId="0" fontId="241" fillId="43" borderId="0" applyNumberFormat="0" applyBorder="0" applyAlignment="0" applyProtection="0">
      <alignment vertical="center"/>
    </xf>
    <xf numFmtId="0" fontId="241" fillId="43" borderId="0" applyNumberFormat="0" applyBorder="0" applyAlignment="0" applyProtection="0">
      <alignment vertical="center"/>
    </xf>
    <xf numFmtId="0" fontId="242" fillId="43" borderId="0" applyNumberFormat="0" applyBorder="0" applyAlignment="0" applyProtection="0">
      <alignment vertical="center"/>
    </xf>
    <xf numFmtId="0" fontId="241" fillId="43" borderId="0" applyNumberFormat="0" applyBorder="0" applyAlignment="0" applyProtection="0">
      <alignment vertical="center"/>
    </xf>
    <xf numFmtId="0" fontId="241" fillId="43" borderId="0" applyNumberFormat="0" applyBorder="0" applyAlignment="0" applyProtection="0">
      <alignment vertical="center"/>
    </xf>
    <xf numFmtId="0" fontId="241" fillId="44" borderId="0" applyNumberFormat="0" applyBorder="0" applyAlignment="0" applyProtection="0">
      <alignment vertical="center"/>
    </xf>
    <xf numFmtId="0" fontId="241" fillId="44" borderId="0" applyNumberFormat="0" applyBorder="0" applyAlignment="0" applyProtection="0">
      <alignment vertical="center"/>
    </xf>
    <xf numFmtId="0" fontId="241" fillId="44" borderId="0" applyNumberFormat="0" applyBorder="0" applyAlignment="0" applyProtection="0">
      <alignment vertical="center"/>
    </xf>
    <xf numFmtId="0" fontId="241" fillId="44" borderId="0" applyNumberFormat="0" applyBorder="0" applyAlignment="0" applyProtection="0">
      <alignment vertical="center"/>
    </xf>
    <xf numFmtId="0" fontId="242" fillId="44" borderId="0" applyNumberFormat="0" applyBorder="0" applyAlignment="0" applyProtection="0">
      <alignment vertical="center"/>
    </xf>
    <xf numFmtId="0" fontId="241" fillId="44" borderId="0" applyNumberFormat="0" applyBorder="0" applyAlignment="0" applyProtection="0">
      <alignment vertical="center"/>
    </xf>
    <xf numFmtId="0" fontId="241" fillId="44" borderId="0" applyNumberFormat="0" applyBorder="0" applyAlignment="0" applyProtection="0">
      <alignment vertical="center"/>
    </xf>
    <xf numFmtId="0" fontId="241" fillId="45" borderId="0" applyNumberFormat="0" applyBorder="0" applyAlignment="0" applyProtection="0">
      <alignment vertical="center"/>
    </xf>
    <xf numFmtId="0" fontId="241" fillId="45" borderId="0" applyNumberFormat="0" applyBorder="0" applyAlignment="0" applyProtection="0">
      <alignment vertical="center"/>
    </xf>
    <xf numFmtId="0" fontId="241" fillId="45" borderId="0" applyNumberFormat="0" applyBorder="0" applyAlignment="0" applyProtection="0">
      <alignment vertical="center"/>
    </xf>
    <xf numFmtId="0" fontId="241" fillId="45" borderId="0" applyNumberFormat="0" applyBorder="0" applyAlignment="0" applyProtection="0">
      <alignment vertical="center"/>
    </xf>
    <xf numFmtId="0" fontId="242" fillId="45" borderId="0" applyNumberFormat="0" applyBorder="0" applyAlignment="0" applyProtection="0">
      <alignment vertical="center"/>
    </xf>
    <xf numFmtId="0" fontId="241" fillId="45" borderId="0" applyNumberFormat="0" applyBorder="0" applyAlignment="0" applyProtection="0">
      <alignment vertical="center"/>
    </xf>
    <xf numFmtId="0" fontId="241" fillId="45" borderId="0" applyNumberFormat="0" applyBorder="0" applyAlignment="0" applyProtection="0">
      <alignment vertical="center"/>
    </xf>
    <xf numFmtId="0" fontId="241" fillId="46" borderId="0" applyNumberFormat="0" applyBorder="0" applyAlignment="0" applyProtection="0">
      <alignment vertical="center"/>
    </xf>
    <xf numFmtId="0" fontId="241" fillId="46" borderId="0" applyNumberFormat="0" applyBorder="0" applyAlignment="0" applyProtection="0">
      <alignment vertical="center"/>
    </xf>
    <xf numFmtId="0" fontId="241" fillId="46" borderId="0" applyNumberFormat="0" applyBorder="0" applyAlignment="0" applyProtection="0">
      <alignment vertical="center"/>
    </xf>
    <xf numFmtId="0" fontId="241" fillId="46" borderId="0" applyNumberFormat="0" applyBorder="0" applyAlignment="0" applyProtection="0">
      <alignment vertical="center"/>
    </xf>
    <xf numFmtId="0" fontId="242" fillId="46" borderId="0" applyNumberFormat="0" applyBorder="0" applyAlignment="0" applyProtection="0">
      <alignment vertical="center"/>
    </xf>
    <xf numFmtId="0" fontId="241" fillId="46" borderId="0" applyNumberFormat="0" applyBorder="0" applyAlignment="0" applyProtection="0">
      <alignment vertical="center"/>
    </xf>
    <xf numFmtId="0" fontId="241" fillId="46" borderId="0" applyNumberFormat="0" applyBorder="0" applyAlignment="0" applyProtection="0">
      <alignment vertical="center"/>
    </xf>
    <xf numFmtId="0" fontId="241" fillId="47" borderId="0" applyNumberFormat="0" applyBorder="0" applyAlignment="0" applyProtection="0">
      <alignment vertical="center"/>
    </xf>
    <xf numFmtId="0" fontId="241" fillId="47" borderId="0" applyNumberFormat="0" applyBorder="0" applyAlignment="0" applyProtection="0">
      <alignment vertical="center"/>
    </xf>
    <xf numFmtId="0" fontId="241" fillId="47" borderId="0" applyNumberFormat="0" applyBorder="0" applyAlignment="0" applyProtection="0">
      <alignment vertical="center"/>
    </xf>
    <xf numFmtId="0" fontId="241" fillId="47" borderId="0" applyNumberFormat="0" applyBorder="0" applyAlignment="0" applyProtection="0">
      <alignment vertical="center"/>
    </xf>
    <xf numFmtId="0" fontId="242" fillId="47" borderId="0" applyNumberFormat="0" applyBorder="0" applyAlignment="0" applyProtection="0">
      <alignment vertical="center"/>
    </xf>
    <xf numFmtId="0" fontId="241" fillId="47" borderId="0" applyNumberFormat="0" applyBorder="0" applyAlignment="0" applyProtection="0">
      <alignment vertical="center"/>
    </xf>
    <xf numFmtId="0" fontId="241" fillId="47" borderId="0" applyNumberFormat="0" applyBorder="0" applyAlignment="0" applyProtection="0">
      <alignment vertical="center"/>
    </xf>
    <xf numFmtId="0" fontId="241" fillId="48" borderId="0" applyNumberFormat="0" applyBorder="0" applyAlignment="0" applyProtection="0">
      <alignment vertical="center"/>
    </xf>
    <xf numFmtId="0" fontId="241" fillId="48" borderId="0" applyNumberFormat="0" applyBorder="0" applyAlignment="0" applyProtection="0">
      <alignment vertical="center"/>
    </xf>
    <xf numFmtId="0" fontId="241" fillId="48" borderId="0" applyNumberFormat="0" applyBorder="0" applyAlignment="0" applyProtection="0">
      <alignment vertical="center"/>
    </xf>
    <xf numFmtId="0" fontId="241" fillId="48" borderId="0" applyNumberFormat="0" applyBorder="0" applyAlignment="0" applyProtection="0">
      <alignment vertical="center"/>
    </xf>
    <xf numFmtId="0" fontId="242" fillId="48" borderId="0" applyNumberFormat="0" applyBorder="0" applyAlignment="0" applyProtection="0">
      <alignment vertical="center"/>
    </xf>
    <xf numFmtId="0" fontId="241" fillId="48" borderId="0" applyNumberFormat="0" applyBorder="0" applyAlignment="0" applyProtection="0">
      <alignment vertical="center"/>
    </xf>
    <xf numFmtId="0" fontId="241" fillId="48" borderId="0" applyNumberFormat="0" applyBorder="0" applyAlignment="0" applyProtection="0">
      <alignment vertical="center"/>
    </xf>
    <xf numFmtId="252" fontId="167" fillId="0" borderId="0" applyFont="0" applyFill="0" applyBorder="0" applyAlignment="0" applyProtection="0"/>
    <xf numFmtId="0" fontId="17" fillId="0" borderId="0"/>
    <xf numFmtId="0" fontId="17" fillId="0" borderId="0"/>
    <xf numFmtId="217" fontId="17" fillId="0" borderId="0" applyFont="0" applyFill="0" applyBorder="0" applyAlignment="0" applyProtection="0"/>
    <xf numFmtId="215" fontId="17" fillId="0" borderId="0" applyFont="0" applyFill="0" applyBorder="0" applyAlignment="0" applyProtection="0"/>
    <xf numFmtId="0" fontId="236" fillId="49" borderId="0" applyNumberFormat="0" applyBorder="0" applyAlignment="0" applyProtection="0"/>
    <xf numFmtId="0" fontId="236" fillId="49" borderId="0" applyNumberFormat="0" applyBorder="0" applyAlignment="0" applyProtection="0"/>
    <xf numFmtId="0" fontId="236" fillId="50" borderId="0" applyNumberFormat="0" applyBorder="0" applyAlignment="0" applyProtection="0"/>
    <xf numFmtId="0" fontId="236" fillId="50" borderId="0" applyNumberFormat="0" applyBorder="0" applyAlignment="0" applyProtection="0"/>
    <xf numFmtId="0" fontId="236" fillId="52" borderId="0" applyNumberFormat="0" applyBorder="0" applyAlignment="0" applyProtection="0"/>
    <xf numFmtId="0" fontId="236" fillId="52" borderId="0" applyNumberFormat="0" applyBorder="0" applyAlignment="0" applyProtection="0"/>
    <xf numFmtId="0" fontId="236" fillId="46" borderId="0" applyNumberFormat="0" applyBorder="0" applyAlignment="0" applyProtection="0"/>
    <xf numFmtId="0" fontId="236" fillId="46" borderId="0" applyNumberFormat="0" applyBorder="0" applyAlignment="0" applyProtection="0"/>
    <xf numFmtId="0" fontId="236" fillId="49" borderId="0" applyNumberFormat="0" applyBorder="0" applyAlignment="0" applyProtection="0"/>
    <xf numFmtId="0" fontId="236" fillId="49" borderId="0" applyNumberFormat="0" applyBorder="0" applyAlignment="0" applyProtection="0"/>
    <xf numFmtId="0" fontId="236" fillId="53" borderId="0" applyNumberFormat="0" applyBorder="0" applyAlignment="0" applyProtection="0"/>
    <xf numFmtId="0" fontId="236" fillId="53" borderId="0" applyNumberFormat="0" applyBorder="0" applyAlignment="0" applyProtection="0"/>
    <xf numFmtId="0" fontId="237" fillId="49" borderId="0" applyNumberFormat="0" applyBorder="0" applyAlignment="0" applyProtection="0"/>
    <xf numFmtId="0" fontId="236" fillId="49" borderId="0" applyNumberFormat="0" applyBorder="0" applyAlignment="0" applyProtection="0"/>
    <xf numFmtId="0" fontId="236" fillId="49" borderId="0" applyNumberFormat="0" applyBorder="0" applyAlignment="0" applyProtection="0"/>
    <xf numFmtId="0" fontId="236" fillId="54" borderId="0" applyNumberFormat="0" applyBorder="0" applyAlignment="0" applyProtection="0"/>
    <xf numFmtId="0" fontId="236" fillId="49" borderId="0" applyNumberFormat="0" applyBorder="0" applyAlignment="0" applyProtection="0"/>
    <xf numFmtId="0" fontId="236" fillId="49" borderId="0" applyNumberFormat="0" applyBorder="0" applyAlignment="0" applyProtection="0"/>
    <xf numFmtId="0" fontId="238" fillId="49" borderId="0" applyNumberFormat="0" applyBorder="0" applyAlignment="0" applyProtection="0"/>
    <xf numFmtId="0" fontId="236" fillId="49" borderId="0" applyNumberFormat="0" applyBorder="0" applyAlignment="0" applyProtection="0"/>
    <xf numFmtId="0" fontId="238" fillId="49" borderId="0" applyNumberFormat="0" applyBorder="0" applyAlignment="0" applyProtection="0"/>
    <xf numFmtId="0" fontId="239" fillId="49" borderId="0" applyNumberFormat="0" applyBorder="0" applyAlignment="0" applyProtection="0"/>
    <xf numFmtId="0" fontId="236" fillId="47" borderId="0" applyNumberFormat="0" applyBorder="0" applyAlignment="0" applyProtection="0"/>
    <xf numFmtId="0" fontId="236" fillId="47" borderId="0" applyNumberFormat="0" applyBorder="0" applyAlignment="0" applyProtection="0"/>
    <xf numFmtId="0" fontId="238" fillId="49" borderId="0" applyNumberFormat="0" applyBorder="0" applyAlignment="0" applyProtection="0"/>
    <xf numFmtId="0" fontId="237" fillId="49" borderId="0" applyNumberFormat="0" applyBorder="0" applyAlignment="0" applyProtection="0"/>
    <xf numFmtId="0" fontId="239" fillId="49" borderId="0" applyNumberFormat="0" applyBorder="0" applyAlignment="0" applyProtection="0"/>
    <xf numFmtId="0" fontId="171" fillId="49" borderId="0" applyNumberFormat="0" applyBorder="0" applyAlignment="0" applyProtection="0"/>
    <xf numFmtId="0" fontId="237" fillId="50" borderId="0" applyNumberFormat="0" applyBorder="0" applyAlignment="0" applyProtection="0"/>
    <xf numFmtId="0" fontId="236" fillId="50" borderId="0" applyNumberFormat="0" applyBorder="0" applyAlignment="0" applyProtection="0"/>
    <xf numFmtId="0" fontId="236" fillId="50" borderId="0" applyNumberFormat="0" applyBorder="0" applyAlignment="0" applyProtection="0"/>
    <xf numFmtId="0" fontId="236" fillId="50" borderId="0" applyNumberFormat="0" applyBorder="0" applyAlignment="0" applyProtection="0"/>
    <xf numFmtId="0" fontId="236" fillId="50" borderId="0" applyNumberFormat="0" applyBorder="0" applyAlignment="0" applyProtection="0"/>
    <xf numFmtId="0" fontId="238" fillId="50" borderId="0" applyNumberFormat="0" applyBorder="0" applyAlignment="0" applyProtection="0"/>
    <xf numFmtId="0" fontId="236" fillId="50" borderId="0" applyNumberFormat="0" applyBorder="0" applyAlignment="0" applyProtection="0"/>
    <xf numFmtId="0" fontId="238" fillId="50" borderId="0" applyNumberFormat="0" applyBorder="0" applyAlignment="0" applyProtection="0"/>
    <xf numFmtId="0" fontId="239" fillId="50" borderId="0" applyNumberFormat="0" applyBorder="0" applyAlignment="0" applyProtection="0"/>
    <xf numFmtId="0" fontId="237" fillId="50" borderId="0" applyNumberFormat="0" applyBorder="0" applyAlignment="0" applyProtection="0"/>
    <xf numFmtId="0" fontId="237" fillId="50" borderId="0" applyNumberFormat="0" applyBorder="0" applyAlignment="0" applyProtection="0"/>
    <xf numFmtId="0" fontId="238" fillId="50" borderId="0" applyNumberFormat="0" applyBorder="0" applyAlignment="0" applyProtection="0"/>
    <xf numFmtId="0" fontId="239" fillId="50" borderId="0" applyNumberFormat="0" applyBorder="0" applyAlignment="0" applyProtection="0"/>
    <xf numFmtId="0" fontId="171" fillId="50" borderId="0" applyNumberFormat="0" applyBorder="0" applyAlignment="0" applyProtection="0"/>
    <xf numFmtId="0" fontId="237" fillId="52" borderId="0" applyNumberFormat="0" applyBorder="0" applyAlignment="0" applyProtection="0"/>
    <xf numFmtId="0" fontId="236" fillId="52" borderId="0" applyNumberFormat="0" applyBorder="0" applyAlignment="0" applyProtection="0"/>
    <xf numFmtId="0" fontId="236" fillId="52" borderId="0" applyNumberFormat="0" applyBorder="0" applyAlignment="0" applyProtection="0"/>
    <xf numFmtId="0" fontId="236" fillId="55" borderId="0" applyNumberFormat="0" applyBorder="0" applyAlignment="0" applyProtection="0"/>
    <xf numFmtId="0" fontId="236" fillId="52" borderId="0" applyNumberFormat="0" applyBorder="0" applyAlignment="0" applyProtection="0"/>
    <xf numFmtId="0" fontId="236" fillId="52" borderId="0" applyNumberFormat="0" applyBorder="0" applyAlignment="0" applyProtection="0"/>
    <xf numFmtId="0" fontId="238" fillId="52" borderId="0" applyNumberFormat="0" applyBorder="0" applyAlignment="0" applyProtection="0"/>
    <xf numFmtId="0" fontId="236" fillId="52" borderId="0" applyNumberFormat="0" applyBorder="0" applyAlignment="0" applyProtection="0"/>
    <xf numFmtId="0" fontId="238" fillId="52" borderId="0" applyNumberFormat="0" applyBorder="0" applyAlignment="0" applyProtection="0"/>
    <xf numFmtId="0" fontId="239" fillId="52" borderId="0" applyNumberFormat="0" applyBorder="0" applyAlignment="0" applyProtection="0"/>
    <xf numFmtId="0" fontId="236" fillId="55" borderId="0" applyNumberFormat="0" applyBorder="0" applyAlignment="0" applyProtection="0"/>
    <xf numFmtId="0" fontId="236" fillId="55" borderId="0" applyNumberFormat="0" applyBorder="0" applyAlignment="0" applyProtection="0"/>
    <xf numFmtId="0" fontId="238" fillId="52" borderId="0" applyNumberFormat="0" applyBorder="0" applyAlignment="0" applyProtection="0"/>
    <xf numFmtId="0" fontId="237" fillId="52" borderId="0" applyNumberFormat="0" applyBorder="0" applyAlignment="0" applyProtection="0"/>
    <xf numFmtId="0" fontId="239" fillId="52" borderId="0" applyNumberFormat="0" applyBorder="0" applyAlignment="0" applyProtection="0"/>
    <xf numFmtId="0" fontId="171" fillId="52" borderId="0" applyNumberFormat="0" applyBorder="0" applyAlignment="0" applyProtection="0"/>
    <xf numFmtId="0" fontId="237" fillId="46" borderId="0" applyNumberFormat="0" applyBorder="0" applyAlignment="0" applyProtection="0"/>
    <xf numFmtId="0" fontId="236" fillId="46" borderId="0" applyNumberFormat="0" applyBorder="0" applyAlignment="0" applyProtection="0"/>
    <xf numFmtId="0" fontId="236" fillId="46" borderId="0" applyNumberFormat="0" applyBorder="0" applyAlignment="0" applyProtection="0"/>
    <xf numFmtId="0" fontId="236" fillId="54" borderId="0" applyNumberFormat="0" applyBorder="0" applyAlignment="0" applyProtection="0"/>
    <xf numFmtId="0" fontId="236" fillId="46" borderId="0" applyNumberFormat="0" applyBorder="0" applyAlignment="0" applyProtection="0"/>
    <xf numFmtId="0" fontId="236" fillId="46" borderId="0" applyNumberFormat="0" applyBorder="0" applyAlignment="0" applyProtection="0"/>
    <xf numFmtId="0" fontId="238" fillId="46" borderId="0" applyNumberFormat="0" applyBorder="0" applyAlignment="0" applyProtection="0"/>
    <xf numFmtId="0" fontId="236" fillId="46" borderId="0" applyNumberFormat="0" applyBorder="0" applyAlignment="0" applyProtection="0"/>
    <xf numFmtId="0" fontId="238" fillId="46" borderId="0" applyNumberFormat="0" applyBorder="0" applyAlignment="0" applyProtection="0"/>
    <xf numFmtId="0" fontId="239" fillId="46" borderId="0" applyNumberFormat="0" applyBorder="0" applyAlignment="0" applyProtection="0"/>
    <xf numFmtId="0" fontId="236" fillId="44" borderId="0" applyNumberFormat="0" applyBorder="0" applyAlignment="0" applyProtection="0"/>
    <xf numFmtId="0" fontId="236" fillId="44" borderId="0" applyNumberFormat="0" applyBorder="0" applyAlignment="0" applyProtection="0"/>
    <xf numFmtId="0" fontId="238" fillId="46" borderId="0" applyNumberFormat="0" applyBorder="0" applyAlignment="0" applyProtection="0"/>
    <xf numFmtId="0" fontId="237" fillId="46" borderId="0" applyNumberFormat="0" applyBorder="0" applyAlignment="0" applyProtection="0"/>
    <xf numFmtId="0" fontId="239" fillId="46" borderId="0" applyNumberFormat="0" applyBorder="0" applyAlignment="0" applyProtection="0"/>
    <xf numFmtId="0" fontId="171" fillId="46" borderId="0" applyNumberFormat="0" applyBorder="0" applyAlignment="0" applyProtection="0"/>
    <xf numFmtId="0" fontId="237" fillId="49" borderId="0" applyNumberFormat="0" applyBorder="0" applyAlignment="0" applyProtection="0"/>
    <xf numFmtId="0" fontId="236" fillId="49" borderId="0" applyNumberFormat="0" applyBorder="0" applyAlignment="0" applyProtection="0"/>
    <xf numFmtId="0" fontId="236" fillId="49" borderId="0" applyNumberFormat="0" applyBorder="0" applyAlignment="0" applyProtection="0"/>
    <xf numFmtId="0" fontId="236" fillId="49" borderId="0" applyNumberFormat="0" applyBorder="0" applyAlignment="0" applyProtection="0"/>
    <xf numFmtId="0" fontId="236" fillId="49" borderId="0" applyNumberFormat="0" applyBorder="0" applyAlignment="0" applyProtection="0"/>
    <xf numFmtId="0" fontId="238" fillId="49" borderId="0" applyNumberFormat="0" applyBorder="0" applyAlignment="0" applyProtection="0"/>
    <xf numFmtId="0" fontId="236" fillId="49" borderId="0" applyNumberFormat="0" applyBorder="0" applyAlignment="0" applyProtection="0"/>
    <xf numFmtId="0" fontId="238" fillId="49" borderId="0" applyNumberFormat="0" applyBorder="0" applyAlignment="0" applyProtection="0"/>
    <xf numFmtId="0" fontId="239" fillId="49" borderId="0" applyNumberFormat="0" applyBorder="0" applyAlignment="0" applyProtection="0"/>
    <xf numFmtId="0" fontId="236" fillId="47" borderId="0" applyNumberFormat="0" applyBorder="0" applyAlignment="0" applyProtection="0"/>
    <xf numFmtId="0" fontId="236" fillId="47" borderId="0" applyNumberFormat="0" applyBorder="0" applyAlignment="0" applyProtection="0"/>
    <xf numFmtId="0" fontId="238" fillId="49" borderId="0" applyNumberFormat="0" applyBorder="0" applyAlignment="0" applyProtection="0"/>
    <xf numFmtId="0" fontId="237" fillId="49" borderId="0" applyNumberFormat="0" applyBorder="0" applyAlignment="0" applyProtection="0"/>
    <xf numFmtId="0" fontId="239" fillId="49" borderId="0" applyNumberFormat="0" applyBorder="0" applyAlignment="0" applyProtection="0"/>
    <xf numFmtId="0" fontId="171" fillId="49" borderId="0" applyNumberFormat="0" applyBorder="0" applyAlignment="0" applyProtection="0"/>
    <xf numFmtId="0" fontId="237" fillId="53" borderId="0" applyNumberFormat="0" applyBorder="0" applyAlignment="0" applyProtection="0"/>
    <xf numFmtId="0" fontId="236" fillId="53" borderId="0" applyNumberFormat="0" applyBorder="0" applyAlignment="0" applyProtection="0"/>
    <xf numFmtId="0" fontId="236" fillId="53" borderId="0" applyNumberFormat="0" applyBorder="0" applyAlignment="0" applyProtection="0"/>
    <xf numFmtId="0" fontId="236" fillId="55" borderId="0" applyNumberFormat="0" applyBorder="0" applyAlignment="0" applyProtection="0"/>
    <xf numFmtId="0" fontId="236" fillId="53" borderId="0" applyNumberFormat="0" applyBorder="0" applyAlignment="0" applyProtection="0"/>
    <xf numFmtId="0" fontId="236" fillId="53" borderId="0" applyNumberFormat="0" applyBorder="0" applyAlignment="0" applyProtection="0"/>
    <xf numFmtId="0" fontId="238" fillId="53" borderId="0" applyNumberFormat="0" applyBorder="0" applyAlignment="0" applyProtection="0"/>
    <xf numFmtId="0" fontId="236" fillId="53" borderId="0" applyNumberFormat="0" applyBorder="0" applyAlignment="0" applyProtection="0"/>
    <xf numFmtId="0" fontId="238" fillId="53" borderId="0" applyNumberFormat="0" applyBorder="0" applyAlignment="0" applyProtection="0"/>
    <xf numFmtId="0" fontId="239" fillId="53" borderId="0" applyNumberFormat="0" applyBorder="0" applyAlignment="0" applyProtection="0"/>
    <xf numFmtId="0" fontId="236" fillId="51" borderId="0" applyNumberFormat="0" applyBorder="0" applyAlignment="0" applyProtection="0"/>
    <xf numFmtId="0" fontId="236" fillId="51" borderId="0" applyNumberFormat="0" applyBorder="0" applyAlignment="0" applyProtection="0"/>
    <xf numFmtId="0" fontId="238" fillId="53" borderId="0" applyNumberFormat="0" applyBorder="0" applyAlignment="0" applyProtection="0"/>
    <xf numFmtId="0" fontId="237" fillId="53" borderId="0" applyNumberFormat="0" applyBorder="0" applyAlignment="0" applyProtection="0"/>
    <xf numFmtId="0" fontId="239" fillId="53" borderId="0" applyNumberFormat="0" applyBorder="0" applyAlignment="0" applyProtection="0"/>
    <xf numFmtId="0" fontId="171" fillId="53" borderId="0" applyNumberFormat="0" applyBorder="0" applyAlignment="0" applyProtection="0"/>
    <xf numFmtId="0" fontId="236" fillId="49" borderId="0" applyNumberFormat="0" applyBorder="0" applyAlignment="0" applyProtection="0"/>
    <xf numFmtId="0" fontId="236" fillId="50" borderId="0" applyNumberFormat="0" applyBorder="0" applyAlignment="0" applyProtection="0"/>
    <xf numFmtId="0" fontId="236" fillId="52" borderId="0" applyNumberFormat="0" applyBorder="0" applyAlignment="0" applyProtection="0"/>
    <xf numFmtId="0" fontId="236" fillId="46" borderId="0" applyNumberFormat="0" applyBorder="0" applyAlignment="0" applyProtection="0"/>
    <xf numFmtId="0" fontId="236" fillId="49" borderId="0" applyNumberFormat="0" applyBorder="0" applyAlignment="0" applyProtection="0"/>
    <xf numFmtId="0" fontId="236" fillId="53" borderId="0" applyNumberFormat="0" applyBorder="0" applyAlignment="0" applyProtection="0"/>
    <xf numFmtId="0" fontId="4" fillId="30" borderId="0" applyNumberFormat="0" applyBorder="0" applyAlignment="0" applyProtection="0">
      <alignment vertical="center"/>
    </xf>
    <xf numFmtId="0" fontId="236" fillId="49" borderId="0" applyNumberFormat="0" applyBorder="0" applyAlignment="0" applyProtection="0"/>
    <xf numFmtId="0" fontId="240" fillId="49" borderId="0" applyNumberFormat="0" applyBorder="0" applyAlignment="0" applyProtection="0">
      <alignment vertical="center"/>
    </xf>
    <xf numFmtId="0" fontId="240" fillId="4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236" fillId="50" borderId="0" applyNumberFormat="0" applyBorder="0" applyAlignment="0" applyProtection="0"/>
    <xf numFmtId="0" fontId="240" fillId="50" borderId="0" applyNumberFormat="0" applyBorder="0" applyAlignment="0" applyProtection="0">
      <alignment vertical="center"/>
    </xf>
    <xf numFmtId="0" fontId="240" fillId="5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236" fillId="52" borderId="0" applyNumberFormat="0" applyBorder="0" applyAlignment="0" applyProtection="0"/>
    <xf numFmtId="0" fontId="240" fillId="52" borderId="0" applyNumberFormat="0" applyBorder="0" applyAlignment="0" applyProtection="0">
      <alignment vertical="center"/>
    </xf>
    <xf numFmtId="0" fontId="240" fillId="52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236" fillId="46" borderId="0" applyNumberFormat="0" applyBorder="0" applyAlignment="0" applyProtection="0"/>
    <xf numFmtId="0" fontId="240" fillId="46" borderId="0" applyNumberFormat="0" applyBorder="0" applyAlignment="0" applyProtection="0">
      <alignment vertical="center"/>
    </xf>
    <xf numFmtId="0" fontId="240" fillId="4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236" fillId="49" borderId="0" applyNumberFormat="0" applyBorder="0" applyAlignment="0" applyProtection="0"/>
    <xf numFmtId="0" fontId="240" fillId="49" borderId="0" applyNumberFormat="0" applyBorder="0" applyAlignment="0" applyProtection="0">
      <alignment vertical="center"/>
    </xf>
    <xf numFmtId="0" fontId="240" fillId="49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236" fillId="53" borderId="0" applyNumberFormat="0" applyBorder="0" applyAlignment="0" applyProtection="0"/>
    <xf numFmtId="0" fontId="240" fillId="53" borderId="0" applyNumberFormat="0" applyBorder="0" applyAlignment="0" applyProtection="0">
      <alignment vertical="center"/>
    </xf>
    <xf numFmtId="0" fontId="240" fillId="53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241" fillId="49" borderId="0" applyNumberFormat="0" applyBorder="0" applyAlignment="0" applyProtection="0">
      <alignment vertical="center"/>
    </xf>
    <xf numFmtId="0" fontId="241" fillId="49" borderId="0" applyNumberFormat="0" applyBorder="0" applyAlignment="0" applyProtection="0">
      <alignment vertical="center"/>
    </xf>
    <xf numFmtId="0" fontId="241" fillId="49" borderId="0" applyNumberFormat="0" applyBorder="0" applyAlignment="0" applyProtection="0">
      <alignment vertical="center"/>
    </xf>
    <xf numFmtId="0" fontId="241" fillId="49" borderId="0" applyNumberFormat="0" applyBorder="0" applyAlignment="0" applyProtection="0">
      <alignment vertical="center"/>
    </xf>
    <xf numFmtId="0" fontId="242" fillId="49" borderId="0" applyNumberFormat="0" applyBorder="0" applyAlignment="0" applyProtection="0">
      <alignment vertical="center"/>
    </xf>
    <xf numFmtId="0" fontId="241" fillId="49" borderId="0" applyNumberFormat="0" applyBorder="0" applyAlignment="0" applyProtection="0">
      <alignment vertical="center"/>
    </xf>
    <xf numFmtId="0" fontId="241" fillId="49" borderId="0" applyNumberFormat="0" applyBorder="0" applyAlignment="0" applyProtection="0">
      <alignment vertical="center"/>
    </xf>
    <xf numFmtId="0" fontId="241" fillId="50" borderId="0" applyNumberFormat="0" applyBorder="0" applyAlignment="0" applyProtection="0">
      <alignment vertical="center"/>
    </xf>
    <xf numFmtId="0" fontId="241" fillId="50" borderId="0" applyNumberFormat="0" applyBorder="0" applyAlignment="0" applyProtection="0">
      <alignment vertical="center"/>
    </xf>
    <xf numFmtId="0" fontId="241" fillId="50" borderId="0" applyNumberFormat="0" applyBorder="0" applyAlignment="0" applyProtection="0">
      <alignment vertical="center"/>
    </xf>
    <xf numFmtId="0" fontId="241" fillId="50" borderId="0" applyNumberFormat="0" applyBorder="0" applyAlignment="0" applyProtection="0">
      <alignment vertical="center"/>
    </xf>
    <xf numFmtId="0" fontId="242" fillId="50" borderId="0" applyNumberFormat="0" applyBorder="0" applyAlignment="0" applyProtection="0">
      <alignment vertical="center"/>
    </xf>
    <xf numFmtId="0" fontId="241" fillId="50" borderId="0" applyNumberFormat="0" applyBorder="0" applyAlignment="0" applyProtection="0">
      <alignment vertical="center"/>
    </xf>
    <xf numFmtId="0" fontId="241" fillId="50" borderId="0" applyNumberFormat="0" applyBorder="0" applyAlignment="0" applyProtection="0">
      <alignment vertical="center"/>
    </xf>
    <xf numFmtId="0" fontId="241" fillId="52" borderId="0" applyNumberFormat="0" applyBorder="0" applyAlignment="0" applyProtection="0">
      <alignment vertical="center"/>
    </xf>
    <xf numFmtId="0" fontId="241" fillId="52" borderId="0" applyNumberFormat="0" applyBorder="0" applyAlignment="0" applyProtection="0">
      <alignment vertical="center"/>
    </xf>
    <xf numFmtId="0" fontId="241" fillId="52" borderId="0" applyNumberFormat="0" applyBorder="0" applyAlignment="0" applyProtection="0">
      <alignment vertical="center"/>
    </xf>
    <xf numFmtId="0" fontId="241" fillId="52" borderId="0" applyNumberFormat="0" applyBorder="0" applyAlignment="0" applyProtection="0">
      <alignment vertical="center"/>
    </xf>
    <xf numFmtId="0" fontId="242" fillId="52" borderId="0" applyNumberFormat="0" applyBorder="0" applyAlignment="0" applyProtection="0">
      <alignment vertical="center"/>
    </xf>
    <xf numFmtId="0" fontId="241" fillId="52" borderId="0" applyNumberFormat="0" applyBorder="0" applyAlignment="0" applyProtection="0">
      <alignment vertical="center"/>
    </xf>
    <xf numFmtId="0" fontId="241" fillId="52" borderId="0" applyNumberFormat="0" applyBorder="0" applyAlignment="0" applyProtection="0">
      <alignment vertical="center"/>
    </xf>
    <xf numFmtId="0" fontId="241" fillId="46" borderId="0" applyNumberFormat="0" applyBorder="0" applyAlignment="0" applyProtection="0">
      <alignment vertical="center"/>
    </xf>
    <xf numFmtId="0" fontId="241" fillId="46" borderId="0" applyNumberFormat="0" applyBorder="0" applyAlignment="0" applyProtection="0">
      <alignment vertical="center"/>
    </xf>
    <xf numFmtId="0" fontId="241" fillId="46" borderId="0" applyNumberFormat="0" applyBorder="0" applyAlignment="0" applyProtection="0">
      <alignment vertical="center"/>
    </xf>
    <xf numFmtId="0" fontId="241" fillId="46" borderId="0" applyNumberFormat="0" applyBorder="0" applyAlignment="0" applyProtection="0">
      <alignment vertical="center"/>
    </xf>
    <xf numFmtId="0" fontId="242" fillId="46" borderId="0" applyNumberFormat="0" applyBorder="0" applyAlignment="0" applyProtection="0">
      <alignment vertical="center"/>
    </xf>
    <xf numFmtId="0" fontId="241" fillId="46" borderId="0" applyNumberFormat="0" applyBorder="0" applyAlignment="0" applyProtection="0">
      <alignment vertical="center"/>
    </xf>
    <xf numFmtId="0" fontId="241" fillId="46" borderId="0" applyNumberFormat="0" applyBorder="0" applyAlignment="0" applyProtection="0">
      <alignment vertical="center"/>
    </xf>
    <xf numFmtId="0" fontId="241" fillId="49" borderId="0" applyNumberFormat="0" applyBorder="0" applyAlignment="0" applyProtection="0">
      <alignment vertical="center"/>
    </xf>
    <xf numFmtId="0" fontId="241" fillId="49" borderId="0" applyNumberFormat="0" applyBorder="0" applyAlignment="0" applyProtection="0">
      <alignment vertical="center"/>
    </xf>
    <xf numFmtId="0" fontId="241" fillId="49" borderId="0" applyNumberFormat="0" applyBorder="0" applyAlignment="0" applyProtection="0">
      <alignment vertical="center"/>
    </xf>
    <xf numFmtId="0" fontId="241" fillId="49" borderId="0" applyNumberFormat="0" applyBorder="0" applyAlignment="0" applyProtection="0">
      <alignment vertical="center"/>
    </xf>
    <xf numFmtId="0" fontId="242" fillId="49" borderId="0" applyNumberFormat="0" applyBorder="0" applyAlignment="0" applyProtection="0">
      <alignment vertical="center"/>
    </xf>
    <xf numFmtId="0" fontId="241" fillId="49" borderId="0" applyNumberFormat="0" applyBorder="0" applyAlignment="0" applyProtection="0">
      <alignment vertical="center"/>
    </xf>
    <xf numFmtId="0" fontId="241" fillId="49" borderId="0" applyNumberFormat="0" applyBorder="0" applyAlignment="0" applyProtection="0">
      <alignment vertical="center"/>
    </xf>
    <xf numFmtId="0" fontId="241" fillId="53" borderId="0" applyNumberFormat="0" applyBorder="0" applyAlignment="0" applyProtection="0">
      <alignment vertical="center"/>
    </xf>
    <xf numFmtId="0" fontId="241" fillId="53" borderId="0" applyNumberFormat="0" applyBorder="0" applyAlignment="0" applyProtection="0">
      <alignment vertical="center"/>
    </xf>
    <xf numFmtId="0" fontId="241" fillId="53" borderId="0" applyNumberFormat="0" applyBorder="0" applyAlignment="0" applyProtection="0">
      <alignment vertical="center"/>
    </xf>
    <xf numFmtId="0" fontId="241" fillId="53" borderId="0" applyNumberFormat="0" applyBorder="0" applyAlignment="0" applyProtection="0">
      <alignment vertical="center"/>
    </xf>
    <xf numFmtId="0" fontId="242" fillId="53" borderId="0" applyNumberFormat="0" applyBorder="0" applyAlignment="0" applyProtection="0">
      <alignment vertical="center"/>
    </xf>
    <xf numFmtId="0" fontId="241" fillId="53" borderId="0" applyNumberFormat="0" applyBorder="0" applyAlignment="0" applyProtection="0">
      <alignment vertical="center"/>
    </xf>
    <xf numFmtId="0" fontId="241" fillId="53" borderId="0" applyNumberFormat="0" applyBorder="0" applyAlignment="0" applyProtection="0">
      <alignment vertical="center"/>
    </xf>
    <xf numFmtId="0" fontId="243" fillId="56" borderId="0" applyNumberFormat="0" applyBorder="0" applyAlignment="0" applyProtection="0"/>
    <xf numFmtId="0" fontId="243" fillId="50" borderId="0" applyNumberFormat="0" applyBorder="0" applyAlignment="0" applyProtection="0"/>
    <xf numFmtId="0" fontId="243" fillId="52" borderId="0" applyNumberFormat="0" applyBorder="0" applyAlignment="0" applyProtection="0"/>
    <xf numFmtId="0" fontId="243" fillId="57" borderId="0" applyNumberFormat="0" applyBorder="0" applyAlignment="0" applyProtection="0"/>
    <xf numFmtId="0" fontId="243" fillId="58" borderId="0" applyNumberFormat="0" applyBorder="0" applyAlignment="0" applyProtection="0"/>
    <xf numFmtId="0" fontId="243" fillId="59" borderId="0" applyNumberFormat="0" applyBorder="0" applyAlignment="0" applyProtection="0"/>
    <xf numFmtId="0" fontId="244" fillId="56" borderId="0" applyNumberFormat="0" applyBorder="0" applyAlignment="0" applyProtection="0"/>
    <xf numFmtId="0" fontId="243" fillId="56" borderId="0" applyNumberFormat="0" applyBorder="0" applyAlignment="0" applyProtection="0"/>
    <xf numFmtId="0" fontId="245" fillId="56" borderId="0" applyNumberFormat="0" applyBorder="0" applyAlignment="0" applyProtection="0"/>
    <xf numFmtId="0" fontId="243" fillId="47" borderId="0" applyNumberFormat="0" applyBorder="0" applyAlignment="0" applyProtection="0"/>
    <xf numFmtId="0" fontId="244" fillId="56" borderId="0" applyNumberFormat="0" applyBorder="0" applyAlignment="0" applyProtection="0"/>
    <xf numFmtId="0" fontId="246" fillId="56" borderId="0" applyNumberFormat="0" applyBorder="0" applyAlignment="0" applyProtection="0"/>
    <xf numFmtId="0" fontId="247" fillId="56" borderId="0" applyNumberFormat="0" applyBorder="0" applyAlignment="0" applyProtection="0"/>
    <xf numFmtId="0" fontId="244" fillId="50" borderId="0" applyNumberFormat="0" applyBorder="0" applyAlignment="0" applyProtection="0"/>
    <xf numFmtId="0" fontId="243" fillId="50" borderId="0" applyNumberFormat="0" applyBorder="0" applyAlignment="0" applyProtection="0"/>
    <xf numFmtId="0" fontId="245" fillId="50" borderId="0" applyNumberFormat="0" applyBorder="0" applyAlignment="0" applyProtection="0"/>
    <xf numFmtId="0" fontId="243" fillId="60" borderId="0" applyNumberFormat="0" applyBorder="0" applyAlignment="0" applyProtection="0"/>
    <xf numFmtId="0" fontId="244" fillId="50" borderId="0" applyNumberFormat="0" applyBorder="0" applyAlignment="0" applyProtection="0"/>
    <xf numFmtId="0" fontId="246" fillId="50" borderId="0" applyNumberFormat="0" applyBorder="0" applyAlignment="0" applyProtection="0"/>
    <xf numFmtId="0" fontId="247" fillId="50" borderId="0" applyNumberFormat="0" applyBorder="0" applyAlignment="0" applyProtection="0"/>
    <xf numFmtId="0" fontId="244" fillId="52" borderId="0" applyNumberFormat="0" applyBorder="0" applyAlignment="0" applyProtection="0"/>
    <xf numFmtId="0" fontId="243" fillId="52" borderId="0" applyNumberFormat="0" applyBorder="0" applyAlignment="0" applyProtection="0"/>
    <xf numFmtId="0" fontId="245" fillId="52" borderId="0" applyNumberFormat="0" applyBorder="0" applyAlignment="0" applyProtection="0"/>
    <xf numFmtId="0" fontId="243" fillId="53" borderId="0" applyNumberFormat="0" applyBorder="0" applyAlignment="0" applyProtection="0"/>
    <xf numFmtId="0" fontId="244" fillId="52" borderId="0" applyNumberFormat="0" applyBorder="0" applyAlignment="0" applyProtection="0"/>
    <xf numFmtId="0" fontId="246" fillId="52" borderId="0" applyNumberFormat="0" applyBorder="0" applyAlignment="0" applyProtection="0"/>
    <xf numFmtId="0" fontId="247" fillId="52" borderId="0" applyNumberFormat="0" applyBorder="0" applyAlignment="0" applyProtection="0"/>
    <xf numFmtId="0" fontId="244" fillId="57" borderId="0" applyNumberFormat="0" applyBorder="0" applyAlignment="0" applyProtection="0"/>
    <xf numFmtId="0" fontId="243" fillId="57" borderId="0" applyNumberFormat="0" applyBorder="0" applyAlignment="0" applyProtection="0"/>
    <xf numFmtId="0" fontId="245" fillId="57" borderId="0" applyNumberFormat="0" applyBorder="0" applyAlignment="0" applyProtection="0"/>
    <xf numFmtId="0" fontId="243" fillId="44" borderId="0" applyNumberFormat="0" applyBorder="0" applyAlignment="0" applyProtection="0"/>
    <xf numFmtId="0" fontId="244" fillId="57" borderId="0" applyNumberFormat="0" applyBorder="0" applyAlignment="0" applyProtection="0"/>
    <xf numFmtId="0" fontId="246" fillId="57" borderId="0" applyNumberFormat="0" applyBorder="0" applyAlignment="0" applyProtection="0"/>
    <xf numFmtId="0" fontId="247" fillId="57" borderId="0" applyNumberFormat="0" applyBorder="0" applyAlignment="0" applyProtection="0"/>
    <xf numFmtId="0" fontId="244" fillId="58" borderId="0" applyNumberFormat="0" applyBorder="0" applyAlignment="0" applyProtection="0"/>
    <xf numFmtId="0" fontId="243" fillId="58" borderId="0" applyNumberFormat="0" applyBorder="0" applyAlignment="0" applyProtection="0"/>
    <xf numFmtId="0" fontId="245" fillId="58" borderId="0" applyNumberFormat="0" applyBorder="0" applyAlignment="0" applyProtection="0"/>
    <xf numFmtId="0" fontId="243" fillId="47" borderId="0" applyNumberFormat="0" applyBorder="0" applyAlignment="0" applyProtection="0"/>
    <xf numFmtId="0" fontId="244" fillId="58" borderId="0" applyNumberFormat="0" applyBorder="0" applyAlignment="0" applyProtection="0"/>
    <xf numFmtId="0" fontId="246" fillId="58" borderId="0" applyNumberFormat="0" applyBorder="0" applyAlignment="0" applyProtection="0"/>
    <xf numFmtId="0" fontId="247" fillId="58" borderId="0" applyNumberFormat="0" applyBorder="0" applyAlignment="0" applyProtection="0"/>
    <xf numFmtId="0" fontId="244" fillId="59" borderId="0" applyNumberFormat="0" applyBorder="0" applyAlignment="0" applyProtection="0"/>
    <xf numFmtId="0" fontId="243" fillId="59" borderId="0" applyNumberFormat="0" applyBorder="0" applyAlignment="0" applyProtection="0"/>
    <xf numFmtId="0" fontId="245" fillId="59" borderId="0" applyNumberFormat="0" applyBorder="0" applyAlignment="0" applyProtection="0"/>
    <xf numFmtId="0" fontId="243" fillId="50" borderId="0" applyNumberFormat="0" applyBorder="0" applyAlignment="0" applyProtection="0"/>
    <xf numFmtId="0" fontId="244" fillId="59" borderId="0" applyNumberFormat="0" applyBorder="0" applyAlignment="0" applyProtection="0"/>
    <xf numFmtId="0" fontId="246" fillId="59" borderId="0" applyNumberFormat="0" applyBorder="0" applyAlignment="0" applyProtection="0"/>
    <xf numFmtId="0" fontId="247" fillId="59" borderId="0" applyNumberFormat="0" applyBorder="0" applyAlignment="0" applyProtection="0"/>
    <xf numFmtId="0" fontId="243" fillId="56" borderId="0" applyNumberFormat="0" applyBorder="0" applyAlignment="0" applyProtection="0"/>
    <xf numFmtId="0" fontId="243" fillId="50" borderId="0" applyNumberFormat="0" applyBorder="0" applyAlignment="0" applyProtection="0"/>
    <xf numFmtId="0" fontId="243" fillId="52" borderId="0" applyNumberFormat="0" applyBorder="0" applyAlignment="0" applyProtection="0"/>
    <xf numFmtId="0" fontId="243" fillId="57" borderId="0" applyNumberFormat="0" applyBorder="0" applyAlignment="0" applyProtection="0"/>
    <xf numFmtId="0" fontId="243" fillId="58" borderId="0" applyNumberFormat="0" applyBorder="0" applyAlignment="0" applyProtection="0"/>
    <xf numFmtId="0" fontId="243" fillId="59" borderId="0" applyNumberFormat="0" applyBorder="0" applyAlignment="0" applyProtection="0"/>
    <xf numFmtId="0" fontId="243" fillId="56" borderId="0" applyNumberFormat="0" applyBorder="0" applyAlignment="0" applyProtection="0"/>
    <xf numFmtId="0" fontId="248" fillId="56" borderId="0" applyNumberFormat="0" applyBorder="0" applyAlignment="0" applyProtection="0">
      <alignment vertical="center"/>
    </xf>
    <xf numFmtId="0" fontId="248" fillId="56" borderId="0" applyNumberFormat="0" applyBorder="0" applyAlignment="0" applyProtection="0">
      <alignment vertical="center"/>
    </xf>
    <xf numFmtId="0" fontId="243" fillId="50" borderId="0" applyNumberFormat="0" applyBorder="0" applyAlignment="0" applyProtection="0"/>
    <xf numFmtId="0" fontId="248" fillId="50" borderId="0" applyNumberFormat="0" applyBorder="0" applyAlignment="0" applyProtection="0">
      <alignment vertical="center"/>
    </xf>
    <xf numFmtId="0" fontId="248" fillId="50" borderId="0" applyNumberFormat="0" applyBorder="0" applyAlignment="0" applyProtection="0">
      <alignment vertical="center"/>
    </xf>
    <xf numFmtId="0" fontId="243" fillId="52" borderId="0" applyNumberFormat="0" applyBorder="0" applyAlignment="0" applyProtection="0"/>
    <xf numFmtId="0" fontId="248" fillId="52" borderId="0" applyNumberFormat="0" applyBorder="0" applyAlignment="0" applyProtection="0">
      <alignment vertical="center"/>
    </xf>
    <xf numFmtId="0" fontId="248" fillId="52" borderId="0" applyNumberFormat="0" applyBorder="0" applyAlignment="0" applyProtection="0">
      <alignment vertical="center"/>
    </xf>
    <xf numFmtId="0" fontId="243" fillId="57" borderId="0" applyNumberFormat="0" applyBorder="0" applyAlignment="0" applyProtection="0"/>
    <xf numFmtId="0" fontId="248" fillId="57" borderId="0" applyNumberFormat="0" applyBorder="0" applyAlignment="0" applyProtection="0">
      <alignment vertical="center"/>
    </xf>
    <xf numFmtId="0" fontId="248" fillId="57" borderId="0" applyNumberFormat="0" applyBorder="0" applyAlignment="0" applyProtection="0">
      <alignment vertical="center"/>
    </xf>
    <xf numFmtId="0" fontId="243" fillId="58" borderId="0" applyNumberFormat="0" applyBorder="0" applyAlignment="0" applyProtection="0"/>
    <xf numFmtId="0" fontId="248" fillId="58" borderId="0" applyNumberFormat="0" applyBorder="0" applyAlignment="0" applyProtection="0">
      <alignment vertical="center"/>
    </xf>
    <xf numFmtId="0" fontId="248" fillId="58" borderId="0" applyNumberFormat="0" applyBorder="0" applyAlignment="0" applyProtection="0">
      <alignment vertical="center"/>
    </xf>
    <xf numFmtId="0" fontId="243" fillId="59" borderId="0" applyNumberFormat="0" applyBorder="0" applyAlignment="0" applyProtection="0"/>
    <xf numFmtId="0" fontId="248" fillId="59" borderId="0" applyNumberFormat="0" applyBorder="0" applyAlignment="0" applyProtection="0">
      <alignment vertical="center"/>
    </xf>
    <xf numFmtId="0" fontId="248" fillId="59" borderId="0" applyNumberFormat="0" applyBorder="0" applyAlignment="0" applyProtection="0">
      <alignment vertical="center"/>
    </xf>
    <xf numFmtId="0" fontId="249" fillId="56" borderId="0" applyNumberFormat="0" applyBorder="0" applyAlignment="0" applyProtection="0">
      <alignment vertical="center"/>
    </xf>
    <xf numFmtId="0" fontId="249" fillId="56" borderId="0" applyNumberFormat="0" applyBorder="0" applyAlignment="0" applyProtection="0">
      <alignment vertical="center"/>
    </xf>
    <xf numFmtId="0" fontId="249" fillId="56" borderId="0" applyNumberFormat="0" applyBorder="0" applyAlignment="0" applyProtection="0">
      <alignment vertical="center"/>
    </xf>
    <xf numFmtId="0" fontId="249" fillId="56" borderId="0" applyNumberFormat="0" applyBorder="0" applyAlignment="0" applyProtection="0">
      <alignment vertical="center"/>
    </xf>
    <xf numFmtId="0" fontId="250" fillId="56" borderId="0" applyNumberFormat="0" applyBorder="0" applyAlignment="0" applyProtection="0">
      <alignment vertical="center"/>
    </xf>
    <xf numFmtId="0" fontId="249" fillId="56" borderId="0" applyNumberFormat="0" applyBorder="0" applyAlignment="0" applyProtection="0">
      <alignment vertical="center"/>
    </xf>
    <xf numFmtId="0" fontId="249" fillId="56" borderId="0" applyNumberFormat="0" applyBorder="0" applyAlignment="0" applyProtection="0">
      <alignment vertical="center"/>
    </xf>
    <xf numFmtId="0" fontId="249" fillId="50" borderId="0" applyNumberFormat="0" applyBorder="0" applyAlignment="0" applyProtection="0">
      <alignment vertical="center"/>
    </xf>
    <xf numFmtId="0" fontId="249" fillId="50" borderId="0" applyNumberFormat="0" applyBorder="0" applyAlignment="0" applyProtection="0">
      <alignment vertical="center"/>
    </xf>
    <xf numFmtId="0" fontId="249" fillId="50" borderId="0" applyNumberFormat="0" applyBorder="0" applyAlignment="0" applyProtection="0">
      <alignment vertical="center"/>
    </xf>
    <xf numFmtId="0" fontId="249" fillId="50" borderId="0" applyNumberFormat="0" applyBorder="0" applyAlignment="0" applyProtection="0">
      <alignment vertical="center"/>
    </xf>
    <xf numFmtId="0" fontId="250" fillId="50" borderId="0" applyNumberFormat="0" applyBorder="0" applyAlignment="0" applyProtection="0">
      <alignment vertical="center"/>
    </xf>
    <xf numFmtId="0" fontId="249" fillId="50" borderId="0" applyNumberFormat="0" applyBorder="0" applyAlignment="0" applyProtection="0">
      <alignment vertical="center"/>
    </xf>
    <xf numFmtId="0" fontId="249" fillId="50" borderId="0" applyNumberFormat="0" applyBorder="0" applyAlignment="0" applyProtection="0">
      <alignment vertical="center"/>
    </xf>
    <xf numFmtId="0" fontId="249" fillId="52" borderId="0" applyNumberFormat="0" applyBorder="0" applyAlignment="0" applyProtection="0">
      <alignment vertical="center"/>
    </xf>
    <xf numFmtId="0" fontId="249" fillId="52" borderId="0" applyNumberFormat="0" applyBorder="0" applyAlignment="0" applyProtection="0">
      <alignment vertical="center"/>
    </xf>
    <xf numFmtId="0" fontId="249" fillId="52" borderId="0" applyNumberFormat="0" applyBorder="0" applyAlignment="0" applyProtection="0">
      <alignment vertical="center"/>
    </xf>
    <xf numFmtId="0" fontId="249" fillId="52" borderId="0" applyNumberFormat="0" applyBorder="0" applyAlignment="0" applyProtection="0">
      <alignment vertical="center"/>
    </xf>
    <xf numFmtId="0" fontId="250" fillId="52" borderId="0" applyNumberFormat="0" applyBorder="0" applyAlignment="0" applyProtection="0">
      <alignment vertical="center"/>
    </xf>
    <xf numFmtId="0" fontId="249" fillId="52" borderId="0" applyNumberFormat="0" applyBorder="0" applyAlignment="0" applyProtection="0">
      <alignment vertical="center"/>
    </xf>
    <xf numFmtId="0" fontId="249" fillId="52" borderId="0" applyNumberFormat="0" applyBorder="0" applyAlignment="0" applyProtection="0">
      <alignment vertical="center"/>
    </xf>
    <xf numFmtId="0" fontId="249" fillId="57" borderId="0" applyNumberFormat="0" applyBorder="0" applyAlignment="0" applyProtection="0">
      <alignment vertical="center"/>
    </xf>
    <xf numFmtId="0" fontId="249" fillId="57" borderId="0" applyNumberFormat="0" applyBorder="0" applyAlignment="0" applyProtection="0">
      <alignment vertical="center"/>
    </xf>
    <xf numFmtId="0" fontId="249" fillId="57" borderId="0" applyNumberFormat="0" applyBorder="0" applyAlignment="0" applyProtection="0">
      <alignment vertical="center"/>
    </xf>
    <xf numFmtId="0" fontId="249" fillId="57" borderId="0" applyNumberFormat="0" applyBorder="0" applyAlignment="0" applyProtection="0">
      <alignment vertical="center"/>
    </xf>
    <xf numFmtId="0" fontId="250" fillId="57" borderId="0" applyNumberFormat="0" applyBorder="0" applyAlignment="0" applyProtection="0">
      <alignment vertical="center"/>
    </xf>
    <xf numFmtId="0" fontId="249" fillId="57" borderId="0" applyNumberFormat="0" applyBorder="0" applyAlignment="0" applyProtection="0">
      <alignment vertical="center"/>
    </xf>
    <xf numFmtId="0" fontId="249" fillId="57" borderId="0" applyNumberFormat="0" applyBorder="0" applyAlignment="0" applyProtection="0">
      <alignment vertical="center"/>
    </xf>
    <xf numFmtId="0" fontId="249" fillId="58" borderId="0" applyNumberFormat="0" applyBorder="0" applyAlignment="0" applyProtection="0">
      <alignment vertical="center"/>
    </xf>
    <xf numFmtId="0" fontId="249" fillId="58" borderId="0" applyNumberFormat="0" applyBorder="0" applyAlignment="0" applyProtection="0">
      <alignment vertical="center"/>
    </xf>
    <xf numFmtId="0" fontId="249" fillId="58" borderId="0" applyNumberFormat="0" applyBorder="0" applyAlignment="0" applyProtection="0">
      <alignment vertical="center"/>
    </xf>
    <xf numFmtId="0" fontId="249" fillId="58" borderId="0" applyNumberFormat="0" applyBorder="0" applyAlignment="0" applyProtection="0">
      <alignment vertical="center"/>
    </xf>
    <xf numFmtId="0" fontId="250" fillId="58" borderId="0" applyNumberFormat="0" applyBorder="0" applyAlignment="0" applyProtection="0">
      <alignment vertical="center"/>
    </xf>
    <xf numFmtId="0" fontId="249" fillId="58" borderId="0" applyNumberFormat="0" applyBorder="0" applyAlignment="0" applyProtection="0">
      <alignment vertical="center"/>
    </xf>
    <xf numFmtId="0" fontId="249" fillId="58" borderId="0" applyNumberFormat="0" applyBorder="0" applyAlignment="0" applyProtection="0">
      <alignment vertical="center"/>
    </xf>
    <xf numFmtId="0" fontId="249" fillId="59" borderId="0" applyNumberFormat="0" applyBorder="0" applyAlignment="0" applyProtection="0">
      <alignment vertical="center"/>
    </xf>
    <xf numFmtId="0" fontId="249" fillId="59" borderId="0" applyNumberFormat="0" applyBorder="0" applyAlignment="0" applyProtection="0">
      <alignment vertical="center"/>
    </xf>
    <xf numFmtId="0" fontId="249" fillId="59" borderId="0" applyNumberFormat="0" applyBorder="0" applyAlignment="0" applyProtection="0">
      <alignment vertical="center"/>
    </xf>
    <xf numFmtId="0" fontId="249" fillId="59" borderId="0" applyNumberFormat="0" applyBorder="0" applyAlignment="0" applyProtection="0">
      <alignment vertical="center"/>
    </xf>
    <xf numFmtId="0" fontId="250" fillId="59" borderId="0" applyNumberFormat="0" applyBorder="0" applyAlignment="0" applyProtection="0">
      <alignment vertical="center"/>
    </xf>
    <xf numFmtId="0" fontId="249" fillId="59" borderId="0" applyNumberFormat="0" applyBorder="0" applyAlignment="0" applyProtection="0">
      <alignment vertical="center"/>
    </xf>
    <xf numFmtId="0" fontId="249" fillId="59" borderId="0" applyNumberFormat="0" applyBorder="0" applyAlignment="0" applyProtection="0">
      <alignment vertical="center"/>
    </xf>
    <xf numFmtId="3" fontId="251" fillId="0" borderId="75">
      <alignment horizontal="center" vertical="center"/>
    </xf>
    <xf numFmtId="3" fontId="252" fillId="0" borderId="75">
      <alignment horizontal="center" vertical="center"/>
    </xf>
    <xf numFmtId="3" fontId="253" fillId="0" borderId="68" applyBorder="0" applyAlignment="0">
      <alignment horizontal="center" vertical="center" wrapText="1"/>
    </xf>
    <xf numFmtId="3" fontId="254" fillId="0" borderId="68" applyBorder="0" applyAlignment="0">
      <alignment horizontal="center" vertical="center" wrapText="1"/>
    </xf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6" fillId="0" borderId="70" applyFont="0" applyBorder="0" applyAlignment="0">
      <alignment horizontal="center" vertical="top" wrapText="1"/>
    </xf>
    <xf numFmtId="0" fontId="257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8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8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8" fillId="0" borderId="0" applyNumberFormat="0" applyFill="0" applyBorder="0" applyAlignment="0"/>
    <xf numFmtId="0" fontId="255" fillId="0" borderId="0" applyNumberFormat="0" applyFill="0" applyBorder="0" applyAlignment="0"/>
    <xf numFmtId="0" fontId="257" fillId="0" borderId="0" applyNumberFormat="0" applyFill="0" applyBorder="0" applyAlignment="0"/>
    <xf numFmtId="0" fontId="257" fillId="0" borderId="0" applyNumberFormat="0" applyFill="0" applyBorder="0" applyAlignment="0"/>
    <xf numFmtId="0" fontId="257" fillId="0" borderId="0" applyNumberFormat="0" applyFill="0" applyBorder="0" applyAlignment="0"/>
    <xf numFmtId="0" fontId="255" fillId="0" borderId="0" applyNumberFormat="0" applyFill="0" applyBorder="0" applyAlignment="0"/>
    <xf numFmtId="0" fontId="257" fillId="0" borderId="0" applyNumberFormat="0" applyFill="0" applyBorder="0" applyAlignment="0"/>
    <xf numFmtId="0" fontId="258" fillId="0" borderId="0" applyNumberFormat="0" applyFill="0" applyBorder="0" applyAlignment="0"/>
    <xf numFmtId="0" fontId="257" fillId="0" borderId="0" applyNumberFormat="0" applyFill="0" applyBorder="0" applyAlignment="0"/>
    <xf numFmtId="0" fontId="257" fillId="0" borderId="0" applyNumberFormat="0" applyFill="0" applyBorder="0" applyAlignment="0"/>
    <xf numFmtId="0" fontId="255" fillId="0" borderId="0" applyNumberFormat="0" applyFill="0" applyBorder="0" applyAlignment="0"/>
    <xf numFmtId="0" fontId="258" fillId="0" borderId="0" applyNumberFormat="0" applyFill="0" applyBorder="0" applyAlignment="0"/>
    <xf numFmtId="0" fontId="258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7" fillId="0" borderId="0" applyNumberFormat="0" applyFill="0" applyBorder="0" applyAlignment="0"/>
    <xf numFmtId="0" fontId="257" fillId="0" borderId="0" applyNumberFormat="0" applyFill="0" applyBorder="0" applyAlignment="0"/>
    <xf numFmtId="0" fontId="259" fillId="0" borderId="70" applyFont="0" applyBorder="0" applyAlignment="0">
      <alignment horizontal="center" vertical="top" wrapText="1"/>
    </xf>
    <xf numFmtId="0" fontId="259" fillId="0" borderId="70" applyFont="0" applyBorder="0" applyAlignment="0">
      <alignment horizontal="center" vertical="top" wrapText="1"/>
    </xf>
    <xf numFmtId="0" fontId="259" fillId="0" borderId="70" applyFont="0" applyBorder="0" applyAlignment="0">
      <alignment horizontal="center" vertical="top" wrapText="1"/>
    </xf>
    <xf numFmtId="0" fontId="259" fillId="0" borderId="70" applyFont="0" applyBorder="0" applyAlignment="0">
      <alignment horizontal="center" vertical="top" wrapText="1"/>
    </xf>
    <xf numFmtId="0" fontId="257" fillId="0" borderId="0" applyNumberFormat="0" applyFill="0" applyBorder="0" applyAlignment="0"/>
    <xf numFmtId="0" fontId="257" fillId="0" borderId="0" applyNumberFormat="0" applyFill="0" applyBorder="0" applyAlignment="0"/>
    <xf numFmtId="0" fontId="259" fillId="0" borderId="70" applyFont="0" applyBorder="0" applyAlignment="0">
      <alignment horizontal="center" vertical="top" wrapText="1"/>
    </xf>
    <xf numFmtId="0" fontId="259" fillId="0" borderId="70" applyFont="0" applyBorder="0" applyAlignment="0">
      <alignment horizontal="center" vertical="top" wrapText="1"/>
    </xf>
    <xf numFmtId="0" fontId="259" fillId="0" borderId="70" applyFont="0" applyBorder="0" applyAlignment="0">
      <alignment horizontal="center" vertical="top" wrapText="1"/>
    </xf>
    <xf numFmtId="0" fontId="259" fillId="0" borderId="70" applyFont="0" applyBorder="0" applyAlignment="0">
      <alignment horizontal="center" vertical="top" wrapText="1"/>
    </xf>
    <xf numFmtId="0" fontId="259" fillId="0" borderId="70" applyFont="0" applyBorder="0" applyAlignment="0">
      <alignment horizontal="center" vertical="top" wrapText="1"/>
    </xf>
    <xf numFmtId="0" fontId="259" fillId="0" borderId="70" applyFont="0" applyBorder="0" applyAlignment="0">
      <alignment horizontal="center" vertical="top" wrapText="1"/>
    </xf>
    <xf numFmtId="0" fontId="259" fillId="0" borderId="70" applyFont="0" applyBorder="0" applyAlignment="0">
      <alignment horizontal="center" vertical="top" wrapText="1"/>
    </xf>
    <xf numFmtId="0" fontId="259" fillId="0" borderId="70" applyFont="0" applyBorder="0" applyAlignment="0">
      <alignment horizontal="center" vertical="top" wrapText="1"/>
    </xf>
    <xf numFmtId="0" fontId="259" fillId="0" borderId="70" applyFont="0" applyBorder="0" applyAlignment="0">
      <alignment horizontal="center" vertical="top" wrapText="1"/>
    </xf>
    <xf numFmtId="0" fontId="259" fillId="0" borderId="70" applyFont="0" applyBorder="0" applyAlignment="0">
      <alignment horizontal="center" vertical="top" wrapText="1"/>
    </xf>
    <xf numFmtId="0" fontId="259" fillId="0" borderId="70" applyFont="0" applyBorder="0" applyAlignment="0">
      <alignment horizontal="center" vertical="top" wrapText="1"/>
    </xf>
    <xf numFmtId="0" fontId="259" fillId="0" borderId="70" applyFont="0" applyBorder="0" applyAlignment="0">
      <alignment horizontal="center" vertical="top" wrapText="1"/>
    </xf>
    <xf numFmtId="0" fontId="259" fillId="0" borderId="70" applyFont="0" applyBorder="0" applyAlignment="0">
      <alignment horizontal="center" vertical="top" wrapText="1"/>
    </xf>
    <xf numFmtId="0" fontId="259" fillId="0" borderId="70" applyFont="0" applyBorder="0" applyAlignment="0">
      <alignment horizontal="center" vertical="top" wrapText="1"/>
    </xf>
    <xf numFmtId="0" fontId="259" fillId="0" borderId="70" applyFont="0" applyBorder="0" applyAlignment="0">
      <alignment horizontal="center" vertical="top" wrapText="1"/>
    </xf>
    <xf numFmtId="0" fontId="259" fillId="0" borderId="70" applyFont="0" applyBorder="0" applyAlignment="0">
      <alignment horizontal="center" vertical="top" wrapText="1"/>
    </xf>
    <xf numFmtId="0" fontId="257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8" fillId="0" borderId="0" applyNumberFormat="0" applyFill="0" applyBorder="0" applyAlignment="0"/>
    <xf numFmtId="0" fontId="255" fillId="0" borderId="0" applyNumberFormat="0" applyFill="0" applyBorder="0" applyAlignment="0"/>
    <xf numFmtId="0" fontId="257" fillId="0" borderId="0" applyNumberFormat="0" applyFill="0" applyBorder="0" applyAlignment="0"/>
    <xf numFmtId="0" fontId="257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8" fillId="0" borderId="0" applyNumberFormat="0" applyFill="0" applyBorder="0" applyAlignment="0"/>
    <xf numFmtId="0" fontId="255" fillId="0" borderId="0" applyNumberFormat="0" applyFill="0" applyBorder="0" applyAlignment="0"/>
    <xf numFmtId="0" fontId="257" fillId="0" borderId="0" applyNumberFormat="0" applyFill="0" applyBorder="0" applyAlignment="0"/>
    <xf numFmtId="0" fontId="257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9" fillId="0" borderId="70" applyFont="0" applyBorder="0" applyAlignment="0">
      <alignment horizontal="center" vertical="top" wrapText="1"/>
    </xf>
    <xf numFmtId="0" fontId="259" fillId="0" borderId="70" applyFont="0" applyBorder="0" applyAlignment="0">
      <alignment horizontal="center" vertical="top" wrapText="1"/>
    </xf>
    <xf numFmtId="0" fontId="259" fillId="0" borderId="70" applyFont="0" applyBorder="0" applyAlignment="0">
      <alignment horizontal="center" vertical="top" wrapText="1"/>
    </xf>
    <xf numFmtId="0" fontId="259" fillId="0" borderId="70" applyFont="0" applyBorder="0" applyAlignment="0">
      <alignment horizontal="center" vertical="top" wrapText="1"/>
    </xf>
    <xf numFmtId="0" fontId="259" fillId="0" borderId="70" applyFont="0" applyBorder="0" applyAlignment="0">
      <alignment horizontal="center" vertical="top" wrapText="1"/>
    </xf>
    <xf numFmtId="0" fontId="259" fillId="0" borderId="70" applyFont="0" applyBorder="0" applyAlignment="0">
      <alignment horizontal="center" vertical="top" wrapText="1"/>
    </xf>
    <xf numFmtId="0" fontId="259" fillId="0" borderId="70" applyFont="0" applyBorder="0" applyAlignment="0">
      <alignment horizontal="center" vertical="top" wrapText="1"/>
    </xf>
    <xf numFmtId="0" fontId="259" fillId="0" borderId="70" applyFont="0" applyBorder="0" applyAlignment="0">
      <alignment horizontal="center" vertical="top" wrapText="1"/>
    </xf>
    <xf numFmtId="0" fontId="259" fillId="0" borderId="70" applyFont="0" applyBorder="0" applyAlignment="0">
      <alignment horizontal="center" vertical="top" wrapText="1"/>
    </xf>
    <xf numFmtId="0" fontId="259" fillId="0" borderId="70" applyFont="0" applyBorder="0" applyAlignment="0">
      <alignment horizontal="center" vertical="top" wrapText="1"/>
    </xf>
    <xf numFmtId="0" fontId="259" fillId="0" borderId="70" applyFont="0" applyBorder="0" applyAlignment="0">
      <alignment horizontal="center" vertical="top" wrapText="1"/>
    </xf>
    <xf numFmtId="0" fontId="259" fillId="0" borderId="70" applyFont="0" applyBorder="0" applyAlignment="0">
      <alignment horizontal="center" vertical="top" wrapText="1"/>
    </xf>
    <xf numFmtId="0" fontId="257" fillId="0" borderId="0" applyNumberFormat="0" applyFill="0" applyBorder="0" applyAlignment="0"/>
    <xf numFmtId="0" fontId="255" fillId="0" borderId="0" applyNumberFormat="0" applyFill="0" applyBorder="0" applyAlignment="0"/>
    <xf numFmtId="0" fontId="257" fillId="0" borderId="0" applyNumberFormat="0" applyFill="0" applyBorder="0" applyAlignment="0"/>
    <xf numFmtId="0" fontId="255" fillId="0" borderId="0" applyNumberFormat="0" applyFill="0" applyBorder="0" applyAlignment="0"/>
    <xf numFmtId="0" fontId="257" fillId="0" borderId="0" applyNumberFormat="0" applyFill="0" applyBorder="0" applyAlignment="0"/>
    <xf numFmtId="0" fontId="257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8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8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8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8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60" fillId="0" borderId="0" applyBorder="0"/>
    <xf numFmtId="0" fontId="255" fillId="0" borderId="0" applyNumberFormat="0" applyFill="0" applyBorder="0" applyAlignment="0"/>
    <xf numFmtId="0" fontId="259" fillId="0" borderId="70" applyFont="0" applyBorder="0" applyAlignment="0">
      <alignment horizontal="center" vertical="top" wrapText="1"/>
    </xf>
    <xf numFmtId="0" fontId="259" fillId="0" borderId="70" applyFont="0" applyBorder="0" applyAlignment="0">
      <alignment horizontal="center" vertical="top" wrapText="1"/>
    </xf>
    <xf numFmtId="0" fontId="259" fillId="0" borderId="70" applyFont="0" applyBorder="0" applyAlignment="0">
      <alignment horizontal="center" vertical="top" wrapText="1"/>
    </xf>
    <xf numFmtId="0" fontId="259" fillId="0" borderId="70" applyFont="0" applyBorder="0" applyAlignment="0">
      <alignment horizontal="center" vertical="top" wrapText="1"/>
    </xf>
    <xf numFmtId="0" fontId="255" fillId="0" borderId="0" applyNumberFormat="0" applyFill="0" applyBorder="0" applyAlignment="0"/>
    <xf numFmtId="0" fontId="257" fillId="0" borderId="0" applyNumberFormat="0" applyFill="0" applyBorder="0" applyAlignment="0"/>
    <xf numFmtId="0" fontId="257" fillId="0" borderId="0" applyNumberFormat="0" applyFill="0" applyBorder="0" applyAlignment="0"/>
    <xf numFmtId="0" fontId="257" fillId="0" borderId="0" applyNumberFormat="0" applyFill="0" applyBorder="0" applyAlignment="0"/>
    <xf numFmtId="0" fontId="257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7" fillId="0" borderId="0" applyNumberFormat="0" applyFill="0" applyBorder="0" applyAlignment="0"/>
    <xf numFmtId="0" fontId="257" fillId="0" borderId="0" applyNumberFormat="0" applyFill="0" applyBorder="0" applyAlignment="0"/>
    <xf numFmtId="0" fontId="257" fillId="0" borderId="0" applyNumberFormat="0" applyFill="0" applyBorder="0" applyAlignment="0"/>
    <xf numFmtId="0" fontId="257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8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8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8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8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8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8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8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8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8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8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8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8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8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9" fillId="0" borderId="70" applyFont="0" applyBorder="0" applyAlignment="0">
      <alignment horizontal="center" vertical="top" wrapText="1"/>
    </xf>
    <xf numFmtId="0" fontId="259" fillId="0" borderId="70" applyFont="0" applyBorder="0" applyAlignment="0">
      <alignment horizontal="center" vertical="top" wrapText="1"/>
    </xf>
    <xf numFmtId="0" fontId="259" fillId="0" borderId="70" applyFont="0" applyBorder="0" applyAlignment="0">
      <alignment horizontal="center" vertical="top" wrapText="1"/>
    </xf>
    <xf numFmtId="0" fontId="259" fillId="0" borderId="70" applyFont="0" applyBorder="0" applyAlignment="0">
      <alignment horizontal="center" vertical="top" wrapText="1"/>
    </xf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8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7" fillId="0" borderId="0" applyNumberFormat="0" applyFill="0" applyBorder="0" applyAlignment="0"/>
    <xf numFmtId="0" fontId="257" fillId="0" borderId="0" applyNumberFormat="0" applyFill="0" applyBorder="0" applyAlignment="0"/>
    <xf numFmtId="0" fontId="255" fillId="0" borderId="0" applyNumberFormat="0" applyFill="0" applyBorder="0" applyAlignment="0"/>
    <xf numFmtId="0" fontId="259" fillId="0" borderId="70" applyFont="0" applyBorder="0" applyAlignment="0">
      <alignment horizontal="center" vertical="top" wrapText="1"/>
    </xf>
    <xf numFmtId="0" fontId="259" fillId="0" borderId="70" applyFont="0" applyBorder="0" applyAlignment="0">
      <alignment horizontal="center" vertical="top" wrapText="1"/>
    </xf>
    <xf numFmtId="0" fontId="259" fillId="0" borderId="70" applyFont="0" applyBorder="0" applyAlignment="0">
      <alignment horizontal="center" vertical="top" wrapText="1"/>
    </xf>
    <xf numFmtId="0" fontId="259" fillId="0" borderId="70" applyFont="0" applyBorder="0" applyAlignment="0">
      <alignment horizontal="center" vertical="top" wrapText="1"/>
    </xf>
    <xf numFmtId="0" fontId="255" fillId="0" borderId="0" applyNumberFormat="0" applyFill="0" applyBorder="0" applyAlignment="0"/>
    <xf numFmtId="0" fontId="258" fillId="0" borderId="0" applyNumberFormat="0" applyFill="0" applyBorder="0" applyAlignment="0"/>
    <xf numFmtId="0" fontId="257" fillId="0" borderId="0" applyNumberFormat="0" applyFill="0" applyBorder="0" applyAlignment="0"/>
    <xf numFmtId="0" fontId="257" fillId="0" borderId="0" applyNumberFormat="0" applyFill="0" applyBorder="0" applyAlignment="0"/>
    <xf numFmtId="0" fontId="255" fillId="0" borderId="0" applyNumberFormat="0" applyFill="0" applyBorder="0" applyAlignment="0"/>
    <xf numFmtId="0" fontId="258" fillId="0" borderId="0" applyNumberFormat="0" applyFill="0" applyBorder="0" applyAlignment="0"/>
    <xf numFmtId="0" fontId="258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7" fillId="0" borderId="0" applyNumberFormat="0" applyFill="0" applyBorder="0" applyAlignment="0"/>
    <xf numFmtId="0" fontId="257" fillId="0" borderId="0" applyNumberFormat="0" applyFill="0" applyBorder="0" applyAlignment="0"/>
    <xf numFmtId="0" fontId="255" fillId="0" borderId="0" applyNumberFormat="0" applyFill="0" applyBorder="0" applyAlignment="0"/>
    <xf numFmtId="0" fontId="259" fillId="0" borderId="70" applyFont="0" applyBorder="0" applyAlignment="0">
      <alignment horizontal="center" vertical="top" wrapText="1"/>
    </xf>
    <xf numFmtId="0" fontId="259" fillId="0" borderId="70" applyFont="0" applyBorder="0" applyAlignment="0">
      <alignment horizontal="center" vertical="top" wrapText="1"/>
    </xf>
    <xf numFmtId="0" fontId="259" fillId="0" borderId="70" applyFont="0" applyBorder="0" applyAlignment="0">
      <alignment horizontal="center" vertical="top" wrapText="1"/>
    </xf>
    <xf numFmtId="0" fontId="259" fillId="0" borderId="70" applyFont="0" applyBorder="0" applyAlignment="0">
      <alignment horizontal="center" vertical="top" wrapText="1"/>
    </xf>
    <xf numFmtId="0" fontId="255" fillId="0" borderId="0" applyNumberFormat="0" applyFill="0" applyBorder="0" applyAlignment="0"/>
    <xf numFmtId="0" fontId="257" fillId="0" borderId="0" applyNumberFormat="0" applyFill="0" applyBorder="0" applyAlignment="0"/>
    <xf numFmtId="0" fontId="255" fillId="0" borderId="0" applyNumberFormat="0" applyFill="0" applyBorder="0" applyAlignment="0"/>
    <xf numFmtId="0" fontId="257" fillId="0" borderId="0" applyNumberFormat="0" applyFill="0" applyBorder="0" applyAlignment="0"/>
    <xf numFmtId="0" fontId="257" fillId="0" borderId="0" applyNumberFormat="0" applyFill="0" applyBorder="0" applyAlignment="0"/>
    <xf numFmtId="0" fontId="257" fillId="0" borderId="0" applyNumberFormat="0" applyFill="0" applyBorder="0" applyAlignment="0"/>
    <xf numFmtId="0" fontId="257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7" fillId="0" borderId="0" applyNumberFormat="0" applyFill="0" applyBorder="0" applyAlignment="0"/>
    <xf numFmtId="0" fontId="257" fillId="0" borderId="0" applyNumberFormat="0" applyFill="0" applyBorder="0" applyAlignment="0"/>
    <xf numFmtId="0" fontId="257" fillId="0" borderId="0" applyNumberFormat="0" applyFill="0" applyBorder="0" applyAlignment="0"/>
    <xf numFmtId="0" fontId="257" fillId="0" borderId="0" applyNumberFormat="0" applyFill="0" applyBorder="0" applyAlignment="0"/>
    <xf numFmtId="0" fontId="255" fillId="0" borderId="0" applyNumberFormat="0" applyFill="0" applyBorder="0" applyAlignment="0"/>
    <xf numFmtId="0" fontId="255" fillId="0" borderId="0" applyNumberFormat="0" applyFill="0" applyBorder="0" applyAlignment="0"/>
    <xf numFmtId="0" fontId="258" fillId="0" borderId="0" applyNumberFormat="0" applyFill="0" applyBorder="0" applyAlignment="0"/>
    <xf numFmtId="0" fontId="257" fillId="0" borderId="0" applyNumberFormat="0" applyFill="0" applyBorder="0" applyAlignment="0"/>
    <xf numFmtId="201" fontId="233" fillId="0" borderId="0" applyFont="0" applyFill="0" applyBorder="0" applyAlignment="0" applyProtection="0"/>
    <xf numFmtId="203" fontId="233" fillId="0" borderId="0" applyFont="0" applyFill="0" applyBorder="0" applyAlignment="0" applyProtection="0"/>
    <xf numFmtId="201" fontId="234" fillId="0" borderId="0" applyFont="0" applyFill="0" applyBorder="0" applyAlignment="0" applyProtection="0"/>
    <xf numFmtId="203" fontId="234" fillId="0" borderId="0" applyFont="0" applyFill="0" applyBorder="0" applyAlignment="0" applyProtection="0"/>
    <xf numFmtId="0" fontId="243" fillId="61" borderId="0" applyNumberFormat="0" applyBorder="0" applyAlignment="0" applyProtection="0"/>
    <xf numFmtId="0" fontId="236" fillId="62" borderId="0" applyNumberFormat="0" applyBorder="0" applyAlignment="0" applyProtection="0"/>
    <xf numFmtId="0" fontId="236" fillId="63" borderId="0" applyNumberFormat="0" applyBorder="0" applyAlignment="0" applyProtection="0"/>
    <xf numFmtId="0" fontId="243" fillId="64" borderId="0" applyNumberFormat="0" applyBorder="0" applyAlignment="0" applyProtection="0"/>
    <xf numFmtId="0" fontId="243" fillId="61" borderId="0" applyNumberFormat="0" applyBorder="0" applyAlignment="0" applyProtection="0"/>
    <xf numFmtId="0" fontId="243" fillId="61" borderId="0" applyNumberFormat="0" applyBorder="0" applyAlignment="0" applyProtection="0"/>
    <xf numFmtId="0" fontId="243" fillId="61" borderId="0" applyNumberFormat="0" applyBorder="0" applyAlignment="0" applyProtection="0"/>
    <xf numFmtId="0" fontId="243" fillId="61" borderId="0" applyNumberFormat="0" applyBorder="0" applyAlignment="0" applyProtection="0"/>
    <xf numFmtId="0" fontId="243" fillId="61" borderId="0" applyNumberFormat="0" applyBorder="0" applyAlignment="0" applyProtection="0"/>
    <xf numFmtId="0" fontId="243" fillId="61" borderId="0" applyNumberFormat="0" applyBorder="0" applyAlignment="0" applyProtection="0"/>
    <xf numFmtId="0" fontId="243" fillId="61" borderId="0" applyNumberFormat="0" applyBorder="0" applyAlignment="0" applyProtection="0"/>
    <xf numFmtId="0" fontId="243" fillId="61" borderId="0" applyNumberFormat="0" applyBorder="0" applyAlignment="0" applyProtection="0"/>
    <xf numFmtId="0" fontId="243" fillId="61" borderId="0" applyNumberFormat="0" applyBorder="0" applyAlignment="0" applyProtection="0"/>
    <xf numFmtId="0" fontId="243" fillId="61" borderId="0" applyNumberFormat="0" applyBorder="0" applyAlignment="0" applyProtection="0"/>
    <xf numFmtId="0" fontId="243" fillId="65" borderId="0" applyNumberFormat="0" applyBorder="0" applyAlignment="0" applyProtection="0"/>
    <xf numFmtId="0" fontId="243" fillId="61" borderId="0" applyNumberFormat="0" applyBorder="0" applyAlignment="0" applyProtection="0"/>
    <xf numFmtId="0" fontId="243" fillId="65" borderId="0" applyNumberFormat="0" applyBorder="0" applyAlignment="0" applyProtection="0"/>
    <xf numFmtId="0" fontId="243" fillId="61" borderId="0" applyNumberFormat="0" applyBorder="0" applyAlignment="0" applyProtection="0"/>
    <xf numFmtId="0" fontId="243" fillId="61" borderId="0" applyNumberFormat="0" applyBorder="0" applyAlignment="0" applyProtection="0"/>
    <xf numFmtId="0" fontId="243" fillId="61" borderId="0" applyNumberFormat="0" applyBorder="0" applyAlignment="0" applyProtection="0"/>
    <xf numFmtId="0" fontId="243" fillId="61" borderId="0" applyNumberFormat="0" applyBorder="0" applyAlignment="0" applyProtection="0"/>
    <xf numFmtId="0" fontId="243" fillId="61" borderId="0" applyNumberFormat="0" applyBorder="0" applyAlignment="0" applyProtection="0"/>
    <xf numFmtId="0" fontId="243" fillId="61" borderId="0" applyNumberFormat="0" applyBorder="0" applyAlignment="0" applyProtection="0"/>
    <xf numFmtId="0" fontId="243" fillId="61" borderId="0" applyNumberFormat="0" applyBorder="0" applyAlignment="0" applyProtection="0"/>
    <xf numFmtId="0" fontId="243" fillId="61" borderId="0" applyNumberFormat="0" applyBorder="0" applyAlignment="0" applyProtection="0"/>
    <xf numFmtId="0" fontId="243" fillId="61" borderId="0" applyNumberFormat="0" applyBorder="0" applyAlignment="0" applyProtection="0"/>
    <xf numFmtId="0" fontId="243" fillId="61" borderId="0" applyNumberFormat="0" applyBorder="0" applyAlignment="0" applyProtection="0"/>
    <xf numFmtId="0" fontId="244" fillId="61" borderId="0" applyNumberFormat="0" applyBorder="0" applyAlignment="0" applyProtection="0"/>
    <xf numFmtId="0" fontId="243" fillId="61" borderId="0" applyNumberFormat="0" applyBorder="0" applyAlignment="0" applyProtection="0"/>
    <xf numFmtId="0" fontId="247" fillId="61" borderId="0" applyNumberFormat="0" applyBorder="0" applyAlignment="0" applyProtection="0"/>
    <xf numFmtId="0" fontId="243" fillId="61" borderId="0" applyNumberFormat="0" applyBorder="0" applyAlignment="0" applyProtection="0"/>
    <xf numFmtId="0" fontId="243" fillId="61" borderId="0" applyNumberFormat="0" applyBorder="0" applyAlignment="0" applyProtection="0"/>
    <xf numFmtId="0" fontId="243" fillId="61" borderId="0" applyNumberFormat="0" applyBorder="0" applyAlignment="0" applyProtection="0"/>
    <xf numFmtId="0" fontId="243" fillId="61" borderId="0" applyNumberFormat="0" applyBorder="0" applyAlignment="0" applyProtection="0"/>
    <xf numFmtId="0" fontId="243" fillId="61" borderId="0" applyNumberFormat="0" applyBorder="0" applyAlignment="0" applyProtection="0"/>
    <xf numFmtId="0" fontId="243" fillId="61" borderId="0" applyNumberFormat="0" applyBorder="0" applyAlignment="0" applyProtection="0"/>
    <xf numFmtId="0" fontId="243" fillId="66" borderId="0" applyNumberFormat="0" applyBorder="0" applyAlignment="0" applyProtection="0"/>
    <xf numFmtId="0" fontId="236" fillId="67" borderId="0" applyNumberFormat="0" applyBorder="0" applyAlignment="0" applyProtection="0"/>
    <xf numFmtId="0" fontId="236" fillId="68" borderId="0" applyNumberFormat="0" applyBorder="0" applyAlignment="0" applyProtection="0"/>
    <xf numFmtId="0" fontId="243" fillId="69" borderId="0" applyNumberFormat="0" applyBorder="0" applyAlignment="0" applyProtection="0"/>
    <xf numFmtId="0" fontId="243" fillId="66" borderId="0" applyNumberFormat="0" applyBorder="0" applyAlignment="0" applyProtection="0"/>
    <xf numFmtId="0" fontId="243" fillId="66" borderId="0" applyNumberFormat="0" applyBorder="0" applyAlignment="0" applyProtection="0"/>
    <xf numFmtId="0" fontId="243" fillId="66" borderId="0" applyNumberFormat="0" applyBorder="0" applyAlignment="0" applyProtection="0"/>
    <xf numFmtId="0" fontId="243" fillId="66" borderId="0" applyNumberFormat="0" applyBorder="0" applyAlignment="0" applyProtection="0"/>
    <xf numFmtId="0" fontId="243" fillId="66" borderId="0" applyNumberFormat="0" applyBorder="0" applyAlignment="0" applyProtection="0"/>
    <xf numFmtId="0" fontId="243" fillId="66" borderId="0" applyNumberFormat="0" applyBorder="0" applyAlignment="0" applyProtection="0"/>
    <xf numFmtId="0" fontId="243" fillId="66" borderId="0" applyNumberFormat="0" applyBorder="0" applyAlignment="0" applyProtection="0"/>
    <xf numFmtId="0" fontId="243" fillId="66" borderId="0" applyNumberFormat="0" applyBorder="0" applyAlignment="0" applyProtection="0"/>
    <xf numFmtId="0" fontId="243" fillId="66" borderId="0" applyNumberFormat="0" applyBorder="0" applyAlignment="0" applyProtection="0"/>
    <xf numFmtId="0" fontId="243" fillId="66" borderId="0" applyNumberFormat="0" applyBorder="0" applyAlignment="0" applyProtection="0"/>
    <xf numFmtId="0" fontId="243" fillId="60" borderId="0" applyNumberFormat="0" applyBorder="0" applyAlignment="0" applyProtection="0"/>
    <xf numFmtId="0" fontId="243" fillId="66" borderId="0" applyNumberFormat="0" applyBorder="0" applyAlignment="0" applyProtection="0"/>
    <xf numFmtId="0" fontId="243" fillId="60" borderId="0" applyNumberFormat="0" applyBorder="0" applyAlignment="0" applyProtection="0"/>
    <xf numFmtId="0" fontId="243" fillId="66" borderId="0" applyNumberFormat="0" applyBorder="0" applyAlignment="0" applyProtection="0"/>
    <xf numFmtId="0" fontId="243" fillId="66" borderId="0" applyNumberFormat="0" applyBorder="0" applyAlignment="0" applyProtection="0"/>
    <xf numFmtId="0" fontId="243" fillId="66" borderId="0" applyNumberFormat="0" applyBorder="0" applyAlignment="0" applyProtection="0"/>
    <xf numFmtId="0" fontId="243" fillId="66" borderId="0" applyNumberFormat="0" applyBorder="0" applyAlignment="0" applyProtection="0"/>
    <xf numFmtId="0" fontId="243" fillId="66" borderId="0" applyNumberFormat="0" applyBorder="0" applyAlignment="0" applyProtection="0"/>
    <xf numFmtId="0" fontId="243" fillId="66" borderId="0" applyNumberFormat="0" applyBorder="0" applyAlignment="0" applyProtection="0"/>
    <xf numFmtId="0" fontId="243" fillId="66" borderId="0" applyNumberFormat="0" applyBorder="0" applyAlignment="0" applyProtection="0"/>
    <xf numFmtId="0" fontId="243" fillId="66" borderId="0" applyNumberFormat="0" applyBorder="0" applyAlignment="0" applyProtection="0"/>
    <xf numFmtId="0" fontId="243" fillId="66" borderId="0" applyNumberFormat="0" applyBorder="0" applyAlignment="0" applyProtection="0"/>
    <xf numFmtId="0" fontId="243" fillId="66" borderId="0" applyNumberFormat="0" applyBorder="0" applyAlignment="0" applyProtection="0"/>
    <xf numFmtId="0" fontId="244" fillId="66" borderId="0" applyNumberFormat="0" applyBorder="0" applyAlignment="0" applyProtection="0"/>
    <xf numFmtId="0" fontId="243" fillId="66" borderId="0" applyNumberFormat="0" applyBorder="0" applyAlignment="0" applyProtection="0"/>
    <xf numFmtId="0" fontId="247" fillId="66" borderId="0" applyNumberFormat="0" applyBorder="0" applyAlignment="0" applyProtection="0"/>
    <xf numFmtId="0" fontId="243" fillId="66" borderId="0" applyNumberFormat="0" applyBorder="0" applyAlignment="0" applyProtection="0"/>
    <xf numFmtId="0" fontId="243" fillId="66" borderId="0" applyNumberFormat="0" applyBorder="0" applyAlignment="0" applyProtection="0"/>
    <xf numFmtId="0" fontId="243" fillId="66" borderId="0" applyNumberFormat="0" applyBorder="0" applyAlignment="0" applyProtection="0"/>
    <xf numFmtId="0" fontId="243" fillId="66" borderId="0" applyNumberFormat="0" applyBorder="0" applyAlignment="0" applyProtection="0"/>
    <xf numFmtId="0" fontId="243" fillId="66" borderId="0" applyNumberFormat="0" applyBorder="0" applyAlignment="0" applyProtection="0"/>
    <xf numFmtId="0" fontId="243" fillId="66" borderId="0" applyNumberFormat="0" applyBorder="0" applyAlignment="0" applyProtection="0"/>
    <xf numFmtId="0" fontId="243" fillId="70" borderId="0" applyNumberFormat="0" applyBorder="0" applyAlignment="0" applyProtection="0"/>
    <xf numFmtId="0" fontId="236" fillId="71" borderId="0" applyNumberFormat="0" applyBorder="0" applyAlignment="0" applyProtection="0"/>
    <xf numFmtId="0" fontId="236" fillId="72" borderId="0" applyNumberFormat="0" applyBorder="0" applyAlignment="0" applyProtection="0"/>
    <xf numFmtId="0" fontId="243" fillId="73" borderId="0" applyNumberFormat="0" applyBorder="0" applyAlignment="0" applyProtection="0"/>
    <xf numFmtId="0" fontId="243" fillId="70" borderId="0" applyNumberFormat="0" applyBorder="0" applyAlignment="0" applyProtection="0"/>
    <xf numFmtId="0" fontId="243" fillId="70" borderId="0" applyNumberFormat="0" applyBorder="0" applyAlignment="0" applyProtection="0"/>
    <xf numFmtId="0" fontId="243" fillId="70" borderId="0" applyNumberFormat="0" applyBorder="0" applyAlignment="0" applyProtection="0"/>
    <xf numFmtId="0" fontId="243" fillId="70" borderId="0" applyNumberFormat="0" applyBorder="0" applyAlignment="0" applyProtection="0"/>
    <xf numFmtId="0" fontId="243" fillId="70" borderId="0" applyNumberFormat="0" applyBorder="0" applyAlignment="0" applyProtection="0"/>
    <xf numFmtId="0" fontId="243" fillId="70" borderId="0" applyNumberFormat="0" applyBorder="0" applyAlignment="0" applyProtection="0"/>
    <xf numFmtId="0" fontId="243" fillId="70" borderId="0" applyNumberFormat="0" applyBorder="0" applyAlignment="0" applyProtection="0"/>
    <xf numFmtId="0" fontId="243" fillId="70" borderId="0" applyNumberFormat="0" applyBorder="0" applyAlignment="0" applyProtection="0"/>
    <xf numFmtId="0" fontId="243" fillId="70" borderId="0" applyNumberFormat="0" applyBorder="0" applyAlignment="0" applyProtection="0"/>
    <xf numFmtId="0" fontId="243" fillId="70" borderId="0" applyNumberFormat="0" applyBorder="0" applyAlignment="0" applyProtection="0"/>
    <xf numFmtId="0" fontId="243" fillId="53" borderId="0" applyNumberFormat="0" applyBorder="0" applyAlignment="0" applyProtection="0"/>
    <xf numFmtId="0" fontId="243" fillId="70" borderId="0" applyNumberFormat="0" applyBorder="0" applyAlignment="0" applyProtection="0"/>
    <xf numFmtId="0" fontId="243" fillId="53" borderId="0" applyNumberFormat="0" applyBorder="0" applyAlignment="0" applyProtection="0"/>
    <xf numFmtId="0" fontId="243" fillId="70" borderId="0" applyNumberFormat="0" applyBorder="0" applyAlignment="0" applyProtection="0"/>
    <xf numFmtId="0" fontId="243" fillId="70" borderId="0" applyNumberFormat="0" applyBorder="0" applyAlignment="0" applyProtection="0"/>
    <xf numFmtId="0" fontId="243" fillId="70" borderId="0" applyNumberFormat="0" applyBorder="0" applyAlignment="0" applyProtection="0"/>
    <xf numFmtId="0" fontId="243" fillId="70" borderId="0" applyNumberFormat="0" applyBorder="0" applyAlignment="0" applyProtection="0"/>
    <xf numFmtId="0" fontId="243" fillId="70" borderId="0" applyNumberFormat="0" applyBorder="0" applyAlignment="0" applyProtection="0"/>
    <xf numFmtId="0" fontId="243" fillId="70" borderId="0" applyNumberFormat="0" applyBorder="0" applyAlignment="0" applyProtection="0"/>
    <xf numFmtId="0" fontId="243" fillId="70" borderId="0" applyNumberFormat="0" applyBorder="0" applyAlignment="0" applyProtection="0"/>
    <xf numFmtId="0" fontId="243" fillId="70" borderId="0" applyNumberFormat="0" applyBorder="0" applyAlignment="0" applyProtection="0"/>
    <xf numFmtId="0" fontId="243" fillId="70" borderId="0" applyNumberFormat="0" applyBorder="0" applyAlignment="0" applyProtection="0"/>
    <xf numFmtId="0" fontId="243" fillId="70" borderId="0" applyNumberFormat="0" applyBorder="0" applyAlignment="0" applyProtection="0"/>
    <xf numFmtId="0" fontId="244" fillId="70" borderId="0" applyNumberFormat="0" applyBorder="0" applyAlignment="0" applyProtection="0"/>
    <xf numFmtId="0" fontId="243" fillId="70" borderId="0" applyNumberFormat="0" applyBorder="0" applyAlignment="0" applyProtection="0"/>
    <xf numFmtId="0" fontId="247" fillId="70" borderId="0" applyNumberFormat="0" applyBorder="0" applyAlignment="0" applyProtection="0"/>
    <xf numFmtId="0" fontId="243" fillId="70" borderId="0" applyNumberFormat="0" applyBorder="0" applyAlignment="0" applyProtection="0"/>
    <xf numFmtId="0" fontId="243" fillId="70" borderId="0" applyNumberFormat="0" applyBorder="0" applyAlignment="0" applyProtection="0"/>
    <xf numFmtId="0" fontId="243" fillId="70" borderId="0" applyNumberFormat="0" applyBorder="0" applyAlignment="0" applyProtection="0"/>
    <xf numFmtId="0" fontId="243" fillId="70" borderId="0" applyNumberFormat="0" applyBorder="0" applyAlignment="0" applyProtection="0"/>
    <xf numFmtId="0" fontId="243" fillId="70" borderId="0" applyNumberFormat="0" applyBorder="0" applyAlignment="0" applyProtection="0"/>
    <xf numFmtId="0" fontId="243" fillId="70" borderId="0" applyNumberFormat="0" applyBorder="0" applyAlignment="0" applyProtection="0"/>
    <xf numFmtId="0" fontId="243" fillId="57" borderId="0" applyNumberFormat="0" applyBorder="0" applyAlignment="0" applyProtection="0"/>
    <xf numFmtId="0" fontId="236" fillId="72" borderId="0" applyNumberFormat="0" applyBorder="0" applyAlignment="0" applyProtection="0"/>
    <xf numFmtId="0" fontId="236" fillId="73" borderId="0" applyNumberFormat="0" applyBorder="0" applyAlignment="0" applyProtection="0"/>
    <xf numFmtId="0" fontId="243" fillId="73" borderId="0" applyNumberFormat="0" applyBorder="0" applyAlignment="0" applyProtection="0"/>
    <xf numFmtId="0" fontId="243" fillId="57" borderId="0" applyNumberFormat="0" applyBorder="0" applyAlignment="0" applyProtection="0"/>
    <xf numFmtId="0" fontId="243" fillId="57" borderId="0" applyNumberFormat="0" applyBorder="0" applyAlignment="0" applyProtection="0"/>
    <xf numFmtId="0" fontId="243" fillId="57" borderId="0" applyNumberFormat="0" applyBorder="0" applyAlignment="0" applyProtection="0"/>
    <xf numFmtId="0" fontId="243" fillId="57" borderId="0" applyNumberFormat="0" applyBorder="0" applyAlignment="0" applyProtection="0"/>
    <xf numFmtId="0" fontId="243" fillId="57" borderId="0" applyNumberFormat="0" applyBorder="0" applyAlignment="0" applyProtection="0"/>
    <xf numFmtId="0" fontId="243" fillId="57" borderId="0" applyNumberFormat="0" applyBorder="0" applyAlignment="0" applyProtection="0"/>
    <xf numFmtId="0" fontId="243" fillId="57" borderId="0" applyNumberFormat="0" applyBorder="0" applyAlignment="0" applyProtection="0"/>
    <xf numFmtId="0" fontId="243" fillId="57" borderId="0" applyNumberFormat="0" applyBorder="0" applyAlignment="0" applyProtection="0"/>
    <xf numFmtId="0" fontId="243" fillId="57" borderId="0" applyNumberFormat="0" applyBorder="0" applyAlignment="0" applyProtection="0"/>
    <xf numFmtId="0" fontId="243" fillId="57" borderId="0" applyNumberFormat="0" applyBorder="0" applyAlignment="0" applyProtection="0"/>
    <xf numFmtId="0" fontId="243" fillId="74" borderId="0" applyNumberFormat="0" applyBorder="0" applyAlignment="0" applyProtection="0"/>
    <xf numFmtId="0" fontId="243" fillId="57" borderId="0" applyNumberFormat="0" applyBorder="0" applyAlignment="0" applyProtection="0"/>
    <xf numFmtId="0" fontId="243" fillId="74" borderId="0" applyNumberFormat="0" applyBorder="0" applyAlignment="0" applyProtection="0"/>
    <xf numFmtId="0" fontId="243" fillId="57" borderId="0" applyNumberFormat="0" applyBorder="0" applyAlignment="0" applyProtection="0"/>
    <xf numFmtId="0" fontId="243" fillId="57" borderId="0" applyNumberFormat="0" applyBorder="0" applyAlignment="0" applyProtection="0"/>
    <xf numFmtId="0" fontId="243" fillId="57" borderId="0" applyNumberFormat="0" applyBorder="0" applyAlignment="0" applyProtection="0"/>
    <xf numFmtId="0" fontId="243" fillId="57" borderId="0" applyNumberFormat="0" applyBorder="0" applyAlignment="0" applyProtection="0"/>
    <xf numFmtId="0" fontId="243" fillId="57" borderId="0" applyNumberFormat="0" applyBorder="0" applyAlignment="0" applyProtection="0"/>
    <xf numFmtId="0" fontId="243" fillId="57" borderId="0" applyNumberFormat="0" applyBorder="0" applyAlignment="0" applyProtection="0"/>
    <xf numFmtId="0" fontId="243" fillId="57" borderId="0" applyNumberFormat="0" applyBorder="0" applyAlignment="0" applyProtection="0"/>
    <xf numFmtId="0" fontId="243" fillId="57" borderId="0" applyNumberFormat="0" applyBorder="0" applyAlignment="0" applyProtection="0"/>
    <xf numFmtId="0" fontId="243" fillId="57" borderId="0" applyNumberFormat="0" applyBorder="0" applyAlignment="0" applyProtection="0"/>
    <xf numFmtId="0" fontId="243" fillId="57" borderId="0" applyNumberFormat="0" applyBorder="0" applyAlignment="0" applyProtection="0"/>
    <xf numFmtId="0" fontId="244" fillId="57" borderId="0" applyNumberFormat="0" applyBorder="0" applyAlignment="0" applyProtection="0"/>
    <xf numFmtId="0" fontId="243" fillId="57" borderId="0" applyNumberFormat="0" applyBorder="0" applyAlignment="0" applyProtection="0"/>
    <xf numFmtId="0" fontId="247" fillId="57" borderId="0" applyNumberFormat="0" applyBorder="0" applyAlignment="0" applyProtection="0"/>
    <xf numFmtId="0" fontId="243" fillId="57" borderId="0" applyNumberFormat="0" applyBorder="0" applyAlignment="0" applyProtection="0"/>
    <xf numFmtId="0" fontId="243" fillId="57" borderId="0" applyNumberFormat="0" applyBorder="0" applyAlignment="0" applyProtection="0"/>
    <xf numFmtId="0" fontId="243" fillId="57" borderId="0" applyNumberFormat="0" applyBorder="0" applyAlignment="0" applyProtection="0"/>
    <xf numFmtId="0" fontId="243" fillId="57" borderId="0" applyNumberFormat="0" applyBorder="0" applyAlignment="0" applyProtection="0"/>
    <xf numFmtId="0" fontId="243" fillId="57" borderId="0" applyNumberFormat="0" applyBorder="0" applyAlignment="0" applyProtection="0"/>
    <xf numFmtId="0" fontId="243" fillId="57" borderId="0" applyNumberFormat="0" applyBorder="0" applyAlignment="0" applyProtection="0"/>
    <xf numFmtId="0" fontId="243" fillId="58" borderId="0" applyNumberFormat="0" applyBorder="0" applyAlignment="0" applyProtection="0"/>
    <xf numFmtId="0" fontId="236" fillId="62" borderId="0" applyNumberFormat="0" applyBorder="0" applyAlignment="0" applyProtection="0"/>
    <xf numFmtId="0" fontId="236" fillId="63" borderId="0" applyNumberFormat="0" applyBorder="0" applyAlignment="0" applyProtection="0"/>
    <xf numFmtId="0" fontId="243" fillId="63" borderId="0" applyNumberFormat="0" applyBorder="0" applyAlignment="0" applyProtection="0"/>
    <xf numFmtId="0" fontId="243" fillId="58" borderId="0" applyNumberFormat="0" applyBorder="0" applyAlignment="0" applyProtection="0"/>
    <xf numFmtId="0" fontId="244" fillId="58" borderId="0" applyNumberFormat="0" applyBorder="0" applyAlignment="0" applyProtection="0"/>
    <xf numFmtId="0" fontId="247" fillId="58" borderId="0" applyNumberFormat="0" applyBorder="0" applyAlignment="0" applyProtection="0"/>
    <xf numFmtId="0" fontId="243" fillId="60" borderId="0" applyNumberFormat="0" applyBorder="0" applyAlignment="0" applyProtection="0"/>
    <xf numFmtId="0" fontId="236" fillId="75" borderId="0" applyNumberFormat="0" applyBorder="0" applyAlignment="0" applyProtection="0"/>
    <xf numFmtId="0" fontId="236" fillId="68" borderId="0" applyNumberFormat="0" applyBorder="0" applyAlignment="0" applyProtection="0"/>
    <xf numFmtId="0" fontId="243" fillId="76" borderId="0" applyNumberFormat="0" applyBorder="0" applyAlignment="0" applyProtection="0"/>
    <xf numFmtId="0" fontId="243" fillId="60" borderId="0" applyNumberFormat="0" applyBorder="0" applyAlignment="0" applyProtection="0"/>
    <xf numFmtId="0" fontId="243" fillId="60" borderId="0" applyNumberFormat="0" applyBorder="0" applyAlignment="0" applyProtection="0"/>
    <xf numFmtId="0" fontId="243" fillId="60" borderId="0" applyNumberFormat="0" applyBorder="0" applyAlignment="0" applyProtection="0"/>
    <xf numFmtId="0" fontId="243" fillId="60" borderId="0" applyNumberFormat="0" applyBorder="0" applyAlignment="0" applyProtection="0"/>
    <xf numFmtId="0" fontId="243" fillId="60" borderId="0" applyNumberFormat="0" applyBorder="0" applyAlignment="0" applyProtection="0"/>
    <xf numFmtId="0" fontId="243" fillId="60" borderId="0" applyNumberFormat="0" applyBorder="0" applyAlignment="0" applyProtection="0"/>
    <xf numFmtId="0" fontId="243" fillId="60" borderId="0" applyNumberFormat="0" applyBorder="0" applyAlignment="0" applyProtection="0"/>
    <xf numFmtId="0" fontId="243" fillId="60" borderId="0" applyNumberFormat="0" applyBorder="0" applyAlignment="0" applyProtection="0"/>
    <xf numFmtId="0" fontId="243" fillId="60" borderId="0" applyNumberFormat="0" applyBorder="0" applyAlignment="0" applyProtection="0"/>
    <xf numFmtId="0" fontId="243" fillId="60" borderId="0" applyNumberFormat="0" applyBorder="0" applyAlignment="0" applyProtection="0"/>
    <xf numFmtId="0" fontId="243" fillId="66" borderId="0" applyNumberFormat="0" applyBorder="0" applyAlignment="0" applyProtection="0"/>
    <xf numFmtId="0" fontId="243" fillId="60" borderId="0" applyNumberFormat="0" applyBorder="0" applyAlignment="0" applyProtection="0"/>
    <xf numFmtId="0" fontId="243" fillId="66" borderId="0" applyNumberFormat="0" applyBorder="0" applyAlignment="0" applyProtection="0"/>
    <xf numFmtId="0" fontId="243" fillId="60" borderId="0" applyNumberFormat="0" applyBorder="0" applyAlignment="0" applyProtection="0"/>
    <xf numFmtId="0" fontId="243" fillId="60" borderId="0" applyNumberFormat="0" applyBorder="0" applyAlignment="0" applyProtection="0"/>
    <xf numFmtId="0" fontId="243" fillId="60" borderId="0" applyNumberFormat="0" applyBorder="0" applyAlignment="0" applyProtection="0"/>
    <xf numFmtId="0" fontId="243" fillId="60" borderId="0" applyNumberFormat="0" applyBorder="0" applyAlignment="0" applyProtection="0"/>
    <xf numFmtId="0" fontId="243" fillId="60" borderId="0" applyNumberFormat="0" applyBorder="0" applyAlignment="0" applyProtection="0"/>
    <xf numFmtId="0" fontId="243" fillId="60" borderId="0" applyNumberFormat="0" applyBorder="0" applyAlignment="0" applyProtection="0"/>
    <xf numFmtId="0" fontId="243" fillId="60" borderId="0" applyNumberFormat="0" applyBorder="0" applyAlignment="0" applyProtection="0"/>
    <xf numFmtId="0" fontId="243" fillId="60" borderId="0" applyNumberFormat="0" applyBorder="0" applyAlignment="0" applyProtection="0"/>
    <xf numFmtId="0" fontId="243" fillId="60" borderId="0" applyNumberFormat="0" applyBorder="0" applyAlignment="0" applyProtection="0"/>
    <xf numFmtId="0" fontId="243" fillId="60" borderId="0" applyNumberFormat="0" applyBorder="0" applyAlignment="0" applyProtection="0"/>
    <xf numFmtId="0" fontId="244" fillId="60" borderId="0" applyNumberFormat="0" applyBorder="0" applyAlignment="0" applyProtection="0"/>
    <xf numFmtId="0" fontId="243" fillId="60" borderId="0" applyNumberFormat="0" applyBorder="0" applyAlignment="0" applyProtection="0"/>
    <xf numFmtId="0" fontId="247" fillId="60" borderId="0" applyNumberFormat="0" applyBorder="0" applyAlignment="0" applyProtection="0"/>
    <xf numFmtId="0" fontId="243" fillId="60" borderId="0" applyNumberFormat="0" applyBorder="0" applyAlignment="0" applyProtection="0"/>
    <xf numFmtId="0" fontId="243" fillId="60" borderId="0" applyNumberFormat="0" applyBorder="0" applyAlignment="0" applyProtection="0"/>
    <xf numFmtId="0" fontId="243" fillId="60" borderId="0" applyNumberFormat="0" applyBorder="0" applyAlignment="0" applyProtection="0"/>
    <xf numFmtId="0" fontId="243" fillId="60" borderId="0" applyNumberFormat="0" applyBorder="0" applyAlignment="0" applyProtection="0"/>
    <xf numFmtId="0" fontId="243" fillId="60" borderId="0" applyNumberFormat="0" applyBorder="0" applyAlignment="0" applyProtection="0"/>
    <xf numFmtId="0" fontId="243" fillId="60" borderId="0" applyNumberFormat="0" applyBorder="0" applyAlignment="0" applyProtection="0"/>
    <xf numFmtId="41" fontId="24" fillId="0" borderId="0"/>
    <xf numFmtId="204" fontId="261" fillId="42" borderId="76">
      <alignment horizontal="center" vertical="center"/>
    </xf>
    <xf numFmtId="0" fontId="262" fillId="0" borderId="0" applyFont="0" applyFill="0" applyBorder="0" applyAlignment="0" applyProtection="0"/>
    <xf numFmtId="201" fontId="263" fillId="0" borderId="0" applyFont="0" applyFill="0" applyBorder="0" applyAlignment="0" applyProtection="0"/>
    <xf numFmtId="0" fontId="262" fillId="0" borderId="0" applyFont="0" applyFill="0" applyBorder="0" applyAlignment="0" applyProtection="0"/>
    <xf numFmtId="203" fontId="263" fillId="0" borderId="0" applyFont="0" applyFill="0" applyBorder="0" applyAlignment="0" applyProtection="0"/>
    <xf numFmtId="0" fontId="55" fillId="0" borderId="0"/>
    <xf numFmtId="0" fontId="264" fillId="0" borderId="0">
      <alignment horizontal="center" wrapText="1"/>
      <protection locked="0"/>
    </xf>
    <xf numFmtId="0" fontId="176" fillId="54" borderId="12" applyNumberFormat="0" applyFont="0" applyBorder="0" applyAlignment="0" applyProtection="0">
      <protection hidden="1"/>
    </xf>
    <xf numFmtId="0" fontId="176" fillId="54" borderId="12" applyNumberFormat="0" applyFont="0" applyBorder="0" applyAlignment="0" applyProtection="0">
      <protection hidden="1"/>
    </xf>
    <xf numFmtId="202" fontId="233" fillId="0" borderId="0" applyFont="0" applyFill="0" applyBorder="0" applyAlignment="0" applyProtection="0"/>
    <xf numFmtId="204" fontId="233" fillId="0" borderId="0" applyFont="0" applyFill="0" applyBorder="0" applyAlignment="0" applyProtection="0"/>
    <xf numFmtId="0" fontId="265" fillId="0" borderId="0" applyFont="0" applyFill="0" applyBorder="0" applyAlignment="0" applyProtection="0"/>
    <xf numFmtId="202" fontId="234" fillId="0" borderId="0" applyFont="0" applyFill="0" applyBorder="0" applyAlignment="0" applyProtection="0"/>
    <xf numFmtId="202" fontId="263" fillId="0" borderId="0" applyFont="0" applyFill="0" applyBorder="0" applyAlignment="0" applyProtection="0"/>
    <xf numFmtId="202" fontId="266" fillId="0" borderId="0" applyFont="0" applyFill="0" applyBorder="0" applyAlignment="0" applyProtection="0"/>
    <xf numFmtId="0" fontId="267" fillId="0" borderId="0" applyFont="0" applyFill="0" applyBorder="0" applyAlignment="0" applyProtection="0"/>
    <xf numFmtId="41" fontId="262" fillId="0" borderId="0" applyFont="0" applyFill="0" applyBorder="0" applyAlignment="0" applyProtection="0"/>
    <xf numFmtId="0" fontId="265" fillId="0" borderId="0" applyFont="0" applyFill="0" applyBorder="0" applyAlignment="0" applyProtection="0"/>
    <xf numFmtId="204" fontId="234" fillId="0" borderId="0" applyFont="0" applyFill="0" applyBorder="0" applyAlignment="0" applyProtection="0"/>
    <xf numFmtId="204" fontId="263" fillId="0" borderId="0" applyFont="0" applyFill="0" applyBorder="0" applyAlignment="0" applyProtection="0"/>
    <xf numFmtId="204" fontId="266" fillId="0" borderId="0" applyFont="0" applyFill="0" applyBorder="0" applyAlignment="0" applyProtection="0"/>
    <xf numFmtId="0" fontId="267" fillId="0" borderId="0" applyFont="0" applyFill="0" applyBorder="0" applyAlignment="0" applyProtection="0"/>
    <xf numFmtId="0" fontId="17" fillId="0" borderId="0"/>
    <xf numFmtId="0" fontId="17" fillId="0" borderId="0"/>
    <xf numFmtId="0" fontId="268" fillId="0" borderId="0" applyNumberFormat="0" applyFill="0" applyBorder="0" applyAlignment="0" applyProtection="0"/>
    <xf numFmtId="254" fontId="269" fillId="0" borderId="0" applyFont="0" applyFill="0" applyBorder="0" applyAlignment="0" applyProtection="0"/>
    <xf numFmtId="0" fontId="17" fillId="77" borderId="0"/>
    <xf numFmtId="0" fontId="17" fillId="77" borderId="0"/>
    <xf numFmtId="0" fontId="270" fillId="44" borderId="0" applyNumberFormat="0" applyBorder="0" applyAlignment="0" applyProtection="0"/>
    <xf numFmtId="0" fontId="271" fillId="44" borderId="0" applyNumberFormat="0" applyBorder="0" applyAlignment="0" applyProtection="0"/>
    <xf numFmtId="0" fontId="272" fillId="44" borderId="0" applyNumberFormat="0" applyBorder="0" applyAlignment="0" applyProtection="0"/>
    <xf numFmtId="0" fontId="271" fillId="46" borderId="0" applyNumberFormat="0" applyBorder="0" applyAlignment="0" applyProtection="0"/>
    <xf numFmtId="0" fontId="270" fillId="44" borderId="0" applyNumberFormat="0" applyBorder="0" applyAlignment="0" applyProtection="0"/>
    <xf numFmtId="0" fontId="273" fillId="44" borderId="0" applyNumberFormat="0" applyBorder="0" applyAlignment="0" applyProtection="0"/>
    <xf numFmtId="0" fontId="274" fillId="44" borderId="0" applyNumberFormat="0" applyBorder="0" applyAlignment="0" applyProtection="0"/>
    <xf numFmtId="0" fontId="95" fillId="0" borderId="0" applyNumberFormat="0" applyFill="0" applyBorder="0" applyAlignment="0" applyProtection="0">
      <alignment vertical="top"/>
      <protection locked="0"/>
    </xf>
    <xf numFmtId="0" fontId="275" fillId="77" borderId="0">
      <alignment vertical="center"/>
    </xf>
    <xf numFmtId="191" fontId="276" fillId="0" borderId="0" applyNumberFormat="0" applyFont="0" applyBorder="0" applyAlignment="0" applyProtection="0"/>
    <xf numFmtId="0" fontId="277" fillId="0" borderId="0" applyNumberFormat="0" applyFill="0" applyBorder="0" applyAlignment="0" applyProtection="0"/>
    <xf numFmtId="0" fontId="17" fillId="0" borderId="0" applyNumberFormat="0" applyFill="0" applyBorder="0" applyAlignment="0"/>
    <xf numFmtId="255" fontId="17" fillId="0" borderId="0" applyNumberFormat="0" applyFill="0" applyBorder="0" applyAlignment="0"/>
    <xf numFmtId="190" fontId="278" fillId="0" borderId="9" applyAlignment="0" applyProtection="0"/>
    <xf numFmtId="190" fontId="278" fillId="0" borderId="9" applyAlignment="0" applyProtection="0"/>
    <xf numFmtId="190" fontId="278" fillId="0" borderId="9" applyAlignment="0" applyProtection="0"/>
    <xf numFmtId="190" fontId="278" fillId="0" borderId="9" applyAlignment="0" applyProtection="0"/>
    <xf numFmtId="190" fontId="278" fillId="0" borderId="9" applyAlignment="0" applyProtection="0"/>
    <xf numFmtId="190" fontId="278" fillId="0" borderId="9" applyAlignment="0" applyProtection="0"/>
    <xf numFmtId="190" fontId="278" fillId="0" borderId="9" applyAlignment="0" applyProtection="0"/>
    <xf numFmtId="190" fontId="278" fillId="0" borderId="9" applyAlignment="0" applyProtection="0"/>
    <xf numFmtId="190" fontId="278" fillId="0" borderId="9" applyAlignment="0" applyProtection="0"/>
    <xf numFmtId="190" fontId="278" fillId="0" borderId="9" applyAlignment="0" applyProtection="0"/>
    <xf numFmtId="190" fontId="278" fillId="0" borderId="9" applyAlignment="0" applyProtection="0"/>
    <xf numFmtId="190" fontId="278" fillId="0" borderId="9" applyAlignment="0" applyProtection="0"/>
    <xf numFmtId="190" fontId="278" fillId="0" borderId="9" applyAlignment="0" applyProtection="0"/>
    <xf numFmtId="190" fontId="278" fillId="0" borderId="9" applyAlignment="0" applyProtection="0"/>
    <xf numFmtId="190" fontId="278" fillId="0" borderId="9" applyAlignment="0" applyProtection="0"/>
    <xf numFmtId="190" fontId="278" fillId="0" borderId="9" applyAlignment="0" applyProtection="0"/>
    <xf numFmtId="190" fontId="278" fillId="0" borderId="9" applyAlignment="0" applyProtection="0"/>
    <xf numFmtId="190" fontId="278" fillId="0" borderId="9" applyAlignment="0" applyProtection="0"/>
    <xf numFmtId="190" fontId="278" fillId="0" borderId="9" applyAlignment="0" applyProtection="0"/>
    <xf numFmtId="190" fontId="278" fillId="0" borderId="9" applyAlignment="0" applyProtection="0"/>
    <xf numFmtId="190" fontId="278" fillId="0" borderId="9" applyAlignment="0" applyProtection="0"/>
    <xf numFmtId="190" fontId="278" fillId="0" borderId="9" applyAlignment="0" applyProtection="0"/>
    <xf numFmtId="190" fontId="278" fillId="0" borderId="9" applyAlignment="0" applyProtection="0"/>
    <xf numFmtId="190" fontId="278" fillId="0" borderId="9" applyAlignment="0" applyProtection="0"/>
    <xf numFmtId="190" fontId="278" fillId="0" borderId="9" applyAlignment="0" applyProtection="0"/>
    <xf numFmtId="190" fontId="278" fillId="0" borderId="9" applyAlignment="0" applyProtection="0"/>
    <xf numFmtId="190" fontId="278" fillId="0" borderId="9" applyAlignment="0" applyProtection="0"/>
    <xf numFmtId="190" fontId="278" fillId="0" borderId="9" applyAlignment="0" applyProtection="0"/>
    <xf numFmtId="190" fontId="278" fillId="0" borderId="9" applyAlignment="0" applyProtection="0"/>
    <xf numFmtId="190" fontId="278" fillId="0" borderId="9" applyAlignment="0" applyProtection="0"/>
    <xf numFmtId="190" fontId="278" fillId="0" borderId="9" applyAlignment="0" applyProtection="0"/>
    <xf numFmtId="190" fontId="278" fillId="0" borderId="9" applyAlignment="0" applyProtection="0"/>
    <xf numFmtId="190" fontId="278" fillId="0" borderId="9" applyAlignment="0" applyProtection="0"/>
    <xf numFmtId="190" fontId="278" fillId="0" borderId="9" applyAlignment="0" applyProtection="0"/>
    <xf numFmtId="190" fontId="278" fillId="0" borderId="9" applyAlignment="0" applyProtection="0"/>
    <xf numFmtId="190" fontId="278" fillId="0" borderId="9" applyAlignment="0" applyProtection="0"/>
    <xf numFmtId="190" fontId="278" fillId="0" borderId="9" applyAlignment="0" applyProtection="0"/>
    <xf numFmtId="190" fontId="278" fillId="0" borderId="9" applyAlignment="0" applyProtection="0"/>
    <xf numFmtId="190" fontId="278" fillId="0" borderId="9" applyAlignment="0" applyProtection="0"/>
    <xf numFmtId="190" fontId="278" fillId="0" borderId="9" applyAlignment="0" applyProtection="0"/>
    <xf numFmtId="190" fontId="278" fillId="0" borderId="9" applyAlignment="0" applyProtection="0"/>
    <xf numFmtId="190" fontId="278" fillId="0" borderId="9" applyAlignment="0" applyProtection="0"/>
    <xf numFmtId="190" fontId="278" fillId="0" borderId="9" applyAlignment="0" applyProtection="0"/>
    <xf numFmtId="190" fontId="278" fillId="0" borderId="9" applyAlignment="0" applyProtection="0"/>
    <xf numFmtId="190" fontId="278" fillId="0" borderId="9" applyAlignment="0" applyProtection="0"/>
    <xf numFmtId="190" fontId="278" fillId="0" borderId="9" applyAlignment="0" applyProtection="0"/>
    <xf numFmtId="190" fontId="278" fillId="0" borderId="9" applyAlignment="0" applyProtection="0"/>
    <xf numFmtId="190" fontId="278" fillId="0" borderId="9" applyAlignment="0" applyProtection="0"/>
    <xf numFmtId="190" fontId="278" fillId="0" borderId="9" applyAlignment="0" applyProtection="0"/>
    <xf numFmtId="190" fontId="278" fillId="0" borderId="9" applyAlignment="0" applyProtection="0"/>
    <xf numFmtId="190" fontId="278" fillId="0" borderId="9" applyAlignment="0" applyProtection="0"/>
    <xf numFmtId="190" fontId="278" fillId="0" borderId="9" applyAlignment="0" applyProtection="0"/>
    <xf numFmtId="190" fontId="278" fillId="0" borderId="9" applyAlignment="0" applyProtection="0"/>
    <xf numFmtId="190" fontId="278" fillId="0" borderId="9" applyAlignment="0" applyProtection="0"/>
    <xf numFmtId="190" fontId="278" fillId="0" borderId="9" applyAlignment="0" applyProtection="0"/>
    <xf numFmtId="190" fontId="278" fillId="0" borderId="9" applyAlignment="0" applyProtection="0"/>
    <xf numFmtId="190" fontId="278" fillId="0" borderId="9" applyAlignment="0" applyProtection="0"/>
    <xf numFmtId="190" fontId="278" fillId="0" borderId="9" applyAlignment="0" applyProtection="0"/>
    <xf numFmtId="190" fontId="278" fillId="0" borderId="9" applyAlignment="0" applyProtection="0"/>
    <xf numFmtId="190" fontId="278" fillId="0" borderId="9" applyAlignment="0" applyProtection="0"/>
    <xf numFmtId="190" fontId="278" fillId="0" borderId="9" applyAlignment="0" applyProtection="0"/>
    <xf numFmtId="190" fontId="278" fillId="0" borderId="9" applyAlignment="0" applyProtection="0"/>
    <xf numFmtId="190" fontId="278" fillId="0" borderId="9" applyAlignment="0" applyProtection="0"/>
    <xf numFmtId="190" fontId="278" fillId="0" borderId="9" applyAlignment="0" applyProtection="0"/>
    <xf numFmtId="190" fontId="278" fillId="0" borderId="9" applyAlignment="0" applyProtection="0"/>
    <xf numFmtId="190" fontId="278" fillId="0" borderId="9" applyAlignment="0" applyProtection="0"/>
    <xf numFmtId="190" fontId="278" fillId="0" borderId="9" applyAlignment="0" applyProtection="0"/>
    <xf numFmtId="190" fontId="278" fillId="0" borderId="9" applyAlignment="0" applyProtection="0"/>
    <xf numFmtId="190" fontId="278" fillId="0" borderId="9" applyAlignment="0" applyProtection="0"/>
    <xf numFmtId="190" fontId="278" fillId="0" borderId="9" applyAlignment="0" applyProtection="0"/>
    <xf numFmtId="190" fontId="278" fillId="0" borderId="9" applyAlignment="0" applyProtection="0"/>
    <xf numFmtId="190" fontId="278" fillId="0" borderId="9" applyAlignment="0" applyProtection="0"/>
    <xf numFmtId="190" fontId="278" fillId="0" borderId="9" applyAlignment="0" applyProtection="0"/>
    <xf numFmtId="190" fontId="278" fillId="0" borderId="9" applyAlignment="0" applyProtection="0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167" fillId="0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8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79" fillId="79" borderId="2"/>
    <xf numFmtId="0" fontId="280" fillId="0" borderId="0" applyFill="0" applyBorder="0">
      <alignment vertical="top"/>
    </xf>
    <xf numFmtId="256" fontId="281" fillId="77" borderId="0" applyBorder="0">
      <alignment vertical="top"/>
    </xf>
    <xf numFmtId="256" fontId="56" fillId="77" borderId="0" applyBorder="0">
      <alignment vertical="top"/>
    </xf>
    <xf numFmtId="0" fontId="282" fillId="45" borderId="0" applyNumberFormat="0" applyBorder="0" applyAlignment="0" applyProtection="0"/>
    <xf numFmtId="0" fontId="283" fillId="0" borderId="0" applyNumberFormat="0" applyFill="0" applyBorder="0" applyProtection="0">
      <alignment horizontal="left"/>
    </xf>
    <xf numFmtId="0" fontId="274" fillId="0" borderId="0" applyNumberFormat="0" applyFill="0" applyBorder="0" applyProtection="0">
      <alignment horizontal="left"/>
    </xf>
    <xf numFmtId="0" fontId="267" fillId="0" borderId="0"/>
    <xf numFmtId="0" fontId="233" fillId="0" borderId="0"/>
    <xf numFmtId="0" fontId="284" fillId="0" borderId="0"/>
    <xf numFmtId="0" fontId="267" fillId="0" borderId="0"/>
    <xf numFmtId="0" fontId="285" fillId="0" borderId="0"/>
    <xf numFmtId="0" fontId="263" fillId="0" borderId="0"/>
    <xf numFmtId="0" fontId="17" fillId="0" borderId="0"/>
    <xf numFmtId="0" fontId="265" fillId="0" borderId="0"/>
    <xf numFmtId="0" fontId="262" fillId="0" borderId="0"/>
    <xf numFmtId="0" fontId="173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287" fillId="0" borderId="0" applyNumberFormat="0" applyFill="0" applyBorder="0" applyAlignment="0" applyProtection="0"/>
    <xf numFmtId="0" fontId="288" fillId="0" borderId="0" applyNumberFormat="0" applyFill="0" applyBorder="0" applyAlignment="0" applyProtection="0"/>
    <xf numFmtId="1" fontId="55" fillId="0" borderId="0" applyBorder="0">
      <alignment horizontal="center" vertical="center"/>
    </xf>
    <xf numFmtId="0" fontId="289" fillId="77" borderId="4" applyNumberFormat="0">
      <alignment horizontal="center" vertical="center"/>
    </xf>
    <xf numFmtId="0" fontId="289" fillId="77" borderId="4" applyNumberFormat="0">
      <alignment horizontal="center" vertical="center"/>
    </xf>
    <xf numFmtId="0" fontId="290" fillId="15" borderId="0" applyNumberFormat="0">
      <alignment horizontal="center" vertical="center"/>
    </xf>
    <xf numFmtId="257" fontId="2" fillId="0" borderId="0" applyFill="0" applyBorder="0" applyAlignment="0"/>
    <xf numFmtId="257" fontId="2" fillId="0" borderId="0" applyFill="0" applyBorder="0" applyAlignment="0"/>
    <xf numFmtId="257" fontId="2" fillId="0" borderId="0" applyFill="0" applyBorder="0" applyAlignment="0"/>
    <xf numFmtId="258" fontId="2" fillId="0" borderId="0" applyFill="0" applyBorder="0" applyAlignment="0"/>
    <xf numFmtId="258" fontId="2" fillId="0" borderId="0" applyFill="0" applyBorder="0" applyAlignment="0"/>
    <xf numFmtId="259" fontId="171" fillId="0" borderId="0" applyFill="0" applyBorder="0" applyAlignment="0"/>
    <xf numFmtId="0" fontId="17" fillId="0" borderId="0" applyFill="0" applyBorder="0" applyAlignment="0"/>
    <xf numFmtId="0" fontId="17" fillId="0" borderId="0" applyFill="0" applyBorder="0" applyAlignment="0"/>
    <xf numFmtId="0" fontId="17" fillId="0" borderId="0" applyFill="0" applyBorder="0" applyAlignment="0"/>
    <xf numFmtId="0" fontId="17" fillId="0" borderId="0" applyFill="0" applyBorder="0" applyAlignment="0"/>
    <xf numFmtId="260" fontId="17" fillId="0" borderId="0" applyFill="0" applyBorder="0" applyAlignment="0"/>
    <xf numFmtId="260" fontId="17" fillId="0" borderId="0" applyFill="0" applyBorder="0" applyAlignment="0"/>
    <xf numFmtId="0" fontId="17" fillId="0" borderId="0" applyFill="0" applyBorder="0" applyAlignment="0"/>
    <xf numFmtId="0" fontId="17" fillId="0" borderId="0" applyFill="0" applyBorder="0" applyAlignment="0"/>
    <xf numFmtId="0" fontId="17" fillId="0" borderId="0" applyFill="0" applyBorder="0" applyAlignment="0"/>
    <xf numFmtId="0" fontId="17" fillId="0" borderId="0" applyFill="0" applyBorder="0" applyAlignment="0"/>
    <xf numFmtId="0" fontId="17" fillId="0" borderId="0" applyFill="0" applyBorder="0" applyAlignment="0"/>
    <xf numFmtId="0" fontId="17" fillId="0" borderId="0" applyFill="0" applyBorder="0" applyAlignment="0"/>
    <xf numFmtId="0" fontId="17" fillId="0" borderId="0" applyFill="0" applyBorder="0" applyAlignment="0"/>
    <xf numFmtId="0" fontId="17" fillId="0" borderId="0" applyFill="0" applyBorder="0" applyAlignment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2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3" fillId="54" borderId="77" applyNumberFormat="0" applyAlignment="0" applyProtection="0"/>
    <xf numFmtId="0" fontId="292" fillId="54" borderId="77" applyNumberFormat="0" applyAlignment="0" applyProtection="0"/>
    <xf numFmtId="0" fontId="294" fillId="54" borderId="77" applyNumberFormat="0" applyAlignment="0" applyProtection="0"/>
    <xf numFmtId="0" fontId="295" fillId="54" borderId="77" applyNumberFormat="0" applyAlignment="0" applyProtection="0"/>
    <xf numFmtId="0" fontId="296" fillId="80" borderId="77" applyNumberFormat="0" applyAlignment="0" applyProtection="0"/>
    <xf numFmtId="0" fontId="296" fillId="80" borderId="77" applyNumberFormat="0" applyAlignment="0" applyProtection="0"/>
    <xf numFmtId="0" fontId="296" fillId="80" borderId="77" applyNumberFormat="0" applyAlignment="0" applyProtection="0"/>
    <xf numFmtId="0" fontId="296" fillId="80" borderId="77" applyNumberFormat="0" applyAlignment="0" applyProtection="0"/>
    <xf numFmtId="0" fontId="296" fillId="80" borderId="77" applyNumberFormat="0" applyAlignment="0" applyProtection="0"/>
    <xf numFmtId="0" fontId="296" fillId="80" borderId="77" applyNumberFormat="0" applyAlignment="0" applyProtection="0"/>
    <xf numFmtId="0" fontId="296" fillId="80" borderId="77" applyNumberFormat="0" applyAlignment="0" applyProtection="0"/>
    <xf numFmtId="0" fontId="296" fillId="80" borderId="77" applyNumberFormat="0" applyAlignment="0" applyProtection="0"/>
    <xf numFmtId="0" fontId="296" fillId="80" borderId="77" applyNumberFormat="0" applyAlignment="0" applyProtection="0"/>
    <xf numFmtId="0" fontId="296" fillId="80" borderId="77" applyNumberFormat="0" applyAlignment="0" applyProtection="0"/>
    <xf numFmtId="0" fontId="295" fillId="54" borderId="77" applyNumberFormat="0" applyAlignment="0" applyProtection="0"/>
    <xf numFmtId="0" fontId="295" fillId="54" borderId="77" applyNumberFormat="0" applyAlignment="0" applyProtection="0"/>
    <xf numFmtId="0" fontId="295" fillId="54" borderId="77" applyNumberFormat="0" applyAlignment="0" applyProtection="0"/>
    <xf numFmtId="0" fontId="295" fillId="54" borderId="77" applyNumberFormat="0" applyAlignment="0" applyProtection="0"/>
    <xf numFmtId="0" fontId="295" fillId="54" borderId="77" applyNumberFormat="0" applyAlignment="0" applyProtection="0"/>
    <xf numFmtId="0" fontId="295" fillId="54" borderId="77" applyNumberFormat="0" applyAlignment="0" applyProtection="0"/>
    <xf numFmtId="0" fontId="295" fillId="54" borderId="77" applyNumberFormat="0" applyAlignment="0" applyProtection="0"/>
    <xf numFmtId="0" fontId="295" fillId="54" borderId="77" applyNumberFormat="0" applyAlignment="0" applyProtection="0"/>
    <xf numFmtId="0" fontId="295" fillId="54" borderId="77" applyNumberFormat="0" applyAlignment="0" applyProtection="0"/>
    <xf numFmtId="0" fontId="295" fillId="54" borderId="77" applyNumberFormat="0" applyAlignment="0" applyProtection="0"/>
    <xf numFmtId="0" fontId="295" fillId="54" borderId="77" applyNumberFormat="0" applyAlignment="0" applyProtection="0"/>
    <xf numFmtId="0" fontId="295" fillId="54" borderId="77" applyNumberFormat="0" applyAlignment="0" applyProtection="0"/>
    <xf numFmtId="0" fontId="295" fillId="54" borderId="77" applyNumberFormat="0" applyAlignment="0" applyProtection="0"/>
    <xf numFmtId="0" fontId="295" fillId="54" borderId="77" applyNumberFormat="0" applyAlignment="0" applyProtection="0"/>
    <xf numFmtId="0" fontId="295" fillId="54" borderId="77" applyNumberFormat="0" applyAlignment="0" applyProtection="0"/>
    <xf numFmtId="0" fontId="295" fillId="54" borderId="77" applyNumberFormat="0" applyAlignment="0" applyProtection="0"/>
    <xf numFmtId="0" fontId="295" fillId="54" borderId="77" applyNumberFormat="0" applyAlignment="0" applyProtection="0"/>
    <xf numFmtId="0" fontId="295" fillId="54" borderId="77" applyNumberFormat="0" applyAlignment="0" applyProtection="0"/>
    <xf numFmtId="0" fontId="295" fillId="54" borderId="77" applyNumberFormat="0" applyAlignment="0" applyProtection="0"/>
    <xf numFmtId="0" fontId="295" fillId="54" borderId="77" applyNumberFormat="0" applyAlignment="0" applyProtection="0"/>
    <xf numFmtId="0" fontId="295" fillId="54" borderId="77" applyNumberFormat="0" applyAlignment="0" applyProtection="0"/>
    <xf numFmtId="0" fontId="295" fillId="54" borderId="77" applyNumberFormat="0" applyAlignment="0" applyProtection="0"/>
    <xf numFmtId="0" fontId="295" fillId="54" borderId="77" applyNumberFormat="0" applyAlignment="0" applyProtection="0"/>
    <xf numFmtId="0" fontId="295" fillId="54" borderId="77" applyNumberFormat="0" applyAlignment="0" applyProtection="0"/>
    <xf numFmtId="0" fontId="295" fillId="54" borderId="77" applyNumberFormat="0" applyAlignment="0" applyProtection="0"/>
    <xf numFmtId="0" fontId="295" fillId="54" borderId="77" applyNumberFormat="0" applyAlignment="0" applyProtection="0"/>
    <xf numFmtId="0" fontId="295" fillId="54" borderId="77" applyNumberFormat="0" applyAlignment="0" applyProtection="0"/>
    <xf numFmtId="0" fontId="295" fillId="54" borderId="77" applyNumberFormat="0" applyAlignment="0" applyProtection="0"/>
    <xf numFmtId="0" fontId="295" fillId="54" borderId="77" applyNumberFormat="0" applyAlignment="0" applyProtection="0"/>
    <xf numFmtId="0" fontId="296" fillId="80" borderId="77" applyNumberFormat="0" applyAlignment="0" applyProtection="0"/>
    <xf numFmtId="0" fontId="296" fillId="80" borderId="77" applyNumberFormat="0" applyAlignment="0" applyProtection="0"/>
    <xf numFmtId="0" fontId="296" fillId="80" borderId="77" applyNumberFormat="0" applyAlignment="0" applyProtection="0"/>
    <xf numFmtId="0" fontId="295" fillId="54" borderId="77" applyNumberFormat="0" applyAlignment="0" applyProtection="0"/>
    <xf numFmtId="0" fontId="295" fillId="54" borderId="77" applyNumberFormat="0" applyAlignment="0" applyProtection="0"/>
    <xf numFmtId="0" fontId="295" fillId="54" borderId="77" applyNumberFormat="0" applyAlignment="0" applyProtection="0"/>
    <xf numFmtId="0" fontId="295" fillId="54" borderId="77" applyNumberFormat="0" applyAlignment="0" applyProtection="0"/>
    <xf numFmtId="0" fontId="295" fillId="54" borderId="77" applyNumberFormat="0" applyAlignment="0" applyProtection="0"/>
    <xf numFmtId="0" fontId="295" fillId="54" borderId="77" applyNumberFormat="0" applyAlignment="0" applyProtection="0"/>
    <xf numFmtId="0" fontId="295" fillId="54" borderId="77" applyNumberFormat="0" applyAlignment="0" applyProtection="0"/>
    <xf numFmtId="0" fontId="295" fillId="54" borderId="77" applyNumberFormat="0" applyAlignment="0" applyProtection="0"/>
    <xf numFmtId="0" fontId="295" fillId="54" borderId="77" applyNumberFormat="0" applyAlignment="0" applyProtection="0"/>
    <xf numFmtId="0" fontId="295" fillId="54" borderId="77" applyNumberFormat="0" applyAlignment="0" applyProtection="0"/>
    <xf numFmtId="0" fontId="295" fillId="54" borderId="77" applyNumberFormat="0" applyAlignment="0" applyProtection="0"/>
    <xf numFmtId="0" fontId="295" fillId="54" borderId="77" applyNumberFormat="0" applyAlignment="0" applyProtection="0"/>
    <xf numFmtId="0" fontId="295" fillId="54" borderId="77" applyNumberFormat="0" applyAlignment="0" applyProtection="0"/>
    <xf numFmtId="0" fontId="295" fillId="54" borderId="77" applyNumberFormat="0" applyAlignment="0" applyProtection="0"/>
    <xf numFmtId="0" fontId="296" fillId="80" borderId="77" applyNumberFormat="0" applyAlignment="0" applyProtection="0"/>
    <xf numFmtId="0" fontId="296" fillId="80" borderId="77" applyNumberFormat="0" applyAlignment="0" applyProtection="0"/>
    <xf numFmtId="0" fontId="296" fillId="80" borderId="77" applyNumberFormat="0" applyAlignment="0" applyProtection="0"/>
    <xf numFmtId="0" fontId="296" fillId="80" borderId="77" applyNumberFormat="0" applyAlignment="0" applyProtection="0"/>
    <xf numFmtId="0" fontId="296" fillId="80" borderId="77" applyNumberFormat="0" applyAlignment="0" applyProtection="0"/>
    <xf numFmtId="0" fontId="296" fillId="80" borderId="77" applyNumberFormat="0" applyAlignment="0" applyProtection="0"/>
    <xf numFmtId="0" fontId="296" fillId="80" borderId="77" applyNumberFormat="0" applyAlignment="0" applyProtection="0"/>
    <xf numFmtId="0" fontId="295" fillId="54" borderId="77" applyNumberFormat="0" applyAlignment="0" applyProtection="0"/>
    <xf numFmtId="0" fontId="295" fillId="54" borderId="77" applyNumberFormat="0" applyAlignment="0" applyProtection="0"/>
    <xf numFmtId="0" fontId="295" fillId="54" borderId="77" applyNumberFormat="0" applyAlignment="0" applyProtection="0"/>
    <xf numFmtId="0" fontId="295" fillId="54" borderId="77" applyNumberFormat="0" applyAlignment="0" applyProtection="0"/>
    <xf numFmtId="0" fontId="295" fillId="54" borderId="77" applyNumberFormat="0" applyAlignment="0" applyProtection="0"/>
    <xf numFmtId="0" fontId="295" fillId="54" borderId="77" applyNumberFormat="0" applyAlignment="0" applyProtection="0"/>
    <xf numFmtId="0" fontId="295" fillId="54" borderId="77" applyNumberFormat="0" applyAlignment="0" applyProtection="0"/>
    <xf numFmtId="0" fontId="295" fillId="54" borderId="77" applyNumberFormat="0" applyAlignment="0" applyProtection="0"/>
    <xf numFmtId="0" fontId="295" fillId="54" borderId="77" applyNumberFormat="0" applyAlignment="0" applyProtection="0"/>
    <xf numFmtId="0" fontId="295" fillId="54" borderId="77" applyNumberFormat="0" applyAlignment="0" applyProtection="0"/>
    <xf numFmtId="0" fontId="296" fillId="80" borderId="77" applyNumberFormat="0" applyAlignment="0" applyProtection="0"/>
    <xf numFmtId="0" fontId="296" fillId="80" borderId="77" applyNumberFormat="0" applyAlignment="0" applyProtection="0"/>
    <xf numFmtId="0" fontId="296" fillId="80" borderId="77" applyNumberFormat="0" applyAlignment="0" applyProtection="0"/>
    <xf numFmtId="0" fontId="296" fillId="80" borderId="77" applyNumberFormat="0" applyAlignment="0" applyProtection="0"/>
    <xf numFmtId="0" fontId="296" fillId="80" borderId="77" applyNumberFormat="0" applyAlignment="0" applyProtection="0"/>
    <xf numFmtId="0" fontId="296" fillId="80" borderId="77" applyNumberFormat="0" applyAlignment="0" applyProtection="0"/>
    <xf numFmtId="0" fontId="296" fillId="80" borderId="77" applyNumberFormat="0" applyAlignment="0" applyProtection="0"/>
    <xf numFmtId="0" fontId="296" fillId="80" borderId="77" applyNumberFormat="0" applyAlignment="0" applyProtection="0"/>
    <xf numFmtId="0" fontId="296" fillId="80" borderId="77" applyNumberFormat="0" applyAlignment="0" applyProtection="0"/>
    <xf numFmtId="0" fontId="296" fillId="80" borderId="77" applyNumberFormat="0" applyAlignment="0" applyProtection="0"/>
    <xf numFmtId="0" fontId="296" fillId="80" borderId="77" applyNumberFormat="0" applyAlignment="0" applyProtection="0"/>
    <xf numFmtId="0" fontId="296" fillId="80" borderId="77" applyNumberFormat="0" applyAlignment="0" applyProtection="0"/>
    <xf numFmtId="0" fontId="296" fillId="80" borderId="77" applyNumberFormat="0" applyAlignment="0" applyProtection="0"/>
    <xf numFmtId="0" fontId="296" fillId="80" borderId="77" applyNumberFormat="0" applyAlignment="0" applyProtection="0"/>
    <xf numFmtId="0" fontId="296" fillId="80" borderId="77" applyNumberFormat="0" applyAlignment="0" applyProtection="0"/>
    <xf numFmtId="0" fontId="296" fillId="80" borderId="77" applyNumberFormat="0" applyAlignment="0" applyProtection="0"/>
    <xf numFmtId="0" fontId="296" fillId="80" borderId="77" applyNumberFormat="0" applyAlignment="0" applyProtection="0"/>
    <xf numFmtId="0" fontId="296" fillId="80" borderId="77" applyNumberFormat="0" applyAlignment="0" applyProtection="0"/>
    <xf numFmtId="0" fontId="296" fillId="80" borderId="77" applyNumberFormat="0" applyAlignment="0" applyProtection="0"/>
    <xf numFmtId="0" fontId="296" fillId="80" borderId="77" applyNumberFormat="0" applyAlignment="0" applyProtection="0"/>
    <xf numFmtId="0" fontId="296" fillId="80" borderId="77" applyNumberFormat="0" applyAlignment="0" applyProtection="0"/>
    <xf numFmtId="0" fontId="296" fillId="80" borderId="77" applyNumberFormat="0" applyAlignment="0" applyProtection="0"/>
    <xf numFmtId="0" fontId="296" fillId="80" borderId="77" applyNumberFormat="0" applyAlignment="0" applyProtection="0"/>
    <xf numFmtId="0" fontId="296" fillId="80" borderId="77" applyNumberFormat="0" applyAlignment="0" applyProtection="0"/>
    <xf numFmtId="0" fontId="296" fillId="80" borderId="77" applyNumberFormat="0" applyAlignment="0" applyProtection="0"/>
    <xf numFmtId="0" fontId="296" fillId="80" borderId="77" applyNumberFormat="0" applyAlignment="0" applyProtection="0"/>
    <xf numFmtId="0" fontId="296" fillId="80" borderId="77" applyNumberFormat="0" applyAlignment="0" applyProtection="0"/>
    <xf numFmtId="0" fontId="296" fillId="80" borderId="77" applyNumberFormat="0" applyAlignment="0" applyProtection="0"/>
    <xf numFmtId="0" fontId="296" fillId="80" borderId="77" applyNumberFormat="0" applyAlignment="0" applyProtection="0"/>
    <xf numFmtId="0" fontId="295" fillId="54" borderId="77" applyNumberFormat="0" applyAlignment="0" applyProtection="0"/>
    <xf numFmtId="0" fontId="295" fillId="54" borderId="77" applyNumberFormat="0" applyAlignment="0" applyProtection="0"/>
    <xf numFmtId="0" fontId="295" fillId="54" borderId="77" applyNumberFormat="0" applyAlignment="0" applyProtection="0"/>
    <xf numFmtId="0" fontId="296" fillId="80" borderId="77" applyNumberFormat="0" applyAlignment="0" applyProtection="0"/>
    <xf numFmtId="0" fontId="296" fillId="80" borderId="77" applyNumberFormat="0" applyAlignment="0" applyProtection="0"/>
    <xf numFmtId="0" fontId="296" fillId="80" borderId="77" applyNumberFormat="0" applyAlignment="0" applyProtection="0"/>
    <xf numFmtId="0" fontId="296" fillId="80" borderId="77" applyNumberFormat="0" applyAlignment="0" applyProtection="0"/>
    <xf numFmtId="0" fontId="296" fillId="80" borderId="77" applyNumberFormat="0" applyAlignment="0" applyProtection="0"/>
    <xf numFmtId="0" fontId="296" fillId="80" borderId="77" applyNumberFormat="0" applyAlignment="0" applyProtection="0"/>
    <xf numFmtId="0" fontId="296" fillId="80" borderId="77" applyNumberFormat="0" applyAlignment="0" applyProtection="0"/>
    <xf numFmtId="0" fontId="296" fillId="80" borderId="77" applyNumberFormat="0" applyAlignment="0" applyProtection="0"/>
    <xf numFmtId="0" fontId="296" fillId="80" borderId="77" applyNumberFormat="0" applyAlignment="0" applyProtection="0"/>
    <xf numFmtId="0" fontId="296" fillId="80" borderId="77" applyNumberFormat="0" applyAlignment="0" applyProtection="0"/>
    <xf numFmtId="0" fontId="296" fillId="80" borderId="77" applyNumberFormat="0" applyAlignment="0" applyProtection="0"/>
    <xf numFmtId="0" fontId="296" fillId="80" borderId="77" applyNumberFormat="0" applyAlignment="0" applyProtection="0"/>
    <xf numFmtId="0" fontId="296" fillId="80" borderId="77" applyNumberFormat="0" applyAlignment="0" applyProtection="0"/>
    <xf numFmtId="0" fontId="296" fillId="80" borderId="77" applyNumberFormat="0" applyAlignment="0" applyProtection="0"/>
    <xf numFmtId="0" fontId="295" fillId="54" borderId="77" applyNumberFormat="0" applyAlignment="0" applyProtection="0"/>
    <xf numFmtId="0" fontId="295" fillId="54" borderId="77" applyNumberFormat="0" applyAlignment="0" applyProtection="0"/>
    <xf numFmtId="0" fontId="295" fillId="54" borderId="77" applyNumberFormat="0" applyAlignment="0" applyProtection="0"/>
    <xf numFmtId="0" fontId="295" fillId="54" borderId="77" applyNumberFormat="0" applyAlignment="0" applyProtection="0"/>
    <xf numFmtId="0" fontId="295" fillId="54" borderId="77" applyNumberFormat="0" applyAlignment="0" applyProtection="0"/>
    <xf numFmtId="0" fontId="295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5" fillId="54" borderId="77" applyNumberFormat="0" applyAlignment="0" applyProtection="0"/>
    <xf numFmtId="0" fontId="295" fillId="54" borderId="77" applyNumberFormat="0" applyAlignment="0" applyProtection="0"/>
    <xf numFmtId="0" fontId="295" fillId="54" borderId="77" applyNumberFormat="0" applyAlignment="0" applyProtection="0"/>
    <xf numFmtId="0" fontId="295" fillId="54" borderId="77" applyNumberFormat="0" applyAlignment="0" applyProtection="0"/>
    <xf numFmtId="0" fontId="295" fillId="54" borderId="77" applyNumberFormat="0" applyAlignment="0" applyProtection="0"/>
    <xf numFmtId="0" fontId="295" fillId="54" borderId="77" applyNumberFormat="0" applyAlignment="0" applyProtection="0"/>
    <xf numFmtId="0" fontId="295" fillId="54" borderId="77" applyNumberFormat="0" applyAlignment="0" applyProtection="0"/>
    <xf numFmtId="0" fontId="295" fillId="54" borderId="77" applyNumberFormat="0" applyAlignment="0" applyProtection="0"/>
    <xf numFmtId="0" fontId="295" fillId="54" borderId="77" applyNumberFormat="0" applyAlignment="0" applyProtection="0"/>
    <xf numFmtId="0" fontId="295" fillId="54" borderId="77" applyNumberFormat="0" applyAlignment="0" applyProtection="0"/>
    <xf numFmtId="0" fontId="295" fillId="54" borderId="77" applyNumberFormat="0" applyAlignment="0" applyProtection="0"/>
    <xf numFmtId="0" fontId="295" fillId="54" borderId="77" applyNumberFormat="0" applyAlignment="0" applyProtection="0"/>
    <xf numFmtId="0" fontId="295" fillId="54" borderId="77" applyNumberFormat="0" applyAlignment="0" applyProtection="0"/>
    <xf numFmtId="0" fontId="295" fillId="54" borderId="77" applyNumberFormat="0" applyAlignment="0" applyProtection="0"/>
    <xf numFmtId="0" fontId="295" fillId="54" borderId="77" applyNumberFormat="0" applyAlignment="0" applyProtection="0"/>
    <xf numFmtId="0" fontId="295" fillId="54" borderId="77" applyNumberFormat="0" applyAlignment="0" applyProtection="0"/>
    <xf numFmtId="0" fontId="295" fillId="54" borderId="77" applyNumberFormat="0" applyAlignment="0" applyProtection="0"/>
    <xf numFmtId="0" fontId="295" fillId="54" borderId="77" applyNumberFormat="0" applyAlignment="0" applyProtection="0"/>
    <xf numFmtId="0" fontId="295" fillId="54" borderId="77" applyNumberFormat="0" applyAlignment="0" applyProtection="0"/>
    <xf numFmtId="0" fontId="295" fillId="54" borderId="77" applyNumberFormat="0" applyAlignment="0" applyProtection="0"/>
    <xf numFmtId="0" fontId="295" fillId="54" borderId="77" applyNumberFormat="0" applyAlignment="0" applyProtection="0"/>
    <xf numFmtId="0" fontId="295" fillId="54" borderId="77" applyNumberFormat="0" applyAlignment="0" applyProtection="0"/>
    <xf numFmtId="0" fontId="295" fillId="54" borderId="77" applyNumberFormat="0" applyAlignment="0" applyProtection="0"/>
    <xf numFmtId="0" fontId="295" fillId="54" borderId="77" applyNumberFormat="0" applyAlignment="0" applyProtection="0"/>
    <xf numFmtId="0" fontId="295" fillId="54" borderId="77" applyNumberFormat="0" applyAlignment="0" applyProtection="0"/>
    <xf numFmtId="0" fontId="295" fillId="54" borderId="77" applyNumberFormat="0" applyAlignment="0" applyProtection="0"/>
    <xf numFmtId="0" fontId="295" fillId="54" borderId="77" applyNumberFormat="0" applyAlignment="0" applyProtection="0"/>
    <xf numFmtId="0" fontId="295" fillId="54" borderId="77" applyNumberFormat="0" applyAlignment="0" applyProtection="0"/>
    <xf numFmtId="0" fontId="295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261" fontId="297" fillId="0" borderId="0" applyFont="0" applyFill="0" applyBorder="0" applyProtection="0">
      <alignment horizontal="left"/>
    </xf>
    <xf numFmtId="1" fontId="298" fillId="41" borderId="78"/>
    <xf numFmtId="1" fontId="298" fillId="41" borderId="78"/>
    <xf numFmtId="1" fontId="298" fillId="41" borderId="78"/>
    <xf numFmtId="1" fontId="298" fillId="41" borderId="78"/>
    <xf numFmtId="1" fontId="298" fillId="41" borderId="78"/>
    <xf numFmtId="1" fontId="298" fillId="41" borderId="78"/>
    <xf numFmtId="1" fontId="298" fillId="41" borderId="78"/>
    <xf numFmtId="1" fontId="298" fillId="41" borderId="78"/>
    <xf numFmtId="1" fontId="298" fillId="41" borderId="78"/>
    <xf numFmtId="1" fontId="298" fillId="41" borderId="78"/>
    <xf numFmtId="1" fontId="298" fillId="41" borderId="78"/>
    <xf numFmtId="1" fontId="299" fillId="41" borderId="78"/>
    <xf numFmtId="1" fontId="299" fillId="41" borderId="78"/>
    <xf numFmtId="1" fontId="299" fillId="41" borderId="78"/>
    <xf numFmtId="1" fontId="299" fillId="41" borderId="78"/>
    <xf numFmtId="1" fontId="299" fillId="41" borderId="78"/>
    <xf numFmtId="1" fontId="299" fillId="41" borderId="78"/>
    <xf numFmtId="1" fontId="299" fillId="41" borderId="78"/>
    <xf numFmtId="1" fontId="299" fillId="41" borderId="78"/>
    <xf numFmtId="1" fontId="298" fillId="41" borderId="78"/>
    <xf numFmtId="1" fontId="298" fillId="41" borderId="78"/>
    <xf numFmtId="1" fontId="298" fillId="41" borderId="78"/>
    <xf numFmtId="1" fontId="298" fillId="41" borderId="78"/>
    <xf numFmtId="1" fontId="298" fillId="41" borderId="78"/>
    <xf numFmtId="1" fontId="298" fillId="41" borderId="78"/>
    <xf numFmtId="1" fontId="298" fillId="41" borderId="78"/>
    <xf numFmtId="1" fontId="298" fillId="41" borderId="78"/>
    <xf numFmtId="1" fontId="298" fillId="41" borderId="78"/>
    <xf numFmtId="1" fontId="298" fillId="41" borderId="78"/>
    <xf numFmtId="1" fontId="298" fillId="41" borderId="78"/>
    <xf numFmtId="1" fontId="299" fillId="41" borderId="78"/>
    <xf numFmtId="1" fontId="299" fillId="41" borderId="78"/>
    <xf numFmtId="1" fontId="299" fillId="41" borderId="78"/>
    <xf numFmtId="1" fontId="299" fillId="41" borderId="78"/>
    <xf numFmtId="1" fontId="299" fillId="41" borderId="78"/>
    <xf numFmtId="1" fontId="299" fillId="41" borderId="78"/>
    <xf numFmtId="1" fontId="299" fillId="41" borderId="78"/>
    <xf numFmtId="1" fontId="298" fillId="41" borderId="78"/>
    <xf numFmtId="1" fontId="298" fillId="41" borderId="78"/>
    <xf numFmtId="1" fontId="298" fillId="41" borderId="78"/>
    <xf numFmtId="1" fontId="298" fillId="41" borderId="78"/>
    <xf numFmtId="1" fontId="298" fillId="41" borderId="78"/>
    <xf numFmtId="1" fontId="298" fillId="41" borderId="78"/>
    <xf numFmtId="1" fontId="298" fillId="41" borderId="78"/>
    <xf numFmtId="1" fontId="298" fillId="41" borderId="78"/>
    <xf numFmtId="1" fontId="298" fillId="41" borderId="78"/>
    <xf numFmtId="1" fontId="298" fillId="41" borderId="78"/>
    <xf numFmtId="1" fontId="298" fillId="41" borderId="78"/>
    <xf numFmtId="1" fontId="298" fillId="41" borderId="78"/>
    <xf numFmtId="1" fontId="298" fillId="41" borderId="78"/>
    <xf numFmtId="1" fontId="298" fillId="41" borderId="78"/>
    <xf numFmtId="1" fontId="298" fillId="41" borderId="78"/>
    <xf numFmtId="1" fontId="298" fillId="41" borderId="78"/>
    <xf numFmtId="1" fontId="300" fillId="81" borderId="2"/>
    <xf numFmtId="1" fontId="300" fillId="81" borderId="2"/>
    <xf numFmtId="1" fontId="264" fillId="81" borderId="2"/>
    <xf numFmtId="1" fontId="264" fillId="81" borderId="2"/>
    <xf numFmtId="1" fontId="264" fillId="81" borderId="2"/>
    <xf numFmtId="1" fontId="264" fillId="81" borderId="2"/>
    <xf numFmtId="1" fontId="264" fillId="81" borderId="2"/>
    <xf numFmtId="1" fontId="264" fillId="81" borderId="2"/>
    <xf numFmtId="1" fontId="264" fillId="81" borderId="2"/>
    <xf numFmtId="1" fontId="264" fillId="81" borderId="2"/>
    <xf numFmtId="1" fontId="264" fillId="81" borderId="2"/>
    <xf numFmtId="1" fontId="264" fillId="81" borderId="2"/>
    <xf numFmtId="1" fontId="300" fillId="81" borderId="2"/>
    <xf numFmtId="1" fontId="300" fillId="81" borderId="2"/>
    <xf numFmtId="1" fontId="300" fillId="81" borderId="2"/>
    <xf numFmtId="1" fontId="300" fillId="81" borderId="2"/>
    <xf numFmtId="1" fontId="300" fillId="81" borderId="2"/>
    <xf numFmtId="1" fontId="300" fillId="81" borderId="2"/>
    <xf numFmtId="1" fontId="300" fillId="81" borderId="2"/>
    <xf numFmtId="1" fontId="300" fillId="81" borderId="2"/>
    <xf numFmtId="1" fontId="300" fillId="81" borderId="2"/>
    <xf numFmtId="1" fontId="300" fillId="81" borderId="2"/>
    <xf numFmtId="1" fontId="300" fillId="81" borderId="2"/>
    <xf numFmtId="1" fontId="300" fillId="81" borderId="2"/>
    <xf numFmtId="1" fontId="300" fillId="81" borderId="2"/>
    <xf numFmtId="1" fontId="300" fillId="81" borderId="2"/>
    <xf numFmtId="1" fontId="300" fillId="81" borderId="2"/>
    <xf numFmtId="1" fontId="300" fillId="81" borderId="2"/>
    <xf numFmtId="1" fontId="300" fillId="81" borderId="2"/>
    <xf numFmtId="1" fontId="300" fillId="81" borderId="2"/>
    <xf numFmtId="1" fontId="300" fillId="81" borderId="2"/>
    <xf numFmtId="1" fontId="300" fillId="81" borderId="2"/>
    <xf numFmtId="1" fontId="300" fillId="81" borderId="2"/>
    <xf numFmtId="1" fontId="300" fillId="81" borderId="2"/>
    <xf numFmtId="1" fontId="300" fillId="81" borderId="2"/>
    <xf numFmtId="1" fontId="300" fillId="81" borderId="2"/>
    <xf numFmtId="1" fontId="264" fillId="81" borderId="2"/>
    <xf numFmtId="1" fontId="264" fillId="81" borderId="2"/>
    <xf numFmtId="1" fontId="264" fillId="81" borderId="2"/>
    <xf numFmtId="1" fontId="264" fillId="81" borderId="2"/>
    <xf numFmtId="1" fontId="264" fillId="81" borderId="2"/>
    <xf numFmtId="1" fontId="264" fillId="81" borderId="2"/>
    <xf numFmtId="1" fontId="264" fillId="81" borderId="2"/>
    <xf numFmtId="1" fontId="264" fillId="81" borderId="2"/>
    <xf numFmtId="1" fontId="264" fillId="81" borderId="2"/>
    <xf numFmtId="1" fontId="300" fillId="81" borderId="2"/>
    <xf numFmtId="1" fontId="300" fillId="81" borderId="2"/>
    <xf numFmtId="1" fontId="300" fillId="81" borderId="2"/>
    <xf numFmtId="1" fontId="300" fillId="81" borderId="2"/>
    <xf numFmtId="1" fontId="300" fillId="81" borderId="2"/>
    <xf numFmtId="1" fontId="300" fillId="81" borderId="2"/>
    <xf numFmtId="1" fontId="300" fillId="81" borderId="2"/>
    <xf numFmtId="1" fontId="300" fillId="81" borderId="2"/>
    <xf numFmtId="1" fontId="300" fillId="81" borderId="2"/>
    <xf numFmtId="1" fontId="300" fillId="81" borderId="2"/>
    <xf numFmtId="1" fontId="300" fillId="81" borderId="2"/>
    <xf numFmtId="1" fontId="300" fillId="81" borderId="2"/>
    <xf numFmtId="1" fontId="300" fillId="81" borderId="2"/>
    <xf numFmtId="1" fontId="300" fillId="81" borderId="2"/>
    <xf numFmtId="1" fontId="300" fillId="81" borderId="2"/>
    <xf numFmtId="1" fontId="300" fillId="81" borderId="2"/>
    <xf numFmtId="1" fontId="300" fillId="81" borderId="2"/>
    <xf numFmtId="1" fontId="300" fillId="81" borderId="2"/>
    <xf numFmtId="1" fontId="300" fillId="81" borderId="2"/>
    <xf numFmtId="1" fontId="300" fillId="81" borderId="2"/>
    <xf numFmtId="1" fontId="300" fillId="81" borderId="2"/>
    <xf numFmtId="1" fontId="300" fillId="81" borderId="2"/>
    <xf numFmtId="1" fontId="300" fillId="81" borderId="2"/>
    <xf numFmtId="1" fontId="300" fillId="81" borderId="2"/>
    <xf numFmtId="1" fontId="301" fillId="82" borderId="78"/>
    <xf numFmtId="1" fontId="301" fillId="82" borderId="78"/>
    <xf numFmtId="1" fontId="301" fillId="82" borderId="78"/>
    <xf numFmtId="1" fontId="301" fillId="82" borderId="78"/>
    <xf numFmtId="1" fontId="301" fillId="82" borderId="78"/>
    <xf numFmtId="1" fontId="301" fillId="82" borderId="78"/>
    <xf numFmtId="1" fontId="301" fillId="82" borderId="78"/>
    <xf numFmtId="1" fontId="301" fillId="82" borderId="78"/>
    <xf numFmtId="1" fontId="301" fillId="82" borderId="78"/>
    <xf numFmtId="1" fontId="301" fillId="82" borderId="78"/>
    <xf numFmtId="1" fontId="301" fillId="82" borderId="78"/>
    <xf numFmtId="1" fontId="302" fillId="82" borderId="78"/>
    <xf numFmtId="1" fontId="302" fillId="82" borderId="78"/>
    <xf numFmtId="1" fontId="302" fillId="82" borderId="78"/>
    <xf numFmtId="1" fontId="302" fillId="82" borderId="78"/>
    <xf numFmtId="1" fontId="302" fillId="82" borderId="78"/>
    <xf numFmtId="1" fontId="302" fillId="82" borderId="78"/>
    <xf numFmtId="1" fontId="302" fillId="82" borderId="78"/>
    <xf numFmtId="1" fontId="302" fillId="82" borderId="78"/>
    <xf numFmtId="1" fontId="301" fillId="82" borderId="78"/>
    <xf numFmtId="1" fontId="301" fillId="82" borderId="78"/>
    <xf numFmtId="1" fontId="301" fillId="82" borderId="78"/>
    <xf numFmtId="1" fontId="301" fillId="82" borderId="78"/>
    <xf numFmtId="1" fontId="301" fillId="82" borderId="78"/>
    <xf numFmtId="1" fontId="301" fillId="82" borderId="78"/>
    <xf numFmtId="1" fontId="301" fillId="82" borderId="78"/>
    <xf numFmtId="1" fontId="301" fillId="82" borderId="78"/>
    <xf numFmtId="1" fontId="301" fillId="82" borderId="78"/>
    <xf numFmtId="1" fontId="301" fillId="82" borderId="78"/>
    <xf numFmtId="1" fontId="301" fillId="82" borderId="78"/>
    <xf numFmtId="1" fontId="302" fillId="82" borderId="78"/>
    <xf numFmtId="1" fontId="302" fillId="82" borderId="78"/>
    <xf numFmtId="1" fontId="302" fillId="82" borderId="78"/>
    <xf numFmtId="1" fontId="302" fillId="82" borderId="78"/>
    <xf numFmtId="1" fontId="302" fillId="82" borderId="78"/>
    <xf numFmtId="1" fontId="302" fillId="82" borderId="78"/>
    <xf numFmtId="1" fontId="302" fillId="82" borderId="78"/>
    <xf numFmtId="1" fontId="301" fillId="82" borderId="78"/>
    <xf numFmtId="1" fontId="301" fillId="82" borderId="78"/>
    <xf numFmtId="1" fontId="301" fillId="82" borderId="78"/>
    <xf numFmtId="1" fontId="301" fillId="82" borderId="78"/>
    <xf numFmtId="1" fontId="301" fillId="82" borderId="78"/>
    <xf numFmtId="1" fontId="301" fillId="82" borderId="78"/>
    <xf numFmtId="1" fontId="301" fillId="82" borderId="78"/>
    <xf numFmtId="1" fontId="301" fillId="82" borderId="78"/>
    <xf numFmtId="1" fontId="301" fillId="82" borderId="78"/>
    <xf numFmtId="1" fontId="301" fillId="82" borderId="78"/>
    <xf numFmtId="1" fontId="301" fillId="82" borderId="78"/>
    <xf numFmtId="1" fontId="301" fillId="82" borderId="78"/>
    <xf numFmtId="1" fontId="301" fillId="82" borderId="78"/>
    <xf numFmtId="1" fontId="301" fillId="82" borderId="78"/>
    <xf numFmtId="1" fontId="301" fillId="82" borderId="78"/>
    <xf numFmtId="1" fontId="301" fillId="82" borderId="78"/>
    <xf numFmtId="0" fontId="279" fillId="0" borderId="0"/>
    <xf numFmtId="0" fontId="303" fillId="77" borderId="0" applyNumberFormat="0" applyBorder="0">
      <alignment vertical="center"/>
    </xf>
    <xf numFmtId="0" fontId="281" fillId="0" borderId="0"/>
    <xf numFmtId="262" fontId="60" fillId="0" borderId="0" applyFont="0" applyFill="0" applyBorder="0" applyProtection="0">
      <alignment horizontal="center"/>
    </xf>
    <xf numFmtId="0" fontId="304" fillId="83" borderId="79" applyNumberFormat="0" applyAlignment="0" applyProtection="0"/>
    <xf numFmtId="0" fontId="304" fillId="83" borderId="79" applyNumberFormat="0" applyAlignment="0" applyProtection="0"/>
    <xf numFmtId="0" fontId="305" fillId="0" borderId="80" applyNumberFormat="0" applyFill="0" applyAlignment="0" applyProtection="0"/>
    <xf numFmtId="0" fontId="305" fillId="0" borderId="80" applyNumberFormat="0" applyFill="0" applyAlignment="0" applyProtection="0"/>
    <xf numFmtId="0" fontId="306" fillId="83" borderId="79" applyNumberFormat="0" applyAlignment="0" applyProtection="0"/>
    <xf numFmtId="0" fontId="304" fillId="83" borderId="79" applyNumberFormat="0" applyAlignment="0" applyProtection="0"/>
    <xf numFmtId="0" fontId="304" fillId="83" borderId="79" applyNumberFormat="0" applyAlignment="0" applyProtection="0"/>
    <xf numFmtId="0" fontId="307" fillId="83" borderId="79" applyNumberFormat="0" applyAlignment="0" applyProtection="0"/>
    <xf numFmtId="0" fontId="308" fillId="83" borderId="79" applyNumberFormat="0" applyAlignment="0" applyProtection="0"/>
    <xf numFmtId="0" fontId="306" fillId="83" borderId="79" applyNumberFormat="0" applyAlignment="0" applyProtection="0"/>
    <xf numFmtId="0" fontId="307" fillId="83" borderId="79" applyNumberFormat="0" applyAlignment="0" applyProtection="0"/>
    <xf numFmtId="0" fontId="309" fillId="83" borderId="79" applyNumberFormat="0" applyAlignment="0" applyProtection="0"/>
    <xf numFmtId="0" fontId="310" fillId="0" borderId="0" applyNumberFormat="0" applyFill="0" applyBorder="0" applyAlignment="0" applyProtection="0"/>
    <xf numFmtId="0" fontId="311" fillId="0" borderId="0">
      <alignment vertical="center"/>
    </xf>
    <xf numFmtId="0" fontId="57" fillId="0" borderId="0">
      <alignment horizontal="center"/>
    </xf>
    <xf numFmtId="249" fontId="56" fillId="0" borderId="0" applyFill="0" applyBorder="0" applyAlignment="0"/>
    <xf numFmtId="0" fontId="312" fillId="0" borderId="0" applyNumberFormat="0" applyFill="0" applyBorder="0" applyAlignment="0" applyProtection="0">
      <alignment vertical="top"/>
      <protection locked="0"/>
    </xf>
    <xf numFmtId="0" fontId="313" fillId="0" borderId="0" applyNumberFormat="0" applyFill="0" applyBorder="0" applyAlignment="0" applyProtection="0">
      <alignment vertical="top"/>
      <protection locked="0"/>
    </xf>
    <xf numFmtId="0" fontId="59" fillId="0" borderId="0" applyNumberFormat="0" applyBorder="0">
      <alignment vertical="center"/>
    </xf>
    <xf numFmtId="263" fontId="56" fillId="0" borderId="0" applyFill="0" applyBorder="0" applyAlignment="0"/>
    <xf numFmtId="0" fontId="314" fillId="0" borderId="69">
      <alignment horizontal="center"/>
    </xf>
    <xf numFmtId="0" fontId="315" fillId="84" borderId="59">
      <alignment horizontal="center" wrapText="1"/>
    </xf>
    <xf numFmtId="0" fontId="315" fillId="84" borderId="59">
      <alignment horizontal="center" wrapText="1"/>
    </xf>
    <xf numFmtId="0" fontId="315" fillId="84" borderId="59">
      <alignment horizontal="center" wrapText="1"/>
    </xf>
    <xf numFmtId="0" fontId="315" fillId="84" borderId="59">
      <alignment horizontal="center" wrapText="1"/>
    </xf>
    <xf numFmtId="0" fontId="315" fillId="84" borderId="59">
      <alignment horizontal="center" wrapText="1"/>
    </xf>
    <xf numFmtId="0" fontId="315" fillId="84" borderId="59">
      <alignment horizontal="center" wrapText="1"/>
    </xf>
    <xf numFmtId="0" fontId="315" fillId="84" borderId="59">
      <alignment horizontal="center" wrapText="1"/>
    </xf>
    <xf numFmtId="0" fontId="315" fillId="84" borderId="59">
      <alignment horizontal="center" wrapText="1"/>
    </xf>
    <xf numFmtId="0" fontId="315" fillId="84" borderId="59">
      <alignment horizontal="center" wrapText="1"/>
    </xf>
    <xf numFmtId="0" fontId="315" fillId="84" borderId="59">
      <alignment horizontal="center" wrapText="1"/>
    </xf>
    <xf numFmtId="0" fontId="315" fillId="84" borderId="59">
      <alignment horizontal="center" wrapText="1"/>
    </xf>
    <xf numFmtId="0" fontId="315" fillId="84" borderId="59">
      <alignment horizontal="center" wrapText="1"/>
    </xf>
    <xf numFmtId="0" fontId="315" fillId="84" borderId="59">
      <alignment horizontal="center" wrapText="1"/>
    </xf>
    <xf numFmtId="0" fontId="315" fillId="84" borderId="59">
      <alignment horizontal="center" wrapText="1"/>
    </xf>
    <xf numFmtId="0" fontId="315" fillId="84" borderId="59">
      <alignment horizontal="center" wrapText="1"/>
    </xf>
    <xf numFmtId="0" fontId="315" fillId="84" borderId="59">
      <alignment horizontal="center" wrapText="1"/>
    </xf>
    <xf numFmtId="0" fontId="315" fillId="84" borderId="59">
      <alignment horizontal="center" wrapText="1"/>
    </xf>
    <xf numFmtId="0" fontId="315" fillId="84" borderId="59">
      <alignment horizontal="center" wrapText="1"/>
    </xf>
    <xf numFmtId="0" fontId="315" fillId="84" borderId="59">
      <alignment horizontal="center" wrapText="1"/>
    </xf>
    <xf numFmtId="0" fontId="315" fillId="84" borderId="59">
      <alignment horizontal="center" wrapText="1"/>
    </xf>
    <xf numFmtId="0" fontId="315" fillId="84" borderId="59">
      <alignment horizontal="center" wrapText="1"/>
    </xf>
    <xf numFmtId="0" fontId="315" fillId="84" borderId="59">
      <alignment horizontal="center" wrapText="1"/>
    </xf>
    <xf numFmtId="0" fontId="315" fillId="84" borderId="59">
      <alignment horizontal="center" wrapText="1"/>
    </xf>
    <xf numFmtId="0" fontId="315" fillId="84" borderId="59">
      <alignment horizontal="center" wrapText="1"/>
    </xf>
    <xf numFmtId="0" fontId="315" fillId="84" borderId="59">
      <alignment horizontal="center" wrapText="1"/>
    </xf>
    <xf numFmtId="0" fontId="315" fillId="84" borderId="59">
      <alignment horizontal="center" wrapText="1"/>
    </xf>
    <xf numFmtId="0" fontId="311" fillId="0" borderId="6">
      <alignment horizontal="center"/>
    </xf>
    <xf numFmtId="0" fontId="316" fillId="0" borderId="0" applyNumberFormat="0" applyFill="0" applyBorder="0" applyProtection="0">
      <alignment horizontal="right"/>
    </xf>
    <xf numFmtId="0" fontId="317" fillId="0" borderId="0"/>
    <xf numFmtId="0" fontId="317" fillId="0" borderId="0"/>
    <xf numFmtId="0" fontId="24" fillId="0" borderId="0"/>
    <xf numFmtId="264" fontId="17" fillId="0" borderId="0"/>
    <xf numFmtId="37" fontId="318" fillId="0" borderId="0"/>
    <xf numFmtId="0" fontId="24" fillId="0" borderId="0"/>
    <xf numFmtId="264" fontId="17" fillId="0" borderId="0"/>
    <xf numFmtId="37" fontId="318" fillId="0" borderId="0"/>
    <xf numFmtId="0" fontId="24" fillId="0" borderId="0"/>
    <xf numFmtId="264" fontId="17" fillId="0" borderId="0"/>
    <xf numFmtId="37" fontId="318" fillId="0" borderId="0"/>
    <xf numFmtId="0" fontId="24" fillId="0" borderId="0"/>
    <xf numFmtId="264" fontId="17" fillId="0" borderId="0"/>
    <xf numFmtId="37" fontId="318" fillId="0" borderId="0"/>
    <xf numFmtId="0" fontId="24" fillId="0" borderId="0"/>
    <xf numFmtId="264" fontId="17" fillId="0" borderId="0"/>
    <xf numFmtId="37" fontId="318" fillId="0" borderId="0"/>
    <xf numFmtId="0" fontId="24" fillId="0" borderId="0"/>
    <xf numFmtId="264" fontId="17" fillId="0" borderId="0"/>
    <xf numFmtId="37" fontId="318" fillId="0" borderId="0"/>
    <xf numFmtId="0" fontId="24" fillId="0" borderId="0"/>
    <xf numFmtId="264" fontId="17" fillId="0" borderId="0"/>
    <xf numFmtId="37" fontId="318" fillId="0" borderId="0"/>
    <xf numFmtId="0" fontId="24" fillId="0" borderId="0"/>
    <xf numFmtId="37" fontId="319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320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32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43" fontId="23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322" fillId="0" borderId="0" applyFont="0" applyFill="0" applyBorder="0" applyAlignment="0" applyProtection="0"/>
    <xf numFmtId="43" fontId="23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23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93" fontId="17" fillId="0" borderId="0" applyFont="0" applyFill="0" applyBorder="0" applyAlignment="0" applyProtection="0"/>
    <xf numFmtId="40" fontId="2" fillId="0" borderId="0" applyFont="0" applyFill="0" applyBorder="0" applyAlignment="0" applyProtection="0"/>
    <xf numFmtId="197" fontId="17" fillId="0" borderId="0" applyFont="0" applyFill="0" applyBorder="0" applyAlignment="0" applyProtection="0"/>
    <xf numFmtId="43" fontId="236" fillId="0" borderId="0" applyFont="0" applyFill="0" applyBorder="0" applyAlignment="0" applyProtection="0"/>
    <xf numFmtId="197" fontId="17" fillId="0" borderId="0" applyFont="0" applyFill="0" applyBorder="0" applyAlignment="0" applyProtection="0"/>
    <xf numFmtId="197" fontId="17" fillId="0" borderId="0" applyFont="0" applyFill="0" applyBorder="0" applyAlignment="0" applyProtection="0"/>
    <xf numFmtId="265" fontId="164" fillId="0" borderId="0"/>
    <xf numFmtId="3" fontId="17" fillId="0" borderId="0" applyFont="0" applyFill="0" applyBorder="0" applyAlignment="0" applyProtection="0"/>
    <xf numFmtId="0" fontId="167" fillId="0" borderId="0"/>
    <xf numFmtId="3" fontId="17" fillId="0" borderId="0" applyFont="0" applyFill="0" applyBorder="0" applyAlignment="0" applyProtection="0"/>
    <xf numFmtId="3" fontId="17" fillId="0" borderId="0" applyFont="0" applyFill="0" applyBorder="0" applyAlignment="0" applyProtection="0"/>
    <xf numFmtId="0" fontId="203" fillId="0" borderId="0" applyNumberFormat="0" applyFill="0" applyBorder="0" applyAlignment="0" applyProtection="0"/>
    <xf numFmtId="3" fontId="323" fillId="0" borderId="0" applyFont="0" applyFill="0" applyBorder="0" applyAlignment="0" applyProtection="0"/>
    <xf numFmtId="0" fontId="167" fillId="0" borderId="0"/>
    <xf numFmtId="0" fontId="221" fillId="51" borderId="81" applyNumberFormat="0" applyFont="0" applyAlignment="0" applyProtection="0"/>
    <xf numFmtId="0" fontId="17" fillId="51" borderId="81" applyNumberFormat="0" applyFont="0" applyAlignment="0" applyProtection="0"/>
    <xf numFmtId="0" fontId="17" fillId="51" borderId="81" applyNumberFormat="0" applyFont="0" applyAlignment="0" applyProtection="0"/>
    <xf numFmtId="0" fontId="17" fillId="51" borderId="81" applyNumberFormat="0" applyFont="0" applyAlignment="0" applyProtection="0"/>
    <xf numFmtId="0" fontId="17" fillId="51" borderId="81" applyNumberFormat="0" applyFont="0" applyAlignment="0" applyProtection="0"/>
    <xf numFmtId="0" fontId="17" fillId="51" borderId="81" applyNumberFormat="0" applyFont="0" applyAlignment="0" applyProtection="0"/>
    <xf numFmtId="0" fontId="17" fillId="51" borderId="81" applyNumberFormat="0" applyFont="0" applyAlignment="0" applyProtection="0"/>
    <xf numFmtId="0" fontId="17" fillId="51" borderId="81" applyNumberFormat="0" applyFont="0" applyAlignment="0" applyProtection="0"/>
    <xf numFmtId="0" fontId="17" fillId="51" borderId="81" applyNumberFormat="0" applyFont="0" applyAlignment="0" applyProtection="0"/>
    <xf numFmtId="0" fontId="17" fillId="51" borderId="81" applyNumberFormat="0" applyFont="0" applyAlignment="0" applyProtection="0"/>
    <xf numFmtId="0" fontId="17" fillId="51" borderId="81" applyNumberFormat="0" applyFont="0" applyAlignment="0" applyProtection="0"/>
    <xf numFmtId="0" fontId="221" fillId="51" borderId="81" applyNumberFormat="0" applyFont="0" applyAlignment="0" applyProtection="0"/>
    <xf numFmtId="0" fontId="17" fillId="51" borderId="81" applyNumberFormat="0" applyFont="0" applyAlignment="0" applyProtection="0"/>
    <xf numFmtId="0" fontId="17" fillId="51" borderId="81" applyNumberFormat="0" applyFont="0" applyAlignment="0" applyProtection="0"/>
    <xf numFmtId="0" fontId="17" fillId="51" borderId="81" applyNumberFormat="0" applyFont="0" applyAlignment="0" applyProtection="0"/>
    <xf numFmtId="0" fontId="17" fillId="51" borderId="81" applyNumberFormat="0" applyFont="0" applyAlignment="0" applyProtection="0"/>
    <xf numFmtId="0" fontId="17" fillId="51" borderId="81" applyNumberFormat="0" applyFont="0" applyAlignment="0" applyProtection="0"/>
    <xf numFmtId="0" fontId="17" fillId="51" borderId="81" applyNumberFormat="0" applyFont="0" applyAlignment="0" applyProtection="0"/>
    <xf numFmtId="0" fontId="17" fillId="51" borderId="81" applyNumberFormat="0" applyFont="0" applyAlignment="0" applyProtection="0"/>
    <xf numFmtId="0" fontId="17" fillId="51" borderId="81" applyNumberFormat="0" applyFont="0" applyAlignment="0" applyProtection="0"/>
    <xf numFmtId="0" fontId="17" fillId="51" borderId="81" applyNumberFormat="0" applyFont="0" applyAlignment="0" applyProtection="0"/>
    <xf numFmtId="0" fontId="17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221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17" fillId="51" borderId="81" applyNumberFormat="0" applyFont="0" applyAlignment="0" applyProtection="0"/>
    <xf numFmtId="0" fontId="17" fillId="51" borderId="81" applyNumberFormat="0" applyFont="0" applyAlignment="0" applyProtection="0"/>
    <xf numFmtId="0" fontId="17" fillId="51" borderId="81" applyNumberFormat="0" applyFont="0" applyAlignment="0" applyProtection="0"/>
    <xf numFmtId="0" fontId="221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17" fillId="51" borderId="81" applyNumberFormat="0" applyFont="0" applyAlignment="0" applyProtection="0"/>
    <xf numFmtId="0" fontId="17" fillId="51" borderId="81" applyNumberFormat="0" applyFont="0" applyAlignment="0" applyProtection="0"/>
    <xf numFmtId="0" fontId="17" fillId="51" borderId="81" applyNumberFormat="0" applyFont="0" applyAlignment="0" applyProtection="0"/>
    <xf numFmtId="0" fontId="17" fillId="51" borderId="81" applyNumberFormat="0" applyFont="0" applyAlignment="0" applyProtection="0"/>
    <xf numFmtId="0" fontId="17" fillId="51" borderId="81" applyNumberFormat="0" applyFont="0" applyAlignment="0" applyProtection="0"/>
    <xf numFmtId="0" fontId="17" fillId="51" borderId="81" applyNumberFormat="0" applyFont="0" applyAlignment="0" applyProtection="0"/>
    <xf numFmtId="0" fontId="17" fillId="51" borderId="81" applyNumberFormat="0" applyFont="0" applyAlignment="0" applyProtection="0"/>
    <xf numFmtId="0" fontId="17" fillId="51" borderId="81" applyNumberFormat="0" applyFont="0" applyAlignment="0" applyProtection="0"/>
    <xf numFmtId="0" fontId="17" fillId="51" borderId="81" applyNumberFormat="0" applyFont="0" applyAlignment="0" applyProtection="0"/>
    <xf numFmtId="0" fontId="17" fillId="51" borderId="81" applyNumberFormat="0" applyFont="0" applyAlignment="0" applyProtection="0"/>
    <xf numFmtId="0" fontId="17" fillId="51" borderId="81" applyNumberFormat="0" applyFont="0" applyAlignment="0" applyProtection="0"/>
    <xf numFmtId="0" fontId="221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221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324" fillId="51" borderId="81" applyNumberFormat="0" applyFont="0" applyAlignment="0" applyProtection="0"/>
    <xf numFmtId="0" fontId="17" fillId="51" borderId="81" applyNumberFormat="0" applyFont="0" applyAlignment="0" applyProtection="0"/>
    <xf numFmtId="0" fontId="17" fillId="51" borderId="81" applyNumberFormat="0" applyFont="0" applyAlignment="0" applyProtection="0"/>
    <xf numFmtId="0" fontId="17" fillId="51" borderId="81" applyNumberFormat="0" applyFont="0" applyAlignment="0" applyProtection="0"/>
    <xf numFmtId="0" fontId="17" fillId="51" borderId="81" applyNumberFormat="0" applyFont="0" applyAlignment="0" applyProtection="0"/>
    <xf numFmtId="0" fontId="290" fillId="0" borderId="0" applyNumberFormat="0" applyAlignment="0">
      <alignment horizontal="left"/>
    </xf>
    <xf numFmtId="0" fontId="325" fillId="0" borderId="0">
      <alignment horizontal="left" vertical="top"/>
    </xf>
    <xf numFmtId="0" fontId="174" fillId="0" borderId="0" applyNumberFormat="0" applyAlignment="0"/>
    <xf numFmtId="0" fontId="17" fillId="0" borderId="0"/>
    <xf numFmtId="266" fontId="164" fillId="0" borderId="0" applyFont="0" applyFill="0" applyBorder="0" applyAlignment="0" applyProtection="0"/>
    <xf numFmtId="0" fontId="317" fillId="0" borderId="0"/>
    <xf numFmtId="0" fontId="317" fillId="0" borderId="0"/>
    <xf numFmtId="0" fontId="317" fillId="0" borderId="0"/>
    <xf numFmtId="0" fontId="167" fillId="0" borderId="0"/>
    <xf numFmtId="267" fontId="17" fillId="0" borderId="0" applyFont="0" applyFill="0" applyBorder="0" applyAlignment="0" applyProtection="0"/>
    <xf numFmtId="267" fontId="17" fillId="0" borderId="0" applyFont="0" applyFill="0" applyBorder="0" applyAlignment="0" applyProtection="0"/>
    <xf numFmtId="0" fontId="2" fillId="0" borderId="0" applyFont="0" applyFill="0" applyBorder="0" applyAlignment="0" applyProtection="0"/>
    <xf numFmtId="267" fontId="2" fillId="0" borderId="0" applyFont="0" applyFill="0" applyBorder="0" applyAlignment="0" applyProtection="0"/>
    <xf numFmtId="168" fontId="164" fillId="0" borderId="0" applyFont="0" applyFill="0" applyBorder="0" applyAlignment="0" applyProtection="0"/>
    <xf numFmtId="268" fontId="164" fillId="0" borderId="0">
      <alignment horizontal="center"/>
    </xf>
    <xf numFmtId="269" fontId="326" fillId="77" borderId="0" applyFill="0"/>
    <xf numFmtId="269" fontId="327" fillId="0" borderId="0" applyFill="0">
      <alignment horizontal="right"/>
      <protection locked="0"/>
    </xf>
    <xf numFmtId="191" fontId="55" fillId="0" borderId="0" applyFont="0" applyFill="0" applyBorder="0" applyAlignment="0" applyProtection="0"/>
    <xf numFmtId="191" fontId="55" fillId="0" borderId="0" applyFont="0" applyFill="0" applyBorder="0" applyAlignment="0" applyProtection="0"/>
    <xf numFmtId="194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195" fontId="54" fillId="0" borderId="0" applyFont="0" applyFill="0" applyBorder="0" applyAlignment="0" applyProtection="0"/>
    <xf numFmtId="195" fontId="17" fillId="0" borderId="0" applyFont="0" applyFill="0" applyBorder="0" applyAlignment="0" applyProtection="0"/>
    <xf numFmtId="195" fontId="17" fillId="0" borderId="0" applyFont="0" applyFill="0" applyBorder="0" applyAlignment="0" applyProtection="0"/>
    <xf numFmtId="193" fontId="167" fillId="0" borderId="0" applyFont="0" applyFill="0" applyBorder="0" applyAlignment="0" applyProtection="0"/>
    <xf numFmtId="195" fontId="17" fillId="0" borderId="0" applyFont="0" applyFill="0" applyBorder="0" applyAlignment="0" applyProtection="0"/>
    <xf numFmtId="195" fontId="236" fillId="0" borderId="0" applyFont="0" applyFill="0" applyBorder="0" applyAlignment="0" applyProtection="0"/>
    <xf numFmtId="27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03" fillId="0" borderId="0" applyNumberFormat="0" applyFill="0" applyBorder="0" applyAlignment="0" applyProtection="0"/>
    <xf numFmtId="270" fontId="17" fillId="0" borderId="0" applyFont="0" applyFill="0" applyBorder="0" applyAlignment="0" applyProtection="0"/>
    <xf numFmtId="270" fontId="17" fillId="0" borderId="0" applyFont="0" applyFill="0" applyBorder="0" applyAlignment="0" applyProtection="0"/>
    <xf numFmtId="271" fontId="164" fillId="0" borderId="0"/>
    <xf numFmtId="38" fontId="2" fillId="0" borderId="0" applyFont="0" applyFill="0" applyBorder="0" applyAlignment="0" applyProtection="0"/>
    <xf numFmtId="0" fontId="29" fillId="0" borderId="0" applyNumberFormat="0" applyBorder="0" applyAlignment="0">
      <alignment horizontal="center"/>
    </xf>
    <xf numFmtId="272" fontId="2" fillId="0" borderId="0" applyFont="0" applyFill="0" applyBorder="0" applyAlignment="0" applyProtection="0"/>
    <xf numFmtId="257" fontId="2" fillId="0" borderId="0" applyFont="0" applyFill="0" applyBorder="0" applyAlignment="0" applyProtection="0"/>
    <xf numFmtId="273" fontId="2" fillId="0" borderId="0" applyFont="0" applyFill="0" applyBorder="0" applyAlignment="0" applyProtection="0"/>
    <xf numFmtId="274" fontId="2" fillId="0" borderId="0" applyFont="0" applyFill="0" applyBorder="0" applyAlignment="0" applyProtection="0"/>
    <xf numFmtId="275" fontId="2" fillId="0" borderId="0" applyFont="0" applyFill="0" applyBorder="0" applyAlignment="0" applyProtection="0"/>
    <xf numFmtId="0" fontId="328" fillId="0" borderId="70" applyNumberFormat="0" applyBorder="0">
      <alignment horizontal="centerContinuous"/>
    </xf>
    <xf numFmtId="0" fontId="17" fillId="0" borderId="0" applyFont="0" applyFill="0" applyBorder="0" applyAlignment="0" applyProtection="0"/>
    <xf numFmtId="14" fontId="17" fillId="0" borderId="0" applyFill="0" applyBorder="0" applyProtection="0">
      <alignment horizontal="center" vertical="center"/>
    </xf>
    <xf numFmtId="0" fontId="17" fillId="0" borderId="0" applyFont="0" applyFill="0" applyBorder="0" applyAlignment="0" applyProtection="0"/>
    <xf numFmtId="276" fontId="17" fillId="0" borderId="0" applyFill="0" applyBorder="0" applyAlignment="0" applyProtection="0"/>
    <xf numFmtId="14" fontId="171" fillId="0" borderId="0" applyFill="0" applyBorder="0" applyAlignment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>
      <protection locked="0"/>
    </xf>
    <xf numFmtId="222" fontId="329" fillId="0" borderId="0" applyFont="0" applyFill="0" applyBorder="0" applyAlignment="0" applyProtection="0">
      <protection locked="0"/>
    </xf>
    <xf numFmtId="39" fontId="167" fillId="0" borderId="0" applyFont="0" applyFill="0" applyBorder="0" applyAlignment="0" applyProtection="0"/>
    <xf numFmtId="0" fontId="17" fillId="0" borderId="0" applyFont="0" applyFill="0" applyBorder="0" applyAlignment="0"/>
    <xf numFmtId="277" fontId="17" fillId="0" borderId="0" applyFont="0" applyFill="0" applyBorder="0" applyAlignment="0"/>
    <xf numFmtId="2" fontId="330" fillId="77" borderId="0" applyFill="0">
      <alignment horizontal="right"/>
    </xf>
    <xf numFmtId="0" fontId="331" fillId="0" borderId="12">
      <alignment horizontal="left"/>
    </xf>
    <xf numFmtId="0" fontId="331" fillId="0" borderId="12">
      <alignment horizontal="left"/>
    </xf>
    <xf numFmtId="0" fontId="17" fillId="0" borderId="0" applyFont="0" applyFill="0" applyBorder="0" applyAlignment="0" applyProtection="0"/>
    <xf numFmtId="38" fontId="55" fillId="0" borderId="2" applyBorder="0"/>
    <xf numFmtId="38" fontId="55" fillId="0" borderId="2" applyBorder="0"/>
    <xf numFmtId="38" fontId="55" fillId="0" borderId="2" applyBorder="0"/>
    <xf numFmtId="38" fontId="55" fillId="0" borderId="2" applyBorder="0"/>
    <xf numFmtId="38" fontId="55" fillId="0" borderId="2" applyBorder="0"/>
    <xf numFmtId="38" fontId="55" fillId="0" borderId="2" applyBorder="0"/>
    <xf numFmtId="38" fontId="55" fillId="0" borderId="2" applyBorder="0"/>
    <xf numFmtId="38" fontId="55" fillId="0" borderId="2" applyBorder="0"/>
    <xf numFmtId="38" fontId="55" fillId="0" borderId="2" applyBorder="0"/>
    <xf numFmtId="38" fontId="55" fillId="0" borderId="2" applyBorder="0"/>
    <xf numFmtId="38" fontId="55" fillId="0" borderId="2" applyBorder="0"/>
    <xf numFmtId="38" fontId="55" fillId="0" borderId="2" applyBorder="0"/>
    <xf numFmtId="38" fontId="55" fillId="0" borderId="2" applyBorder="0"/>
    <xf numFmtId="38" fontId="55" fillId="0" borderId="2" applyBorder="0"/>
    <xf numFmtId="38" fontId="55" fillId="0" borderId="2" applyBorder="0"/>
    <xf numFmtId="38" fontId="55" fillId="0" borderId="2" applyBorder="0"/>
    <xf numFmtId="38" fontId="55" fillId="0" borderId="2" applyBorder="0"/>
    <xf numFmtId="38" fontId="55" fillId="0" borderId="2" applyBorder="0"/>
    <xf numFmtId="38" fontId="55" fillId="0" borderId="2" applyBorder="0"/>
    <xf numFmtId="38" fontId="55" fillId="0" borderId="2" applyBorder="0"/>
    <xf numFmtId="38" fontId="55" fillId="0" borderId="2" applyBorder="0"/>
    <xf numFmtId="38" fontId="55" fillId="0" borderId="2" applyBorder="0"/>
    <xf numFmtId="38" fontId="55" fillId="0" borderId="2" applyBorder="0"/>
    <xf numFmtId="38" fontId="55" fillId="0" borderId="2" applyBorder="0"/>
    <xf numFmtId="38" fontId="55" fillId="0" borderId="2" applyBorder="0"/>
    <xf numFmtId="38" fontId="55" fillId="0" borderId="2" applyBorder="0"/>
    <xf numFmtId="38" fontId="55" fillId="0" borderId="2" applyBorder="0"/>
    <xf numFmtId="38" fontId="55" fillId="0" borderId="2" applyBorder="0"/>
    <xf numFmtId="38" fontId="55" fillId="0" borderId="2" applyBorder="0"/>
    <xf numFmtId="38" fontId="55" fillId="0" borderId="2" applyBorder="0"/>
    <xf numFmtId="38" fontId="55" fillId="0" borderId="2" applyBorder="0"/>
    <xf numFmtId="38" fontId="55" fillId="0" borderId="2" applyBorder="0"/>
    <xf numFmtId="38" fontId="55" fillId="0" borderId="2" applyBorder="0"/>
    <xf numFmtId="38" fontId="55" fillId="0" borderId="2" applyBorder="0"/>
    <xf numFmtId="38" fontId="55" fillId="0" borderId="2" applyBorder="0"/>
    <xf numFmtId="38" fontId="55" fillId="0" borderId="2" applyBorder="0"/>
    <xf numFmtId="38" fontId="55" fillId="0" borderId="2" applyBorder="0"/>
    <xf numFmtId="38" fontId="55" fillId="0" borderId="2" applyBorder="0"/>
    <xf numFmtId="38" fontId="55" fillId="0" borderId="2" applyBorder="0"/>
    <xf numFmtId="38" fontId="55" fillId="0" borderId="2" applyBorder="0"/>
    <xf numFmtId="38" fontId="55" fillId="0" borderId="2" applyBorder="0"/>
    <xf numFmtId="38" fontId="55" fillId="0" borderId="2" applyBorder="0"/>
    <xf numFmtId="38" fontId="55" fillId="0" borderId="2" applyBorder="0"/>
    <xf numFmtId="38" fontId="55" fillId="0" borderId="2" applyBorder="0"/>
    <xf numFmtId="0" fontId="17" fillId="0" borderId="0" applyFont="0" applyFill="0" applyBorder="0" applyAlignment="0" applyProtection="0"/>
    <xf numFmtId="278" fontId="332" fillId="81" borderId="81">
      <alignment horizontal="right"/>
      <protection locked="0"/>
    </xf>
    <xf numFmtId="279" fontId="164" fillId="0" borderId="0"/>
    <xf numFmtId="192" fontId="297" fillId="0" borderId="0" applyFont="0" applyFill="0" applyBorder="0" applyAlignment="0" applyProtection="0"/>
    <xf numFmtId="193" fontId="297" fillId="0" borderId="0" applyFont="0" applyFill="0" applyBorder="0" applyAlignment="0" applyProtection="0"/>
    <xf numFmtId="280" fontId="203" fillId="0" borderId="0" applyFont="0" applyFill="0" applyBorder="0" applyAlignment="0" applyProtection="0"/>
    <xf numFmtId="281" fontId="297" fillId="0" borderId="0" applyFont="0" applyFill="0" applyBorder="0" applyAlignment="0" applyProtection="0"/>
    <xf numFmtId="208" fontId="17" fillId="0" borderId="0" applyFont="0" applyFill="0" applyBorder="0" applyAlignment="0" applyProtection="0"/>
    <xf numFmtId="282" fontId="203" fillId="0" borderId="0" applyFont="0" applyFill="0" applyBorder="0" applyAlignment="0" applyProtection="0"/>
    <xf numFmtId="0" fontId="318" fillId="0" borderId="0" applyNumberFormat="0" applyFill="0" applyBorder="0" applyAlignment="0" applyProtection="0"/>
    <xf numFmtId="0" fontId="333" fillId="77" borderId="0" applyAlignment="0" applyProtection="0">
      <alignment wrapText="1"/>
    </xf>
    <xf numFmtId="0" fontId="334" fillId="0" borderId="0" applyNumberFormat="0" applyFill="0" applyBorder="0" applyProtection="0">
      <alignment horizontal="left"/>
    </xf>
    <xf numFmtId="0" fontId="55" fillId="0" borderId="0">
      <alignment horizontal="left"/>
    </xf>
    <xf numFmtId="0" fontId="335" fillId="85" borderId="0" applyNumberFormat="0" applyBorder="0" applyAlignment="0" applyProtection="0"/>
    <xf numFmtId="0" fontId="335" fillId="86" borderId="0" applyNumberFormat="0" applyBorder="0" applyAlignment="0" applyProtection="0"/>
    <xf numFmtId="0" fontId="335" fillId="87" borderId="0" applyNumberFormat="0" applyBorder="0" applyAlignment="0" applyProtection="0"/>
    <xf numFmtId="0" fontId="75" fillId="0" borderId="0"/>
    <xf numFmtId="0" fontId="336" fillId="0" borderId="0" applyNumberFormat="0" applyFill="0" applyBorder="0" applyAlignment="0" applyProtection="0"/>
    <xf numFmtId="0" fontId="243" fillId="61" borderId="0" applyNumberFormat="0" applyBorder="0" applyAlignment="0" applyProtection="0"/>
    <xf numFmtId="0" fontId="243" fillId="66" borderId="0" applyNumberFormat="0" applyBorder="0" applyAlignment="0" applyProtection="0"/>
    <xf numFmtId="0" fontId="243" fillId="70" borderId="0" applyNumberFormat="0" applyBorder="0" applyAlignment="0" applyProtection="0"/>
    <xf numFmtId="0" fontId="243" fillId="57" borderId="0" applyNumberFormat="0" applyBorder="0" applyAlignment="0" applyProtection="0"/>
    <xf numFmtId="0" fontId="243" fillId="58" borderId="0" applyNumberFormat="0" applyBorder="0" applyAlignment="0" applyProtection="0"/>
    <xf numFmtId="0" fontId="243" fillId="60" borderId="0" applyNumberFormat="0" applyBorder="0" applyAlignment="0" applyProtection="0"/>
    <xf numFmtId="0" fontId="17" fillId="0" borderId="0" applyFill="0" applyBorder="0" applyAlignment="0"/>
    <xf numFmtId="0" fontId="17" fillId="0" borderId="0" applyFill="0" applyBorder="0" applyAlignment="0"/>
    <xf numFmtId="0" fontId="17" fillId="0" borderId="0" applyFill="0" applyBorder="0" applyAlignment="0"/>
    <xf numFmtId="0" fontId="17" fillId="0" borderId="0" applyFill="0" applyBorder="0" applyAlignment="0"/>
    <xf numFmtId="0" fontId="17" fillId="0" borderId="0" applyFill="0" applyBorder="0" applyAlignment="0"/>
    <xf numFmtId="0" fontId="17" fillId="0" borderId="0" applyFill="0" applyBorder="0" applyAlignment="0"/>
    <xf numFmtId="0" fontId="17" fillId="0" borderId="0" applyFill="0" applyBorder="0" applyAlignment="0"/>
    <xf numFmtId="0" fontId="17" fillId="0" borderId="0" applyFill="0" applyBorder="0" applyAlignment="0"/>
    <xf numFmtId="0" fontId="17" fillId="0" borderId="0" applyFill="0" applyBorder="0" applyAlignment="0"/>
    <xf numFmtId="0" fontId="17" fillId="0" borderId="0" applyFill="0" applyBorder="0" applyAlignment="0"/>
    <xf numFmtId="0" fontId="337" fillId="0" borderId="0" applyNumberFormat="0" applyAlignment="0">
      <alignment horizontal="left"/>
    </xf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9" fillId="0" borderId="0">
      <alignment horizontal="left"/>
    </xf>
    <xf numFmtId="0" fontId="252" fillId="88" borderId="0">
      <protection locked="0"/>
    </xf>
    <xf numFmtId="0" fontId="340" fillId="0" borderId="0" applyNumberFormat="0" applyFill="0" applyBorder="0" applyProtection="0">
      <alignment horizontal="right"/>
    </xf>
    <xf numFmtId="196" fontId="17" fillId="0" borderId="0" applyFont="0" applyFill="0" applyBorder="0" applyAlignment="0" applyProtection="0"/>
    <xf numFmtId="283" fontId="17" fillId="0" borderId="0" applyFont="0" applyFill="0" applyBorder="0" applyAlignment="0" applyProtection="0"/>
    <xf numFmtId="196" fontId="17" fillId="0" borderId="0" applyFont="0" applyFill="0" applyBorder="0" applyAlignment="0" applyProtection="0"/>
    <xf numFmtId="283" fontId="17" fillId="0" borderId="0" applyFont="0" applyFill="0" applyBorder="0" applyAlignment="0" applyProtection="0"/>
    <xf numFmtId="284" fontId="173" fillId="0" borderId="0" applyFont="0" applyFill="0" applyBorder="0" applyAlignment="0" applyProtection="0"/>
    <xf numFmtId="283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284" fontId="17" fillId="0" borderId="0" applyFont="0" applyFill="0" applyBorder="0" applyAlignment="0" applyProtection="0"/>
    <xf numFmtId="0" fontId="57" fillId="0" borderId="0" applyFont="0" applyFill="0" applyBorder="0" applyAlignment="0" applyProtection="0"/>
    <xf numFmtId="221" fontId="174" fillId="0" borderId="0"/>
    <xf numFmtId="221" fontId="174" fillId="0" borderId="0"/>
    <xf numFmtId="221" fontId="240" fillId="0" borderId="0"/>
    <xf numFmtId="221" fontId="174" fillId="0" borderId="0"/>
    <xf numFmtId="221" fontId="24" fillId="0" borderId="0"/>
    <xf numFmtId="43" fontId="341" fillId="0" borderId="0" applyFont="0" applyFill="0" applyBorder="0" applyAlignment="0" applyProtection="0"/>
    <xf numFmtId="285" fontId="342" fillId="0" borderId="82">
      <alignment horizontal="center" vertical="center"/>
    </xf>
    <xf numFmtId="0" fontId="343" fillId="0" borderId="0" applyNumberFormat="0" applyFill="0" applyBorder="0" applyAlignment="0" applyProtection="0"/>
    <xf numFmtId="0" fontId="344" fillId="0" borderId="0" applyNumberFormat="0" applyFill="0" applyBorder="0" applyAlignment="0" applyProtection="0"/>
    <xf numFmtId="0" fontId="344" fillId="0" borderId="0" applyNumberFormat="0" applyFill="0" applyBorder="0" applyAlignment="0" applyProtection="0"/>
    <xf numFmtId="0" fontId="345" fillId="0" borderId="0" applyNumberFormat="0" applyFill="0" applyBorder="0" applyAlignment="0" applyProtection="0"/>
    <xf numFmtId="0" fontId="346" fillId="0" borderId="0" applyNumberFormat="0" applyFill="0" applyBorder="0" applyAlignment="0" applyProtection="0"/>
    <xf numFmtId="0" fontId="343" fillId="0" borderId="0" applyNumberFormat="0" applyFill="0" applyBorder="0" applyAlignment="0" applyProtection="0"/>
    <xf numFmtId="0" fontId="345" fillId="0" borderId="0" applyNumberFormat="0" applyFill="0" applyBorder="0" applyAlignment="0" applyProtection="0"/>
    <xf numFmtId="0" fontId="347" fillId="0" borderId="0" applyNumberFormat="0" applyFill="0" applyBorder="0" applyAlignment="0" applyProtection="0"/>
    <xf numFmtId="208" fontId="203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48" fillId="0" borderId="0" applyNumberFormat="0" applyFill="0" applyBorder="0" applyAlignment="0" applyProtection="0"/>
    <xf numFmtId="0" fontId="349" fillId="0" borderId="0" applyNumberFormat="0" applyFill="0" applyBorder="0" applyAlignment="0" applyProtection="0"/>
    <xf numFmtId="0" fontId="350" fillId="0" borderId="0" applyNumberFormat="0" applyFill="0" applyBorder="0" applyAlignment="0" applyProtection="0"/>
    <xf numFmtId="0" fontId="351" fillId="0" borderId="0" applyNumberFormat="0" applyFill="0" applyBorder="0" applyAlignment="0" applyProtection="0"/>
    <xf numFmtId="0" fontId="352" fillId="0" borderId="0" applyFont="0" applyFill="0" applyBorder="0" applyAlignment="0" applyProtection="0"/>
    <xf numFmtId="2" fontId="352" fillId="0" borderId="0" applyFont="0" applyFill="0" applyBorder="0" applyAlignment="0" applyProtection="0"/>
    <xf numFmtId="1" fontId="56" fillId="0" borderId="0" applyFill="0"/>
    <xf numFmtId="2" fontId="17" fillId="0" borderId="0" applyFont="0" applyFill="0" applyBorder="0" applyAlignment="0" applyProtection="0"/>
    <xf numFmtId="189" fontId="17" fillId="0" borderId="0">
      <protection locked="0"/>
    </xf>
    <xf numFmtId="189" fontId="17" fillId="0" borderId="0">
      <protection locked="0"/>
    </xf>
    <xf numFmtId="2" fontId="17" fillId="0" borderId="0" applyFill="0" applyBorder="0" applyAlignment="0" applyProtection="0"/>
    <xf numFmtId="2" fontId="17" fillId="0" borderId="0" applyFont="0" applyFill="0" applyBorder="0" applyAlignment="0" applyProtection="0"/>
    <xf numFmtId="2" fontId="17" fillId="0" borderId="0" applyFont="0" applyFill="0" applyBorder="0" applyAlignment="0" applyProtection="0"/>
    <xf numFmtId="0" fontId="87" fillId="0" borderId="0" applyNumberFormat="0" applyFill="0" applyBorder="0" applyAlignment="0" applyProtection="0">
      <alignment vertical="top"/>
      <protection locked="0"/>
    </xf>
    <xf numFmtId="0" fontId="353" fillId="0" borderId="0" applyNumberFormat="0" applyFill="0" applyBorder="0" applyAlignment="0" applyProtection="0">
      <alignment vertical="top"/>
      <protection locked="0"/>
    </xf>
    <xf numFmtId="0" fontId="354" fillId="0" borderId="0" applyNumberFormat="0" applyFill="0" applyBorder="0" applyAlignment="0" applyProtection="0">
      <alignment vertical="top"/>
      <protection locked="0"/>
    </xf>
    <xf numFmtId="0" fontId="355" fillId="0" borderId="0" applyNumberFormat="0" applyFill="0" applyBorder="0" applyAlignment="0" applyProtection="0">
      <alignment vertical="top"/>
      <protection locked="0"/>
    </xf>
    <xf numFmtId="0" fontId="90" fillId="0" borderId="0" applyNumberFormat="0" applyFill="0" applyBorder="0" applyAlignment="0" applyProtection="0">
      <alignment vertical="top"/>
      <protection locked="0"/>
    </xf>
    <xf numFmtId="0" fontId="356" fillId="0" borderId="0" applyNumberFormat="0" applyFill="0" applyBorder="0" applyAlignment="0" applyProtection="0">
      <alignment vertical="top"/>
      <protection locked="0"/>
    </xf>
    <xf numFmtId="0" fontId="357" fillId="0" borderId="0" applyNumberFormat="0" applyFill="0" applyBorder="0" applyAlignment="0" applyProtection="0">
      <alignment vertical="top"/>
      <protection locked="0"/>
    </xf>
    <xf numFmtId="0" fontId="356" fillId="0" borderId="0" applyNumberFormat="0" applyFill="0" applyBorder="0" applyAlignment="0" applyProtection="0">
      <alignment vertical="top"/>
      <protection locked="0"/>
    </xf>
    <xf numFmtId="0" fontId="358" fillId="0" borderId="0" applyNumberFormat="0" applyFill="0" applyBorder="0" applyAlignment="0" applyProtection="0">
      <alignment vertical="top"/>
      <protection locked="0"/>
    </xf>
    <xf numFmtId="0" fontId="103" fillId="0" borderId="0" applyNumberFormat="0" applyFill="0" applyBorder="0" applyAlignment="0" applyProtection="0">
      <alignment vertical="top"/>
      <protection locked="0"/>
    </xf>
    <xf numFmtId="0" fontId="358" fillId="0" borderId="0" applyNumberFormat="0" applyFill="0" applyBorder="0" applyAlignment="0" applyProtection="0">
      <alignment vertical="top"/>
      <protection locked="0"/>
    </xf>
    <xf numFmtId="0" fontId="94" fillId="0" borderId="0" applyNumberFormat="0" applyFill="0" applyBorder="0" applyAlignment="0" applyProtection="0">
      <alignment vertical="top"/>
      <protection locked="0"/>
    </xf>
    <xf numFmtId="0" fontId="359" fillId="0" borderId="0" applyNumberFormat="0" applyFill="0" applyBorder="0" applyAlignment="0" applyProtection="0">
      <alignment vertical="top"/>
      <protection locked="0"/>
    </xf>
    <xf numFmtId="286" fontId="264" fillId="0" borderId="0" applyBorder="0" applyProtection="0">
      <alignment vertical="center"/>
    </xf>
    <xf numFmtId="0" fontId="360" fillId="0" borderId="0" applyNumberFormat="0" applyFill="0" applyBorder="0" applyProtection="0">
      <alignment horizontal="right"/>
    </xf>
    <xf numFmtId="3" fontId="29" fillId="0" borderId="12" applyNumberFormat="0" applyBorder="0" applyAlignment="0"/>
    <xf numFmtId="3" fontId="29" fillId="0" borderId="12" applyNumberFormat="0" applyBorder="0" applyAlignment="0"/>
    <xf numFmtId="3" fontId="29" fillId="0" borderId="12" applyNumberFormat="0" applyBorder="0" applyAlignment="0"/>
    <xf numFmtId="168" fontId="29" fillId="0" borderId="12" applyBorder="0" applyAlignment="0"/>
    <xf numFmtId="168" fontId="29" fillId="0" borderId="12" applyBorder="0" applyAlignment="0"/>
    <xf numFmtId="168" fontId="29" fillId="0" borderId="12" applyBorder="0" applyAlignment="0"/>
    <xf numFmtId="3" fontId="29" fillId="0" borderId="12" applyBorder="0" applyAlignment="0"/>
    <xf numFmtId="3" fontId="29" fillId="0" borderId="12" applyBorder="0" applyAlignment="0"/>
    <xf numFmtId="3" fontId="29" fillId="0" borderId="12" applyBorder="0" applyAlignment="0"/>
    <xf numFmtId="167" fontId="29" fillId="0" borderId="31"/>
    <xf numFmtId="2" fontId="29" fillId="0" borderId="12" applyBorder="0" applyAlignment="0">
      <alignment horizontal="right"/>
    </xf>
    <xf numFmtId="2" fontId="29" fillId="0" borderId="12" applyBorder="0" applyAlignment="0">
      <alignment horizontal="right"/>
    </xf>
    <xf numFmtId="2" fontId="29" fillId="0" borderId="12" applyBorder="0" applyAlignment="0">
      <alignment horizontal="right"/>
    </xf>
    <xf numFmtId="0" fontId="348" fillId="0" borderId="0" applyNumberFormat="0" applyFont="0" applyFill="0" applyBorder="0" applyAlignment="0">
      <alignment vertical="center"/>
    </xf>
    <xf numFmtId="0" fontId="348" fillId="0" borderId="0">
      <alignment vertical="center"/>
    </xf>
    <xf numFmtId="0" fontId="361" fillId="0" borderId="0"/>
    <xf numFmtId="1" fontId="278" fillId="0" borderId="83">
      <alignment horizontal="center"/>
    </xf>
    <xf numFmtId="0" fontId="362" fillId="45" borderId="0" applyNumberFormat="0" applyBorder="0" applyAlignment="0" applyProtection="0"/>
    <xf numFmtId="0" fontId="282" fillId="45" borderId="0" applyNumberFormat="0" applyBorder="0" applyAlignment="0" applyProtection="0"/>
    <xf numFmtId="0" fontId="363" fillId="45" borderId="0" applyNumberFormat="0" applyBorder="0" applyAlignment="0" applyProtection="0"/>
    <xf numFmtId="0" fontId="282" fillId="47" borderId="0" applyNumberFormat="0" applyBorder="0" applyAlignment="0" applyProtection="0"/>
    <xf numFmtId="0" fontId="362" fillId="45" borderId="0" applyNumberFormat="0" applyBorder="0" applyAlignment="0" applyProtection="0"/>
    <xf numFmtId="0" fontId="364" fillId="45" borderId="0" applyNumberFormat="0" applyBorder="0" applyAlignment="0" applyProtection="0"/>
    <xf numFmtId="0" fontId="365" fillId="45" borderId="0" applyNumberFormat="0" applyBorder="0" applyAlignment="0" applyProtection="0"/>
    <xf numFmtId="0" fontId="167" fillId="54" borderId="0" applyNumberFormat="0" applyFont="0" applyBorder="0" applyAlignment="0" applyProtection="0">
      <alignment horizontal="center"/>
    </xf>
    <xf numFmtId="38" fontId="57" fillId="15" borderId="0" applyNumberFormat="0" applyBorder="0" applyAlignment="0" applyProtection="0"/>
    <xf numFmtId="38" fontId="57" fillId="77" borderId="0" applyNumberFormat="0" applyBorder="0" applyAlignment="0" applyProtection="0"/>
    <xf numFmtId="38" fontId="57" fillId="15" borderId="0" applyNumberFormat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3" fontId="366" fillId="0" borderId="0" applyBorder="0" applyAlignment="0">
      <alignment horizontal="center"/>
    </xf>
    <xf numFmtId="15" fontId="367" fillId="89" borderId="0">
      <alignment vertical="center"/>
    </xf>
    <xf numFmtId="15" fontId="367" fillId="89" borderId="0">
      <alignment vertical="center"/>
    </xf>
    <xf numFmtId="15" fontId="367" fillId="89" borderId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287" fontId="368" fillId="90" borderId="0">
      <alignment horizontal="center" vertical="center"/>
    </xf>
    <xf numFmtId="0" fontId="369" fillId="0" borderId="0" applyNumberFormat="0" applyFill="0" applyBorder="0" applyAlignment="0" applyProtection="0"/>
    <xf numFmtId="0" fontId="328" fillId="0" borderId="0">
      <alignment horizontal="left"/>
    </xf>
    <xf numFmtId="0" fontId="369" fillId="0" borderId="0" applyNumberFormat="0" applyFill="0" applyBorder="0" applyAlignment="0" applyProtection="0"/>
    <xf numFmtId="0" fontId="370" fillId="0" borderId="44" applyNumberFormat="0" applyAlignment="0" applyProtection="0">
      <alignment horizontal="left" vertical="center"/>
    </xf>
    <xf numFmtId="0" fontId="370" fillId="0" borderId="44" applyNumberFormat="0" applyAlignment="0" applyProtection="0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0" fillId="0" borderId="4">
      <alignment horizontal="left" vertical="center"/>
    </xf>
    <xf numFmtId="0" fontId="371" fillId="0" borderId="0" applyNumberFormat="0" applyFill="0" applyBorder="0" applyAlignment="0" applyProtection="0"/>
    <xf numFmtId="0" fontId="372" fillId="0" borderId="84" applyNumberFormat="0" applyFill="0" applyAlignment="0" applyProtection="0"/>
    <xf numFmtId="0" fontId="373" fillId="0" borderId="84" applyNumberFormat="0" applyFill="0" applyAlignment="0" applyProtection="0"/>
    <xf numFmtId="0" fontId="373" fillId="0" borderId="84" applyNumberFormat="0" applyFill="0" applyAlignment="0" applyProtection="0"/>
    <xf numFmtId="0" fontId="203" fillId="0" borderId="0" applyNumberFormat="0" applyFill="0" applyBorder="0" applyAlignment="0" applyProtection="0"/>
    <xf numFmtId="0" fontId="374" fillId="0" borderId="85" applyNumberFormat="0" applyFill="0" applyAlignment="0" applyProtection="0"/>
    <xf numFmtId="0" fontId="375" fillId="0" borderId="0" applyNumberFormat="0" applyFill="0" applyBorder="0" applyAlignment="0" applyProtection="0"/>
    <xf numFmtId="0" fontId="376" fillId="0" borderId="86" applyNumberFormat="0" applyFill="0" applyAlignment="0" applyProtection="0"/>
    <xf numFmtId="0" fontId="377" fillId="0" borderId="86" applyNumberFormat="0" applyFill="0" applyAlignment="0" applyProtection="0"/>
    <xf numFmtId="0" fontId="377" fillId="0" borderId="86" applyNumberFormat="0" applyFill="0" applyAlignment="0" applyProtection="0"/>
    <xf numFmtId="0" fontId="203" fillId="0" borderId="0" applyNumberFormat="0" applyFill="0" applyBorder="0" applyAlignment="0" applyProtection="0"/>
    <xf numFmtId="0" fontId="378" fillId="0" borderId="87" applyNumberFormat="0" applyFill="0" applyAlignment="0" applyProtection="0"/>
    <xf numFmtId="0" fontId="370" fillId="0" borderId="0" applyNumberFormat="0" applyFill="0" applyBorder="0" applyAlignment="0" applyProtection="0"/>
    <xf numFmtId="0" fontId="379" fillId="0" borderId="88" applyNumberFormat="0" applyFill="0" applyAlignment="0" applyProtection="0"/>
    <xf numFmtId="0" fontId="336" fillId="0" borderId="88" applyNumberFormat="0" applyFill="0" applyAlignment="0" applyProtection="0"/>
    <xf numFmtId="0" fontId="380" fillId="0" borderId="88" applyNumberFormat="0" applyFill="0" applyAlignment="0" applyProtection="0"/>
    <xf numFmtId="0" fontId="381" fillId="0" borderId="89" applyNumberFormat="0" applyFill="0" applyAlignment="0" applyProtection="0"/>
    <xf numFmtId="0" fontId="379" fillId="0" borderId="88" applyNumberFormat="0" applyFill="0" applyAlignment="0" applyProtection="0"/>
    <xf numFmtId="0" fontId="382" fillId="0" borderId="88" applyNumberFormat="0" applyFill="0" applyAlignment="0" applyProtection="0"/>
    <xf numFmtId="0" fontId="379" fillId="0" borderId="0" applyNumberFormat="0" applyFill="0" applyBorder="0" applyAlignment="0" applyProtection="0"/>
    <xf numFmtId="0" fontId="336" fillId="0" borderId="0" applyNumberFormat="0" applyFill="0" applyBorder="0" applyAlignment="0" applyProtection="0"/>
    <xf numFmtId="0" fontId="380" fillId="0" borderId="0" applyNumberFormat="0" applyFill="0" applyBorder="0" applyAlignment="0" applyProtection="0"/>
    <xf numFmtId="0" fontId="381" fillId="0" borderId="0" applyNumberFormat="0" applyFill="0" applyBorder="0" applyAlignment="0" applyProtection="0"/>
    <xf numFmtId="0" fontId="379" fillId="0" borderId="0" applyNumberFormat="0" applyFill="0" applyBorder="0" applyAlignment="0" applyProtection="0"/>
    <xf numFmtId="0" fontId="382" fillId="0" borderId="0" applyNumberFormat="0" applyFill="0" applyBorder="0" applyAlignment="0" applyProtection="0"/>
    <xf numFmtId="0" fontId="384" fillId="0" borderId="0"/>
    <xf numFmtId="0" fontId="385" fillId="0" borderId="0"/>
    <xf numFmtId="0" fontId="328" fillId="0" borderId="0"/>
    <xf numFmtId="249" fontId="386" fillId="0" borderId="82" applyBorder="0">
      <alignment horizontal="center"/>
      <protection locked="0"/>
    </xf>
    <xf numFmtId="0" fontId="387" fillId="0" borderId="90" applyNumberFormat="0" applyFill="0" applyAlignment="0" applyProtection="0"/>
    <xf numFmtId="0" fontId="203" fillId="0" borderId="0" applyNumberFormat="0" applyFill="0" applyBorder="0" applyAlignment="0" applyProtection="0">
      <alignment vertical="top"/>
      <protection locked="0"/>
    </xf>
    <xf numFmtId="0" fontId="203" fillId="0" borderId="0" applyNumberFormat="0" applyFill="0" applyBorder="0" applyAlignment="0" applyProtection="0">
      <alignment vertical="top"/>
      <protection locked="0"/>
    </xf>
    <xf numFmtId="0" fontId="388" fillId="0" borderId="0" applyNumberFormat="0" applyFill="0" applyBorder="0" applyAlignment="0" applyProtection="0">
      <alignment vertical="top"/>
      <protection locked="0"/>
    </xf>
    <xf numFmtId="0" fontId="389" fillId="0" borderId="0" applyNumberFormat="0" applyFill="0" applyBorder="0" applyAlignment="0" applyProtection="0">
      <alignment vertical="top"/>
      <protection locked="0"/>
    </xf>
    <xf numFmtId="0" fontId="388" fillId="0" borderId="0" applyNumberFormat="0" applyFill="0" applyBorder="0" applyAlignment="0" applyProtection="0">
      <alignment vertical="top"/>
      <protection locked="0"/>
    </xf>
    <xf numFmtId="0" fontId="90" fillId="0" borderId="0" applyNumberFormat="0" applyFill="0" applyBorder="0" applyAlignment="0" applyProtection="0">
      <alignment vertical="top"/>
      <protection locked="0"/>
    </xf>
    <xf numFmtId="0" fontId="388" fillId="0" borderId="0" applyNumberFormat="0" applyFill="0" applyBorder="0" applyAlignment="0" applyProtection="0">
      <alignment vertical="top"/>
      <protection locked="0"/>
    </xf>
    <xf numFmtId="0" fontId="390" fillId="0" borderId="0" applyNumberFormat="0" applyFill="0" applyBorder="0" applyAlignment="0" applyProtection="0">
      <alignment vertical="top"/>
      <protection locked="0"/>
    </xf>
    <xf numFmtId="0" fontId="389" fillId="0" borderId="0" applyNumberFormat="0" applyFill="0" applyBorder="0" applyAlignment="0" applyProtection="0">
      <alignment vertical="top"/>
      <protection locked="0"/>
    </xf>
    <xf numFmtId="0" fontId="90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0" fontId="81" fillId="0" borderId="0" applyNumberFormat="0" applyFill="0" applyBorder="0" applyAlignment="0" applyProtection="0">
      <alignment vertical="top"/>
      <protection locked="0"/>
    </xf>
    <xf numFmtId="0" fontId="81" fillId="0" borderId="0" applyNumberFormat="0" applyFill="0" applyBorder="0" applyAlignment="0" applyProtection="0">
      <alignment vertical="top"/>
      <protection locked="0"/>
    </xf>
    <xf numFmtId="0" fontId="391" fillId="0" borderId="0" applyNumberFormat="0" applyFill="0" applyBorder="0" applyAlignment="0" applyProtection="0">
      <alignment vertical="top"/>
      <protection locked="0"/>
    </xf>
    <xf numFmtId="0" fontId="81" fillId="0" borderId="0" applyNumberFormat="0" applyFill="0" applyBorder="0" applyAlignment="0" applyProtection="0">
      <alignment vertical="top"/>
      <protection locked="0"/>
    </xf>
    <xf numFmtId="0" fontId="81" fillId="0" borderId="0" applyNumberFormat="0" applyFill="0" applyBorder="0" applyAlignment="0" applyProtection="0">
      <alignment vertical="top"/>
      <protection locked="0"/>
    </xf>
    <xf numFmtId="0" fontId="103" fillId="0" borderId="0" applyNumberFormat="0" applyFill="0" applyBorder="0" applyAlignment="0" applyProtection="0">
      <alignment vertical="top"/>
      <protection locked="0"/>
    </xf>
    <xf numFmtId="0" fontId="103" fillId="0" borderId="0" applyNumberFormat="0" applyFill="0" applyBorder="0" applyAlignment="0" applyProtection="0">
      <alignment vertical="top"/>
      <protection locked="0"/>
    </xf>
    <xf numFmtId="0" fontId="103" fillId="0" borderId="0" applyNumberFormat="0" applyFill="0" applyBorder="0" applyAlignment="0" applyProtection="0">
      <alignment vertical="top"/>
      <protection locked="0"/>
    </xf>
    <xf numFmtId="0" fontId="359" fillId="0" borderId="0" applyNumberFormat="0" applyFill="0" applyBorder="0" applyAlignment="0" applyProtection="0">
      <alignment vertical="top"/>
      <protection locked="0"/>
    </xf>
    <xf numFmtId="0" fontId="359" fillId="0" borderId="0" applyNumberFormat="0" applyFill="0" applyBorder="0" applyAlignment="0" applyProtection="0">
      <alignment vertical="top"/>
      <protection locked="0"/>
    </xf>
    <xf numFmtId="0" fontId="392" fillId="0" borderId="0" applyNumberFormat="0" applyFill="0" applyBorder="0" applyAlignment="0" applyProtection="0">
      <alignment vertical="top"/>
      <protection locked="0"/>
    </xf>
    <xf numFmtId="0" fontId="359" fillId="0" borderId="0" applyNumberFormat="0" applyFill="0" applyBorder="0" applyAlignment="0" applyProtection="0">
      <alignment vertical="top"/>
      <protection locked="0"/>
    </xf>
    <xf numFmtId="0" fontId="359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167" fontId="393" fillId="0" borderId="15" applyFill="0" applyBorder="0" applyProtection="0">
      <alignment horizontal="center"/>
    </xf>
    <xf numFmtId="167" fontId="394" fillId="0" borderId="15" applyFill="0" applyBorder="0" applyProtection="0">
      <alignment horizontal="center"/>
    </xf>
    <xf numFmtId="167" fontId="394" fillId="0" borderId="15" applyFill="0" applyBorder="0" applyProtection="0">
      <alignment horizontal="center"/>
    </xf>
    <xf numFmtId="167" fontId="394" fillId="0" borderId="15" applyFill="0" applyBorder="0" applyProtection="0">
      <alignment horizontal="center"/>
    </xf>
    <xf numFmtId="167" fontId="394" fillId="0" borderId="15" applyFill="0" applyBorder="0" applyProtection="0">
      <alignment horizontal="center"/>
    </xf>
    <xf numFmtId="167" fontId="394" fillId="0" borderId="15" applyFill="0" applyBorder="0" applyProtection="0">
      <alignment horizontal="center"/>
    </xf>
    <xf numFmtId="167" fontId="394" fillId="0" borderId="15" applyFill="0" applyBorder="0" applyProtection="0">
      <alignment horizontal="center"/>
    </xf>
    <xf numFmtId="0" fontId="395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0" fontId="395" fillId="0" borderId="0" applyNumberFormat="0" applyFill="0" applyBorder="0" applyAlignment="0" applyProtection="0">
      <alignment vertical="top"/>
      <protection locked="0"/>
    </xf>
    <xf numFmtId="0" fontId="120" fillId="0" borderId="0" applyNumberFormat="0" applyFill="0" applyBorder="0" applyAlignment="0" applyProtection="0">
      <alignment vertical="top"/>
      <protection locked="0"/>
    </xf>
    <xf numFmtId="0" fontId="81" fillId="0" borderId="0" applyNumberFormat="0" applyFill="0" applyBorder="0" applyAlignment="0" applyProtection="0">
      <alignment vertical="top"/>
      <protection locked="0"/>
    </xf>
    <xf numFmtId="0" fontId="81" fillId="0" borderId="0" applyNumberFormat="0" applyFill="0" applyBorder="0" applyAlignment="0" applyProtection="0">
      <alignment vertical="top"/>
      <protection locked="0"/>
    </xf>
    <xf numFmtId="0" fontId="396" fillId="0" borderId="0" applyNumberFormat="0" applyFill="0" applyBorder="0" applyAlignment="0" applyProtection="0">
      <alignment vertical="top"/>
      <protection locked="0"/>
    </xf>
    <xf numFmtId="0" fontId="397" fillId="0" borderId="0" applyFill="0" applyBorder="0">
      <alignment horizontal="center" vertical="center"/>
      <protection locked="0"/>
    </xf>
    <xf numFmtId="0" fontId="398" fillId="0" borderId="0" applyNumberFormat="0" applyFill="0" applyBorder="0" applyAlignment="0" applyProtection="0">
      <alignment vertical="top"/>
      <protection locked="0"/>
    </xf>
    <xf numFmtId="0" fontId="399" fillId="0" borderId="0" applyFill="0" applyBorder="0">
      <alignment vertical="center"/>
    </xf>
    <xf numFmtId="0" fontId="123" fillId="0" borderId="0" applyNumberFormat="0" applyFill="0" applyBorder="0" applyAlignment="0" applyProtection="0">
      <alignment vertical="top"/>
      <protection locked="0"/>
    </xf>
    <xf numFmtId="0" fontId="400" fillId="0" borderId="0" applyNumberFormat="0" applyFill="0" applyBorder="0" applyAlignment="0" applyProtection="0">
      <alignment vertical="top"/>
      <protection locked="0"/>
    </xf>
    <xf numFmtId="288" fontId="401" fillId="82" borderId="81">
      <alignment horizontal="right"/>
      <protection locked="0"/>
    </xf>
    <xf numFmtId="288" fontId="401" fillId="82" borderId="81">
      <alignment horizontal="right"/>
      <protection locked="0"/>
    </xf>
    <xf numFmtId="289" fontId="401" fillId="82" borderId="67">
      <alignment horizontal="right"/>
      <protection locked="0"/>
    </xf>
    <xf numFmtId="290" fontId="401" fillId="82" borderId="81">
      <alignment horizontal="right" vertical="center"/>
      <protection locked="0"/>
    </xf>
    <xf numFmtId="290" fontId="401" fillId="82" borderId="81">
      <alignment horizontal="right" vertical="center"/>
      <protection locked="0"/>
    </xf>
    <xf numFmtId="291" fontId="401" fillId="82" borderId="81">
      <protection locked="0"/>
    </xf>
    <xf numFmtId="291" fontId="401" fillId="82" borderId="81">
      <protection locked="0"/>
    </xf>
    <xf numFmtId="292" fontId="401" fillId="82" borderId="81">
      <protection locked="0"/>
    </xf>
    <xf numFmtId="292" fontId="401" fillId="82" borderId="81">
      <protection locked="0"/>
    </xf>
    <xf numFmtId="293" fontId="387" fillId="82" borderId="77">
      <alignment horizontal="right"/>
      <protection locked="0"/>
    </xf>
    <xf numFmtId="293" fontId="387" fillId="82" borderId="77">
      <alignment horizontal="right"/>
      <protection locked="0"/>
    </xf>
    <xf numFmtId="294" fontId="401" fillId="82" borderId="81">
      <alignment horizontal="right"/>
      <protection locked="0"/>
    </xf>
    <xf numFmtId="294" fontId="401" fillId="82" borderId="81">
      <alignment horizontal="right"/>
      <protection locked="0"/>
    </xf>
    <xf numFmtId="295" fontId="401" fillId="82" borderId="81">
      <alignment horizontal="right"/>
      <protection locked="0"/>
    </xf>
    <xf numFmtId="295" fontId="401" fillId="82" borderId="81">
      <alignment horizontal="right"/>
      <protection locked="0"/>
    </xf>
    <xf numFmtId="296" fontId="401" fillId="82" borderId="81">
      <alignment horizontal="right"/>
      <protection locked="0"/>
    </xf>
    <xf numFmtId="296" fontId="401" fillId="82" borderId="81">
      <alignment horizontal="right"/>
      <protection locked="0"/>
    </xf>
    <xf numFmtId="297" fontId="401" fillId="82" borderId="81">
      <alignment horizontal="right"/>
      <protection locked="0"/>
    </xf>
    <xf numFmtId="297" fontId="401" fillId="82" borderId="81">
      <alignment horizontal="right"/>
      <protection locked="0"/>
    </xf>
    <xf numFmtId="0" fontId="401" fillId="82" borderId="81">
      <alignment horizontal="left" vertical="top" wrapText="1"/>
      <protection locked="0"/>
    </xf>
    <xf numFmtId="0" fontId="401" fillId="82" borderId="81">
      <alignment horizontal="left" vertical="top" wrapText="1"/>
      <protection locked="0"/>
    </xf>
    <xf numFmtId="15" fontId="401" fillId="82" borderId="81">
      <alignment horizontal="right" vertical="center"/>
      <protection locked="0"/>
    </xf>
    <xf numFmtId="15" fontId="401" fillId="82" borderId="81">
      <alignment horizontal="right" vertical="center"/>
      <protection locked="0"/>
    </xf>
    <xf numFmtId="15" fontId="401" fillId="82" borderId="81">
      <alignment horizontal="right" vertical="center"/>
      <protection locked="0"/>
    </xf>
    <xf numFmtId="15" fontId="401" fillId="82" borderId="81">
      <alignment horizontal="right" vertical="center"/>
      <protection locked="0"/>
    </xf>
    <xf numFmtId="15" fontId="401" fillId="82" borderId="81">
      <alignment horizontal="right" vertical="center"/>
      <protection locked="0"/>
    </xf>
    <xf numFmtId="15" fontId="401" fillId="82" borderId="81">
      <alignment horizontal="right" vertical="center"/>
      <protection locked="0"/>
    </xf>
    <xf numFmtId="15" fontId="401" fillId="82" borderId="2">
      <alignment horizontal="center" vertical="center"/>
      <protection locked="0"/>
    </xf>
    <xf numFmtId="15" fontId="401" fillId="82" borderId="2">
      <alignment horizontal="center" vertical="center"/>
      <protection locked="0"/>
    </xf>
    <xf numFmtId="15" fontId="401" fillId="82" borderId="2">
      <alignment horizontal="center" vertical="center"/>
      <protection locked="0"/>
    </xf>
    <xf numFmtId="298" fontId="401" fillId="82" borderId="2">
      <alignment horizontal="left" vertical="center"/>
      <protection locked="0"/>
    </xf>
    <xf numFmtId="298" fontId="401" fillId="82" borderId="2">
      <alignment horizontal="left" vertical="center"/>
      <protection locked="0"/>
    </xf>
    <xf numFmtId="298" fontId="401" fillId="82" borderId="2">
      <alignment horizontal="left" vertical="center"/>
      <protection locked="0"/>
    </xf>
    <xf numFmtId="0" fontId="401" fillId="82" borderId="81">
      <alignment horizontal="center" vertical="center" wrapText="1"/>
      <protection locked="0"/>
    </xf>
    <xf numFmtId="0" fontId="401" fillId="82" borderId="81">
      <alignment horizontal="center" vertical="center" wrapText="1"/>
      <protection locked="0"/>
    </xf>
    <xf numFmtId="49" fontId="401" fillId="82" borderId="81">
      <alignment horizontal="center" vertical="center" wrapText="1"/>
      <protection locked="0"/>
    </xf>
    <xf numFmtId="49" fontId="401" fillId="82" borderId="81">
      <alignment horizontal="center" vertical="center" wrapText="1"/>
      <protection locked="0"/>
    </xf>
    <xf numFmtId="0" fontId="401" fillId="82" borderId="2">
      <alignment horizontal="center" vertical="center"/>
      <protection locked="0"/>
    </xf>
    <xf numFmtId="0" fontId="401" fillId="82" borderId="2">
      <alignment horizontal="center" vertical="center"/>
      <protection locked="0"/>
    </xf>
    <xf numFmtId="0" fontId="401" fillId="82" borderId="2">
      <alignment horizontal="center" vertical="center"/>
      <protection locked="0"/>
    </xf>
    <xf numFmtId="0" fontId="228" fillId="0" borderId="0" applyBorder="0"/>
    <xf numFmtId="203" fontId="75" fillId="0" borderId="0" applyFont="0" applyFill="0" applyBorder="0" applyAlignment="0" applyProtection="0"/>
    <xf numFmtId="0" fontId="271" fillId="44" borderId="0" applyNumberFormat="0" applyBorder="0" applyAlignment="0" applyProtection="0"/>
    <xf numFmtId="172" fontId="29" fillId="0" borderId="12" applyBorder="0" applyAlignment="0"/>
    <xf numFmtId="172" fontId="29" fillId="0" borderId="12" applyBorder="0" applyAlignment="0"/>
    <xf numFmtId="172" fontId="29" fillId="0" borderId="12" applyBorder="0" applyAlignment="0"/>
    <xf numFmtId="0" fontId="164" fillId="0" borderId="0"/>
    <xf numFmtId="37" fontId="402" fillId="0" borderId="0" applyFill="0" applyBorder="0" applyAlignment="0">
      <protection locked="0"/>
    </xf>
    <xf numFmtId="168" fontId="402" fillId="0" borderId="10" applyFill="0" applyBorder="0" applyAlignment="0">
      <alignment horizontal="center"/>
      <protection locked="0"/>
    </xf>
    <xf numFmtId="168" fontId="402" fillId="0" borderId="10" applyFill="0" applyBorder="0" applyAlignment="0">
      <alignment horizontal="center"/>
      <protection locked="0"/>
    </xf>
    <xf numFmtId="168" fontId="402" fillId="0" borderId="10" applyFill="0" applyBorder="0" applyAlignment="0">
      <alignment horizontal="center"/>
      <protection locked="0"/>
    </xf>
    <xf numFmtId="168" fontId="402" fillId="0" borderId="10" applyFill="0" applyBorder="0" applyAlignment="0">
      <alignment horizontal="center"/>
      <protection locked="0"/>
    </xf>
    <xf numFmtId="10" fontId="57" fillId="15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84" borderId="2" applyNumberFormat="0" applyBorder="0" applyAlignment="0" applyProtection="0"/>
    <xf numFmtId="10" fontId="57" fillId="15" borderId="2" applyNumberFormat="0" applyBorder="0" applyAlignment="0" applyProtection="0"/>
    <xf numFmtId="10" fontId="57" fillId="84" borderId="2" applyNumberFormat="0" applyBorder="0" applyAlignment="0" applyProtection="0"/>
    <xf numFmtId="0" fontId="17" fillId="0" borderId="0" applyFill="0" applyBorder="0" applyAlignment="0">
      <protection locked="0"/>
    </xf>
    <xf numFmtId="222" fontId="402" fillId="0" borderId="0" applyFill="0" applyBorder="0" applyAlignment="0">
      <protection locked="0"/>
    </xf>
    <xf numFmtId="37" fontId="402" fillId="0" borderId="0" applyFill="0" applyBorder="0" applyAlignment="0">
      <protection locked="0"/>
    </xf>
    <xf numFmtId="37" fontId="402" fillId="0" borderId="0" applyFill="0" applyBorder="0" applyAlignment="0">
      <protection locked="0"/>
    </xf>
    <xf numFmtId="0" fontId="338" fillId="55" borderId="77" applyNumberFormat="0" applyAlignment="0" applyProtection="0"/>
    <xf numFmtId="0" fontId="338" fillId="55" borderId="77" applyNumberFormat="0" applyAlignment="0" applyProtection="0"/>
    <xf numFmtId="0" fontId="338" fillId="55" borderId="77" applyNumberFormat="0" applyAlignment="0" applyProtection="0"/>
    <xf numFmtId="37" fontId="402" fillId="0" borderId="0" applyFill="0" applyBorder="0" applyAlignment="0">
      <protection locked="0"/>
    </xf>
    <xf numFmtId="37" fontId="402" fillId="0" borderId="0" applyFill="0" applyBorder="0" applyAlignment="0">
      <protection locked="0"/>
    </xf>
    <xf numFmtId="37" fontId="402" fillId="0" borderId="0" applyFill="0" applyBorder="0" applyAlignment="0">
      <protection locked="0"/>
    </xf>
    <xf numFmtId="37" fontId="402" fillId="0" borderId="0" applyFill="0" applyBorder="0" applyAlignment="0">
      <protection locked="0"/>
    </xf>
    <xf numFmtId="37" fontId="402" fillId="0" borderId="0" applyFill="0" applyBorder="0" applyAlignment="0">
      <protection locked="0"/>
    </xf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37" fontId="402" fillId="0" borderId="0" applyFill="0" applyBorder="0" applyAlignment="0">
      <protection locked="0"/>
    </xf>
    <xf numFmtId="37" fontId="402" fillId="0" borderId="0" applyFill="0" applyBorder="0" applyAlignment="0">
      <protection locked="0"/>
    </xf>
    <xf numFmtId="37" fontId="402" fillId="0" borderId="0" applyFill="0" applyBorder="0" applyAlignment="0">
      <protection locked="0"/>
    </xf>
    <xf numFmtId="37" fontId="402" fillId="0" borderId="0" applyFill="0" applyBorder="0" applyAlignment="0">
      <protection locked="0"/>
    </xf>
    <xf numFmtId="37" fontId="402" fillId="0" borderId="0" applyFill="0" applyBorder="0" applyAlignment="0">
      <protection locked="0"/>
    </xf>
    <xf numFmtId="37" fontId="402" fillId="0" borderId="0" applyFill="0" applyBorder="0" applyAlignment="0">
      <protection locked="0"/>
    </xf>
    <xf numFmtId="37" fontId="402" fillId="0" borderId="0" applyFill="0" applyBorder="0" applyAlignment="0">
      <protection locked="0"/>
    </xf>
    <xf numFmtId="37" fontId="402" fillId="0" borderId="0" applyFill="0" applyBorder="0" applyAlignment="0">
      <protection locked="0"/>
    </xf>
    <xf numFmtId="37" fontId="402" fillId="0" borderId="0" applyFill="0" applyBorder="0" applyAlignment="0">
      <protection locked="0"/>
    </xf>
    <xf numFmtId="37" fontId="402" fillId="0" borderId="0" applyFill="0" applyBorder="0" applyAlignment="0">
      <protection locked="0"/>
    </xf>
    <xf numFmtId="0" fontId="17" fillId="0" borderId="0" applyFill="0" applyBorder="0" applyAlignment="0" applyProtection="0">
      <protection locked="0"/>
    </xf>
    <xf numFmtId="277" fontId="17" fillId="0" borderId="0" applyFill="0" applyBorder="0" applyAlignment="0" applyProtection="0">
      <protection locked="0"/>
    </xf>
    <xf numFmtId="37" fontId="402" fillId="0" borderId="0" applyFill="0" applyBorder="0" applyAlignment="0">
      <protection locked="0"/>
    </xf>
    <xf numFmtId="37" fontId="402" fillId="0" borderId="0" applyFill="0" applyBorder="0" applyAlignment="0">
      <protection locked="0"/>
    </xf>
    <xf numFmtId="37" fontId="402" fillId="0" borderId="0" applyFill="0" applyBorder="0" applyAlignment="0">
      <protection locked="0"/>
    </xf>
    <xf numFmtId="37" fontId="402" fillId="0" borderId="0" applyFill="0" applyBorder="0" applyAlignment="0">
      <protection locked="0"/>
    </xf>
    <xf numFmtId="37" fontId="402" fillId="0" borderId="0" applyFill="0" applyBorder="0" applyAlignment="0">
      <protection locked="0"/>
    </xf>
    <xf numFmtId="37" fontId="402" fillId="0" borderId="0" applyFill="0" applyBorder="0" applyAlignment="0">
      <protection locked="0"/>
    </xf>
    <xf numFmtId="37" fontId="402" fillId="0" borderId="0" applyFill="0" applyBorder="0" applyAlignment="0">
      <protection locked="0"/>
    </xf>
    <xf numFmtId="37" fontId="402" fillId="0" borderId="0" applyFill="0" applyBorder="0" applyAlignment="0">
      <protection locked="0"/>
    </xf>
    <xf numFmtId="37" fontId="402" fillId="0" borderId="0" applyFill="0" applyBorder="0" applyAlignment="0">
      <protection locked="0"/>
    </xf>
    <xf numFmtId="0" fontId="338" fillId="48" borderId="77" applyNumberFormat="0" applyAlignment="0" applyProtection="0"/>
    <xf numFmtId="0" fontId="338" fillId="55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55" borderId="77" applyNumberFormat="0" applyAlignment="0" applyProtection="0"/>
    <xf numFmtId="0" fontId="338" fillId="55" borderId="77" applyNumberFormat="0" applyAlignment="0" applyProtection="0"/>
    <xf numFmtId="0" fontId="338" fillId="55" borderId="77" applyNumberFormat="0" applyAlignment="0" applyProtection="0"/>
    <xf numFmtId="0" fontId="338" fillId="55" borderId="77" applyNumberFormat="0" applyAlignment="0" applyProtection="0"/>
    <xf numFmtId="0" fontId="338" fillId="55" borderId="77" applyNumberFormat="0" applyAlignment="0" applyProtection="0"/>
    <xf numFmtId="0" fontId="338" fillId="55" borderId="77" applyNumberFormat="0" applyAlignment="0" applyProtection="0"/>
    <xf numFmtId="0" fontId="338" fillId="55" borderId="77" applyNumberFormat="0" applyAlignment="0" applyProtection="0"/>
    <xf numFmtId="0" fontId="338" fillId="55" borderId="77" applyNumberFormat="0" applyAlignment="0" applyProtection="0"/>
    <xf numFmtId="0" fontId="338" fillId="55" borderId="77" applyNumberFormat="0" applyAlignment="0" applyProtection="0"/>
    <xf numFmtId="0" fontId="338" fillId="55" borderId="77" applyNumberFormat="0" applyAlignment="0" applyProtection="0"/>
    <xf numFmtId="0" fontId="338" fillId="55" borderId="77" applyNumberFormat="0" applyAlignment="0" applyProtection="0"/>
    <xf numFmtId="0" fontId="338" fillId="55" borderId="77" applyNumberFormat="0" applyAlignment="0" applyProtection="0"/>
    <xf numFmtId="0" fontId="338" fillId="55" borderId="77" applyNumberFormat="0" applyAlignment="0" applyProtection="0"/>
    <xf numFmtId="0" fontId="338" fillId="55" borderId="77" applyNumberFormat="0" applyAlignment="0" applyProtection="0"/>
    <xf numFmtId="0" fontId="338" fillId="55" borderId="77" applyNumberFormat="0" applyAlignment="0" applyProtection="0"/>
    <xf numFmtId="0" fontId="338" fillId="55" borderId="77" applyNumberFormat="0" applyAlignment="0" applyProtection="0"/>
    <xf numFmtId="0" fontId="338" fillId="55" borderId="77" applyNumberFormat="0" applyAlignment="0" applyProtection="0"/>
    <xf numFmtId="0" fontId="338" fillId="55" borderId="77" applyNumberFormat="0" applyAlignment="0" applyProtection="0"/>
    <xf numFmtId="0" fontId="338" fillId="55" borderId="77" applyNumberFormat="0" applyAlignment="0" applyProtection="0"/>
    <xf numFmtId="0" fontId="338" fillId="55" borderId="77" applyNumberFormat="0" applyAlignment="0" applyProtection="0"/>
    <xf numFmtId="0" fontId="338" fillId="55" borderId="77" applyNumberFormat="0" applyAlignment="0" applyProtection="0"/>
    <xf numFmtId="0" fontId="338" fillId="55" borderId="77" applyNumberFormat="0" applyAlignment="0" applyProtection="0"/>
    <xf numFmtId="0" fontId="338" fillId="55" borderId="77" applyNumberFormat="0" applyAlignment="0" applyProtection="0"/>
    <xf numFmtId="0" fontId="338" fillId="55" borderId="77" applyNumberFormat="0" applyAlignment="0" applyProtection="0"/>
    <xf numFmtId="0" fontId="338" fillId="55" borderId="77" applyNumberFormat="0" applyAlignment="0" applyProtection="0"/>
    <xf numFmtId="0" fontId="338" fillId="55" borderId="77" applyNumberFormat="0" applyAlignment="0" applyProtection="0"/>
    <xf numFmtId="0" fontId="338" fillId="55" borderId="77" applyNumberFormat="0" applyAlignment="0" applyProtection="0"/>
    <xf numFmtId="0" fontId="338" fillId="55" borderId="77" applyNumberFormat="0" applyAlignment="0" applyProtection="0"/>
    <xf numFmtId="0" fontId="338" fillId="55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55" borderId="77" applyNumberFormat="0" applyAlignment="0" applyProtection="0"/>
    <xf numFmtId="0" fontId="338" fillId="55" borderId="77" applyNumberFormat="0" applyAlignment="0" applyProtection="0"/>
    <xf numFmtId="0" fontId="338" fillId="55" borderId="77" applyNumberFormat="0" applyAlignment="0" applyProtection="0"/>
    <xf numFmtId="0" fontId="338" fillId="55" borderId="77" applyNumberFormat="0" applyAlignment="0" applyProtection="0"/>
    <xf numFmtId="0" fontId="338" fillId="55" borderId="77" applyNumberFormat="0" applyAlignment="0" applyProtection="0"/>
    <xf numFmtId="0" fontId="338" fillId="55" borderId="77" applyNumberFormat="0" applyAlignment="0" applyProtection="0"/>
    <xf numFmtId="0" fontId="338" fillId="55" borderId="77" applyNumberFormat="0" applyAlignment="0" applyProtection="0"/>
    <xf numFmtId="0" fontId="338" fillId="55" borderId="77" applyNumberFormat="0" applyAlignment="0" applyProtection="0"/>
    <xf numFmtId="0" fontId="338" fillId="55" borderId="77" applyNumberFormat="0" applyAlignment="0" applyProtection="0"/>
    <xf numFmtId="0" fontId="338" fillId="55" borderId="77" applyNumberFormat="0" applyAlignment="0" applyProtection="0"/>
    <xf numFmtId="0" fontId="338" fillId="55" borderId="77" applyNumberFormat="0" applyAlignment="0" applyProtection="0"/>
    <xf numFmtId="0" fontId="338" fillId="55" borderId="77" applyNumberFormat="0" applyAlignment="0" applyProtection="0"/>
    <xf numFmtId="0" fontId="338" fillId="55" borderId="77" applyNumberFormat="0" applyAlignment="0" applyProtection="0"/>
    <xf numFmtId="0" fontId="338" fillId="55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37" fontId="402" fillId="0" borderId="0" applyFill="0" applyBorder="0" applyAlignment="0">
      <protection locked="0"/>
    </xf>
    <xf numFmtId="0" fontId="403" fillId="48" borderId="77" applyNumberFormat="0" applyAlignment="0" applyProtection="0"/>
    <xf numFmtId="37" fontId="402" fillId="0" borderId="0" applyFill="0" applyBorder="0" applyAlignment="0">
      <protection locked="0"/>
    </xf>
    <xf numFmtId="0" fontId="338" fillId="55" borderId="77" applyNumberFormat="0" applyAlignment="0" applyProtection="0"/>
    <xf numFmtId="0" fontId="338" fillId="55" borderId="77" applyNumberFormat="0" applyAlignment="0" applyProtection="0"/>
    <xf numFmtId="0" fontId="338" fillId="55" borderId="77" applyNumberFormat="0" applyAlignment="0" applyProtection="0"/>
    <xf numFmtId="0" fontId="338" fillId="55" borderId="77" applyNumberFormat="0" applyAlignment="0" applyProtection="0"/>
    <xf numFmtId="0" fontId="338" fillId="55" borderId="77" applyNumberFormat="0" applyAlignment="0" applyProtection="0"/>
    <xf numFmtId="0" fontId="338" fillId="55" borderId="77" applyNumberFormat="0" applyAlignment="0" applyProtection="0"/>
    <xf numFmtId="0" fontId="338" fillId="55" borderId="77" applyNumberFormat="0" applyAlignment="0" applyProtection="0"/>
    <xf numFmtId="0" fontId="338" fillId="55" borderId="77" applyNumberFormat="0" applyAlignment="0" applyProtection="0"/>
    <xf numFmtId="0" fontId="338" fillId="55" borderId="77" applyNumberFormat="0" applyAlignment="0" applyProtection="0"/>
    <xf numFmtId="0" fontId="338" fillId="55" borderId="77" applyNumberFormat="0" applyAlignment="0" applyProtection="0"/>
    <xf numFmtId="37" fontId="402" fillId="0" borderId="0" applyFill="0" applyBorder="0" applyAlignment="0">
      <protection locked="0"/>
    </xf>
    <xf numFmtId="0" fontId="338" fillId="55" borderId="77" applyNumberFormat="0" applyAlignment="0" applyProtection="0"/>
    <xf numFmtId="0" fontId="338" fillId="55" borderId="77" applyNumberFormat="0" applyAlignment="0" applyProtection="0"/>
    <xf numFmtId="0" fontId="338" fillId="55" borderId="77" applyNumberFormat="0" applyAlignment="0" applyProtection="0"/>
    <xf numFmtId="0" fontId="338" fillId="55" borderId="77" applyNumberFormat="0" applyAlignment="0" applyProtection="0"/>
    <xf numFmtId="0" fontId="338" fillId="55" borderId="77" applyNumberFormat="0" applyAlignment="0" applyProtection="0"/>
    <xf numFmtId="0" fontId="338" fillId="55" borderId="77" applyNumberFormat="0" applyAlignment="0" applyProtection="0"/>
    <xf numFmtId="0" fontId="338" fillId="55" borderId="77" applyNumberFormat="0" applyAlignment="0" applyProtection="0"/>
    <xf numFmtId="0" fontId="338" fillId="55" borderId="77" applyNumberFormat="0" applyAlignment="0" applyProtection="0"/>
    <xf numFmtId="0" fontId="338" fillId="55" borderId="77" applyNumberFormat="0" applyAlignment="0" applyProtection="0"/>
    <xf numFmtId="37" fontId="402" fillId="0" borderId="0" applyFill="0" applyBorder="0" applyAlignment="0">
      <protection locked="0"/>
    </xf>
    <xf numFmtId="37" fontId="402" fillId="0" borderId="0" applyFill="0" applyBorder="0" applyAlignment="0">
      <protection locked="0"/>
    </xf>
    <xf numFmtId="37" fontId="402" fillId="0" borderId="0" applyFill="0" applyBorder="0" applyAlignment="0">
      <protection locked="0"/>
    </xf>
    <xf numFmtId="37" fontId="402" fillId="0" borderId="0" applyFill="0" applyBorder="0" applyAlignment="0">
      <protection locked="0"/>
    </xf>
    <xf numFmtId="299" fontId="404" fillId="84" borderId="91"/>
    <xf numFmtId="299" fontId="404" fillId="84" borderId="91"/>
    <xf numFmtId="299" fontId="405" fillId="84" borderId="91"/>
    <xf numFmtId="299" fontId="405" fillId="84" borderId="91"/>
    <xf numFmtId="10" fontId="387" fillId="13" borderId="0"/>
    <xf numFmtId="0" fontId="406" fillId="81" borderId="0"/>
    <xf numFmtId="3" fontId="407" fillId="41" borderId="92">
      <alignment horizontal="right"/>
    </xf>
    <xf numFmtId="3" fontId="407" fillId="41" borderId="92">
      <alignment horizontal="right"/>
    </xf>
    <xf numFmtId="263" fontId="408" fillId="0" borderId="0" applyBorder="0">
      <alignment horizontal="right" vertical="top"/>
      <protection locked="0"/>
    </xf>
    <xf numFmtId="300" fontId="408" fillId="0" borderId="0" applyBorder="0">
      <alignment horizontal="right" vertical="top"/>
      <protection locked="0"/>
    </xf>
    <xf numFmtId="221" fontId="365" fillId="77" borderId="0" applyFill="0" applyBorder="0">
      <protection locked="0"/>
    </xf>
    <xf numFmtId="263" fontId="408" fillId="0" borderId="0" applyBorder="0" applyProtection="0"/>
    <xf numFmtId="301" fontId="408" fillId="0" borderId="0" applyBorder="0">
      <alignment horizontal="right" vertical="top"/>
      <protection locked="0"/>
    </xf>
    <xf numFmtId="0" fontId="271" fillId="44" borderId="0" applyNumberFormat="0" applyBorder="0" applyAlignment="0" applyProtection="0"/>
    <xf numFmtId="0" fontId="409" fillId="0" borderId="0" applyNumberFormat="0" applyFill="0" applyBorder="0" applyProtection="0">
      <alignment horizontal="left"/>
    </xf>
    <xf numFmtId="0" fontId="228" fillId="0" borderId="0"/>
    <xf numFmtId="0" fontId="164" fillId="13" borderId="93"/>
    <xf numFmtId="0" fontId="410" fillId="82" borderId="47" applyFont="0" applyFill="0" applyBorder="0" applyAlignment="0" applyProtection="0">
      <alignment vertical="center"/>
      <protection locked="0"/>
    </xf>
    <xf numFmtId="37" fontId="17" fillId="0" borderId="0" applyFont="0" applyFill="0" applyBorder="0" applyAlignment="0" applyProtection="0"/>
    <xf numFmtId="302" fontId="17" fillId="0" borderId="0" applyFont="0" applyFill="0" applyBorder="0" applyAlignment="0" applyProtection="0"/>
    <xf numFmtId="37" fontId="17" fillId="0" borderId="0" applyFont="0" applyFill="0" applyBorder="0" applyAlignment="0" applyProtection="0"/>
    <xf numFmtId="209" fontId="17" fillId="0" borderId="0" applyFont="0" applyFill="0" applyBorder="0" applyAlignment="0" applyProtection="0"/>
    <xf numFmtId="3" fontId="17" fillId="0" borderId="0"/>
    <xf numFmtId="0" fontId="2" fillId="0" borderId="0" applyNumberFormat="0" applyFont="0" applyFill="0" applyBorder="0" applyProtection="0"/>
    <xf numFmtId="303" fontId="2" fillId="0" borderId="0" applyNumberFormat="0" applyFont="0" applyFill="0" applyBorder="0" applyProtection="0">
      <alignment vertical="top"/>
    </xf>
    <xf numFmtId="303" fontId="2" fillId="0" borderId="0" applyNumberFormat="0" applyFont="0" applyFill="0" applyBorder="0" applyProtection="0">
      <alignment vertical="center"/>
    </xf>
    <xf numFmtId="303" fontId="2" fillId="0" borderId="0" applyNumberFormat="0" applyFont="0" applyFill="0" applyBorder="0" applyProtection="0">
      <alignment wrapText="1"/>
    </xf>
    <xf numFmtId="0" fontId="56" fillId="77" borderId="0" applyNumberFormat="0" applyFill="0" applyBorder="0"/>
    <xf numFmtId="263" fontId="411" fillId="0" borderId="0" applyNumberFormat="0" applyFill="0" applyBorder="0" applyProtection="0">
      <alignment horizontal="left" vertical="top"/>
    </xf>
    <xf numFmtId="0" fontId="412" fillId="0" borderId="0" applyNumberFormat="0" applyFont="0" applyBorder="0" applyAlignment="0" applyProtection="0">
      <alignment horizontal="centerContinuous"/>
      <protection locked="0"/>
    </xf>
    <xf numFmtId="201" fontId="75" fillId="0" borderId="0" applyFont="0" applyFill="0" applyBorder="0" applyAlignment="0" applyProtection="0"/>
    <xf numFmtId="0" fontId="57" fillId="0" borderId="0"/>
    <xf numFmtId="304" fontId="311" fillId="0" borderId="0"/>
    <xf numFmtId="0" fontId="57" fillId="91" borderId="0"/>
    <xf numFmtId="304" fontId="280" fillId="91" borderId="0"/>
    <xf numFmtId="0" fontId="81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0" fontId="90" fillId="0" borderId="0" applyNumberFormat="0" applyFill="0" applyBorder="0" applyAlignment="0" applyProtection="0">
      <alignment vertical="top"/>
      <protection locked="0"/>
    </xf>
    <xf numFmtId="0" fontId="413" fillId="0" borderId="0" applyNumberFormat="0" applyFill="0" applyBorder="0" applyAlignment="0" applyProtection="0">
      <alignment vertical="top"/>
      <protection locked="0"/>
    </xf>
    <xf numFmtId="0" fontId="81" fillId="0" borderId="0" applyNumberFormat="0" applyFill="0" applyBorder="0" applyAlignment="0" applyProtection="0">
      <alignment vertical="top"/>
      <protection locked="0"/>
    </xf>
    <xf numFmtId="0" fontId="81" fillId="0" borderId="0" applyNumberFormat="0" applyFill="0" applyBorder="0" applyAlignment="0" applyProtection="0">
      <alignment vertical="top"/>
      <protection locked="0"/>
    </xf>
    <xf numFmtId="0" fontId="81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95" fillId="0" borderId="0" applyNumberFormat="0" applyFill="0" applyBorder="0" applyAlignment="0" applyProtection="0">
      <alignment vertical="top"/>
      <protection locked="0"/>
    </xf>
    <xf numFmtId="0" fontId="95" fillId="0" borderId="0" applyNumberFormat="0" applyFill="0" applyBorder="0" applyAlignment="0" applyProtection="0">
      <alignment vertical="top"/>
      <protection locked="0"/>
    </xf>
    <xf numFmtId="0" fontId="95" fillId="0" borderId="0" applyNumberFormat="0" applyFill="0" applyBorder="0" applyAlignment="0" applyProtection="0">
      <alignment vertical="top"/>
      <protection locked="0"/>
    </xf>
    <xf numFmtId="0" fontId="359" fillId="0" borderId="0" applyNumberFormat="0" applyFill="0" applyBorder="0" applyAlignment="0" applyProtection="0">
      <alignment vertical="top"/>
      <protection locked="0"/>
    </xf>
    <xf numFmtId="0" fontId="103" fillId="0" borderId="0" applyNumberFormat="0" applyFill="0" applyBorder="0" applyAlignment="0" applyProtection="0">
      <alignment vertical="top"/>
      <protection locked="0"/>
    </xf>
    <xf numFmtId="0" fontId="95" fillId="0" borderId="0" applyNumberFormat="0" applyFill="0" applyBorder="0" applyAlignment="0" applyProtection="0">
      <alignment vertical="top"/>
      <protection locked="0"/>
    </xf>
    <xf numFmtId="0" fontId="390" fillId="0" borderId="0" applyNumberFormat="0" applyFill="0" applyBorder="0" applyAlignment="0" applyProtection="0">
      <alignment vertical="top"/>
      <protection locked="0"/>
    </xf>
    <xf numFmtId="0" fontId="359" fillId="0" borderId="0" applyNumberFormat="0" applyFill="0" applyBorder="0" applyAlignment="0" applyProtection="0">
      <alignment vertical="top"/>
      <protection locked="0"/>
    </xf>
    <xf numFmtId="0" fontId="359" fillId="0" borderId="0" applyNumberFormat="0" applyFill="0" applyBorder="0" applyAlignment="0" applyProtection="0">
      <alignment vertical="top"/>
      <protection locked="0"/>
    </xf>
    <xf numFmtId="0" fontId="359" fillId="0" borderId="0" applyNumberFormat="0" applyFill="0" applyBorder="0" applyAlignment="0" applyProtection="0">
      <alignment vertical="top"/>
      <protection locked="0"/>
    </xf>
    <xf numFmtId="0" fontId="103" fillId="0" borderId="0" applyNumberFormat="0" applyFill="0" applyBorder="0" applyAlignment="0" applyProtection="0">
      <alignment vertical="top"/>
      <protection locked="0"/>
    </xf>
    <xf numFmtId="0" fontId="414" fillId="0" borderId="0" applyNumberFormat="0" applyFill="0" applyBorder="0" applyAlignment="0" applyProtection="0">
      <alignment vertical="top"/>
      <protection locked="0"/>
    </xf>
    <xf numFmtId="0" fontId="93" fillId="0" borderId="0" applyNumberFormat="0" applyFill="0" applyBorder="0" applyAlignment="0" applyProtection="0">
      <alignment vertical="top"/>
      <protection locked="0"/>
    </xf>
    <xf numFmtId="0" fontId="415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95" fillId="0" borderId="0" applyNumberFormat="0" applyFill="0" applyBorder="0" applyAlignment="0" applyProtection="0">
      <alignment vertical="top"/>
      <protection locked="0"/>
    </xf>
    <xf numFmtId="0" fontId="359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95" fillId="0" borderId="0" applyNumberFormat="0" applyFill="0" applyBorder="0" applyAlignment="0" applyProtection="0">
      <alignment vertical="top"/>
      <protection locked="0"/>
    </xf>
    <xf numFmtId="0" fontId="390" fillId="0" borderId="0" applyNumberFormat="0" applyFill="0" applyBorder="0" applyAlignment="0" applyProtection="0">
      <alignment vertical="top"/>
      <protection locked="0"/>
    </xf>
    <xf numFmtId="0" fontId="95" fillId="0" borderId="0" applyNumberFormat="0" applyFill="0" applyBorder="0" applyAlignment="0" applyProtection="0">
      <alignment vertical="top"/>
      <protection locked="0"/>
    </xf>
    <xf numFmtId="0" fontId="359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390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415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390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390" fillId="0" borderId="0" applyNumberFormat="0" applyFill="0" applyBorder="0" applyAlignment="0" applyProtection="0">
      <alignment vertical="top"/>
      <protection locked="0"/>
    </xf>
    <xf numFmtId="0" fontId="415" fillId="0" borderId="0" applyNumberFormat="0" applyFill="0" applyBorder="0" applyAlignment="0" applyProtection="0">
      <alignment vertical="top"/>
      <protection locked="0"/>
    </xf>
    <xf numFmtId="0" fontId="359" fillId="0" borderId="0" applyNumberFormat="0" applyFill="0" applyBorder="0" applyAlignment="0" applyProtection="0">
      <alignment vertical="top"/>
      <protection locked="0"/>
    </xf>
    <xf numFmtId="0" fontId="415" fillId="0" borderId="0" applyNumberFormat="0" applyFill="0" applyBorder="0" applyAlignment="0" applyProtection="0">
      <alignment vertical="top"/>
      <protection locked="0"/>
    </xf>
    <xf numFmtId="0" fontId="359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109" fillId="0" borderId="0" applyNumberFormat="0" applyFill="0" applyBorder="0" applyAlignment="0" applyProtection="0">
      <alignment vertical="top"/>
      <protection locked="0"/>
    </xf>
    <xf numFmtId="0" fontId="359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103" fillId="0" borderId="0" applyNumberFormat="0" applyFill="0" applyBorder="0" applyAlignment="0" applyProtection="0">
      <alignment vertical="top"/>
      <protection locked="0"/>
    </xf>
    <xf numFmtId="0" fontId="103" fillId="0" borderId="0" applyNumberFormat="0" applyFill="0" applyBorder="0" applyAlignment="0" applyProtection="0">
      <alignment vertical="top"/>
      <protection locked="0"/>
    </xf>
    <xf numFmtId="0" fontId="103" fillId="0" borderId="0" applyNumberFormat="0" applyFill="0" applyBorder="0" applyAlignment="0" applyProtection="0">
      <alignment vertical="top"/>
      <protection locked="0"/>
    </xf>
    <xf numFmtId="0" fontId="359" fillId="0" borderId="0" applyNumberFormat="0" applyFill="0" applyBorder="0" applyAlignment="0" applyProtection="0">
      <alignment vertical="top"/>
      <protection locked="0"/>
    </xf>
    <xf numFmtId="0" fontId="392" fillId="0" borderId="0" applyNumberFormat="0" applyFill="0" applyBorder="0" applyAlignment="0" applyProtection="0">
      <alignment vertical="top"/>
      <protection locked="0"/>
    </xf>
    <xf numFmtId="0" fontId="416" fillId="0" borderId="0" applyNumberFormat="0" applyFill="0" applyBorder="0" applyAlignment="0" applyProtection="0">
      <alignment vertical="top"/>
      <protection locked="0"/>
    </xf>
    <xf numFmtId="0" fontId="359" fillId="0" borderId="0" applyNumberFormat="0" applyFill="0" applyBorder="0" applyAlignment="0" applyProtection="0">
      <alignment vertical="top"/>
      <protection locked="0"/>
    </xf>
    <xf numFmtId="0" fontId="90" fillId="0" borderId="0" applyNumberFormat="0" applyFill="0" applyBorder="0" applyAlignment="0" applyProtection="0">
      <alignment vertical="top"/>
      <protection locked="0"/>
    </xf>
    <xf numFmtId="0" fontId="17" fillId="0" borderId="0" applyFill="0" applyBorder="0" applyAlignment="0"/>
    <xf numFmtId="0" fontId="17" fillId="0" borderId="0" applyFill="0" applyBorder="0" applyAlignment="0"/>
    <xf numFmtId="0" fontId="17" fillId="0" borderId="0" applyFill="0" applyBorder="0" applyAlignment="0"/>
    <xf numFmtId="0" fontId="17" fillId="0" borderId="0" applyFill="0" applyBorder="0" applyAlignment="0"/>
    <xf numFmtId="0" fontId="17" fillId="0" borderId="0" applyFill="0" applyBorder="0" applyAlignment="0"/>
    <xf numFmtId="0" fontId="17" fillId="0" borderId="0" applyFill="0" applyBorder="0" applyAlignment="0"/>
    <xf numFmtId="0" fontId="17" fillId="0" borderId="0" applyFill="0" applyBorder="0" applyAlignment="0"/>
    <xf numFmtId="0" fontId="17" fillId="0" borderId="0" applyFill="0" applyBorder="0" applyAlignment="0"/>
    <xf numFmtId="0" fontId="17" fillId="0" borderId="0" applyFill="0" applyBorder="0" applyAlignment="0"/>
    <xf numFmtId="0" fontId="17" fillId="0" borderId="0" applyFill="0" applyBorder="0" applyAlignment="0"/>
    <xf numFmtId="0" fontId="417" fillId="0" borderId="80" applyNumberFormat="0" applyFill="0" applyAlignment="0" applyProtection="0"/>
    <xf numFmtId="0" fontId="305" fillId="0" borderId="80" applyNumberFormat="0" applyFill="0" applyAlignment="0" applyProtection="0"/>
    <xf numFmtId="0" fontId="418" fillId="0" borderId="80" applyNumberFormat="0" applyFill="0" applyAlignment="0" applyProtection="0"/>
    <xf numFmtId="0" fontId="268" fillId="0" borderId="94" applyNumberFormat="0" applyFill="0" applyAlignment="0" applyProtection="0"/>
    <xf numFmtId="0" fontId="417" fillId="0" borderId="80" applyNumberFormat="0" applyFill="0" applyAlignment="0" applyProtection="0"/>
    <xf numFmtId="0" fontId="419" fillId="0" borderId="80" applyNumberFormat="0" applyFill="0" applyAlignment="0" applyProtection="0"/>
    <xf numFmtId="0" fontId="420" fillId="0" borderId="80" applyNumberFormat="0" applyFill="0" applyAlignment="0" applyProtection="0"/>
    <xf numFmtId="195" fontId="173" fillId="0" borderId="0">
      <alignment horizontal="justify"/>
    </xf>
    <xf numFmtId="0" fontId="311" fillId="54" borderId="0"/>
    <xf numFmtId="0" fontId="280" fillId="0" borderId="0">
      <alignment vertical="top"/>
    </xf>
    <xf numFmtId="0" fontId="421" fillId="0" borderId="0" applyNumberFormat="0" applyFill="0" applyBorder="0" applyAlignment="0" applyProtection="0"/>
    <xf numFmtId="0" fontId="57" fillId="0" borderId="0" applyNumberFormat="0" applyFill="0" applyBorder="0"/>
    <xf numFmtId="300" fontId="57" fillId="0" borderId="0" applyFill="0" applyBorder="0">
      <alignment vertical="top"/>
    </xf>
    <xf numFmtId="300" fontId="57" fillId="0" borderId="0" applyFill="0" applyBorder="0" applyAlignment="0"/>
    <xf numFmtId="263" fontId="421" fillId="0" borderId="0" applyNumberFormat="0" applyFill="0" applyBorder="0" applyAlignment="0"/>
    <xf numFmtId="263" fontId="422" fillId="0" borderId="0" applyNumberFormat="0" applyFill="0" applyBorder="0">
      <alignment vertical="center"/>
    </xf>
    <xf numFmtId="263" fontId="57" fillId="0" borderId="0" applyFill="0" applyBorder="0">
      <alignment horizontal="right"/>
    </xf>
    <xf numFmtId="0" fontId="57" fillId="0" borderId="0" applyFill="0" applyBorder="0" applyProtection="0">
      <alignment vertical="top"/>
    </xf>
    <xf numFmtId="263" fontId="57" fillId="0" borderId="0" applyFill="0" applyBorder="0">
      <alignment horizontal="right" vertical="top"/>
    </xf>
    <xf numFmtId="305" fontId="423" fillId="92" borderId="0" applyNumberFormat="0" applyBorder="0">
      <protection locked="0"/>
    </xf>
    <xf numFmtId="0" fontId="424" fillId="77" borderId="0" applyAlignment="0">
      <alignment horizontal="center" vertical="center" textRotation="90" wrapText="1"/>
    </xf>
    <xf numFmtId="0" fontId="342" fillId="77" borderId="0" applyAlignment="0">
      <alignment horizontal="center" vertical="center" textRotation="90" wrapText="1"/>
    </xf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1" fontId="425" fillId="0" borderId="0" applyFont="0" applyFill="0" applyBorder="0" applyAlignment="0" applyProtection="0"/>
    <xf numFmtId="43" fontId="425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/>
    <xf numFmtId="40" fontId="55" fillId="0" borderId="0" applyFont="0" applyFill="0" applyBorder="0" applyAlignment="0" applyProtection="0"/>
    <xf numFmtId="38" fontId="55" fillId="0" borderId="0" applyFont="0" applyFill="0" applyBorder="0" applyAlignment="0" applyProtection="0"/>
    <xf numFmtId="40" fontId="426" fillId="0" borderId="0" applyFont="0" applyFill="0" applyBorder="0" applyAlignment="0" applyProtection="0"/>
    <xf numFmtId="306" fontId="17" fillId="0" borderId="0" applyFont="0" applyFill="0" applyBorder="0" applyAlignment="0" applyProtection="0"/>
    <xf numFmtId="306" fontId="17" fillId="0" borderId="0" applyFont="0" applyFill="0" applyBorder="0" applyAlignment="0" applyProtection="0"/>
    <xf numFmtId="0" fontId="427" fillId="0" borderId="69"/>
    <xf numFmtId="0" fontId="370" fillId="0" borderId="0" applyFill="0" applyBorder="0" applyAlignment="0">
      <alignment vertical="center"/>
    </xf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194" fontId="17" fillId="0" borderId="0" applyFont="0" applyFill="0" applyBorder="0" applyAlignment="0" applyProtection="0"/>
    <xf numFmtId="195" fontId="17" fillId="0" borderId="0" applyFont="0" applyFill="0" applyBorder="0" applyAlignment="0" applyProtection="0"/>
    <xf numFmtId="220" fontId="17" fillId="0" borderId="0" applyFont="0" applyFill="0" applyBorder="0" applyAlignment="0" applyProtection="0"/>
    <xf numFmtId="219" fontId="17" fillId="0" borderId="0" applyFont="0" applyFill="0" applyBorder="0" applyAlignment="0" applyProtection="0"/>
    <xf numFmtId="220" fontId="17" fillId="0" borderId="0" applyFont="0" applyFill="0" applyBorder="0" applyAlignment="0" applyProtection="0"/>
    <xf numFmtId="219" fontId="17" fillId="0" borderId="0" applyFont="0" applyFill="0" applyBorder="0" applyAlignment="0" applyProtection="0"/>
    <xf numFmtId="220" fontId="17" fillId="0" borderId="0" applyFont="0" applyFill="0" applyBorder="0" applyAlignment="0" applyProtection="0"/>
    <xf numFmtId="219" fontId="17" fillId="0" borderId="0" applyFont="0" applyFill="0" applyBorder="0" applyAlignment="0" applyProtection="0"/>
    <xf numFmtId="307" fontId="55" fillId="0" borderId="0" applyFont="0" applyFill="0" applyBorder="0" applyAlignment="0" applyProtection="0"/>
    <xf numFmtId="308" fontId="55" fillId="0" borderId="0" applyFont="0" applyFill="0" applyBorder="0" applyAlignment="0" applyProtection="0"/>
    <xf numFmtId="309" fontId="428" fillId="0" borderId="0" applyFont="0" applyFill="0" applyBorder="0" applyAlignment="0" applyProtection="0"/>
    <xf numFmtId="220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257" fontId="429" fillId="0" borderId="0" applyFont="0" applyFill="0" applyBorder="0" applyAlignment="0" applyProtection="0"/>
    <xf numFmtId="219" fontId="17" fillId="0" borderId="0" applyFont="0" applyFill="0" applyBorder="0" applyAlignment="0" applyProtection="0"/>
    <xf numFmtId="310" fontId="167" fillId="0" borderId="0" applyFont="0" applyFill="0" applyBorder="0" applyAlignment="0" applyProtection="0"/>
    <xf numFmtId="194" fontId="425" fillId="0" borderId="0" applyFont="0" applyFill="0" applyBorder="0" applyAlignment="0" applyProtection="0"/>
    <xf numFmtId="195" fontId="425" fillId="0" borderId="0" applyFont="0" applyFill="0" applyBorder="0" applyAlignment="0" applyProtection="0"/>
    <xf numFmtId="270" fontId="352" fillId="0" borderId="0" applyFont="0" applyFill="0" applyBorder="0" applyAlignment="0" applyProtection="0"/>
    <xf numFmtId="0" fontId="17" fillId="0" borderId="0" applyFont="0" applyFill="0" applyBorder="0" applyAlignment="0" applyProtection="0"/>
    <xf numFmtId="311" fontId="17" fillId="0" borderId="0" applyFont="0" applyFill="0" applyBorder="0" applyAlignment="0" applyProtection="0"/>
    <xf numFmtId="194" fontId="17" fillId="0" borderId="0" applyFont="0" applyFill="0" applyBorder="0" applyAlignment="0" applyProtection="0"/>
    <xf numFmtId="195" fontId="17" fillId="0" borderId="0" applyFont="0" applyFill="0" applyBorder="0" applyAlignment="0" applyProtection="0"/>
    <xf numFmtId="238" fontId="426" fillId="0" borderId="0" applyFont="0" applyFill="0" applyBorder="0" applyAlignment="0" applyProtection="0"/>
    <xf numFmtId="206" fontId="426" fillId="0" borderId="0" applyFont="0" applyFill="0" applyBorder="0" applyAlignment="0" applyProtection="0"/>
    <xf numFmtId="0" fontId="164" fillId="13" borderId="0" applyAlignment="0">
      <alignment horizontal="center" vertical="center" wrapText="1"/>
    </xf>
    <xf numFmtId="0" fontId="59" fillId="0" borderId="0"/>
    <xf numFmtId="0" fontId="2" fillId="0" borderId="0"/>
    <xf numFmtId="0" fontId="430" fillId="0" borderId="0"/>
    <xf numFmtId="0" fontId="228" fillId="0" borderId="0"/>
    <xf numFmtId="0" fontId="431" fillId="0" borderId="0"/>
    <xf numFmtId="0" fontId="75" fillId="0" borderId="0"/>
    <xf numFmtId="166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303" fontId="2" fillId="0" borderId="0" applyFont="0" applyFill="0" applyBorder="0" applyAlignment="0" applyProtection="0"/>
    <xf numFmtId="0" fontId="173" fillId="0" borderId="0"/>
    <xf numFmtId="0" fontId="432" fillId="55" borderId="0" applyNumberFormat="0" applyBorder="0" applyAlignment="0" applyProtection="0"/>
    <xf numFmtId="0" fontId="433" fillId="55" borderId="0" applyNumberFormat="0" applyBorder="0" applyAlignment="0" applyProtection="0"/>
    <xf numFmtId="0" fontId="434" fillId="55" borderId="0" applyNumberFormat="0" applyBorder="0" applyAlignment="0" applyProtection="0"/>
    <xf numFmtId="0" fontId="435" fillId="55" borderId="0" applyNumberFormat="0" applyBorder="0" applyAlignment="0" applyProtection="0"/>
    <xf numFmtId="0" fontId="432" fillId="55" borderId="0" applyNumberFormat="0" applyBorder="0" applyAlignment="0" applyProtection="0"/>
    <xf numFmtId="0" fontId="436" fillId="55" borderId="0" applyNumberFormat="0" applyBorder="0" applyAlignment="0" applyProtection="0"/>
    <xf numFmtId="0" fontId="407" fillId="55" borderId="0" applyNumberFormat="0" applyBorder="0" applyAlignment="0" applyProtection="0"/>
    <xf numFmtId="0" fontId="433" fillId="55" borderId="0" applyNumberFormat="0" applyBorder="0" applyAlignment="0" applyProtection="0"/>
    <xf numFmtId="2" fontId="339" fillId="15" borderId="0"/>
    <xf numFmtId="0" fontId="437" fillId="0" borderId="0">
      <alignment horizontal="left"/>
    </xf>
    <xf numFmtId="3" fontId="438" fillId="0" borderId="0"/>
    <xf numFmtId="0" fontId="174" fillId="0" borderId="0"/>
    <xf numFmtId="49" fontId="439" fillId="0" borderId="0" applyFont="0" applyBorder="0">
      <alignment horizontal="left"/>
    </xf>
    <xf numFmtId="3" fontId="264" fillId="0" borderId="0" applyFill="0" applyBorder="0" applyAlignment="0" applyProtection="0"/>
    <xf numFmtId="0" fontId="167" fillId="0" borderId="0"/>
    <xf numFmtId="0" fontId="172" fillId="0" borderId="0"/>
    <xf numFmtId="0" fontId="17" fillId="0" borderId="0"/>
    <xf numFmtId="0" fontId="17" fillId="0" borderId="0"/>
    <xf numFmtId="312" fontId="440" fillId="0" borderId="0"/>
    <xf numFmtId="0" fontId="173" fillId="0" borderId="0"/>
    <xf numFmtId="0" fontId="173" fillId="0" borderId="0"/>
    <xf numFmtId="0" fontId="440" fillId="0" borderId="0"/>
    <xf numFmtId="312" fontId="441" fillId="0" borderId="0"/>
    <xf numFmtId="312" fontId="441" fillId="0" borderId="0"/>
    <xf numFmtId="0" fontId="173" fillId="0" borderId="0"/>
    <xf numFmtId="0" fontId="317" fillId="0" borderId="0"/>
    <xf numFmtId="0" fontId="426" fillId="0" borderId="0"/>
    <xf numFmtId="0" fontId="426" fillId="0" borderId="0"/>
    <xf numFmtId="0" fontId="426" fillId="0" borderId="0"/>
    <xf numFmtId="0" fontId="426" fillId="0" borderId="0"/>
    <xf numFmtId="0" fontId="426" fillId="0" borderId="0"/>
    <xf numFmtId="0" fontId="426" fillId="0" borderId="0"/>
    <xf numFmtId="0" fontId="426" fillId="0" borderId="0"/>
    <xf numFmtId="0" fontId="426" fillId="0" borderId="0"/>
    <xf numFmtId="0" fontId="28" fillId="0" borderId="0">
      <alignment vertical="center"/>
    </xf>
    <xf numFmtId="0" fontId="17" fillId="0" borderId="0" applyFill="0" applyBorder="0" applyAlignment="0"/>
    <xf numFmtId="255" fontId="17" fillId="0" borderId="0" applyFill="0" applyBorder="0" applyAlignment="0"/>
    <xf numFmtId="0" fontId="28" fillId="0" borderId="0">
      <alignment vertical="center"/>
    </xf>
    <xf numFmtId="0" fontId="28" fillId="0" borderId="0">
      <alignment vertical="center"/>
    </xf>
    <xf numFmtId="0" fontId="431" fillId="0" borderId="0"/>
    <xf numFmtId="0" fontId="28" fillId="0" borderId="0">
      <alignment vertical="center"/>
    </xf>
    <xf numFmtId="0" fontId="2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442" fillId="0" borderId="0" applyNumberFormat="0" applyFill="0" applyBorder="0" applyAlignment="0" applyProtection="0"/>
    <xf numFmtId="0" fontId="2" fillId="0" borderId="0"/>
    <xf numFmtId="0" fontId="443" fillId="0" borderId="0"/>
    <xf numFmtId="0" fontId="444" fillId="0" borderId="0"/>
    <xf numFmtId="0" fontId="17" fillId="0" borderId="0"/>
    <xf numFmtId="0" fontId="236" fillId="0" borderId="0"/>
    <xf numFmtId="0" fontId="17" fillId="0" borderId="0"/>
    <xf numFmtId="0" fontId="236" fillId="0" borderId="0"/>
    <xf numFmtId="0" fontId="17" fillId="0" borderId="0"/>
    <xf numFmtId="0" fontId="17" fillId="0" borderId="0"/>
    <xf numFmtId="0" fontId="1" fillId="0" borderId="0"/>
    <xf numFmtId="0" fontId="2" fillId="0" borderId="0"/>
    <xf numFmtId="0" fontId="2" fillId="0" borderId="0">
      <alignment vertical="center"/>
    </xf>
    <xf numFmtId="0" fontId="17" fillId="0" borderId="0"/>
    <xf numFmtId="0" fontId="17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7" fillId="0" borderId="0"/>
    <xf numFmtId="0" fontId="17" fillId="0" borderId="0"/>
    <xf numFmtId="0" fontId="203" fillId="0" borderId="0"/>
    <xf numFmtId="0" fontId="203" fillId="0" borderId="0"/>
    <xf numFmtId="1" fontId="264" fillId="0" borderId="95">
      <protection hidden="1"/>
    </xf>
    <xf numFmtId="1" fontId="264" fillId="0" borderId="95">
      <protection hidden="1"/>
    </xf>
    <xf numFmtId="1" fontId="264" fillId="0" borderId="95">
      <protection hidden="1"/>
    </xf>
    <xf numFmtId="1" fontId="264" fillId="0" borderId="95">
      <protection hidden="1"/>
    </xf>
    <xf numFmtId="1" fontId="264" fillId="0" borderId="95">
      <protection hidden="1"/>
    </xf>
    <xf numFmtId="1" fontId="264" fillId="0" borderId="95">
      <protection hidden="1"/>
    </xf>
    <xf numFmtId="1" fontId="264" fillId="0" borderId="95">
      <protection hidden="1"/>
    </xf>
    <xf numFmtId="1" fontId="264" fillId="0" borderId="95">
      <protection hidden="1"/>
    </xf>
    <xf numFmtId="1" fontId="264" fillId="0" borderId="95">
      <protection hidden="1"/>
    </xf>
    <xf numFmtId="1" fontId="264" fillId="0" borderId="95">
      <protection hidden="1"/>
    </xf>
    <xf numFmtId="1" fontId="264" fillId="0" borderId="95">
      <protection hidden="1"/>
    </xf>
    <xf numFmtId="1" fontId="264" fillId="0" borderId="95">
      <protection hidden="1"/>
    </xf>
    <xf numFmtId="1" fontId="264" fillId="0" borderId="95">
      <protection hidden="1"/>
    </xf>
    <xf numFmtId="1" fontId="264" fillId="0" borderId="95">
      <protection hidden="1"/>
    </xf>
    <xf numFmtId="1" fontId="264" fillId="0" borderId="95">
      <protection hidden="1"/>
    </xf>
    <xf numFmtId="1" fontId="264" fillId="0" borderId="95">
      <protection hidden="1"/>
    </xf>
    <xf numFmtId="1" fontId="264" fillId="0" borderId="95">
      <protection hidden="1"/>
    </xf>
    <xf numFmtId="1" fontId="264" fillId="0" borderId="95">
      <protection hidden="1"/>
    </xf>
    <xf numFmtId="1" fontId="264" fillId="0" borderId="95">
      <protection hidden="1"/>
    </xf>
    <xf numFmtId="1" fontId="264" fillId="0" borderId="95">
      <protection hidden="1"/>
    </xf>
    <xf numFmtId="1" fontId="264" fillId="0" borderId="95">
      <protection hidden="1"/>
    </xf>
    <xf numFmtId="1" fontId="264" fillId="0" borderId="95">
      <protection hidden="1"/>
    </xf>
    <xf numFmtId="1" fontId="264" fillId="0" borderId="95">
      <protection hidden="1"/>
    </xf>
    <xf numFmtId="1" fontId="264" fillId="0" borderId="95">
      <protection hidden="1"/>
    </xf>
    <xf numFmtId="1" fontId="264" fillId="0" borderId="95">
      <protection hidden="1"/>
    </xf>
    <xf numFmtId="1" fontId="264" fillId="0" borderId="95">
      <protection hidden="1"/>
    </xf>
    <xf numFmtId="1" fontId="264" fillId="0" borderId="95">
      <protection hidden="1"/>
    </xf>
    <xf numFmtId="1" fontId="264" fillId="0" borderId="95">
      <protection hidden="1"/>
    </xf>
    <xf numFmtId="1" fontId="264" fillId="0" borderId="95">
      <protection hidden="1"/>
    </xf>
    <xf numFmtId="1" fontId="264" fillId="0" borderId="95">
      <protection hidden="1"/>
    </xf>
    <xf numFmtId="1" fontId="264" fillId="0" borderId="95">
      <protection hidden="1"/>
    </xf>
    <xf numFmtId="1" fontId="264" fillId="0" borderId="95">
      <protection hidden="1"/>
    </xf>
    <xf numFmtId="1" fontId="264" fillId="0" borderId="95">
      <protection hidden="1"/>
    </xf>
    <xf numFmtId="1" fontId="264" fillId="0" borderId="95">
      <protection hidden="1"/>
    </xf>
    <xf numFmtId="1" fontId="264" fillId="0" borderId="95">
      <protection hidden="1"/>
    </xf>
    <xf numFmtId="1" fontId="264" fillId="0" borderId="95">
      <protection hidden="1"/>
    </xf>
    <xf numFmtId="1" fontId="264" fillId="0" borderId="95">
      <protection hidden="1"/>
    </xf>
    <xf numFmtId="1" fontId="264" fillId="0" borderId="95">
      <protection hidden="1"/>
    </xf>
    <xf numFmtId="1" fontId="264" fillId="0" borderId="95">
      <protection hidden="1"/>
    </xf>
    <xf numFmtId="1" fontId="264" fillId="0" borderId="95">
      <protection hidden="1"/>
    </xf>
    <xf numFmtId="1" fontId="264" fillId="0" borderId="95">
      <protection hidden="1"/>
    </xf>
    <xf numFmtId="1" fontId="264" fillId="0" borderId="95">
      <protection hidden="1"/>
    </xf>
    <xf numFmtId="1" fontId="264" fillId="0" borderId="95">
      <protection hidden="1"/>
    </xf>
    <xf numFmtId="1" fontId="264" fillId="0" borderId="95">
      <protection hidden="1"/>
    </xf>
    <xf numFmtId="0" fontId="2" fillId="51" borderId="81" applyNumberFormat="0" applyFont="0" applyAlignment="0" applyProtection="0"/>
    <xf numFmtId="0" fontId="65" fillId="51" borderId="81" applyNumberFormat="0" applyFont="0" applyAlignment="0" applyProtection="0"/>
    <xf numFmtId="0" fontId="65" fillId="51" borderId="81" applyNumberFormat="0" applyFont="0" applyAlignment="0" applyProtection="0"/>
    <xf numFmtId="0" fontId="65" fillId="51" borderId="81" applyNumberFormat="0" applyFont="0" applyAlignment="0" applyProtection="0"/>
    <xf numFmtId="0" fontId="65" fillId="51" borderId="81" applyNumberFormat="0" applyFont="0" applyAlignment="0" applyProtection="0"/>
    <xf numFmtId="0" fontId="65" fillId="51" borderId="81" applyNumberFormat="0" applyFont="0" applyAlignment="0" applyProtection="0"/>
    <xf numFmtId="0" fontId="65" fillId="51" borderId="81" applyNumberFormat="0" applyFont="0" applyAlignment="0" applyProtection="0"/>
    <xf numFmtId="0" fontId="65" fillId="51" borderId="81" applyNumberFormat="0" applyFont="0" applyAlignment="0" applyProtection="0"/>
    <xf numFmtId="0" fontId="65" fillId="51" borderId="81" applyNumberFormat="0" applyFont="0" applyAlignment="0" applyProtection="0"/>
    <xf numFmtId="0" fontId="65" fillId="51" borderId="81" applyNumberFormat="0" applyFont="0" applyAlignment="0" applyProtection="0"/>
    <xf numFmtId="0" fontId="65" fillId="51" borderId="81" applyNumberFormat="0" applyFont="0" applyAlignment="0" applyProtection="0"/>
    <xf numFmtId="0" fontId="17" fillId="51" borderId="81" applyNumberFormat="0" applyFont="0" applyAlignment="0" applyProtection="0"/>
    <xf numFmtId="0" fontId="65" fillId="51" borderId="81" applyNumberFormat="0" applyFont="0" applyAlignment="0" applyProtection="0"/>
    <xf numFmtId="0" fontId="65" fillId="51" borderId="81" applyNumberFormat="0" applyFont="0" applyAlignment="0" applyProtection="0"/>
    <xf numFmtId="0" fontId="65" fillId="51" borderId="81" applyNumberFormat="0" applyFont="0" applyAlignment="0" applyProtection="0"/>
    <xf numFmtId="0" fontId="65" fillId="51" borderId="81" applyNumberFormat="0" applyFont="0" applyAlignment="0" applyProtection="0"/>
    <xf numFmtId="0" fontId="65" fillId="51" borderId="81" applyNumberFormat="0" applyFont="0" applyAlignment="0" applyProtection="0"/>
    <xf numFmtId="0" fontId="65" fillId="51" borderId="81" applyNumberFormat="0" applyFont="0" applyAlignment="0" applyProtection="0"/>
    <xf numFmtId="0" fontId="65" fillId="51" borderId="81" applyNumberFormat="0" applyFont="0" applyAlignment="0" applyProtection="0"/>
    <xf numFmtId="0" fontId="65" fillId="51" borderId="81" applyNumberFormat="0" applyFont="0" applyAlignment="0" applyProtection="0"/>
    <xf numFmtId="0" fontId="65" fillId="51" borderId="81" applyNumberFormat="0" applyFont="0" applyAlignment="0" applyProtection="0"/>
    <xf numFmtId="0" fontId="17" fillId="51" borderId="81" applyNumberFormat="0" applyFont="0" applyAlignment="0" applyProtection="0"/>
    <xf numFmtId="0" fontId="65" fillId="51" borderId="81" applyNumberFormat="0" applyFont="0" applyAlignment="0" applyProtection="0"/>
    <xf numFmtId="0" fontId="65" fillId="51" borderId="81" applyNumberFormat="0" applyFont="0" applyAlignment="0" applyProtection="0"/>
    <xf numFmtId="0" fontId="65" fillId="51" borderId="81" applyNumberFormat="0" applyFont="0" applyAlignment="0" applyProtection="0"/>
    <xf numFmtId="0" fontId="65" fillId="51" borderId="81" applyNumberFormat="0" applyFont="0" applyAlignment="0" applyProtection="0"/>
    <xf numFmtId="0" fontId="65" fillId="51" borderId="81" applyNumberFormat="0" applyFont="0" applyAlignment="0" applyProtection="0"/>
    <xf numFmtId="0" fontId="65" fillId="51" borderId="81" applyNumberFormat="0" applyFont="0" applyAlignment="0" applyProtection="0"/>
    <xf numFmtId="0" fontId="65" fillId="51" borderId="81" applyNumberFormat="0" applyFont="0" applyAlignment="0" applyProtection="0"/>
    <xf numFmtId="0" fontId="65" fillId="51" borderId="81" applyNumberFormat="0" applyFont="0" applyAlignment="0" applyProtection="0"/>
    <xf numFmtId="0" fontId="65" fillId="51" borderId="81" applyNumberFormat="0" applyFont="0" applyAlignment="0" applyProtection="0"/>
    <xf numFmtId="0" fontId="65" fillId="51" borderId="81" applyNumberFormat="0" applyFont="0" applyAlignment="0" applyProtection="0"/>
    <xf numFmtId="0" fontId="65" fillId="51" borderId="81" applyNumberFormat="0" applyFont="0" applyAlignment="0" applyProtection="0"/>
    <xf numFmtId="0" fontId="65" fillId="51" borderId="81" applyNumberFormat="0" applyFont="0" applyAlignment="0" applyProtection="0"/>
    <xf numFmtId="0" fontId="65" fillId="51" borderId="81" applyNumberFormat="0" applyFont="0" applyAlignment="0" applyProtection="0"/>
    <xf numFmtId="0" fontId="65" fillId="51" borderId="81" applyNumberFormat="0" applyFont="0" applyAlignment="0" applyProtection="0"/>
    <xf numFmtId="0" fontId="65" fillId="51" borderId="81" applyNumberFormat="0" applyFont="0" applyAlignment="0" applyProtection="0"/>
    <xf numFmtId="0" fontId="65" fillId="51" borderId="81" applyNumberFormat="0" applyFont="0" applyAlignment="0" applyProtection="0"/>
    <xf numFmtId="0" fontId="65" fillId="51" borderId="81" applyNumberFormat="0" applyFont="0" applyAlignment="0" applyProtection="0"/>
    <xf numFmtId="0" fontId="65" fillId="51" borderId="81" applyNumberFormat="0" applyFont="0" applyAlignment="0" applyProtection="0"/>
    <xf numFmtId="0" fontId="65" fillId="51" borderId="81" applyNumberFormat="0" applyFont="0" applyAlignment="0" applyProtection="0"/>
    <xf numFmtId="0" fontId="65" fillId="51" borderId="81" applyNumberFormat="0" applyFont="0" applyAlignment="0" applyProtection="0"/>
    <xf numFmtId="0" fontId="65" fillId="51" borderId="81" applyNumberFormat="0" applyFont="0" applyAlignment="0" applyProtection="0"/>
    <xf numFmtId="0" fontId="65" fillId="51" borderId="81" applyNumberFormat="0" applyFont="0" applyAlignment="0" applyProtection="0"/>
    <xf numFmtId="0" fontId="2" fillId="51" borderId="81" applyNumberFormat="0" applyFont="0" applyAlignment="0" applyProtection="0"/>
    <xf numFmtId="0" fontId="65" fillId="51" borderId="81" applyNumberFormat="0" applyFont="0" applyAlignment="0" applyProtection="0"/>
    <xf numFmtId="0" fontId="65" fillId="51" borderId="81" applyNumberFormat="0" applyFont="0" applyAlignment="0" applyProtection="0"/>
    <xf numFmtId="0" fontId="65" fillId="51" borderId="81" applyNumberFormat="0" applyFont="0" applyAlignment="0" applyProtection="0"/>
    <xf numFmtId="0" fontId="65" fillId="51" borderId="81" applyNumberFormat="0" applyFont="0" applyAlignment="0" applyProtection="0"/>
    <xf numFmtId="0" fontId="65" fillId="51" borderId="81" applyNumberFormat="0" applyFont="0" applyAlignment="0" applyProtection="0"/>
    <xf numFmtId="0" fontId="65" fillId="51" borderId="81" applyNumberFormat="0" applyFont="0" applyAlignment="0" applyProtection="0"/>
    <xf numFmtId="0" fontId="65" fillId="51" borderId="81" applyNumberFormat="0" applyFont="0" applyAlignment="0" applyProtection="0"/>
    <xf numFmtId="0" fontId="65" fillId="51" borderId="81" applyNumberFormat="0" applyFont="0" applyAlignment="0" applyProtection="0"/>
    <xf numFmtId="0" fontId="65" fillId="51" borderId="81" applyNumberFormat="0" applyFont="0" applyAlignment="0" applyProtection="0"/>
    <xf numFmtId="0" fontId="65" fillId="51" borderId="81" applyNumberFormat="0" applyFont="0" applyAlignment="0" applyProtection="0"/>
    <xf numFmtId="0" fontId="65" fillId="51" borderId="81" applyNumberFormat="0" applyFont="0" applyAlignment="0" applyProtection="0"/>
    <xf numFmtId="0" fontId="65" fillId="51" borderId="81" applyNumberFormat="0" applyFont="0" applyAlignment="0" applyProtection="0"/>
    <xf numFmtId="0" fontId="65" fillId="51" borderId="81" applyNumberFormat="0" applyFont="0" applyAlignment="0" applyProtection="0"/>
    <xf numFmtId="0" fontId="65" fillId="51" borderId="81" applyNumberFormat="0" applyFont="0" applyAlignment="0" applyProtection="0"/>
    <xf numFmtId="0" fontId="65" fillId="51" borderId="81" applyNumberFormat="0" applyFont="0" applyAlignment="0" applyProtection="0"/>
    <xf numFmtId="0" fontId="65" fillId="51" borderId="81" applyNumberFormat="0" applyFont="0" applyAlignment="0" applyProtection="0"/>
    <xf numFmtId="0" fontId="65" fillId="51" borderId="81" applyNumberFormat="0" applyFont="0" applyAlignment="0" applyProtection="0"/>
    <xf numFmtId="0" fontId="65" fillId="51" borderId="81" applyNumberFormat="0" applyFont="0" applyAlignment="0" applyProtection="0"/>
    <xf numFmtId="0" fontId="65" fillId="51" borderId="81" applyNumberFormat="0" applyFont="0" applyAlignment="0" applyProtection="0"/>
    <xf numFmtId="0" fontId="65" fillId="51" borderId="81" applyNumberFormat="0" applyFont="0" applyAlignment="0" applyProtection="0"/>
    <xf numFmtId="0" fontId="65" fillId="51" borderId="81" applyNumberFormat="0" applyFont="0" applyAlignment="0" applyProtection="0"/>
    <xf numFmtId="0" fontId="320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4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4" fillId="51" borderId="81" applyNumberFormat="0" applyFont="0" applyAlignment="0" applyProtection="0"/>
    <xf numFmtId="0" fontId="2" fillId="51" borderId="81" applyNumberFormat="0" applyFont="0" applyAlignment="0" applyProtection="0"/>
    <xf numFmtId="0" fontId="320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57" fillId="0" borderId="0">
      <alignment horizontal="left" vertical="center" wrapText="1"/>
    </xf>
    <xf numFmtId="0" fontId="2" fillId="51" borderId="81" applyNumberFormat="0" applyFont="0" applyAlignment="0" applyProtection="0"/>
    <xf numFmtId="0" fontId="24" fillId="51" borderId="81" applyNumberFormat="0" applyFont="0" applyAlignment="0" applyProtection="0"/>
    <xf numFmtId="0" fontId="24" fillId="51" borderId="81" applyNumberFormat="0" applyFont="0" applyAlignment="0" applyProtection="0"/>
    <xf numFmtId="0" fontId="24" fillId="51" borderId="81" applyNumberFormat="0" applyFont="0" applyAlignment="0" applyProtection="0"/>
    <xf numFmtId="0" fontId="24" fillId="51" borderId="81" applyNumberFormat="0" applyFont="0" applyAlignment="0" applyProtection="0"/>
    <xf numFmtId="0" fontId="24" fillId="51" borderId="81" applyNumberFormat="0" applyFont="0" applyAlignment="0" applyProtection="0"/>
    <xf numFmtId="0" fontId="24" fillId="51" borderId="81" applyNumberFormat="0" applyFont="0" applyAlignment="0" applyProtection="0"/>
    <xf numFmtId="0" fontId="24" fillId="51" borderId="81" applyNumberFormat="0" applyFont="0" applyAlignment="0" applyProtection="0"/>
    <xf numFmtId="0" fontId="24" fillId="51" borderId="81" applyNumberFormat="0" applyFont="0" applyAlignment="0" applyProtection="0"/>
    <xf numFmtId="0" fontId="24" fillId="51" borderId="81" applyNumberFormat="0" applyFont="0" applyAlignment="0" applyProtection="0"/>
    <xf numFmtId="0" fontId="24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4" fillId="51" borderId="81" applyNumberFormat="0" applyFont="0" applyAlignment="0" applyProtection="0"/>
    <xf numFmtId="0" fontId="24" fillId="51" borderId="81" applyNumberFormat="0" applyFont="0" applyAlignment="0" applyProtection="0"/>
    <xf numFmtId="0" fontId="24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4" fillId="51" borderId="81" applyNumberFormat="0" applyFont="0" applyAlignment="0" applyProtection="0"/>
    <xf numFmtId="0" fontId="24" fillId="51" borderId="81" applyNumberFormat="0" applyFont="0" applyAlignment="0" applyProtection="0"/>
    <xf numFmtId="0" fontId="24" fillId="51" borderId="81" applyNumberFormat="0" applyFont="0" applyAlignment="0" applyProtection="0"/>
    <xf numFmtId="0" fontId="24" fillId="51" borderId="81" applyNumberFormat="0" applyFont="0" applyAlignment="0" applyProtection="0"/>
    <xf numFmtId="0" fontId="24" fillId="51" borderId="81" applyNumberFormat="0" applyFont="0" applyAlignment="0" applyProtection="0"/>
    <xf numFmtId="0" fontId="24" fillId="51" borderId="81" applyNumberFormat="0" applyFont="0" applyAlignment="0" applyProtection="0"/>
    <xf numFmtId="0" fontId="445" fillId="51" borderId="81" applyNumberFormat="0" applyFont="0" applyAlignment="0" applyProtection="0"/>
    <xf numFmtId="0" fontId="445" fillId="51" borderId="81" applyNumberFormat="0" applyFont="0" applyAlignment="0" applyProtection="0"/>
    <xf numFmtId="0" fontId="445" fillId="51" borderId="81" applyNumberFormat="0" applyFont="0" applyAlignment="0" applyProtection="0"/>
    <xf numFmtId="0" fontId="445" fillId="51" borderId="81" applyNumberFormat="0" applyFont="0" applyAlignment="0" applyProtection="0"/>
    <xf numFmtId="0" fontId="445" fillId="51" borderId="81" applyNumberFormat="0" applyFont="0" applyAlignment="0" applyProtection="0"/>
    <xf numFmtId="0" fontId="445" fillId="51" borderId="81" applyNumberFormat="0" applyFont="0" applyAlignment="0" applyProtection="0"/>
    <xf numFmtId="0" fontId="445" fillId="51" borderId="81" applyNumberFormat="0" applyFont="0" applyAlignment="0" applyProtection="0"/>
    <xf numFmtId="0" fontId="445" fillId="51" borderId="81" applyNumberFormat="0" applyFont="0" applyAlignment="0" applyProtection="0"/>
    <xf numFmtId="0" fontId="445" fillId="51" borderId="81" applyNumberFormat="0" applyFont="0" applyAlignment="0" applyProtection="0"/>
    <xf numFmtId="0" fontId="445" fillId="51" borderId="81" applyNumberFormat="0" applyFont="0" applyAlignment="0" applyProtection="0"/>
    <xf numFmtId="0" fontId="445" fillId="51" borderId="81" applyNumberFormat="0" applyFont="0" applyAlignment="0" applyProtection="0"/>
    <xf numFmtId="0" fontId="445" fillId="51" borderId="81" applyNumberFormat="0" applyFont="0" applyAlignment="0" applyProtection="0"/>
    <xf numFmtId="0" fontId="445" fillId="51" borderId="81" applyNumberFormat="0" applyFont="0" applyAlignment="0" applyProtection="0"/>
    <xf numFmtId="0" fontId="445" fillId="51" borderId="81" applyNumberFormat="0" applyFont="0" applyAlignment="0" applyProtection="0"/>
    <xf numFmtId="0" fontId="445" fillId="51" borderId="81" applyNumberFormat="0" applyFont="0" applyAlignment="0" applyProtection="0"/>
    <xf numFmtId="0" fontId="445" fillId="51" borderId="81" applyNumberFormat="0" applyFont="0" applyAlignment="0" applyProtection="0"/>
    <xf numFmtId="0" fontId="445" fillId="51" borderId="81" applyNumberFormat="0" applyFont="0" applyAlignment="0" applyProtection="0"/>
    <xf numFmtId="0" fontId="445" fillId="51" borderId="81" applyNumberFormat="0" applyFont="0" applyAlignment="0" applyProtection="0"/>
    <xf numFmtId="0" fontId="445" fillId="51" borderId="81" applyNumberFormat="0" applyFont="0" applyAlignment="0" applyProtection="0"/>
    <xf numFmtId="0" fontId="445" fillId="51" borderId="81" applyNumberFormat="0" applyFont="0" applyAlignment="0" applyProtection="0"/>
    <xf numFmtId="0" fontId="445" fillId="51" borderId="81" applyNumberFormat="0" applyFont="0" applyAlignment="0" applyProtection="0"/>
    <xf numFmtId="0" fontId="445" fillId="51" borderId="81" applyNumberFormat="0" applyFont="0" applyAlignment="0" applyProtection="0"/>
    <xf numFmtId="0" fontId="445" fillId="51" borderId="81" applyNumberFormat="0" applyFont="0" applyAlignment="0" applyProtection="0"/>
    <xf numFmtId="0" fontId="445" fillId="51" borderId="81" applyNumberFormat="0" applyFont="0" applyAlignment="0" applyProtection="0"/>
    <xf numFmtId="0" fontId="445" fillId="51" borderId="81" applyNumberFormat="0" applyFont="0" applyAlignment="0" applyProtection="0"/>
    <xf numFmtId="0" fontId="445" fillId="51" borderId="81" applyNumberFormat="0" applyFont="0" applyAlignment="0" applyProtection="0"/>
    <xf numFmtId="0" fontId="445" fillId="51" borderId="81" applyNumberFormat="0" applyFont="0" applyAlignment="0" applyProtection="0"/>
    <xf numFmtId="0" fontId="445" fillId="51" borderId="81" applyNumberFormat="0" applyFont="0" applyAlignment="0" applyProtection="0"/>
    <xf numFmtId="0" fontId="445" fillId="51" borderId="81" applyNumberFormat="0" applyFont="0" applyAlignment="0" applyProtection="0"/>
    <xf numFmtId="0" fontId="445" fillId="51" borderId="81" applyNumberFormat="0" applyFont="0" applyAlignment="0" applyProtection="0"/>
    <xf numFmtId="0" fontId="445" fillId="51" borderId="81" applyNumberFormat="0" applyFont="0" applyAlignment="0" applyProtection="0"/>
    <xf numFmtId="0" fontId="445" fillId="51" borderId="81" applyNumberFormat="0" applyFont="0" applyAlignment="0" applyProtection="0"/>
    <xf numFmtId="0" fontId="445" fillId="51" borderId="81" applyNumberFormat="0" applyFont="0" applyAlignment="0" applyProtection="0"/>
    <xf numFmtId="0" fontId="445" fillId="51" borderId="81" applyNumberFormat="0" applyFont="0" applyAlignment="0" applyProtection="0"/>
    <xf numFmtId="0" fontId="445" fillId="51" borderId="81" applyNumberFormat="0" applyFont="0" applyAlignment="0" applyProtection="0"/>
    <xf numFmtId="0" fontId="445" fillId="51" borderId="81" applyNumberFormat="0" applyFont="0" applyAlignment="0" applyProtection="0"/>
    <xf numFmtId="0" fontId="445" fillId="51" borderId="81" applyNumberFormat="0" applyFont="0" applyAlignment="0" applyProtection="0"/>
    <xf numFmtId="0" fontId="445" fillId="51" borderId="81" applyNumberFormat="0" applyFont="0" applyAlignment="0" applyProtection="0"/>
    <xf numFmtId="0" fontId="445" fillId="51" borderId="81" applyNumberFormat="0" applyFont="0" applyAlignment="0" applyProtection="0"/>
    <xf numFmtId="0" fontId="445" fillId="51" borderId="81" applyNumberFormat="0" applyFont="0" applyAlignment="0" applyProtection="0"/>
    <xf numFmtId="0" fontId="445" fillId="51" borderId="81" applyNumberFormat="0" applyFont="0" applyAlignment="0" applyProtection="0"/>
    <xf numFmtId="0" fontId="445" fillId="51" borderId="81" applyNumberFormat="0" applyFont="0" applyAlignment="0" applyProtection="0"/>
    <xf numFmtId="0" fontId="445" fillId="51" borderId="81" applyNumberFormat="0" applyFont="0" applyAlignment="0" applyProtection="0"/>
    <xf numFmtId="0" fontId="445" fillId="51" borderId="81" applyNumberFormat="0" applyFont="0" applyAlignment="0" applyProtection="0"/>
    <xf numFmtId="0" fontId="445" fillId="51" borderId="81" applyNumberFormat="0" applyFont="0" applyAlignment="0" applyProtection="0"/>
    <xf numFmtId="0" fontId="445" fillId="51" borderId="81" applyNumberFormat="0" applyFont="0" applyAlignment="0" applyProtection="0"/>
    <xf numFmtId="0" fontId="445" fillId="51" borderId="81" applyNumberFormat="0" applyFont="0" applyAlignment="0" applyProtection="0"/>
    <xf numFmtId="0" fontId="445" fillId="51" borderId="81" applyNumberFormat="0" applyFont="0" applyAlignment="0" applyProtection="0"/>
    <xf numFmtId="0" fontId="445" fillId="51" borderId="81" applyNumberFormat="0" applyFont="0" applyAlignment="0" applyProtection="0"/>
    <xf numFmtId="0" fontId="445" fillId="51" borderId="81" applyNumberFormat="0" applyFont="0" applyAlignment="0" applyProtection="0"/>
    <xf numFmtId="0" fontId="445" fillId="51" borderId="81" applyNumberFormat="0" applyFont="0" applyAlignment="0" applyProtection="0"/>
    <xf numFmtId="0" fontId="445" fillId="51" borderId="81" applyNumberFormat="0" applyFont="0" applyAlignment="0" applyProtection="0"/>
    <xf numFmtId="0" fontId="445" fillId="51" borderId="81" applyNumberFormat="0" applyFont="0" applyAlignment="0" applyProtection="0"/>
    <xf numFmtId="0" fontId="445" fillId="51" borderId="81" applyNumberFormat="0" applyFont="0" applyAlignment="0" applyProtection="0"/>
    <xf numFmtId="0" fontId="445" fillId="51" borderId="81" applyNumberFormat="0" applyFont="0" applyAlignment="0" applyProtection="0"/>
    <xf numFmtId="0" fontId="445" fillId="51" borderId="81" applyNumberFormat="0" applyFont="0" applyAlignment="0" applyProtection="0"/>
    <xf numFmtId="0" fontId="445" fillId="51" borderId="81" applyNumberFormat="0" applyFont="0" applyAlignment="0" applyProtection="0"/>
    <xf numFmtId="0" fontId="445" fillId="51" borderId="81" applyNumberFormat="0" applyFont="0" applyAlignment="0" applyProtection="0"/>
    <xf numFmtId="0" fontId="445" fillId="51" borderId="81" applyNumberFormat="0" applyFont="0" applyAlignment="0" applyProtection="0"/>
    <xf numFmtId="0" fontId="445" fillId="51" borderId="81" applyNumberFormat="0" applyFont="0" applyAlignment="0" applyProtection="0"/>
    <xf numFmtId="0" fontId="445" fillId="51" borderId="81" applyNumberFormat="0" applyFont="0" applyAlignment="0" applyProtection="0"/>
    <xf numFmtId="0" fontId="445" fillId="51" borderId="81" applyNumberFormat="0" applyFont="0" applyAlignment="0" applyProtection="0"/>
    <xf numFmtId="0" fontId="445" fillId="51" borderId="81" applyNumberFormat="0" applyFont="0" applyAlignment="0" applyProtection="0"/>
    <xf numFmtId="0" fontId="445" fillId="51" borderId="81" applyNumberFormat="0" applyFont="0" applyAlignment="0" applyProtection="0"/>
    <xf numFmtId="0" fontId="236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36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36" fillId="51" borderId="81" applyNumberFormat="0" applyFont="0" applyAlignment="0" applyProtection="0"/>
    <xf numFmtId="0" fontId="24" fillId="0" borderId="0" applyFont="0" applyFill="0" applyBorder="0" applyAlignment="0"/>
    <xf numFmtId="278" fontId="57" fillId="0" borderId="0">
      <alignment horizontal="right"/>
    </xf>
    <xf numFmtId="265" fontId="17" fillId="41" borderId="0">
      <alignment horizontal="right"/>
    </xf>
    <xf numFmtId="265" fontId="17" fillId="41" borderId="0">
      <alignment horizontal="right"/>
    </xf>
    <xf numFmtId="313" fontId="57" fillId="0" borderId="0">
      <alignment horizontal="right" vertical="center"/>
    </xf>
    <xf numFmtId="314" fontId="57" fillId="0" borderId="0">
      <alignment horizontal="right"/>
    </xf>
    <xf numFmtId="314" fontId="57" fillId="41" borderId="12" applyBorder="0">
      <alignment horizontal="right"/>
    </xf>
    <xf numFmtId="314" fontId="57" fillId="41" borderId="12" applyBorder="0">
      <alignment horizontal="right"/>
    </xf>
    <xf numFmtId="315" fontId="17" fillId="0" borderId="0">
      <alignment horizontal="right"/>
    </xf>
    <xf numFmtId="315" fontId="17" fillId="0" borderId="0">
      <alignment horizontal="right"/>
    </xf>
    <xf numFmtId="316" fontId="57" fillId="15" borderId="0">
      <alignment horizontal="right"/>
    </xf>
    <xf numFmtId="289" fontId="383" fillId="0" borderId="0">
      <alignment horizontal="right"/>
    </xf>
    <xf numFmtId="293" fontId="446" fillId="0" borderId="77">
      <alignment horizontal="right"/>
    </xf>
    <xf numFmtId="293" fontId="446" fillId="0" borderId="77">
      <alignment horizontal="right"/>
    </xf>
    <xf numFmtId="293" fontId="447" fillId="93" borderId="70">
      <alignment horizontal="right"/>
    </xf>
    <xf numFmtId="294" fontId="57" fillId="0" borderId="0">
      <alignment horizontal="right"/>
    </xf>
    <xf numFmtId="294" fontId="383" fillId="93" borderId="70">
      <alignment horizontal="right"/>
    </xf>
    <xf numFmtId="295" fontId="57" fillId="0" borderId="0">
      <alignment horizontal="right"/>
    </xf>
    <xf numFmtId="295" fontId="448" fillId="41" borderId="68">
      <alignment horizontal="right"/>
    </xf>
    <xf numFmtId="296" fontId="57" fillId="0" borderId="0">
      <alignment horizontal="right"/>
    </xf>
    <xf numFmtId="297" fontId="57" fillId="0" borderId="0">
      <alignment horizontal="right"/>
    </xf>
    <xf numFmtId="294" fontId="383" fillId="0" borderId="0">
      <alignment horizontal="right"/>
    </xf>
    <xf numFmtId="294" fontId="383" fillId="93" borderId="0">
      <alignment horizontal="right"/>
    </xf>
    <xf numFmtId="0" fontId="401" fillId="0" borderId="0">
      <alignment horizontal="center" vertical="center"/>
    </xf>
    <xf numFmtId="278" fontId="449" fillId="41" borderId="77">
      <alignment horizontal="left" vertical="center"/>
    </xf>
    <xf numFmtId="278" fontId="449" fillId="41" borderId="77">
      <alignment horizontal="left" vertical="center"/>
    </xf>
    <xf numFmtId="0" fontId="447" fillId="41" borderId="0">
      <alignment horizontal="center" vertical="center"/>
    </xf>
    <xf numFmtId="0" fontId="57" fillId="0" borderId="2">
      <alignment horizontal="left" vertical="top" wrapText="1"/>
      <protection locked="0"/>
    </xf>
    <xf numFmtId="0" fontId="57" fillId="0" borderId="2">
      <alignment horizontal="left" vertical="top" wrapText="1"/>
      <protection locked="0"/>
    </xf>
    <xf numFmtId="0" fontId="57" fillId="0" borderId="2">
      <alignment horizontal="left" vertical="top" wrapText="1"/>
      <protection locked="0"/>
    </xf>
    <xf numFmtId="0" fontId="57" fillId="82" borderId="2">
      <alignment horizontal="left" vertical="top" wrapText="1"/>
      <protection locked="0"/>
    </xf>
    <xf numFmtId="0" fontId="57" fillId="82" borderId="2">
      <alignment horizontal="left" vertical="top" wrapText="1"/>
      <protection locked="0"/>
    </xf>
    <xf numFmtId="0" fontId="57" fillId="82" borderId="2">
      <alignment horizontal="left" vertical="top" wrapText="1"/>
      <protection locked="0"/>
    </xf>
    <xf numFmtId="15" fontId="57" fillId="0" borderId="0">
      <alignment horizontal="right" vertical="center"/>
    </xf>
    <xf numFmtId="15" fontId="57" fillId="0" borderId="0">
      <alignment horizontal="right" vertical="center"/>
    </xf>
    <xf numFmtId="15" fontId="57" fillId="0" borderId="0">
      <alignment horizontal="right" vertical="center"/>
    </xf>
    <xf numFmtId="17" fontId="57" fillId="0" borderId="0">
      <alignment horizontal="right" vertical="center"/>
    </xf>
    <xf numFmtId="317" fontId="17" fillId="0" borderId="77">
      <alignment horizontal="center" vertical="center"/>
    </xf>
    <xf numFmtId="317" fontId="17" fillId="0" borderId="77">
      <alignment horizontal="center" vertical="center"/>
    </xf>
    <xf numFmtId="317" fontId="17" fillId="0" borderId="77">
      <alignment horizontal="center" vertical="center"/>
    </xf>
    <xf numFmtId="317" fontId="17" fillId="0" borderId="77">
      <alignment horizontal="center" vertical="center"/>
    </xf>
    <xf numFmtId="317" fontId="57" fillId="41" borderId="2">
      <alignment horizontal="center" vertical="center"/>
    </xf>
    <xf numFmtId="317" fontId="57" fillId="41" borderId="2">
      <alignment horizontal="center" vertical="center"/>
    </xf>
    <xf numFmtId="317" fontId="57" fillId="41" borderId="2">
      <alignment horizontal="center" vertical="center"/>
    </xf>
    <xf numFmtId="16" fontId="57" fillId="0" borderId="0">
      <alignment horizontal="right" vertical="center"/>
    </xf>
    <xf numFmtId="16" fontId="57" fillId="41" borderId="2">
      <alignment horizontal="center" vertical="center"/>
    </xf>
    <xf numFmtId="16" fontId="57" fillId="41" borderId="2">
      <alignment horizontal="center" vertical="center"/>
    </xf>
    <xf numFmtId="16" fontId="57" fillId="41" borderId="2">
      <alignment horizontal="center" vertical="center"/>
    </xf>
    <xf numFmtId="1" fontId="57" fillId="41" borderId="2">
      <alignment horizontal="center" vertical="center"/>
    </xf>
    <xf numFmtId="1" fontId="57" fillId="41" borderId="2">
      <alignment horizontal="center" vertical="center"/>
    </xf>
    <xf numFmtId="1" fontId="57" fillId="41" borderId="2">
      <alignment horizontal="center" vertical="center"/>
    </xf>
    <xf numFmtId="318" fontId="57" fillId="0" borderId="0">
      <alignment horizontal="right"/>
    </xf>
    <xf numFmtId="0" fontId="57" fillId="0" borderId="0">
      <alignment horizontal="left" vertical="center" indent="1"/>
    </xf>
    <xf numFmtId="0" fontId="57" fillId="41" borderId="2">
      <alignment horizontal="center" vertical="center"/>
    </xf>
    <xf numFmtId="0" fontId="57" fillId="41" borderId="2">
      <alignment horizontal="center" vertical="center"/>
    </xf>
    <xf numFmtId="0" fontId="57" fillId="41" borderId="2">
      <alignment horizontal="center" vertical="center"/>
    </xf>
    <xf numFmtId="0" fontId="203" fillId="0" borderId="0" applyNumberFormat="0" applyFill="0" applyBorder="0" applyAlignment="0" applyProtection="0">
      <alignment vertical="top"/>
      <protection locked="0"/>
    </xf>
    <xf numFmtId="0" fontId="203" fillId="0" borderId="0" applyNumberFormat="0" applyFill="0" applyBorder="0" applyAlignment="0" applyProtection="0">
      <alignment vertical="top"/>
      <protection locked="0"/>
    </xf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0" fontId="450" fillId="0" borderId="0" applyFont="0" applyFill="0" applyBorder="0" applyAlignment="0" applyProtection="0"/>
    <xf numFmtId="38" fontId="450" fillId="0" borderId="0" applyFont="0" applyFill="0" applyBorder="0" applyAlignment="0" applyProtection="0"/>
    <xf numFmtId="0" fontId="193" fillId="0" borderId="0"/>
    <xf numFmtId="0" fontId="193" fillId="0" borderId="0"/>
    <xf numFmtId="319" fontId="164" fillId="0" borderId="0"/>
    <xf numFmtId="0" fontId="451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3" fillId="54" borderId="96" applyNumberFormat="0" applyAlignment="0" applyProtection="0"/>
    <xf numFmtId="0" fontId="451" fillId="54" borderId="96" applyNumberFormat="0" applyAlignment="0" applyProtection="0"/>
    <xf numFmtId="0" fontId="454" fillId="54" borderId="96" applyNumberFormat="0" applyAlignment="0" applyProtection="0"/>
    <xf numFmtId="0" fontId="455" fillId="54" borderId="96" applyNumberFormat="0" applyAlignment="0" applyProtection="0"/>
    <xf numFmtId="0" fontId="452" fillId="80" borderId="96" applyNumberFormat="0" applyAlignment="0" applyProtection="0"/>
    <xf numFmtId="0" fontId="452" fillId="80" borderId="96" applyNumberFormat="0" applyAlignment="0" applyProtection="0"/>
    <xf numFmtId="0" fontId="452" fillId="80" borderId="96" applyNumberFormat="0" applyAlignment="0" applyProtection="0"/>
    <xf numFmtId="0" fontId="452" fillId="80" borderId="96" applyNumberFormat="0" applyAlignment="0" applyProtection="0"/>
    <xf numFmtId="0" fontId="452" fillId="80" borderId="96" applyNumberFormat="0" applyAlignment="0" applyProtection="0"/>
    <xf numFmtId="0" fontId="452" fillId="80" borderId="96" applyNumberFormat="0" applyAlignment="0" applyProtection="0"/>
    <xf numFmtId="0" fontId="452" fillId="80" borderId="96" applyNumberFormat="0" applyAlignment="0" applyProtection="0"/>
    <xf numFmtId="0" fontId="452" fillId="80" borderId="96" applyNumberFormat="0" applyAlignment="0" applyProtection="0"/>
    <xf numFmtId="0" fontId="452" fillId="80" borderId="96" applyNumberFormat="0" applyAlignment="0" applyProtection="0"/>
    <xf numFmtId="0" fontId="452" fillId="80" borderId="96" applyNumberFormat="0" applyAlignment="0" applyProtection="0"/>
    <xf numFmtId="0" fontId="455" fillId="54" borderId="96" applyNumberFormat="0" applyAlignment="0" applyProtection="0"/>
    <xf numFmtId="0" fontId="455" fillId="54" borderId="96" applyNumberFormat="0" applyAlignment="0" applyProtection="0"/>
    <xf numFmtId="0" fontId="455" fillId="54" borderId="96" applyNumberFormat="0" applyAlignment="0" applyProtection="0"/>
    <xf numFmtId="0" fontId="455" fillId="54" borderId="96" applyNumberFormat="0" applyAlignment="0" applyProtection="0"/>
    <xf numFmtId="0" fontId="455" fillId="54" borderId="96" applyNumberFormat="0" applyAlignment="0" applyProtection="0"/>
    <xf numFmtId="0" fontId="455" fillId="54" borderId="96" applyNumberFormat="0" applyAlignment="0" applyProtection="0"/>
    <xf numFmtId="0" fontId="455" fillId="54" borderId="96" applyNumberFormat="0" applyAlignment="0" applyProtection="0"/>
    <xf numFmtId="0" fontId="455" fillId="54" borderId="96" applyNumberFormat="0" applyAlignment="0" applyProtection="0"/>
    <xf numFmtId="0" fontId="455" fillId="54" borderId="96" applyNumberFormat="0" applyAlignment="0" applyProtection="0"/>
    <xf numFmtId="0" fontId="455" fillId="54" borderId="96" applyNumberFormat="0" applyAlignment="0" applyProtection="0"/>
    <xf numFmtId="0" fontId="455" fillId="54" borderId="96" applyNumberFormat="0" applyAlignment="0" applyProtection="0"/>
    <xf numFmtId="0" fontId="455" fillId="54" borderId="96" applyNumberFormat="0" applyAlignment="0" applyProtection="0"/>
    <xf numFmtId="0" fontId="455" fillId="54" borderId="96" applyNumberFormat="0" applyAlignment="0" applyProtection="0"/>
    <xf numFmtId="0" fontId="455" fillId="54" borderId="96" applyNumberFormat="0" applyAlignment="0" applyProtection="0"/>
    <xf numFmtId="0" fontId="455" fillId="54" borderId="96" applyNumberFormat="0" applyAlignment="0" applyProtection="0"/>
    <xf numFmtId="0" fontId="455" fillId="54" borderId="96" applyNumberFormat="0" applyAlignment="0" applyProtection="0"/>
    <xf numFmtId="0" fontId="455" fillId="54" borderId="96" applyNumberFormat="0" applyAlignment="0" applyProtection="0"/>
    <xf numFmtId="0" fontId="455" fillId="54" borderId="96" applyNumberFormat="0" applyAlignment="0" applyProtection="0"/>
    <xf numFmtId="0" fontId="455" fillId="54" borderId="96" applyNumberFormat="0" applyAlignment="0" applyProtection="0"/>
    <xf numFmtId="0" fontId="455" fillId="54" borderId="96" applyNumberFormat="0" applyAlignment="0" applyProtection="0"/>
    <xf numFmtId="0" fontId="455" fillId="54" borderId="96" applyNumberFormat="0" applyAlignment="0" applyProtection="0"/>
    <xf numFmtId="0" fontId="455" fillId="54" borderId="96" applyNumberFormat="0" applyAlignment="0" applyProtection="0"/>
    <xf numFmtId="0" fontId="455" fillId="54" borderId="96" applyNumberFormat="0" applyAlignment="0" applyProtection="0"/>
    <xf numFmtId="0" fontId="455" fillId="54" borderId="96" applyNumberFormat="0" applyAlignment="0" applyProtection="0"/>
    <xf numFmtId="0" fontId="455" fillId="54" borderId="96" applyNumberFormat="0" applyAlignment="0" applyProtection="0"/>
    <xf numFmtId="0" fontId="455" fillId="54" borderId="96" applyNumberFormat="0" applyAlignment="0" applyProtection="0"/>
    <xf numFmtId="0" fontId="455" fillId="54" borderId="96" applyNumberFormat="0" applyAlignment="0" applyProtection="0"/>
    <xf numFmtId="0" fontId="455" fillId="54" borderId="96" applyNumberFormat="0" applyAlignment="0" applyProtection="0"/>
    <xf numFmtId="0" fontId="455" fillId="54" borderId="96" applyNumberFormat="0" applyAlignment="0" applyProtection="0"/>
    <xf numFmtId="0" fontId="455" fillId="54" borderId="96" applyNumberFormat="0" applyAlignment="0" applyProtection="0"/>
    <xf numFmtId="0" fontId="455" fillId="54" borderId="96" applyNumberFormat="0" applyAlignment="0" applyProtection="0"/>
    <xf numFmtId="0" fontId="452" fillId="80" borderId="96" applyNumberFormat="0" applyAlignment="0" applyProtection="0"/>
    <xf numFmtId="0" fontId="452" fillId="80" borderId="96" applyNumberFormat="0" applyAlignment="0" applyProtection="0"/>
    <xf numFmtId="0" fontId="452" fillId="80" borderId="96" applyNumberFormat="0" applyAlignment="0" applyProtection="0"/>
    <xf numFmtId="0" fontId="452" fillId="80" borderId="96" applyNumberFormat="0" applyAlignment="0" applyProtection="0"/>
    <xf numFmtId="0" fontId="452" fillId="80" borderId="96" applyNumberFormat="0" applyAlignment="0" applyProtection="0"/>
    <xf numFmtId="0" fontId="455" fillId="54" borderId="96" applyNumberFormat="0" applyAlignment="0" applyProtection="0"/>
    <xf numFmtId="0" fontId="455" fillId="54" borderId="96" applyNumberFormat="0" applyAlignment="0" applyProtection="0"/>
    <xf numFmtId="0" fontId="455" fillId="54" borderId="96" applyNumberFormat="0" applyAlignment="0" applyProtection="0"/>
    <xf numFmtId="0" fontId="455" fillId="54" borderId="96" applyNumberFormat="0" applyAlignment="0" applyProtection="0"/>
    <xf numFmtId="0" fontId="455" fillId="54" borderId="96" applyNumberFormat="0" applyAlignment="0" applyProtection="0"/>
    <xf numFmtId="0" fontId="455" fillId="54" borderId="96" applyNumberFormat="0" applyAlignment="0" applyProtection="0"/>
    <xf numFmtId="0" fontId="455" fillId="54" borderId="96" applyNumberFormat="0" applyAlignment="0" applyProtection="0"/>
    <xf numFmtId="0" fontId="455" fillId="54" borderId="96" applyNumberFormat="0" applyAlignment="0" applyProtection="0"/>
    <xf numFmtId="0" fontId="455" fillId="54" borderId="96" applyNumberFormat="0" applyAlignment="0" applyProtection="0"/>
    <xf numFmtId="0" fontId="455" fillId="54" borderId="96" applyNumberFormat="0" applyAlignment="0" applyProtection="0"/>
    <xf numFmtId="0" fontId="455" fillId="54" borderId="96" applyNumberFormat="0" applyAlignment="0" applyProtection="0"/>
    <xf numFmtId="0" fontId="455" fillId="54" borderId="96" applyNumberFormat="0" applyAlignment="0" applyProtection="0"/>
    <xf numFmtId="0" fontId="455" fillId="54" borderId="96" applyNumberFormat="0" applyAlignment="0" applyProtection="0"/>
    <xf numFmtId="0" fontId="455" fillId="54" borderId="96" applyNumberFormat="0" applyAlignment="0" applyProtection="0"/>
    <xf numFmtId="0" fontId="452" fillId="80" borderId="96" applyNumberFormat="0" applyAlignment="0" applyProtection="0"/>
    <xf numFmtId="0" fontId="452" fillId="80" borderId="96" applyNumberFormat="0" applyAlignment="0" applyProtection="0"/>
    <xf numFmtId="0" fontId="452" fillId="80" borderId="96" applyNumberFormat="0" applyAlignment="0" applyProtection="0"/>
    <xf numFmtId="0" fontId="452" fillId="80" borderId="96" applyNumberFormat="0" applyAlignment="0" applyProtection="0"/>
    <xf numFmtId="0" fontId="452" fillId="80" borderId="96" applyNumberFormat="0" applyAlignment="0" applyProtection="0"/>
    <xf numFmtId="0" fontId="452" fillId="80" borderId="96" applyNumberFormat="0" applyAlignment="0" applyProtection="0"/>
    <xf numFmtId="0" fontId="452" fillId="80" borderId="96" applyNumberFormat="0" applyAlignment="0" applyProtection="0"/>
    <xf numFmtId="0" fontId="455" fillId="54" borderId="96" applyNumberFormat="0" applyAlignment="0" applyProtection="0"/>
    <xf numFmtId="0" fontId="455" fillId="54" borderId="96" applyNumberFormat="0" applyAlignment="0" applyProtection="0"/>
    <xf numFmtId="0" fontId="455" fillId="54" borderId="96" applyNumberFormat="0" applyAlignment="0" applyProtection="0"/>
    <xf numFmtId="0" fontId="455" fillId="54" borderId="96" applyNumberFormat="0" applyAlignment="0" applyProtection="0"/>
    <xf numFmtId="0" fontId="455" fillId="54" borderId="96" applyNumberFormat="0" applyAlignment="0" applyProtection="0"/>
    <xf numFmtId="0" fontId="455" fillId="54" borderId="96" applyNumberFormat="0" applyAlignment="0" applyProtection="0"/>
    <xf numFmtId="0" fontId="455" fillId="54" borderId="96" applyNumberFormat="0" applyAlignment="0" applyProtection="0"/>
    <xf numFmtId="0" fontId="455" fillId="54" borderId="96" applyNumberFormat="0" applyAlignment="0" applyProtection="0"/>
    <xf numFmtId="0" fontId="455" fillId="54" borderId="96" applyNumberFormat="0" applyAlignment="0" applyProtection="0"/>
    <xf numFmtId="0" fontId="455" fillId="54" borderId="96" applyNumberFormat="0" applyAlignment="0" applyProtection="0"/>
    <xf numFmtId="0" fontId="452" fillId="80" borderId="96" applyNumberFormat="0" applyAlignment="0" applyProtection="0"/>
    <xf numFmtId="0" fontId="452" fillId="80" borderId="96" applyNumberFormat="0" applyAlignment="0" applyProtection="0"/>
    <xf numFmtId="0" fontId="452" fillId="80" borderId="96" applyNumberFormat="0" applyAlignment="0" applyProtection="0"/>
    <xf numFmtId="0" fontId="452" fillId="80" borderId="96" applyNumberFormat="0" applyAlignment="0" applyProtection="0"/>
    <xf numFmtId="0" fontId="452" fillId="80" borderId="96" applyNumberFormat="0" applyAlignment="0" applyProtection="0"/>
    <xf numFmtId="0" fontId="452" fillId="80" borderId="96" applyNumberFormat="0" applyAlignment="0" applyProtection="0"/>
    <xf numFmtId="0" fontId="452" fillId="80" borderId="96" applyNumberFormat="0" applyAlignment="0" applyProtection="0"/>
    <xf numFmtId="0" fontId="452" fillId="80" borderId="96" applyNumberFormat="0" applyAlignment="0" applyProtection="0"/>
    <xf numFmtId="0" fontId="452" fillId="80" borderId="96" applyNumberFormat="0" applyAlignment="0" applyProtection="0"/>
    <xf numFmtId="0" fontId="452" fillId="80" borderId="96" applyNumberFormat="0" applyAlignment="0" applyProtection="0"/>
    <xf numFmtId="0" fontId="452" fillId="80" borderId="96" applyNumberFormat="0" applyAlignment="0" applyProtection="0"/>
    <xf numFmtId="0" fontId="452" fillId="80" borderId="96" applyNumberFormat="0" applyAlignment="0" applyProtection="0"/>
    <xf numFmtId="0" fontId="452" fillId="80" borderId="96" applyNumberFormat="0" applyAlignment="0" applyProtection="0"/>
    <xf numFmtId="0" fontId="452" fillId="80" borderId="96" applyNumberFormat="0" applyAlignment="0" applyProtection="0"/>
    <xf numFmtId="0" fontId="452" fillId="80" borderId="96" applyNumberFormat="0" applyAlignment="0" applyProtection="0"/>
    <xf numFmtId="0" fontId="452" fillId="80" borderId="96" applyNumberFormat="0" applyAlignment="0" applyProtection="0"/>
    <xf numFmtId="0" fontId="452" fillId="80" borderId="96" applyNumberFormat="0" applyAlignment="0" applyProtection="0"/>
    <xf numFmtId="0" fontId="452" fillId="80" borderId="96" applyNumberFormat="0" applyAlignment="0" applyProtection="0"/>
    <xf numFmtId="0" fontId="452" fillId="80" borderId="96" applyNumberFormat="0" applyAlignment="0" applyProtection="0"/>
    <xf numFmtId="0" fontId="452" fillId="80" borderId="96" applyNumberFormat="0" applyAlignment="0" applyProtection="0"/>
    <xf numFmtId="0" fontId="452" fillId="80" borderId="96" applyNumberFormat="0" applyAlignment="0" applyProtection="0"/>
    <xf numFmtId="0" fontId="452" fillId="80" borderId="96" applyNumberFormat="0" applyAlignment="0" applyProtection="0"/>
    <xf numFmtId="0" fontId="452" fillId="80" borderId="96" applyNumberFormat="0" applyAlignment="0" applyProtection="0"/>
    <xf numFmtId="0" fontId="452" fillId="80" borderId="96" applyNumberFormat="0" applyAlignment="0" applyProtection="0"/>
    <xf numFmtId="0" fontId="452" fillId="80" borderId="96" applyNumberFormat="0" applyAlignment="0" applyProtection="0"/>
    <xf numFmtId="0" fontId="452" fillId="80" borderId="96" applyNumberFormat="0" applyAlignment="0" applyProtection="0"/>
    <xf numFmtId="0" fontId="452" fillId="80" borderId="96" applyNumberFormat="0" applyAlignment="0" applyProtection="0"/>
    <xf numFmtId="0" fontId="452" fillId="80" borderId="96" applyNumberFormat="0" applyAlignment="0" applyProtection="0"/>
    <xf numFmtId="0" fontId="452" fillId="80" borderId="96" applyNumberFormat="0" applyAlignment="0" applyProtection="0"/>
    <xf numFmtId="0" fontId="452" fillId="80" borderId="96" applyNumberFormat="0" applyAlignment="0" applyProtection="0"/>
    <xf numFmtId="0" fontId="452" fillId="80" borderId="96" applyNumberFormat="0" applyAlignment="0" applyProtection="0"/>
    <xf numFmtId="0" fontId="455" fillId="54" borderId="96" applyNumberFormat="0" applyAlignment="0" applyProtection="0"/>
    <xf numFmtId="0" fontId="455" fillId="54" borderId="96" applyNumberFormat="0" applyAlignment="0" applyProtection="0"/>
    <xf numFmtId="0" fontId="455" fillId="54" borderId="96" applyNumberFormat="0" applyAlignment="0" applyProtection="0"/>
    <xf numFmtId="0" fontId="455" fillId="54" borderId="96" applyNumberFormat="0" applyAlignment="0" applyProtection="0"/>
    <xf numFmtId="0" fontId="455" fillId="54" borderId="96" applyNumberFormat="0" applyAlignment="0" applyProtection="0"/>
    <xf numFmtId="0" fontId="452" fillId="80" borderId="96" applyNumberFormat="0" applyAlignment="0" applyProtection="0"/>
    <xf numFmtId="0" fontId="452" fillId="80" borderId="96" applyNumberFormat="0" applyAlignment="0" applyProtection="0"/>
    <xf numFmtId="0" fontId="452" fillId="80" borderId="96" applyNumberFormat="0" applyAlignment="0" applyProtection="0"/>
    <xf numFmtId="0" fontId="452" fillId="80" borderId="96" applyNumberFormat="0" applyAlignment="0" applyProtection="0"/>
    <xf numFmtId="0" fontId="452" fillId="80" borderId="96" applyNumberFormat="0" applyAlignment="0" applyProtection="0"/>
    <xf numFmtId="0" fontId="452" fillId="80" borderId="96" applyNumberFormat="0" applyAlignment="0" applyProtection="0"/>
    <xf numFmtId="0" fontId="452" fillId="80" borderId="96" applyNumberFormat="0" applyAlignment="0" applyProtection="0"/>
    <xf numFmtId="0" fontId="452" fillId="80" borderId="96" applyNumberFormat="0" applyAlignment="0" applyProtection="0"/>
    <xf numFmtId="0" fontId="452" fillId="80" borderId="96" applyNumberFormat="0" applyAlignment="0" applyProtection="0"/>
    <xf numFmtId="0" fontId="452" fillId="80" borderId="96" applyNumberFormat="0" applyAlignment="0" applyProtection="0"/>
    <xf numFmtId="0" fontId="452" fillId="80" borderId="96" applyNumberFormat="0" applyAlignment="0" applyProtection="0"/>
    <xf numFmtId="0" fontId="452" fillId="80" borderId="96" applyNumberFormat="0" applyAlignment="0" applyProtection="0"/>
    <xf numFmtId="0" fontId="452" fillId="80" borderId="96" applyNumberFormat="0" applyAlignment="0" applyProtection="0"/>
    <xf numFmtId="0" fontId="452" fillId="80" borderId="96" applyNumberFormat="0" applyAlignment="0" applyProtection="0"/>
    <xf numFmtId="0" fontId="455" fillId="54" borderId="96" applyNumberFormat="0" applyAlignment="0" applyProtection="0"/>
    <xf numFmtId="0" fontId="455" fillId="54" borderId="96" applyNumberFormat="0" applyAlignment="0" applyProtection="0"/>
    <xf numFmtId="0" fontId="455" fillId="54" borderId="96" applyNumberFormat="0" applyAlignment="0" applyProtection="0"/>
    <xf numFmtId="0" fontId="455" fillId="54" borderId="96" applyNumberFormat="0" applyAlignment="0" applyProtection="0"/>
    <xf numFmtId="0" fontId="455" fillId="54" borderId="96" applyNumberFormat="0" applyAlignment="0" applyProtection="0"/>
    <xf numFmtId="0" fontId="455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5" fillId="54" borderId="96" applyNumberFormat="0" applyAlignment="0" applyProtection="0"/>
    <xf numFmtId="0" fontId="455" fillId="54" borderId="96" applyNumberFormat="0" applyAlignment="0" applyProtection="0"/>
    <xf numFmtId="0" fontId="455" fillId="54" borderId="96" applyNumberFormat="0" applyAlignment="0" applyProtection="0"/>
    <xf numFmtId="0" fontId="455" fillId="54" borderId="96" applyNumberFormat="0" applyAlignment="0" applyProtection="0"/>
    <xf numFmtId="0" fontId="455" fillId="54" borderId="96" applyNumberFormat="0" applyAlignment="0" applyProtection="0"/>
    <xf numFmtId="0" fontId="455" fillId="54" borderId="96" applyNumberFormat="0" applyAlignment="0" applyProtection="0"/>
    <xf numFmtId="0" fontId="455" fillId="54" borderId="96" applyNumberFormat="0" applyAlignment="0" applyProtection="0"/>
    <xf numFmtId="0" fontId="455" fillId="54" borderId="96" applyNumberFormat="0" applyAlignment="0" applyProtection="0"/>
    <xf numFmtId="0" fontId="455" fillId="54" borderId="96" applyNumberFormat="0" applyAlignment="0" applyProtection="0"/>
    <xf numFmtId="0" fontId="455" fillId="54" borderId="96" applyNumberFormat="0" applyAlignment="0" applyProtection="0"/>
    <xf numFmtId="0" fontId="455" fillId="54" borderId="96" applyNumberFormat="0" applyAlignment="0" applyProtection="0"/>
    <xf numFmtId="0" fontId="455" fillId="54" borderId="96" applyNumberFormat="0" applyAlignment="0" applyProtection="0"/>
    <xf numFmtId="0" fontId="455" fillId="54" borderId="96" applyNumberFormat="0" applyAlignment="0" applyProtection="0"/>
    <xf numFmtId="0" fontId="455" fillId="54" borderId="96" applyNumberFormat="0" applyAlignment="0" applyProtection="0"/>
    <xf numFmtId="0" fontId="455" fillId="54" borderId="96" applyNumberFormat="0" applyAlignment="0" applyProtection="0"/>
    <xf numFmtId="0" fontId="455" fillId="54" borderId="96" applyNumberFormat="0" applyAlignment="0" applyProtection="0"/>
    <xf numFmtId="0" fontId="455" fillId="54" borderId="96" applyNumberFormat="0" applyAlignment="0" applyProtection="0"/>
    <xf numFmtId="0" fontId="455" fillId="54" borderId="96" applyNumberFormat="0" applyAlignment="0" applyProtection="0"/>
    <xf numFmtId="0" fontId="455" fillId="54" borderId="96" applyNumberFormat="0" applyAlignment="0" applyProtection="0"/>
    <xf numFmtId="0" fontId="455" fillId="54" borderId="96" applyNumberFormat="0" applyAlignment="0" applyProtection="0"/>
    <xf numFmtId="0" fontId="455" fillId="54" borderId="96" applyNumberFormat="0" applyAlignment="0" applyProtection="0"/>
    <xf numFmtId="0" fontId="455" fillId="54" borderId="96" applyNumberFormat="0" applyAlignment="0" applyProtection="0"/>
    <xf numFmtId="0" fontId="455" fillId="54" borderId="96" applyNumberFormat="0" applyAlignment="0" applyProtection="0"/>
    <xf numFmtId="0" fontId="455" fillId="54" borderId="96" applyNumberFormat="0" applyAlignment="0" applyProtection="0"/>
    <xf numFmtId="0" fontId="455" fillId="54" borderId="96" applyNumberFormat="0" applyAlignment="0" applyProtection="0"/>
    <xf numFmtId="0" fontId="455" fillId="54" borderId="96" applyNumberFormat="0" applyAlignment="0" applyProtection="0"/>
    <xf numFmtId="0" fontId="455" fillId="54" borderId="96" applyNumberFormat="0" applyAlignment="0" applyProtection="0"/>
    <xf numFmtId="0" fontId="455" fillId="54" borderId="96" applyNumberFormat="0" applyAlignment="0" applyProtection="0"/>
    <xf numFmtId="0" fontId="455" fillId="54" borderId="96" applyNumberFormat="0" applyAlignment="0" applyProtection="0"/>
    <xf numFmtId="0" fontId="455" fillId="54" borderId="96" applyNumberFormat="0" applyAlignment="0" applyProtection="0"/>
    <xf numFmtId="0" fontId="455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320" fontId="456" fillId="0" borderId="0">
      <alignment horizontal="center"/>
    </xf>
    <xf numFmtId="37" fontId="375" fillId="0" borderId="0" applyNumberFormat="0" applyFill="0" applyBorder="0" applyAlignment="0" applyProtection="0"/>
    <xf numFmtId="41" fontId="341" fillId="0" borderId="0" applyFont="0" applyFill="0" applyBorder="0" applyAlignment="0" applyProtection="0"/>
    <xf numFmtId="256" fontId="56" fillId="0" borderId="0" applyFont="0" applyFill="0" applyBorder="0">
      <alignment horizontal="right" vertical="top"/>
    </xf>
    <xf numFmtId="321" fontId="56" fillId="77" borderId="0" applyFill="0" applyBorder="0">
      <alignment horizontal="right" vertical="top"/>
    </xf>
    <xf numFmtId="14" fontId="264" fillId="0" borderId="0">
      <alignment horizontal="center" wrapText="1"/>
      <protection locked="0"/>
    </xf>
    <xf numFmtId="0" fontId="167" fillId="0" borderId="0"/>
    <xf numFmtId="0" fontId="167" fillId="0" borderId="0"/>
    <xf numFmtId="322" fontId="17" fillId="0" borderId="30" applyFont="0" applyFill="0" applyBorder="0" applyAlignment="0" applyProtection="0">
      <alignment horizontal="right"/>
    </xf>
    <xf numFmtId="323" fontId="17" fillId="0" borderId="30" applyFont="0" applyFill="0" applyBorder="0" applyAlignment="0" applyProtection="0">
      <alignment horizontal="right"/>
    </xf>
    <xf numFmtId="323" fontId="17" fillId="0" borderId="30" applyFont="0" applyFill="0" applyBorder="0" applyAlignment="0" applyProtection="0">
      <alignment horizontal="right"/>
    </xf>
    <xf numFmtId="323" fontId="17" fillId="0" borderId="30" applyFont="0" applyFill="0" applyBorder="0" applyAlignment="0" applyProtection="0">
      <alignment horizontal="right"/>
    </xf>
    <xf numFmtId="323" fontId="17" fillId="0" borderId="30" applyFont="0" applyFill="0" applyBorder="0" applyAlignment="0" applyProtection="0">
      <alignment horizontal="right"/>
    </xf>
    <xf numFmtId="323" fontId="17" fillId="0" borderId="30" applyFont="0" applyFill="0" applyBorder="0" applyAlignment="0" applyProtection="0">
      <alignment horizontal="right"/>
    </xf>
    <xf numFmtId="323" fontId="17" fillId="0" borderId="30" applyFont="0" applyFill="0" applyBorder="0" applyAlignment="0" applyProtection="0">
      <alignment horizontal="right"/>
    </xf>
    <xf numFmtId="323" fontId="17" fillId="0" borderId="30" applyFont="0" applyFill="0" applyBorder="0" applyAlignment="0" applyProtection="0">
      <alignment horizontal="right"/>
    </xf>
    <xf numFmtId="323" fontId="17" fillId="0" borderId="30" applyFont="0" applyFill="0" applyBorder="0" applyAlignment="0" applyProtection="0">
      <alignment horizontal="right"/>
    </xf>
    <xf numFmtId="323" fontId="17" fillId="0" borderId="30" applyFont="0" applyFill="0" applyBorder="0" applyAlignment="0" applyProtection="0">
      <alignment horizontal="right"/>
    </xf>
    <xf numFmtId="323" fontId="17" fillId="0" borderId="30" applyFont="0" applyFill="0" applyBorder="0" applyAlignment="0" applyProtection="0">
      <alignment horizontal="right"/>
    </xf>
    <xf numFmtId="323" fontId="17" fillId="0" borderId="30" applyFont="0" applyFill="0" applyBorder="0" applyAlignment="0" applyProtection="0">
      <alignment horizontal="right"/>
    </xf>
    <xf numFmtId="323" fontId="17" fillId="0" borderId="30" applyFont="0" applyFill="0" applyBorder="0" applyAlignment="0" applyProtection="0">
      <alignment horizontal="right"/>
    </xf>
    <xf numFmtId="323" fontId="17" fillId="0" borderId="30" applyFont="0" applyFill="0" applyBorder="0" applyAlignment="0" applyProtection="0">
      <alignment horizontal="right"/>
    </xf>
    <xf numFmtId="324" fontId="319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10" fontId="17" fillId="0" borderId="0" applyFont="0" applyFill="0" applyBorder="0" applyAlignment="0" applyProtection="0">
      <alignment vertical="center"/>
    </xf>
    <xf numFmtId="10" fontId="17" fillId="0" borderId="0" applyFont="0" applyFill="0" applyBorder="0" applyAlignment="0" applyProtection="0"/>
    <xf numFmtId="252" fontId="17" fillId="0" borderId="0" applyFont="0" applyFill="0" applyBorder="0" applyAlignment="0" applyProtection="0"/>
    <xf numFmtId="210" fontId="17" fillId="0" borderId="0" applyFont="0" applyFill="0" applyBorder="0" applyAlignment="0" applyProtection="0"/>
    <xf numFmtId="250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325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250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5" fillId="0" borderId="70" applyNumberFormat="0" applyBorder="0"/>
    <xf numFmtId="10" fontId="327" fillId="77" borderId="0" applyFill="0" applyBorder="0">
      <alignment horizontal="right"/>
      <protection locked="0"/>
    </xf>
    <xf numFmtId="10" fontId="457" fillId="77" borderId="0" applyFill="0" applyBorder="0">
      <alignment horizontal="right"/>
    </xf>
    <xf numFmtId="10" fontId="330" fillId="0" borderId="0">
      <alignment horizontal="right"/>
    </xf>
    <xf numFmtId="10" fontId="330" fillId="0" borderId="0">
      <alignment horizontal="right"/>
    </xf>
    <xf numFmtId="9" fontId="65" fillId="0" borderId="0" applyFont="0" applyFill="0" applyBorder="0" applyAlignment="0" applyProtection="0"/>
    <xf numFmtId="9" fontId="17" fillId="0" borderId="0" applyFill="0" applyBorder="0" applyAlignment="0" applyProtection="0"/>
    <xf numFmtId="326" fontId="17" fillId="0" borderId="0" applyFont="0" applyFill="0" applyBorder="0" applyAlignment="0" applyProtection="0"/>
    <xf numFmtId="326" fontId="17" fillId="0" borderId="0" applyFont="0" applyFill="0" applyBorder="0" applyAlignment="0" applyProtection="0"/>
    <xf numFmtId="0" fontId="458" fillId="0" borderId="0" applyFont="0" applyFill="0" applyBorder="0" applyAlignment="0" applyProtection="0"/>
    <xf numFmtId="0" fontId="459" fillId="0" borderId="0" applyNumberFormat="0" applyFill="0" applyBorder="0" applyProtection="0">
      <alignment horizontal="right"/>
    </xf>
    <xf numFmtId="0" fontId="17" fillId="0" borderId="0" applyFill="0" applyBorder="0" applyAlignment="0"/>
    <xf numFmtId="0" fontId="17" fillId="0" borderId="0" applyFill="0" applyBorder="0" applyAlignment="0"/>
    <xf numFmtId="0" fontId="17" fillId="0" borderId="0" applyFill="0" applyBorder="0" applyAlignment="0"/>
    <xf numFmtId="0" fontId="17" fillId="0" borderId="0" applyFill="0" applyBorder="0" applyAlignment="0"/>
    <xf numFmtId="0" fontId="17" fillId="0" borderId="0" applyFill="0" applyBorder="0" applyAlignment="0"/>
    <xf numFmtId="0" fontId="17" fillId="0" borderId="0" applyFill="0" applyBorder="0" applyAlignment="0"/>
    <xf numFmtId="0" fontId="17" fillId="0" borderId="0" applyFill="0" applyBorder="0" applyAlignment="0"/>
    <xf numFmtId="0" fontId="17" fillId="0" borderId="0" applyFill="0" applyBorder="0" applyAlignment="0"/>
    <xf numFmtId="0" fontId="17" fillId="0" borderId="0" applyFill="0" applyBorder="0" applyAlignment="0"/>
    <xf numFmtId="0" fontId="17" fillId="0" borderId="0" applyFill="0" applyBorder="0" applyAlignment="0"/>
    <xf numFmtId="4" fontId="339" fillId="0" borderId="0">
      <alignment horizontal="right"/>
    </xf>
    <xf numFmtId="4" fontId="65" fillId="0" borderId="0" applyFont="0" applyFill="0" applyBorder="0" applyProtection="0">
      <alignment horizontal="right"/>
    </xf>
    <xf numFmtId="0" fontId="370" fillId="41" borderId="2" applyFont="0" applyFill="0" applyBorder="0" applyAlignment="0">
      <alignment horizontal="center" vertical="center" wrapText="1"/>
    </xf>
    <xf numFmtId="0" fontId="370" fillId="41" borderId="2" applyFont="0" applyFill="0" applyBorder="0" applyAlignment="0">
      <alignment horizontal="center" vertical="center" wrapText="1"/>
    </xf>
    <xf numFmtId="0" fontId="370" fillId="41" borderId="2" applyFont="0" applyFill="0" applyBorder="0" applyAlignment="0">
      <alignment horizontal="center" vertical="center" wrapText="1"/>
    </xf>
    <xf numFmtId="0" fontId="370" fillId="41" borderId="2" applyFont="0" applyFill="0" applyBorder="0" applyAlignment="0">
      <alignment horizontal="center" vertical="center" wrapText="1"/>
    </xf>
    <xf numFmtId="0" fontId="370" fillId="41" borderId="2" applyFont="0" applyFill="0" applyBorder="0" applyAlignment="0">
      <alignment horizontal="center" vertical="center" wrapText="1"/>
    </xf>
    <xf numFmtId="0" fontId="370" fillId="41" borderId="2" applyFont="0" applyFill="0" applyBorder="0" applyAlignment="0">
      <alignment horizontal="center" vertical="center" wrapText="1"/>
    </xf>
    <xf numFmtId="0" fontId="370" fillId="41" borderId="2" applyFont="0" applyFill="0" applyBorder="0" applyAlignment="0">
      <alignment horizontal="center" vertical="center" wrapText="1"/>
    </xf>
    <xf numFmtId="0" fontId="370" fillId="41" borderId="2" applyFont="0" applyFill="0" applyBorder="0" applyAlignment="0">
      <alignment horizontal="center" vertical="center" wrapText="1"/>
    </xf>
    <xf numFmtId="0" fontId="370" fillId="41" borderId="2" applyFont="0" applyFill="0" applyBorder="0" applyAlignment="0">
      <alignment horizontal="center" vertical="center" wrapText="1"/>
    </xf>
    <xf numFmtId="0" fontId="370" fillId="41" borderId="2" applyFont="0" applyFill="0" applyBorder="0" applyAlignment="0">
      <alignment horizontal="center" vertical="center" wrapText="1"/>
    </xf>
    <xf numFmtId="0" fontId="370" fillId="41" borderId="2" applyFont="0" applyFill="0" applyBorder="0" applyAlignment="0">
      <alignment horizontal="center" vertical="center" wrapText="1"/>
    </xf>
    <xf numFmtId="0" fontId="370" fillId="41" borderId="2" applyFont="0" applyFill="0" applyBorder="0" applyAlignment="0">
      <alignment horizontal="center" vertical="center" wrapText="1"/>
    </xf>
    <xf numFmtId="0" fontId="370" fillId="41" borderId="2" applyFont="0" applyFill="0" applyBorder="0" applyAlignment="0">
      <alignment horizontal="center" vertical="center" wrapText="1"/>
    </xf>
    <xf numFmtId="0" fontId="370" fillId="41" borderId="2" applyFont="0" applyFill="0" applyBorder="0" applyAlignment="0">
      <alignment horizontal="center" vertical="center" wrapText="1"/>
    </xf>
    <xf numFmtId="0" fontId="370" fillId="41" borderId="2" applyFont="0" applyFill="0" applyBorder="0" applyAlignment="0">
      <alignment horizontal="center" vertical="center" wrapText="1"/>
    </xf>
    <xf numFmtId="0" fontId="370" fillId="41" borderId="2" applyFont="0" applyFill="0" applyBorder="0" applyAlignment="0">
      <alignment horizontal="center" vertical="center" wrapText="1"/>
    </xf>
    <xf numFmtId="0" fontId="370" fillId="41" borderId="2" applyFont="0" applyFill="0" applyBorder="0" applyAlignment="0">
      <alignment horizontal="center" vertical="center" wrapText="1"/>
    </xf>
    <xf numFmtId="0" fontId="370" fillId="41" borderId="2" applyFont="0" applyFill="0" applyBorder="0" applyAlignment="0">
      <alignment horizontal="center" vertical="center" wrapText="1"/>
    </xf>
    <xf numFmtId="0" fontId="370" fillId="41" borderId="2" applyFont="0" applyFill="0" applyBorder="0" applyAlignment="0">
      <alignment horizontal="center" vertical="center" wrapText="1"/>
    </xf>
    <xf numFmtId="0" fontId="370" fillId="41" borderId="2" applyFont="0" applyFill="0" applyBorder="0" applyAlignment="0">
      <alignment horizontal="center" vertical="center" wrapText="1"/>
    </xf>
    <xf numFmtId="0" fontId="370" fillId="41" borderId="2" applyFont="0" applyFill="0" applyBorder="0" applyAlignment="0">
      <alignment horizontal="center" vertical="center" wrapText="1"/>
    </xf>
    <xf numFmtId="0" fontId="370" fillId="41" borderId="2" applyFont="0" applyFill="0" applyBorder="0" applyAlignment="0">
      <alignment horizontal="center" vertical="center" wrapText="1"/>
    </xf>
    <xf numFmtId="0" fontId="370" fillId="41" borderId="2" applyFont="0" applyFill="0" applyBorder="0" applyAlignment="0">
      <alignment horizontal="center" vertical="center" wrapText="1"/>
    </xf>
    <xf numFmtId="0" fontId="370" fillId="41" borderId="2" applyFont="0" applyFill="0" applyBorder="0" applyAlignment="0">
      <alignment horizontal="center" vertical="center" wrapText="1"/>
    </xf>
    <xf numFmtId="0" fontId="370" fillId="41" borderId="2" applyFont="0" applyFill="0" applyBorder="0" applyAlignment="0">
      <alignment horizontal="center" vertical="center" wrapText="1"/>
    </xf>
    <xf numFmtId="0" fontId="370" fillId="41" borderId="2" applyFont="0" applyFill="0" applyBorder="0" applyAlignment="0">
      <alignment horizontal="center" vertical="center" wrapText="1"/>
    </xf>
    <xf numFmtId="0" fontId="370" fillId="41" borderId="2" applyFont="0" applyFill="0" applyBorder="0" applyAlignment="0">
      <alignment horizontal="center" vertical="center" wrapText="1"/>
    </xf>
    <xf numFmtId="0" fontId="370" fillId="41" borderId="2" applyFont="0" applyFill="0" applyBorder="0" applyAlignment="0">
      <alignment horizontal="center" vertical="center" wrapText="1"/>
    </xf>
    <xf numFmtId="0" fontId="370" fillId="41" borderId="2" applyFont="0" applyFill="0" applyBorder="0" applyAlignment="0">
      <alignment horizontal="center" vertical="center" wrapText="1"/>
    </xf>
    <xf numFmtId="0" fontId="370" fillId="41" borderId="2" applyFont="0" applyFill="0" applyBorder="0" applyAlignment="0">
      <alignment horizontal="center" vertical="center" wrapText="1"/>
    </xf>
    <xf numFmtId="0" fontId="370" fillId="41" borderId="2" applyFont="0" applyFill="0" applyBorder="0" applyAlignment="0">
      <alignment horizontal="center" vertical="center" wrapText="1"/>
    </xf>
    <xf numFmtId="0" fontId="370" fillId="41" borderId="2" applyFont="0" applyFill="0" applyBorder="0" applyAlignment="0">
      <alignment horizontal="center" vertical="center" wrapText="1"/>
    </xf>
    <xf numFmtId="0" fontId="370" fillId="41" borderId="2" applyFont="0" applyFill="0" applyBorder="0" applyAlignment="0">
      <alignment horizontal="center" vertical="center" wrapText="1"/>
    </xf>
    <xf numFmtId="0" fontId="370" fillId="41" borderId="2" applyFont="0" applyFill="0" applyBorder="0" applyAlignment="0">
      <alignment horizontal="center" vertical="center" wrapText="1"/>
    </xf>
    <xf numFmtId="0" fontId="370" fillId="41" borderId="2" applyFont="0" applyFill="0" applyBorder="0" applyAlignment="0">
      <alignment horizontal="center" vertical="center" wrapText="1"/>
    </xf>
    <xf numFmtId="0" fontId="370" fillId="41" borderId="2" applyFont="0" applyFill="0" applyBorder="0" applyAlignment="0">
      <alignment horizontal="center" vertical="center" wrapText="1"/>
    </xf>
    <xf numFmtId="0" fontId="370" fillId="41" borderId="2" applyFont="0" applyFill="0" applyBorder="0" applyAlignment="0">
      <alignment horizontal="center" vertical="center" wrapText="1"/>
    </xf>
    <xf numFmtId="0" fontId="370" fillId="41" borderId="2" applyFont="0" applyFill="0" applyBorder="0" applyAlignment="0">
      <alignment horizontal="center" vertical="center" wrapText="1"/>
    </xf>
    <xf numFmtId="0" fontId="370" fillId="41" borderId="2" applyFont="0" applyFill="0" applyBorder="0" applyAlignment="0">
      <alignment horizontal="center" vertical="center" wrapText="1"/>
    </xf>
    <xf numFmtId="0" fontId="370" fillId="41" borderId="2" applyFont="0" applyFill="0" applyBorder="0" applyAlignment="0">
      <alignment horizontal="center" vertical="center" wrapText="1"/>
    </xf>
    <xf numFmtId="0" fontId="370" fillId="41" borderId="2" applyFont="0" applyFill="0" applyBorder="0" applyAlignment="0">
      <alignment horizontal="center" vertical="center" wrapText="1"/>
    </xf>
    <xf numFmtId="0" fontId="370" fillId="41" borderId="2" applyFont="0" applyFill="0" applyBorder="0" applyAlignment="0">
      <alignment horizontal="center" vertical="center" wrapText="1"/>
    </xf>
    <xf numFmtId="0" fontId="370" fillId="41" borderId="2" applyFont="0" applyFill="0" applyBorder="0" applyAlignment="0">
      <alignment horizontal="center" vertical="center" wrapText="1"/>
    </xf>
    <xf numFmtId="0" fontId="370" fillId="41" borderId="2" applyFont="0" applyFill="0" applyBorder="0" applyAlignment="0">
      <alignment horizontal="center" vertical="center" wrapText="1"/>
    </xf>
    <xf numFmtId="0" fontId="55" fillId="0" borderId="0" applyNumberFormat="0" applyFont="0" applyFill="0" applyBorder="0" applyAlignment="0" applyProtection="0">
      <alignment horizontal="left"/>
    </xf>
    <xf numFmtId="0" fontId="203" fillId="0" borderId="0" applyNumberFormat="0" applyFont="0" applyFill="0" applyBorder="0" applyAlignment="0" applyProtection="0">
      <alignment horizontal="left"/>
    </xf>
    <xf numFmtId="15" fontId="55" fillId="0" borderId="0" applyFont="0" applyFill="0" applyBorder="0" applyAlignment="0" applyProtection="0"/>
    <xf numFmtId="4" fontId="55" fillId="0" borderId="0" applyFont="0" applyFill="0" applyBorder="0" applyAlignment="0" applyProtection="0"/>
    <xf numFmtId="189" fontId="297" fillId="0" borderId="97" applyFont="0" applyFill="0" applyBorder="0" applyAlignment="0" applyProtection="0"/>
    <xf numFmtId="0" fontId="278" fillId="0" borderId="69">
      <alignment horizontal="center"/>
    </xf>
    <xf numFmtId="0" fontId="203" fillId="0" borderId="69">
      <alignment horizontal="center"/>
    </xf>
    <xf numFmtId="3" fontId="352" fillId="0" borderId="0" applyFont="0" applyFill="0" applyBorder="0" applyAlignment="0" applyProtection="0"/>
    <xf numFmtId="327" fontId="264" fillId="0" borderId="0" applyFill="0" applyAlignment="0"/>
    <xf numFmtId="204" fontId="75" fillId="0" borderId="0" applyFont="0" applyFill="0" applyBorder="0" applyAlignment="0" applyProtection="0"/>
    <xf numFmtId="328" fontId="460" fillId="15" borderId="0"/>
    <xf numFmtId="0" fontId="164" fillId="94" borderId="0"/>
    <xf numFmtId="0" fontId="461" fillId="0" borderId="0" applyNumberFormat="0" applyFill="0" applyBorder="0" applyAlignment="0" applyProtection="0"/>
    <xf numFmtId="0" fontId="462" fillId="0" borderId="12" applyNumberFormat="0" applyFill="0" applyBorder="0" applyAlignment="0" applyProtection="0">
      <protection hidden="1"/>
    </xf>
    <xf numFmtId="0" fontId="462" fillId="0" borderId="12" applyNumberFormat="0" applyFill="0" applyBorder="0" applyAlignment="0" applyProtection="0">
      <protection hidden="1"/>
    </xf>
    <xf numFmtId="4" fontId="463" fillId="0" borderId="0">
      <alignment horizontal="right"/>
    </xf>
    <xf numFmtId="14" fontId="464" fillId="0" borderId="0" applyNumberFormat="0" applyFill="0" applyBorder="0" applyAlignment="0" applyProtection="0">
      <alignment horizontal="left"/>
    </xf>
    <xf numFmtId="329" fontId="57" fillId="0" borderId="0" applyFill="0" applyBorder="0">
      <alignment horizontal="right" vertical="center"/>
    </xf>
    <xf numFmtId="38" fontId="465" fillId="0" borderId="0">
      <alignment horizontal="right"/>
      <protection hidden="1"/>
    </xf>
    <xf numFmtId="38" fontId="326" fillId="0" borderId="0">
      <alignment horizontal="center"/>
    </xf>
    <xf numFmtId="0" fontId="466" fillId="0" borderId="0">
      <alignment horizontal="right"/>
    </xf>
    <xf numFmtId="0" fontId="330" fillId="0" borderId="0">
      <alignment horizontal="right"/>
    </xf>
    <xf numFmtId="0" fontId="467" fillId="0" borderId="0">
      <alignment horizontal="right"/>
    </xf>
    <xf numFmtId="269" fontId="326" fillId="77" borderId="98" applyFill="0"/>
    <xf numFmtId="0" fontId="468" fillId="84" borderId="0" applyNumberFormat="0" applyBorder="0" applyAlignment="0">
      <protection locked="0"/>
    </xf>
    <xf numFmtId="0" fontId="469" fillId="0" borderId="0">
      <alignment horizontal="center"/>
    </xf>
    <xf numFmtId="168" fontId="468" fillId="84" borderId="12" applyBorder="0">
      <protection locked="0"/>
    </xf>
    <xf numFmtId="168" fontId="468" fillId="84" borderId="12" applyBorder="0">
      <protection locked="0"/>
    </xf>
    <xf numFmtId="168" fontId="468" fillId="84" borderId="12" applyBorder="0">
      <protection locked="0"/>
    </xf>
    <xf numFmtId="0" fontId="387" fillId="84" borderId="0" applyNumberFormat="0" applyBorder="0" applyAlignment="0">
      <protection locked="0"/>
    </xf>
    <xf numFmtId="3" fontId="468" fillId="84" borderId="12" applyBorder="0">
      <protection locked="0"/>
    </xf>
    <xf numFmtId="3" fontId="468" fillId="84" borderId="12" applyBorder="0">
      <protection locked="0"/>
    </xf>
    <xf numFmtId="3" fontId="468" fillId="84" borderId="12" applyBorder="0">
      <protection locked="0"/>
    </xf>
    <xf numFmtId="167" fontId="468" fillId="75" borderId="12" applyBorder="0">
      <protection locked="0"/>
    </xf>
    <xf numFmtId="167" fontId="468" fillId="75" borderId="12" applyBorder="0">
      <protection locked="0"/>
    </xf>
    <xf numFmtId="167" fontId="468" fillId="75" borderId="12" applyBorder="0">
      <protection locked="0"/>
    </xf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4" fontId="470" fillId="41" borderId="99" applyNumberFormat="0" applyProtection="0">
      <alignment vertical="center"/>
    </xf>
    <xf numFmtId="4" fontId="471" fillId="55" borderId="100" applyNumberFormat="0" applyProtection="0">
      <alignment vertical="center"/>
    </xf>
    <xf numFmtId="4" fontId="471" fillId="55" borderId="100" applyNumberFormat="0" applyProtection="0">
      <alignment vertical="center"/>
    </xf>
    <xf numFmtId="4" fontId="471" fillId="55" borderId="100" applyNumberFormat="0" applyProtection="0">
      <alignment vertical="center"/>
    </xf>
    <xf numFmtId="4" fontId="471" fillId="55" borderId="100" applyNumberFormat="0" applyProtection="0">
      <alignment vertical="center"/>
    </xf>
    <xf numFmtId="4" fontId="471" fillId="55" borderId="100" applyNumberFormat="0" applyProtection="0">
      <alignment vertical="center"/>
    </xf>
    <xf numFmtId="4" fontId="471" fillId="55" borderId="100" applyNumberFormat="0" applyProtection="0">
      <alignment vertical="center"/>
    </xf>
    <xf numFmtId="4" fontId="471" fillId="55" borderId="100" applyNumberFormat="0" applyProtection="0">
      <alignment vertical="center"/>
    </xf>
    <xf numFmtId="4" fontId="471" fillId="55" borderId="100" applyNumberFormat="0" applyProtection="0">
      <alignment vertical="center"/>
    </xf>
    <xf numFmtId="4" fontId="471" fillId="55" borderId="100" applyNumberFormat="0" applyProtection="0">
      <alignment vertical="center"/>
    </xf>
    <xf numFmtId="4" fontId="471" fillId="55" borderId="100" applyNumberFormat="0" applyProtection="0">
      <alignment vertical="center"/>
    </xf>
    <xf numFmtId="4" fontId="471" fillId="55" borderId="100" applyNumberFormat="0" applyProtection="0">
      <alignment vertical="center"/>
    </xf>
    <xf numFmtId="4" fontId="471" fillId="55" borderId="100" applyNumberFormat="0" applyProtection="0">
      <alignment vertical="center"/>
    </xf>
    <xf numFmtId="4" fontId="471" fillId="55" borderId="100" applyNumberFormat="0" applyProtection="0">
      <alignment vertical="center"/>
    </xf>
    <xf numFmtId="4" fontId="471" fillId="55" borderId="100" applyNumberFormat="0" applyProtection="0">
      <alignment vertical="center"/>
    </xf>
    <xf numFmtId="4" fontId="471" fillId="55" borderId="100" applyNumberFormat="0" applyProtection="0">
      <alignment vertical="center"/>
    </xf>
    <xf numFmtId="4" fontId="471" fillId="55" borderId="100" applyNumberFormat="0" applyProtection="0">
      <alignment vertical="center"/>
    </xf>
    <xf numFmtId="4" fontId="471" fillId="55" borderId="100" applyNumberFormat="0" applyProtection="0">
      <alignment vertical="center"/>
    </xf>
    <xf numFmtId="4" fontId="471" fillId="55" borderId="100" applyNumberFormat="0" applyProtection="0">
      <alignment vertical="center"/>
    </xf>
    <xf numFmtId="4" fontId="471" fillId="55" borderId="100" applyNumberFormat="0" applyProtection="0">
      <alignment vertical="center"/>
    </xf>
    <xf numFmtId="4" fontId="471" fillId="55" borderId="100" applyNumberFormat="0" applyProtection="0">
      <alignment vertical="center"/>
    </xf>
    <xf numFmtId="4" fontId="471" fillId="55" borderId="100" applyNumberFormat="0" applyProtection="0">
      <alignment vertical="center"/>
    </xf>
    <xf numFmtId="4" fontId="471" fillId="55" borderId="100" applyNumberFormat="0" applyProtection="0">
      <alignment vertical="center"/>
    </xf>
    <xf numFmtId="4" fontId="471" fillId="55" borderId="100" applyNumberFormat="0" applyProtection="0">
      <alignment vertical="center"/>
    </xf>
    <xf numFmtId="4" fontId="471" fillId="55" borderId="100" applyNumberFormat="0" applyProtection="0">
      <alignment vertical="center"/>
    </xf>
    <xf numFmtId="4" fontId="471" fillId="55" borderId="100" applyNumberFormat="0" applyProtection="0">
      <alignment vertical="center"/>
    </xf>
    <xf numFmtId="4" fontId="471" fillId="55" borderId="100" applyNumberFormat="0" applyProtection="0">
      <alignment vertical="center"/>
    </xf>
    <xf numFmtId="4" fontId="471" fillId="55" borderId="100" applyNumberFormat="0" applyProtection="0">
      <alignment vertical="center"/>
    </xf>
    <xf numFmtId="4" fontId="471" fillId="55" borderId="100" applyNumberFormat="0" applyProtection="0">
      <alignment vertical="center"/>
    </xf>
    <xf numFmtId="4" fontId="471" fillId="55" borderId="100" applyNumberFormat="0" applyProtection="0">
      <alignment vertical="center"/>
    </xf>
    <xf numFmtId="4" fontId="471" fillId="55" borderId="100" applyNumberFormat="0" applyProtection="0">
      <alignment vertical="center"/>
    </xf>
    <xf numFmtId="4" fontId="471" fillId="55" borderId="100" applyNumberFormat="0" applyProtection="0">
      <alignment vertical="center"/>
    </xf>
    <xf numFmtId="4" fontId="471" fillId="55" borderId="100" applyNumberFormat="0" applyProtection="0">
      <alignment vertical="center"/>
    </xf>
    <xf numFmtId="4" fontId="471" fillId="55" borderId="100" applyNumberFormat="0" applyProtection="0">
      <alignment vertical="center"/>
    </xf>
    <xf numFmtId="4" fontId="471" fillId="55" borderId="100" applyNumberFormat="0" applyProtection="0">
      <alignment vertical="center"/>
    </xf>
    <xf numFmtId="4" fontId="471" fillId="55" borderId="100" applyNumberFormat="0" applyProtection="0">
      <alignment vertical="center"/>
    </xf>
    <xf numFmtId="4" fontId="471" fillId="55" borderId="100" applyNumberFormat="0" applyProtection="0">
      <alignment vertical="center"/>
    </xf>
    <xf numFmtId="4" fontId="471" fillId="55" borderId="100" applyNumberFormat="0" applyProtection="0">
      <alignment vertical="center"/>
    </xf>
    <xf numFmtId="4" fontId="471" fillId="55" borderId="100" applyNumberFormat="0" applyProtection="0">
      <alignment vertical="center"/>
    </xf>
    <xf numFmtId="4" fontId="471" fillId="55" borderId="100" applyNumberFormat="0" applyProtection="0">
      <alignment vertical="center"/>
    </xf>
    <xf numFmtId="4" fontId="471" fillId="55" borderId="100" applyNumberFormat="0" applyProtection="0">
      <alignment vertical="center"/>
    </xf>
    <xf numFmtId="4" fontId="471" fillId="55" borderId="100" applyNumberFormat="0" applyProtection="0">
      <alignment vertical="center"/>
    </xf>
    <xf numFmtId="4" fontId="471" fillId="55" borderId="100" applyNumberFormat="0" applyProtection="0">
      <alignment vertical="center"/>
    </xf>
    <xf numFmtId="4" fontId="471" fillId="55" borderId="100" applyNumberFormat="0" applyProtection="0">
      <alignment vertical="center"/>
    </xf>
    <xf numFmtId="4" fontId="471" fillId="55" borderId="100" applyNumberFormat="0" applyProtection="0">
      <alignment vertical="center"/>
    </xf>
    <xf numFmtId="4" fontId="471" fillId="55" borderId="100" applyNumberFormat="0" applyProtection="0">
      <alignment vertical="center"/>
    </xf>
    <xf numFmtId="4" fontId="471" fillId="55" borderId="100" applyNumberFormat="0" applyProtection="0">
      <alignment vertical="center"/>
    </xf>
    <xf numFmtId="4" fontId="471" fillId="55" borderId="100" applyNumberFormat="0" applyProtection="0">
      <alignment vertical="center"/>
    </xf>
    <xf numFmtId="4" fontId="471" fillId="55" borderId="100" applyNumberFormat="0" applyProtection="0">
      <alignment vertical="center"/>
    </xf>
    <xf numFmtId="4" fontId="471" fillId="55" borderId="100" applyNumberFormat="0" applyProtection="0">
      <alignment vertical="center"/>
    </xf>
    <xf numFmtId="4" fontId="471" fillId="55" borderId="100" applyNumberFormat="0" applyProtection="0">
      <alignment vertical="center"/>
    </xf>
    <xf numFmtId="4" fontId="471" fillId="55" borderId="100" applyNumberFormat="0" applyProtection="0">
      <alignment vertical="center"/>
    </xf>
    <xf numFmtId="4" fontId="471" fillId="55" borderId="100" applyNumberFormat="0" applyProtection="0">
      <alignment vertical="center"/>
    </xf>
    <xf numFmtId="4" fontId="471" fillId="55" borderId="100" applyNumberFormat="0" applyProtection="0">
      <alignment vertical="center"/>
    </xf>
    <xf numFmtId="4" fontId="471" fillId="55" borderId="100" applyNumberFormat="0" applyProtection="0">
      <alignment vertical="center"/>
    </xf>
    <xf numFmtId="4" fontId="471" fillId="55" borderId="100" applyNumberFormat="0" applyProtection="0">
      <alignment vertical="center"/>
    </xf>
    <xf numFmtId="4" fontId="471" fillId="55" borderId="100" applyNumberFormat="0" applyProtection="0">
      <alignment vertical="center"/>
    </xf>
    <xf numFmtId="4" fontId="471" fillId="55" borderId="100" applyNumberFormat="0" applyProtection="0">
      <alignment vertical="center"/>
    </xf>
    <xf numFmtId="4" fontId="471" fillId="55" borderId="100" applyNumberFormat="0" applyProtection="0">
      <alignment vertical="center"/>
    </xf>
    <xf numFmtId="4" fontId="471" fillId="55" borderId="100" applyNumberFormat="0" applyProtection="0">
      <alignment vertical="center"/>
    </xf>
    <xf numFmtId="4" fontId="471" fillId="55" borderId="100" applyNumberFormat="0" applyProtection="0">
      <alignment vertical="center"/>
    </xf>
    <xf numFmtId="4" fontId="471" fillId="55" borderId="100" applyNumberFormat="0" applyProtection="0">
      <alignment vertical="center"/>
    </xf>
    <xf numFmtId="4" fontId="471" fillId="55" borderId="100" applyNumberFormat="0" applyProtection="0">
      <alignment vertical="center"/>
    </xf>
    <xf numFmtId="4" fontId="471" fillId="55" borderId="100" applyNumberFormat="0" applyProtection="0">
      <alignment vertical="center"/>
    </xf>
    <xf numFmtId="4" fontId="471" fillId="55" borderId="100" applyNumberFormat="0" applyProtection="0">
      <alignment vertical="center"/>
    </xf>
    <xf numFmtId="4" fontId="471" fillId="55" borderId="100" applyNumberFormat="0" applyProtection="0">
      <alignment vertical="center"/>
    </xf>
    <xf numFmtId="4" fontId="471" fillId="55" borderId="100" applyNumberFormat="0" applyProtection="0">
      <alignment vertical="center"/>
    </xf>
    <xf numFmtId="4" fontId="471" fillId="55" borderId="100" applyNumberFormat="0" applyProtection="0">
      <alignment vertical="center"/>
    </xf>
    <xf numFmtId="4" fontId="471" fillId="55" borderId="100" applyNumberFormat="0" applyProtection="0">
      <alignment vertical="center"/>
    </xf>
    <xf numFmtId="4" fontId="471" fillId="55" borderId="100" applyNumberFormat="0" applyProtection="0">
      <alignment vertical="center"/>
    </xf>
    <xf numFmtId="4" fontId="471" fillId="55" borderId="100" applyNumberFormat="0" applyProtection="0">
      <alignment vertical="center"/>
    </xf>
    <xf numFmtId="4" fontId="471" fillId="55" borderId="100" applyNumberFormat="0" applyProtection="0">
      <alignment vertical="center"/>
    </xf>
    <xf numFmtId="4" fontId="471" fillId="55" borderId="100" applyNumberFormat="0" applyProtection="0">
      <alignment vertical="center"/>
    </xf>
    <xf numFmtId="4" fontId="471" fillId="55" borderId="100" applyNumberFormat="0" applyProtection="0">
      <alignment vertical="center"/>
    </xf>
    <xf numFmtId="4" fontId="471" fillId="55" borderId="100" applyNumberFormat="0" applyProtection="0">
      <alignment vertical="center"/>
    </xf>
    <xf numFmtId="4" fontId="471" fillId="55" borderId="100" applyNumberFormat="0" applyProtection="0">
      <alignment vertical="center"/>
    </xf>
    <xf numFmtId="4" fontId="471" fillId="55" borderId="100" applyNumberFormat="0" applyProtection="0">
      <alignment vertical="center"/>
    </xf>
    <xf numFmtId="4" fontId="471" fillId="55" borderId="100" applyNumberFormat="0" applyProtection="0">
      <alignment vertical="center"/>
    </xf>
    <xf numFmtId="4" fontId="471" fillId="55" borderId="100" applyNumberFormat="0" applyProtection="0">
      <alignment vertical="center"/>
    </xf>
    <xf numFmtId="4" fontId="471" fillId="55" borderId="100" applyNumberFormat="0" applyProtection="0">
      <alignment vertical="center"/>
    </xf>
    <xf numFmtId="4" fontId="471" fillId="55" borderId="100" applyNumberFormat="0" applyProtection="0">
      <alignment vertical="center"/>
    </xf>
    <xf numFmtId="4" fontId="471" fillId="55" borderId="100" applyNumberFormat="0" applyProtection="0">
      <alignment vertical="center"/>
    </xf>
    <xf numFmtId="4" fontId="471" fillId="55" borderId="100" applyNumberFormat="0" applyProtection="0">
      <alignment vertical="center"/>
    </xf>
    <xf numFmtId="4" fontId="471" fillId="55" borderId="100" applyNumberFormat="0" applyProtection="0">
      <alignment vertical="center"/>
    </xf>
    <xf numFmtId="4" fontId="471" fillId="55" borderId="100" applyNumberFormat="0" applyProtection="0">
      <alignment vertical="center"/>
    </xf>
    <xf numFmtId="4" fontId="471" fillId="55" borderId="100" applyNumberFormat="0" applyProtection="0">
      <alignment vertical="center"/>
    </xf>
    <xf numFmtId="4" fontId="471" fillId="55" borderId="100" applyNumberFormat="0" applyProtection="0">
      <alignment vertical="center"/>
    </xf>
    <xf numFmtId="4" fontId="471" fillId="55" borderId="100" applyNumberFormat="0" applyProtection="0">
      <alignment vertical="center"/>
    </xf>
    <xf numFmtId="4" fontId="471" fillId="55" borderId="100" applyNumberFormat="0" applyProtection="0">
      <alignment vertical="center"/>
    </xf>
    <xf numFmtId="4" fontId="471" fillId="55" borderId="100" applyNumberFormat="0" applyProtection="0">
      <alignment vertical="center"/>
    </xf>
    <xf numFmtId="4" fontId="470" fillId="41" borderId="99" applyNumberFormat="0" applyProtection="0">
      <alignment vertical="center"/>
    </xf>
    <xf numFmtId="4" fontId="470" fillId="41" borderId="99" applyNumberFormat="0" applyProtection="0">
      <alignment vertical="center"/>
    </xf>
    <xf numFmtId="4" fontId="471" fillId="55" borderId="100" applyNumberFormat="0" applyProtection="0">
      <alignment vertical="center"/>
    </xf>
    <xf numFmtId="4" fontId="471" fillId="55" borderId="100" applyNumberFormat="0" applyProtection="0">
      <alignment vertical="center"/>
    </xf>
    <xf numFmtId="4" fontId="471" fillId="55" borderId="100" applyNumberFormat="0" applyProtection="0">
      <alignment vertical="center"/>
    </xf>
    <xf numFmtId="4" fontId="471" fillId="55" borderId="100" applyNumberFormat="0" applyProtection="0">
      <alignment vertical="center"/>
    </xf>
    <xf numFmtId="4" fontId="471" fillId="55" borderId="100" applyNumberFormat="0" applyProtection="0">
      <alignment vertical="center"/>
    </xf>
    <xf numFmtId="4" fontId="471" fillId="55" borderId="100" applyNumberFormat="0" applyProtection="0">
      <alignment vertical="center"/>
    </xf>
    <xf numFmtId="4" fontId="471" fillId="55" borderId="100" applyNumberFormat="0" applyProtection="0">
      <alignment vertical="center"/>
    </xf>
    <xf numFmtId="4" fontId="471" fillId="55" borderId="100" applyNumberFormat="0" applyProtection="0">
      <alignment vertical="center"/>
    </xf>
    <xf numFmtId="4" fontId="471" fillId="55" borderId="100" applyNumberFormat="0" applyProtection="0">
      <alignment vertical="center"/>
    </xf>
    <xf numFmtId="4" fontId="471" fillId="55" borderId="100" applyNumberFormat="0" applyProtection="0">
      <alignment vertical="center"/>
    </xf>
    <xf numFmtId="4" fontId="471" fillId="55" borderId="100" applyNumberFormat="0" applyProtection="0">
      <alignment vertical="center"/>
    </xf>
    <xf numFmtId="4" fontId="471" fillId="55" borderId="100" applyNumberFormat="0" applyProtection="0">
      <alignment vertical="center"/>
    </xf>
    <xf numFmtId="4" fontId="471" fillId="55" borderId="100" applyNumberFormat="0" applyProtection="0">
      <alignment vertical="center"/>
    </xf>
    <xf numFmtId="4" fontId="471" fillId="55" borderId="100" applyNumberFormat="0" applyProtection="0">
      <alignment vertical="center"/>
    </xf>
    <xf numFmtId="4" fontId="471" fillId="55" borderId="100" applyNumberFormat="0" applyProtection="0">
      <alignment vertical="center"/>
    </xf>
    <xf numFmtId="4" fontId="471" fillId="55" borderId="100" applyNumberFormat="0" applyProtection="0">
      <alignment vertical="center"/>
    </xf>
    <xf numFmtId="4" fontId="471" fillId="55" borderId="100" applyNumberFormat="0" applyProtection="0">
      <alignment vertical="center"/>
    </xf>
    <xf numFmtId="4" fontId="471" fillId="55" borderId="100" applyNumberFormat="0" applyProtection="0">
      <alignment vertical="center"/>
    </xf>
    <xf numFmtId="4" fontId="472" fillId="41" borderId="99" applyNumberFormat="0" applyProtection="0">
      <alignment vertical="center"/>
    </xf>
    <xf numFmtId="4" fontId="473" fillId="41" borderId="100" applyNumberFormat="0" applyProtection="0">
      <alignment vertical="center"/>
    </xf>
    <xf numFmtId="4" fontId="473" fillId="41" borderId="100" applyNumberFormat="0" applyProtection="0">
      <alignment vertical="center"/>
    </xf>
    <xf numFmtId="4" fontId="473" fillId="41" borderId="100" applyNumberFormat="0" applyProtection="0">
      <alignment vertical="center"/>
    </xf>
    <xf numFmtId="4" fontId="473" fillId="41" borderId="100" applyNumberFormat="0" applyProtection="0">
      <alignment vertical="center"/>
    </xf>
    <xf numFmtId="4" fontId="473" fillId="41" borderId="100" applyNumberFormat="0" applyProtection="0">
      <alignment vertical="center"/>
    </xf>
    <xf numFmtId="4" fontId="473" fillId="41" borderId="100" applyNumberFormat="0" applyProtection="0">
      <alignment vertical="center"/>
    </xf>
    <xf numFmtId="4" fontId="473" fillId="41" borderId="100" applyNumberFormat="0" applyProtection="0">
      <alignment vertical="center"/>
    </xf>
    <xf numFmtId="4" fontId="473" fillId="41" borderId="100" applyNumberFormat="0" applyProtection="0">
      <alignment vertical="center"/>
    </xf>
    <xf numFmtId="4" fontId="473" fillId="41" borderId="100" applyNumberFormat="0" applyProtection="0">
      <alignment vertical="center"/>
    </xf>
    <xf numFmtId="4" fontId="473" fillId="41" borderId="100" applyNumberFormat="0" applyProtection="0">
      <alignment vertical="center"/>
    </xf>
    <xf numFmtId="4" fontId="473" fillId="55" borderId="100" applyNumberFormat="0" applyProtection="0">
      <alignment vertical="center"/>
    </xf>
    <xf numFmtId="4" fontId="473" fillId="55" borderId="100" applyNumberFormat="0" applyProtection="0">
      <alignment vertical="center"/>
    </xf>
    <xf numFmtId="4" fontId="473" fillId="55" borderId="100" applyNumberFormat="0" applyProtection="0">
      <alignment vertical="center"/>
    </xf>
    <xf numFmtId="4" fontId="473" fillId="55" borderId="100" applyNumberFormat="0" applyProtection="0">
      <alignment vertical="center"/>
    </xf>
    <xf numFmtId="4" fontId="473" fillId="55" borderId="100" applyNumberFormat="0" applyProtection="0">
      <alignment vertical="center"/>
    </xf>
    <xf numFmtId="4" fontId="473" fillId="55" borderId="100" applyNumberFormat="0" applyProtection="0">
      <alignment vertical="center"/>
    </xf>
    <xf numFmtId="4" fontId="473" fillId="55" borderId="100" applyNumberFormat="0" applyProtection="0">
      <alignment vertical="center"/>
    </xf>
    <xf numFmtId="4" fontId="473" fillId="55" borderId="100" applyNumberFormat="0" applyProtection="0">
      <alignment vertical="center"/>
    </xf>
    <xf numFmtId="4" fontId="473" fillId="55" borderId="100" applyNumberFormat="0" applyProtection="0">
      <alignment vertical="center"/>
    </xf>
    <xf numFmtId="4" fontId="473" fillId="55" borderId="100" applyNumberFormat="0" applyProtection="0">
      <alignment vertical="center"/>
    </xf>
    <xf numFmtId="4" fontId="473" fillId="55" borderId="100" applyNumberFormat="0" applyProtection="0">
      <alignment vertical="center"/>
    </xf>
    <xf numFmtId="4" fontId="473" fillId="55" borderId="100" applyNumberFormat="0" applyProtection="0">
      <alignment vertical="center"/>
    </xf>
    <xf numFmtId="4" fontId="473" fillId="55" borderId="100" applyNumberFormat="0" applyProtection="0">
      <alignment vertical="center"/>
    </xf>
    <xf numFmtId="4" fontId="473" fillId="55" borderId="100" applyNumberFormat="0" applyProtection="0">
      <alignment vertical="center"/>
    </xf>
    <xf numFmtId="4" fontId="473" fillId="55" borderId="100" applyNumberFormat="0" applyProtection="0">
      <alignment vertical="center"/>
    </xf>
    <xf numFmtId="4" fontId="473" fillId="55" borderId="100" applyNumberFormat="0" applyProtection="0">
      <alignment vertical="center"/>
    </xf>
    <xf numFmtId="4" fontId="473" fillId="55" borderId="100" applyNumberFormat="0" applyProtection="0">
      <alignment vertical="center"/>
    </xf>
    <xf numFmtId="4" fontId="473" fillId="55" borderId="100" applyNumberFormat="0" applyProtection="0">
      <alignment vertical="center"/>
    </xf>
    <xf numFmtId="4" fontId="473" fillId="55" borderId="100" applyNumberFormat="0" applyProtection="0">
      <alignment vertical="center"/>
    </xf>
    <xf numFmtId="4" fontId="473" fillId="55" borderId="100" applyNumberFormat="0" applyProtection="0">
      <alignment vertical="center"/>
    </xf>
    <xf numFmtId="4" fontId="473" fillId="55" borderId="100" applyNumberFormat="0" applyProtection="0">
      <alignment vertical="center"/>
    </xf>
    <xf numFmtId="4" fontId="473" fillId="55" borderId="100" applyNumberFormat="0" applyProtection="0">
      <alignment vertical="center"/>
    </xf>
    <xf numFmtId="4" fontId="473" fillId="55" borderId="100" applyNumberFormat="0" applyProtection="0">
      <alignment vertical="center"/>
    </xf>
    <xf numFmtId="4" fontId="473" fillId="55" borderId="100" applyNumberFormat="0" applyProtection="0">
      <alignment vertical="center"/>
    </xf>
    <xf numFmtId="4" fontId="473" fillId="55" borderId="100" applyNumberFormat="0" applyProtection="0">
      <alignment vertical="center"/>
    </xf>
    <xf numFmtId="4" fontId="473" fillId="55" borderId="100" applyNumberFormat="0" applyProtection="0">
      <alignment vertical="center"/>
    </xf>
    <xf numFmtId="4" fontId="473" fillId="55" borderId="100" applyNumberFormat="0" applyProtection="0">
      <alignment vertical="center"/>
    </xf>
    <xf numFmtId="4" fontId="473" fillId="55" borderId="100" applyNumberFormat="0" applyProtection="0">
      <alignment vertical="center"/>
    </xf>
    <xf numFmtId="4" fontId="473" fillId="55" borderId="100" applyNumberFormat="0" applyProtection="0">
      <alignment vertical="center"/>
    </xf>
    <xf numFmtId="4" fontId="473" fillId="55" borderId="100" applyNumberFormat="0" applyProtection="0">
      <alignment vertical="center"/>
    </xf>
    <xf numFmtId="4" fontId="473" fillId="55" borderId="100" applyNumberFormat="0" applyProtection="0">
      <alignment vertical="center"/>
    </xf>
    <xf numFmtId="4" fontId="473" fillId="55" borderId="100" applyNumberFormat="0" applyProtection="0">
      <alignment vertical="center"/>
    </xf>
    <xf numFmtId="4" fontId="473" fillId="55" borderId="100" applyNumberFormat="0" applyProtection="0">
      <alignment vertical="center"/>
    </xf>
    <xf numFmtId="4" fontId="473" fillId="55" borderId="100" applyNumberFormat="0" applyProtection="0">
      <alignment vertical="center"/>
    </xf>
    <xf numFmtId="4" fontId="473" fillId="55" borderId="100" applyNumberFormat="0" applyProtection="0">
      <alignment vertical="center"/>
    </xf>
    <xf numFmtId="4" fontId="473" fillId="55" borderId="100" applyNumberFormat="0" applyProtection="0">
      <alignment vertical="center"/>
    </xf>
    <xf numFmtId="4" fontId="473" fillId="55" borderId="100" applyNumberFormat="0" applyProtection="0">
      <alignment vertical="center"/>
    </xf>
    <xf numFmtId="4" fontId="473" fillId="55" borderId="100" applyNumberFormat="0" applyProtection="0">
      <alignment vertical="center"/>
    </xf>
    <xf numFmtId="4" fontId="473" fillId="55" borderId="100" applyNumberFormat="0" applyProtection="0">
      <alignment vertical="center"/>
    </xf>
    <xf numFmtId="4" fontId="473" fillId="55" borderId="100" applyNumberFormat="0" applyProtection="0">
      <alignment vertical="center"/>
    </xf>
    <xf numFmtId="4" fontId="473" fillId="55" borderId="100" applyNumberFormat="0" applyProtection="0">
      <alignment vertical="center"/>
    </xf>
    <xf numFmtId="4" fontId="473" fillId="55" borderId="100" applyNumberFormat="0" applyProtection="0">
      <alignment vertical="center"/>
    </xf>
    <xf numFmtId="4" fontId="473" fillId="55" borderId="100" applyNumberFormat="0" applyProtection="0">
      <alignment vertical="center"/>
    </xf>
    <xf numFmtId="4" fontId="473" fillId="55" borderId="100" applyNumberFormat="0" applyProtection="0">
      <alignment vertical="center"/>
    </xf>
    <xf numFmtId="4" fontId="473" fillId="55" borderId="100" applyNumberFormat="0" applyProtection="0">
      <alignment vertical="center"/>
    </xf>
    <xf numFmtId="4" fontId="473" fillId="55" borderId="100" applyNumberFormat="0" applyProtection="0">
      <alignment vertical="center"/>
    </xf>
    <xf numFmtId="4" fontId="473" fillId="55" borderId="100" applyNumberFormat="0" applyProtection="0">
      <alignment vertical="center"/>
    </xf>
    <xf numFmtId="4" fontId="473" fillId="55" borderId="100" applyNumberFormat="0" applyProtection="0">
      <alignment vertical="center"/>
    </xf>
    <xf numFmtId="4" fontId="473" fillId="55" borderId="100" applyNumberFormat="0" applyProtection="0">
      <alignment vertical="center"/>
    </xf>
    <xf numFmtId="4" fontId="473" fillId="55" borderId="100" applyNumberFormat="0" applyProtection="0">
      <alignment vertical="center"/>
    </xf>
    <xf numFmtId="4" fontId="473" fillId="55" borderId="100" applyNumberFormat="0" applyProtection="0">
      <alignment vertical="center"/>
    </xf>
    <xf numFmtId="4" fontId="473" fillId="55" borderId="100" applyNumberFormat="0" applyProtection="0">
      <alignment vertical="center"/>
    </xf>
    <xf numFmtId="4" fontId="473" fillId="55" borderId="100" applyNumberFormat="0" applyProtection="0">
      <alignment vertical="center"/>
    </xf>
    <xf numFmtId="4" fontId="473" fillId="55" borderId="100" applyNumberFormat="0" applyProtection="0">
      <alignment vertical="center"/>
    </xf>
    <xf numFmtId="4" fontId="473" fillId="55" borderId="100" applyNumberFormat="0" applyProtection="0">
      <alignment vertical="center"/>
    </xf>
    <xf numFmtId="4" fontId="473" fillId="55" borderId="100" applyNumberFormat="0" applyProtection="0">
      <alignment vertical="center"/>
    </xf>
    <xf numFmtId="4" fontId="473" fillId="55" borderId="100" applyNumberFormat="0" applyProtection="0">
      <alignment vertical="center"/>
    </xf>
    <xf numFmtId="4" fontId="473" fillId="55" borderId="100" applyNumberFormat="0" applyProtection="0">
      <alignment vertical="center"/>
    </xf>
    <xf numFmtId="4" fontId="473" fillId="55" borderId="100" applyNumberFormat="0" applyProtection="0">
      <alignment vertical="center"/>
    </xf>
    <xf numFmtId="4" fontId="473" fillId="55" borderId="100" applyNumberFormat="0" applyProtection="0">
      <alignment vertical="center"/>
    </xf>
    <xf numFmtId="4" fontId="473" fillId="55" borderId="100" applyNumberFormat="0" applyProtection="0">
      <alignment vertical="center"/>
    </xf>
    <xf numFmtId="4" fontId="473" fillId="55" borderId="100" applyNumberFormat="0" applyProtection="0">
      <alignment vertical="center"/>
    </xf>
    <xf numFmtId="4" fontId="473" fillId="41" borderId="100" applyNumberFormat="0" applyProtection="0">
      <alignment vertical="center"/>
    </xf>
    <xf numFmtId="4" fontId="473" fillId="41" borderId="100" applyNumberFormat="0" applyProtection="0">
      <alignment vertical="center"/>
    </xf>
    <xf numFmtId="4" fontId="473" fillId="41" borderId="100" applyNumberFormat="0" applyProtection="0">
      <alignment vertical="center"/>
    </xf>
    <xf numFmtId="4" fontId="473" fillId="41" borderId="100" applyNumberFormat="0" applyProtection="0">
      <alignment vertical="center"/>
    </xf>
    <xf numFmtId="4" fontId="473" fillId="41" borderId="100" applyNumberFormat="0" applyProtection="0">
      <alignment vertical="center"/>
    </xf>
    <xf numFmtId="4" fontId="473" fillId="41" borderId="100" applyNumberFormat="0" applyProtection="0">
      <alignment vertical="center"/>
    </xf>
    <xf numFmtId="4" fontId="473" fillId="41" borderId="100" applyNumberFormat="0" applyProtection="0">
      <alignment vertical="center"/>
    </xf>
    <xf numFmtId="4" fontId="473" fillId="41" borderId="100" applyNumberFormat="0" applyProtection="0">
      <alignment vertical="center"/>
    </xf>
    <xf numFmtId="4" fontId="473" fillId="41" borderId="100" applyNumberFormat="0" applyProtection="0">
      <alignment vertical="center"/>
    </xf>
    <xf numFmtId="4" fontId="473" fillId="41" borderId="100" applyNumberFormat="0" applyProtection="0">
      <alignment vertical="center"/>
    </xf>
    <xf numFmtId="4" fontId="473" fillId="41" borderId="100" applyNumberFormat="0" applyProtection="0">
      <alignment vertical="center"/>
    </xf>
    <xf numFmtId="4" fontId="473" fillId="41" borderId="100" applyNumberFormat="0" applyProtection="0">
      <alignment vertical="center"/>
    </xf>
    <xf numFmtId="4" fontId="473" fillId="41" borderId="100" applyNumberFormat="0" applyProtection="0">
      <alignment vertical="center"/>
    </xf>
    <xf numFmtId="4" fontId="473" fillId="41" borderId="100" applyNumberFormat="0" applyProtection="0">
      <alignment vertical="center"/>
    </xf>
    <xf numFmtId="4" fontId="473" fillId="41" borderId="100" applyNumberFormat="0" applyProtection="0">
      <alignment vertical="center"/>
    </xf>
    <xf numFmtId="4" fontId="473" fillId="41" borderId="100" applyNumberFormat="0" applyProtection="0">
      <alignment vertical="center"/>
    </xf>
    <xf numFmtId="4" fontId="473" fillId="41" borderId="100" applyNumberFormat="0" applyProtection="0">
      <alignment vertical="center"/>
    </xf>
    <xf numFmtId="4" fontId="472" fillId="41" borderId="99" applyNumberFormat="0" applyProtection="0">
      <alignment vertical="center"/>
    </xf>
    <xf numFmtId="4" fontId="472" fillId="41" borderId="99" applyNumberFormat="0" applyProtection="0">
      <alignment vertical="center"/>
    </xf>
    <xf numFmtId="4" fontId="473" fillId="41" borderId="100" applyNumberFormat="0" applyProtection="0">
      <alignment vertical="center"/>
    </xf>
    <xf numFmtId="4" fontId="473" fillId="41" borderId="100" applyNumberFormat="0" applyProtection="0">
      <alignment vertical="center"/>
    </xf>
    <xf numFmtId="4" fontId="473" fillId="41" borderId="100" applyNumberFormat="0" applyProtection="0">
      <alignment vertical="center"/>
    </xf>
    <xf numFmtId="4" fontId="473" fillId="41" borderId="100" applyNumberFormat="0" applyProtection="0">
      <alignment vertical="center"/>
    </xf>
    <xf numFmtId="4" fontId="473" fillId="41" borderId="100" applyNumberFormat="0" applyProtection="0">
      <alignment vertical="center"/>
    </xf>
    <xf numFmtId="4" fontId="473" fillId="41" borderId="100" applyNumberFormat="0" applyProtection="0">
      <alignment vertical="center"/>
    </xf>
    <xf numFmtId="4" fontId="473" fillId="41" borderId="100" applyNumberFormat="0" applyProtection="0">
      <alignment vertical="center"/>
    </xf>
    <xf numFmtId="4" fontId="473" fillId="41" borderId="100" applyNumberFormat="0" applyProtection="0">
      <alignment vertical="center"/>
    </xf>
    <xf numFmtId="4" fontId="473" fillId="41" borderId="100" applyNumberFormat="0" applyProtection="0">
      <alignment vertical="center"/>
    </xf>
    <xf numFmtId="4" fontId="473" fillId="41" borderId="100" applyNumberFormat="0" applyProtection="0">
      <alignment vertical="center"/>
    </xf>
    <xf numFmtId="4" fontId="473" fillId="41" borderId="100" applyNumberFormat="0" applyProtection="0">
      <alignment vertical="center"/>
    </xf>
    <xf numFmtId="4" fontId="473" fillId="41" borderId="100" applyNumberFormat="0" applyProtection="0">
      <alignment vertical="center"/>
    </xf>
    <xf numFmtId="4" fontId="473" fillId="41" borderId="100" applyNumberFormat="0" applyProtection="0">
      <alignment vertical="center"/>
    </xf>
    <xf numFmtId="4" fontId="473" fillId="41" borderId="100" applyNumberFormat="0" applyProtection="0">
      <alignment vertical="center"/>
    </xf>
    <xf numFmtId="4" fontId="473" fillId="41" borderId="100" applyNumberFormat="0" applyProtection="0">
      <alignment vertical="center"/>
    </xf>
    <xf numFmtId="4" fontId="473" fillId="41" borderId="100" applyNumberFormat="0" applyProtection="0">
      <alignment vertical="center"/>
    </xf>
    <xf numFmtId="4" fontId="473" fillId="41" borderId="100" applyNumberFormat="0" applyProtection="0">
      <alignment vertical="center"/>
    </xf>
    <xf numFmtId="4" fontId="473" fillId="41" borderId="100" applyNumberFormat="0" applyProtection="0">
      <alignment vertical="center"/>
    </xf>
    <xf numFmtId="4" fontId="474" fillId="41" borderId="99" applyNumberFormat="0" applyProtection="0">
      <alignment horizontal="left" vertical="center" indent="1"/>
    </xf>
    <xf numFmtId="4" fontId="471" fillId="41" borderId="100" applyNumberFormat="0" applyProtection="0">
      <alignment horizontal="left" vertical="center" indent="1"/>
    </xf>
    <xf numFmtId="4" fontId="471" fillId="41" borderId="100" applyNumberFormat="0" applyProtection="0">
      <alignment horizontal="left" vertical="center" indent="1"/>
    </xf>
    <xf numFmtId="4" fontId="471" fillId="41" borderId="100" applyNumberFormat="0" applyProtection="0">
      <alignment horizontal="left" vertical="center" indent="1"/>
    </xf>
    <xf numFmtId="4" fontId="471" fillId="41" borderId="100" applyNumberFormat="0" applyProtection="0">
      <alignment horizontal="left" vertical="center" indent="1"/>
    </xf>
    <xf numFmtId="4" fontId="471" fillId="41" borderId="100" applyNumberFormat="0" applyProtection="0">
      <alignment horizontal="left" vertical="center" indent="1"/>
    </xf>
    <xf numFmtId="4" fontId="471" fillId="41" borderId="100" applyNumberFormat="0" applyProtection="0">
      <alignment horizontal="left" vertical="center" indent="1"/>
    </xf>
    <xf numFmtId="4" fontId="471" fillId="41" borderId="100" applyNumberFormat="0" applyProtection="0">
      <alignment horizontal="left" vertical="center" indent="1"/>
    </xf>
    <xf numFmtId="4" fontId="471" fillId="41" borderId="100" applyNumberFormat="0" applyProtection="0">
      <alignment horizontal="left" vertical="center" indent="1"/>
    </xf>
    <xf numFmtId="4" fontId="471" fillId="41" borderId="100" applyNumberFormat="0" applyProtection="0">
      <alignment horizontal="left" vertical="center" indent="1"/>
    </xf>
    <xf numFmtId="4" fontId="471" fillId="41" borderId="100" applyNumberFormat="0" applyProtection="0">
      <alignment horizontal="left" vertical="center" indent="1"/>
    </xf>
    <xf numFmtId="4" fontId="471" fillId="55" borderId="100" applyNumberFormat="0" applyProtection="0">
      <alignment horizontal="left" vertical="center" indent="1"/>
    </xf>
    <xf numFmtId="4" fontId="471" fillId="55" borderId="100" applyNumberFormat="0" applyProtection="0">
      <alignment horizontal="left" vertical="center" indent="1"/>
    </xf>
    <xf numFmtId="4" fontId="471" fillId="55" borderId="100" applyNumberFormat="0" applyProtection="0">
      <alignment horizontal="left" vertical="center" indent="1"/>
    </xf>
    <xf numFmtId="4" fontId="471" fillId="55" borderId="100" applyNumberFormat="0" applyProtection="0">
      <alignment horizontal="left" vertical="center" indent="1"/>
    </xf>
    <xf numFmtId="4" fontId="471" fillId="55" borderId="100" applyNumberFormat="0" applyProtection="0">
      <alignment horizontal="left" vertical="center" indent="1"/>
    </xf>
    <xf numFmtId="4" fontId="471" fillId="55" borderId="100" applyNumberFormat="0" applyProtection="0">
      <alignment horizontal="left" vertical="center" indent="1"/>
    </xf>
    <xf numFmtId="4" fontId="471" fillId="55" borderId="100" applyNumberFormat="0" applyProtection="0">
      <alignment horizontal="left" vertical="center" indent="1"/>
    </xf>
    <xf numFmtId="4" fontId="471" fillId="55" borderId="100" applyNumberFormat="0" applyProtection="0">
      <alignment horizontal="left" vertical="center" indent="1"/>
    </xf>
    <xf numFmtId="4" fontId="471" fillId="55" borderId="100" applyNumberFormat="0" applyProtection="0">
      <alignment horizontal="left" vertical="center" indent="1"/>
    </xf>
    <xf numFmtId="4" fontId="471" fillId="55" borderId="100" applyNumberFormat="0" applyProtection="0">
      <alignment horizontal="left" vertical="center" indent="1"/>
    </xf>
    <xf numFmtId="4" fontId="471" fillId="55" borderId="100" applyNumberFormat="0" applyProtection="0">
      <alignment horizontal="left" vertical="center" indent="1"/>
    </xf>
    <xf numFmtId="4" fontId="471" fillId="55" borderId="100" applyNumberFormat="0" applyProtection="0">
      <alignment horizontal="left" vertical="center" indent="1"/>
    </xf>
    <xf numFmtId="4" fontId="471" fillId="55" borderId="100" applyNumberFormat="0" applyProtection="0">
      <alignment horizontal="left" vertical="center" indent="1"/>
    </xf>
    <xf numFmtId="4" fontId="471" fillId="55" borderId="100" applyNumberFormat="0" applyProtection="0">
      <alignment horizontal="left" vertical="center" indent="1"/>
    </xf>
    <xf numFmtId="4" fontId="471" fillId="55" borderId="100" applyNumberFormat="0" applyProtection="0">
      <alignment horizontal="left" vertical="center" indent="1"/>
    </xf>
    <xf numFmtId="4" fontId="471" fillId="55" borderId="100" applyNumberFormat="0" applyProtection="0">
      <alignment horizontal="left" vertical="center" indent="1"/>
    </xf>
    <xf numFmtId="4" fontId="471" fillId="55" borderId="100" applyNumberFormat="0" applyProtection="0">
      <alignment horizontal="left" vertical="center" indent="1"/>
    </xf>
    <xf numFmtId="4" fontId="471" fillId="55" borderId="100" applyNumberFormat="0" applyProtection="0">
      <alignment horizontal="left" vertical="center" indent="1"/>
    </xf>
    <xf numFmtId="4" fontId="471" fillId="55" borderId="100" applyNumberFormat="0" applyProtection="0">
      <alignment horizontal="left" vertical="center" indent="1"/>
    </xf>
    <xf numFmtId="4" fontId="471" fillId="55" borderId="100" applyNumberFormat="0" applyProtection="0">
      <alignment horizontal="left" vertical="center" indent="1"/>
    </xf>
    <xf numFmtId="4" fontId="471" fillId="55" borderId="100" applyNumberFormat="0" applyProtection="0">
      <alignment horizontal="left" vertical="center" indent="1"/>
    </xf>
    <xf numFmtId="4" fontId="471" fillId="55" borderId="100" applyNumberFormat="0" applyProtection="0">
      <alignment horizontal="left" vertical="center" indent="1"/>
    </xf>
    <xf numFmtId="4" fontId="471" fillId="55" borderId="100" applyNumberFormat="0" applyProtection="0">
      <alignment horizontal="left" vertical="center" indent="1"/>
    </xf>
    <xf numFmtId="4" fontId="471" fillId="55" borderId="100" applyNumberFormat="0" applyProtection="0">
      <alignment horizontal="left" vertical="center" indent="1"/>
    </xf>
    <xf numFmtId="4" fontId="471" fillId="55" borderId="100" applyNumberFormat="0" applyProtection="0">
      <alignment horizontal="left" vertical="center" indent="1"/>
    </xf>
    <xf numFmtId="4" fontId="471" fillId="55" borderId="100" applyNumberFormat="0" applyProtection="0">
      <alignment horizontal="left" vertical="center" indent="1"/>
    </xf>
    <xf numFmtId="4" fontId="471" fillId="55" borderId="100" applyNumberFormat="0" applyProtection="0">
      <alignment horizontal="left" vertical="center" indent="1"/>
    </xf>
    <xf numFmtId="4" fontId="471" fillId="55" borderId="100" applyNumberFormat="0" applyProtection="0">
      <alignment horizontal="left" vertical="center" indent="1"/>
    </xf>
    <xf numFmtId="4" fontId="471" fillId="55" borderId="100" applyNumberFormat="0" applyProtection="0">
      <alignment horizontal="left" vertical="center" indent="1"/>
    </xf>
    <xf numFmtId="4" fontId="471" fillId="55" borderId="100" applyNumberFormat="0" applyProtection="0">
      <alignment horizontal="left" vertical="center" indent="1"/>
    </xf>
    <xf numFmtId="4" fontId="471" fillId="55" borderId="100" applyNumberFormat="0" applyProtection="0">
      <alignment horizontal="left" vertical="center" indent="1"/>
    </xf>
    <xf numFmtId="4" fontId="471" fillId="55" borderId="100" applyNumberFormat="0" applyProtection="0">
      <alignment horizontal="left" vertical="center" indent="1"/>
    </xf>
    <xf numFmtId="4" fontId="471" fillId="55" borderId="100" applyNumberFormat="0" applyProtection="0">
      <alignment horizontal="left" vertical="center" indent="1"/>
    </xf>
    <xf numFmtId="4" fontId="471" fillId="55" borderId="100" applyNumberFormat="0" applyProtection="0">
      <alignment horizontal="left" vertical="center" indent="1"/>
    </xf>
    <xf numFmtId="4" fontId="471" fillId="55" borderId="100" applyNumberFormat="0" applyProtection="0">
      <alignment horizontal="left" vertical="center" indent="1"/>
    </xf>
    <xf numFmtId="4" fontId="471" fillId="55" borderId="100" applyNumberFormat="0" applyProtection="0">
      <alignment horizontal="left" vertical="center" indent="1"/>
    </xf>
    <xf numFmtId="4" fontId="471" fillId="55" borderId="100" applyNumberFormat="0" applyProtection="0">
      <alignment horizontal="left" vertical="center" indent="1"/>
    </xf>
    <xf numFmtId="4" fontId="471" fillId="55" borderId="100" applyNumberFormat="0" applyProtection="0">
      <alignment horizontal="left" vertical="center" indent="1"/>
    </xf>
    <xf numFmtId="4" fontId="471" fillId="55" borderId="100" applyNumberFormat="0" applyProtection="0">
      <alignment horizontal="left" vertical="center" indent="1"/>
    </xf>
    <xf numFmtId="4" fontId="471" fillId="55" borderId="100" applyNumberFormat="0" applyProtection="0">
      <alignment horizontal="left" vertical="center" indent="1"/>
    </xf>
    <xf numFmtId="4" fontId="471" fillId="55" borderId="100" applyNumberFormat="0" applyProtection="0">
      <alignment horizontal="left" vertical="center" indent="1"/>
    </xf>
    <xf numFmtId="4" fontId="471" fillId="55" borderId="100" applyNumberFormat="0" applyProtection="0">
      <alignment horizontal="left" vertical="center" indent="1"/>
    </xf>
    <xf numFmtId="4" fontId="471" fillId="55" borderId="100" applyNumberFormat="0" applyProtection="0">
      <alignment horizontal="left" vertical="center" indent="1"/>
    </xf>
    <xf numFmtId="4" fontId="471" fillId="55" borderId="100" applyNumberFormat="0" applyProtection="0">
      <alignment horizontal="left" vertical="center" indent="1"/>
    </xf>
    <xf numFmtId="4" fontId="471" fillId="55" borderId="100" applyNumberFormat="0" applyProtection="0">
      <alignment horizontal="left" vertical="center" indent="1"/>
    </xf>
    <xf numFmtId="4" fontId="471" fillId="55" borderId="100" applyNumberFormat="0" applyProtection="0">
      <alignment horizontal="left" vertical="center" indent="1"/>
    </xf>
    <xf numFmtId="4" fontId="471" fillId="55" borderId="100" applyNumberFormat="0" applyProtection="0">
      <alignment horizontal="left" vertical="center" indent="1"/>
    </xf>
    <xf numFmtId="4" fontId="471" fillId="55" borderId="100" applyNumberFormat="0" applyProtection="0">
      <alignment horizontal="left" vertical="center" indent="1"/>
    </xf>
    <xf numFmtId="4" fontId="471" fillId="55" borderId="100" applyNumberFormat="0" applyProtection="0">
      <alignment horizontal="left" vertical="center" indent="1"/>
    </xf>
    <xf numFmtId="4" fontId="471" fillId="55" borderId="100" applyNumberFormat="0" applyProtection="0">
      <alignment horizontal="left" vertical="center" indent="1"/>
    </xf>
    <xf numFmtId="4" fontId="471" fillId="55" borderId="100" applyNumberFormat="0" applyProtection="0">
      <alignment horizontal="left" vertical="center" indent="1"/>
    </xf>
    <xf numFmtId="4" fontId="471" fillId="55" borderId="100" applyNumberFormat="0" applyProtection="0">
      <alignment horizontal="left" vertical="center" indent="1"/>
    </xf>
    <xf numFmtId="4" fontId="471" fillId="55" borderId="100" applyNumberFormat="0" applyProtection="0">
      <alignment horizontal="left" vertical="center" indent="1"/>
    </xf>
    <xf numFmtId="4" fontId="471" fillId="55" borderId="100" applyNumberFormat="0" applyProtection="0">
      <alignment horizontal="left" vertical="center" indent="1"/>
    </xf>
    <xf numFmtId="4" fontId="471" fillId="55" borderId="100" applyNumberFormat="0" applyProtection="0">
      <alignment horizontal="left" vertical="center" indent="1"/>
    </xf>
    <xf numFmtId="4" fontId="471" fillId="55" borderId="100" applyNumberFormat="0" applyProtection="0">
      <alignment horizontal="left" vertical="center" indent="1"/>
    </xf>
    <xf numFmtId="4" fontId="471" fillId="55" borderId="100" applyNumberFormat="0" applyProtection="0">
      <alignment horizontal="left" vertical="center" indent="1"/>
    </xf>
    <xf numFmtId="4" fontId="471" fillId="55" borderId="100" applyNumberFormat="0" applyProtection="0">
      <alignment horizontal="left" vertical="center" indent="1"/>
    </xf>
    <xf numFmtId="4" fontId="471" fillId="55" borderId="100" applyNumberFormat="0" applyProtection="0">
      <alignment horizontal="left" vertical="center" indent="1"/>
    </xf>
    <xf numFmtId="4" fontId="471" fillId="55" borderId="100" applyNumberFormat="0" applyProtection="0">
      <alignment horizontal="left" vertical="center" indent="1"/>
    </xf>
    <xf numFmtId="4" fontId="471" fillId="55" borderId="100" applyNumberFormat="0" applyProtection="0">
      <alignment horizontal="left" vertical="center" indent="1"/>
    </xf>
    <xf numFmtId="4" fontId="471" fillId="55" borderId="100" applyNumberFormat="0" applyProtection="0">
      <alignment horizontal="left" vertical="center" indent="1"/>
    </xf>
    <xf numFmtId="4" fontId="471" fillId="41" borderId="100" applyNumberFormat="0" applyProtection="0">
      <alignment horizontal="left" vertical="center" indent="1"/>
    </xf>
    <xf numFmtId="4" fontId="471" fillId="41" borderId="100" applyNumberFormat="0" applyProtection="0">
      <alignment horizontal="left" vertical="center" indent="1"/>
    </xf>
    <xf numFmtId="4" fontId="471" fillId="41" borderId="100" applyNumberFormat="0" applyProtection="0">
      <alignment horizontal="left" vertical="center" indent="1"/>
    </xf>
    <xf numFmtId="4" fontId="471" fillId="41" borderId="100" applyNumberFormat="0" applyProtection="0">
      <alignment horizontal="left" vertical="center" indent="1"/>
    </xf>
    <xf numFmtId="4" fontId="471" fillId="41" borderId="100" applyNumberFormat="0" applyProtection="0">
      <alignment horizontal="left" vertical="center" indent="1"/>
    </xf>
    <xf numFmtId="4" fontId="471" fillId="41" borderId="100" applyNumberFormat="0" applyProtection="0">
      <alignment horizontal="left" vertical="center" indent="1"/>
    </xf>
    <xf numFmtId="4" fontId="471" fillId="41" borderId="100" applyNumberFormat="0" applyProtection="0">
      <alignment horizontal="left" vertical="center" indent="1"/>
    </xf>
    <xf numFmtId="4" fontId="471" fillId="41" borderId="100" applyNumberFormat="0" applyProtection="0">
      <alignment horizontal="left" vertical="center" indent="1"/>
    </xf>
    <xf numFmtId="4" fontId="471" fillId="41" borderId="100" applyNumberFormat="0" applyProtection="0">
      <alignment horizontal="left" vertical="center" indent="1"/>
    </xf>
    <xf numFmtId="4" fontId="471" fillId="41" borderId="100" applyNumberFormat="0" applyProtection="0">
      <alignment horizontal="left" vertical="center" indent="1"/>
    </xf>
    <xf numFmtId="4" fontId="471" fillId="41" borderId="100" applyNumberFormat="0" applyProtection="0">
      <alignment horizontal="left" vertical="center" indent="1"/>
    </xf>
    <xf numFmtId="4" fontId="471" fillId="41" borderId="100" applyNumberFormat="0" applyProtection="0">
      <alignment horizontal="left" vertical="center" indent="1"/>
    </xf>
    <xf numFmtId="4" fontId="471" fillId="41" borderId="100" applyNumberFormat="0" applyProtection="0">
      <alignment horizontal="left" vertical="center" indent="1"/>
    </xf>
    <xf numFmtId="4" fontId="471" fillId="41" borderId="100" applyNumberFormat="0" applyProtection="0">
      <alignment horizontal="left" vertical="center" indent="1"/>
    </xf>
    <xf numFmtId="4" fontId="471" fillId="41" borderId="100" applyNumberFormat="0" applyProtection="0">
      <alignment horizontal="left" vertical="center" indent="1"/>
    </xf>
    <xf numFmtId="4" fontId="471" fillId="41" borderId="100" applyNumberFormat="0" applyProtection="0">
      <alignment horizontal="left" vertical="center" indent="1"/>
    </xf>
    <xf numFmtId="4" fontId="471" fillId="41" borderId="100" applyNumberFormat="0" applyProtection="0">
      <alignment horizontal="left" vertical="center" indent="1"/>
    </xf>
    <xf numFmtId="4" fontId="474" fillId="41" borderId="99" applyNumberFormat="0" applyProtection="0">
      <alignment horizontal="left" vertical="center" indent="1"/>
    </xf>
    <xf numFmtId="4" fontId="474" fillId="41" borderId="99" applyNumberFormat="0" applyProtection="0">
      <alignment horizontal="left" vertical="center" indent="1"/>
    </xf>
    <xf numFmtId="4" fontId="471" fillId="41" borderId="100" applyNumberFormat="0" applyProtection="0">
      <alignment horizontal="left" vertical="center" indent="1"/>
    </xf>
    <xf numFmtId="4" fontId="471" fillId="41" borderId="100" applyNumberFormat="0" applyProtection="0">
      <alignment horizontal="left" vertical="center" indent="1"/>
    </xf>
    <xf numFmtId="4" fontId="471" fillId="41" borderId="100" applyNumberFormat="0" applyProtection="0">
      <alignment horizontal="left" vertical="center" indent="1"/>
    </xf>
    <xf numFmtId="4" fontId="471" fillId="41" borderId="100" applyNumberFormat="0" applyProtection="0">
      <alignment horizontal="left" vertical="center" indent="1"/>
    </xf>
    <xf numFmtId="4" fontId="471" fillId="41" borderId="100" applyNumberFormat="0" applyProtection="0">
      <alignment horizontal="left" vertical="center" indent="1"/>
    </xf>
    <xf numFmtId="4" fontId="471" fillId="41" borderId="100" applyNumberFormat="0" applyProtection="0">
      <alignment horizontal="left" vertical="center" indent="1"/>
    </xf>
    <xf numFmtId="4" fontId="471" fillId="41" borderId="100" applyNumberFormat="0" applyProtection="0">
      <alignment horizontal="left" vertical="center" indent="1"/>
    </xf>
    <xf numFmtId="4" fontId="471" fillId="41" borderId="100" applyNumberFormat="0" applyProtection="0">
      <alignment horizontal="left" vertical="center" indent="1"/>
    </xf>
    <xf numFmtId="4" fontId="471" fillId="41" borderId="100" applyNumberFormat="0" applyProtection="0">
      <alignment horizontal="left" vertical="center" indent="1"/>
    </xf>
    <xf numFmtId="4" fontId="471" fillId="41" borderId="100" applyNumberFormat="0" applyProtection="0">
      <alignment horizontal="left" vertical="center" indent="1"/>
    </xf>
    <xf numFmtId="4" fontId="471" fillId="41" borderId="100" applyNumberFormat="0" applyProtection="0">
      <alignment horizontal="left" vertical="center" indent="1"/>
    </xf>
    <xf numFmtId="4" fontId="471" fillId="41" borderId="100" applyNumberFormat="0" applyProtection="0">
      <alignment horizontal="left" vertical="center" indent="1"/>
    </xf>
    <xf numFmtId="4" fontId="471" fillId="41" borderId="100" applyNumberFormat="0" applyProtection="0">
      <alignment horizontal="left" vertical="center" indent="1"/>
    </xf>
    <xf numFmtId="4" fontId="471" fillId="41" borderId="100" applyNumberFormat="0" applyProtection="0">
      <alignment horizontal="left" vertical="center" indent="1"/>
    </xf>
    <xf numFmtId="4" fontId="471" fillId="41" borderId="100" applyNumberFormat="0" applyProtection="0">
      <alignment horizontal="left" vertical="center" indent="1"/>
    </xf>
    <xf numFmtId="4" fontId="471" fillId="41" borderId="100" applyNumberFormat="0" applyProtection="0">
      <alignment horizontal="left" vertical="center" indent="1"/>
    </xf>
    <xf numFmtId="4" fontId="471" fillId="41" borderId="100" applyNumberFormat="0" applyProtection="0">
      <alignment horizontal="left" vertical="center" indent="1"/>
    </xf>
    <xf numFmtId="4" fontId="471" fillId="41" borderId="100" applyNumberFormat="0" applyProtection="0">
      <alignment horizontal="left" vertical="center" indent="1"/>
    </xf>
    <xf numFmtId="0" fontId="471" fillId="55" borderId="100" applyNumberFormat="0" applyProtection="0">
      <alignment horizontal="left" vertical="top" indent="1"/>
    </xf>
    <xf numFmtId="0" fontId="471" fillId="41" borderId="100" applyNumberFormat="0" applyProtection="0">
      <alignment horizontal="left" vertical="top" indent="1"/>
    </xf>
    <xf numFmtId="0" fontId="471" fillId="41" borderId="100" applyNumberFormat="0" applyProtection="0">
      <alignment horizontal="left" vertical="top" indent="1"/>
    </xf>
    <xf numFmtId="0" fontId="471" fillId="41" borderId="100" applyNumberFormat="0" applyProtection="0">
      <alignment horizontal="left" vertical="top" indent="1"/>
    </xf>
    <xf numFmtId="0" fontId="471" fillId="41" borderId="100" applyNumberFormat="0" applyProtection="0">
      <alignment horizontal="left" vertical="top" indent="1"/>
    </xf>
    <xf numFmtId="0" fontId="471" fillId="41" borderId="100" applyNumberFormat="0" applyProtection="0">
      <alignment horizontal="left" vertical="top" indent="1"/>
    </xf>
    <xf numFmtId="0" fontId="471" fillId="41" borderId="100" applyNumberFormat="0" applyProtection="0">
      <alignment horizontal="left" vertical="top" indent="1"/>
    </xf>
    <xf numFmtId="0" fontId="471" fillId="41" borderId="100" applyNumberFormat="0" applyProtection="0">
      <alignment horizontal="left" vertical="top" indent="1"/>
    </xf>
    <xf numFmtId="0" fontId="471" fillId="41" borderId="100" applyNumberFormat="0" applyProtection="0">
      <alignment horizontal="left" vertical="top" indent="1"/>
    </xf>
    <xf numFmtId="0" fontId="471" fillId="41" borderId="100" applyNumberFormat="0" applyProtection="0">
      <alignment horizontal="left" vertical="top" indent="1"/>
    </xf>
    <xf numFmtId="0" fontId="471" fillId="41" borderId="100" applyNumberFormat="0" applyProtection="0">
      <alignment horizontal="left" vertical="top" indent="1"/>
    </xf>
    <xf numFmtId="0" fontId="471" fillId="55" borderId="100" applyNumberFormat="0" applyProtection="0">
      <alignment horizontal="left" vertical="top" indent="1"/>
    </xf>
    <xf numFmtId="0" fontId="471" fillId="55" borderId="100" applyNumberFormat="0" applyProtection="0">
      <alignment horizontal="left" vertical="top" indent="1"/>
    </xf>
    <xf numFmtId="0" fontId="471" fillId="55" borderId="100" applyNumberFormat="0" applyProtection="0">
      <alignment horizontal="left" vertical="top" indent="1"/>
    </xf>
    <xf numFmtId="0" fontId="471" fillId="55" borderId="100" applyNumberFormat="0" applyProtection="0">
      <alignment horizontal="left" vertical="top" indent="1"/>
    </xf>
    <xf numFmtId="0" fontId="471" fillId="55" borderId="100" applyNumberFormat="0" applyProtection="0">
      <alignment horizontal="left" vertical="top" indent="1"/>
    </xf>
    <xf numFmtId="0" fontId="471" fillId="55" borderId="100" applyNumberFormat="0" applyProtection="0">
      <alignment horizontal="left" vertical="top" indent="1"/>
    </xf>
    <xf numFmtId="0" fontId="471" fillId="55" borderId="100" applyNumberFormat="0" applyProtection="0">
      <alignment horizontal="left" vertical="top" indent="1"/>
    </xf>
    <xf numFmtId="0" fontId="471" fillId="55" borderId="100" applyNumberFormat="0" applyProtection="0">
      <alignment horizontal="left" vertical="top" indent="1"/>
    </xf>
    <xf numFmtId="0" fontId="471" fillId="55" borderId="100" applyNumberFormat="0" applyProtection="0">
      <alignment horizontal="left" vertical="top" indent="1"/>
    </xf>
    <xf numFmtId="0" fontId="471" fillId="55" borderId="100" applyNumberFormat="0" applyProtection="0">
      <alignment horizontal="left" vertical="top" indent="1"/>
    </xf>
    <xf numFmtId="0" fontId="471" fillId="55" borderId="100" applyNumberFormat="0" applyProtection="0">
      <alignment horizontal="left" vertical="top" indent="1"/>
    </xf>
    <xf numFmtId="0" fontId="471" fillId="55" borderId="100" applyNumberFormat="0" applyProtection="0">
      <alignment horizontal="left" vertical="top" indent="1"/>
    </xf>
    <xf numFmtId="0" fontId="471" fillId="55" borderId="100" applyNumberFormat="0" applyProtection="0">
      <alignment horizontal="left" vertical="top" indent="1"/>
    </xf>
    <xf numFmtId="0" fontId="471" fillId="55" borderId="100" applyNumberFormat="0" applyProtection="0">
      <alignment horizontal="left" vertical="top" indent="1"/>
    </xf>
    <xf numFmtId="0" fontId="471" fillId="55" borderId="100" applyNumberFormat="0" applyProtection="0">
      <alignment horizontal="left" vertical="top" indent="1"/>
    </xf>
    <xf numFmtId="0" fontId="471" fillId="55" borderId="100" applyNumberFormat="0" applyProtection="0">
      <alignment horizontal="left" vertical="top" indent="1"/>
    </xf>
    <xf numFmtId="0" fontId="471" fillId="55" borderId="100" applyNumberFormat="0" applyProtection="0">
      <alignment horizontal="left" vertical="top" indent="1"/>
    </xf>
    <xf numFmtId="0" fontId="471" fillId="55" borderId="100" applyNumberFormat="0" applyProtection="0">
      <alignment horizontal="left" vertical="top" indent="1"/>
    </xf>
    <xf numFmtId="0" fontId="471" fillId="55" borderId="100" applyNumberFormat="0" applyProtection="0">
      <alignment horizontal="left" vertical="top" indent="1"/>
    </xf>
    <xf numFmtId="0" fontId="471" fillId="55" borderId="100" applyNumberFormat="0" applyProtection="0">
      <alignment horizontal="left" vertical="top" indent="1"/>
    </xf>
    <xf numFmtId="0" fontId="471" fillId="55" borderId="100" applyNumberFormat="0" applyProtection="0">
      <alignment horizontal="left" vertical="top" indent="1"/>
    </xf>
    <xf numFmtId="0" fontId="471" fillId="55" borderId="100" applyNumberFormat="0" applyProtection="0">
      <alignment horizontal="left" vertical="top" indent="1"/>
    </xf>
    <xf numFmtId="0" fontId="471" fillId="55" borderId="100" applyNumberFormat="0" applyProtection="0">
      <alignment horizontal="left" vertical="top" indent="1"/>
    </xf>
    <xf numFmtId="0" fontId="471" fillId="55" borderId="100" applyNumberFormat="0" applyProtection="0">
      <alignment horizontal="left" vertical="top" indent="1"/>
    </xf>
    <xf numFmtId="0" fontId="471" fillId="55" borderId="100" applyNumberFormat="0" applyProtection="0">
      <alignment horizontal="left" vertical="top" indent="1"/>
    </xf>
    <xf numFmtId="0" fontId="471" fillId="55" borderId="100" applyNumberFormat="0" applyProtection="0">
      <alignment horizontal="left" vertical="top" indent="1"/>
    </xf>
    <xf numFmtId="0" fontId="471" fillId="55" borderId="100" applyNumberFormat="0" applyProtection="0">
      <alignment horizontal="left" vertical="top" indent="1"/>
    </xf>
    <xf numFmtId="0" fontId="471" fillId="55" borderId="100" applyNumberFormat="0" applyProtection="0">
      <alignment horizontal="left" vertical="top" indent="1"/>
    </xf>
    <xf numFmtId="0" fontId="471" fillId="55" borderId="100" applyNumberFormat="0" applyProtection="0">
      <alignment horizontal="left" vertical="top" indent="1"/>
    </xf>
    <xf numFmtId="0" fontId="471" fillId="55" borderId="100" applyNumberFormat="0" applyProtection="0">
      <alignment horizontal="left" vertical="top" indent="1"/>
    </xf>
    <xf numFmtId="0" fontId="471" fillId="55" borderId="100" applyNumberFormat="0" applyProtection="0">
      <alignment horizontal="left" vertical="top" indent="1"/>
    </xf>
    <xf numFmtId="0" fontId="471" fillId="55" borderId="100" applyNumberFormat="0" applyProtection="0">
      <alignment horizontal="left" vertical="top" indent="1"/>
    </xf>
    <xf numFmtId="0" fontId="471" fillId="55" borderId="100" applyNumberFormat="0" applyProtection="0">
      <alignment horizontal="left" vertical="top" indent="1"/>
    </xf>
    <xf numFmtId="0" fontId="471" fillId="55" borderId="100" applyNumberFormat="0" applyProtection="0">
      <alignment horizontal="left" vertical="top" indent="1"/>
    </xf>
    <xf numFmtId="0" fontId="471" fillId="55" borderId="100" applyNumberFormat="0" applyProtection="0">
      <alignment horizontal="left" vertical="top" indent="1"/>
    </xf>
    <xf numFmtId="0" fontId="471" fillId="55" borderId="100" applyNumberFormat="0" applyProtection="0">
      <alignment horizontal="left" vertical="top" indent="1"/>
    </xf>
    <xf numFmtId="0" fontId="471" fillId="55" borderId="100" applyNumberFormat="0" applyProtection="0">
      <alignment horizontal="left" vertical="top" indent="1"/>
    </xf>
    <xf numFmtId="0" fontId="471" fillId="55" borderId="100" applyNumberFormat="0" applyProtection="0">
      <alignment horizontal="left" vertical="top" indent="1"/>
    </xf>
    <xf numFmtId="0" fontId="471" fillId="55" borderId="100" applyNumberFormat="0" applyProtection="0">
      <alignment horizontal="left" vertical="top" indent="1"/>
    </xf>
    <xf numFmtId="0" fontId="471" fillId="55" borderId="100" applyNumberFormat="0" applyProtection="0">
      <alignment horizontal="left" vertical="top" indent="1"/>
    </xf>
    <xf numFmtId="0" fontId="471" fillId="55" borderId="100" applyNumberFormat="0" applyProtection="0">
      <alignment horizontal="left" vertical="top" indent="1"/>
    </xf>
    <xf numFmtId="0" fontId="471" fillId="55" borderId="100" applyNumberFormat="0" applyProtection="0">
      <alignment horizontal="left" vertical="top" indent="1"/>
    </xf>
    <xf numFmtId="0" fontId="471" fillId="55" borderId="100" applyNumberFormat="0" applyProtection="0">
      <alignment horizontal="left" vertical="top" indent="1"/>
    </xf>
    <xf numFmtId="0" fontId="471" fillId="55" borderId="100" applyNumberFormat="0" applyProtection="0">
      <alignment horizontal="left" vertical="top" indent="1"/>
    </xf>
    <xf numFmtId="0" fontId="471" fillId="55" borderId="100" applyNumberFormat="0" applyProtection="0">
      <alignment horizontal="left" vertical="top" indent="1"/>
    </xf>
    <xf numFmtId="0" fontId="471" fillId="55" borderId="100" applyNumberFormat="0" applyProtection="0">
      <alignment horizontal="left" vertical="top" indent="1"/>
    </xf>
    <xf numFmtId="0" fontId="471" fillId="55" borderId="100" applyNumberFormat="0" applyProtection="0">
      <alignment horizontal="left" vertical="top" indent="1"/>
    </xf>
    <xf numFmtId="0" fontId="471" fillId="55" borderId="100" applyNumberFormat="0" applyProtection="0">
      <alignment horizontal="left" vertical="top" indent="1"/>
    </xf>
    <xf numFmtId="0" fontId="471" fillId="55" borderId="100" applyNumberFormat="0" applyProtection="0">
      <alignment horizontal="left" vertical="top" indent="1"/>
    </xf>
    <xf numFmtId="0" fontId="471" fillId="55" borderId="100" applyNumberFormat="0" applyProtection="0">
      <alignment horizontal="left" vertical="top" indent="1"/>
    </xf>
    <xf numFmtId="0" fontId="471" fillId="55" borderId="100" applyNumberFormat="0" applyProtection="0">
      <alignment horizontal="left" vertical="top" indent="1"/>
    </xf>
    <xf numFmtId="0" fontId="471" fillId="55" borderId="100" applyNumberFormat="0" applyProtection="0">
      <alignment horizontal="left" vertical="top" indent="1"/>
    </xf>
    <xf numFmtId="0" fontId="471" fillId="55" borderId="100" applyNumberFormat="0" applyProtection="0">
      <alignment horizontal="left" vertical="top" indent="1"/>
    </xf>
    <xf numFmtId="0" fontId="471" fillId="55" borderId="100" applyNumberFormat="0" applyProtection="0">
      <alignment horizontal="left" vertical="top" indent="1"/>
    </xf>
    <xf numFmtId="0" fontId="471" fillId="55" borderId="100" applyNumberFormat="0" applyProtection="0">
      <alignment horizontal="left" vertical="top" indent="1"/>
    </xf>
    <xf numFmtId="0" fontId="471" fillId="55" borderId="100" applyNumberFormat="0" applyProtection="0">
      <alignment horizontal="left" vertical="top" indent="1"/>
    </xf>
    <xf numFmtId="0" fontId="471" fillId="55" borderId="100" applyNumberFormat="0" applyProtection="0">
      <alignment horizontal="left" vertical="top" indent="1"/>
    </xf>
    <xf numFmtId="0" fontId="471" fillId="55" borderId="100" applyNumberFormat="0" applyProtection="0">
      <alignment horizontal="left" vertical="top" indent="1"/>
    </xf>
    <xf numFmtId="0" fontId="471" fillId="55" borderId="100" applyNumberFormat="0" applyProtection="0">
      <alignment horizontal="left" vertical="top" indent="1"/>
    </xf>
    <xf numFmtId="0" fontId="471" fillId="55" borderId="100" applyNumberFormat="0" applyProtection="0">
      <alignment horizontal="left" vertical="top" indent="1"/>
    </xf>
    <xf numFmtId="0" fontId="471" fillId="55" borderId="100" applyNumberFormat="0" applyProtection="0">
      <alignment horizontal="left" vertical="top" indent="1"/>
    </xf>
    <xf numFmtId="0" fontId="471" fillId="55" borderId="100" applyNumberFormat="0" applyProtection="0">
      <alignment horizontal="left" vertical="top" indent="1"/>
    </xf>
    <xf numFmtId="0" fontId="471" fillId="41" borderId="100" applyNumberFormat="0" applyProtection="0">
      <alignment horizontal="left" vertical="top" indent="1"/>
    </xf>
    <xf numFmtId="0" fontId="471" fillId="41" borderId="100" applyNumberFormat="0" applyProtection="0">
      <alignment horizontal="left" vertical="top" indent="1"/>
    </xf>
    <xf numFmtId="0" fontId="471" fillId="41" borderId="100" applyNumberFormat="0" applyProtection="0">
      <alignment horizontal="left" vertical="top" indent="1"/>
    </xf>
    <xf numFmtId="0" fontId="471" fillId="41" borderId="100" applyNumberFormat="0" applyProtection="0">
      <alignment horizontal="left" vertical="top" indent="1"/>
    </xf>
    <xf numFmtId="0" fontId="471" fillId="41" borderId="100" applyNumberFormat="0" applyProtection="0">
      <alignment horizontal="left" vertical="top" indent="1"/>
    </xf>
    <xf numFmtId="0" fontId="471" fillId="41" borderId="100" applyNumberFormat="0" applyProtection="0">
      <alignment horizontal="left" vertical="top" indent="1"/>
    </xf>
    <xf numFmtId="0" fontId="471" fillId="41" borderId="100" applyNumberFormat="0" applyProtection="0">
      <alignment horizontal="left" vertical="top" indent="1"/>
    </xf>
    <xf numFmtId="0" fontId="471" fillId="41" borderId="100" applyNumberFormat="0" applyProtection="0">
      <alignment horizontal="left" vertical="top" indent="1"/>
    </xf>
    <xf numFmtId="0" fontId="471" fillId="41" borderId="100" applyNumberFormat="0" applyProtection="0">
      <alignment horizontal="left" vertical="top" indent="1"/>
    </xf>
    <xf numFmtId="0" fontId="471" fillId="41" borderId="100" applyNumberFormat="0" applyProtection="0">
      <alignment horizontal="left" vertical="top" indent="1"/>
    </xf>
    <xf numFmtId="0" fontId="471" fillId="41" borderId="100" applyNumberFormat="0" applyProtection="0">
      <alignment horizontal="left" vertical="top" indent="1"/>
    </xf>
    <xf numFmtId="0" fontId="471" fillId="41" borderId="100" applyNumberFormat="0" applyProtection="0">
      <alignment horizontal="left" vertical="top" indent="1"/>
    </xf>
    <xf numFmtId="0" fontId="471" fillId="41" borderId="100" applyNumberFormat="0" applyProtection="0">
      <alignment horizontal="left" vertical="top" indent="1"/>
    </xf>
    <xf numFmtId="0" fontId="471" fillId="41" borderId="100" applyNumberFormat="0" applyProtection="0">
      <alignment horizontal="left" vertical="top" indent="1"/>
    </xf>
    <xf numFmtId="0" fontId="471" fillId="41" borderId="100" applyNumberFormat="0" applyProtection="0">
      <alignment horizontal="left" vertical="top" indent="1"/>
    </xf>
    <xf numFmtId="0" fontId="471" fillId="41" borderId="100" applyNumberFormat="0" applyProtection="0">
      <alignment horizontal="left" vertical="top" indent="1"/>
    </xf>
    <xf numFmtId="0" fontId="471" fillId="41" borderId="100" applyNumberFormat="0" applyProtection="0">
      <alignment horizontal="left" vertical="top" indent="1"/>
    </xf>
    <xf numFmtId="0" fontId="471" fillId="41" borderId="100" applyNumberFormat="0" applyProtection="0">
      <alignment horizontal="left" vertical="top" indent="1"/>
    </xf>
    <xf numFmtId="0" fontId="471" fillId="41" borderId="100" applyNumberFormat="0" applyProtection="0">
      <alignment horizontal="left" vertical="top" indent="1"/>
    </xf>
    <xf numFmtId="0" fontId="471" fillId="41" borderId="100" applyNumberFormat="0" applyProtection="0">
      <alignment horizontal="left" vertical="top" indent="1"/>
    </xf>
    <xf numFmtId="0" fontId="471" fillId="41" borderId="100" applyNumberFormat="0" applyProtection="0">
      <alignment horizontal="left" vertical="top" indent="1"/>
    </xf>
    <xf numFmtId="0" fontId="471" fillId="41" borderId="100" applyNumberFormat="0" applyProtection="0">
      <alignment horizontal="left" vertical="top" indent="1"/>
    </xf>
    <xf numFmtId="0" fontId="471" fillId="41" borderId="100" applyNumberFormat="0" applyProtection="0">
      <alignment horizontal="left" vertical="top" indent="1"/>
    </xf>
    <xf numFmtId="0" fontId="471" fillId="41" borderId="100" applyNumberFormat="0" applyProtection="0">
      <alignment horizontal="left" vertical="top" indent="1"/>
    </xf>
    <xf numFmtId="0" fontId="471" fillId="41" borderId="100" applyNumberFormat="0" applyProtection="0">
      <alignment horizontal="left" vertical="top" indent="1"/>
    </xf>
    <xf numFmtId="0" fontId="471" fillId="41" borderId="100" applyNumberFormat="0" applyProtection="0">
      <alignment horizontal="left" vertical="top" indent="1"/>
    </xf>
    <xf numFmtId="0" fontId="471" fillId="41" borderId="100" applyNumberFormat="0" applyProtection="0">
      <alignment horizontal="left" vertical="top" indent="1"/>
    </xf>
    <xf numFmtId="0" fontId="471" fillId="41" borderId="100" applyNumberFormat="0" applyProtection="0">
      <alignment horizontal="left" vertical="top" indent="1"/>
    </xf>
    <xf numFmtId="0" fontId="471" fillId="41" borderId="100" applyNumberFormat="0" applyProtection="0">
      <alignment horizontal="left" vertical="top" indent="1"/>
    </xf>
    <xf numFmtId="0" fontId="471" fillId="41" borderId="100" applyNumberFormat="0" applyProtection="0">
      <alignment horizontal="left" vertical="top" indent="1"/>
    </xf>
    <xf numFmtId="0" fontId="471" fillId="41" borderId="100" applyNumberFormat="0" applyProtection="0">
      <alignment horizontal="left" vertical="top" indent="1"/>
    </xf>
    <xf numFmtId="0" fontId="471" fillId="41" borderId="100" applyNumberFormat="0" applyProtection="0">
      <alignment horizontal="left" vertical="top" indent="1"/>
    </xf>
    <xf numFmtId="0" fontId="471" fillId="41" borderId="100" applyNumberFormat="0" applyProtection="0">
      <alignment horizontal="left" vertical="top" indent="1"/>
    </xf>
    <xf numFmtId="0" fontId="471" fillId="41" borderId="100" applyNumberFormat="0" applyProtection="0">
      <alignment horizontal="left" vertical="top" indent="1"/>
    </xf>
    <xf numFmtId="0" fontId="471" fillId="41" borderId="100" applyNumberFormat="0" applyProtection="0">
      <alignment horizontal="left" vertical="top" indent="1"/>
    </xf>
    <xf numFmtId="0" fontId="471" fillId="41" borderId="100" applyNumberFormat="0" applyProtection="0">
      <alignment horizontal="left" vertical="top" indent="1"/>
    </xf>
    <xf numFmtId="0" fontId="471" fillId="41" borderId="100" applyNumberFormat="0" applyProtection="0">
      <alignment horizontal="left" vertical="top" indent="1"/>
    </xf>
    <xf numFmtId="0" fontId="471" fillId="41" borderId="100" applyNumberFormat="0" applyProtection="0">
      <alignment horizontal="left" vertical="top" indent="1"/>
    </xf>
    <xf numFmtId="0" fontId="471" fillId="41" borderId="100" applyNumberFormat="0" applyProtection="0">
      <alignment horizontal="left" vertical="top" indent="1"/>
    </xf>
    <xf numFmtId="0" fontId="471" fillId="41" borderId="100" applyNumberFormat="0" applyProtection="0">
      <alignment horizontal="left" vertical="top" indent="1"/>
    </xf>
    <xf numFmtId="0" fontId="471" fillId="41" borderId="100" applyNumberFormat="0" applyProtection="0">
      <alignment horizontal="left" vertical="top" indent="1"/>
    </xf>
    <xf numFmtId="0" fontId="471" fillId="41" borderId="100" applyNumberFormat="0" applyProtection="0">
      <alignment horizontal="left" vertical="top" indent="1"/>
    </xf>
    <xf numFmtId="0" fontId="471" fillId="41" borderId="100" applyNumberFormat="0" applyProtection="0">
      <alignment horizontal="left" vertical="top" indent="1"/>
    </xf>
    <xf numFmtId="0" fontId="471" fillId="41" borderId="100" applyNumberFormat="0" applyProtection="0">
      <alignment horizontal="left" vertical="top" indent="1"/>
    </xf>
    <xf numFmtId="0" fontId="471" fillId="41" borderId="100" applyNumberFormat="0" applyProtection="0">
      <alignment horizontal="left" vertical="top" indent="1"/>
    </xf>
    <xf numFmtId="0" fontId="471" fillId="41" borderId="100" applyNumberFormat="0" applyProtection="0">
      <alignment horizontal="left" vertical="top" indent="1"/>
    </xf>
    <xf numFmtId="0" fontId="471" fillId="41" borderId="100" applyNumberFormat="0" applyProtection="0">
      <alignment horizontal="left" vertical="top" indent="1"/>
    </xf>
    <xf numFmtId="0" fontId="471" fillId="41" borderId="100" applyNumberFormat="0" applyProtection="0">
      <alignment horizontal="left" vertical="top" indent="1"/>
    </xf>
    <xf numFmtId="0" fontId="471" fillId="41" borderId="100" applyNumberFormat="0" applyProtection="0">
      <alignment horizontal="left" vertical="top" indent="1"/>
    </xf>
    <xf numFmtId="0" fontId="471" fillId="41" borderId="100" applyNumberFormat="0" applyProtection="0">
      <alignment horizontal="left" vertical="top" indent="1"/>
    </xf>
    <xf numFmtId="0" fontId="471" fillId="41" borderId="100" applyNumberFormat="0" applyProtection="0">
      <alignment horizontal="left" vertical="top" indent="1"/>
    </xf>
    <xf numFmtId="4" fontId="475" fillId="89" borderId="99" applyNumberFormat="0" applyProtection="0">
      <alignment horizontal="left" vertical="center" indent="1"/>
    </xf>
    <xf numFmtId="4" fontId="471" fillId="95" borderId="0" applyNumberFormat="0" applyProtection="0">
      <alignment horizontal="left" vertical="center" indent="1"/>
    </xf>
    <xf numFmtId="4" fontId="471" fillId="95" borderId="0" applyNumberFormat="0" applyProtection="0">
      <alignment horizontal="left" vertical="center" indent="1"/>
    </xf>
    <xf numFmtId="4" fontId="475" fillId="89" borderId="99" applyNumberFormat="0" applyProtection="0">
      <alignment horizontal="left" vertical="center" indent="1"/>
    </xf>
    <xf numFmtId="4" fontId="475" fillId="89" borderId="99" applyNumberFormat="0" applyProtection="0">
      <alignment horizontal="left" vertical="center" indent="1"/>
    </xf>
    <xf numFmtId="4" fontId="471" fillId="96" borderId="0" applyNumberFormat="0" applyProtection="0">
      <alignment horizontal="left" vertical="center" indent="1"/>
    </xf>
    <xf numFmtId="4" fontId="244" fillId="97" borderId="99" applyNumberFormat="0" applyProtection="0">
      <alignment vertical="center"/>
    </xf>
    <xf numFmtId="4" fontId="244" fillId="97" borderId="99" applyNumberFormat="0" applyProtection="0">
      <alignment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44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50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171" fillId="66" borderId="100" applyNumberFormat="0" applyProtection="0">
      <alignment horizontal="right" vertical="center"/>
    </xf>
    <xf numFmtId="4" fontId="24" fillId="98" borderId="99" applyNumberFormat="0" applyProtection="0">
      <alignment vertical="center"/>
    </xf>
    <xf numFmtId="4" fontId="24" fillId="98" borderId="99" applyNumberFormat="0" applyProtection="0">
      <alignment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3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59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171" fillId="60" borderId="100" applyNumberFormat="0" applyProtection="0">
      <alignment horizontal="right" vertical="center"/>
    </xf>
    <xf numFmtId="4" fontId="244" fillId="99" borderId="99" applyNumberFormat="0" applyProtection="0">
      <alignment vertical="center"/>
    </xf>
    <xf numFmtId="4" fontId="244" fillId="99" borderId="99" applyNumberFormat="0" applyProtection="0">
      <alignment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7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100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171" fillId="52" borderId="100" applyNumberFormat="0" applyProtection="0">
      <alignment horizontal="right" vertical="center"/>
    </xf>
    <xf numFmtId="4" fontId="306" fillId="97" borderId="99" applyNumberFormat="0" applyProtection="0">
      <alignment vertical="center"/>
    </xf>
    <xf numFmtId="4" fontId="306" fillId="97" borderId="99" applyNumberFormat="0" applyProtection="0">
      <alignment vertical="center"/>
    </xf>
    <xf numFmtId="4" fontId="476" fillId="101" borderId="99" applyNumberFormat="0" applyProtection="0">
      <alignment horizontal="left" vertical="center" indent="1"/>
    </xf>
    <xf numFmtId="4" fontId="476" fillId="101" borderId="99" applyNumberFormat="0" applyProtection="0">
      <alignment horizontal="left" vertical="center" indent="1"/>
    </xf>
    <xf numFmtId="4" fontId="476" fillId="82" borderId="99" applyNumberFormat="0" applyProtection="0">
      <alignment horizontal="left" vertical="center" indent="1"/>
    </xf>
    <xf numFmtId="4" fontId="476" fillId="82" borderId="99" applyNumberFormat="0" applyProtection="0">
      <alignment horizontal="left" vertical="center" indent="1"/>
    </xf>
    <xf numFmtId="4" fontId="477" fillId="89" borderId="99" applyNumberFormat="0" applyProtection="0">
      <alignment horizontal="left" vertical="center" indent="1"/>
    </xf>
    <xf numFmtId="4" fontId="478" fillId="74" borderId="0" applyNumberFormat="0" applyProtection="0">
      <alignment horizontal="left" vertical="center" indent="1"/>
    </xf>
    <xf numFmtId="4" fontId="478" fillId="74" borderId="0" applyNumberFormat="0" applyProtection="0">
      <alignment horizontal="left" vertical="center" indent="1"/>
    </xf>
    <xf numFmtId="4" fontId="477" fillId="89" borderId="99" applyNumberFormat="0" applyProtection="0">
      <alignment horizontal="left" vertical="center" indent="1"/>
    </xf>
    <xf numFmtId="4" fontId="477" fillId="89" borderId="99" applyNumberFormat="0" applyProtection="0">
      <alignment horizontal="left" vertical="center" indent="1"/>
    </xf>
    <xf numFmtId="4" fontId="478" fillId="89" borderId="0" applyNumberFormat="0" applyProtection="0">
      <alignment horizontal="left" vertical="center" indent="1"/>
    </xf>
    <xf numFmtId="4" fontId="479" fillId="42" borderId="99" applyNumberFormat="0" applyProtection="0">
      <alignment vertical="center"/>
    </xf>
    <xf numFmtId="4" fontId="171" fillId="95" borderId="100" applyNumberFormat="0" applyProtection="0">
      <alignment horizontal="right" vertical="center"/>
    </xf>
    <xf numFmtId="4" fontId="171" fillId="95" borderId="100" applyNumberFormat="0" applyProtection="0">
      <alignment horizontal="right" vertical="center"/>
    </xf>
    <xf numFmtId="4" fontId="171" fillId="95" borderId="100" applyNumberFormat="0" applyProtection="0">
      <alignment horizontal="right" vertical="center"/>
    </xf>
    <xf numFmtId="4" fontId="171" fillId="95" borderId="100" applyNumberFormat="0" applyProtection="0">
      <alignment horizontal="right" vertical="center"/>
    </xf>
    <xf numFmtId="4" fontId="171" fillId="95" borderId="100" applyNumberFormat="0" applyProtection="0">
      <alignment horizontal="right" vertical="center"/>
    </xf>
    <xf numFmtId="4" fontId="171" fillId="95" borderId="100" applyNumberFormat="0" applyProtection="0">
      <alignment horizontal="right" vertical="center"/>
    </xf>
    <xf numFmtId="4" fontId="171" fillId="95" borderId="100" applyNumberFormat="0" applyProtection="0">
      <alignment horizontal="right" vertical="center"/>
    </xf>
    <xf numFmtId="4" fontId="171" fillId="95" borderId="100" applyNumberFormat="0" applyProtection="0">
      <alignment horizontal="right" vertical="center"/>
    </xf>
    <xf numFmtId="4" fontId="171" fillId="95" borderId="100" applyNumberFormat="0" applyProtection="0">
      <alignment horizontal="right" vertical="center"/>
    </xf>
    <xf numFmtId="4" fontId="171" fillId="95" borderId="100" applyNumberFormat="0" applyProtection="0">
      <alignment horizontal="right" vertical="center"/>
    </xf>
    <xf numFmtId="4" fontId="171" fillId="95" borderId="100" applyNumberFormat="0" applyProtection="0">
      <alignment horizontal="right" vertical="center"/>
    </xf>
    <xf numFmtId="4" fontId="171" fillId="95" borderId="100" applyNumberFormat="0" applyProtection="0">
      <alignment horizontal="right" vertical="center"/>
    </xf>
    <xf numFmtId="4" fontId="171" fillId="95" borderId="100" applyNumberFormat="0" applyProtection="0">
      <alignment horizontal="right" vertical="center"/>
    </xf>
    <xf numFmtId="4" fontId="171" fillId="95" borderId="100" applyNumberFormat="0" applyProtection="0">
      <alignment horizontal="right" vertical="center"/>
    </xf>
    <xf numFmtId="4" fontId="171" fillId="95" borderId="100" applyNumberFormat="0" applyProtection="0">
      <alignment horizontal="right" vertical="center"/>
    </xf>
    <xf numFmtId="4" fontId="171" fillId="95" borderId="100" applyNumberFormat="0" applyProtection="0">
      <alignment horizontal="right" vertical="center"/>
    </xf>
    <xf numFmtId="4" fontId="171" fillId="95" borderId="100" applyNumberFormat="0" applyProtection="0">
      <alignment horizontal="right" vertical="center"/>
    </xf>
    <xf numFmtId="4" fontId="171" fillId="95" borderId="100" applyNumberFormat="0" applyProtection="0">
      <alignment horizontal="right" vertical="center"/>
    </xf>
    <xf numFmtId="4" fontId="171" fillId="95" borderId="100" applyNumberFormat="0" applyProtection="0">
      <alignment horizontal="right" vertical="center"/>
    </xf>
    <xf numFmtId="4" fontId="171" fillId="95" borderId="100" applyNumberFormat="0" applyProtection="0">
      <alignment horizontal="right" vertical="center"/>
    </xf>
    <xf numFmtId="4" fontId="171" fillId="95" borderId="100" applyNumberFormat="0" applyProtection="0">
      <alignment horizontal="right" vertical="center"/>
    </xf>
    <xf numFmtId="4" fontId="171" fillId="95" borderId="100" applyNumberFormat="0" applyProtection="0">
      <alignment horizontal="right" vertical="center"/>
    </xf>
    <xf numFmtId="4" fontId="171" fillId="95" borderId="100" applyNumberFormat="0" applyProtection="0">
      <alignment horizontal="right" vertical="center"/>
    </xf>
    <xf numFmtId="4" fontId="171" fillId="95" borderId="100" applyNumberFormat="0" applyProtection="0">
      <alignment horizontal="right" vertical="center"/>
    </xf>
    <xf numFmtId="4" fontId="171" fillId="95" borderId="100" applyNumberFormat="0" applyProtection="0">
      <alignment horizontal="right" vertical="center"/>
    </xf>
    <xf numFmtId="4" fontId="171" fillId="95" borderId="100" applyNumberFormat="0" applyProtection="0">
      <alignment horizontal="right" vertical="center"/>
    </xf>
    <xf numFmtId="4" fontId="171" fillId="95" borderId="100" applyNumberFormat="0" applyProtection="0">
      <alignment horizontal="right" vertical="center"/>
    </xf>
    <xf numFmtId="4" fontId="171" fillId="95" borderId="100" applyNumberFormat="0" applyProtection="0">
      <alignment horizontal="right" vertical="center"/>
    </xf>
    <xf numFmtId="4" fontId="171" fillId="95" borderId="100" applyNumberFormat="0" applyProtection="0">
      <alignment horizontal="right" vertical="center"/>
    </xf>
    <xf numFmtId="4" fontId="171" fillId="95" borderId="100" applyNumberFormat="0" applyProtection="0">
      <alignment horizontal="right" vertical="center"/>
    </xf>
    <xf numFmtId="4" fontId="171" fillId="95" borderId="100" applyNumberFormat="0" applyProtection="0">
      <alignment horizontal="right" vertical="center"/>
    </xf>
    <xf numFmtId="4" fontId="171" fillId="95" borderId="100" applyNumberFormat="0" applyProtection="0">
      <alignment horizontal="right" vertical="center"/>
    </xf>
    <xf numFmtId="4" fontId="171" fillId="95" borderId="100" applyNumberFormat="0" applyProtection="0">
      <alignment horizontal="right" vertical="center"/>
    </xf>
    <xf numFmtId="4" fontId="171" fillId="95" borderId="100" applyNumberFormat="0" applyProtection="0">
      <alignment horizontal="right" vertical="center"/>
    </xf>
    <xf numFmtId="4" fontId="171" fillId="95" borderId="100" applyNumberFormat="0" applyProtection="0">
      <alignment horizontal="right" vertical="center"/>
    </xf>
    <xf numFmtId="4" fontId="171" fillId="95" borderId="100" applyNumberFormat="0" applyProtection="0">
      <alignment horizontal="right" vertical="center"/>
    </xf>
    <xf numFmtId="4" fontId="171" fillId="95" borderId="100" applyNumberFormat="0" applyProtection="0">
      <alignment horizontal="right" vertical="center"/>
    </xf>
    <xf numFmtId="4" fontId="171" fillId="95" borderId="100" applyNumberFormat="0" applyProtection="0">
      <alignment horizontal="right" vertical="center"/>
    </xf>
    <xf numFmtId="4" fontId="171" fillId="95" borderId="100" applyNumberFormat="0" applyProtection="0">
      <alignment horizontal="right" vertical="center"/>
    </xf>
    <xf numFmtId="4" fontId="171" fillId="95" borderId="100" applyNumberFormat="0" applyProtection="0">
      <alignment horizontal="right" vertical="center"/>
    </xf>
    <xf numFmtId="4" fontId="171" fillId="95" borderId="100" applyNumberFormat="0" applyProtection="0">
      <alignment horizontal="right" vertical="center"/>
    </xf>
    <xf numFmtId="4" fontId="171" fillId="95" borderId="100" applyNumberFormat="0" applyProtection="0">
      <alignment horizontal="right" vertical="center"/>
    </xf>
    <xf numFmtId="4" fontId="171" fillId="95" borderId="100" applyNumberFormat="0" applyProtection="0">
      <alignment horizontal="right" vertical="center"/>
    </xf>
    <xf numFmtId="4" fontId="171" fillId="95" borderId="100" applyNumberFormat="0" applyProtection="0">
      <alignment horizontal="right" vertical="center"/>
    </xf>
    <xf numFmtId="4" fontId="171" fillId="95" borderId="100" applyNumberFormat="0" applyProtection="0">
      <alignment horizontal="right" vertical="center"/>
    </xf>
    <xf numFmtId="4" fontId="171" fillId="95" borderId="100" applyNumberFormat="0" applyProtection="0">
      <alignment horizontal="right" vertical="center"/>
    </xf>
    <xf numFmtId="4" fontId="171" fillId="95" borderId="100" applyNumberFormat="0" applyProtection="0">
      <alignment horizontal="right" vertical="center"/>
    </xf>
    <xf numFmtId="4" fontId="171" fillId="95" borderId="100" applyNumberFormat="0" applyProtection="0">
      <alignment horizontal="right" vertical="center"/>
    </xf>
    <xf numFmtId="4" fontId="171" fillId="95" borderId="100" applyNumberFormat="0" applyProtection="0">
      <alignment horizontal="right" vertical="center"/>
    </xf>
    <xf numFmtId="4" fontId="171" fillId="95" borderId="100" applyNumberFormat="0" applyProtection="0">
      <alignment horizontal="right" vertical="center"/>
    </xf>
    <xf numFmtId="4" fontId="171" fillId="95" borderId="100" applyNumberFormat="0" applyProtection="0">
      <alignment horizontal="right" vertical="center"/>
    </xf>
    <xf numFmtId="4" fontId="171" fillId="95" borderId="100" applyNumberFormat="0" applyProtection="0">
      <alignment horizontal="right" vertical="center"/>
    </xf>
    <xf numFmtId="4" fontId="171" fillId="95" borderId="100" applyNumberFormat="0" applyProtection="0">
      <alignment horizontal="right" vertical="center"/>
    </xf>
    <xf numFmtId="4" fontId="171" fillId="95" borderId="100" applyNumberFormat="0" applyProtection="0">
      <alignment horizontal="right" vertical="center"/>
    </xf>
    <xf numFmtId="4" fontId="171" fillId="95" borderId="100" applyNumberFormat="0" applyProtection="0">
      <alignment horizontal="right" vertical="center"/>
    </xf>
    <xf numFmtId="4" fontId="171" fillId="95" borderId="100" applyNumberFormat="0" applyProtection="0">
      <alignment horizontal="right" vertical="center"/>
    </xf>
    <xf numFmtId="4" fontId="171" fillId="95" borderId="100" applyNumberFormat="0" applyProtection="0">
      <alignment horizontal="right" vertical="center"/>
    </xf>
    <xf numFmtId="4" fontId="171" fillId="95" borderId="100" applyNumberFormat="0" applyProtection="0">
      <alignment horizontal="right" vertical="center"/>
    </xf>
    <xf numFmtId="4" fontId="171" fillId="95" borderId="100" applyNumberFormat="0" applyProtection="0">
      <alignment horizontal="right" vertical="center"/>
    </xf>
    <xf numFmtId="4" fontId="171" fillId="95" borderId="100" applyNumberFormat="0" applyProtection="0">
      <alignment horizontal="right" vertical="center"/>
    </xf>
    <xf numFmtId="4" fontId="171" fillId="95" borderId="100" applyNumberFormat="0" applyProtection="0">
      <alignment horizontal="right" vertical="center"/>
    </xf>
    <xf numFmtId="4" fontId="171" fillId="95" borderId="100" applyNumberFormat="0" applyProtection="0">
      <alignment horizontal="right" vertical="center"/>
    </xf>
    <xf numFmtId="4" fontId="171" fillId="95" borderId="100" applyNumberFormat="0" applyProtection="0">
      <alignment horizontal="right" vertical="center"/>
    </xf>
    <xf numFmtId="4" fontId="171" fillId="95" borderId="100" applyNumberFormat="0" applyProtection="0">
      <alignment horizontal="right" vertical="center"/>
    </xf>
    <xf numFmtId="4" fontId="171" fillId="95" borderId="100" applyNumberFormat="0" applyProtection="0">
      <alignment horizontal="right" vertical="center"/>
    </xf>
    <xf numFmtId="4" fontId="171" fillId="95" borderId="100" applyNumberFormat="0" applyProtection="0">
      <alignment horizontal="right" vertical="center"/>
    </xf>
    <xf numFmtId="4" fontId="171" fillId="95" borderId="100" applyNumberFormat="0" applyProtection="0">
      <alignment horizontal="right" vertical="center"/>
    </xf>
    <xf numFmtId="4" fontId="171" fillId="95" borderId="100" applyNumberFormat="0" applyProtection="0">
      <alignment horizontal="right" vertical="center"/>
    </xf>
    <xf numFmtId="4" fontId="171" fillId="95" borderId="100" applyNumberFormat="0" applyProtection="0">
      <alignment horizontal="right" vertical="center"/>
    </xf>
    <xf numFmtId="4" fontId="171" fillId="95" borderId="100" applyNumberFormat="0" applyProtection="0">
      <alignment horizontal="right" vertical="center"/>
    </xf>
    <xf numFmtId="4" fontId="171" fillId="95" borderId="100" applyNumberFormat="0" applyProtection="0">
      <alignment horizontal="right" vertical="center"/>
    </xf>
    <xf numFmtId="4" fontId="171" fillId="95" borderId="100" applyNumberFormat="0" applyProtection="0">
      <alignment horizontal="right" vertical="center"/>
    </xf>
    <xf numFmtId="4" fontId="171" fillId="95" borderId="100" applyNumberFormat="0" applyProtection="0">
      <alignment horizontal="right" vertical="center"/>
    </xf>
    <xf numFmtId="4" fontId="171" fillId="95" borderId="100" applyNumberFormat="0" applyProtection="0">
      <alignment horizontal="right" vertical="center"/>
    </xf>
    <xf numFmtId="4" fontId="171" fillId="95" borderId="100" applyNumberFormat="0" applyProtection="0">
      <alignment horizontal="right" vertical="center"/>
    </xf>
    <xf numFmtId="4" fontId="171" fillId="95" borderId="100" applyNumberFormat="0" applyProtection="0">
      <alignment horizontal="right" vertical="center"/>
    </xf>
    <xf numFmtId="4" fontId="171" fillId="95" borderId="100" applyNumberFormat="0" applyProtection="0">
      <alignment horizontal="right" vertical="center"/>
    </xf>
    <xf numFmtId="4" fontId="171" fillId="95" borderId="100" applyNumberFormat="0" applyProtection="0">
      <alignment horizontal="right" vertical="center"/>
    </xf>
    <xf numFmtId="4" fontId="171" fillId="95" borderId="100" applyNumberFormat="0" applyProtection="0">
      <alignment horizontal="right" vertical="center"/>
    </xf>
    <xf numFmtId="4" fontId="171" fillId="95" borderId="100" applyNumberFormat="0" applyProtection="0">
      <alignment horizontal="right" vertical="center"/>
    </xf>
    <xf numFmtId="4" fontId="171" fillId="95" borderId="100" applyNumberFormat="0" applyProtection="0">
      <alignment horizontal="right" vertical="center"/>
    </xf>
    <xf numFmtId="4" fontId="171" fillId="95" borderId="100" applyNumberFormat="0" applyProtection="0">
      <alignment horizontal="right" vertical="center"/>
    </xf>
    <xf numFmtId="4" fontId="171" fillId="95" borderId="100" applyNumberFormat="0" applyProtection="0">
      <alignment horizontal="right" vertical="center"/>
    </xf>
    <xf numFmtId="4" fontId="171" fillId="95" borderId="100" applyNumberFormat="0" applyProtection="0">
      <alignment horizontal="right" vertical="center"/>
    </xf>
    <xf numFmtId="4" fontId="171" fillId="95" borderId="100" applyNumberFormat="0" applyProtection="0">
      <alignment horizontal="right" vertical="center"/>
    </xf>
    <xf numFmtId="4" fontId="171" fillId="95" borderId="100" applyNumberFormat="0" applyProtection="0">
      <alignment horizontal="right" vertical="center"/>
    </xf>
    <xf numFmtId="4" fontId="171" fillId="95" borderId="100" applyNumberFormat="0" applyProtection="0">
      <alignment horizontal="right" vertical="center"/>
    </xf>
    <xf numFmtId="4" fontId="171" fillId="95" borderId="100" applyNumberFormat="0" applyProtection="0">
      <alignment horizontal="right" vertical="center"/>
    </xf>
    <xf numFmtId="4" fontId="171" fillId="95" borderId="100" applyNumberFormat="0" applyProtection="0">
      <alignment horizontal="right" vertical="center"/>
    </xf>
    <xf numFmtId="4" fontId="479" fillId="42" borderId="99" applyNumberFormat="0" applyProtection="0">
      <alignment vertical="center"/>
    </xf>
    <xf numFmtId="4" fontId="479" fillId="42" borderId="99" applyNumberFormat="0" applyProtection="0">
      <alignment vertical="center"/>
    </xf>
    <xf numFmtId="4" fontId="171" fillId="95" borderId="100" applyNumberFormat="0" applyProtection="0">
      <alignment horizontal="right" vertical="center"/>
    </xf>
    <xf numFmtId="4" fontId="171" fillId="95" borderId="100" applyNumberFormat="0" applyProtection="0">
      <alignment horizontal="right" vertical="center"/>
    </xf>
    <xf numFmtId="4" fontId="171" fillId="95" borderId="100" applyNumberFormat="0" applyProtection="0">
      <alignment horizontal="right" vertical="center"/>
    </xf>
    <xf numFmtId="4" fontId="171" fillId="95" borderId="100" applyNumberFormat="0" applyProtection="0">
      <alignment horizontal="right" vertical="center"/>
    </xf>
    <xf numFmtId="4" fontId="171" fillId="95" borderId="100" applyNumberFormat="0" applyProtection="0">
      <alignment horizontal="right" vertical="center"/>
    </xf>
    <xf numFmtId="4" fontId="171" fillId="95" borderId="100" applyNumberFormat="0" applyProtection="0">
      <alignment horizontal="right" vertical="center"/>
    </xf>
    <xf numFmtId="4" fontId="171" fillId="95" borderId="100" applyNumberFormat="0" applyProtection="0">
      <alignment horizontal="right" vertical="center"/>
    </xf>
    <xf numFmtId="4" fontId="171" fillId="95" borderId="100" applyNumberFormat="0" applyProtection="0">
      <alignment horizontal="right" vertical="center"/>
    </xf>
    <xf numFmtId="4" fontId="171" fillId="95" borderId="100" applyNumberFormat="0" applyProtection="0">
      <alignment horizontal="right" vertical="center"/>
    </xf>
    <xf numFmtId="4" fontId="171" fillId="95" borderId="100" applyNumberFormat="0" applyProtection="0">
      <alignment horizontal="right" vertical="center"/>
    </xf>
    <xf numFmtId="4" fontId="171" fillId="95" borderId="100" applyNumberFormat="0" applyProtection="0">
      <alignment horizontal="right" vertical="center"/>
    </xf>
    <xf numFmtId="4" fontId="171" fillId="95" borderId="100" applyNumberFormat="0" applyProtection="0">
      <alignment horizontal="right" vertical="center"/>
    </xf>
    <xf numFmtId="4" fontId="171" fillId="95" borderId="100" applyNumberFormat="0" applyProtection="0">
      <alignment horizontal="right" vertical="center"/>
    </xf>
    <xf numFmtId="4" fontId="171" fillId="95" borderId="100" applyNumberFormat="0" applyProtection="0">
      <alignment horizontal="right" vertical="center"/>
    </xf>
    <xf numFmtId="4" fontId="171" fillId="95" borderId="100" applyNumberFormat="0" applyProtection="0">
      <alignment horizontal="right" vertical="center"/>
    </xf>
    <xf numFmtId="4" fontId="171" fillId="95" borderId="100" applyNumberFormat="0" applyProtection="0">
      <alignment horizontal="right" vertical="center"/>
    </xf>
    <xf numFmtId="4" fontId="171" fillId="95" borderId="100" applyNumberFormat="0" applyProtection="0">
      <alignment horizontal="right" vertical="center"/>
    </xf>
    <xf numFmtId="4" fontId="171" fillId="95" borderId="100" applyNumberFormat="0" applyProtection="0">
      <alignment horizontal="right" vertical="center"/>
    </xf>
    <xf numFmtId="4" fontId="480" fillId="15" borderId="99" applyNumberFormat="0" applyProtection="0">
      <alignment horizontal="left" vertical="center" indent="1"/>
    </xf>
    <xf numFmtId="4" fontId="480" fillId="15" borderId="99" applyNumberFormat="0" applyProtection="0">
      <alignment horizontal="left" vertical="center" indent="1"/>
    </xf>
    <xf numFmtId="4" fontId="481" fillId="82" borderId="99" applyNumberFormat="0" applyProtection="0">
      <alignment horizontal="left" vertical="center" indent="1"/>
    </xf>
    <xf numFmtId="4" fontId="481" fillId="82" borderId="99" applyNumberFormat="0" applyProtection="0">
      <alignment horizontal="left" vertical="center" indent="1"/>
    </xf>
    <xf numFmtId="4" fontId="247" fillId="89" borderId="99" applyNumberFormat="0" applyProtection="0">
      <alignment horizontal="left" vertical="center" indent="1"/>
    </xf>
    <xf numFmtId="4" fontId="171" fillId="95" borderId="0" applyNumberFormat="0" applyProtection="0">
      <alignment horizontal="left" vertical="center" indent="1"/>
    </xf>
    <xf numFmtId="4" fontId="171" fillId="95" borderId="0" applyNumberFormat="0" applyProtection="0">
      <alignment horizontal="left" vertical="center" indent="1"/>
    </xf>
    <xf numFmtId="4" fontId="247" fillId="89" borderId="99" applyNumberFormat="0" applyProtection="0">
      <alignment horizontal="left" vertical="center" indent="1"/>
    </xf>
    <xf numFmtId="4" fontId="247" fillId="89" borderId="99" applyNumberFormat="0" applyProtection="0">
      <alignment horizontal="left" vertical="center" indent="1"/>
    </xf>
    <xf numFmtId="4" fontId="171" fillId="96" borderId="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89" borderId="100" applyNumberFormat="0" applyProtection="0">
      <alignment horizontal="left" vertical="center" indent="1"/>
    </xf>
    <xf numFmtId="0" fontId="17" fillId="89" borderId="100" applyNumberFormat="0" applyProtection="0">
      <alignment horizontal="left" vertical="center" indent="1"/>
    </xf>
    <xf numFmtId="0" fontId="17" fillId="89" borderId="100" applyNumberFormat="0" applyProtection="0">
      <alignment horizontal="left" vertical="center" indent="1"/>
    </xf>
    <xf numFmtId="0" fontId="17" fillId="89" borderId="100" applyNumberFormat="0" applyProtection="0">
      <alignment horizontal="left" vertical="center" indent="1"/>
    </xf>
    <xf numFmtId="0" fontId="17" fillId="89" borderId="100" applyNumberFormat="0" applyProtection="0">
      <alignment horizontal="left" vertical="center" indent="1"/>
    </xf>
    <xf numFmtId="0" fontId="17" fillId="89" borderId="100" applyNumberFormat="0" applyProtection="0">
      <alignment horizontal="left" vertical="center" indent="1"/>
    </xf>
    <xf numFmtId="0" fontId="17" fillId="89" borderId="100" applyNumberFormat="0" applyProtection="0">
      <alignment horizontal="left" vertical="center" indent="1"/>
    </xf>
    <xf numFmtId="0" fontId="17" fillId="89" borderId="100" applyNumberFormat="0" applyProtection="0">
      <alignment horizontal="left" vertical="center" indent="1"/>
    </xf>
    <xf numFmtId="0" fontId="17" fillId="89" borderId="100" applyNumberFormat="0" applyProtection="0">
      <alignment horizontal="left" vertical="center" indent="1"/>
    </xf>
    <xf numFmtId="0" fontId="17" fillId="89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89" borderId="100" applyNumberFormat="0" applyProtection="0">
      <alignment horizontal="left" vertical="center" indent="1"/>
    </xf>
    <xf numFmtId="0" fontId="17" fillId="89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center" indent="1"/>
    </xf>
    <xf numFmtId="0" fontId="17" fillId="89" borderId="100" applyNumberFormat="0" applyProtection="0">
      <alignment horizontal="left" vertical="center" indent="1"/>
    </xf>
    <xf numFmtId="0" fontId="17" fillId="89" borderId="100" applyNumberFormat="0" applyProtection="0">
      <alignment horizontal="left" vertical="center" indent="1"/>
    </xf>
    <xf numFmtId="0" fontId="17" fillId="89" borderId="100" applyNumberFormat="0" applyProtection="0">
      <alignment horizontal="left" vertical="center" indent="1"/>
    </xf>
    <xf numFmtId="0" fontId="17" fillId="89" borderId="100" applyNumberFormat="0" applyProtection="0">
      <alignment horizontal="left" vertical="center" indent="1"/>
    </xf>
    <xf numFmtId="0" fontId="17" fillId="89" borderId="100" applyNumberFormat="0" applyProtection="0">
      <alignment horizontal="left" vertical="center" indent="1"/>
    </xf>
    <xf numFmtId="0" fontId="17" fillId="89" borderId="100" applyNumberFormat="0" applyProtection="0">
      <alignment horizontal="left" vertical="center" indent="1"/>
    </xf>
    <xf numFmtId="0" fontId="17" fillId="89" borderId="100" applyNumberFormat="0" applyProtection="0">
      <alignment horizontal="left" vertical="center" indent="1"/>
    </xf>
    <xf numFmtId="0" fontId="17" fillId="89" borderId="100" applyNumberFormat="0" applyProtection="0">
      <alignment horizontal="left" vertical="center" indent="1"/>
    </xf>
    <xf numFmtId="0" fontId="17" fillId="89" borderId="100" applyNumberFormat="0" applyProtection="0">
      <alignment horizontal="left" vertical="center" indent="1"/>
    </xf>
    <xf numFmtId="0" fontId="17" fillId="89" borderId="100" applyNumberFormat="0" applyProtection="0">
      <alignment horizontal="left" vertical="center" indent="1"/>
    </xf>
    <xf numFmtId="0" fontId="17" fillId="89" borderId="100" applyNumberFormat="0" applyProtection="0">
      <alignment horizontal="left" vertical="center" indent="1"/>
    </xf>
    <xf numFmtId="0" fontId="17" fillId="89" borderId="100" applyNumberFormat="0" applyProtection="0">
      <alignment horizontal="left" vertical="center" indent="1"/>
    </xf>
    <xf numFmtId="0" fontId="17" fillId="89" borderId="100" applyNumberFormat="0" applyProtection="0">
      <alignment horizontal="left" vertical="center" indent="1"/>
    </xf>
    <xf numFmtId="0" fontId="17" fillId="89" borderId="100" applyNumberFormat="0" applyProtection="0">
      <alignment horizontal="left" vertical="center" indent="1"/>
    </xf>
    <xf numFmtId="0" fontId="17" fillId="89" borderId="100" applyNumberFormat="0" applyProtection="0">
      <alignment horizontal="left" vertical="center" indent="1"/>
    </xf>
    <xf numFmtId="0" fontId="17" fillId="89" borderId="100" applyNumberFormat="0" applyProtection="0">
      <alignment horizontal="left" vertical="center" indent="1"/>
    </xf>
    <xf numFmtId="0" fontId="17" fillId="89" borderId="100" applyNumberFormat="0" applyProtection="0">
      <alignment horizontal="left" vertical="center" indent="1"/>
    </xf>
    <xf numFmtId="0" fontId="17" fillId="89" borderId="100" applyNumberFormat="0" applyProtection="0">
      <alignment horizontal="left" vertical="center" indent="1"/>
    </xf>
    <xf numFmtId="0" fontId="17" fillId="89" borderId="100" applyNumberFormat="0" applyProtection="0">
      <alignment horizontal="left" vertical="center" indent="1"/>
    </xf>
    <xf numFmtId="0" fontId="17" fillId="89" borderId="100" applyNumberFormat="0" applyProtection="0">
      <alignment horizontal="left" vertical="center" indent="1"/>
    </xf>
    <xf numFmtId="0" fontId="17" fillId="89" borderId="100" applyNumberFormat="0" applyProtection="0">
      <alignment horizontal="left" vertical="center" indent="1"/>
    </xf>
    <xf numFmtId="0" fontId="17" fillId="89" borderId="100" applyNumberFormat="0" applyProtection="0">
      <alignment horizontal="left" vertical="center" indent="1"/>
    </xf>
    <xf numFmtId="0" fontId="17" fillId="89" borderId="100" applyNumberFormat="0" applyProtection="0">
      <alignment horizontal="left" vertical="center" indent="1"/>
    </xf>
    <xf numFmtId="0" fontId="17" fillId="89" borderId="100" applyNumberFormat="0" applyProtection="0">
      <alignment horizontal="left" vertical="center" indent="1"/>
    </xf>
    <xf numFmtId="0" fontId="17" fillId="89" borderId="100" applyNumberFormat="0" applyProtection="0">
      <alignment horizontal="left" vertical="center" indent="1"/>
    </xf>
    <xf numFmtId="0" fontId="17" fillId="89" borderId="100" applyNumberFormat="0" applyProtection="0">
      <alignment horizontal="left" vertical="center" indent="1"/>
    </xf>
    <xf numFmtId="0" fontId="17" fillId="89" borderId="100" applyNumberFormat="0" applyProtection="0">
      <alignment horizontal="left" vertical="center" indent="1"/>
    </xf>
    <xf numFmtId="0" fontId="17" fillId="89" borderId="100" applyNumberFormat="0" applyProtection="0">
      <alignment horizontal="left" vertical="center" indent="1"/>
    </xf>
    <xf numFmtId="0" fontId="17" fillId="89" borderId="100" applyNumberFormat="0" applyProtection="0">
      <alignment horizontal="left" vertical="center" indent="1"/>
    </xf>
    <xf numFmtId="0" fontId="17" fillId="89" borderId="100" applyNumberFormat="0" applyProtection="0">
      <alignment horizontal="left" vertical="center" indent="1"/>
    </xf>
    <xf numFmtId="0" fontId="17" fillId="89" borderId="100" applyNumberFormat="0" applyProtection="0">
      <alignment horizontal="left" vertical="center" indent="1"/>
    </xf>
    <xf numFmtId="0" fontId="17" fillId="89" borderId="100" applyNumberFormat="0" applyProtection="0">
      <alignment horizontal="left" vertical="center" indent="1"/>
    </xf>
    <xf numFmtId="0" fontId="17" fillId="89" borderId="100" applyNumberFormat="0" applyProtection="0">
      <alignment horizontal="left" vertical="center" indent="1"/>
    </xf>
    <xf numFmtId="0" fontId="17" fillId="89" borderId="100" applyNumberFormat="0" applyProtection="0">
      <alignment horizontal="left" vertical="center" indent="1"/>
    </xf>
    <xf numFmtId="0" fontId="17" fillId="89" borderId="100" applyNumberFormat="0" applyProtection="0">
      <alignment horizontal="left" vertical="center" indent="1"/>
    </xf>
    <xf numFmtId="0" fontId="17" fillId="89" borderId="100" applyNumberFormat="0" applyProtection="0">
      <alignment horizontal="left" vertical="center" indent="1"/>
    </xf>
    <xf numFmtId="0" fontId="17" fillId="89" borderId="100" applyNumberFormat="0" applyProtection="0">
      <alignment horizontal="left" vertical="center" indent="1"/>
    </xf>
    <xf numFmtId="0" fontId="17" fillId="89" borderId="100" applyNumberFormat="0" applyProtection="0">
      <alignment horizontal="left" vertical="center" indent="1"/>
    </xf>
    <xf numFmtId="0" fontId="17" fillId="89" borderId="100" applyNumberFormat="0" applyProtection="0">
      <alignment horizontal="left" vertical="center" indent="1"/>
    </xf>
    <xf numFmtId="0" fontId="17" fillId="89" borderId="100" applyNumberFormat="0" applyProtection="0">
      <alignment horizontal="left" vertical="center" indent="1"/>
    </xf>
    <xf numFmtId="0" fontId="17" fillId="89" borderId="100" applyNumberFormat="0" applyProtection="0">
      <alignment horizontal="left" vertical="center" indent="1"/>
    </xf>
    <xf numFmtId="0" fontId="17" fillId="89" borderId="100" applyNumberFormat="0" applyProtection="0">
      <alignment horizontal="left" vertical="center" indent="1"/>
    </xf>
    <xf numFmtId="0" fontId="17" fillId="89" borderId="100" applyNumberFormat="0" applyProtection="0">
      <alignment horizontal="left" vertical="center" indent="1"/>
    </xf>
    <xf numFmtId="0" fontId="17" fillId="89" borderId="100" applyNumberFormat="0" applyProtection="0">
      <alignment horizontal="left" vertical="center" indent="1"/>
    </xf>
    <xf numFmtId="0" fontId="17" fillId="89" borderId="100" applyNumberFormat="0" applyProtection="0">
      <alignment horizontal="left" vertical="center" indent="1"/>
    </xf>
    <xf numFmtId="0" fontId="17" fillId="89" borderId="100" applyNumberFormat="0" applyProtection="0">
      <alignment horizontal="left" vertical="center" indent="1"/>
    </xf>
    <xf numFmtId="0" fontId="17" fillId="89" borderId="100" applyNumberFormat="0" applyProtection="0">
      <alignment horizontal="left" vertical="center" indent="1"/>
    </xf>
    <xf numFmtId="0" fontId="17" fillId="89" borderId="100" applyNumberFormat="0" applyProtection="0">
      <alignment horizontal="left" vertical="center" indent="1"/>
    </xf>
    <xf numFmtId="0" fontId="17" fillId="89" borderId="100" applyNumberFormat="0" applyProtection="0">
      <alignment horizontal="left" vertical="center" indent="1"/>
    </xf>
    <xf numFmtId="0" fontId="17" fillId="74" borderId="100" applyNumberFormat="0" applyProtection="0">
      <alignment horizontal="left" vertical="top" indent="1"/>
    </xf>
    <xf numFmtId="0" fontId="17" fillId="89" borderId="100" applyNumberFormat="0" applyProtection="0">
      <alignment horizontal="left" vertical="top" indent="1"/>
    </xf>
    <xf numFmtId="0" fontId="17" fillId="89" borderId="100" applyNumberFormat="0" applyProtection="0">
      <alignment horizontal="left" vertical="top" indent="1"/>
    </xf>
    <xf numFmtId="0" fontId="17" fillId="89" borderId="100" applyNumberFormat="0" applyProtection="0">
      <alignment horizontal="left" vertical="top" indent="1"/>
    </xf>
    <xf numFmtId="0" fontId="17" fillId="89" borderId="100" applyNumberFormat="0" applyProtection="0">
      <alignment horizontal="left" vertical="top" indent="1"/>
    </xf>
    <xf numFmtId="0" fontId="17" fillId="89" borderId="100" applyNumberFormat="0" applyProtection="0">
      <alignment horizontal="left" vertical="top" indent="1"/>
    </xf>
    <xf numFmtId="0" fontId="17" fillId="89" borderId="100" applyNumberFormat="0" applyProtection="0">
      <alignment horizontal="left" vertical="top" indent="1"/>
    </xf>
    <xf numFmtId="0" fontId="17" fillId="89" borderId="100" applyNumberFormat="0" applyProtection="0">
      <alignment horizontal="left" vertical="top" indent="1"/>
    </xf>
    <xf numFmtId="0" fontId="17" fillId="89" borderId="100" applyNumberFormat="0" applyProtection="0">
      <alignment horizontal="left" vertical="top" indent="1"/>
    </xf>
    <xf numFmtId="0" fontId="17" fillId="89" borderId="100" applyNumberFormat="0" applyProtection="0">
      <alignment horizontal="left" vertical="top" indent="1"/>
    </xf>
    <xf numFmtId="0" fontId="17" fillId="89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89" borderId="100" applyNumberFormat="0" applyProtection="0">
      <alignment horizontal="left" vertical="top" indent="1"/>
    </xf>
    <xf numFmtId="0" fontId="17" fillId="89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74" borderId="100" applyNumberFormat="0" applyProtection="0">
      <alignment horizontal="left" vertical="top" indent="1"/>
    </xf>
    <xf numFmtId="0" fontId="17" fillId="89" borderId="100" applyNumberFormat="0" applyProtection="0">
      <alignment horizontal="left" vertical="top" indent="1"/>
    </xf>
    <xf numFmtId="0" fontId="17" fillId="89" borderId="100" applyNumberFormat="0" applyProtection="0">
      <alignment horizontal="left" vertical="top" indent="1"/>
    </xf>
    <xf numFmtId="0" fontId="17" fillId="89" borderId="100" applyNumberFormat="0" applyProtection="0">
      <alignment horizontal="left" vertical="top" indent="1"/>
    </xf>
    <xf numFmtId="0" fontId="17" fillId="89" borderId="100" applyNumberFormat="0" applyProtection="0">
      <alignment horizontal="left" vertical="top" indent="1"/>
    </xf>
    <xf numFmtId="0" fontId="17" fillId="89" borderId="100" applyNumberFormat="0" applyProtection="0">
      <alignment horizontal="left" vertical="top" indent="1"/>
    </xf>
    <xf numFmtId="0" fontId="17" fillId="89" borderId="100" applyNumberFormat="0" applyProtection="0">
      <alignment horizontal="left" vertical="top" indent="1"/>
    </xf>
    <xf numFmtId="0" fontId="17" fillId="89" borderId="100" applyNumberFormat="0" applyProtection="0">
      <alignment horizontal="left" vertical="top" indent="1"/>
    </xf>
    <xf numFmtId="0" fontId="17" fillId="89" borderId="100" applyNumberFormat="0" applyProtection="0">
      <alignment horizontal="left" vertical="top" indent="1"/>
    </xf>
    <xf numFmtId="0" fontId="17" fillId="89" borderId="100" applyNumberFormat="0" applyProtection="0">
      <alignment horizontal="left" vertical="top" indent="1"/>
    </xf>
    <xf numFmtId="0" fontId="17" fillId="89" borderId="100" applyNumberFormat="0" applyProtection="0">
      <alignment horizontal="left" vertical="top" indent="1"/>
    </xf>
    <xf numFmtId="0" fontId="17" fillId="89" borderId="100" applyNumberFormat="0" applyProtection="0">
      <alignment horizontal="left" vertical="top" indent="1"/>
    </xf>
    <xf numFmtId="0" fontId="17" fillId="89" borderId="100" applyNumberFormat="0" applyProtection="0">
      <alignment horizontal="left" vertical="top" indent="1"/>
    </xf>
    <xf numFmtId="0" fontId="17" fillId="89" borderId="100" applyNumberFormat="0" applyProtection="0">
      <alignment horizontal="left" vertical="top" indent="1"/>
    </xf>
    <xf numFmtId="0" fontId="17" fillId="89" borderId="100" applyNumberFormat="0" applyProtection="0">
      <alignment horizontal="left" vertical="top" indent="1"/>
    </xf>
    <xf numFmtId="0" fontId="17" fillId="89" borderId="100" applyNumberFormat="0" applyProtection="0">
      <alignment horizontal="left" vertical="top" indent="1"/>
    </xf>
    <xf numFmtId="0" fontId="17" fillId="89" borderId="100" applyNumberFormat="0" applyProtection="0">
      <alignment horizontal="left" vertical="top" indent="1"/>
    </xf>
    <xf numFmtId="0" fontId="17" fillId="89" borderId="100" applyNumberFormat="0" applyProtection="0">
      <alignment horizontal="left" vertical="top" indent="1"/>
    </xf>
    <xf numFmtId="0" fontId="17" fillId="89" borderId="100" applyNumberFormat="0" applyProtection="0">
      <alignment horizontal="left" vertical="top" indent="1"/>
    </xf>
    <xf numFmtId="0" fontId="17" fillId="89" borderId="100" applyNumberFormat="0" applyProtection="0">
      <alignment horizontal="left" vertical="top" indent="1"/>
    </xf>
    <xf numFmtId="0" fontId="17" fillId="89" borderId="100" applyNumberFormat="0" applyProtection="0">
      <alignment horizontal="left" vertical="top" indent="1"/>
    </xf>
    <xf numFmtId="0" fontId="17" fillId="89" borderId="100" applyNumberFormat="0" applyProtection="0">
      <alignment horizontal="left" vertical="top" indent="1"/>
    </xf>
    <xf numFmtId="0" fontId="17" fillId="89" borderId="100" applyNumberFormat="0" applyProtection="0">
      <alignment horizontal="left" vertical="top" indent="1"/>
    </xf>
    <xf numFmtId="0" fontId="17" fillId="89" borderId="100" applyNumberFormat="0" applyProtection="0">
      <alignment horizontal="left" vertical="top" indent="1"/>
    </xf>
    <xf numFmtId="0" fontId="17" fillId="89" borderId="100" applyNumberFormat="0" applyProtection="0">
      <alignment horizontal="left" vertical="top" indent="1"/>
    </xf>
    <xf numFmtId="0" fontId="17" fillId="89" borderId="100" applyNumberFormat="0" applyProtection="0">
      <alignment horizontal="left" vertical="top" indent="1"/>
    </xf>
    <xf numFmtId="0" fontId="17" fillId="89" borderId="100" applyNumberFormat="0" applyProtection="0">
      <alignment horizontal="left" vertical="top" indent="1"/>
    </xf>
    <xf numFmtId="0" fontId="17" fillId="89" borderId="100" applyNumberFormat="0" applyProtection="0">
      <alignment horizontal="left" vertical="top" indent="1"/>
    </xf>
    <xf numFmtId="0" fontId="17" fillId="89" borderId="100" applyNumberFormat="0" applyProtection="0">
      <alignment horizontal="left" vertical="top" indent="1"/>
    </xf>
    <xf numFmtId="0" fontId="17" fillId="89" borderId="100" applyNumberFormat="0" applyProtection="0">
      <alignment horizontal="left" vertical="top" indent="1"/>
    </xf>
    <xf numFmtId="0" fontId="17" fillId="89" borderId="100" applyNumberFormat="0" applyProtection="0">
      <alignment horizontal="left" vertical="top" indent="1"/>
    </xf>
    <xf numFmtId="0" fontId="17" fillId="89" borderId="100" applyNumberFormat="0" applyProtection="0">
      <alignment horizontal="left" vertical="top" indent="1"/>
    </xf>
    <xf numFmtId="0" fontId="17" fillId="89" borderId="100" applyNumberFormat="0" applyProtection="0">
      <alignment horizontal="left" vertical="top" indent="1"/>
    </xf>
    <xf numFmtId="0" fontId="17" fillId="89" borderId="100" applyNumberFormat="0" applyProtection="0">
      <alignment horizontal="left" vertical="top" indent="1"/>
    </xf>
    <xf numFmtId="0" fontId="17" fillId="89" borderId="100" applyNumberFormat="0" applyProtection="0">
      <alignment horizontal="left" vertical="top" indent="1"/>
    </xf>
    <xf numFmtId="0" fontId="17" fillId="89" borderId="100" applyNumberFormat="0" applyProtection="0">
      <alignment horizontal="left" vertical="top" indent="1"/>
    </xf>
    <xf numFmtId="0" fontId="17" fillId="89" borderId="100" applyNumberFormat="0" applyProtection="0">
      <alignment horizontal="left" vertical="top" indent="1"/>
    </xf>
    <xf numFmtId="0" fontId="17" fillId="89" borderId="100" applyNumberFormat="0" applyProtection="0">
      <alignment horizontal="left" vertical="top" indent="1"/>
    </xf>
    <xf numFmtId="0" fontId="17" fillId="89" borderId="100" applyNumberFormat="0" applyProtection="0">
      <alignment horizontal="left" vertical="top" indent="1"/>
    </xf>
    <xf numFmtId="0" fontId="17" fillId="89" borderId="100" applyNumberFormat="0" applyProtection="0">
      <alignment horizontal="left" vertical="top" indent="1"/>
    </xf>
    <xf numFmtId="0" fontId="17" fillId="89" borderId="100" applyNumberFormat="0" applyProtection="0">
      <alignment horizontal="left" vertical="top" indent="1"/>
    </xf>
    <xf numFmtId="0" fontId="17" fillId="89" borderId="100" applyNumberFormat="0" applyProtection="0">
      <alignment horizontal="left" vertical="top" indent="1"/>
    </xf>
    <xf numFmtId="0" fontId="17" fillId="89" borderId="100" applyNumberFormat="0" applyProtection="0">
      <alignment horizontal="left" vertical="top" indent="1"/>
    </xf>
    <xf numFmtId="0" fontId="17" fillId="89" borderId="100" applyNumberFormat="0" applyProtection="0">
      <alignment horizontal="left" vertical="top" indent="1"/>
    </xf>
    <xf numFmtId="0" fontId="17" fillId="89" borderId="100" applyNumberFormat="0" applyProtection="0">
      <alignment horizontal="left" vertical="top" indent="1"/>
    </xf>
    <xf numFmtId="0" fontId="17" fillId="89" borderId="100" applyNumberFormat="0" applyProtection="0">
      <alignment horizontal="left" vertical="top" indent="1"/>
    </xf>
    <xf numFmtId="0" fontId="17" fillId="89" borderId="100" applyNumberFormat="0" applyProtection="0">
      <alignment horizontal="left" vertical="top" indent="1"/>
    </xf>
    <xf numFmtId="0" fontId="17" fillId="89" borderId="100" applyNumberFormat="0" applyProtection="0">
      <alignment horizontal="left" vertical="top" indent="1"/>
    </xf>
    <xf numFmtId="0" fontId="17" fillId="89" borderId="100" applyNumberFormat="0" applyProtection="0">
      <alignment horizontal="left" vertical="top" indent="1"/>
    </xf>
    <xf numFmtId="0" fontId="17" fillId="89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center" indent="1"/>
    </xf>
    <xf numFmtId="0" fontId="17" fillId="96" borderId="100" applyNumberFormat="0" applyProtection="0">
      <alignment horizontal="left" vertical="center" indent="1"/>
    </xf>
    <xf numFmtId="0" fontId="17" fillId="96" borderId="100" applyNumberFormat="0" applyProtection="0">
      <alignment horizontal="left" vertical="center" indent="1"/>
    </xf>
    <xf numFmtId="0" fontId="17" fillId="96" borderId="100" applyNumberFormat="0" applyProtection="0">
      <alignment horizontal="left" vertical="center" indent="1"/>
    </xf>
    <xf numFmtId="0" fontId="17" fillId="96" borderId="100" applyNumberFormat="0" applyProtection="0">
      <alignment horizontal="left" vertical="center" indent="1"/>
    </xf>
    <xf numFmtId="0" fontId="17" fillId="96" borderId="100" applyNumberFormat="0" applyProtection="0">
      <alignment horizontal="left" vertical="center" indent="1"/>
    </xf>
    <xf numFmtId="0" fontId="17" fillId="96" borderId="100" applyNumberFormat="0" applyProtection="0">
      <alignment horizontal="left" vertical="center" indent="1"/>
    </xf>
    <xf numFmtId="0" fontId="17" fillId="96" borderId="100" applyNumberFormat="0" applyProtection="0">
      <alignment horizontal="left" vertical="center" indent="1"/>
    </xf>
    <xf numFmtId="0" fontId="17" fillId="96" borderId="100" applyNumberFormat="0" applyProtection="0">
      <alignment horizontal="left" vertical="center" indent="1"/>
    </xf>
    <xf numFmtId="0" fontId="17" fillId="96" borderId="100" applyNumberFormat="0" applyProtection="0">
      <alignment horizontal="left" vertical="center" indent="1"/>
    </xf>
    <xf numFmtId="0" fontId="17" fillId="96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6" borderId="100" applyNumberFormat="0" applyProtection="0">
      <alignment horizontal="left" vertical="center" indent="1"/>
    </xf>
    <xf numFmtId="0" fontId="17" fillId="96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center" indent="1"/>
    </xf>
    <xf numFmtId="0" fontId="17" fillId="96" borderId="100" applyNumberFormat="0" applyProtection="0">
      <alignment horizontal="left" vertical="center" indent="1"/>
    </xf>
    <xf numFmtId="0" fontId="17" fillId="96" borderId="100" applyNumberFormat="0" applyProtection="0">
      <alignment horizontal="left" vertical="center" indent="1"/>
    </xf>
    <xf numFmtId="0" fontId="17" fillId="96" borderId="100" applyNumberFormat="0" applyProtection="0">
      <alignment horizontal="left" vertical="center" indent="1"/>
    </xf>
    <xf numFmtId="0" fontId="17" fillId="96" borderId="100" applyNumberFormat="0" applyProtection="0">
      <alignment horizontal="left" vertical="center" indent="1"/>
    </xf>
    <xf numFmtId="0" fontId="17" fillId="96" borderId="100" applyNumberFormat="0" applyProtection="0">
      <alignment horizontal="left" vertical="center" indent="1"/>
    </xf>
    <xf numFmtId="0" fontId="17" fillId="96" borderId="100" applyNumberFormat="0" applyProtection="0">
      <alignment horizontal="left" vertical="center" indent="1"/>
    </xf>
    <xf numFmtId="0" fontId="17" fillId="96" borderId="100" applyNumberFormat="0" applyProtection="0">
      <alignment horizontal="left" vertical="center" indent="1"/>
    </xf>
    <xf numFmtId="0" fontId="17" fillId="96" borderId="100" applyNumberFormat="0" applyProtection="0">
      <alignment horizontal="left" vertical="center" indent="1"/>
    </xf>
    <xf numFmtId="0" fontId="17" fillId="96" borderId="100" applyNumberFormat="0" applyProtection="0">
      <alignment horizontal="left" vertical="center" indent="1"/>
    </xf>
    <xf numFmtId="0" fontId="17" fillId="96" borderId="100" applyNumberFormat="0" applyProtection="0">
      <alignment horizontal="left" vertical="center" indent="1"/>
    </xf>
    <xf numFmtId="0" fontId="17" fillId="96" borderId="100" applyNumberFormat="0" applyProtection="0">
      <alignment horizontal="left" vertical="center" indent="1"/>
    </xf>
    <xf numFmtId="0" fontId="17" fillId="96" borderId="100" applyNumberFormat="0" applyProtection="0">
      <alignment horizontal="left" vertical="center" indent="1"/>
    </xf>
    <xf numFmtId="0" fontId="17" fillId="96" borderId="100" applyNumberFormat="0" applyProtection="0">
      <alignment horizontal="left" vertical="center" indent="1"/>
    </xf>
    <xf numFmtId="0" fontId="17" fillId="96" borderId="100" applyNumberFormat="0" applyProtection="0">
      <alignment horizontal="left" vertical="center" indent="1"/>
    </xf>
    <xf numFmtId="0" fontId="17" fillId="96" borderId="100" applyNumberFormat="0" applyProtection="0">
      <alignment horizontal="left" vertical="center" indent="1"/>
    </xf>
    <xf numFmtId="0" fontId="17" fillId="96" borderId="100" applyNumberFormat="0" applyProtection="0">
      <alignment horizontal="left" vertical="center" indent="1"/>
    </xf>
    <xf numFmtId="0" fontId="17" fillId="96" borderId="100" applyNumberFormat="0" applyProtection="0">
      <alignment horizontal="left" vertical="center" indent="1"/>
    </xf>
    <xf numFmtId="0" fontId="17" fillId="96" borderId="100" applyNumberFormat="0" applyProtection="0">
      <alignment horizontal="left" vertical="center" indent="1"/>
    </xf>
    <xf numFmtId="0" fontId="17" fillId="96" borderId="100" applyNumberFormat="0" applyProtection="0">
      <alignment horizontal="left" vertical="center" indent="1"/>
    </xf>
    <xf numFmtId="0" fontId="17" fillId="96" borderId="100" applyNumberFormat="0" applyProtection="0">
      <alignment horizontal="left" vertical="center" indent="1"/>
    </xf>
    <xf numFmtId="0" fontId="17" fillId="96" borderId="100" applyNumberFormat="0" applyProtection="0">
      <alignment horizontal="left" vertical="center" indent="1"/>
    </xf>
    <xf numFmtId="0" fontId="17" fillId="96" borderId="100" applyNumberFormat="0" applyProtection="0">
      <alignment horizontal="left" vertical="center" indent="1"/>
    </xf>
    <xf numFmtId="0" fontId="17" fillId="96" borderId="100" applyNumberFormat="0" applyProtection="0">
      <alignment horizontal="left" vertical="center" indent="1"/>
    </xf>
    <xf numFmtId="0" fontId="17" fillId="96" borderId="100" applyNumberFormat="0" applyProtection="0">
      <alignment horizontal="left" vertical="center" indent="1"/>
    </xf>
    <xf numFmtId="0" fontId="17" fillId="96" borderId="100" applyNumberFormat="0" applyProtection="0">
      <alignment horizontal="left" vertical="center" indent="1"/>
    </xf>
    <xf numFmtId="0" fontId="17" fillId="96" borderId="100" applyNumberFormat="0" applyProtection="0">
      <alignment horizontal="left" vertical="center" indent="1"/>
    </xf>
    <xf numFmtId="0" fontId="17" fillId="96" borderId="100" applyNumberFormat="0" applyProtection="0">
      <alignment horizontal="left" vertical="center" indent="1"/>
    </xf>
    <xf numFmtId="0" fontId="17" fillId="96" borderId="100" applyNumberFormat="0" applyProtection="0">
      <alignment horizontal="left" vertical="center" indent="1"/>
    </xf>
    <xf numFmtId="0" fontId="17" fillId="96" borderId="100" applyNumberFormat="0" applyProtection="0">
      <alignment horizontal="left" vertical="center" indent="1"/>
    </xf>
    <xf numFmtId="0" fontId="17" fillId="96" borderId="100" applyNumberFormat="0" applyProtection="0">
      <alignment horizontal="left" vertical="center" indent="1"/>
    </xf>
    <xf numFmtId="0" fontId="17" fillId="96" borderId="100" applyNumberFormat="0" applyProtection="0">
      <alignment horizontal="left" vertical="center" indent="1"/>
    </xf>
    <xf numFmtId="0" fontId="17" fillId="96" borderId="100" applyNumberFormat="0" applyProtection="0">
      <alignment horizontal="left" vertical="center" indent="1"/>
    </xf>
    <xf numFmtId="0" fontId="17" fillId="96" borderId="100" applyNumberFormat="0" applyProtection="0">
      <alignment horizontal="left" vertical="center" indent="1"/>
    </xf>
    <xf numFmtId="0" fontId="17" fillId="96" borderId="100" applyNumberFormat="0" applyProtection="0">
      <alignment horizontal="left" vertical="center" indent="1"/>
    </xf>
    <xf numFmtId="0" fontId="17" fillId="96" borderId="100" applyNumberFormat="0" applyProtection="0">
      <alignment horizontal="left" vertical="center" indent="1"/>
    </xf>
    <xf numFmtId="0" fontId="17" fillId="96" borderId="100" applyNumberFormat="0" applyProtection="0">
      <alignment horizontal="left" vertical="center" indent="1"/>
    </xf>
    <xf numFmtId="0" fontId="17" fillId="96" borderId="100" applyNumberFormat="0" applyProtection="0">
      <alignment horizontal="left" vertical="center" indent="1"/>
    </xf>
    <xf numFmtId="0" fontId="17" fillId="96" borderId="100" applyNumberFormat="0" applyProtection="0">
      <alignment horizontal="left" vertical="center" indent="1"/>
    </xf>
    <xf numFmtId="0" fontId="17" fillId="96" borderId="100" applyNumberFormat="0" applyProtection="0">
      <alignment horizontal="left" vertical="center" indent="1"/>
    </xf>
    <xf numFmtId="0" fontId="17" fillId="96" borderId="100" applyNumberFormat="0" applyProtection="0">
      <alignment horizontal="left" vertical="center" indent="1"/>
    </xf>
    <xf numFmtId="0" fontId="17" fillId="96" borderId="100" applyNumberFormat="0" applyProtection="0">
      <alignment horizontal="left" vertical="center" indent="1"/>
    </xf>
    <xf numFmtId="0" fontId="17" fillId="96" borderId="100" applyNumberFormat="0" applyProtection="0">
      <alignment horizontal="left" vertical="center" indent="1"/>
    </xf>
    <xf numFmtId="0" fontId="17" fillId="96" borderId="100" applyNumberFormat="0" applyProtection="0">
      <alignment horizontal="left" vertical="center" indent="1"/>
    </xf>
    <xf numFmtId="0" fontId="17" fillId="96" borderId="100" applyNumberFormat="0" applyProtection="0">
      <alignment horizontal="left" vertical="center" indent="1"/>
    </xf>
    <xf numFmtId="0" fontId="17" fillId="96" borderId="100" applyNumberFormat="0" applyProtection="0">
      <alignment horizontal="left" vertical="center" indent="1"/>
    </xf>
    <xf numFmtId="0" fontId="17" fillId="96" borderId="100" applyNumberFormat="0" applyProtection="0">
      <alignment horizontal="left" vertical="center" indent="1"/>
    </xf>
    <xf numFmtId="0" fontId="17" fillId="96" borderId="100" applyNumberFormat="0" applyProtection="0">
      <alignment horizontal="left" vertical="center" indent="1"/>
    </xf>
    <xf numFmtId="0" fontId="17" fillId="96" borderId="100" applyNumberFormat="0" applyProtection="0">
      <alignment horizontal="left" vertical="center" indent="1"/>
    </xf>
    <xf numFmtId="0" fontId="17" fillId="96" borderId="100" applyNumberFormat="0" applyProtection="0">
      <alignment horizontal="left" vertical="center" indent="1"/>
    </xf>
    <xf numFmtId="0" fontId="17" fillId="95" borderId="100" applyNumberFormat="0" applyProtection="0">
      <alignment horizontal="left" vertical="top" indent="1"/>
    </xf>
    <xf numFmtId="0" fontId="17" fillId="96" borderId="100" applyNumberFormat="0" applyProtection="0">
      <alignment horizontal="left" vertical="top" indent="1"/>
    </xf>
    <xf numFmtId="0" fontId="17" fillId="96" borderId="100" applyNumberFormat="0" applyProtection="0">
      <alignment horizontal="left" vertical="top" indent="1"/>
    </xf>
    <xf numFmtId="0" fontId="17" fillId="96" borderId="100" applyNumberFormat="0" applyProtection="0">
      <alignment horizontal="left" vertical="top" indent="1"/>
    </xf>
    <xf numFmtId="0" fontId="17" fillId="96" borderId="100" applyNumberFormat="0" applyProtection="0">
      <alignment horizontal="left" vertical="top" indent="1"/>
    </xf>
    <xf numFmtId="0" fontId="17" fillId="96" borderId="100" applyNumberFormat="0" applyProtection="0">
      <alignment horizontal="left" vertical="top" indent="1"/>
    </xf>
    <xf numFmtId="0" fontId="17" fillId="96" borderId="100" applyNumberFormat="0" applyProtection="0">
      <alignment horizontal="left" vertical="top" indent="1"/>
    </xf>
    <xf numFmtId="0" fontId="17" fillId="96" borderId="100" applyNumberFormat="0" applyProtection="0">
      <alignment horizontal="left" vertical="top" indent="1"/>
    </xf>
    <xf numFmtId="0" fontId="17" fillId="96" borderId="100" applyNumberFormat="0" applyProtection="0">
      <alignment horizontal="left" vertical="top" indent="1"/>
    </xf>
    <xf numFmtId="0" fontId="17" fillId="96" borderId="100" applyNumberFormat="0" applyProtection="0">
      <alignment horizontal="left" vertical="top" indent="1"/>
    </xf>
    <xf numFmtId="0" fontId="17" fillId="96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6" borderId="100" applyNumberFormat="0" applyProtection="0">
      <alignment horizontal="left" vertical="top" indent="1"/>
    </xf>
    <xf numFmtId="0" fontId="17" fillId="96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5" borderId="100" applyNumberFormat="0" applyProtection="0">
      <alignment horizontal="left" vertical="top" indent="1"/>
    </xf>
    <xf numFmtId="0" fontId="17" fillId="96" borderId="100" applyNumberFormat="0" applyProtection="0">
      <alignment horizontal="left" vertical="top" indent="1"/>
    </xf>
    <xf numFmtId="0" fontId="17" fillId="96" borderId="100" applyNumberFormat="0" applyProtection="0">
      <alignment horizontal="left" vertical="top" indent="1"/>
    </xf>
    <xf numFmtId="0" fontId="17" fillId="96" borderId="100" applyNumberFormat="0" applyProtection="0">
      <alignment horizontal="left" vertical="top" indent="1"/>
    </xf>
    <xf numFmtId="0" fontId="17" fillId="96" borderId="100" applyNumberFormat="0" applyProtection="0">
      <alignment horizontal="left" vertical="top" indent="1"/>
    </xf>
    <xf numFmtId="0" fontId="17" fillId="96" borderId="100" applyNumberFormat="0" applyProtection="0">
      <alignment horizontal="left" vertical="top" indent="1"/>
    </xf>
    <xf numFmtId="0" fontId="17" fillId="96" borderId="100" applyNumberFormat="0" applyProtection="0">
      <alignment horizontal="left" vertical="top" indent="1"/>
    </xf>
    <xf numFmtId="0" fontId="17" fillId="96" borderId="100" applyNumberFormat="0" applyProtection="0">
      <alignment horizontal="left" vertical="top" indent="1"/>
    </xf>
    <xf numFmtId="0" fontId="17" fillId="96" borderId="100" applyNumberFormat="0" applyProtection="0">
      <alignment horizontal="left" vertical="top" indent="1"/>
    </xf>
    <xf numFmtId="0" fontId="17" fillId="96" borderId="100" applyNumberFormat="0" applyProtection="0">
      <alignment horizontal="left" vertical="top" indent="1"/>
    </xf>
    <xf numFmtId="0" fontId="17" fillId="96" borderId="100" applyNumberFormat="0" applyProtection="0">
      <alignment horizontal="left" vertical="top" indent="1"/>
    </xf>
    <xf numFmtId="0" fontId="17" fillId="96" borderId="100" applyNumberFormat="0" applyProtection="0">
      <alignment horizontal="left" vertical="top" indent="1"/>
    </xf>
    <xf numFmtId="0" fontId="17" fillId="96" borderId="100" applyNumberFormat="0" applyProtection="0">
      <alignment horizontal="left" vertical="top" indent="1"/>
    </xf>
    <xf numFmtId="0" fontId="17" fillId="96" borderId="100" applyNumberFormat="0" applyProtection="0">
      <alignment horizontal="left" vertical="top" indent="1"/>
    </xf>
    <xf numFmtId="0" fontId="17" fillId="96" borderId="100" applyNumberFormat="0" applyProtection="0">
      <alignment horizontal="left" vertical="top" indent="1"/>
    </xf>
    <xf numFmtId="0" fontId="17" fillId="96" borderId="100" applyNumberFormat="0" applyProtection="0">
      <alignment horizontal="left" vertical="top" indent="1"/>
    </xf>
    <xf numFmtId="0" fontId="17" fillId="96" borderId="100" applyNumberFormat="0" applyProtection="0">
      <alignment horizontal="left" vertical="top" indent="1"/>
    </xf>
    <xf numFmtId="0" fontId="17" fillId="96" borderId="100" applyNumberFormat="0" applyProtection="0">
      <alignment horizontal="left" vertical="top" indent="1"/>
    </xf>
    <xf numFmtId="0" fontId="17" fillId="96" borderId="100" applyNumberFormat="0" applyProtection="0">
      <alignment horizontal="left" vertical="top" indent="1"/>
    </xf>
    <xf numFmtId="0" fontId="17" fillId="96" borderId="100" applyNumberFormat="0" applyProtection="0">
      <alignment horizontal="left" vertical="top" indent="1"/>
    </xf>
    <xf numFmtId="0" fontId="17" fillId="96" borderId="100" applyNumberFormat="0" applyProtection="0">
      <alignment horizontal="left" vertical="top" indent="1"/>
    </xf>
    <xf numFmtId="0" fontId="17" fillId="96" borderId="100" applyNumberFormat="0" applyProtection="0">
      <alignment horizontal="left" vertical="top" indent="1"/>
    </xf>
    <xf numFmtId="0" fontId="17" fillId="96" borderId="100" applyNumberFormat="0" applyProtection="0">
      <alignment horizontal="left" vertical="top" indent="1"/>
    </xf>
    <xf numFmtId="0" fontId="17" fillId="96" borderId="100" applyNumberFormat="0" applyProtection="0">
      <alignment horizontal="left" vertical="top" indent="1"/>
    </xf>
    <xf numFmtId="0" fontId="17" fillId="96" borderId="100" applyNumberFormat="0" applyProtection="0">
      <alignment horizontal="left" vertical="top" indent="1"/>
    </xf>
    <xf numFmtId="0" fontId="17" fillId="96" borderId="100" applyNumberFormat="0" applyProtection="0">
      <alignment horizontal="left" vertical="top" indent="1"/>
    </xf>
    <xf numFmtId="0" fontId="17" fillId="96" borderId="100" applyNumberFormat="0" applyProtection="0">
      <alignment horizontal="left" vertical="top" indent="1"/>
    </xf>
    <xf numFmtId="0" fontId="17" fillId="96" borderId="100" applyNumberFormat="0" applyProtection="0">
      <alignment horizontal="left" vertical="top" indent="1"/>
    </xf>
    <xf numFmtId="0" fontId="17" fillId="96" borderId="100" applyNumberFormat="0" applyProtection="0">
      <alignment horizontal="left" vertical="top" indent="1"/>
    </xf>
    <xf numFmtId="0" fontId="17" fillId="96" borderId="100" applyNumberFormat="0" applyProtection="0">
      <alignment horizontal="left" vertical="top" indent="1"/>
    </xf>
    <xf numFmtId="0" fontId="17" fillId="96" borderId="100" applyNumberFormat="0" applyProtection="0">
      <alignment horizontal="left" vertical="top" indent="1"/>
    </xf>
    <xf numFmtId="0" fontId="17" fillId="96" borderId="100" applyNumberFormat="0" applyProtection="0">
      <alignment horizontal="left" vertical="top" indent="1"/>
    </xf>
    <xf numFmtId="0" fontId="17" fillId="96" borderId="100" applyNumberFormat="0" applyProtection="0">
      <alignment horizontal="left" vertical="top" indent="1"/>
    </xf>
    <xf numFmtId="0" fontId="17" fillId="96" borderId="100" applyNumberFormat="0" applyProtection="0">
      <alignment horizontal="left" vertical="top" indent="1"/>
    </xf>
    <xf numFmtId="0" fontId="17" fillId="96" borderId="100" applyNumberFormat="0" applyProtection="0">
      <alignment horizontal="left" vertical="top" indent="1"/>
    </xf>
    <xf numFmtId="0" fontId="17" fillId="96" borderId="100" applyNumberFormat="0" applyProtection="0">
      <alignment horizontal="left" vertical="top" indent="1"/>
    </xf>
    <xf numFmtId="0" fontId="17" fillId="96" borderId="100" applyNumberFormat="0" applyProtection="0">
      <alignment horizontal="left" vertical="top" indent="1"/>
    </xf>
    <xf numFmtId="0" fontId="17" fillId="96" borderId="100" applyNumberFormat="0" applyProtection="0">
      <alignment horizontal="left" vertical="top" indent="1"/>
    </xf>
    <xf numFmtId="0" fontId="17" fillId="96" borderId="100" applyNumberFormat="0" applyProtection="0">
      <alignment horizontal="left" vertical="top" indent="1"/>
    </xf>
    <xf numFmtId="0" fontId="17" fillId="96" borderId="100" applyNumberFormat="0" applyProtection="0">
      <alignment horizontal="left" vertical="top" indent="1"/>
    </xf>
    <xf numFmtId="0" fontId="17" fillId="96" borderId="100" applyNumberFormat="0" applyProtection="0">
      <alignment horizontal="left" vertical="top" indent="1"/>
    </xf>
    <xf numFmtId="0" fontId="17" fillId="96" borderId="100" applyNumberFormat="0" applyProtection="0">
      <alignment horizontal="left" vertical="top" indent="1"/>
    </xf>
    <xf numFmtId="0" fontId="17" fillId="96" borderId="100" applyNumberFormat="0" applyProtection="0">
      <alignment horizontal="left" vertical="top" indent="1"/>
    </xf>
    <xf numFmtId="0" fontId="17" fillId="96" borderId="100" applyNumberFormat="0" applyProtection="0">
      <alignment horizontal="left" vertical="top" indent="1"/>
    </xf>
    <xf numFmtId="0" fontId="17" fillId="96" borderId="100" applyNumberFormat="0" applyProtection="0">
      <alignment horizontal="left" vertical="top" indent="1"/>
    </xf>
    <xf numFmtId="0" fontId="17" fillId="96" borderId="100" applyNumberFormat="0" applyProtection="0">
      <alignment horizontal="left" vertical="top" indent="1"/>
    </xf>
    <xf numFmtId="0" fontId="17" fillId="96" borderId="100" applyNumberFormat="0" applyProtection="0">
      <alignment horizontal="left" vertical="top" indent="1"/>
    </xf>
    <xf numFmtId="0" fontId="17" fillId="96" borderId="100" applyNumberFormat="0" applyProtection="0">
      <alignment horizontal="left" vertical="top" indent="1"/>
    </xf>
    <xf numFmtId="0" fontId="17" fillId="96" borderId="100" applyNumberFormat="0" applyProtection="0">
      <alignment horizontal="left" vertical="top" indent="1"/>
    </xf>
    <xf numFmtId="0" fontId="17" fillId="96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center" indent="1"/>
    </xf>
    <xf numFmtId="0" fontId="17" fillId="42" borderId="100" applyNumberFormat="0" applyProtection="0">
      <alignment horizontal="left" vertical="center" indent="1"/>
    </xf>
    <xf numFmtId="0" fontId="17" fillId="42" borderId="100" applyNumberFormat="0" applyProtection="0">
      <alignment horizontal="left" vertical="center" indent="1"/>
    </xf>
    <xf numFmtId="0" fontId="17" fillId="42" borderId="100" applyNumberFormat="0" applyProtection="0">
      <alignment horizontal="left" vertical="center" indent="1"/>
    </xf>
    <xf numFmtId="0" fontId="17" fillId="42" borderId="100" applyNumberFormat="0" applyProtection="0">
      <alignment horizontal="left" vertical="center" indent="1"/>
    </xf>
    <xf numFmtId="0" fontId="17" fillId="42" borderId="100" applyNumberFormat="0" applyProtection="0">
      <alignment horizontal="left" vertical="center" indent="1"/>
    </xf>
    <xf numFmtId="0" fontId="17" fillId="42" borderId="100" applyNumberFormat="0" applyProtection="0">
      <alignment horizontal="left" vertical="center" indent="1"/>
    </xf>
    <xf numFmtId="0" fontId="17" fillId="42" borderId="100" applyNumberFormat="0" applyProtection="0">
      <alignment horizontal="left" vertical="center" indent="1"/>
    </xf>
    <xf numFmtId="0" fontId="17" fillId="42" borderId="100" applyNumberFormat="0" applyProtection="0">
      <alignment horizontal="left" vertical="center" indent="1"/>
    </xf>
    <xf numFmtId="0" fontId="17" fillId="42" borderId="100" applyNumberFormat="0" applyProtection="0">
      <alignment horizontal="left" vertical="center" indent="1"/>
    </xf>
    <xf numFmtId="0" fontId="17" fillId="42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2" borderId="100" applyNumberFormat="0" applyProtection="0">
      <alignment horizontal="left" vertical="center" indent="1"/>
    </xf>
    <xf numFmtId="0" fontId="17" fillId="42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center" indent="1"/>
    </xf>
    <xf numFmtId="0" fontId="17" fillId="42" borderId="100" applyNumberFormat="0" applyProtection="0">
      <alignment horizontal="left" vertical="center" indent="1"/>
    </xf>
    <xf numFmtId="0" fontId="17" fillId="42" borderId="100" applyNumberFormat="0" applyProtection="0">
      <alignment horizontal="left" vertical="center" indent="1"/>
    </xf>
    <xf numFmtId="0" fontId="17" fillId="42" borderId="100" applyNumberFormat="0" applyProtection="0">
      <alignment horizontal="left" vertical="center" indent="1"/>
    </xf>
    <xf numFmtId="0" fontId="17" fillId="42" borderId="100" applyNumberFormat="0" applyProtection="0">
      <alignment horizontal="left" vertical="center" indent="1"/>
    </xf>
    <xf numFmtId="0" fontId="17" fillId="42" borderId="100" applyNumberFormat="0" applyProtection="0">
      <alignment horizontal="left" vertical="center" indent="1"/>
    </xf>
    <xf numFmtId="0" fontId="17" fillId="42" borderId="100" applyNumberFormat="0" applyProtection="0">
      <alignment horizontal="left" vertical="center" indent="1"/>
    </xf>
    <xf numFmtId="0" fontId="17" fillId="42" borderId="100" applyNumberFormat="0" applyProtection="0">
      <alignment horizontal="left" vertical="center" indent="1"/>
    </xf>
    <xf numFmtId="0" fontId="17" fillId="42" borderId="100" applyNumberFormat="0" applyProtection="0">
      <alignment horizontal="left" vertical="center" indent="1"/>
    </xf>
    <xf numFmtId="0" fontId="17" fillId="42" borderId="100" applyNumberFormat="0" applyProtection="0">
      <alignment horizontal="left" vertical="center" indent="1"/>
    </xf>
    <xf numFmtId="0" fontId="17" fillId="42" borderId="100" applyNumberFormat="0" applyProtection="0">
      <alignment horizontal="left" vertical="center" indent="1"/>
    </xf>
    <xf numFmtId="0" fontId="17" fillId="42" borderId="100" applyNumberFormat="0" applyProtection="0">
      <alignment horizontal="left" vertical="center" indent="1"/>
    </xf>
    <xf numFmtId="0" fontId="17" fillId="42" borderId="100" applyNumberFormat="0" applyProtection="0">
      <alignment horizontal="left" vertical="center" indent="1"/>
    </xf>
    <xf numFmtId="0" fontId="17" fillId="42" borderId="100" applyNumberFormat="0" applyProtection="0">
      <alignment horizontal="left" vertical="center" indent="1"/>
    </xf>
    <xf numFmtId="0" fontId="17" fillId="42" borderId="100" applyNumberFormat="0" applyProtection="0">
      <alignment horizontal="left" vertical="center" indent="1"/>
    </xf>
    <xf numFmtId="0" fontId="17" fillId="42" borderId="100" applyNumberFormat="0" applyProtection="0">
      <alignment horizontal="left" vertical="center" indent="1"/>
    </xf>
    <xf numFmtId="0" fontId="17" fillId="42" borderId="100" applyNumberFormat="0" applyProtection="0">
      <alignment horizontal="left" vertical="center" indent="1"/>
    </xf>
    <xf numFmtId="0" fontId="17" fillId="42" borderId="100" applyNumberFormat="0" applyProtection="0">
      <alignment horizontal="left" vertical="center" indent="1"/>
    </xf>
    <xf numFmtId="0" fontId="17" fillId="42" borderId="100" applyNumberFormat="0" applyProtection="0">
      <alignment horizontal="left" vertical="center" indent="1"/>
    </xf>
    <xf numFmtId="0" fontId="17" fillId="42" borderId="100" applyNumberFormat="0" applyProtection="0">
      <alignment horizontal="left" vertical="center" indent="1"/>
    </xf>
    <xf numFmtId="0" fontId="17" fillId="42" borderId="100" applyNumberFormat="0" applyProtection="0">
      <alignment horizontal="left" vertical="center" indent="1"/>
    </xf>
    <xf numFmtId="0" fontId="17" fillId="42" borderId="100" applyNumberFormat="0" applyProtection="0">
      <alignment horizontal="left" vertical="center" indent="1"/>
    </xf>
    <xf numFmtId="0" fontId="17" fillId="42" borderId="100" applyNumberFormat="0" applyProtection="0">
      <alignment horizontal="left" vertical="center" indent="1"/>
    </xf>
    <xf numFmtId="0" fontId="17" fillId="42" borderId="100" applyNumberFormat="0" applyProtection="0">
      <alignment horizontal="left" vertical="center" indent="1"/>
    </xf>
    <xf numFmtId="0" fontId="17" fillId="42" borderId="100" applyNumberFormat="0" applyProtection="0">
      <alignment horizontal="left" vertical="center" indent="1"/>
    </xf>
    <xf numFmtId="0" fontId="17" fillId="42" borderId="100" applyNumberFormat="0" applyProtection="0">
      <alignment horizontal="left" vertical="center" indent="1"/>
    </xf>
    <xf numFmtId="0" fontId="17" fillId="42" borderId="100" applyNumberFormat="0" applyProtection="0">
      <alignment horizontal="left" vertical="center" indent="1"/>
    </xf>
    <xf numFmtId="0" fontId="17" fillId="42" borderId="100" applyNumberFormat="0" applyProtection="0">
      <alignment horizontal="left" vertical="center" indent="1"/>
    </xf>
    <xf numFmtId="0" fontId="17" fillId="42" borderId="100" applyNumberFormat="0" applyProtection="0">
      <alignment horizontal="left" vertical="center" indent="1"/>
    </xf>
    <xf numFmtId="0" fontId="17" fillId="42" borderId="100" applyNumberFormat="0" applyProtection="0">
      <alignment horizontal="left" vertical="center" indent="1"/>
    </xf>
    <xf numFmtId="0" fontId="17" fillId="42" borderId="100" applyNumberFormat="0" applyProtection="0">
      <alignment horizontal="left" vertical="center" indent="1"/>
    </xf>
    <xf numFmtId="0" fontId="17" fillId="42" borderId="100" applyNumberFormat="0" applyProtection="0">
      <alignment horizontal="left" vertical="center" indent="1"/>
    </xf>
    <xf numFmtId="0" fontId="17" fillId="42" borderId="100" applyNumberFormat="0" applyProtection="0">
      <alignment horizontal="left" vertical="center" indent="1"/>
    </xf>
    <xf numFmtId="0" fontId="17" fillId="42" borderId="100" applyNumberFormat="0" applyProtection="0">
      <alignment horizontal="left" vertical="center" indent="1"/>
    </xf>
    <xf numFmtId="0" fontId="17" fillId="42" borderId="100" applyNumberFormat="0" applyProtection="0">
      <alignment horizontal="left" vertical="center" indent="1"/>
    </xf>
    <xf numFmtId="0" fontId="17" fillId="42" borderId="100" applyNumberFormat="0" applyProtection="0">
      <alignment horizontal="left" vertical="center" indent="1"/>
    </xf>
    <xf numFmtId="0" fontId="17" fillId="42" borderId="100" applyNumberFormat="0" applyProtection="0">
      <alignment horizontal="left" vertical="center" indent="1"/>
    </xf>
    <xf numFmtId="0" fontId="17" fillId="42" borderId="100" applyNumberFormat="0" applyProtection="0">
      <alignment horizontal="left" vertical="center" indent="1"/>
    </xf>
    <xf numFmtId="0" fontId="17" fillId="42" borderId="100" applyNumberFormat="0" applyProtection="0">
      <alignment horizontal="left" vertical="center" indent="1"/>
    </xf>
    <xf numFmtId="0" fontId="17" fillId="42" borderId="100" applyNumberFormat="0" applyProtection="0">
      <alignment horizontal="left" vertical="center" indent="1"/>
    </xf>
    <xf numFmtId="0" fontId="17" fillId="42" borderId="100" applyNumberFormat="0" applyProtection="0">
      <alignment horizontal="left" vertical="center" indent="1"/>
    </xf>
    <xf numFmtId="0" fontId="17" fillId="42" borderId="100" applyNumberFormat="0" applyProtection="0">
      <alignment horizontal="left" vertical="center" indent="1"/>
    </xf>
    <xf numFmtId="0" fontId="17" fillId="42" borderId="100" applyNumberFormat="0" applyProtection="0">
      <alignment horizontal="left" vertical="center" indent="1"/>
    </xf>
    <xf numFmtId="0" fontId="17" fillId="42" borderId="100" applyNumberFormat="0" applyProtection="0">
      <alignment horizontal="left" vertical="center" indent="1"/>
    </xf>
    <xf numFmtId="0" fontId="17" fillId="42" borderId="100" applyNumberFormat="0" applyProtection="0">
      <alignment horizontal="left" vertical="center" indent="1"/>
    </xf>
    <xf numFmtId="0" fontId="17" fillId="42" borderId="100" applyNumberFormat="0" applyProtection="0">
      <alignment horizontal="left" vertical="center" indent="1"/>
    </xf>
    <xf numFmtId="0" fontId="17" fillId="42" borderId="100" applyNumberFormat="0" applyProtection="0">
      <alignment horizontal="left" vertical="center" indent="1"/>
    </xf>
    <xf numFmtId="0" fontId="17" fillId="42" borderId="100" applyNumberFormat="0" applyProtection="0">
      <alignment horizontal="left" vertical="center" indent="1"/>
    </xf>
    <xf numFmtId="0" fontId="17" fillId="42" borderId="100" applyNumberFormat="0" applyProtection="0">
      <alignment horizontal="left" vertical="center" indent="1"/>
    </xf>
    <xf numFmtId="0" fontId="17" fillId="42" borderId="100" applyNumberFormat="0" applyProtection="0">
      <alignment horizontal="left" vertical="center" indent="1"/>
    </xf>
    <xf numFmtId="0" fontId="17" fillId="49" borderId="100" applyNumberFormat="0" applyProtection="0">
      <alignment horizontal="left" vertical="top" indent="1"/>
    </xf>
    <xf numFmtId="0" fontId="17" fillId="42" borderId="100" applyNumberFormat="0" applyProtection="0">
      <alignment horizontal="left" vertical="top" indent="1"/>
    </xf>
    <xf numFmtId="0" fontId="17" fillId="42" borderId="100" applyNumberFormat="0" applyProtection="0">
      <alignment horizontal="left" vertical="top" indent="1"/>
    </xf>
    <xf numFmtId="0" fontId="17" fillId="42" borderId="100" applyNumberFormat="0" applyProtection="0">
      <alignment horizontal="left" vertical="top" indent="1"/>
    </xf>
    <xf numFmtId="0" fontId="17" fillId="42" borderId="100" applyNumberFormat="0" applyProtection="0">
      <alignment horizontal="left" vertical="top" indent="1"/>
    </xf>
    <xf numFmtId="0" fontId="17" fillId="42" borderId="100" applyNumberFormat="0" applyProtection="0">
      <alignment horizontal="left" vertical="top" indent="1"/>
    </xf>
    <xf numFmtId="0" fontId="17" fillId="42" borderId="100" applyNumberFormat="0" applyProtection="0">
      <alignment horizontal="left" vertical="top" indent="1"/>
    </xf>
    <xf numFmtId="0" fontId="17" fillId="42" borderId="100" applyNumberFormat="0" applyProtection="0">
      <alignment horizontal="left" vertical="top" indent="1"/>
    </xf>
    <xf numFmtId="0" fontId="17" fillId="42" borderId="100" applyNumberFormat="0" applyProtection="0">
      <alignment horizontal="left" vertical="top" indent="1"/>
    </xf>
    <xf numFmtId="0" fontId="17" fillId="42" borderId="100" applyNumberFormat="0" applyProtection="0">
      <alignment horizontal="left" vertical="top" indent="1"/>
    </xf>
    <xf numFmtId="0" fontId="17" fillId="42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2" borderId="100" applyNumberFormat="0" applyProtection="0">
      <alignment horizontal="left" vertical="top" indent="1"/>
    </xf>
    <xf numFmtId="0" fontId="17" fillId="42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9" borderId="100" applyNumberFormat="0" applyProtection="0">
      <alignment horizontal="left" vertical="top" indent="1"/>
    </xf>
    <xf numFmtId="0" fontId="17" fillId="42" borderId="100" applyNumberFormat="0" applyProtection="0">
      <alignment horizontal="left" vertical="top" indent="1"/>
    </xf>
    <xf numFmtId="0" fontId="17" fillId="42" borderId="100" applyNumberFormat="0" applyProtection="0">
      <alignment horizontal="left" vertical="top" indent="1"/>
    </xf>
    <xf numFmtId="0" fontId="17" fillId="42" borderId="100" applyNumberFormat="0" applyProtection="0">
      <alignment horizontal="left" vertical="top" indent="1"/>
    </xf>
    <xf numFmtId="0" fontId="17" fillId="42" borderId="100" applyNumberFormat="0" applyProtection="0">
      <alignment horizontal="left" vertical="top" indent="1"/>
    </xf>
    <xf numFmtId="0" fontId="17" fillId="42" borderId="100" applyNumberFormat="0" applyProtection="0">
      <alignment horizontal="left" vertical="top" indent="1"/>
    </xf>
    <xf numFmtId="0" fontId="17" fillId="42" borderId="100" applyNumberFormat="0" applyProtection="0">
      <alignment horizontal="left" vertical="top" indent="1"/>
    </xf>
    <xf numFmtId="0" fontId="17" fillId="42" borderId="100" applyNumberFormat="0" applyProtection="0">
      <alignment horizontal="left" vertical="top" indent="1"/>
    </xf>
    <xf numFmtId="0" fontId="17" fillId="42" borderId="100" applyNumberFormat="0" applyProtection="0">
      <alignment horizontal="left" vertical="top" indent="1"/>
    </xf>
    <xf numFmtId="0" fontId="17" fillId="42" borderId="100" applyNumberFormat="0" applyProtection="0">
      <alignment horizontal="left" vertical="top" indent="1"/>
    </xf>
    <xf numFmtId="0" fontId="17" fillId="42" borderId="100" applyNumberFormat="0" applyProtection="0">
      <alignment horizontal="left" vertical="top" indent="1"/>
    </xf>
    <xf numFmtId="0" fontId="17" fillId="42" borderId="100" applyNumberFormat="0" applyProtection="0">
      <alignment horizontal="left" vertical="top" indent="1"/>
    </xf>
    <xf numFmtId="0" fontId="17" fillId="42" borderId="100" applyNumberFormat="0" applyProtection="0">
      <alignment horizontal="left" vertical="top" indent="1"/>
    </xf>
    <xf numFmtId="0" fontId="17" fillId="42" borderId="100" applyNumberFormat="0" applyProtection="0">
      <alignment horizontal="left" vertical="top" indent="1"/>
    </xf>
    <xf numFmtId="0" fontId="17" fillId="42" borderId="100" applyNumberFormat="0" applyProtection="0">
      <alignment horizontal="left" vertical="top" indent="1"/>
    </xf>
    <xf numFmtId="0" fontId="17" fillId="42" borderId="100" applyNumberFormat="0" applyProtection="0">
      <alignment horizontal="left" vertical="top" indent="1"/>
    </xf>
    <xf numFmtId="0" fontId="17" fillId="42" borderId="100" applyNumberFormat="0" applyProtection="0">
      <alignment horizontal="left" vertical="top" indent="1"/>
    </xf>
    <xf numFmtId="0" fontId="17" fillId="42" borderId="100" applyNumberFormat="0" applyProtection="0">
      <alignment horizontal="left" vertical="top" indent="1"/>
    </xf>
    <xf numFmtId="0" fontId="17" fillId="42" borderId="100" applyNumberFormat="0" applyProtection="0">
      <alignment horizontal="left" vertical="top" indent="1"/>
    </xf>
    <xf numFmtId="0" fontId="17" fillId="42" borderId="100" applyNumberFormat="0" applyProtection="0">
      <alignment horizontal="left" vertical="top" indent="1"/>
    </xf>
    <xf numFmtId="0" fontId="17" fillId="42" borderId="100" applyNumberFormat="0" applyProtection="0">
      <alignment horizontal="left" vertical="top" indent="1"/>
    </xf>
    <xf numFmtId="0" fontId="17" fillId="42" borderId="100" applyNumberFormat="0" applyProtection="0">
      <alignment horizontal="left" vertical="top" indent="1"/>
    </xf>
    <xf numFmtId="0" fontId="17" fillId="42" borderId="100" applyNumberFormat="0" applyProtection="0">
      <alignment horizontal="left" vertical="top" indent="1"/>
    </xf>
    <xf numFmtId="0" fontId="17" fillId="42" borderId="100" applyNumberFormat="0" applyProtection="0">
      <alignment horizontal="left" vertical="top" indent="1"/>
    </xf>
    <xf numFmtId="0" fontId="17" fillId="42" borderId="100" applyNumberFormat="0" applyProtection="0">
      <alignment horizontal="left" vertical="top" indent="1"/>
    </xf>
    <xf numFmtId="0" fontId="17" fillId="42" borderId="100" applyNumberFormat="0" applyProtection="0">
      <alignment horizontal="left" vertical="top" indent="1"/>
    </xf>
    <xf numFmtId="0" fontId="17" fillId="42" borderId="100" applyNumberFormat="0" applyProtection="0">
      <alignment horizontal="left" vertical="top" indent="1"/>
    </xf>
    <xf numFmtId="0" fontId="17" fillId="42" borderId="100" applyNumberFormat="0" applyProtection="0">
      <alignment horizontal="left" vertical="top" indent="1"/>
    </xf>
    <xf numFmtId="0" fontId="17" fillId="42" borderId="100" applyNumberFormat="0" applyProtection="0">
      <alignment horizontal="left" vertical="top" indent="1"/>
    </xf>
    <xf numFmtId="0" fontId="17" fillId="42" borderId="100" applyNumberFormat="0" applyProtection="0">
      <alignment horizontal="left" vertical="top" indent="1"/>
    </xf>
    <xf numFmtId="0" fontId="17" fillId="42" borderId="100" applyNumberFormat="0" applyProtection="0">
      <alignment horizontal="left" vertical="top" indent="1"/>
    </xf>
    <xf numFmtId="0" fontId="17" fillId="42" borderId="100" applyNumberFormat="0" applyProtection="0">
      <alignment horizontal="left" vertical="top" indent="1"/>
    </xf>
    <xf numFmtId="0" fontId="17" fillId="42" borderId="100" applyNumberFormat="0" applyProtection="0">
      <alignment horizontal="left" vertical="top" indent="1"/>
    </xf>
    <xf numFmtId="0" fontId="17" fillId="42" borderId="100" applyNumberFormat="0" applyProtection="0">
      <alignment horizontal="left" vertical="top" indent="1"/>
    </xf>
    <xf numFmtId="0" fontId="17" fillId="42" borderId="100" applyNumberFormat="0" applyProtection="0">
      <alignment horizontal="left" vertical="top" indent="1"/>
    </xf>
    <xf numFmtId="0" fontId="17" fillId="42" borderId="100" applyNumberFormat="0" applyProtection="0">
      <alignment horizontal="left" vertical="top" indent="1"/>
    </xf>
    <xf numFmtId="0" fontId="17" fillId="42" borderId="100" applyNumberFormat="0" applyProtection="0">
      <alignment horizontal="left" vertical="top" indent="1"/>
    </xf>
    <xf numFmtId="0" fontId="17" fillId="42" borderId="100" applyNumberFormat="0" applyProtection="0">
      <alignment horizontal="left" vertical="top" indent="1"/>
    </xf>
    <xf numFmtId="0" fontId="17" fillId="42" borderId="100" applyNumberFormat="0" applyProtection="0">
      <alignment horizontal="left" vertical="top" indent="1"/>
    </xf>
    <xf numFmtId="0" fontId="17" fillId="42" borderId="100" applyNumberFormat="0" applyProtection="0">
      <alignment horizontal="left" vertical="top" indent="1"/>
    </xf>
    <xf numFmtId="0" fontId="17" fillId="42" borderId="100" applyNumberFormat="0" applyProtection="0">
      <alignment horizontal="left" vertical="top" indent="1"/>
    </xf>
    <xf numFmtId="0" fontId="17" fillId="42" borderId="100" applyNumberFormat="0" applyProtection="0">
      <alignment horizontal="left" vertical="top" indent="1"/>
    </xf>
    <xf numFmtId="0" fontId="17" fillId="42" borderId="100" applyNumberFormat="0" applyProtection="0">
      <alignment horizontal="left" vertical="top" indent="1"/>
    </xf>
    <xf numFmtId="0" fontId="17" fillId="42" borderId="100" applyNumberFormat="0" applyProtection="0">
      <alignment horizontal="left" vertical="top" indent="1"/>
    </xf>
    <xf numFmtId="0" fontId="17" fillId="42" borderId="100" applyNumberFormat="0" applyProtection="0">
      <alignment horizontal="left" vertical="top" indent="1"/>
    </xf>
    <xf numFmtId="0" fontId="17" fillId="42" borderId="100" applyNumberFormat="0" applyProtection="0">
      <alignment horizontal="left" vertical="top" indent="1"/>
    </xf>
    <xf numFmtId="0" fontId="17" fillId="42" borderId="100" applyNumberFormat="0" applyProtection="0">
      <alignment horizontal="left" vertical="top" indent="1"/>
    </xf>
    <xf numFmtId="0" fontId="17" fillId="42" borderId="100" applyNumberFormat="0" applyProtection="0">
      <alignment horizontal="left" vertical="top" indent="1"/>
    </xf>
    <xf numFmtId="0" fontId="17" fillId="42" borderId="100" applyNumberFormat="0" applyProtection="0">
      <alignment horizontal="left" vertical="top" indent="1"/>
    </xf>
    <xf numFmtId="0" fontId="17" fillId="4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center" indent="1"/>
    </xf>
    <xf numFmtId="0" fontId="17" fillId="82" borderId="100" applyNumberFormat="0" applyProtection="0">
      <alignment horizontal="left" vertical="center" indent="1"/>
    </xf>
    <xf numFmtId="0" fontId="17" fillId="82" borderId="100" applyNumberFormat="0" applyProtection="0">
      <alignment horizontal="left" vertical="center" indent="1"/>
    </xf>
    <xf numFmtId="0" fontId="17" fillId="82" borderId="100" applyNumberFormat="0" applyProtection="0">
      <alignment horizontal="left" vertical="center" indent="1"/>
    </xf>
    <xf numFmtId="0" fontId="17" fillId="82" borderId="100" applyNumberFormat="0" applyProtection="0">
      <alignment horizontal="left" vertical="center" indent="1"/>
    </xf>
    <xf numFmtId="0" fontId="17" fillId="82" borderId="100" applyNumberFormat="0" applyProtection="0">
      <alignment horizontal="left" vertical="center" indent="1"/>
    </xf>
    <xf numFmtId="0" fontId="17" fillId="82" borderId="100" applyNumberFormat="0" applyProtection="0">
      <alignment horizontal="left" vertical="center" indent="1"/>
    </xf>
    <xf numFmtId="0" fontId="17" fillId="82" borderId="100" applyNumberFormat="0" applyProtection="0">
      <alignment horizontal="left" vertical="center" indent="1"/>
    </xf>
    <xf numFmtId="0" fontId="17" fillId="82" borderId="100" applyNumberFormat="0" applyProtection="0">
      <alignment horizontal="left" vertical="center" indent="1"/>
    </xf>
    <xf numFmtId="0" fontId="17" fillId="82" borderId="100" applyNumberFormat="0" applyProtection="0">
      <alignment horizontal="left" vertical="center" indent="1"/>
    </xf>
    <xf numFmtId="0" fontId="17" fillId="8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82" borderId="100" applyNumberFormat="0" applyProtection="0">
      <alignment horizontal="left" vertical="center" indent="1"/>
    </xf>
    <xf numFmtId="0" fontId="17" fillId="8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center" indent="1"/>
    </xf>
    <xf numFmtId="0" fontId="17" fillId="82" borderId="100" applyNumberFormat="0" applyProtection="0">
      <alignment horizontal="left" vertical="center" indent="1"/>
    </xf>
    <xf numFmtId="0" fontId="17" fillId="82" borderId="100" applyNumberFormat="0" applyProtection="0">
      <alignment horizontal="left" vertical="center" indent="1"/>
    </xf>
    <xf numFmtId="0" fontId="17" fillId="82" borderId="100" applyNumberFormat="0" applyProtection="0">
      <alignment horizontal="left" vertical="center" indent="1"/>
    </xf>
    <xf numFmtId="0" fontId="17" fillId="82" borderId="100" applyNumberFormat="0" applyProtection="0">
      <alignment horizontal="left" vertical="center" indent="1"/>
    </xf>
    <xf numFmtId="0" fontId="17" fillId="82" borderId="100" applyNumberFormat="0" applyProtection="0">
      <alignment horizontal="left" vertical="center" indent="1"/>
    </xf>
    <xf numFmtId="0" fontId="17" fillId="82" borderId="100" applyNumberFormat="0" applyProtection="0">
      <alignment horizontal="left" vertical="center" indent="1"/>
    </xf>
    <xf numFmtId="0" fontId="17" fillId="82" borderId="100" applyNumberFormat="0" applyProtection="0">
      <alignment horizontal="left" vertical="center" indent="1"/>
    </xf>
    <xf numFmtId="0" fontId="17" fillId="82" borderId="100" applyNumberFormat="0" applyProtection="0">
      <alignment horizontal="left" vertical="center" indent="1"/>
    </xf>
    <xf numFmtId="0" fontId="17" fillId="82" borderId="100" applyNumberFormat="0" applyProtection="0">
      <alignment horizontal="left" vertical="center" indent="1"/>
    </xf>
    <xf numFmtId="0" fontId="17" fillId="82" borderId="100" applyNumberFormat="0" applyProtection="0">
      <alignment horizontal="left" vertical="center" indent="1"/>
    </xf>
    <xf numFmtId="0" fontId="17" fillId="82" borderId="100" applyNumberFormat="0" applyProtection="0">
      <alignment horizontal="left" vertical="center" indent="1"/>
    </xf>
    <xf numFmtId="0" fontId="17" fillId="82" borderId="100" applyNumberFormat="0" applyProtection="0">
      <alignment horizontal="left" vertical="center" indent="1"/>
    </xf>
    <xf numFmtId="0" fontId="17" fillId="82" borderId="100" applyNumberFormat="0" applyProtection="0">
      <alignment horizontal="left" vertical="center" indent="1"/>
    </xf>
    <xf numFmtId="0" fontId="17" fillId="82" borderId="100" applyNumberFormat="0" applyProtection="0">
      <alignment horizontal="left" vertical="center" indent="1"/>
    </xf>
    <xf numFmtId="0" fontId="17" fillId="82" borderId="100" applyNumberFormat="0" applyProtection="0">
      <alignment horizontal="left" vertical="center" indent="1"/>
    </xf>
    <xf numFmtId="0" fontId="17" fillId="82" borderId="100" applyNumberFormat="0" applyProtection="0">
      <alignment horizontal="left" vertical="center" indent="1"/>
    </xf>
    <xf numFmtId="0" fontId="17" fillId="82" borderId="100" applyNumberFormat="0" applyProtection="0">
      <alignment horizontal="left" vertical="center" indent="1"/>
    </xf>
    <xf numFmtId="0" fontId="17" fillId="82" borderId="100" applyNumberFormat="0" applyProtection="0">
      <alignment horizontal="left" vertical="center" indent="1"/>
    </xf>
    <xf numFmtId="0" fontId="17" fillId="82" borderId="100" applyNumberFormat="0" applyProtection="0">
      <alignment horizontal="left" vertical="center" indent="1"/>
    </xf>
    <xf numFmtId="0" fontId="17" fillId="82" borderId="100" applyNumberFormat="0" applyProtection="0">
      <alignment horizontal="left" vertical="center" indent="1"/>
    </xf>
    <xf numFmtId="0" fontId="17" fillId="82" borderId="100" applyNumberFormat="0" applyProtection="0">
      <alignment horizontal="left" vertical="center" indent="1"/>
    </xf>
    <xf numFmtId="0" fontId="17" fillId="82" borderId="100" applyNumberFormat="0" applyProtection="0">
      <alignment horizontal="left" vertical="center" indent="1"/>
    </xf>
    <xf numFmtId="0" fontId="17" fillId="82" borderId="100" applyNumberFormat="0" applyProtection="0">
      <alignment horizontal="left" vertical="center" indent="1"/>
    </xf>
    <xf numFmtId="0" fontId="17" fillId="82" borderId="100" applyNumberFormat="0" applyProtection="0">
      <alignment horizontal="left" vertical="center" indent="1"/>
    </xf>
    <xf numFmtId="0" fontId="17" fillId="82" borderId="100" applyNumberFormat="0" applyProtection="0">
      <alignment horizontal="left" vertical="center" indent="1"/>
    </xf>
    <xf numFmtId="0" fontId="17" fillId="82" borderId="100" applyNumberFormat="0" applyProtection="0">
      <alignment horizontal="left" vertical="center" indent="1"/>
    </xf>
    <xf numFmtId="0" fontId="17" fillId="82" borderId="100" applyNumberFormat="0" applyProtection="0">
      <alignment horizontal="left" vertical="center" indent="1"/>
    </xf>
    <xf numFmtId="0" fontId="17" fillId="82" borderId="100" applyNumberFormat="0" applyProtection="0">
      <alignment horizontal="left" vertical="center" indent="1"/>
    </xf>
    <xf numFmtId="0" fontId="17" fillId="82" borderId="100" applyNumberFormat="0" applyProtection="0">
      <alignment horizontal="left" vertical="center" indent="1"/>
    </xf>
    <xf numFmtId="0" fontId="17" fillId="82" borderId="100" applyNumberFormat="0" applyProtection="0">
      <alignment horizontal="left" vertical="center" indent="1"/>
    </xf>
    <xf numFmtId="0" fontId="17" fillId="82" borderId="100" applyNumberFormat="0" applyProtection="0">
      <alignment horizontal="left" vertical="center" indent="1"/>
    </xf>
    <xf numFmtId="0" fontId="17" fillId="82" borderId="100" applyNumberFormat="0" applyProtection="0">
      <alignment horizontal="left" vertical="center" indent="1"/>
    </xf>
    <xf numFmtId="0" fontId="17" fillId="82" borderId="100" applyNumberFormat="0" applyProtection="0">
      <alignment horizontal="left" vertical="center" indent="1"/>
    </xf>
    <xf numFmtId="0" fontId="17" fillId="82" borderId="100" applyNumberFormat="0" applyProtection="0">
      <alignment horizontal="left" vertical="center" indent="1"/>
    </xf>
    <xf numFmtId="0" fontId="17" fillId="82" borderId="100" applyNumberFormat="0" applyProtection="0">
      <alignment horizontal="left" vertical="center" indent="1"/>
    </xf>
    <xf numFmtId="0" fontId="17" fillId="82" borderId="100" applyNumberFormat="0" applyProtection="0">
      <alignment horizontal="left" vertical="center" indent="1"/>
    </xf>
    <xf numFmtId="0" fontId="17" fillId="82" borderId="100" applyNumberFormat="0" applyProtection="0">
      <alignment horizontal="left" vertical="center" indent="1"/>
    </xf>
    <xf numFmtId="0" fontId="17" fillId="82" borderId="100" applyNumberFormat="0" applyProtection="0">
      <alignment horizontal="left" vertical="center" indent="1"/>
    </xf>
    <xf numFmtId="0" fontId="17" fillId="82" borderId="100" applyNumberFormat="0" applyProtection="0">
      <alignment horizontal="left" vertical="center" indent="1"/>
    </xf>
    <xf numFmtId="0" fontId="17" fillId="82" borderId="100" applyNumberFormat="0" applyProtection="0">
      <alignment horizontal="left" vertical="center" indent="1"/>
    </xf>
    <xf numFmtId="0" fontId="17" fillId="82" borderId="100" applyNumberFormat="0" applyProtection="0">
      <alignment horizontal="left" vertical="center" indent="1"/>
    </xf>
    <xf numFmtId="0" fontId="17" fillId="82" borderId="100" applyNumberFormat="0" applyProtection="0">
      <alignment horizontal="left" vertical="center" indent="1"/>
    </xf>
    <xf numFmtId="0" fontId="17" fillId="82" borderId="100" applyNumberFormat="0" applyProtection="0">
      <alignment horizontal="left" vertical="center" indent="1"/>
    </xf>
    <xf numFmtId="0" fontId="17" fillId="82" borderId="100" applyNumberFormat="0" applyProtection="0">
      <alignment horizontal="left" vertical="center" indent="1"/>
    </xf>
    <xf numFmtId="0" fontId="17" fillId="82" borderId="100" applyNumberFormat="0" applyProtection="0">
      <alignment horizontal="left" vertical="center" indent="1"/>
    </xf>
    <xf numFmtId="0" fontId="17" fillId="82" borderId="100" applyNumberFormat="0" applyProtection="0">
      <alignment horizontal="left" vertical="center" indent="1"/>
    </xf>
    <xf numFmtId="0" fontId="17" fillId="82" borderId="100" applyNumberFormat="0" applyProtection="0">
      <alignment horizontal="left" vertical="center" indent="1"/>
    </xf>
    <xf numFmtId="0" fontId="17" fillId="82" borderId="100" applyNumberFormat="0" applyProtection="0">
      <alignment horizontal="left" vertical="center" indent="1"/>
    </xf>
    <xf numFmtId="0" fontId="17" fillId="82" borderId="100" applyNumberFormat="0" applyProtection="0">
      <alignment horizontal="left" vertical="center" indent="1"/>
    </xf>
    <xf numFmtId="0" fontId="17" fillId="102" borderId="100" applyNumberFormat="0" applyProtection="0">
      <alignment horizontal="left" vertical="top" indent="1"/>
    </xf>
    <xf numFmtId="0" fontId="17" fillId="82" borderId="100" applyNumberFormat="0" applyProtection="0">
      <alignment horizontal="left" vertical="top" indent="1"/>
    </xf>
    <xf numFmtId="0" fontId="17" fillId="82" borderId="100" applyNumberFormat="0" applyProtection="0">
      <alignment horizontal="left" vertical="top" indent="1"/>
    </xf>
    <xf numFmtId="0" fontId="17" fillId="82" borderId="100" applyNumberFormat="0" applyProtection="0">
      <alignment horizontal="left" vertical="top" indent="1"/>
    </xf>
    <xf numFmtId="0" fontId="17" fillId="82" borderId="100" applyNumberFormat="0" applyProtection="0">
      <alignment horizontal="left" vertical="top" indent="1"/>
    </xf>
    <xf numFmtId="0" fontId="17" fillId="82" borderId="100" applyNumberFormat="0" applyProtection="0">
      <alignment horizontal="left" vertical="top" indent="1"/>
    </xf>
    <xf numFmtId="0" fontId="17" fillId="82" borderId="100" applyNumberFormat="0" applyProtection="0">
      <alignment horizontal="left" vertical="top" indent="1"/>
    </xf>
    <xf numFmtId="0" fontId="17" fillId="82" borderId="100" applyNumberFormat="0" applyProtection="0">
      <alignment horizontal="left" vertical="top" indent="1"/>
    </xf>
    <xf numFmtId="0" fontId="17" fillId="82" borderId="100" applyNumberFormat="0" applyProtection="0">
      <alignment horizontal="left" vertical="top" indent="1"/>
    </xf>
    <xf numFmtId="0" fontId="17" fillId="82" borderId="100" applyNumberFormat="0" applyProtection="0">
      <alignment horizontal="left" vertical="top" indent="1"/>
    </xf>
    <xf numFmtId="0" fontId="17" fillId="8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82" borderId="100" applyNumberFormat="0" applyProtection="0">
      <alignment horizontal="left" vertical="top" indent="1"/>
    </xf>
    <xf numFmtId="0" fontId="17" fillId="8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102" borderId="100" applyNumberFormat="0" applyProtection="0">
      <alignment horizontal="left" vertical="top" indent="1"/>
    </xf>
    <xf numFmtId="0" fontId="17" fillId="82" borderId="100" applyNumberFormat="0" applyProtection="0">
      <alignment horizontal="left" vertical="top" indent="1"/>
    </xf>
    <xf numFmtId="0" fontId="17" fillId="82" borderId="100" applyNumberFormat="0" applyProtection="0">
      <alignment horizontal="left" vertical="top" indent="1"/>
    </xf>
    <xf numFmtId="0" fontId="17" fillId="82" borderId="100" applyNumberFormat="0" applyProtection="0">
      <alignment horizontal="left" vertical="top" indent="1"/>
    </xf>
    <xf numFmtId="0" fontId="17" fillId="82" borderId="100" applyNumberFormat="0" applyProtection="0">
      <alignment horizontal="left" vertical="top" indent="1"/>
    </xf>
    <xf numFmtId="0" fontId="17" fillId="82" borderId="100" applyNumberFormat="0" applyProtection="0">
      <alignment horizontal="left" vertical="top" indent="1"/>
    </xf>
    <xf numFmtId="0" fontId="17" fillId="82" borderId="100" applyNumberFormat="0" applyProtection="0">
      <alignment horizontal="left" vertical="top" indent="1"/>
    </xf>
    <xf numFmtId="0" fontId="17" fillId="82" borderId="100" applyNumberFormat="0" applyProtection="0">
      <alignment horizontal="left" vertical="top" indent="1"/>
    </xf>
    <xf numFmtId="0" fontId="17" fillId="82" borderId="100" applyNumberFormat="0" applyProtection="0">
      <alignment horizontal="left" vertical="top" indent="1"/>
    </xf>
    <xf numFmtId="0" fontId="17" fillId="82" borderId="100" applyNumberFormat="0" applyProtection="0">
      <alignment horizontal="left" vertical="top" indent="1"/>
    </xf>
    <xf numFmtId="0" fontId="17" fillId="82" borderId="100" applyNumberFormat="0" applyProtection="0">
      <alignment horizontal="left" vertical="top" indent="1"/>
    </xf>
    <xf numFmtId="0" fontId="17" fillId="82" borderId="100" applyNumberFormat="0" applyProtection="0">
      <alignment horizontal="left" vertical="top" indent="1"/>
    </xf>
    <xf numFmtId="0" fontId="17" fillId="82" borderId="100" applyNumberFormat="0" applyProtection="0">
      <alignment horizontal="left" vertical="top" indent="1"/>
    </xf>
    <xf numFmtId="0" fontId="17" fillId="82" borderId="100" applyNumberFormat="0" applyProtection="0">
      <alignment horizontal="left" vertical="top" indent="1"/>
    </xf>
    <xf numFmtId="0" fontId="17" fillId="82" borderId="100" applyNumberFormat="0" applyProtection="0">
      <alignment horizontal="left" vertical="top" indent="1"/>
    </xf>
    <xf numFmtId="0" fontId="17" fillId="82" borderId="100" applyNumberFormat="0" applyProtection="0">
      <alignment horizontal="left" vertical="top" indent="1"/>
    </xf>
    <xf numFmtId="0" fontId="17" fillId="82" borderId="100" applyNumberFormat="0" applyProtection="0">
      <alignment horizontal="left" vertical="top" indent="1"/>
    </xf>
    <xf numFmtId="0" fontId="17" fillId="82" borderId="100" applyNumberFormat="0" applyProtection="0">
      <alignment horizontal="left" vertical="top" indent="1"/>
    </xf>
    <xf numFmtId="0" fontId="17" fillId="82" borderId="100" applyNumberFormat="0" applyProtection="0">
      <alignment horizontal="left" vertical="top" indent="1"/>
    </xf>
    <xf numFmtId="0" fontId="17" fillId="82" borderId="100" applyNumberFormat="0" applyProtection="0">
      <alignment horizontal="left" vertical="top" indent="1"/>
    </xf>
    <xf numFmtId="0" fontId="17" fillId="82" borderId="100" applyNumberFormat="0" applyProtection="0">
      <alignment horizontal="left" vertical="top" indent="1"/>
    </xf>
    <xf numFmtId="0" fontId="17" fillId="82" borderId="100" applyNumberFormat="0" applyProtection="0">
      <alignment horizontal="left" vertical="top" indent="1"/>
    </xf>
    <xf numFmtId="0" fontId="17" fillId="82" borderId="100" applyNumberFormat="0" applyProtection="0">
      <alignment horizontal="left" vertical="top" indent="1"/>
    </xf>
    <xf numFmtId="0" fontId="17" fillId="82" borderId="100" applyNumberFormat="0" applyProtection="0">
      <alignment horizontal="left" vertical="top" indent="1"/>
    </xf>
    <xf numFmtId="0" fontId="17" fillId="82" borderId="100" applyNumberFormat="0" applyProtection="0">
      <alignment horizontal="left" vertical="top" indent="1"/>
    </xf>
    <xf numFmtId="0" fontId="17" fillId="82" borderId="100" applyNumberFormat="0" applyProtection="0">
      <alignment horizontal="left" vertical="top" indent="1"/>
    </xf>
    <xf numFmtId="0" fontId="17" fillId="82" borderId="100" applyNumberFormat="0" applyProtection="0">
      <alignment horizontal="left" vertical="top" indent="1"/>
    </xf>
    <xf numFmtId="0" fontId="17" fillId="82" borderId="100" applyNumberFormat="0" applyProtection="0">
      <alignment horizontal="left" vertical="top" indent="1"/>
    </xf>
    <xf numFmtId="0" fontId="17" fillId="82" borderId="100" applyNumberFormat="0" applyProtection="0">
      <alignment horizontal="left" vertical="top" indent="1"/>
    </xf>
    <xf numFmtId="0" fontId="17" fillId="82" borderId="100" applyNumberFormat="0" applyProtection="0">
      <alignment horizontal="left" vertical="top" indent="1"/>
    </xf>
    <xf numFmtId="0" fontId="17" fillId="82" borderId="100" applyNumberFormat="0" applyProtection="0">
      <alignment horizontal="left" vertical="top" indent="1"/>
    </xf>
    <xf numFmtId="0" fontId="17" fillId="82" borderId="100" applyNumberFormat="0" applyProtection="0">
      <alignment horizontal="left" vertical="top" indent="1"/>
    </xf>
    <xf numFmtId="0" fontId="17" fillId="82" borderId="100" applyNumberFormat="0" applyProtection="0">
      <alignment horizontal="left" vertical="top" indent="1"/>
    </xf>
    <xf numFmtId="0" fontId="17" fillId="82" borderId="100" applyNumberFormat="0" applyProtection="0">
      <alignment horizontal="left" vertical="top" indent="1"/>
    </xf>
    <xf numFmtId="0" fontId="17" fillId="82" borderId="100" applyNumberFormat="0" applyProtection="0">
      <alignment horizontal="left" vertical="top" indent="1"/>
    </xf>
    <xf numFmtId="0" fontId="17" fillId="82" borderId="100" applyNumberFormat="0" applyProtection="0">
      <alignment horizontal="left" vertical="top" indent="1"/>
    </xf>
    <xf numFmtId="0" fontId="17" fillId="82" borderId="100" applyNumberFormat="0" applyProtection="0">
      <alignment horizontal="left" vertical="top" indent="1"/>
    </xf>
    <xf numFmtId="0" fontId="17" fillId="82" borderId="100" applyNumberFormat="0" applyProtection="0">
      <alignment horizontal="left" vertical="top" indent="1"/>
    </xf>
    <xf numFmtId="0" fontId="17" fillId="82" borderId="100" applyNumberFormat="0" applyProtection="0">
      <alignment horizontal="left" vertical="top" indent="1"/>
    </xf>
    <xf numFmtId="0" fontId="17" fillId="82" borderId="100" applyNumberFormat="0" applyProtection="0">
      <alignment horizontal="left" vertical="top" indent="1"/>
    </xf>
    <xf numFmtId="0" fontId="17" fillId="82" borderId="100" applyNumberFormat="0" applyProtection="0">
      <alignment horizontal="left" vertical="top" indent="1"/>
    </xf>
    <xf numFmtId="0" fontId="17" fillId="82" borderId="100" applyNumberFormat="0" applyProtection="0">
      <alignment horizontal="left" vertical="top" indent="1"/>
    </xf>
    <xf numFmtId="0" fontId="17" fillId="82" borderId="100" applyNumberFormat="0" applyProtection="0">
      <alignment horizontal="left" vertical="top" indent="1"/>
    </xf>
    <xf numFmtId="0" fontId="17" fillId="82" borderId="100" applyNumberFormat="0" applyProtection="0">
      <alignment horizontal="left" vertical="top" indent="1"/>
    </xf>
    <xf numFmtId="0" fontId="17" fillId="82" borderId="100" applyNumberFormat="0" applyProtection="0">
      <alignment horizontal="left" vertical="top" indent="1"/>
    </xf>
    <xf numFmtId="0" fontId="17" fillId="82" borderId="100" applyNumberFormat="0" applyProtection="0">
      <alignment horizontal="left" vertical="top" indent="1"/>
    </xf>
    <xf numFmtId="0" fontId="17" fillId="82" borderId="100" applyNumberFormat="0" applyProtection="0">
      <alignment horizontal="left" vertical="top" indent="1"/>
    </xf>
    <xf numFmtId="0" fontId="17" fillId="82" borderId="100" applyNumberFormat="0" applyProtection="0">
      <alignment horizontal="left" vertical="top" indent="1"/>
    </xf>
    <xf numFmtId="0" fontId="17" fillId="82" borderId="100" applyNumberFormat="0" applyProtection="0">
      <alignment horizontal="left" vertical="top" indent="1"/>
    </xf>
    <xf numFmtId="0" fontId="17" fillId="82" borderId="100" applyNumberFormat="0" applyProtection="0">
      <alignment horizontal="left" vertical="top" indent="1"/>
    </xf>
    <xf numFmtId="0" fontId="17" fillId="80" borderId="2" applyNumberFormat="0">
      <protection locked="0"/>
    </xf>
    <xf numFmtId="0" fontId="17" fillId="80" borderId="2" applyNumberFormat="0">
      <protection locked="0"/>
    </xf>
    <xf numFmtId="0" fontId="17" fillId="80" borderId="2" applyNumberFormat="0">
      <protection locked="0"/>
    </xf>
    <xf numFmtId="0" fontId="17" fillId="80" borderId="2" applyNumberFormat="0">
      <protection locked="0"/>
    </xf>
    <xf numFmtId="0" fontId="17" fillId="80" borderId="2" applyNumberFormat="0">
      <protection locked="0"/>
    </xf>
    <xf numFmtId="0" fontId="17" fillId="80" borderId="2" applyNumberFormat="0">
      <protection locked="0"/>
    </xf>
    <xf numFmtId="0" fontId="17" fillId="80" borderId="2" applyNumberFormat="0">
      <protection locked="0"/>
    </xf>
    <xf numFmtId="0" fontId="17" fillId="80" borderId="2" applyNumberFormat="0">
      <protection locked="0"/>
    </xf>
    <xf numFmtId="0" fontId="17" fillId="80" borderId="2" applyNumberFormat="0">
      <protection locked="0"/>
    </xf>
    <xf numFmtId="0" fontId="17" fillId="80" borderId="2" applyNumberFormat="0">
      <protection locked="0"/>
    </xf>
    <xf numFmtId="0" fontId="17" fillId="80" borderId="2" applyNumberFormat="0">
      <protection locked="0"/>
    </xf>
    <xf numFmtId="0" fontId="17" fillId="80" borderId="2" applyNumberFormat="0">
      <protection locked="0"/>
    </xf>
    <xf numFmtId="0" fontId="17" fillId="80" borderId="2" applyNumberFormat="0">
      <protection locked="0"/>
    </xf>
    <xf numFmtId="0" fontId="17" fillId="80" borderId="2" applyNumberFormat="0">
      <protection locked="0"/>
    </xf>
    <xf numFmtId="0" fontId="17" fillId="80" borderId="2" applyNumberFormat="0">
      <protection locked="0"/>
    </xf>
    <xf numFmtId="0" fontId="17" fillId="80" borderId="2" applyNumberFormat="0">
      <protection locked="0"/>
    </xf>
    <xf numFmtId="0" fontId="17" fillId="80" borderId="2" applyNumberFormat="0">
      <protection locked="0"/>
    </xf>
    <xf numFmtId="0" fontId="17" fillId="80" borderId="2" applyNumberFormat="0">
      <protection locked="0"/>
    </xf>
    <xf numFmtId="0" fontId="17" fillId="80" borderId="2" applyNumberFormat="0">
      <protection locked="0"/>
    </xf>
    <xf numFmtId="0" fontId="17" fillId="80" borderId="2" applyNumberFormat="0">
      <protection locked="0"/>
    </xf>
    <xf numFmtId="0" fontId="17" fillId="80" borderId="2" applyNumberFormat="0">
      <protection locked="0"/>
    </xf>
    <xf numFmtId="0" fontId="17" fillId="80" borderId="2" applyNumberFormat="0">
      <protection locked="0"/>
    </xf>
    <xf numFmtId="0" fontId="17" fillId="80" borderId="2" applyNumberFormat="0">
      <protection locked="0"/>
    </xf>
    <xf numFmtId="0" fontId="17" fillId="80" borderId="2" applyNumberFormat="0">
      <protection locked="0"/>
    </xf>
    <xf numFmtId="0" fontId="17" fillId="80" borderId="2" applyNumberFormat="0">
      <protection locked="0"/>
    </xf>
    <xf numFmtId="0" fontId="17" fillId="80" borderId="2" applyNumberFormat="0">
      <protection locked="0"/>
    </xf>
    <xf numFmtId="0" fontId="17" fillId="80" borderId="2" applyNumberFormat="0">
      <protection locked="0"/>
    </xf>
    <xf numFmtId="0" fontId="17" fillId="80" borderId="2" applyNumberFormat="0">
      <protection locked="0"/>
    </xf>
    <xf numFmtId="0" fontId="17" fillId="80" borderId="2" applyNumberFormat="0">
      <protection locked="0"/>
    </xf>
    <xf numFmtId="0" fontId="17" fillId="80" borderId="2" applyNumberFormat="0">
      <protection locked="0"/>
    </xf>
    <xf numFmtId="0" fontId="17" fillId="80" borderId="2" applyNumberFormat="0">
      <protection locked="0"/>
    </xf>
    <xf numFmtId="0" fontId="17" fillId="80" borderId="2" applyNumberFormat="0">
      <protection locked="0"/>
    </xf>
    <xf numFmtId="0" fontId="17" fillId="80" borderId="2" applyNumberFormat="0">
      <protection locked="0"/>
    </xf>
    <xf numFmtId="0" fontId="17" fillId="80" borderId="2" applyNumberFormat="0">
      <protection locked="0"/>
    </xf>
    <xf numFmtId="0" fontId="17" fillId="80" borderId="2" applyNumberFormat="0">
      <protection locked="0"/>
    </xf>
    <xf numFmtId="0" fontId="17" fillId="80" borderId="2" applyNumberFormat="0">
      <protection locked="0"/>
    </xf>
    <xf numFmtId="0" fontId="17" fillId="80" borderId="2" applyNumberFormat="0">
      <protection locked="0"/>
    </xf>
    <xf numFmtId="0" fontId="17" fillId="80" borderId="2" applyNumberFormat="0">
      <protection locked="0"/>
    </xf>
    <xf numFmtId="0" fontId="17" fillId="80" borderId="2" applyNumberFormat="0">
      <protection locked="0"/>
    </xf>
    <xf numFmtId="0" fontId="17" fillId="80" borderId="2" applyNumberFormat="0">
      <protection locked="0"/>
    </xf>
    <xf numFmtId="0" fontId="17" fillId="80" borderId="2" applyNumberFormat="0">
      <protection locked="0"/>
    </xf>
    <xf numFmtId="0" fontId="17" fillId="80" borderId="2" applyNumberFormat="0">
      <protection locked="0"/>
    </xf>
    <xf numFmtId="0" fontId="17" fillId="80" borderId="2" applyNumberFormat="0">
      <protection locked="0"/>
    </xf>
    <xf numFmtId="0" fontId="17" fillId="80" borderId="2" applyNumberFormat="0">
      <protection locked="0"/>
    </xf>
    <xf numFmtId="0" fontId="17" fillId="80" borderId="2" applyNumberFormat="0">
      <protection locked="0"/>
    </xf>
    <xf numFmtId="0" fontId="17" fillId="80" borderId="2" applyNumberFormat="0">
      <protection locked="0"/>
    </xf>
    <xf numFmtId="0" fontId="17" fillId="80" borderId="2" applyNumberFormat="0">
      <protection locked="0"/>
    </xf>
    <xf numFmtId="0" fontId="17" fillId="80" borderId="2" applyNumberFormat="0">
      <protection locked="0"/>
    </xf>
    <xf numFmtId="0" fontId="17" fillId="80" borderId="2" applyNumberFormat="0">
      <protection locked="0"/>
    </xf>
    <xf numFmtId="0" fontId="17" fillId="80" borderId="2" applyNumberFormat="0">
      <protection locked="0"/>
    </xf>
    <xf numFmtId="0" fontId="17" fillId="80" borderId="2" applyNumberFormat="0">
      <protection locked="0"/>
    </xf>
    <xf numFmtId="0" fontId="17" fillId="80" borderId="2" applyNumberFormat="0">
      <protection locked="0"/>
    </xf>
    <xf numFmtId="0" fontId="17" fillId="80" borderId="2" applyNumberFormat="0">
      <protection locked="0"/>
    </xf>
    <xf numFmtId="0" fontId="17" fillId="80" borderId="2" applyNumberFormat="0">
      <protection locked="0"/>
    </xf>
    <xf numFmtId="0" fontId="17" fillId="80" borderId="2" applyNumberFormat="0">
      <protection locked="0"/>
    </xf>
    <xf numFmtId="0" fontId="17" fillId="80" borderId="2" applyNumberFormat="0">
      <protection locked="0"/>
    </xf>
    <xf numFmtId="0" fontId="17" fillId="80" borderId="2" applyNumberFormat="0">
      <protection locked="0"/>
    </xf>
    <xf numFmtId="0" fontId="17" fillId="80" borderId="2" applyNumberFormat="0">
      <protection locked="0"/>
    </xf>
    <xf numFmtId="0" fontId="17" fillId="80" borderId="2" applyNumberFormat="0">
      <protection locked="0"/>
    </xf>
    <xf numFmtId="0" fontId="17" fillId="80" borderId="2" applyNumberFormat="0">
      <protection locked="0"/>
    </xf>
    <xf numFmtId="0" fontId="17" fillId="80" borderId="2" applyNumberFormat="0">
      <protection locked="0"/>
    </xf>
    <xf numFmtId="0" fontId="17" fillId="80" borderId="2" applyNumberFormat="0">
      <protection locked="0"/>
    </xf>
    <xf numFmtId="0" fontId="17" fillId="80" borderId="2" applyNumberFormat="0">
      <protection locked="0"/>
    </xf>
    <xf numFmtId="0" fontId="17" fillId="80" borderId="2" applyNumberFormat="0">
      <protection locked="0"/>
    </xf>
    <xf numFmtId="0" fontId="17" fillId="80" borderId="2" applyNumberFormat="0">
      <protection locked="0"/>
    </xf>
    <xf numFmtId="0" fontId="17" fillId="80" borderId="2" applyNumberFormat="0">
      <protection locked="0"/>
    </xf>
    <xf numFmtId="0" fontId="17" fillId="80" borderId="2" applyNumberFormat="0">
      <protection locked="0"/>
    </xf>
    <xf numFmtId="0" fontId="17" fillId="80" borderId="2" applyNumberFormat="0">
      <protection locked="0"/>
    </xf>
    <xf numFmtId="0" fontId="17" fillId="80" borderId="2" applyNumberFormat="0">
      <protection locked="0"/>
    </xf>
    <xf numFmtId="0" fontId="17" fillId="80" borderId="2" applyNumberFormat="0">
      <protection locked="0"/>
    </xf>
    <xf numFmtId="0" fontId="17" fillId="80" borderId="2" applyNumberFormat="0">
      <protection locked="0"/>
    </xf>
    <xf numFmtId="0" fontId="17" fillId="80" borderId="2" applyNumberFormat="0">
      <protection locked="0"/>
    </xf>
    <xf numFmtId="0" fontId="17" fillId="80" borderId="2" applyNumberFormat="0">
      <protection locked="0"/>
    </xf>
    <xf numFmtId="0" fontId="17" fillId="80" borderId="2" applyNumberFormat="0">
      <protection locked="0"/>
    </xf>
    <xf numFmtId="0" fontId="17" fillId="80" borderId="2" applyNumberFormat="0">
      <protection locked="0"/>
    </xf>
    <xf numFmtId="0" fontId="17" fillId="80" borderId="2" applyNumberFormat="0">
      <protection locked="0"/>
    </xf>
    <xf numFmtId="0" fontId="17" fillId="80" borderId="2" applyNumberFormat="0">
      <protection locked="0"/>
    </xf>
    <xf numFmtId="0" fontId="17" fillId="80" borderId="2" applyNumberFormat="0">
      <protection locked="0"/>
    </xf>
    <xf numFmtId="0" fontId="17" fillId="80" borderId="2" applyNumberFormat="0">
      <protection locked="0"/>
    </xf>
    <xf numFmtId="0" fontId="17" fillId="80" borderId="2" applyNumberFormat="0">
      <protection locked="0"/>
    </xf>
    <xf numFmtId="0" fontId="17" fillId="80" borderId="2" applyNumberFormat="0">
      <protection locked="0"/>
    </xf>
    <xf numFmtId="0" fontId="17" fillId="80" borderId="2" applyNumberFormat="0">
      <protection locked="0"/>
    </xf>
    <xf numFmtId="0" fontId="17" fillId="80" borderId="2" applyNumberFormat="0">
      <protection locked="0"/>
    </xf>
    <xf numFmtId="0" fontId="17" fillId="80" borderId="2" applyNumberFormat="0">
      <protection locked="0"/>
    </xf>
    <xf numFmtId="0" fontId="17" fillId="80" borderId="2" applyNumberFormat="0">
      <protection locked="0"/>
    </xf>
    <xf numFmtId="0" fontId="17" fillId="80" borderId="2" applyNumberFormat="0">
      <protection locked="0"/>
    </xf>
    <xf numFmtId="0" fontId="17" fillId="80" borderId="2" applyNumberFormat="0">
      <protection locked="0"/>
    </xf>
    <xf numFmtId="0" fontId="17" fillId="80" borderId="2" applyNumberFormat="0">
      <protection locked="0"/>
    </xf>
    <xf numFmtId="4" fontId="482" fillId="15" borderId="99" applyNumberFormat="0" applyProtection="0">
      <alignment vertical="center"/>
    </xf>
    <xf numFmtId="4" fontId="171" fillId="84" borderId="100" applyNumberFormat="0" applyProtection="0">
      <alignment vertical="center"/>
    </xf>
    <xf numFmtId="4" fontId="171" fillId="84" borderId="100" applyNumberFormat="0" applyProtection="0">
      <alignment vertical="center"/>
    </xf>
    <xf numFmtId="4" fontId="171" fillId="84" borderId="100" applyNumberFormat="0" applyProtection="0">
      <alignment vertical="center"/>
    </xf>
    <xf numFmtId="4" fontId="171" fillId="84" borderId="100" applyNumberFormat="0" applyProtection="0">
      <alignment vertical="center"/>
    </xf>
    <xf numFmtId="4" fontId="171" fillId="84" borderId="100" applyNumberFormat="0" applyProtection="0">
      <alignment vertical="center"/>
    </xf>
    <xf numFmtId="4" fontId="171" fillId="84" borderId="100" applyNumberFormat="0" applyProtection="0">
      <alignment vertical="center"/>
    </xf>
    <xf numFmtId="4" fontId="171" fillId="84" borderId="100" applyNumberFormat="0" applyProtection="0">
      <alignment vertical="center"/>
    </xf>
    <xf numFmtId="4" fontId="171" fillId="84" borderId="100" applyNumberFormat="0" applyProtection="0">
      <alignment vertical="center"/>
    </xf>
    <xf numFmtId="4" fontId="171" fillId="84" borderId="100" applyNumberFormat="0" applyProtection="0">
      <alignment vertical="center"/>
    </xf>
    <xf numFmtId="4" fontId="171" fillId="84" borderId="100" applyNumberFormat="0" applyProtection="0">
      <alignment vertical="center"/>
    </xf>
    <xf numFmtId="4" fontId="171" fillId="51" borderId="100" applyNumberFormat="0" applyProtection="0">
      <alignment vertical="center"/>
    </xf>
    <xf numFmtId="4" fontId="171" fillId="51" borderId="100" applyNumberFormat="0" applyProtection="0">
      <alignment vertical="center"/>
    </xf>
    <xf numFmtId="4" fontId="171" fillId="51" borderId="100" applyNumberFormat="0" applyProtection="0">
      <alignment vertical="center"/>
    </xf>
    <xf numFmtId="4" fontId="171" fillId="51" borderId="100" applyNumberFormat="0" applyProtection="0">
      <alignment vertical="center"/>
    </xf>
    <xf numFmtId="4" fontId="171" fillId="51" borderId="100" applyNumberFormat="0" applyProtection="0">
      <alignment vertical="center"/>
    </xf>
    <xf numFmtId="4" fontId="171" fillId="51" borderId="100" applyNumberFormat="0" applyProtection="0">
      <alignment vertical="center"/>
    </xf>
    <xf numFmtId="4" fontId="171" fillId="51" borderId="100" applyNumberFormat="0" applyProtection="0">
      <alignment vertical="center"/>
    </xf>
    <xf numFmtId="4" fontId="171" fillId="51" borderId="100" applyNumberFormat="0" applyProtection="0">
      <alignment vertical="center"/>
    </xf>
    <xf numFmtId="4" fontId="171" fillId="51" borderId="100" applyNumberFormat="0" applyProtection="0">
      <alignment vertical="center"/>
    </xf>
    <xf numFmtId="4" fontId="171" fillId="51" borderId="100" applyNumberFormat="0" applyProtection="0">
      <alignment vertical="center"/>
    </xf>
    <xf numFmtId="4" fontId="171" fillId="51" borderId="100" applyNumberFormat="0" applyProtection="0">
      <alignment vertical="center"/>
    </xf>
    <xf numFmtId="4" fontId="171" fillId="51" borderId="100" applyNumberFormat="0" applyProtection="0">
      <alignment vertical="center"/>
    </xf>
    <xf numFmtId="4" fontId="171" fillId="51" borderId="100" applyNumberFormat="0" applyProtection="0">
      <alignment vertical="center"/>
    </xf>
    <xf numFmtId="4" fontId="171" fillId="51" borderId="100" applyNumberFormat="0" applyProtection="0">
      <alignment vertical="center"/>
    </xf>
    <xf numFmtId="4" fontId="171" fillId="51" borderId="100" applyNumberFormat="0" applyProtection="0">
      <alignment vertical="center"/>
    </xf>
    <xf numFmtId="4" fontId="171" fillId="51" borderId="100" applyNumberFormat="0" applyProtection="0">
      <alignment vertical="center"/>
    </xf>
    <xf numFmtId="4" fontId="171" fillId="51" borderId="100" applyNumberFormat="0" applyProtection="0">
      <alignment vertical="center"/>
    </xf>
    <xf numFmtId="4" fontId="171" fillId="51" borderId="100" applyNumberFormat="0" applyProtection="0">
      <alignment vertical="center"/>
    </xf>
    <xf numFmtId="4" fontId="171" fillId="51" borderId="100" applyNumberFormat="0" applyProtection="0">
      <alignment vertical="center"/>
    </xf>
    <xf numFmtId="4" fontId="171" fillId="51" borderId="100" applyNumberFormat="0" applyProtection="0">
      <alignment vertical="center"/>
    </xf>
    <xf numFmtId="4" fontId="171" fillId="51" borderId="100" applyNumberFormat="0" applyProtection="0">
      <alignment vertical="center"/>
    </xf>
    <xf numFmtId="4" fontId="171" fillId="51" borderId="100" applyNumberFormat="0" applyProtection="0">
      <alignment vertical="center"/>
    </xf>
    <xf numFmtId="4" fontId="171" fillId="51" borderId="100" applyNumberFormat="0" applyProtection="0">
      <alignment vertical="center"/>
    </xf>
    <xf numFmtId="4" fontId="171" fillId="51" borderId="100" applyNumberFormat="0" applyProtection="0">
      <alignment vertical="center"/>
    </xf>
    <xf numFmtId="4" fontId="171" fillId="51" borderId="100" applyNumberFormat="0" applyProtection="0">
      <alignment vertical="center"/>
    </xf>
    <xf numFmtId="4" fontId="171" fillId="51" borderId="100" applyNumberFormat="0" applyProtection="0">
      <alignment vertical="center"/>
    </xf>
    <xf numFmtId="4" fontId="171" fillId="51" borderId="100" applyNumberFormat="0" applyProtection="0">
      <alignment vertical="center"/>
    </xf>
    <xf numFmtId="4" fontId="171" fillId="51" borderId="100" applyNumberFormat="0" applyProtection="0">
      <alignment vertical="center"/>
    </xf>
    <xf numFmtId="4" fontId="171" fillId="51" borderId="100" applyNumberFormat="0" applyProtection="0">
      <alignment vertical="center"/>
    </xf>
    <xf numFmtId="4" fontId="171" fillId="51" borderId="100" applyNumberFormat="0" applyProtection="0">
      <alignment vertical="center"/>
    </xf>
    <xf numFmtId="4" fontId="171" fillId="51" borderId="100" applyNumberFormat="0" applyProtection="0">
      <alignment vertical="center"/>
    </xf>
    <xf numFmtId="4" fontId="171" fillId="51" borderId="100" applyNumberFormat="0" applyProtection="0">
      <alignment vertical="center"/>
    </xf>
    <xf numFmtId="4" fontId="171" fillId="51" borderId="100" applyNumberFormat="0" applyProtection="0">
      <alignment vertical="center"/>
    </xf>
    <xf numFmtId="4" fontId="171" fillId="51" borderId="100" applyNumberFormat="0" applyProtection="0">
      <alignment vertical="center"/>
    </xf>
    <xf numFmtId="4" fontId="171" fillId="51" borderId="100" applyNumberFormat="0" applyProtection="0">
      <alignment vertical="center"/>
    </xf>
    <xf numFmtId="4" fontId="171" fillId="51" borderId="100" applyNumberFormat="0" applyProtection="0">
      <alignment vertical="center"/>
    </xf>
    <xf numFmtId="4" fontId="171" fillId="51" borderId="100" applyNumberFormat="0" applyProtection="0">
      <alignment vertical="center"/>
    </xf>
    <xf numFmtId="4" fontId="171" fillId="51" borderId="100" applyNumberFormat="0" applyProtection="0">
      <alignment vertical="center"/>
    </xf>
    <xf numFmtId="4" fontId="171" fillId="51" borderId="100" applyNumberFormat="0" applyProtection="0">
      <alignment vertical="center"/>
    </xf>
    <xf numFmtId="4" fontId="171" fillId="51" borderId="100" applyNumberFormat="0" applyProtection="0">
      <alignment vertical="center"/>
    </xf>
    <xf numFmtId="4" fontId="171" fillId="51" borderId="100" applyNumberFormat="0" applyProtection="0">
      <alignment vertical="center"/>
    </xf>
    <xf numFmtId="4" fontId="171" fillId="51" borderId="100" applyNumberFormat="0" applyProtection="0">
      <alignment vertical="center"/>
    </xf>
    <xf numFmtId="4" fontId="171" fillId="51" borderId="100" applyNumberFormat="0" applyProtection="0">
      <alignment vertical="center"/>
    </xf>
    <xf numFmtId="4" fontId="171" fillId="51" borderId="100" applyNumberFormat="0" applyProtection="0">
      <alignment vertical="center"/>
    </xf>
    <xf numFmtId="4" fontId="171" fillId="51" borderId="100" applyNumberFormat="0" applyProtection="0">
      <alignment vertical="center"/>
    </xf>
    <xf numFmtId="4" fontId="171" fillId="51" borderId="100" applyNumberFormat="0" applyProtection="0">
      <alignment vertical="center"/>
    </xf>
    <xf numFmtId="4" fontId="171" fillId="51" borderId="100" applyNumberFormat="0" applyProtection="0">
      <alignment vertical="center"/>
    </xf>
    <xf numFmtId="4" fontId="171" fillId="51" borderId="100" applyNumberFormat="0" applyProtection="0">
      <alignment vertical="center"/>
    </xf>
    <xf numFmtId="4" fontId="171" fillId="51" borderId="100" applyNumberFormat="0" applyProtection="0">
      <alignment vertical="center"/>
    </xf>
    <xf numFmtId="4" fontId="171" fillId="51" borderId="100" applyNumberFormat="0" applyProtection="0">
      <alignment vertical="center"/>
    </xf>
    <xf numFmtId="4" fontId="171" fillId="51" borderId="100" applyNumberFormat="0" applyProtection="0">
      <alignment vertical="center"/>
    </xf>
    <xf numFmtId="4" fontId="171" fillId="51" borderId="100" applyNumberFormat="0" applyProtection="0">
      <alignment vertical="center"/>
    </xf>
    <xf numFmtId="4" fontId="171" fillId="51" borderId="100" applyNumberFormat="0" applyProtection="0">
      <alignment vertical="center"/>
    </xf>
    <xf numFmtId="4" fontId="171" fillId="51" borderId="100" applyNumberFormat="0" applyProtection="0">
      <alignment vertical="center"/>
    </xf>
    <xf numFmtId="4" fontId="171" fillId="51" borderId="100" applyNumberFormat="0" applyProtection="0">
      <alignment vertical="center"/>
    </xf>
    <xf numFmtId="4" fontId="171" fillId="51" borderId="100" applyNumberFormat="0" applyProtection="0">
      <alignment vertical="center"/>
    </xf>
    <xf numFmtId="4" fontId="171" fillId="51" borderId="100" applyNumberFormat="0" applyProtection="0">
      <alignment vertical="center"/>
    </xf>
    <xf numFmtId="4" fontId="171" fillId="51" borderId="100" applyNumberFormat="0" applyProtection="0">
      <alignment vertical="center"/>
    </xf>
    <xf numFmtId="4" fontId="171" fillId="51" borderId="100" applyNumberFormat="0" applyProtection="0">
      <alignment vertical="center"/>
    </xf>
    <xf numFmtId="4" fontId="171" fillId="51" borderId="100" applyNumberFormat="0" applyProtection="0">
      <alignment vertical="center"/>
    </xf>
    <xf numFmtId="4" fontId="171" fillId="51" borderId="100" applyNumberFormat="0" applyProtection="0">
      <alignment vertical="center"/>
    </xf>
    <xf numFmtId="4" fontId="171" fillId="51" borderId="100" applyNumberFormat="0" applyProtection="0">
      <alignment vertical="center"/>
    </xf>
    <xf numFmtId="4" fontId="171" fillId="84" borderId="100" applyNumberFormat="0" applyProtection="0">
      <alignment vertical="center"/>
    </xf>
    <xf numFmtId="4" fontId="171" fillId="84" borderId="100" applyNumberFormat="0" applyProtection="0">
      <alignment vertical="center"/>
    </xf>
    <xf numFmtId="4" fontId="171" fillId="84" borderId="100" applyNumberFormat="0" applyProtection="0">
      <alignment vertical="center"/>
    </xf>
    <xf numFmtId="4" fontId="171" fillId="84" borderId="100" applyNumberFormat="0" applyProtection="0">
      <alignment vertical="center"/>
    </xf>
    <xf numFmtId="4" fontId="171" fillId="84" borderId="100" applyNumberFormat="0" applyProtection="0">
      <alignment vertical="center"/>
    </xf>
    <xf numFmtId="4" fontId="171" fillId="84" borderId="100" applyNumberFormat="0" applyProtection="0">
      <alignment vertical="center"/>
    </xf>
    <xf numFmtId="4" fontId="171" fillId="84" borderId="100" applyNumberFormat="0" applyProtection="0">
      <alignment vertical="center"/>
    </xf>
    <xf numFmtId="4" fontId="171" fillId="84" borderId="100" applyNumberFormat="0" applyProtection="0">
      <alignment vertical="center"/>
    </xf>
    <xf numFmtId="4" fontId="171" fillId="84" borderId="100" applyNumberFormat="0" applyProtection="0">
      <alignment vertical="center"/>
    </xf>
    <xf numFmtId="4" fontId="171" fillId="84" borderId="100" applyNumberFormat="0" applyProtection="0">
      <alignment vertical="center"/>
    </xf>
    <xf numFmtId="4" fontId="171" fillId="84" borderId="100" applyNumberFormat="0" applyProtection="0">
      <alignment vertical="center"/>
    </xf>
    <xf numFmtId="4" fontId="171" fillId="84" borderId="100" applyNumberFormat="0" applyProtection="0">
      <alignment vertical="center"/>
    </xf>
    <xf numFmtId="4" fontId="171" fillId="84" borderId="100" applyNumberFormat="0" applyProtection="0">
      <alignment vertical="center"/>
    </xf>
    <xf numFmtId="4" fontId="171" fillId="84" borderId="100" applyNumberFormat="0" applyProtection="0">
      <alignment vertical="center"/>
    </xf>
    <xf numFmtId="4" fontId="171" fillId="84" borderId="100" applyNumberFormat="0" applyProtection="0">
      <alignment vertical="center"/>
    </xf>
    <xf numFmtId="4" fontId="171" fillId="84" borderId="100" applyNumberFormat="0" applyProtection="0">
      <alignment vertical="center"/>
    </xf>
    <xf numFmtId="4" fontId="171" fillId="84" borderId="100" applyNumberFormat="0" applyProtection="0">
      <alignment vertical="center"/>
    </xf>
    <xf numFmtId="4" fontId="482" fillId="15" borderId="99" applyNumberFormat="0" applyProtection="0">
      <alignment vertical="center"/>
    </xf>
    <xf numFmtId="4" fontId="482" fillId="15" borderId="99" applyNumberFormat="0" applyProtection="0">
      <alignment vertical="center"/>
    </xf>
    <xf numFmtId="4" fontId="171" fillId="84" borderId="100" applyNumberFormat="0" applyProtection="0">
      <alignment vertical="center"/>
    </xf>
    <xf numFmtId="4" fontId="171" fillId="84" borderId="100" applyNumberFormat="0" applyProtection="0">
      <alignment vertical="center"/>
    </xf>
    <xf numFmtId="4" fontId="171" fillId="84" borderId="100" applyNumberFormat="0" applyProtection="0">
      <alignment vertical="center"/>
    </xf>
    <xf numFmtId="4" fontId="171" fillId="84" borderId="100" applyNumberFormat="0" applyProtection="0">
      <alignment vertical="center"/>
    </xf>
    <xf numFmtId="4" fontId="171" fillId="84" borderId="100" applyNumberFormat="0" applyProtection="0">
      <alignment vertical="center"/>
    </xf>
    <xf numFmtId="4" fontId="171" fillId="84" borderId="100" applyNumberFormat="0" applyProtection="0">
      <alignment vertical="center"/>
    </xf>
    <xf numFmtId="4" fontId="171" fillId="84" borderId="100" applyNumberFormat="0" applyProtection="0">
      <alignment vertical="center"/>
    </xf>
    <xf numFmtId="4" fontId="171" fillId="84" borderId="100" applyNumberFormat="0" applyProtection="0">
      <alignment vertical="center"/>
    </xf>
    <xf numFmtId="4" fontId="171" fillId="84" borderId="100" applyNumberFormat="0" applyProtection="0">
      <alignment vertical="center"/>
    </xf>
    <xf numFmtId="4" fontId="171" fillId="84" borderId="100" applyNumberFormat="0" applyProtection="0">
      <alignment vertical="center"/>
    </xf>
    <xf numFmtId="4" fontId="171" fillId="84" borderId="100" applyNumberFormat="0" applyProtection="0">
      <alignment vertical="center"/>
    </xf>
    <xf numFmtId="4" fontId="171" fillId="84" borderId="100" applyNumberFormat="0" applyProtection="0">
      <alignment vertical="center"/>
    </xf>
    <xf numFmtId="4" fontId="171" fillId="84" borderId="100" applyNumberFormat="0" applyProtection="0">
      <alignment vertical="center"/>
    </xf>
    <xf numFmtId="4" fontId="171" fillId="84" borderId="100" applyNumberFormat="0" applyProtection="0">
      <alignment vertical="center"/>
    </xf>
    <xf numFmtId="4" fontId="171" fillId="84" borderId="100" applyNumberFormat="0" applyProtection="0">
      <alignment vertical="center"/>
    </xf>
    <xf numFmtId="4" fontId="171" fillId="84" borderId="100" applyNumberFormat="0" applyProtection="0">
      <alignment vertical="center"/>
    </xf>
    <xf numFmtId="4" fontId="171" fillId="84" borderId="100" applyNumberFormat="0" applyProtection="0">
      <alignment vertical="center"/>
    </xf>
    <xf numFmtId="4" fontId="171" fillId="84" borderId="100" applyNumberFormat="0" applyProtection="0">
      <alignment vertical="center"/>
    </xf>
    <xf numFmtId="4" fontId="483" fillId="15" borderId="99" applyNumberFormat="0" applyProtection="0">
      <alignment vertical="center"/>
    </xf>
    <xf numFmtId="4" fontId="484" fillId="84" borderId="100" applyNumberFormat="0" applyProtection="0">
      <alignment vertical="center"/>
    </xf>
    <xf numFmtId="4" fontId="484" fillId="84" borderId="100" applyNumberFormat="0" applyProtection="0">
      <alignment vertical="center"/>
    </xf>
    <xf numFmtId="4" fontId="484" fillId="84" borderId="100" applyNumberFormat="0" applyProtection="0">
      <alignment vertical="center"/>
    </xf>
    <xf numFmtId="4" fontId="484" fillId="84" borderId="100" applyNumberFormat="0" applyProtection="0">
      <alignment vertical="center"/>
    </xf>
    <xf numFmtId="4" fontId="484" fillId="84" borderId="100" applyNumberFormat="0" applyProtection="0">
      <alignment vertical="center"/>
    </xf>
    <xf numFmtId="4" fontId="484" fillId="84" borderId="100" applyNumberFormat="0" applyProtection="0">
      <alignment vertical="center"/>
    </xf>
    <xf numFmtId="4" fontId="484" fillId="84" borderId="100" applyNumberFormat="0" applyProtection="0">
      <alignment vertical="center"/>
    </xf>
    <xf numFmtId="4" fontId="484" fillId="84" borderId="100" applyNumberFormat="0" applyProtection="0">
      <alignment vertical="center"/>
    </xf>
    <xf numFmtId="4" fontId="484" fillId="84" borderId="100" applyNumberFormat="0" applyProtection="0">
      <alignment vertical="center"/>
    </xf>
    <xf numFmtId="4" fontId="484" fillId="84" borderId="100" applyNumberFormat="0" applyProtection="0">
      <alignment vertical="center"/>
    </xf>
    <xf numFmtId="4" fontId="484" fillId="51" borderId="100" applyNumberFormat="0" applyProtection="0">
      <alignment vertical="center"/>
    </xf>
    <xf numFmtId="4" fontId="484" fillId="51" borderId="100" applyNumberFormat="0" applyProtection="0">
      <alignment vertical="center"/>
    </xf>
    <xf numFmtId="4" fontId="484" fillId="51" borderId="100" applyNumberFormat="0" applyProtection="0">
      <alignment vertical="center"/>
    </xf>
    <xf numFmtId="4" fontId="484" fillId="51" borderId="100" applyNumberFormat="0" applyProtection="0">
      <alignment vertical="center"/>
    </xf>
    <xf numFmtId="4" fontId="484" fillId="51" borderId="100" applyNumberFormat="0" applyProtection="0">
      <alignment vertical="center"/>
    </xf>
    <xf numFmtId="4" fontId="484" fillId="51" borderId="100" applyNumberFormat="0" applyProtection="0">
      <alignment vertical="center"/>
    </xf>
    <xf numFmtId="4" fontId="484" fillId="51" borderId="100" applyNumberFormat="0" applyProtection="0">
      <alignment vertical="center"/>
    </xf>
    <xf numFmtId="4" fontId="484" fillId="51" borderId="100" applyNumberFormat="0" applyProtection="0">
      <alignment vertical="center"/>
    </xf>
    <xf numFmtId="4" fontId="484" fillId="51" borderId="100" applyNumberFormat="0" applyProtection="0">
      <alignment vertical="center"/>
    </xf>
    <xf numFmtId="4" fontId="484" fillId="51" borderId="100" applyNumberFormat="0" applyProtection="0">
      <alignment vertical="center"/>
    </xf>
    <xf numFmtId="4" fontId="484" fillId="51" borderId="100" applyNumberFormat="0" applyProtection="0">
      <alignment vertical="center"/>
    </xf>
    <xf numFmtId="4" fontId="484" fillId="51" borderId="100" applyNumberFormat="0" applyProtection="0">
      <alignment vertical="center"/>
    </xf>
    <xf numFmtId="4" fontId="484" fillId="51" borderId="100" applyNumberFormat="0" applyProtection="0">
      <alignment vertical="center"/>
    </xf>
    <xf numFmtId="4" fontId="484" fillId="51" borderId="100" applyNumberFormat="0" applyProtection="0">
      <alignment vertical="center"/>
    </xf>
    <xf numFmtId="4" fontId="484" fillId="51" borderId="100" applyNumberFormat="0" applyProtection="0">
      <alignment vertical="center"/>
    </xf>
    <xf numFmtId="4" fontId="484" fillId="51" borderId="100" applyNumberFormat="0" applyProtection="0">
      <alignment vertical="center"/>
    </xf>
    <xf numFmtId="4" fontId="484" fillId="51" borderId="100" applyNumberFormat="0" applyProtection="0">
      <alignment vertical="center"/>
    </xf>
    <xf numFmtId="4" fontId="484" fillId="51" borderId="100" applyNumberFormat="0" applyProtection="0">
      <alignment vertical="center"/>
    </xf>
    <xf numFmtId="4" fontId="484" fillId="51" borderId="100" applyNumberFormat="0" applyProtection="0">
      <alignment vertical="center"/>
    </xf>
    <xf numFmtId="4" fontId="484" fillId="51" borderId="100" applyNumberFormat="0" applyProtection="0">
      <alignment vertical="center"/>
    </xf>
    <xf numFmtId="4" fontId="484" fillId="51" borderId="100" applyNumberFormat="0" applyProtection="0">
      <alignment vertical="center"/>
    </xf>
    <xf numFmtId="4" fontId="484" fillId="51" borderId="100" applyNumberFormat="0" applyProtection="0">
      <alignment vertical="center"/>
    </xf>
    <xf numFmtId="4" fontId="484" fillId="51" borderId="100" applyNumberFormat="0" applyProtection="0">
      <alignment vertical="center"/>
    </xf>
    <xf numFmtId="4" fontId="484" fillId="51" borderId="100" applyNumberFormat="0" applyProtection="0">
      <alignment vertical="center"/>
    </xf>
    <xf numFmtId="4" fontId="484" fillId="51" borderId="100" applyNumberFormat="0" applyProtection="0">
      <alignment vertical="center"/>
    </xf>
    <xf numFmtId="4" fontId="484" fillId="51" borderId="100" applyNumberFormat="0" applyProtection="0">
      <alignment vertical="center"/>
    </xf>
    <xf numFmtId="4" fontId="484" fillId="51" borderId="100" applyNumberFormat="0" applyProtection="0">
      <alignment vertical="center"/>
    </xf>
    <xf numFmtId="4" fontId="484" fillId="51" borderId="100" applyNumberFormat="0" applyProtection="0">
      <alignment vertical="center"/>
    </xf>
    <xf numFmtId="4" fontId="484" fillId="51" borderId="100" applyNumberFormat="0" applyProtection="0">
      <alignment vertical="center"/>
    </xf>
    <xf numFmtId="4" fontId="484" fillId="51" borderId="100" applyNumberFormat="0" applyProtection="0">
      <alignment vertical="center"/>
    </xf>
    <xf numFmtId="4" fontId="484" fillId="51" borderId="100" applyNumberFormat="0" applyProtection="0">
      <alignment vertical="center"/>
    </xf>
    <xf numFmtId="4" fontId="484" fillId="51" borderId="100" applyNumberFormat="0" applyProtection="0">
      <alignment vertical="center"/>
    </xf>
    <xf numFmtId="4" fontId="484" fillId="51" borderId="100" applyNumberFormat="0" applyProtection="0">
      <alignment vertical="center"/>
    </xf>
    <xf numFmtId="4" fontId="484" fillId="51" borderId="100" applyNumberFormat="0" applyProtection="0">
      <alignment vertical="center"/>
    </xf>
    <xf numFmtId="4" fontId="484" fillId="51" borderId="100" applyNumberFormat="0" applyProtection="0">
      <alignment vertical="center"/>
    </xf>
    <xf numFmtId="4" fontId="484" fillId="51" borderId="100" applyNumberFormat="0" applyProtection="0">
      <alignment vertical="center"/>
    </xf>
    <xf numFmtId="4" fontId="484" fillId="51" borderId="100" applyNumberFormat="0" applyProtection="0">
      <alignment vertical="center"/>
    </xf>
    <xf numFmtId="4" fontId="484" fillId="51" borderId="100" applyNumberFormat="0" applyProtection="0">
      <alignment vertical="center"/>
    </xf>
    <xf numFmtId="4" fontId="484" fillId="51" borderId="100" applyNumberFormat="0" applyProtection="0">
      <alignment vertical="center"/>
    </xf>
    <xf numFmtId="4" fontId="484" fillId="51" borderId="100" applyNumberFormat="0" applyProtection="0">
      <alignment vertical="center"/>
    </xf>
    <xf numFmtId="4" fontId="484" fillId="51" borderId="100" applyNumberFormat="0" applyProtection="0">
      <alignment vertical="center"/>
    </xf>
    <xf numFmtId="4" fontId="484" fillId="51" borderId="100" applyNumberFormat="0" applyProtection="0">
      <alignment vertical="center"/>
    </xf>
    <xf numFmtId="4" fontId="484" fillId="51" borderId="100" applyNumberFormat="0" applyProtection="0">
      <alignment vertical="center"/>
    </xf>
    <xf numFmtId="4" fontId="484" fillId="51" borderId="100" applyNumberFormat="0" applyProtection="0">
      <alignment vertical="center"/>
    </xf>
    <xf numFmtId="4" fontId="484" fillId="51" borderId="100" applyNumberFormat="0" applyProtection="0">
      <alignment vertical="center"/>
    </xf>
    <xf numFmtId="4" fontId="484" fillId="51" borderId="100" applyNumberFormat="0" applyProtection="0">
      <alignment vertical="center"/>
    </xf>
    <xf numFmtId="4" fontId="484" fillId="51" borderId="100" applyNumberFormat="0" applyProtection="0">
      <alignment vertical="center"/>
    </xf>
    <xf numFmtId="4" fontId="484" fillId="51" borderId="100" applyNumberFormat="0" applyProtection="0">
      <alignment vertical="center"/>
    </xf>
    <xf numFmtId="4" fontId="484" fillId="51" borderId="100" applyNumberFormat="0" applyProtection="0">
      <alignment vertical="center"/>
    </xf>
    <xf numFmtId="4" fontId="484" fillId="51" borderId="100" applyNumberFormat="0" applyProtection="0">
      <alignment vertical="center"/>
    </xf>
    <xf numFmtId="4" fontId="484" fillId="51" borderId="100" applyNumberFormat="0" applyProtection="0">
      <alignment vertical="center"/>
    </xf>
    <xf numFmtId="4" fontId="484" fillId="51" borderId="100" applyNumberFormat="0" applyProtection="0">
      <alignment vertical="center"/>
    </xf>
    <xf numFmtId="4" fontId="484" fillId="51" borderId="100" applyNumberFormat="0" applyProtection="0">
      <alignment vertical="center"/>
    </xf>
    <xf numFmtId="4" fontId="484" fillId="51" borderId="100" applyNumberFormat="0" applyProtection="0">
      <alignment vertical="center"/>
    </xf>
    <xf numFmtId="4" fontId="484" fillId="51" borderId="100" applyNumberFormat="0" applyProtection="0">
      <alignment vertical="center"/>
    </xf>
    <xf numFmtId="4" fontId="484" fillId="51" borderId="100" applyNumberFormat="0" applyProtection="0">
      <alignment vertical="center"/>
    </xf>
    <xf numFmtId="4" fontId="484" fillId="51" borderId="100" applyNumberFormat="0" applyProtection="0">
      <alignment vertical="center"/>
    </xf>
    <xf numFmtId="4" fontId="484" fillId="51" borderId="100" applyNumberFormat="0" applyProtection="0">
      <alignment vertical="center"/>
    </xf>
    <xf numFmtId="4" fontId="484" fillId="51" borderId="100" applyNumberFormat="0" applyProtection="0">
      <alignment vertical="center"/>
    </xf>
    <xf numFmtId="4" fontId="484" fillId="51" borderId="100" applyNumberFormat="0" applyProtection="0">
      <alignment vertical="center"/>
    </xf>
    <xf numFmtId="4" fontId="484" fillId="51" borderId="100" applyNumberFormat="0" applyProtection="0">
      <alignment vertical="center"/>
    </xf>
    <xf numFmtId="4" fontId="484" fillId="51" borderId="100" applyNumberFormat="0" applyProtection="0">
      <alignment vertical="center"/>
    </xf>
    <xf numFmtId="4" fontId="484" fillId="84" borderId="100" applyNumberFormat="0" applyProtection="0">
      <alignment vertical="center"/>
    </xf>
    <xf numFmtId="4" fontId="484" fillId="84" borderId="100" applyNumberFormat="0" applyProtection="0">
      <alignment vertical="center"/>
    </xf>
    <xf numFmtId="4" fontId="484" fillId="84" borderId="100" applyNumberFormat="0" applyProtection="0">
      <alignment vertical="center"/>
    </xf>
    <xf numFmtId="4" fontId="484" fillId="84" borderId="100" applyNumberFormat="0" applyProtection="0">
      <alignment vertical="center"/>
    </xf>
    <xf numFmtId="4" fontId="484" fillId="84" borderId="100" applyNumberFormat="0" applyProtection="0">
      <alignment vertical="center"/>
    </xf>
    <xf numFmtId="4" fontId="484" fillId="84" borderId="100" applyNumberFormat="0" applyProtection="0">
      <alignment vertical="center"/>
    </xf>
    <xf numFmtId="4" fontId="484" fillId="84" borderId="100" applyNumberFormat="0" applyProtection="0">
      <alignment vertical="center"/>
    </xf>
    <xf numFmtId="4" fontId="484" fillId="84" borderId="100" applyNumberFormat="0" applyProtection="0">
      <alignment vertical="center"/>
    </xf>
    <xf numFmtId="4" fontId="484" fillId="84" borderId="100" applyNumberFormat="0" applyProtection="0">
      <alignment vertical="center"/>
    </xf>
    <xf numFmtId="4" fontId="484" fillId="84" borderId="100" applyNumberFormat="0" applyProtection="0">
      <alignment vertical="center"/>
    </xf>
    <xf numFmtId="4" fontId="484" fillId="84" borderId="100" applyNumberFormat="0" applyProtection="0">
      <alignment vertical="center"/>
    </xf>
    <xf numFmtId="4" fontId="484" fillId="84" borderId="100" applyNumberFormat="0" applyProtection="0">
      <alignment vertical="center"/>
    </xf>
    <xf numFmtId="4" fontId="484" fillId="84" borderId="100" applyNumberFormat="0" applyProtection="0">
      <alignment vertical="center"/>
    </xf>
    <xf numFmtId="4" fontId="484" fillId="84" borderId="100" applyNumberFormat="0" applyProtection="0">
      <alignment vertical="center"/>
    </xf>
    <xf numFmtId="4" fontId="484" fillId="84" borderId="100" applyNumberFormat="0" applyProtection="0">
      <alignment vertical="center"/>
    </xf>
    <xf numFmtId="4" fontId="484" fillId="84" borderId="100" applyNumberFormat="0" applyProtection="0">
      <alignment vertical="center"/>
    </xf>
    <xf numFmtId="4" fontId="484" fillId="84" borderId="100" applyNumberFormat="0" applyProtection="0">
      <alignment vertical="center"/>
    </xf>
    <xf numFmtId="4" fontId="483" fillId="15" borderId="99" applyNumberFormat="0" applyProtection="0">
      <alignment vertical="center"/>
    </xf>
    <xf numFmtId="4" fontId="483" fillId="15" borderId="99" applyNumberFormat="0" applyProtection="0">
      <alignment vertical="center"/>
    </xf>
    <xf numFmtId="4" fontId="484" fillId="84" borderId="100" applyNumberFormat="0" applyProtection="0">
      <alignment vertical="center"/>
    </xf>
    <xf numFmtId="4" fontId="484" fillId="84" borderId="100" applyNumberFormat="0" applyProtection="0">
      <alignment vertical="center"/>
    </xf>
    <xf numFmtId="4" fontId="484" fillId="84" borderId="100" applyNumberFormat="0" applyProtection="0">
      <alignment vertical="center"/>
    </xf>
    <xf numFmtId="4" fontId="484" fillId="84" borderId="100" applyNumberFormat="0" applyProtection="0">
      <alignment vertical="center"/>
    </xf>
    <xf numFmtId="4" fontId="484" fillId="84" borderId="100" applyNumberFormat="0" applyProtection="0">
      <alignment vertical="center"/>
    </xf>
    <xf numFmtId="4" fontId="484" fillId="84" borderId="100" applyNumberFormat="0" applyProtection="0">
      <alignment vertical="center"/>
    </xf>
    <xf numFmtId="4" fontId="484" fillId="84" borderId="100" applyNumberFormat="0" applyProtection="0">
      <alignment vertical="center"/>
    </xf>
    <xf numFmtId="4" fontId="484" fillId="84" borderId="100" applyNumberFormat="0" applyProtection="0">
      <alignment vertical="center"/>
    </xf>
    <xf numFmtId="4" fontId="484" fillId="84" borderId="100" applyNumberFormat="0" applyProtection="0">
      <alignment vertical="center"/>
    </xf>
    <xf numFmtId="4" fontId="484" fillId="84" borderId="100" applyNumberFormat="0" applyProtection="0">
      <alignment vertical="center"/>
    </xf>
    <xf numFmtId="4" fontId="484" fillId="84" borderId="100" applyNumberFormat="0" applyProtection="0">
      <alignment vertical="center"/>
    </xf>
    <xf numFmtId="4" fontId="484" fillId="84" borderId="100" applyNumberFormat="0" applyProtection="0">
      <alignment vertical="center"/>
    </xf>
    <xf numFmtId="4" fontId="484" fillId="84" borderId="100" applyNumberFormat="0" applyProtection="0">
      <alignment vertical="center"/>
    </xf>
    <xf numFmtId="4" fontId="484" fillId="84" borderId="100" applyNumberFormat="0" applyProtection="0">
      <alignment vertical="center"/>
    </xf>
    <xf numFmtId="4" fontId="484" fillId="84" borderId="100" applyNumberFormat="0" applyProtection="0">
      <alignment vertical="center"/>
    </xf>
    <xf numFmtId="4" fontId="484" fillId="84" borderId="100" applyNumberFormat="0" applyProtection="0">
      <alignment vertical="center"/>
    </xf>
    <xf numFmtId="4" fontId="484" fillId="84" borderId="100" applyNumberFormat="0" applyProtection="0">
      <alignment vertical="center"/>
    </xf>
    <xf numFmtId="4" fontId="484" fillId="84" borderId="100" applyNumberFormat="0" applyProtection="0">
      <alignment vertical="center"/>
    </xf>
    <xf numFmtId="4" fontId="476" fillId="82" borderId="99" applyNumberFormat="0" applyProtection="0">
      <alignment horizontal="left" vertical="center" indent="1"/>
    </xf>
    <xf numFmtId="4" fontId="171" fillId="84" borderId="100" applyNumberFormat="0" applyProtection="0">
      <alignment horizontal="left" vertical="center" indent="1"/>
    </xf>
    <xf numFmtId="4" fontId="171" fillId="84" borderId="100" applyNumberFormat="0" applyProtection="0">
      <alignment horizontal="left" vertical="center" indent="1"/>
    </xf>
    <xf numFmtId="4" fontId="171" fillId="84" borderId="100" applyNumberFormat="0" applyProtection="0">
      <alignment horizontal="left" vertical="center" indent="1"/>
    </xf>
    <xf numFmtId="4" fontId="171" fillId="84" borderId="100" applyNumberFormat="0" applyProtection="0">
      <alignment horizontal="left" vertical="center" indent="1"/>
    </xf>
    <xf numFmtId="4" fontId="171" fillId="84" borderId="100" applyNumberFormat="0" applyProtection="0">
      <alignment horizontal="left" vertical="center" indent="1"/>
    </xf>
    <xf numFmtId="4" fontId="171" fillId="84" borderId="100" applyNumberFormat="0" applyProtection="0">
      <alignment horizontal="left" vertical="center" indent="1"/>
    </xf>
    <xf numFmtId="4" fontId="171" fillId="84" borderId="100" applyNumberFormat="0" applyProtection="0">
      <alignment horizontal="left" vertical="center" indent="1"/>
    </xf>
    <xf numFmtId="4" fontId="171" fillId="84" borderId="100" applyNumberFormat="0" applyProtection="0">
      <alignment horizontal="left" vertical="center" indent="1"/>
    </xf>
    <xf numFmtId="4" fontId="171" fillId="84" borderId="100" applyNumberFormat="0" applyProtection="0">
      <alignment horizontal="left" vertical="center" indent="1"/>
    </xf>
    <xf numFmtId="4" fontId="171" fillId="84" borderId="100" applyNumberFormat="0" applyProtection="0">
      <alignment horizontal="left" vertical="center" indent="1"/>
    </xf>
    <xf numFmtId="4" fontId="171" fillId="51" borderId="100" applyNumberFormat="0" applyProtection="0">
      <alignment horizontal="left" vertical="center" indent="1"/>
    </xf>
    <xf numFmtId="4" fontId="171" fillId="51" borderId="100" applyNumberFormat="0" applyProtection="0">
      <alignment horizontal="left" vertical="center" indent="1"/>
    </xf>
    <xf numFmtId="4" fontId="171" fillId="51" borderId="100" applyNumberFormat="0" applyProtection="0">
      <alignment horizontal="left" vertical="center" indent="1"/>
    </xf>
    <xf numFmtId="4" fontId="171" fillId="51" borderId="100" applyNumberFormat="0" applyProtection="0">
      <alignment horizontal="left" vertical="center" indent="1"/>
    </xf>
    <xf numFmtId="4" fontId="171" fillId="51" borderId="100" applyNumberFormat="0" applyProtection="0">
      <alignment horizontal="left" vertical="center" indent="1"/>
    </xf>
    <xf numFmtId="4" fontId="171" fillId="51" borderId="100" applyNumberFormat="0" applyProtection="0">
      <alignment horizontal="left" vertical="center" indent="1"/>
    </xf>
    <xf numFmtId="4" fontId="171" fillId="51" borderId="100" applyNumberFormat="0" applyProtection="0">
      <alignment horizontal="left" vertical="center" indent="1"/>
    </xf>
    <xf numFmtId="4" fontId="171" fillId="51" borderId="100" applyNumberFormat="0" applyProtection="0">
      <alignment horizontal="left" vertical="center" indent="1"/>
    </xf>
    <xf numFmtId="4" fontId="171" fillId="51" borderId="100" applyNumberFormat="0" applyProtection="0">
      <alignment horizontal="left" vertical="center" indent="1"/>
    </xf>
    <xf numFmtId="4" fontId="171" fillId="51" borderId="100" applyNumberFormat="0" applyProtection="0">
      <alignment horizontal="left" vertical="center" indent="1"/>
    </xf>
    <xf numFmtId="4" fontId="171" fillId="51" borderId="100" applyNumberFormat="0" applyProtection="0">
      <alignment horizontal="left" vertical="center" indent="1"/>
    </xf>
    <xf numFmtId="4" fontId="171" fillId="51" borderId="100" applyNumberFormat="0" applyProtection="0">
      <alignment horizontal="left" vertical="center" indent="1"/>
    </xf>
    <xf numFmtId="4" fontId="171" fillId="51" borderId="100" applyNumberFormat="0" applyProtection="0">
      <alignment horizontal="left" vertical="center" indent="1"/>
    </xf>
    <xf numFmtId="4" fontId="171" fillId="51" borderId="100" applyNumberFormat="0" applyProtection="0">
      <alignment horizontal="left" vertical="center" indent="1"/>
    </xf>
    <xf numFmtId="4" fontId="171" fillId="51" borderId="100" applyNumberFormat="0" applyProtection="0">
      <alignment horizontal="left" vertical="center" indent="1"/>
    </xf>
    <xf numFmtId="4" fontId="171" fillId="51" borderId="100" applyNumberFormat="0" applyProtection="0">
      <alignment horizontal="left" vertical="center" indent="1"/>
    </xf>
    <xf numFmtId="4" fontId="171" fillId="51" borderId="100" applyNumberFormat="0" applyProtection="0">
      <alignment horizontal="left" vertical="center" indent="1"/>
    </xf>
    <xf numFmtId="4" fontId="171" fillId="51" borderId="100" applyNumberFormat="0" applyProtection="0">
      <alignment horizontal="left" vertical="center" indent="1"/>
    </xf>
    <xf numFmtId="4" fontId="171" fillId="51" borderId="100" applyNumberFormat="0" applyProtection="0">
      <alignment horizontal="left" vertical="center" indent="1"/>
    </xf>
    <xf numFmtId="4" fontId="171" fillId="51" borderId="100" applyNumberFormat="0" applyProtection="0">
      <alignment horizontal="left" vertical="center" indent="1"/>
    </xf>
    <xf numFmtId="4" fontId="171" fillId="51" borderId="100" applyNumberFormat="0" applyProtection="0">
      <alignment horizontal="left" vertical="center" indent="1"/>
    </xf>
    <xf numFmtId="4" fontId="171" fillId="51" borderId="100" applyNumberFormat="0" applyProtection="0">
      <alignment horizontal="left" vertical="center" indent="1"/>
    </xf>
    <xf numFmtId="4" fontId="171" fillId="51" borderId="100" applyNumberFormat="0" applyProtection="0">
      <alignment horizontal="left" vertical="center" indent="1"/>
    </xf>
    <xf numFmtId="4" fontId="171" fillId="51" borderId="100" applyNumberFormat="0" applyProtection="0">
      <alignment horizontal="left" vertical="center" indent="1"/>
    </xf>
    <xf numFmtId="4" fontId="171" fillId="51" borderId="100" applyNumberFormat="0" applyProtection="0">
      <alignment horizontal="left" vertical="center" indent="1"/>
    </xf>
    <xf numFmtId="4" fontId="171" fillId="51" borderId="100" applyNumberFormat="0" applyProtection="0">
      <alignment horizontal="left" vertical="center" indent="1"/>
    </xf>
    <xf numFmtId="4" fontId="171" fillId="51" borderId="100" applyNumberFormat="0" applyProtection="0">
      <alignment horizontal="left" vertical="center" indent="1"/>
    </xf>
    <xf numFmtId="4" fontId="171" fillId="51" borderId="100" applyNumberFormat="0" applyProtection="0">
      <alignment horizontal="left" vertical="center" indent="1"/>
    </xf>
    <xf numFmtId="4" fontId="171" fillId="51" borderId="100" applyNumberFormat="0" applyProtection="0">
      <alignment horizontal="left" vertical="center" indent="1"/>
    </xf>
    <xf numFmtId="4" fontId="171" fillId="51" borderId="100" applyNumberFormat="0" applyProtection="0">
      <alignment horizontal="left" vertical="center" indent="1"/>
    </xf>
    <xf numFmtId="4" fontId="171" fillId="51" borderId="100" applyNumberFormat="0" applyProtection="0">
      <alignment horizontal="left" vertical="center" indent="1"/>
    </xf>
    <xf numFmtId="4" fontId="171" fillId="51" borderId="100" applyNumberFormat="0" applyProtection="0">
      <alignment horizontal="left" vertical="center" indent="1"/>
    </xf>
    <xf numFmtId="4" fontId="171" fillId="51" borderId="100" applyNumberFormat="0" applyProtection="0">
      <alignment horizontal="left" vertical="center" indent="1"/>
    </xf>
    <xf numFmtId="4" fontId="171" fillId="51" borderId="100" applyNumberFormat="0" applyProtection="0">
      <alignment horizontal="left" vertical="center" indent="1"/>
    </xf>
    <xf numFmtId="4" fontId="171" fillId="51" borderId="100" applyNumberFormat="0" applyProtection="0">
      <alignment horizontal="left" vertical="center" indent="1"/>
    </xf>
    <xf numFmtId="4" fontId="171" fillId="51" borderId="100" applyNumberFormat="0" applyProtection="0">
      <alignment horizontal="left" vertical="center" indent="1"/>
    </xf>
    <xf numFmtId="4" fontId="171" fillId="51" borderId="100" applyNumberFormat="0" applyProtection="0">
      <alignment horizontal="left" vertical="center" indent="1"/>
    </xf>
    <xf numFmtId="4" fontId="171" fillId="51" borderId="100" applyNumberFormat="0" applyProtection="0">
      <alignment horizontal="left" vertical="center" indent="1"/>
    </xf>
    <xf numFmtId="4" fontId="171" fillId="51" borderId="100" applyNumberFormat="0" applyProtection="0">
      <alignment horizontal="left" vertical="center" indent="1"/>
    </xf>
    <xf numFmtId="4" fontId="171" fillId="51" borderId="100" applyNumberFormat="0" applyProtection="0">
      <alignment horizontal="left" vertical="center" indent="1"/>
    </xf>
    <xf numFmtId="4" fontId="171" fillId="51" borderId="100" applyNumberFormat="0" applyProtection="0">
      <alignment horizontal="left" vertical="center" indent="1"/>
    </xf>
    <xf numFmtId="4" fontId="171" fillId="51" borderId="100" applyNumberFormat="0" applyProtection="0">
      <alignment horizontal="left" vertical="center" indent="1"/>
    </xf>
    <xf numFmtId="4" fontId="171" fillId="51" borderId="100" applyNumberFormat="0" applyProtection="0">
      <alignment horizontal="left" vertical="center" indent="1"/>
    </xf>
    <xf numFmtId="4" fontId="171" fillId="51" borderId="100" applyNumberFormat="0" applyProtection="0">
      <alignment horizontal="left" vertical="center" indent="1"/>
    </xf>
    <xf numFmtId="4" fontId="171" fillId="51" borderId="100" applyNumberFormat="0" applyProtection="0">
      <alignment horizontal="left" vertical="center" indent="1"/>
    </xf>
    <xf numFmtId="4" fontId="171" fillId="51" borderId="100" applyNumberFormat="0" applyProtection="0">
      <alignment horizontal="left" vertical="center" indent="1"/>
    </xf>
    <xf numFmtId="4" fontId="171" fillId="51" borderId="100" applyNumberFormat="0" applyProtection="0">
      <alignment horizontal="left" vertical="center" indent="1"/>
    </xf>
    <xf numFmtId="4" fontId="171" fillId="51" borderId="100" applyNumberFormat="0" applyProtection="0">
      <alignment horizontal="left" vertical="center" indent="1"/>
    </xf>
    <xf numFmtId="4" fontId="171" fillId="51" borderId="100" applyNumberFormat="0" applyProtection="0">
      <alignment horizontal="left" vertical="center" indent="1"/>
    </xf>
    <xf numFmtId="4" fontId="171" fillId="51" borderId="100" applyNumberFormat="0" applyProtection="0">
      <alignment horizontal="left" vertical="center" indent="1"/>
    </xf>
    <xf numFmtId="4" fontId="171" fillId="51" borderId="100" applyNumberFormat="0" applyProtection="0">
      <alignment horizontal="left" vertical="center" indent="1"/>
    </xf>
    <xf numFmtId="4" fontId="171" fillId="51" borderId="100" applyNumberFormat="0" applyProtection="0">
      <alignment horizontal="left" vertical="center" indent="1"/>
    </xf>
    <xf numFmtId="4" fontId="171" fillId="51" borderId="100" applyNumberFormat="0" applyProtection="0">
      <alignment horizontal="left" vertical="center" indent="1"/>
    </xf>
    <xf numFmtId="4" fontId="171" fillId="51" borderId="100" applyNumberFormat="0" applyProtection="0">
      <alignment horizontal="left" vertical="center" indent="1"/>
    </xf>
    <xf numFmtId="4" fontId="171" fillId="51" borderId="100" applyNumberFormat="0" applyProtection="0">
      <alignment horizontal="left" vertical="center" indent="1"/>
    </xf>
    <xf numFmtId="4" fontId="171" fillId="51" borderId="100" applyNumberFormat="0" applyProtection="0">
      <alignment horizontal="left" vertical="center" indent="1"/>
    </xf>
    <xf numFmtId="4" fontId="171" fillId="51" borderId="100" applyNumberFormat="0" applyProtection="0">
      <alignment horizontal="left" vertical="center" indent="1"/>
    </xf>
    <xf numFmtId="4" fontId="171" fillId="51" borderId="100" applyNumberFormat="0" applyProtection="0">
      <alignment horizontal="left" vertical="center" indent="1"/>
    </xf>
    <xf numFmtId="4" fontId="171" fillId="51" borderId="100" applyNumberFormat="0" applyProtection="0">
      <alignment horizontal="left" vertical="center" indent="1"/>
    </xf>
    <xf numFmtId="4" fontId="171" fillId="51" borderId="100" applyNumberFormat="0" applyProtection="0">
      <alignment horizontal="left" vertical="center" indent="1"/>
    </xf>
    <xf numFmtId="4" fontId="171" fillId="51" borderId="100" applyNumberFormat="0" applyProtection="0">
      <alignment horizontal="left" vertical="center" indent="1"/>
    </xf>
    <xf numFmtId="4" fontId="171" fillId="51" borderId="100" applyNumberFormat="0" applyProtection="0">
      <alignment horizontal="left" vertical="center" indent="1"/>
    </xf>
    <xf numFmtId="4" fontId="171" fillId="84" borderId="100" applyNumberFormat="0" applyProtection="0">
      <alignment horizontal="left" vertical="center" indent="1"/>
    </xf>
    <xf numFmtId="4" fontId="171" fillId="84" borderId="100" applyNumberFormat="0" applyProtection="0">
      <alignment horizontal="left" vertical="center" indent="1"/>
    </xf>
    <xf numFmtId="4" fontId="171" fillId="84" borderId="100" applyNumberFormat="0" applyProtection="0">
      <alignment horizontal="left" vertical="center" indent="1"/>
    </xf>
    <xf numFmtId="4" fontId="171" fillId="84" borderId="100" applyNumberFormat="0" applyProtection="0">
      <alignment horizontal="left" vertical="center" indent="1"/>
    </xf>
    <xf numFmtId="4" fontId="171" fillId="84" borderId="100" applyNumberFormat="0" applyProtection="0">
      <alignment horizontal="left" vertical="center" indent="1"/>
    </xf>
    <xf numFmtId="4" fontId="171" fillId="84" borderId="100" applyNumberFormat="0" applyProtection="0">
      <alignment horizontal="left" vertical="center" indent="1"/>
    </xf>
    <xf numFmtId="4" fontId="171" fillId="84" borderId="100" applyNumberFormat="0" applyProtection="0">
      <alignment horizontal="left" vertical="center" indent="1"/>
    </xf>
    <xf numFmtId="4" fontId="171" fillId="84" borderId="100" applyNumberFormat="0" applyProtection="0">
      <alignment horizontal="left" vertical="center" indent="1"/>
    </xf>
    <xf numFmtId="4" fontId="171" fillId="84" borderId="100" applyNumberFormat="0" applyProtection="0">
      <alignment horizontal="left" vertical="center" indent="1"/>
    </xf>
    <xf numFmtId="4" fontId="171" fillId="84" borderId="100" applyNumberFormat="0" applyProtection="0">
      <alignment horizontal="left" vertical="center" indent="1"/>
    </xf>
    <xf numFmtId="4" fontId="171" fillId="84" borderId="100" applyNumberFormat="0" applyProtection="0">
      <alignment horizontal="left" vertical="center" indent="1"/>
    </xf>
    <xf numFmtId="4" fontId="171" fillId="84" borderId="100" applyNumberFormat="0" applyProtection="0">
      <alignment horizontal="left" vertical="center" indent="1"/>
    </xf>
    <xf numFmtId="4" fontId="171" fillId="84" borderId="100" applyNumberFormat="0" applyProtection="0">
      <alignment horizontal="left" vertical="center" indent="1"/>
    </xf>
    <xf numFmtId="4" fontId="171" fillId="84" borderId="100" applyNumberFormat="0" applyProtection="0">
      <alignment horizontal="left" vertical="center" indent="1"/>
    </xf>
    <xf numFmtId="4" fontId="171" fillId="84" borderId="100" applyNumberFormat="0" applyProtection="0">
      <alignment horizontal="left" vertical="center" indent="1"/>
    </xf>
    <xf numFmtId="4" fontId="171" fillId="84" borderId="100" applyNumberFormat="0" applyProtection="0">
      <alignment horizontal="left" vertical="center" indent="1"/>
    </xf>
    <xf numFmtId="4" fontId="171" fillId="84" borderId="100" applyNumberFormat="0" applyProtection="0">
      <alignment horizontal="left" vertical="center" indent="1"/>
    </xf>
    <xf numFmtId="4" fontId="476" fillId="82" borderId="99" applyNumberFormat="0" applyProtection="0">
      <alignment horizontal="left" vertical="center" indent="1"/>
    </xf>
    <xf numFmtId="4" fontId="476" fillId="82" borderId="99" applyNumberFormat="0" applyProtection="0">
      <alignment horizontal="left" vertical="center" indent="1"/>
    </xf>
    <xf numFmtId="4" fontId="171" fillId="84" borderId="100" applyNumberFormat="0" applyProtection="0">
      <alignment horizontal="left" vertical="center" indent="1"/>
    </xf>
    <xf numFmtId="4" fontId="171" fillId="84" borderId="100" applyNumberFormat="0" applyProtection="0">
      <alignment horizontal="left" vertical="center" indent="1"/>
    </xf>
    <xf numFmtId="4" fontId="171" fillId="84" borderId="100" applyNumberFormat="0" applyProtection="0">
      <alignment horizontal="left" vertical="center" indent="1"/>
    </xf>
    <xf numFmtId="4" fontId="171" fillId="84" borderId="100" applyNumberFormat="0" applyProtection="0">
      <alignment horizontal="left" vertical="center" indent="1"/>
    </xf>
    <xf numFmtId="4" fontId="171" fillId="84" borderId="100" applyNumberFormat="0" applyProtection="0">
      <alignment horizontal="left" vertical="center" indent="1"/>
    </xf>
    <xf numFmtId="4" fontId="171" fillId="84" borderId="100" applyNumberFormat="0" applyProtection="0">
      <alignment horizontal="left" vertical="center" indent="1"/>
    </xf>
    <xf numFmtId="4" fontId="171" fillId="84" borderId="100" applyNumberFormat="0" applyProtection="0">
      <alignment horizontal="left" vertical="center" indent="1"/>
    </xf>
    <xf numFmtId="4" fontId="171" fillId="84" borderId="100" applyNumberFormat="0" applyProtection="0">
      <alignment horizontal="left" vertical="center" indent="1"/>
    </xf>
    <xf numFmtId="4" fontId="171" fillId="84" borderId="100" applyNumberFormat="0" applyProtection="0">
      <alignment horizontal="left" vertical="center" indent="1"/>
    </xf>
    <xf numFmtId="4" fontId="171" fillId="84" borderId="100" applyNumberFormat="0" applyProtection="0">
      <alignment horizontal="left" vertical="center" indent="1"/>
    </xf>
    <xf numFmtId="4" fontId="171" fillId="84" borderId="100" applyNumberFormat="0" applyProtection="0">
      <alignment horizontal="left" vertical="center" indent="1"/>
    </xf>
    <xf numFmtId="4" fontId="171" fillId="84" borderId="100" applyNumberFormat="0" applyProtection="0">
      <alignment horizontal="left" vertical="center" indent="1"/>
    </xf>
    <xf numFmtId="4" fontId="171" fillId="84" borderId="100" applyNumberFormat="0" applyProtection="0">
      <alignment horizontal="left" vertical="center" indent="1"/>
    </xf>
    <xf numFmtId="4" fontId="171" fillId="84" borderId="100" applyNumberFormat="0" applyProtection="0">
      <alignment horizontal="left" vertical="center" indent="1"/>
    </xf>
    <xf numFmtId="4" fontId="171" fillId="84" borderId="100" applyNumberFormat="0" applyProtection="0">
      <alignment horizontal="left" vertical="center" indent="1"/>
    </xf>
    <xf numFmtId="4" fontId="171" fillId="84" borderId="100" applyNumberFormat="0" applyProtection="0">
      <alignment horizontal="left" vertical="center" indent="1"/>
    </xf>
    <xf numFmtId="4" fontId="171" fillId="84" borderId="100" applyNumberFormat="0" applyProtection="0">
      <alignment horizontal="left" vertical="center" indent="1"/>
    </xf>
    <xf numFmtId="4" fontId="171" fillId="84" borderId="100" applyNumberFormat="0" applyProtection="0">
      <alignment horizontal="left" vertical="center" indent="1"/>
    </xf>
    <xf numFmtId="0" fontId="171" fillId="51" borderId="100" applyNumberFormat="0" applyProtection="0">
      <alignment horizontal="left" vertical="top" indent="1"/>
    </xf>
    <xf numFmtId="0" fontId="171" fillId="84" borderId="100" applyNumberFormat="0" applyProtection="0">
      <alignment horizontal="left" vertical="top" indent="1"/>
    </xf>
    <xf numFmtId="0" fontId="171" fillId="84" borderId="100" applyNumberFormat="0" applyProtection="0">
      <alignment horizontal="left" vertical="top" indent="1"/>
    </xf>
    <xf numFmtId="0" fontId="171" fillId="84" borderId="100" applyNumberFormat="0" applyProtection="0">
      <alignment horizontal="left" vertical="top" indent="1"/>
    </xf>
    <xf numFmtId="0" fontId="171" fillId="84" borderId="100" applyNumberFormat="0" applyProtection="0">
      <alignment horizontal="left" vertical="top" indent="1"/>
    </xf>
    <xf numFmtId="0" fontId="171" fillId="84" borderId="100" applyNumberFormat="0" applyProtection="0">
      <alignment horizontal="left" vertical="top" indent="1"/>
    </xf>
    <xf numFmtId="0" fontId="171" fillId="84" borderId="100" applyNumberFormat="0" applyProtection="0">
      <alignment horizontal="left" vertical="top" indent="1"/>
    </xf>
    <xf numFmtId="0" fontId="171" fillId="84" borderId="100" applyNumberFormat="0" applyProtection="0">
      <alignment horizontal="left" vertical="top" indent="1"/>
    </xf>
    <xf numFmtId="0" fontId="171" fillId="84" borderId="100" applyNumberFormat="0" applyProtection="0">
      <alignment horizontal="left" vertical="top" indent="1"/>
    </xf>
    <xf numFmtId="0" fontId="171" fillId="84" borderId="100" applyNumberFormat="0" applyProtection="0">
      <alignment horizontal="left" vertical="top" indent="1"/>
    </xf>
    <xf numFmtId="0" fontId="171" fillId="84" borderId="100" applyNumberFormat="0" applyProtection="0">
      <alignment horizontal="left" vertical="top" indent="1"/>
    </xf>
    <xf numFmtId="0" fontId="171" fillId="51" borderId="100" applyNumberFormat="0" applyProtection="0">
      <alignment horizontal="left" vertical="top" indent="1"/>
    </xf>
    <xf numFmtId="0" fontId="171" fillId="51" borderId="100" applyNumberFormat="0" applyProtection="0">
      <alignment horizontal="left" vertical="top" indent="1"/>
    </xf>
    <xf numFmtId="0" fontId="171" fillId="51" borderId="100" applyNumberFormat="0" applyProtection="0">
      <alignment horizontal="left" vertical="top" indent="1"/>
    </xf>
    <xf numFmtId="0" fontId="171" fillId="51" borderId="100" applyNumberFormat="0" applyProtection="0">
      <alignment horizontal="left" vertical="top" indent="1"/>
    </xf>
    <xf numFmtId="0" fontId="171" fillId="51" borderId="100" applyNumberFormat="0" applyProtection="0">
      <alignment horizontal="left" vertical="top" indent="1"/>
    </xf>
    <xf numFmtId="0" fontId="171" fillId="51" borderId="100" applyNumberFormat="0" applyProtection="0">
      <alignment horizontal="left" vertical="top" indent="1"/>
    </xf>
    <xf numFmtId="0" fontId="171" fillId="51" borderId="100" applyNumberFormat="0" applyProtection="0">
      <alignment horizontal="left" vertical="top" indent="1"/>
    </xf>
    <xf numFmtId="0" fontId="171" fillId="51" borderId="100" applyNumberFormat="0" applyProtection="0">
      <alignment horizontal="left" vertical="top" indent="1"/>
    </xf>
    <xf numFmtId="0" fontId="171" fillId="51" borderId="100" applyNumberFormat="0" applyProtection="0">
      <alignment horizontal="left" vertical="top" indent="1"/>
    </xf>
    <xf numFmtId="0" fontId="171" fillId="51" borderId="100" applyNumberFormat="0" applyProtection="0">
      <alignment horizontal="left" vertical="top" indent="1"/>
    </xf>
    <xf numFmtId="0" fontId="171" fillId="51" borderId="100" applyNumberFormat="0" applyProtection="0">
      <alignment horizontal="left" vertical="top" indent="1"/>
    </xf>
    <xf numFmtId="0" fontId="171" fillId="51" borderId="100" applyNumberFormat="0" applyProtection="0">
      <alignment horizontal="left" vertical="top" indent="1"/>
    </xf>
    <xf numFmtId="0" fontId="171" fillId="51" borderId="100" applyNumberFormat="0" applyProtection="0">
      <alignment horizontal="left" vertical="top" indent="1"/>
    </xf>
    <xf numFmtId="0" fontId="171" fillId="51" borderId="100" applyNumberFormat="0" applyProtection="0">
      <alignment horizontal="left" vertical="top" indent="1"/>
    </xf>
    <xf numFmtId="0" fontId="171" fillId="51" borderId="100" applyNumberFormat="0" applyProtection="0">
      <alignment horizontal="left" vertical="top" indent="1"/>
    </xf>
    <xf numFmtId="0" fontId="171" fillId="51" borderId="100" applyNumberFormat="0" applyProtection="0">
      <alignment horizontal="left" vertical="top" indent="1"/>
    </xf>
    <xf numFmtId="0" fontId="171" fillId="51" borderId="100" applyNumberFormat="0" applyProtection="0">
      <alignment horizontal="left" vertical="top" indent="1"/>
    </xf>
    <xf numFmtId="0" fontId="171" fillId="51" borderId="100" applyNumberFormat="0" applyProtection="0">
      <alignment horizontal="left" vertical="top" indent="1"/>
    </xf>
    <xf numFmtId="0" fontId="171" fillId="51" borderId="100" applyNumberFormat="0" applyProtection="0">
      <alignment horizontal="left" vertical="top" indent="1"/>
    </xf>
    <xf numFmtId="0" fontId="171" fillId="51" borderId="100" applyNumberFormat="0" applyProtection="0">
      <alignment horizontal="left" vertical="top" indent="1"/>
    </xf>
    <xf numFmtId="0" fontId="171" fillId="51" borderId="100" applyNumberFormat="0" applyProtection="0">
      <alignment horizontal="left" vertical="top" indent="1"/>
    </xf>
    <xf numFmtId="0" fontId="171" fillId="51" borderId="100" applyNumberFormat="0" applyProtection="0">
      <alignment horizontal="left" vertical="top" indent="1"/>
    </xf>
    <xf numFmtId="0" fontId="171" fillId="51" borderId="100" applyNumberFormat="0" applyProtection="0">
      <alignment horizontal="left" vertical="top" indent="1"/>
    </xf>
    <xf numFmtId="0" fontId="171" fillId="51" borderId="100" applyNumberFormat="0" applyProtection="0">
      <alignment horizontal="left" vertical="top" indent="1"/>
    </xf>
    <xf numFmtId="0" fontId="171" fillId="51" borderId="100" applyNumberFormat="0" applyProtection="0">
      <alignment horizontal="left" vertical="top" indent="1"/>
    </xf>
    <xf numFmtId="0" fontId="171" fillId="51" borderId="100" applyNumberFormat="0" applyProtection="0">
      <alignment horizontal="left" vertical="top" indent="1"/>
    </xf>
    <xf numFmtId="0" fontId="171" fillId="51" borderId="100" applyNumberFormat="0" applyProtection="0">
      <alignment horizontal="left" vertical="top" indent="1"/>
    </xf>
    <xf numFmtId="0" fontId="171" fillId="51" borderId="100" applyNumberFormat="0" applyProtection="0">
      <alignment horizontal="left" vertical="top" indent="1"/>
    </xf>
    <xf numFmtId="0" fontId="171" fillId="51" borderId="100" applyNumberFormat="0" applyProtection="0">
      <alignment horizontal="left" vertical="top" indent="1"/>
    </xf>
    <xf numFmtId="0" fontId="171" fillId="51" borderId="100" applyNumberFormat="0" applyProtection="0">
      <alignment horizontal="left" vertical="top" indent="1"/>
    </xf>
    <xf numFmtId="0" fontId="171" fillId="51" borderId="100" applyNumberFormat="0" applyProtection="0">
      <alignment horizontal="left" vertical="top" indent="1"/>
    </xf>
    <xf numFmtId="0" fontId="171" fillId="51" borderId="100" applyNumberFormat="0" applyProtection="0">
      <alignment horizontal="left" vertical="top" indent="1"/>
    </xf>
    <xf numFmtId="0" fontId="171" fillId="51" borderId="100" applyNumberFormat="0" applyProtection="0">
      <alignment horizontal="left" vertical="top" indent="1"/>
    </xf>
    <xf numFmtId="0" fontId="171" fillId="51" borderId="100" applyNumberFormat="0" applyProtection="0">
      <alignment horizontal="left" vertical="top" indent="1"/>
    </xf>
    <xf numFmtId="0" fontId="171" fillId="51" borderId="100" applyNumberFormat="0" applyProtection="0">
      <alignment horizontal="left" vertical="top" indent="1"/>
    </xf>
    <xf numFmtId="0" fontId="171" fillId="51" borderId="100" applyNumberFormat="0" applyProtection="0">
      <alignment horizontal="left" vertical="top" indent="1"/>
    </xf>
    <xf numFmtId="0" fontId="171" fillId="51" borderId="100" applyNumberFormat="0" applyProtection="0">
      <alignment horizontal="left" vertical="top" indent="1"/>
    </xf>
    <xf numFmtId="0" fontId="171" fillId="51" borderId="100" applyNumberFormat="0" applyProtection="0">
      <alignment horizontal="left" vertical="top" indent="1"/>
    </xf>
    <xf numFmtId="0" fontId="171" fillId="51" borderId="100" applyNumberFormat="0" applyProtection="0">
      <alignment horizontal="left" vertical="top" indent="1"/>
    </xf>
    <xf numFmtId="0" fontId="171" fillId="51" borderId="100" applyNumberFormat="0" applyProtection="0">
      <alignment horizontal="left" vertical="top" indent="1"/>
    </xf>
    <xf numFmtId="0" fontId="171" fillId="51" borderId="100" applyNumberFormat="0" applyProtection="0">
      <alignment horizontal="left" vertical="top" indent="1"/>
    </xf>
    <xf numFmtId="0" fontId="171" fillId="51" borderId="100" applyNumberFormat="0" applyProtection="0">
      <alignment horizontal="left" vertical="top" indent="1"/>
    </xf>
    <xf numFmtId="0" fontId="171" fillId="51" borderId="100" applyNumberFormat="0" applyProtection="0">
      <alignment horizontal="left" vertical="top" indent="1"/>
    </xf>
    <xf numFmtId="0" fontId="171" fillId="51" borderId="100" applyNumberFormat="0" applyProtection="0">
      <alignment horizontal="left" vertical="top" indent="1"/>
    </xf>
    <xf numFmtId="0" fontId="171" fillId="51" borderId="100" applyNumberFormat="0" applyProtection="0">
      <alignment horizontal="left" vertical="top" indent="1"/>
    </xf>
    <xf numFmtId="0" fontId="171" fillId="51" borderId="100" applyNumberFormat="0" applyProtection="0">
      <alignment horizontal="left" vertical="top" indent="1"/>
    </xf>
    <xf numFmtId="0" fontId="171" fillId="51" borderId="100" applyNumberFormat="0" applyProtection="0">
      <alignment horizontal="left" vertical="top" indent="1"/>
    </xf>
    <xf numFmtId="0" fontId="171" fillId="51" borderId="100" applyNumberFormat="0" applyProtection="0">
      <alignment horizontal="left" vertical="top" indent="1"/>
    </xf>
    <xf numFmtId="0" fontId="171" fillId="51" borderId="100" applyNumberFormat="0" applyProtection="0">
      <alignment horizontal="left" vertical="top" indent="1"/>
    </xf>
    <xf numFmtId="0" fontId="171" fillId="51" borderId="100" applyNumberFormat="0" applyProtection="0">
      <alignment horizontal="left" vertical="top" indent="1"/>
    </xf>
    <xf numFmtId="0" fontId="171" fillId="51" borderId="100" applyNumberFormat="0" applyProtection="0">
      <alignment horizontal="left" vertical="top" indent="1"/>
    </xf>
    <xf numFmtId="0" fontId="171" fillId="51" borderId="100" applyNumberFormat="0" applyProtection="0">
      <alignment horizontal="left" vertical="top" indent="1"/>
    </xf>
    <xf numFmtId="0" fontId="171" fillId="51" borderId="100" applyNumberFormat="0" applyProtection="0">
      <alignment horizontal="left" vertical="top" indent="1"/>
    </xf>
    <xf numFmtId="0" fontId="171" fillId="51" borderId="100" applyNumberFormat="0" applyProtection="0">
      <alignment horizontal="left" vertical="top" indent="1"/>
    </xf>
    <xf numFmtId="0" fontId="171" fillId="51" borderId="100" applyNumberFormat="0" applyProtection="0">
      <alignment horizontal="left" vertical="top" indent="1"/>
    </xf>
    <xf numFmtId="0" fontId="171" fillId="51" borderId="100" applyNumberFormat="0" applyProtection="0">
      <alignment horizontal="left" vertical="top" indent="1"/>
    </xf>
    <xf numFmtId="0" fontId="171" fillId="51" borderId="100" applyNumberFormat="0" applyProtection="0">
      <alignment horizontal="left" vertical="top" indent="1"/>
    </xf>
    <xf numFmtId="0" fontId="171" fillId="51" borderId="100" applyNumberFormat="0" applyProtection="0">
      <alignment horizontal="left" vertical="top" indent="1"/>
    </xf>
    <xf numFmtId="0" fontId="171" fillId="51" borderId="100" applyNumberFormat="0" applyProtection="0">
      <alignment horizontal="left" vertical="top" indent="1"/>
    </xf>
    <xf numFmtId="0" fontId="171" fillId="51" borderId="100" applyNumberFormat="0" applyProtection="0">
      <alignment horizontal="left" vertical="top" indent="1"/>
    </xf>
    <xf numFmtId="0" fontId="171" fillId="51" borderId="100" applyNumberFormat="0" applyProtection="0">
      <alignment horizontal="left" vertical="top" indent="1"/>
    </xf>
    <xf numFmtId="0" fontId="171" fillId="51" borderId="100" applyNumberFormat="0" applyProtection="0">
      <alignment horizontal="left" vertical="top" indent="1"/>
    </xf>
    <xf numFmtId="0" fontId="171" fillId="84" borderId="100" applyNumberFormat="0" applyProtection="0">
      <alignment horizontal="left" vertical="top" indent="1"/>
    </xf>
    <xf numFmtId="0" fontId="171" fillId="84" borderId="100" applyNumberFormat="0" applyProtection="0">
      <alignment horizontal="left" vertical="top" indent="1"/>
    </xf>
    <xf numFmtId="0" fontId="171" fillId="84" borderId="100" applyNumberFormat="0" applyProtection="0">
      <alignment horizontal="left" vertical="top" indent="1"/>
    </xf>
    <xf numFmtId="0" fontId="171" fillId="84" borderId="100" applyNumberFormat="0" applyProtection="0">
      <alignment horizontal="left" vertical="top" indent="1"/>
    </xf>
    <xf numFmtId="0" fontId="171" fillId="84" borderId="100" applyNumberFormat="0" applyProtection="0">
      <alignment horizontal="left" vertical="top" indent="1"/>
    </xf>
    <xf numFmtId="0" fontId="171" fillId="84" borderId="100" applyNumberFormat="0" applyProtection="0">
      <alignment horizontal="left" vertical="top" indent="1"/>
    </xf>
    <xf numFmtId="0" fontId="171" fillId="84" borderId="100" applyNumberFormat="0" applyProtection="0">
      <alignment horizontal="left" vertical="top" indent="1"/>
    </xf>
    <xf numFmtId="0" fontId="171" fillId="84" borderId="100" applyNumberFormat="0" applyProtection="0">
      <alignment horizontal="left" vertical="top" indent="1"/>
    </xf>
    <xf numFmtId="0" fontId="171" fillId="84" borderId="100" applyNumberFormat="0" applyProtection="0">
      <alignment horizontal="left" vertical="top" indent="1"/>
    </xf>
    <xf numFmtId="0" fontId="171" fillId="84" borderId="100" applyNumberFormat="0" applyProtection="0">
      <alignment horizontal="left" vertical="top" indent="1"/>
    </xf>
    <xf numFmtId="0" fontId="171" fillId="84" borderId="100" applyNumberFormat="0" applyProtection="0">
      <alignment horizontal="left" vertical="top" indent="1"/>
    </xf>
    <xf numFmtId="0" fontId="171" fillId="84" borderId="100" applyNumberFormat="0" applyProtection="0">
      <alignment horizontal="left" vertical="top" indent="1"/>
    </xf>
    <xf numFmtId="0" fontId="171" fillId="84" borderId="100" applyNumberFormat="0" applyProtection="0">
      <alignment horizontal="left" vertical="top" indent="1"/>
    </xf>
    <xf numFmtId="0" fontId="171" fillId="84" borderId="100" applyNumberFormat="0" applyProtection="0">
      <alignment horizontal="left" vertical="top" indent="1"/>
    </xf>
    <xf numFmtId="0" fontId="171" fillId="84" borderId="100" applyNumberFormat="0" applyProtection="0">
      <alignment horizontal="left" vertical="top" indent="1"/>
    </xf>
    <xf numFmtId="0" fontId="171" fillId="84" borderId="100" applyNumberFormat="0" applyProtection="0">
      <alignment horizontal="left" vertical="top" indent="1"/>
    </xf>
    <xf numFmtId="0" fontId="171" fillId="84" borderId="100" applyNumberFormat="0" applyProtection="0">
      <alignment horizontal="left" vertical="top" indent="1"/>
    </xf>
    <xf numFmtId="0" fontId="171" fillId="84" borderId="100" applyNumberFormat="0" applyProtection="0">
      <alignment horizontal="left" vertical="top" indent="1"/>
    </xf>
    <xf numFmtId="0" fontId="171" fillId="84" borderId="100" applyNumberFormat="0" applyProtection="0">
      <alignment horizontal="left" vertical="top" indent="1"/>
    </xf>
    <xf numFmtId="0" fontId="171" fillId="84" borderId="100" applyNumberFormat="0" applyProtection="0">
      <alignment horizontal="left" vertical="top" indent="1"/>
    </xf>
    <xf numFmtId="0" fontId="171" fillId="84" borderId="100" applyNumberFormat="0" applyProtection="0">
      <alignment horizontal="left" vertical="top" indent="1"/>
    </xf>
    <xf numFmtId="0" fontId="171" fillId="84" borderId="100" applyNumberFormat="0" applyProtection="0">
      <alignment horizontal="left" vertical="top" indent="1"/>
    </xf>
    <xf numFmtId="0" fontId="171" fillId="84" borderId="100" applyNumberFormat="0" applyProtection="0">
      <alignment horizontal="left" vertical="top" indent="1"/>
    </xf>
    <xf numFmtId="0" fontId="171" fillId="84" borderId="100" applyNumberFormat="0" applyProtection="0">
      <alignment horizontal="left" vertical="top" indent="1"/>
    </xf>
    <xf numFmtId="0" fontId="171" fillId="84" borderId="100" applyNumberFormat="0" applyProtection="0">
      <alignment horizontal="left" vertical="top" indent="1"/>
    </xf>
    <xf numFmtId="0" fontId="171" fillId="84" borderId="100" applyNumberFormat="0" applyProtection="0">
      <alignment horizontal="left" vertical="top" indent="1"/>
    </xf>
    <xf numFmtId="0" fontId="171" fillId="84" borderId="100" applyNumberFormat="0" applyProtection="0">
      <alignment horizontal="left" vertical="top" indent="1"/>
    </xf>
    <xf numFmtId="0" fontId="171" fillId="84" borderId="100" applyNumberFormat="0" applyProtection="0">
      <alignment horizontal="left" vertical="top" indent="1"/>
    </xf>
    <xf numFmtId="0" fontId="171" fillId="84" borderId="100" applyNumberFormat="0" applyProtection="0">
      <alignment horizontal="left" vertical="top" indent="1"/>
    </xf>
    <xf numFmtId="0" fontId="171" fillId="84" borderId="100" applyNumberFormat="0" applyProtection="0">
      <alignment horizontal="left" vertical="top" indent="1"/>
    </xf>
    <xf numFmtId="0" fontId="171" fillId="84" borderId="100" applyNumberFormat="0" applyProtection="0">
      <alignment horizontal="left" vertical="top" indent="1"/>
    </xf>
    <xf numFmtId="0" fontId="171" fillId="84" borderId="100" applyNumberFormat="0" applyProtection="0">
      <alignment horizontal="left" vertical="top" indent="1"/>
    </xf>
    <xf numFmtId="0" fontId="171" fillId="84" borderId="100" applyNumberFormat="0" applyProtection="0">
      <alignment horizontal="left" vertical="top" indent="1"/>
    </xf>
    <xf numFmtId="0" fontId="171" fillId="84" borderId="100" applyNumberFormat="0" applyProtection="0">
      <alignment horizontal="left" vertical="top" indent="1"/>
    </xf>
    <xf numFmtId="0" fontId="171" fillId="84" borderId="100" applyNumberFormat="0" applyProtection="0">
      <alignment horizontal="left" vertical="top" indent="1"/>
    </xf>
    <xf numFmtId="0" fontId="171" fillId="84" borderId="100" applyNumberFormat="0" applyProtection="0">
      <alignment horizontal="left" vertical="top" indent="1"/>
    </xf>
    <xf numFmtId="0" fontId="171" fillId="84" borderId="100" applyNumberFormat="0" applyProtection="0">
      <alignment horizontal="left" vertical="top" indent="1"/>
    </xf>
    <xf numFmtId="0" fontId="171" fillId="84" borderId="100" applyNumberFormat="0" applyProtection="0">
      <alignment horizontal="left" vertical="top" indent="1"/>
    </xf>
    <xf numFmtId="0" fontId="171" fillId="84" borderId="100" applyNumberFormat="0" applyProtection="0">
      <alignment horizontal="left" vertical="top" indent="1"/>
    </xf>
    <xf numFmtId="0" fontId="171" fillId="84" borderId="100" applyNumberFormat="0" applyProtection="0">
      <alignment horizontal="left" vertical="top" indent="1"/>
    </xf>
    <xf numFmtId="0" fontId="171" fillId="84" borderId="100" applyNumberFormat="0" applyProtection="0">
      <alignment horizontal="left" vertical="top" indent="1"/>
    </xf>
    <xf numFmtId="0" fontId="171" fillId="84" borderId="100" applyNumberFormat="0" applyProtection="0">
      <alignment horizontal="left" vertical="top" indent="1"/>
    </xf>
    <xf numFmtId="0" fontId="171" fillId="84" borderId="100" applyNumberFormat="0" applyProtection="0">
      <alignment horizontal="left" vertical="top" indent="1"/>
    </xf>
    <xf numFmtId="0" fontId="171" fillId="84" borderId="100" applyNumberFormat="0" applyProtection="0">
      <alignment horizontal="left" vertical="top" indent="1"/>
    </xf>
    <xf numFmtId="0" fontId="171" fillId="84" borderId="100" applyNumberFormat="0" applyProtection="0">
      <alignment horizontal="left" vertical="top" indent="1"/>
    </xf>
    <xf numFmtId="0" fontId="171" fillId="84" borderId="100" applyNumberFormat="0" applyProtection="0">
      <alignment horizontal="left" vertical="top" indent="1"/>
    </xf>
    <xf numFmtId="0" fontId="171" fillId="84" borderId="100" applyNumberFormat="0" applyProtection="0">
      <alignment horizontal="left" vertical="top" indent="1"/>
    </xf>
    <xf numFmtId="0" fontId="171" fillId="84" borderId="100" applyNumberFormat="0" applyProtection="0">
      <alignment horizontal="left" vertical="top" indent="1"/>
    </xf>
    <xf numFmtId="0" fontId="171" fillId="84" borderId="100" applyNumberFormat="0" applyProtection="0">
      <alignment horizontal="left" vertical="top" indent="1"/>
    </xf>
    <xf numFmtId="0" fontId="171" fillId="84" borderId="100" applyNumberFormat="0" applyProtection="0">
      <alignment horizontal="left" vertical="top" indent="1"/>
    </xf>
    <xf numFmtId="0" fontId="171" fillId="84" borderId="100" applyNumberFormat="0" applyProtection="0">
      <alignment horizontal="left" vertical="top" indent="1"/>
    </xf>
    <xf numFmtId="4" fontId="485" fillId="15" borderId="99" applyNumberFormat="0" applyProtection="0">
      <alignment vertical="center"/>
    </xf>
    <xf numFmtId="4" fontId="171" fillId="102" borderId="100" applyNumberFormat="0" applyProtection="0">
      <alignment horizontal="right" vertical="center"/>
    </xf>
    <xf numFmtId="4" fontId="171" fillId="102" borderId="100" applyNumberFormat="0" applyProtection="0">
      <alignment horizontal="right" vertical="center"/>
    </xf>
    <xf numFmtId="4" fontId="171" fillId="102" borderId="100" applyNumberFormat="0" applyProtection="0">
      <alignment horizontal="right" vertical="center"/>
    </xf>
    <xf numFmtId="4" fontId="171" fillId="102" borderId="100" applyNumberFormat="0" applyProtection="0">
      <alignment horizontal="right" vertical="center"/>
    </xf>
    <xf numFmtId="4" fontId="171" fillId="102" borderId="100" applyNumberFormat="0" applyProtection="0">
      <alignment horizontal="right" vertical="center"/>
    </xf>
    <xf numFmtId="4" fontId="171" fillId="102" borderId="100" applyNumberFormat="0" applyProtection="0">
      <alignment horizontal="right" vertical="center"/>
    </xf>
    <xf numFmtId="4" fontId="171" fillId="102" borderId="100" applyNumberFormat="0" applyProtection="0">
      <alignment horizontal="right" vertical="center"/>
    </xf>
    <xf numFmtId="4" fontId="171" fillId="102" borderId="100" applyNumberFormat="0" applyProtection="0">
      <alignment horizontal="right" vertical="center"/>
    </xf>
    <xf numFmtId="4" fontId="171" fillId="102" borderId="100" applyNumberFormat="0" applyProtection="0">
      <alignment horizontal="right" vertical="center"/>
    </xf>
    <xf numFmtId="4" fontId="171" fillId="102" borderId="100" applyNumberFormat="0" applyProtection="0">
      <alignment horizontal="right" vertical="center"/>
    </xf>
    <xf numFmtId="4" fontId="171" fillId="102" borderId="100" applyNumberFormat="0" applyProtection="0">
      <alignment horizontal="right" vertical="center"/>
    </xf>
    <xf numFmtId="4" fontId="171" fillId="102" borderId="100" applyNumberFormat="0" applyProtection="0">
      <alignment horizontal="right" vertical="center"/>
    </xf>
    <xf numFmtId="4" fontId="171" fillId="102" borderId="100" applyNumberFormat="0" applyProtection="0">
      <alignment horizontal="right" vertical="center"/>
    </xf>
    <xf numFmtId="4" fontId="171" fillId="102" borderId="100" applyNumberFormat="0" applyProtection="0">
      <alignment horizontal="right" vertical="center"/>
    </xf>
    <xf numFmtId="4" fontId="171" fillId="102" borderId="100" applyNumberFormat="0" applyProtection="0">
      <alignment horizontal="right" vertical="center"/>
    </xf>
    <xf numFmtId="4" fontId="171" fillId="102" borderId="100" applyNumberFormat="0" applyProtection="0">
      <alignment horizontal="right" vertical="center"/>
    </xf>
    <xf numFmtId="4" fontId="171" fillId="102" borderId="100" applyNumberFormat="0" applyProtection="0">
      <alignment horizontal="right" vertical="center"/>
    </xf>
    <xf numFmtId="4" fontId="171" fillId="102" borderId="100" applyNumberFormat="0" applyProtection="0">
      <alignment horizontal="right" vertical="center"/>
    </xf>
    <xf numFmtId="4" fontId="171" fillId="102" borderId="100" applyNumberFormat="0" applyProtection="0">
      <alignment horizontal="right" vertical="center"/>
    </xf>
    <xf numFmtId="4" fontId="171" fillId="102" borderId="100" applyNumberFormat="0" applyProtection="0">
      <alignment horizontal="right" vertical="center"/>
    </xf>
    <xf numFmtId="4" fontId="171" fillId="102" borderId="100" applyNumberFormat="0" applyProtection="0">
      <alignment horizontal="right" vertical="center"/>
    </xf>
    <xf numFmtId="4" fontId="171" fillId="102" borderId="100" applyNumberFormat="0" applyProtection="0">
      <alignment horizontal="right" vertical="center"/>
    </xf>
    <xf numFmtId="4" fontId="171" fillId="102" borderId="100" applyNumberFormat="0" applyProtection="0">
      <alignment horizontal="right" vertical="center"/>
    </xf>
    <xf numFmtId="4" fontId="171" fillId="102" borderId="100" applyNumberFormat="0" applyProtection="0">
      <alignment horizontal="right" vertical="center"/>
    </xf>
    <xf numFmtId="4" fontId="171" fillId="102" borderId="100" applyNumberFormat="0" applyProtection="0">
      <alignment horizontal="right" vertical="center"/>
    </xf>
    <xf numFmtId="4" fontId="171" fillId="102" borderId="100" applyNumberFormat="0" applyProtection="0">
      <alignment horizontal="right" vertical="center"/>
    </xf>
    <xf numFmtId="4" fontId="171" fillId="102" borderId="100" applyNumberFormat="0" applyProtection="0">
      <alignment horizontal="right" vertical="center"/>
    </xf>
    <xf numFmtId="4" fontId="171" fillId="102" borderId="100" applyNumberFormat="0" applyProtection="0">
      <alignment horizontal="right" vertical="center"/>
    </xf>
    <xf numFmtId="4" fontId="171" fillId="102" borderId="100" applyNumberFormat="0" applyProtection="0">
      <alignment horizontal="right" vertical="center"/>
    </xf>
    <xf numFmtId="4" fontId="171" fillId="102" borderId="100" applyNumberFormat="0" applyProtection="0">
      <alignment horizontal="right" vertical="center"/>
    </xf>
    <xf numFmtId="4" fontId="171" fillId="102" borderId="100" applyNumberFormat="0" applyProtection="0">
      <alignment horizontal="right" vertical="center"/>
    </xf>
    <xf numFmtId="4" fontId="171" fillId="102" borderId="100" applyNumberFormat="0" applyProtection="0">
      <alignment horizontal="right" vertical="center"/>
    </xf>
    <xf numFmtId="4" fontId="171" fillId="102" borderId="100" applyNumberFormat="0" applyProtection="0">
      <alignment horizontal="right" vertical="center"/>
    </xf>
    <xf numFmtId="4" fontId="171" fillId="102" borderId="100" applyNumberFormat="0" applyProtection="0">
      <alignment horizontal="right" vertical="center"/>
    </xf>
    <xf numFmtId="4" fontId="171" fillId="102" borderId="100" applyNumberFormat="0" applyProtection="0">
      <alignment horizontal="right" vertical="center"/>
    </xf>
    <xf numFmtId="4" fontId="171" fillId="102" borderId="100" applyNumberFormat="0" applyProtection="0">
      <alignment horizontal="right" vertical="center"/>
    </xf>
    <xf numFmtId="4" fontId="171" fillId="102" borderId="100" applyNumberFormat="0" applyProtection="0">
      <alignment horizontal="right" vertical="center"/>
    </xf>
    <xf numFmtId="4" fontId="171" fillId="102" borderId="100" applyNumberFormat="0" applyProtection="0">
      <alignment horizontal="right" vertical="center"/>
    </xf>
    <xf numFmtId="4" fontId="171" fillId="102" borderId="100" applyNumberFormat="0" applyProtection="0">
      <alignment horizontal="right" vertical="center"/>
    </xf>
    <xf numFmtId="4" fontId="171" fillId="102" borderId="100" applyNumberFormat="0" applyProtection="0">
      <alignment horizontal="right" vertical="center"/>
    </xf>
    <xf numFmtId="4" fontId="171" fillId="102" borderId="100" applyNumberFormat="0" applyProtection="0">
      <alignment horizontal="right" vertical="center"/>
    </xf>
    <xf numFmtId="4" fontId="171" fillId="102" borderId="100" applyNumberFormat="0" applyProtection="0">
      <alignment horizontal="right" vertical="center"/>
    </xf>
    <xf numFmtId="4" fontId="171" fillId="102" borderId="100" applyNumberFormat="0" applyProtection="0">
      <alignment horizontal="right" vertical="center"/>
    </xf>
    <xf numFmtId="4" fontId="171" fillId="102" borderId="100" applyNumberFormat="0" applyProtection="0">
      <alignment horizontal="right" vertical="center"/>
    </xf>
    <xf numFmtId="4" fontId="171" fillId="102" borderId="100" applyNumberFormat="0" applyProtection="0">
      <alignment horizontal="right" vertical="center"/>
    </xf>
    <xf numFmtId="4" fontId="171" fillId="102" borderId="100" applyNumberFormat="0" applyProtection="0">
      <alignment horizontal="right" vertical="center"/>
    </xf>
    <xf numFmtId="4" fontId="171" fillId="102" borderId="100" applyNumberFormat="0" applyProtection="0">
      <alignment horizontal="right" vertical="center"/>
    </xf>
    <xf numFmtId="4" fontId="171" fillId="102" borderId="100" applyNumberFormat="0" applyProtection="0">
      <alignment horizontal="right" vertical="center"/>
    </xf>
    <xf numFmtId="4" fontId="171" fillId="102" borderId="100" applyNumberFormat="0" applyProtection="0">
      <alignment horizontal="right" vertical="center"/>
    </xf>
    <xf numFmtId="4" fontId="171" fillId="102" borderId="100" applyNumberFormat="0" applyProtection="0">
      <alignment horizontal="right" vertical="center"/>
    </xf>
    <xf numFmtId="4" fontId="171" fillId="102" borderId="100" applyNumberFormat="0" applyProtection="0">
      <alignment horizontal="right" vertical="center"/>
    </xf>
    <xf numFmtId="4" fontId="171" fillId="102" borderId="100" applyNumberFormat="0" applyProtection="0">
      <alignment horizontal="right" vertical="center"/>
    </xf>
    <xf numFmtId="4" fontId="171" fillId="102" borderId="100" applyNumberFormat="0" applyProtection="0">
      <alignment horizontal="right" vertical="center"/>
    </xf>
    <xf numFmtId="4" fontId="171" fillId="102" borderId="100" applyNumberFormat="0" applyProtection="0">
      <alignment horizontal="right" vertical="center"/>
    </xf>
    <xf numFmtId="4" fontId="171" fillId="102" borderId="100" applyNumberFormat="0" applyProtection="0">
      <alignment horizontal="right" vertical="center"/>
    </xf>
    <xf numFmtId="4" fontId="171" fillId="102" borderId="100" applyNumberFormat="0" applyProtection="0">
      <alignment horizontal="right" vertical="center"/>
    </xf>
    <xf numFmtId="4" fontId="171" fillId="102" borderId="100" applyNumberFormat="0" applyProtection="0">
      <alignment horizontal="right" vertical="center"/>
    </xf>
    <xf numFmtId="4" fontId="171" fillId="102" borderId="100" applyNumberFormat="0" applyProtection="0">
      <alignment horizontal="right" vertical="center"/>
    </xf>
    <xf numFmtId="4" fontId="171" fillId="102" borderId="100" applyNumberFormat="0" applyProtection="0">
      <alignment horizontal="right" vertical="center"/>
    </xf>
    <xf numFmtId="4" fontId="171" fillId="102" borderId="100" applyNumberFormat="0" applyProtection="0">
      <alignment horizontal="right" vertical="center"/>
    </xf>
    <xf numFmtId="4" fontId="171" fillId="102" borderId="100" applyNumberFormat="0" applyProtection="0">
      <alignment horizontal="right" vertical="center"/>
    </xf>
    <xf numFmtId="4" fontId="171" fillId="102" borderId="100" applyNumberFormat="0" applyProtection="0">
      <alignment horizontal="right" vertical="center"/>
    </xf>
    <xf numFmtId="4" fontId="171" fillId="102" borderId="100" applyNumberFormat="0" applyProtection="0">
      <alignment horizontal="right" vertical="center"/>
    </xf>
    <xf numFmtId="4" fontId="171" fillId="102" borderId="100" applyNumberFormat="0" applyProtection="0">
      <alignment horizontal="right" vertical="center"/>
    </xf>
    <xf numFmtId="4" fontId="171" fillId="102" borderId="100" applyNumberFormat="0" applyProtection="0">
      <alignment horizontal="right" vertical="center"/>
    </xf>
    <xf numFmtId="4" fontId="171" fillId="102" borderId="100" applyNumberFormat="0" applyProtection="0">
      <alignment horizontal="right" vertical="center"/>
    </xf>
    <xf numFmtId="4" fontId="171" fillId="102" borderId="100" applyNumberFormat="0" applyProtection="0">
      <alignment horizontal="right" vertical="center"/>
    </xf>
    <xf numFmtId="4" fontId="171" fillId="102" borderId="100" applyNumberFormat="0" applyProtection="0">
      <alignment horizontal="right" vertical="center"/>
    </xf>
    <xf numFmtId="4" fontId="171" fillId="102" borderId="100" applyNumberFormat="0" applyProtection="0">
      <alignment horizontal="right" vertical="center"/>
    </xf>
    <xf numFmtId="4" fontId="171" fillId="102" borderId="100" applyNumberFormat="0" applyProtection="0">
      <alignment horizontal="right" vertical="center"/>
    </xf>
    <xf numFmtId="4" fontId="171" fillId="102" borderId="100" applyNumberFormat="0" applyProtection="0">
      <alignment horizontal="right" vertical="center"/>
    </xf>
    <xf numFmtId="4" fontId="171" fillId="102" borderId="100" applyNumberFormat="0" applyProtection="0">
      <alignment horizontal="right" vertical="center"/>
    </xf>
    <xf numFmtId="4" fontId="171" fillId="102" borderId="100" applyNumberFormat="0" applyProtection="0">
      <alignment horizontal="right" vertical="center"/>
    </xf>
    <xf numFmtId="4" fontId="171" fillId="102" borderId="100" applyNumberFormat="0" applyProtection="0">
      <alignment horizontal="right" vertical="center"/>
    </xf>
    <xf numFmtId="4" fontId="171" fillId="102" borderId="100" applyNumberFormat="0" applyProtection="0">
      <alignment horizontal="right" vertical="center"/>
    </xf>
    <xf numFmtId="4" fontId="171" fillId="102" borderId="100" applyNumberFormat="0" applyProtection="0">
      <alignment horizontal="right" vertical="center"/>
    </xf>
    <xf numFmtId="4" fontId="171" fillId="102" borderId="100" applyNumberFormat="0" applyProtection="0">
      <alignment horizontal="right" vertical="center"/>
    </xf>
    <xf numFmtId="4" fontId="171" fillId="102" borderId="100" applyNumberFormat="0" applyProtection="0">
      <alignment horizontal="right" vertical="center"/>
    </xf>
    <xf numFmtId="4" fontId="171" fillId="102" borderId="100" applyNumberFormat="0" applyProtection="0">
      <alignment horizontal="right" vertical="center"/>
    </xf>
    <xf numFmtId="4" fontId="171" fillId="102" borderId="100" applyNumberFormat="0" applyProtection="0">
      <alignment horizontal="right" vertical="center"/>
    </xf>
    <xf numFmtId="4" fontId="171" fillId="102" borderId="100" applyNumberFormat="0" applyProtection="0">
      <alignment horizontal="right" vertical="center"/>
    </xf>
    <xf numFmtId="4" fontId="171" fillId="102" borderId="100" applyNumberFormat="0" applyProtection="0">
      <alignment horizontal="right" vertical="center"/>
    </xf>
    <xf numFmtId="4" fontId="171" fillId="102" borderId="100" applyNumberFormat="0" applyProtection="0">
      <alignment horizontal="right" vertical="center"/>
    </xf>
    <xf numFmtId="4" fontId="171" fillId="102" borderId="100" applyNumberFormat="0" applyProtection="0">
      <alignment horizontal="right" vertical="center"/>
    </xf>
    <xf numFmtId="4" fontId="171" fillId="102" borderId="100" applyNumberFormat="0" applyProtection="0">
      <alignment horizontal="right" vertical="center"/>
    </xf>
    <xf numFmtId="4" fontId="171" fillId="102" borderId="100" applyNumberFormat="0" applyProtection="0">
      <alignment horizontal="right" vertical="center"/>
    </xf>
    <xf numFmtId="4" fontId="171" fillId="102" borderId="100" applyNumberFormat="0" applyProtection="0">
      <alignment horizontal="right" vertical="center"/>
    </xf>
    <xf numFmtId="4" fontId="171" fillId="102" borderId="100" applyNumberFormat="0" applyProtection="0">
      <alignment horizontal="right" vertical="center"/>
    </xf>
    <xf numFmtId="4" fontId="171" fillId="102" borderId="100" applyNumberFormat="0" applyProtection="0">
      <alignment horizontal="right" vertical="center"/>
    </xf>
    <xf numFmtId="4" fontId="485" fillId="15" borderId="99" applyNumberFormat="0" applyProtection="0">
      <alignment vertical="center"/>
    </xf>
    <xf numFmtId="4" fontId="485" fillId="15" borderId="99" applyNumberFormat="0" applyProtection="0">
      <alignment vertical="center"/>
    </xf>
    <xf numFmtId="4" fontId="171" fillId="102" borderId="100" applyNumberFormat="0" applyProtection="0">
      <alignment horizontal="right" vertical="center"/>
    </xf>
    <xf numFmtId="4" fontId="171" fillId="102" borderId="100" applyNumberFormat="0" applyProtection="0">
      <alignment horizontal="right" vertical="center"/>
    </xf>
    <xf numFmtId="4" fontId="171" fillId="102" borderId="100" applyNumberFormat="0" applyProtection="0">
      <alignment horizontal="right" vertical="center"/>
    </xf>
    <xf numFmtId="4" fontId="171" fillId="102" borderId="100" applyNumberFormat="0" applyProtection="0">
      <alignment horizontal="right" vertical="center"/>
    </xf>
    <xf numFmtId="4" fontId="171" fillId="102" borderId="100" applyNumberFormat="0" applyProtection="0">
      <alignment horizontal="right" vertical="center"/>
    </xf>
    <xf numFmtId="4" fontId="171" fillId="102" borderId="100" applyNumberFormat="0" applyProtection="0">
      <alignment horizontal="right" vertical="center"/>
    </xf>
    <xf numFmtId="4" fontId="171" fillId="102" borderId="100" applyNumberFormat="0" applyProtection="0">
      <alignment horizontal="right" vertical="center"/>
    </xf>
    <xf numFmtId="4" fontId="171" fillId="102" borderId="100" applyNumberFormat="0" applyProtection="0">
      <alignment horizontal="right" vertical="center"/>
    </xf>
    <xf numFmtId="4" fontId="171" fillId="102" borderId="100" applyNumberFormat="0" applyProtection="0">
      <alignment horizontal="right" vertical="center"/>
    </xf>
    <xf numFmtId="4" fontId="171" fillId="102" borderId="100" applyNumberFormat="0" applyProtection="0">
      <alignment horizontal="right" vertical="center"/>
    </xf>
    <xf numFmtId="4" fontId="171" fillId="102" borderId="100" applyNumberFormat="0" applyProtection="0">
      <alignment horizontal="right" vertical="center"/>
    </xf>
    <xf numFmtId="4" fontId="171" fillId="102" borderId="100" applyNumberFormat="0" applyProtection="0">
      <alignment horizontal="right" vertical="center"/>
    </xf>
    <xf numFmtId="4" fontId="171" fillId="102" borderId="100" applyNumberFormat="0" applyProtection="0">
      <alignment horizontal="right" vertical="center"/>
    </xf>
    <xf numFmtId="4" fontId="171" fillId="102" borderId="100" applyNumberFormat="0" applyProtection="0">
      <alignment horizontal="right" vertical="center"/>
    </xf>
    <xf numFmtId="4" fontId="171" fillId="102" borderId="100" applyNumberFormat="0" applyProtection="0">
      <alignment horizontal="right" vertical="center"/>
    </xf>
    <xf numFmtId="4" fontId="171" fillId="102" borderId="100" applyNumberFormat="0" applyProtection="0">
      <alignment horizontal="right" vertical="center"/>
    </xf>
    <xf numFmtId="4" fontId="171" fillId="102" borderId="100" applyNumberFormat="0" applyProtection="0">
      <alignment horizontal="right" vertical="center"/>
    </xf>
    <xf numFmtId="4" fontId="171" fillId="102" borderId="100" applyNumberFormat="0" applyProtection="0">
      <alignment horizontal="right" vertical="center"/>
    </xf>
    <xf numFmtId="4" fontId="486" fillId="15" borderId="99" applyNumberFormat="0" applyProtection="0">
      <alignment vertical="center"/>
    </xf>
    <xf numFmtId="4" fontId="484" fillId="102" borderId="100" applyNumberFormat="0" applyProtection="0">
      <alignment horizontal="right" vertical="center"/>
    </xf>
    <xf numFmtId="4" fontId="484" fillId="102" borderId="100" applyNumberFormat="0" applyProtection="0">
      <alignment horizontal="right" vertical="center"/>
    </xf>
    <xf numFmtId="4" fontId="484" fillId="102" borderId="100" applyNumberFormat="0" applyProtection="0">
      <alignment horizontal="right" vertical="center"/>
    </xf>
    <xf numFmtId="4" fontId="484" fillId="102" borderId="100" applyNumberFormat="0" applyProtection="0">
      <alignment horizontal="right" vertical="center"/>
    </xf>
    <xf numFmtId="4" fontId="484" fillId="102" borderId="100" applyNumberFormat="0" applyProtection="0">
      <alignment horizontal="right" vertical="center"/>
    </xf>
    <xf numFmtId="4" fontId="484" fillId="102" borderId="100" applyNumberFormat="0" applyProtection="0">
      <alignment horizontal="right" vertical="center"/>
    </xf>
    <xf numFmtId="4" fontId="484" fillId="102" borderId="100" applyNumberFormat="0" applyProtection="0">
      <alignment horizontal="right" vertical="center"/>
    </xf>
    <xf numFmtId="4" fontId="484" fillId="102" borderId="100" applyNumberFormat="0" applyProtection="0">
      <alignment horizontal="right" vertical="center"/>
    </xf>
    <xf numFmtId="4" fontId="484" fillId="102" borderId="100" applyNumberFormat="0" applyProtection="0">
      <alignment horizontal="right" vertical="center"/>
    </xf>
    <xf numFmtId="4" fontId="484" fillId="102" borderId="100" applyNumberFormat="0" applyProtection="0">
      <alignment horizontal="right" vertical="center"/>
    </xf>
    <xf numFmtId="4" fontId="484" fillId="102" borderId="100" applyNumberFormat="0" applyProtection="0">
      <alignment horizontal="right" vertical="center"/>
    </xf>
    <xf numFmtId="4" fontId="484" fillId="102" borderId="100" applyNumberFormat="0" applyProtection="0">
      <alignment horizontal="right" vertical="center"/>
    </xf>
    <xf numFmtId="4" fontId="484" fillId="102" borderId="100" applyNumberFormat="0" applyProtection="0">
      <alignment horizontal="right" vertical="center"/>
    </xf>
    <xf numFmtId="4" fontId="484" fillId="102" borderId="100" applyNumberFormat="0" applyProtection="0">
      <alignment horizontal="right" vertical="center"/>
    </xf>
    <xf numFmtId="4" fontId="484" fillId="102" borderId="100" applyNumberFormat="0" applyProtection="0">
      <alignment horizontal="right" vertical="center"/>
    </xf>
    <xf numFmtId="4" fontId="484" fillId="102" borderId="100" applyNumberFormat="0" applyProtection="0">
      <alignment horizontal="right" vertical="center"/>
    </xf>
    <xf numFmtId="4" fontId="484" fillId="102" borderId="100" applyNumberFormat="0" applyProtection="0">
      <alignment horizontal="right" vertical="center"/>
    </xf>
    <xf numFmtId="4" fontId="484" fillId="102" borderId="100" applyNumberFormat="0" applyProtection="0">
      <alignment horizontal="right" vertical="center"/>
    </xf>
    <xf numFmtId="4" fontId="484" fillId="102" borderId="100" applyNumberFormat="0" applyProtection="0">
      <alignment horizontal="right" vertical="center"/>
    </xf>
    <xf numFmtId="4" fontId="484" fillId="102" borderId="100" applyNumberFormat="0" applyProtection="0">
      <alignment horizontal="right" vertical="center"/>
    </xf>
    <xf numFmtId="4" fontId="484" fillId="102" borderId="100" applyNumberFormat="0" applyProtection="0">
      <alignment horizontal="right" vertical="center"/>
    </xf>
    <xf numFmtId="4" fontId="484" fillId="102" borderId="100" applyNumberFormat="0" applyProtection="0">
      <alignment horizontal="right" vertical="center"/>
    </xf>
    <xf numFmtId="4" fontId="484" fillId="102" borderId="100" applyNumberFormat="0" applyProtection="0">
      <alignment horizontal="right" vertical="center"/>
    </xf>
    <xf numFmtId="4" fontId="484" fillId="102" borderId="100" applyNumberFormat="0" applyProtection="0">
      <alignment horizontal="right" vertical="center"/>
    </xf>
    <xf numFmtId="4" fontId="484" fillId="102" borderId="100" applyNumberFormat="0" applyProtection="0">
      <alignment horizontal="right" vertical="center"/>
    </xf>
    <xf numFmtId="4" fontId="484" fillId="102" borderId="100" applyNumberFormat="0" applyProtection="0">
      <alignment horizontal="right" vertical="center"/>
    </xf>
    <xf numFmtId="4" fontId="484" fillId="102" borderId="100" applyNumberFormat="0" applyProtection="0">
      <alignment horizontal="right" vertical="center"/>
    </xf>
    <xf numFmtId="4" fontId="484" fillId="102" borderId="100" applyNumberFormat="0" applyProtection="0">
      <alignment horizontal="right" vertical="center"/>
    </xf>
    <xf numFmtId="4" fontId="484" fillId="102" borderId="100" applyNumberFormat="0" applyProtection="0">
      <alignment horizontal="right" vertical="center"/>
    </xf>
    <xf numFmtId="4" fontId="484" fillId="102" borderId="100" applyNumberFormat="0" applyProtection="0">
      <alignment horizontal="right" vertical="center"/>
    </xf>
    <xf numFmtId="4" fontId="484" fillId="102" borderId="100" applyNumberFormat="0" applyProtection="0">
      <alignment horizontal="right" vertical="center"/>
    </xf>
    <xf numFmtId="4" fontId="484" fillId="102" borderId="100" applyNumberFormat="0" applyProtection="0">
      <alignment horizontal="right" vertical="center"/>
    </xf>
    <xf numFmtId="4" fontId="484" fillId="102" borderId="100" applyNumberFormat="0" applyProtection="0">
      <alignment horizontal="right" vertical="center"/>
    </xf>
    <xf numFmtId="4" fontId="484" fillId="102" borderId="100" applyNumberFormat="0" applyProtection="0">
      <alignment horizontal="right" vertical="center"/>
    </xf>
    <xf numFmtId="4" fontId="484" fillId="102" borderId="100" applyNumberFormat="0" applyProtection="0">
      <alignment horizontal="right" vertical="center"/>
    </xf>
    <xf numFmtId="4" fontId="484" fillId="102" borderId="100" applyNumberFormat="0" applyProtection="0">
      <alignment horizontal="right" vertical="center"/>
    </xf>
    <xf numFmtId="4" fontId="484" fillId="102" borderId="100" applyNumberFormat="0" applyProtection="0">
      <alignment horizontal="right" vertical="center"/>
    </xf>
    <xf numFmtId="4" fontId="484" fillId="102" borderId="100" applyNumberFormat="0" applyProtection="0">
      <alignment horizontal="right" vertical="center"/>
    </xf>
    <xf numFmtId="4" fontId="484" fillId="102" borderId="100" applyNumberFormat="0" applyProtection="0">
      <alignment horizontal="right" vertical="center"/>
    </xf>
    <xf numFmtId="4" fontId="484" fillId="102" borderId="100" applyNumberFormat="0" applyProtection="0">
      <alignment horizontal="right" vertical="center"/>
    </xf>
    <xf numFmtId="4" fontId="484" fillId="102" borderId="100" applyNumberFormat="0" applyProtection="0">
      <alignment horizontal="right" vertical="center"/>
    </xf>
    <xf numFmtId="4" fontId="484" fillId="102" borderId="100" applyNumberFormat="0" applyProtection="0">
      <alignment horizontal="right" vertical="center"/>
    </xf>
    <xf numFmtId="4" fontId="484" fillId="102" borderId="100" applyNumberFormat="0" applyProtection="0">
      <alignment horizontal="right" vertical="center"/>
    </xf>
    <xf numFmtId="4" fontId="484" fillId="102" borderId="100" applyNumberFormat="0" applyProtection="0">
      <alignment horizontal="right" vertical="center"/>
    </xf>
    <xf numFmtId="4" fontId="484" fillId="102" borderId="100" applyNumberFormat="0" applyProtection="0">
      <alignment horizontal="right" vertical="center"/>
    </xf>
    <xf numFmtId="4" fontId="484" fillId="102" borderId="100" applyNumberFormat="0" applyProtection="0">
      <alignment horizontal="right" vertical="center"/>
    </xf>
    <xf numFmtId="4" fontId="484" fillId="102" borderId="100" applyNumberFormat="0" applyProtection="0">
      <alignment horizontal="right" vertical="center"/>
    </xf>
    <xf numFmtId="4" fontId="484" fillId="102" borderId="100" applyNumberFormat="0" applyProtection="0">
      <alignment horizontal="right" vertical="center"/>
    </xf>
    <xf numFmtId="4" fontId="484" fillId="102" borderId="100" applyNumberFormat="0" applyProtection="0">
      <alignment horizontal="right" vertical="center"/>
    </xf>
    <xf numFmtId="4" fontId="484" fillId="102" borderId="100" applyNumberFormat="0" applyProtection="0">
      <alignment horizontal="right" vertical="center"/>
    </xf>
    <xf numFmtId="4" fontId="484" fillId="102" borderId="100" applyNumberFormat="0" applyProtection="0">
      <alignment horizontal="right" vertical="center"/>
    </xf>
    <xf numFmtId="4" fontId="484" fillId="102" borderId="100" applyNumberFormat="0" applyProtection="0">
      <alignment horizontal="right" vertical="center"/>
    </xf>
    <xf numFmtId="4" fontId="484" fillId="102" borderId="100" applyNumberFormat="0" applyProtection="0">
      <alignment horizontal="right" vertical="center"/>
    </xf>
    <xf numFmtId="4" fontId="484" fillId="102" borderId="100" applyNumberFormat="0" applyProtection="0">
      <alignment horizontal="right" vertical="center"/>
    </xf>
    <xf numFmtId="4" fontId="484" fillId="102" borderId="100" applyNumberFormat="0" applyProtection="0">
      <alignment horizontal="right" vertical="center"/>
    </xf>
    <xf numFmtId="4" fontId="484" fillId="102" borderId="100" applyNumberFormat="0" applyProtection="0">
      <alignment horizontal="right" vertical="center"/>
    </xf>
    <xf numFmtId="4" fontId="484" fillId="102" borderId="100" applyNumberFormat="0" applyProtection="0">
      <alignment horizontal="right" vertical="center"/>
    </xf>
    <xf numFmtId="4" fontId="484" fillId="102" borderId="100" applyNumberFormat="0" applyProtection="0">
      <alignment horizontal="right" vertical="center"/>
    </xf>
    <xf numFmtId="4" fontId="484" fillId="102" borderId="100" applyNumberFormat="0" applyProtection="0">
      <alignment horizontal="right" vertical="center"/>
    </xf>
    <xf numFmtId="4" fontId="484" fillId="102" borderId="100" applyNumberFormat="0" applyProtection="0">
      <alignment horizontal="right" vertical="center"/>
    </xf>
    <xf numFmtId="4" fontId="484" fillId="102" borderId="100" applyNumberFormat="0" applyProtection="0">
      <alignment horizontal="right" vertical="center"/>
    </xf>
    <xf numFmtId="4" fontId="484" fillId="102" borderId="100" applyNumberFormat="0" applyProtection="0">
      <alignment horizontal="right" vertical="center"/>
    </xf>
    <xf numFmtId="4" fontId="484" fillId="102" borderId="100" applyNumberFormat="0" applyProtection="0">
      <alignment horizontal="right" vertical="center"/>
    </xf>
    <xf numFmtId="4" fontId="484" fillId="102" borderId="100" applyNumberFormat="0" applyProtection="0">
      <alignment horizontal="right" vertical="center"/>
    </xf>
    <xf numFmtId="4" fontId="484" fillId="102" borderId="100" applyNumberFormat="0" applyProtection="0">
      <alignment horizontal="right" vertical="center"/>
    </xf>
    <xf numFmtId="4" fontId="484" fillId="102" borderId="100" applyNumberFormat="0" applyProtection="0">
      <alignment horizontal="right" vertical="center"/>
    </xf>
    <xf numFmtId="4" fontId="484" fillId="102" borderId="100" applyNumberFormat="0" applyProtection="0">
      <alignment horizontal="right" vertical="center"/>
    </xf>
    <xf numFmtId="4" fontId="484" fillId="102" borderId="100" applyNumberFormat="0" applyProtection="0">
      <alignment horizontal="right" vertical="center"/>
    </xf>
    <xf numFmtId="4" fontId="484" fillId="102" borderId="100" applyNumberFormat="0" applyProtection="0">
      <alignment horizontal="right" vertical="center"/>
    </xf>
    <xf numFmtId="4" fontId="484" fillId="102" borderId="100" applyNumberFormat="0" applyProtection="0">
      <alignment horizontal="right" vertical="center"/>
    </xf>
    <xf numFmtId="4" fontId="484" fillId="102" borderId="100" applyNumberFormat="0" applyProtection="0">
      <alignment horizontal="right" vertical="center"/>
    </xf>
    <xf numFmtId="4" fontId="484" fillId="102" borderId="100" applyNumberFormat="0" applyProtection="0">
      <alignment horizontal="right" vertical="center"/>
    </xf>
    <xf numFmtId="4" fontId="484" fillId="102" borderId="100" applyNumberFormat="0" applyProtection="0">
      <alignment horizontal="right" vertical="center"/>
    </xf>
    <xf numFmtId="4" fontId="484" fillId="102" borderId="100" applyNumberFormat="0" applyProtection="0">
      <alignment horizontal="right" vertical="center"/>
    </xf>
    <xf numFmtId="4" fontId="484" fillId="102" borderId="100" applyNumberFormat="0" applyProtection="0">
      <alignment horizontal="right" vertical="center"/>
    </xf>
    <xf numFmtId="4" fontId="484" fillId="102" borderId="100" applyNumberFormat="0" applyProtection="0">
      <alignment horizontal="right" vertical="center"/>
    </xf>
    <xf numFmtId="4" fontId="484" fillId="102" borderId="100" applyNumberFormat="0" applyProtection="0">
      <alignment horizontal="right" vertical="center"/>
    </xf>
    <xf numFmtId="4" fontId="484" fillId="102" borderId="100" applyNumberFormat="0" applyProtection="0">
      <alignment horizontal="right" vertical="center"/>
    </xf>
    <xf numFmtId="4" fontId="484" fillId="102" borderId="100" applyNumberFormat="0" applyProtection="0">
      <alignment horizontal="right" vertical="center"/>
    </xf>
    <xf numFmtId="4" fontId="484" fillId="102" borderId="100" applyNumberFormat="0" applyProtection="0">
      <alignment horizontal="right" vertical="center"/>
    </xf>
    <xf numFmtId="4" fontId="484" fillId="102" borderId="100" applyNumberFormat="0" applyProtection="0">
      <alignment horizontal="right" vertical="center"/>
    </xf>
    <xf numFmtId="4" fontId="484" fillId="102" borderId="100" applyNumberFormat="0" applyProtection="0">
      <alignment horizontal="right" vertical="center"/>
    </xf>
    <xf numFmtId="4" fontId="484" fillId="102" borderId="100" applyNumberFormat="0" applyProtection="0">
      <alignment horizontal="right" vertical="center"/>
    </xf>
    <xf numFmtId="4" fontId="484" fillId="102" borderId="100" applyNumberFormat="0" applyProtection="0">
      <alignment horizontal="right" vertical="center"/>
    </xf>
    <xf numFmtId="4" fontId="484" fillId="102" borderId="100" applyNumberFormat="0" applyProtection="0">
      <alignment horizontal="right" vertical="center"/>
    </xf>
    <xf numFmtId="4" fontId="484" fillId="102" borderId="100" applyNumberFormat="0" applyProtection="0">
      <alignment horizontal="right" vertical="center"/>
    </xf>
    <xf numFmtId="4" fontId="484" fillId="102" borderId="100" applyNumberFormat="0" applyProtection="0">
      <alignment horizontal="right" vertical="center"/>
    </xf>
    <xf numFmtId="4" fontId="484" fillId="102" borderId="100" applyNumberFormat="0" applyProtection="0">
      <alignment horizontal="right" vertical="center"/>
    </xf>
    <xf numFmtId="4" fontId="484" fillId="102" borderId="100" applyNumberFormat="0" applyProtection="0">
      <alignment horizontal="right" vertical="center"/>
    </xf>
    <xf numFmtId="4" fontId="486" fillId="15" borderId="99" applyNumberFormat="0" applyProtection="0">
      <alignment vertical="center"/>
    </xf>
    <xf numFmtId="4" fontId="486" fillId="15" borderId="99" applyNumberFormat="0" applyProtection="0">
      <alignment vertical="center"/>
    </xf>
    <xf numFmtId="4" fontId="484" fillId="102" borderId="100" applyNumberFormat="0" applyProtection="0">
      <alignment horizontal="right" vertical="center"/>
    </xf>
    <xf numFmtId="4" fontId="484" fillId="102" borderId="100" applyNumberFormat="0" applyProtection="0">
      <alignment horizontal="right" vertical="center"/>
    </xf>
    <xf numFmtId="4" fontId="484" fillId="102" borderId="100" applyNumberFormat="0" applyProtection="0">
      <alignment horizontal="right" vertical="center"/>
    </xf>
    <xf numFmtId="4" fontId="484" fillId="102" borderId="100" applyNumberFormat="0" applyProtection="0">
      <alignment horizontal="right" vertical="center"/>
    </xf>
    <xf numFmtId="4" fontId="484" fillId="102" borderId="100" applyNumberFormat="0" applyProtection="0">
      <alignment horizontal="right" vertical="center"/>
    </xf>
    <xf numFmtId="4" fontId="484" fillId="102" borderId="100" applyNumberFormat="0" applyProtection="0">
      <alignment horizontal="right" vertical="center"/>
    </xf>
    <xf numFmtId="4" fontId="484" fillId="102" borderId="100" applyNumberFormat="0" applyProtection="0">
      <alignment horizontal="right" vertical="center"/>
    </xf>
    <xf numFmtId="4" fontId="484" fillId="102" borderId="100" applyNumberFormat="0" applyProtection="0">
      <alignment horizontal="right" vertical="center"/>
    </xf>
    <xf numFmtId="4" fontId="484" fillId="102" borderId="100" applyNumberFormat="0" applyProtection="0">
      <alignment horizontal="right" vertical="center"/>
    </xf>
    <xf numFmtId="4" fontId="484" fillId="102" borderId="100" applyNumberFormat="0" applyProtection="0">
      <alignment horizontal="right" vertical="center"/>
    </xf>
    <xf numFmtId="4" fontId="484" fillId="102" borderId="100" applyNumberFormat="0" applyProtection="0">
      <alignment horizontal="right" vertical="center"/>
    </xf>
    <xf numFmtId="4" fontId="484" fillId="102" borderId="100" applyNumberFormat="0" applyProtection="0">
      <alignment horizontal="right" vertical="center"/>
    </xf>
    <xf numFmtId="4" fontId="484" fillId="102" borderId="100" applyNumberFormat="0" applyProtection="0">
      <alignment horizontal="right" vertical="center"/>
    </xf>
    <xf numFmtId="4" fontId="484" fillId="102" borderId="100" applyNumberFormat="0" applyProtection="0">
      <alignment horizontal="right" vertical="center"/>
    </xf>
    <xf numFmtId="4" fontId="484" fillId="102" borderId="100" applyNumberFormat="0" applyProtection="0">
      <alignment horizontal="right" vertical="center"/>
    </xf>
    <xf numFmtId="4" fontId="484" fillId="102" borderId="100" applyNumberFormat="0" applyProtection="0">
      <alignment horizontal="right" vertical="center"/>
    </xf>
    <xf numFmtId="4" fontId="484" fillId="102" borderId="100" applyNumberFormat="0" applyProtection="0">
      <alignment horizontal="right" vertical="center"/>
    </xf>
    <xf numFmtId="4" fontId="484" fillId="102" borderId="100" applyNumberFormat="0" applyProtection="0">
      <alignment horizontal="right" vertical="center"/>
    </xf>
    <xf numFmtId="4" fontId="487" fillId="80" borderId="101" applyNumberFormat="0" applyProtection="0">
      <alignment horizontal="left" vertical="center" indent="1"/>
    </xf>
    <xf numFmtId="4" fontId="171" fillId="95" borderId="100" applyNumberFormat="0" applyProtection="0">
      <alignment horizontal="left" vertical="center" indent="1"/>
    </xf>
    <xf numFmtId="4" fontId="171" fillId="95" borderId="100" applyNumberFormat="0" applyProtection="0">
      <alignment horizontal="left" vertical="center" indent="1"/>
    </xf>
    <xf numFmtId="4" fontId="171" fillId="95" borderId="100" applyNumberFormat="0" applyProtection="0">
      <alignment horizontal="left" vertical="center" indent="1"/>
    </xf>
    <xf numFmtId="4" fontId="171" fillId="95" borderId="100" applyNumberFormat="0" applyProtection="0">
      <alignment horizontal="left" vertical="center" indent="1"/>
    </xf>
    <xf numFmtId="4" fontId="171" fillId="95" borderId="100" applyNumberFormat="0" applyProtection="0">
      <alignment horizontal="left" vertical="center" indent="1"/>
    </xf>
    <xf numFmtId="4" fontId="171" fillId="95" borderId="100" applyNumberFormat="0" applyProtection="0">
      <alignment horizontal="left" vertical="center" indent="1"/>
    </xf>
    <xf numFmtId="4" fontId="171" fillId="95" borderId="100" applyNumberFormat="0" applyProtection="0">
      <alignment horizontal="left" vertical="center" indent="1"/>
    </xf>
    <xf numFmtId="4" fontId="171" fillId="95" borderId="100" applyNumberFormat="0" applyProtection="0">
      <alignment horizontal="left" vertical="center" indent="1"/>
    </xf>
    <xf numFmtId="4" fontId="171" fillId="95" borderId="100" applyNumberFormat="0" applyProtection="0">
      <alignment horizontal="left" vertical="center" indent="1"/>
    </xf>
    <xf numFmtId="4" fontId="171" fillId="95" borderId="100" applyNumberFormat="0" applyProtection="0">
      <alignment horizontal="left" vertical="center" indent="1"/>
    </xf>
    <xf numFmtId="4" fontId="171" fillId="95" borderId="100" applyNumberFormat="0" applyProtection="0">
      <alignment horizontal="left" vertical="center" indent="1"/>
    </xf>
    <xf numFmtId="4" fontId="171" fillId="95" borderId="100" applyNumberFormat="0" applyProtection="0">
      <alignment horizontal="left" vertical="center" indent="1"/>
    </xf>
    <xf numFmtId="4" fontId="171" fillId="95" borderId="100" applyNumberFormat="0" applyProtection="0">
      <alignment horizontal="left" vertical="center" indent="1"/>
    </xf>
    <xf numFmtId="4" fontId="171" fillId="95" borderId="100" applyNumberFormat="0" applyProtection="0">
      <alignment horizontal="left" vertical="center" indent="1"/>
    </xf>
    <xf numFmtId="4" fontId="171" fillId="95" borderId="100" applyNumberFormat="0" applyProtection="0">
      <alignment horizontal="left" vertical="center" indent="1"/>
    </xf>
    <xf numFmtId="4" fontId="171" fillId="95" borderId="100" applyNumberFormat="0" applyProtection="0">
      <alignment horizontal="left" vertical="center" indent="1"/>
    </xf>
    <xf numFmtId="4" fontId="171" fillId="95" borderId="100" applyNumberFormat="0" applyProtection="0">
      <alignment horizontal="left" vertical="center" indent="1"/>
    </xf>
    <xf numFmtId="4" fontId="171" fillId="95" borderId="100" applyNumberFormat="0" applyProtection="0">
      <alignment horizontal="left" vertical="center" indent="1"/>
    </xf>
    <xf numFmtId="4" fontId="171" fillId="95" borderId="100" applyNumberFormat="0" applyProtection="0">
      <alignment horizontal="left" vertical="center" indent="1"/>
    </xf>
    <xf numFmtId="4" fontId="171" fillId="95" borderId="100" applyNumberFormat="0" applyProtection="0">
      <alignment horizontal="left" vertical="center" indent="1"/>
    </xf>
    <xf numFmtId="4" fontId="171" fillId="95" borderId="100" applyNumberFormat="0" applyProtection="0">
      <alignment horizontal="left" vertical="center" indent="1"/>
    </xf>
    <xf numFmtId="4" fontId="171" fillId="95" borderId="100" applyNumberFormat="0" applyProtection="0">
      <alignment horizontal="left" vertical="center" indent="1"/>
    </xf>
    <xf numFmtId="4" fontId="171" fillId="95" borderId="100" applyNumberFormat="0" applyProtection="0">
      <alignment horizontal="left" vertical="center" indent="1"/>
    </xf>
    <xf numFmtId="4" fontId="171" fillId="95" borderId="100" applyNumberFormat="0" applyProtection="0">
      <alignment horizontal="left" vertical="center" indent="1"/>
    </xf>
    <xf numFmtId="4" fontId="171" fillId="95" borderId="100" applyNumberFormat="0" applyProtection="0">
      <alignment horizontal="left" vertical="center" indent="1"/>
    </xf>
    <xf numFmtId="4" fontId="171" fillId="95" borderId="100" applyNumberFormat="0" applyProtection="0">
      <alignment horizontal="left" vertical="center" indent="1"/>
    </xf>
    <xf numFmtId="4" fontId="171" fillId="95" borderId="100" applyNumberFormat="0" applyProtection="0">
      <alignment horizontal="left" vertical="center" indent="1"/>
    </xf>
    <xf numFmtId="4" fontId="171" fillId="95" borderId="100" applyNumberFormat="0" applyProtection="0">
      <alignment horizontal="left" vertical="center" indent="1"/>
    </xf>
    <xf numFmtId="4" fontId="171" fillId="95" borderId="100" applyNumberFormat="0" applyProtection="0">
      <alignment horizontal="left" vertical="center" indent="1"/>
    </xf>
    <xf numFmtId="4" fontId="171" fillId="95" borderId="100" applyNumberFormat="0" applyProtection="0">
      <alignment horizontal="left" vertical="center" indent="1"/>
    </xf>
    <xf numFmtId="4" fontId="171" fillId="95" borderId="100" applyNumberFormat="0" applyProtection="0">
      <alignment horizontal="left" vertical="center" indent="1"/>
    </xf>
    <xf numFmtId="4" fontId="171" fillId="95" borderId="100" applyNumberFormat="0" applyProtection="0">
      <alignment horizontal="left" vertical="center" indent="1"/>
    </xf>
    <xf numFmtId="4" fontId="171" fillId="95" borderId="100" applyNumberFormat="0" applyProtection="0">
      <alignment horizontal="left" vertical="center" indent="1"/>
    </xf>
    <xf numFmtId="4" fontId="171" fillId="95" borderId="100" applyNumberFormat="0" applyProtection="0">
      <alignment horizontal="left" vertical="center" indent="1"/>
    </xf>
    <xf numFmtId="4" fontId="171" fillId="95" borderId="100" applyNumberFormat="0" applyProtection="0">
      <alignment horizontal="left" vertical="center" indent="1"/>
    </xf>
    <xf numFmtId="4" fontId="171" fillId="95" borderId="100" applyNumberFormat="0" applyProtection="0">
      <alignment horizontal="left" vertical="center" indent="1"/>
    </xf>
    <xf numFmtId="4" fontId="171" fillId="95" borderId="100" applyNumberFormat="0" applyProtection="0">
      <alignment horizontal="left" vertical="center" indent="1"/>
    </xf>
    <xf numFmtId="4" fontId="171" fillId="95" borderId="100" applyNumberFormat="0" applyProtection="0">
      <alignment horizontal="left" vertical="center" indent="1"/>
    </xf>
    <xf numFmtId="4" fontId="171" fillId="95" borderId="100" applyNumberFormat="0" applyProtection="0">
      <alignment horizontal="left" vertical="center" indent="1"/>
    </xf>
    <xf numFmtId="4" fontId="171" fillId="95" borderId="100" applyNumberFormat="0" applyProtection="0">
      <alignment horizontal="left" vertical="center" indent="1"/>
    </xf>
    <xf numFmtId="4" fontId="171" fillId="95" borderId="100" applyNumberFormat="0" applyProtection="0">
      <alignment horizontal="left" vertical="center" indent="1"/>
    </xf>
    <xf numFmtId="4" fontId="171" fillId="95" borderId="100" applyNumberFormat="0" applyProtection="0">
      <alignment horizontal="left" vertical="center" indent="1"/>
    </xf>
    <xf numFmtId="4" fontId="171" fillId="95" borderId="100" applyNumberFormat="0" applyProtection="0">
      <alignment horizontal="left" vertical="center" indent="1"/>
    </xf>
    <xf numFmtId="4" fontId="171" fillId="95" borderId="100" applyNumberFormat="0" applyProtection="0">
      <alignment horizontal="left" vertical="center" indent="1"/>
    </xf>
    <xf numFmtId="4" fontId="171" fillId="95" borderId="100" applyNumberFormat="0" applyProtection="0">
      <alignment horizontal="left" vertical="center" indent="1"/>
    </xf>
    <xf numFmtId="4" fontId="171" fillId="95" borderId="100" applyNumberFormat="0" applyProtection="0">
      <alignment horizontal="left" vertical="center" indent="1"/>
    </xf>
    <xf numFmtId="4" fontId="171" fillId="95" borderId="100" applyNumberFormat="0" applyProtection="0">
      <alignment horizontal="left" vertical="center" indent="1"/>
    </xf>
    <xf numFmtId="4" fontId="171" fillId="95" borderId="100" applyNumberFormat="0" applyProtection="0">
      <alignment horizontal="left" vertical="center" indent="1"/>
    </xf>
    <xf numFmtId="4" fontId="171" fillId="95" borderId="100" applyNumberFormat="0" applyProtection="0">
      <alignment horizontal="left" vertical="center" indent="1"/>
    </xf>
    <xf numFmtId="4" fontId="171" fillId="95" borderId="100" applyNumberFormat="0" applyProtection="0">
      <alignment horizontal="left" vertical="center" indent="1"/>
    </xf>
    <xf numFmtId="4" fontId="171" fillId="95" borderId="100" applyNumberFormat="0" applyProtection="0">
      <alignment horizontal="left" vertical="center" indent="1"/>
    </xf>
    <xf numFmtId="4" fontId="171" fillId="95" borderId="100" applyNumberFormat="0" applyProtection="0">
      <alignment horizontal="left" vertical="center" indent="1"/>
    </xf>
    <xf numFmtId="4" fontId="171" fillId="95" borderId="100" applyNumberFormat="0" applyProtection="0">
      <alignment horizontal="left" vertical="center" indent="1"/>
    </xf>
    <xf numFmtId="4" fontId="171" fillId="95" borderId="100" applyNumberFormat="0" applyProtection="0">
      <alignment horizontal="left" vertical="center" indent="1"/>
    </xf>
    <xf numFmtId="4" fontId="171" fillId="95" borderId="100" applyNumberFormat="0" applyProtection="0">
      <alignment horizontal="left" vertical="center" indent="1"/>
    </xf>
    <xf numFmtId="4" fontId="171" fillId="95" borderId="100" applyNumberFormat="0" applyProtection="0">
      <alignment horizontal="left" vertical="center" indent="1"/>
    </xf>
    <xf numFmtId="4" fontId="171" fillId="95" borderId="100" applyNumberFormat="0" applyProtection="0">
      <alignment horizontal="left" vertical="center" indent="1"/>
    </xf>
    <xf numFmtId="4" fontId="171" fillId="95" borderId="100" applyNumberFormat="0" applyProtection="0">
      <alignment horizontal="left" vertical="center" indent="1"/>
    </xf>
    <xf numFmtId="4" fontId="171" fillId="95" borderId="100" applyNumberFormat="0" applyProtection="0">
      <alignment horizontal="left" vertical="center" indent="1"/>
    </xf>
    <xf numFmtId="4" fontId="171" fillId="95" borderId="100" applyNumberFormat="0" applyProtection="0">
      <alignment horizontal="left" vertical="center" indent="1"/>
    </xf>
    <xf numFmtId="4" fontId="171" fillId="95" borderId="100" applyNumberFormat="0" applyProtection="0">
      <alignment horizontal="left" vertical="center" indent="1"/>
    </xf>
    <xf numFmtId="4" fontId="171" fillId="95" borderId="100" applyNumberFormat="0" applyProtection="0">
      <alignment horizontal="left" vertical="center" indent="1"/>
    </xf>
    <xf numFmtId="4" fontId="171" fillId="95" borderId="100" applyNumberFormat="0" applyProtection="0">
      <alignment horizontal="left" vertical="center" indent="1"/>
    </xf>
    <xf numFmtId="4" fontId="171" fillId="95" borderId="100" applyNumberFormat="0" applyProtection="0">
      <alignment horizontal="left" vertical="center" indent="1"/>
    </xf>
    <xf numFmtId="4" fontId="171" fillId="95" borderId="100" applyNumberFormat="0" applyProtection="0">
      <alignment horizontal="left" vertical="center" indent="1"/>
    </xf>
    <xf numFmtId="4" fontId="171" fillId="95" borderId="100" applyNumberFormat="0" applyProtection="0">
      <alignment horizontal="left" vertical="center" indent="1"/>
    </xf>
    <xf numFmtId="4" fontId="171" fillId="95" borderId="100" applyNumberFormat="0" applyProtection="0">
      <alignment horizontal="left" vertical="center" indent="1"/>
    </xf>
    <xf numFmtId="4" fontId="171" fillId="95" borderId="100" applyNumberFormat="0" applyProtection="0">
      <alignment horizontal="left" vertical="center" indent="1"/>
    </xf>
    <xf numFmtId="4" fontId="171" fillId="95" borderId="100" applyNumberFormat="0" applyProtection="0">
      <alignment horizontal="left" vertical="center" indent="1"/>
    </xf>
    <xf numFmtId="4" fontId="171" fillId="95" borderId="100" applyNumberFormat="0" applyProtection="0">
      <alignment horizontal="left" vertical="center" indent="1"/>
    </xf>
    <xf numFmtId="4" fontId="171" fillId="95" borderId="100" applyNumberFormat="0" applyProtection="0">
      <alignment horizontal="left" vertical="center" indent="1"/>
    </xf>
    <xf numFmtId="4" fontId="171" fillId="95" borderId="100" applyNumberFormat="0" applyProtection="0">
      <alignment horizontal="left" vertical="center" indent="1"/>
    </xf>
    <xf numFmtId="4" fontId="171" fillId="95" borderId="100" applyNumberFormat="0" applyProtection="0">
      <alignment horizontal="left" vertical="center" indent="1"/>
    </xf>
    <xf numFmtId="4" fontId="171" fillId="95" borderId="100" applyNumberFormat="0" applyProtection="0">
      <alignment horizontal="left" vertical="center" indent="1"/>
    </xf>
    <xf numFmtId="4" fontId="171" fillId="95" borderId="100" applyNumberFormat="0" applyProtection="0">
      <alignment horizontal="left" vertical="center" indent="1"/>
    </xf>
    <xf numFmtId="4" fontId="171" fillId="95" borderId="100" applyNumberFormat="0" applyProtection="0">
      <alignment horizontal="left" vertical="center" indent="1"/>
    </xf>
    <xf numFmtId="4" fontId="171" fillId="95" borderId="100" applyNumberFormat="0" applyProtection="0">
      <alignment horizontal="left" vertical="center" indent="1"/>
    </xf>
    <xf numFmtId="4" fontId="171" fillId="95" borderId="100" applyNumberFormat="0" applyProtection="0">
      <alignment horizontal="left" vertical="center" indent="1"/>
    </xf>
    <xf numFmtId="4" fontId="171" fillId="95" borderId="100" applyNumberFormat="0" applyProtection="0">
      <alignment horizontal="left" vertical="center" indent="1"/>
    </xf>
    <xf numFmtId="4" fontId="171" fillId="95" borderId="100" applyNumberFormat="0" applyProtection="0">
      <alignment horizontal="left" vertical="center" indent="1"/>
    </xf>
    <xf numFmtId="4" fontId="171" fillId="95" borderId="100" applyNumberFormat="0" applyProtection="0">
      <alignment horizontal="left" vertical="center" indent="1"/>
    </xf>
    <xf numFmtId="4" fontId="171" fillId="95" borderId="100" applyNumberFormat="0" applyProtection="0">
      <alignment horizontal="left" vertical="center" indent="1"/>
    </xf>
    <xf numFmtId="4" fontId="171" fillId="95" borderId="100" applyNumberFormat="0" applyProtection="0">
      <alignment horizontal="left" vertical="center" indent="1"/>
    </xf>
    <xf numFmtId="4" fontId="171" fillId="95" borderId="100" applyNumberFormat="0" applyProtection="0">
      <alignment horizontal="left" vertical="center" indent="1"/>
    </xf>
    <xf numFmtId="4" fontId="171" fillId="95" borderId="100" applyNumberFormat="0" applyProtection="0">
      <alignment horizontal="left" vertical="center" indent="1"/>
    </xf>
    <xf numFmtId="4" fontId="171" fillId="95" borderId="100" applyNumberFormat="0" applyProtection="0">
      <alignment horizontal="left" vertical="center" indent="1"/>
    </xf>
    <xf numFmtId="4" fontId="171" fillId="95" borderId="100" applyNumberFormat="0" applyProtection="0">
      <alignment horizontal="left" vertical="center" indent="1"/>
    </xf>
    <xf numFmtId="4" fontId="171" fillId="95" borderId="100" applyNumberFormat="0" applyProtection="0">
      <alignment horizontal="left" vertical="center" indent="1"/>
    </xf>
    <xf numFmtId="4" fontId="171" fillId="95" borderId="100" applyNumberFormat="0" applyProtection="0">
      <alignment horizontal="left" vertical="center" indent="1"/>
    </xf>
    <xf numFmtId="4" fontId="476" fillId="82" borderId="99" applyNumberFormat="0" applyProtection="0">
      <alignment horizontal="left" vertical="center" indent="1"/>
    </xf>
    <xf numFmtId="4" fontId="476" fillId="82" borderId="99" applyNumberFormat="0" applyProtection="0">
      <alignment horizontal="left" vertical="center" indent="1"/>
    </xf>
    <xf numFmtId="4" fontId="171" fillId="95" borderId="100" applyNumberFormat="0" applyProtection="0">
      <alignment horizontal="left" vertical="center" indent="1"/>
    </xf>
    <xf numFmtId="4" fontId="171" fillId="95" borderId="100" applyNumberFormat="0" applyProtection="0">
      <alignment horizontal="left" vertical="center" indent="1"/>
    </xf>
    <xf numFmtId="4" fontId="171" fillId="95" borderId="100" applyNumberFormat="0" applyProtection="0">
      <alignment horizontal="left" vertical="center" indent="1"/>
    </xf>
    <xf numFmtId="4" fontId="171" fillId="95" borderId="100" applyNumberFormat="0" applyProtection="0">
      <alignment horizontal="left" vertical="center" indent="1"/>
    </xf>
    <xf numFmtId="4" fontId="171" fillId="95" borderId="100" applyNumberFormat="0" applyProtection="0">
      <alignment horizontal="left" vertical="center" indent="1"/>
    </xf>
    <xf numFmtId="4" fontId="171" fillId="95" borderId="100" applyNumberFormat="0" applyProtection="0">
      <alignment horizontal="left" vertical="center" indent="1"/>
    </xf>
    <xf numFmtId="4" fontId="171" fillId="95" borderId="100" applyNumberFormat="0" applyProtection="0">
      <alignment horizontal="left" vertical="center" indent="1"/>
    </xf>
    <xf numFmtId="4" fontId="171" fillId="95" borderId="100" applyNumberFormat="0" applyProtection="0">
      <alignment horizontal="left" vertical="center" indent="1"/>
    </xf>
    <xf numFmtId="4" fontId="171" fillId="95" borderId="100" applyNumberFormat="0" applyProtection="0">
      <alignment horizontal="left" vertical="center" indent="1"/>
    </xf>
    <xf numFmtId="4" fontId="171" fillId="95" borderId="100" applyNumberFormat="0" applyProtection="0">
      <alignment horizontal="left" vertical="center" indent="1"/>
    </xf>
    <xf numFmtId="4" fontId="171" fillId="95" borderId="100" applyNumberFormat="0" applyProtection="0">
      <alignment horizontal="left" vertical="center" indent="1"/>
    </xf>
    <xf numFmtId="4" fontId="171" fillId="95" borderId="100" applyNumberFormat="0" applyProtection="0">
      <alignment horizontal="left" vertical="center" indent="1"/>
    </xf>
    <xf numFmtId="4" fontId="171" fillId="95" borderId="100" applyNumberFormat="0" applyProtection="0">
      <alignment horizontal="left" vertical="center" indent="1"/>
    </xf>
    <xf numFmtId="4" fontId="171" fillId="95" borderId="100" applyNumberFormat="0" applyProtection="0">
      <alignment horizontal="left" vertical="center" indent="1"/>
    </xf>
    <xf numFmtId="4" fontId="171" fillId="95" borderId="100" applyNumberFormat="0" applyProtection="0">
      <alignment horizontal="left" vertical="center" indent="1"/>
    </xf>
    <xf numFmtId="4" fontId="171" fillId="95" borderId="100" applyNumberFormat="0" applyProtection="0">
      <alignment horizontal="left" vertical="center" indent="1"/>
    </xf>
    <xf numFmtId="4" fontId="171" fillId="95" borderId="100" applyNumberFormat="0" applyProtection="0">
      <alignment horizontal="left" vertical="center" indent="1"/>
    </xf>
    <xf numFmtId="4" fontId="171" fillId="95" borderId="100" applyNumberFormat="0" applyProtection="0">
      <alignment horizontal="left" vertical="center" indent="1"/>
    </xf>
    <xf numFmtId="0" fontId="171" fillId="95" borderId="100" applyNumberFormat="0" applyProtection="0">
      <alignment horizontal="left" vertical="top" indent="1"/>
    </xf>
    <xf numFmtId="0" fontId="171" fillId="96" borderId="100" applyNumberFormat="0" applyProtection="0">
      <alignment horizontal="left" vertical="top" indent="1"/>
    </xf>
    <xf numFmtId="0" fontId="171" fillId="96" borderId="100" applyNumberFormat="0" applyProtection="0">
      <alignment horizontal="left" vertical="top" indent="1"/>
    </xf>
    <xf numFmtId="0" fontId="171" fillId="96" borderId="100" applyNumberFormat="0" applyProtection="0">
      <alignment horizontal="left" vertical="top" indent="1"/>
    </xf>
    <xf numFmtId="0" fontId="171" fillId="96" borderId="100" applyNumberFormat="0" applyProtection="0">
      <alignment horizontal="left" vertical="top" indent="1"/>
    </xf>
    <xf numFmtId="0" fontId="171" fillId="96" borderId="100" applyNumberFormat="0" applyProtection="0">
      <alignment horizontal="left" vertical="top" indent="1"/>
    </xf>
    <xf numFmtId="0" fontId="171" fillId="96" borderId="100" applyNumberFormat="0" applyProtection="0">
      <alignment horizontal="left" vertical="top" indent="1"/>
    </xf>
    <xf numFmtId="0" fontId="171" fillId="96" borderId="100" applyNumberFormat="0" applyProtection="0">
      <alignment horizontal="left" vertical="top" indent="1"/>
    </xf>
    <xf numFmtId="0" fontId="171" fillId="96" borderId="100" applyNumberFormat="0" applyProtection="0">
      <alignment horizontal="left" vertical="top" indent="1"/>
    </xf>
    <xf numFmtId="0" fontId="171" fillId="96" borderId="100" applyNumberFormat="0" applyProtection="0">
      <alignment horizontal="left" vertical="top" indent="1"/>
    </xf>
    <xf numFmtId="0" fontId="171" fillId="96" borderId="100" applyNumberFormat="0" applyProtection="0">
      <alignment horizontal="left" vertical="top" indent="1"/>
    </xf>
    <xf numFmtId="0" fontId="171" fillId="95" borderId="100" applyNumberFormat="0" applyProtection="0">
      <alignment horizontal="left" vertical="top" indent="1"/>
    </xf>
    <xf numFmtId="0" fontId="171" fillId="95" borderId="100" applyNumberFormat="0" applyProtection="0">
      <alignment horizontal="left" vertical="top" indent="1"/>
    </xf>
    <xf numFmtId="0" fontId="171" fillId="95" borderId="100" applyNumberFormat="0" applyProtection="0">
      <alignment horizontal="left" vertical="top" indent="1"/>
    </xf>
    <xf numFmtId="0" fontId="171" fillId="95" borderId="100" applyNumberFormat="0" applyProtection="0">
      <alignment horizontal="left" vertical="top" indent="1"/>
    </xf>
    <xf numFmtId="0" fontId="171" fillId="95" borderId="100" applyNumberFormat="0" applyProtection="0">
      <alignment horizontal="left" vertical="top" indent="1"/>
    </xf>
    <xf numFmtId="0" fontId="171" fillId="95" borderId="100" applyNumberFormat="0" applyProtection="0">
      <alignment horizontal="left" vertical="top" indent="1"/>
    </xf>
    <xf numFmtId="0" fontId="171" fillId="95" borderId="100" applyNumberFormat="0" applyProtection="0">
      <alignment horizontal="left" vertical="top" indent="1"/>
    </xf>
    <xf numFmtId="0" fontId="171" fillId="95" borderId="100" applyNumberFormat="0" applyProtection="0">
      <alignment horizontal="left" vertical="top" indent="1"/>
    </xf>
    <xf numFmtId="0" fontId="171" fillId="95" borderId="100" applyNumberFormat="0" applyProtection="0">
      <alignment horizontal="left" vertical="top" indent="1"/>
    </xf>
    <xf numFmtId="0" fontId="171" fillId="95" borderId="100" applyNumberFormat="0" applyProtection="0">
      <alignment horizontal="left" vertical="top" indent="1"/>
    </xf>
    <xf numFmtId="0" fontId="171" fillId="95" borderId="100" applyNumberFormat="0" applyProtection="0">
      <alignment horizontal="left" vertical="top" indent="1"/>
    </xf>
    <xf numFmtId="0" fontId="171" fillId="95" borderId="100" applyNumberFormat="0" applyProtection="0">
      <alignment horizontal="left" vertical="top" indent="1"/>
    </xf>
    <xf numFmtId="0" fontId="171" fillId="95" borderId="100" applyNumberFormat="0" applyProtection="0">
      <alignment horizontal="left" vertical="top" indent="1"/>
    </xf>
    <xf numFmtId="0" fontId="171" fillId="95" borderId="100" applyNumberFormat="0" applyProtection="0">
      <alignment horizontal="left" vertical="top" indent="1"/>
    </xf>
    <xf numFmtId="0" fontId="171" fillId="95" borderId="100" applyNumberFormat="0" applyProtection="0">
      <alignment horizontal="left" vertical="top" indent="1"/>
    </xf>
    <xf numFmtId="0" fontId="171" fillId="95" borderId="100" applyNumberFormat="0" applyProtection="0">
      <alignment horizontal="left" vertical="top" indent="1"/>
    </xf>
    <xf numFmtId="0" fontId="171" fillId="95" borderId="100" applyNumberFormat="0" applyProtection="0">
      <alignment horizontal="left" vertical="top" indent="1"/>
    </xf>
    <xf numFmtId="0" fontId="171" fillId="95" borderId="100" applyNumberFormat="0" applyProtection="0">
      <alignment horizontal="left" vertical="top" indent="1"/>
    </xf>
    <xf numFmtId="0" fontId="171" fillId="95" borderId="100" applyNumberFormat="0" applyProtection="0">
      <alignment horizontal="left" vertical="top" indent="1"/>
    </xf>
    <xf numFmtId="0" fontId="171" fillId="95" borderId="100" applyNumberFormat="0" applyProtection="0">
      <alignment horizontal="left" vertical="top" indent="1"/>
    </xf>
    <xf numFmtId="0" fontId="171" fillId="95" borderId="100" applyNumberFormat="0" applyProtection="0">
      <alignment horizontal="left" vertical="top" indent="1"/>
    </xf>
    <xf numFmtId="0" fontId="171" fillId="95" borderId="100" applyNumberFormat="0" applyProtection="0">
      <alignment horizontal="left" vertical="top" indent="1"/>
    </xf>
    <xf numFmtId="0" fontId="171" fillId="95" borderId="100" applyNumberFormat="0" applyProtection="0">
      <alignment horizontal="left" vertical="top" indent="1"/>
    </xf>
    <xf numFmtId="0" fontId="171" fillId="95" borderId="100" applyNumberFormat="0" applyProtection="0">
      <alignment horizontal="left" vertical="top" indent="1"/>
    </xf>
    <xf numFmtId="0" fontId="171" fillId="95" borderId="100" applyNumberFormat="0" applyProtection="0">
      <alignment horizontal="left" vertical="top" indent="1"/>
    </xf>
    <xf numFmtId="0" fontId="171" fillId="95" borderId="100" applyNumberFormat="0" applyProtection="0">
      <alignment horizontal="left" vertical="top" indent="1"/>
    </xf>
    <xf numFmtId="0" fontId="171" fillId="95" borderId="100" applyNumberFormat="0" applyProtection="0">
      <alignment horizontal="left" vertical="top" indent="1"/>
    </xf>
    <xf numFmtId="0" fontId="171" fillId="95" borderId="100" applyNumberFormat="0" applyProtection="0">
      <alignment horizontal="left" vertical="top" indent="1"/>
    </xf>
    <xf numFmtId="0" fontId="171" fillId="95" borderId="100" applyNumberFormat="0" applyProtection="0">
      <alignment horizontal="left" vertical="top" indent="1"/>
    </xf>
    <xf numFmtId="0" fontId="171" fillId="95" borderId="100" applyNumberFormat="0" applyProtection="0">
      <alignment horizontal="left" vertical="top" indent="1"/>
    </xf>
    <xf numFmtId="0" fontId="171" fillId="95" borderId="100" applyNumberFormat="0" applyProtection="0">
      <alignment horizontal="left" vertical="top" indent="1"/>
    </xf>
    <xf numFmtId="0" fontId="171" fillId="95" borderId="100" applyNumberFormat="0" applyProtection="0">
      <alignment horizontal="left" vertical="top" indent="1"/>
    </xf>
    <xf numFmtId="0" fontId="171" fillId="95" borderId="100" applyNumberFormat="0" applyProtection="0">
      <alignment horizontal="left" vertical="top" indent="1"/>
    </xf>
    <xf numFmtId="0" fontId="171" fillId="95" borderId="100" applyNumberFormat="0" applyProtection="0">
      <alignment horizontal="left" vertical="top" indent="1"/>
    </xf>
    <xf numFmtId="0" fontId="171" fillId="95" borderId="100" applyNumberFormat="0" applyProtection="0">
      <alignment horizontal="left" vertical="top" indent="1"/>
    </xf>
    <xf numFmtId="0" fontId="171" fillId="95" borderId="100" applyNumberFormat="0" applyProtection="0">
      <alignment horizontal="left" vertical="top" indent="1"/>
    </xf>
    <xf numFmtId="0" fontId="171" fillId="95" borderId="100" applyNumberFormat="0" applyProtection="0">
      <alignment horizontal="left" vertical="top" indent="1"/>
    </xf>
    <xf numFmtId="0" fontId="171" fillId="95" borderId="100" applyNumberFormat="0" applyProtection="0">
      <alignment horizontal="left" vertical="top" indent="1"/>
    </xf>
    <xf numFmtId="0" fontId="171" fillId="95" borderId="100" applyNumberFormat="0" applyProtection="0">
      <alignment horizontal="left" vertical="top" indent="1"/>
    </xf>
    <xf numFmtId="0" fontId="171" fillId="95" borderId="100" applyNumberFormat="0" applyProtection="0">
      <alignment horizontal="left" vertical="top" indent="1"/>
    </xf>
    <xf numFmtId="0" fontId="171" fillId="95" borderId="100" applyNumberFormat="0" applyProtection="0">
      <alignment horizontal="left" vertical="top" indent="1"/>
    </xf>
    <xf numFmtId="0" fontId="171" fillId="95" borderId="100" applyNumberFormat="0" applyProtection="0">
      <alignment horizontal="left" vertical="top" indent="1"/>
    </xf>
    <xf numFmtId="0" fontId="171" fillId="95" borderId="100" applyNumberFormat="0" applyProtection="0">
      <alignment horizontal="left" vertical="top" indent="1"/>
    </xf>
    <xf numFmtId="0" fontId="171" fillId="95" borderId="100" applyNumberFormat="0" applyProtection="0">
      <alignment horizontal="left" vertical="top" indent="1"/>
    </xf>
    <xf numFmtId="0" fontId="171" fillId="95" borderId="100" applyNumberFormat="0" applyProtection="0">
      <alignment horizontal="left" vertical="top" indent="1"/>
    </xf>
    <xf numFmtId="0" fontId="171" fillId="95" borderId="100" applyNumberFormat="0" applyProtection="0">
      <alignment horizontal="left" vertical="top" indent="1"/>
    </xf>
    <xf numFmtId="0" fontId="171" fillId="95" borderId="100" applyNumberFormat="0" applyProtection="0">
      <alignment horizontal="left" vertical="top" indent="1"/>
    </xf>
    <xf numFmtId="0" fontId="171" fillId="95" borderId="100" applyNumberFormat="0" applyProtection="0">
      <alignment horizontal="left" vertical="top" indent="1"/>
    </xf>
    <xf numFmtId="0" fontId="171" fillId="95" borderId="100" applyNumberFormat="0" applyProtection="0">
      <alignment horizontal="left" vertical="top" indent="1"/>
    </xf>
    <xf numFmtId="0" fontId="171" fillId="95" borderId="100" applyNumberFormat="0" applyProtection="0">
      <alignment horizontal="left" vertical="top" indent="1"/>
    </xf>
    <xf numFmtId="0" fontId="171" fillId="95" borderId="100" applyNumberFormat="0" applyProtection="0">
      <alignment horizontal="left" vertical="top" indent="1"/>
    </xf>
    <xf numFmtId="0" fontId="171" fillId="95" borderId="100" applyNumberFormat="0" applyProtection="0">
      <alignment horizontal="left" vertical="top" indent="1"/>
    </xf>
    <xf numFmtId="0" fontId="171" fillId="95" borderId="100" applyNumberFormat="0" applyProtection="0">
      <alignment horizontal="left" vertical="top" indent="1"/>
    </xf>
    <xf numFmtId="0" fontId="171" fillId="95" borderId="100" applyNumberFormat="0" applyProtection="0">
      <alignment horizontal="left" vertical="top" indent="1"/>
    </xf>
    <xf numFmtId="0" fontId="171" fillId="95" borderId="100" applyNumberFormat="0" applyProtection="0">
      <alignment horizontal="left" vertical="top" indent="1"/>
    </xf>
    <xf numFmtId="0" fontId="171" fillId="95" borderId="100" applyNumberFormat="0" applyProtection="0">
      <alignment horizontal="left" vertical="top" indent="1"/>
    </xf>
    <xf numFmtId="0" fontId="171" fillId="95" borderId="100" applyNumberFormat="0" applyProtection="0">
      <alignment horizontal="left" vertical="top" indent="1"/>
    </xf>
    <xf numFmtId="0" fontId="171" fillId="95" borderId="100" applyNumberFormat="0" applyProtection="0">
      <alignment horizontal="left" vertical="top" indent="1"/>
    </xf>
    <xf numFmtId="0" fontId="171" fillId="95" borderId="100" applyNumberFormat="0" applyProtection="0">
      <alignment horizontal="left" vertical="top" indent="1"/>
    </xf>
    <xf numFmtId="0" fontId="171" fillId="95" borderId="100" applyNumberFormat="0" applyProtection="0">
      <alignment horizontal="left" vertical="top" indent="1"/>
    </xf>
    <xf numFmtId="0" fontId="171" fillId="95" borderId="100" applyNumberFormat="0" applyProtection="0">
      <alignment horizontal="left" vertical="top" indent="1"/>
    </xf>
    <xf numFmtId="0" fontId="171" fillId="95" borderId="100" applyNumberFormat="0" applyProtection="0">
      <alignment horizontal="left" vertical="top" indent="1"/>
    </xf>
    <xf numFmtId="0" fontId="171" fillId="96" borderId="100" applyNumberFormat="0" applyProtection="0">
      <alignment horizontal="left" vertical="top" indent="1"/>
    </xf>
    <xf numFmtId="0" fontId="171" fillId="96" borderId="100" applyNumberFormat="0" applyProtection="0">
      <alignment horizontal="left" vertical="top" indent="1"/>
    </xf>
    <xf numFmtId="0" fontId="171" fillId="96" borderId="100" applyNumberFormat="0" applyProtection="0">
      <alignment horizontal="left" vertical="top" indent="1"/>
    </xf>
    <xf numFmtId="0" fontId="171" fillId="96" borderId="100" applyNumberFormat="0" applyProtection="0">
      <alignment horizontal="left" vertical="top" indent="1"/>
    </xf>
    <xf numFmtId="0" fontId="171" fillId="96" borderId="100" applyNumberFormat="0" applyProtection="0">
      <alignment horizontal="left" vertical="top" indent="1"/>
    </xf>
    <xf numFmtId="0" fontId="171" fillId="96" borderId="100" applyNumberFormat="0" applyProtection="0">
      <alignment horizontal="left" vertical="top" indent="1"/>
    </xf>
    <xf numFmtId="0" fontId="171" fillId="96" borderId="100" applyNumberFormat="0" applyProtection="0">
      <alignment horizontal="left" vertical="top" indent="1"/>
    </xf>
    <xf numFmtId="0" fontId="171" fillId="96" borderId="100" applyNumberFormat="0" applyProtection="0">
      <alignment horizontal="left" vertical="top" indent="1"/>
    </xf>
    <xf numFmtId="0" fontId="171" fillId="96" borderId="100" applyNumberFormat="0" applyProtection="0">
      <alignment horizontal="left" vertical="top" indent="1"/>
    </xf>
    <xf numFmtId="0" fontId="171" fillId="96" borderId="100" applyNumberFormat="0" applyProtection="0">
      <alignment horizontal="left" vertical="top" indent="1"/>
    </xf>
    <xf numFmtId="0" fontId="171" fillId="96" borderId="100" applyNumberFormat="0" applyProtection="0">
      <alignment horizontal="left" vertical="top" indent="1"/>
    </xf>
    <xf numFmtId="0" fontId="171" fillId="96" borderId="100" applyNumberFormat="0" applyProtection="0">
      <alignment horizontal="left" vertical="top" indent="1"/>
    </xf>
    <xf numFmtId="0" fontId="171" fillId="96" borderId="100" applyNumberFormat="0" applyProtection="0">
      <alignment horizontal="left" vertical="top" indent="1"/>
    </xf>
    <xf numFmtId="0" fontId="171" fillId="96" borderId="100" applyNumberFormat="0" applyProtection="0">
      <alignment horizontal="left" vertical="top" indent="1"/>
    </xf>
    <xf numFmtId="0" fontId="171" fillId="96" borderId="100" applyNumberFormat="0" applyProtection="0">
      <alignment horizontal="left" vertical="top" indent="1"/>
    </xf>
    <xf numFmtId="0" fontId="171" fillId="96" borderId="100" applyNumberFormat="0" applyProtection="0">
      <alignment horizontal="left" vertical="top" indent="1"/>
    </xf>
    <xf numFmtId="0" fontId="171" fillId="96" borderId="100" applyNumberFormat="0" applyProtection="0">
      <alignment horizontal="left" vertical="top" indent="1"/>
    </xf>
    <xf numFmtId="0" fontId="171" fillId="96" borderId="100" applyNumberFormat="0" applyProtection="0">
      <alignment horizontal="left" vertical="top" indent="1"/>
    </xf>
    <xf numFmtId="0" fontId="171" fillId="96" borderId="100" applyNumberFormat="0" applyProtection="0">
      <alignment horizontal="left" vertical="top" indent="1"/>
    </xf>
    <xf numFmtId="0" fontId="171" fillId="96" borderId="100" applyNumberFormat="0" applyProtection="0">
      <alignment horizontal="left" vertical="top" indent="1"/>
    </xf>
    <xf numFmtId="0" fontId="171" fillId="96" borderId="100" applyNumberFormat="0" applyProtection="0">
      <alignment horizontal="left" vertical="top" indent="1"/>
    </xf>
    <xf numFmtId="0" fontId="171" fillId="96" borderId="100" applyNumberFormat="0" applyProtection="0">
      <alignment horizontal="left" vertical="top" indent="1"/>
    </xf>
    <xf numFmtId="0" fontId="171" fillId="96" borderId="100" applyNumberFormat="0" applyProtection="0">
      <alignment horizontal="left" vertical="top" indent="1"/>
    </xf>
    <xf numFmtId="0" fontId="171" fillId="96" borderId="100" applyNumberFormat="0" applyProtection="0">
      <alignment horizontal="left" vertical="top" indent="1"/>
    </xf>
    <xf numFmtId="0" fontId="171" fillId="96" borderId="100" applyNumberFormat="0" applyProtection="0">
      <alignment horizontal="left" vertical="top" indent="1"/>
    </xf>
    <xf numFmtId="0" fontId="171" fillId="96" borderId="100" applyNumberFormat="0" applyProtection="0">
      <alignment horizontal="left" vertical="top" indent="1"/>
    </xf>
    <xf numFmtId="0" fontId="171" fillId="96" borderId="100" applyNumberFormat="0" applyProtection="0">
      <alignment horizontal="left" vertical="top" indent="1"/>
    </xf>
    <xf numFmtId="0" fontId="171" fillId="96" borderId="100" applyNumberFormat="0" applyProtection="0">
      <alignment horizontal="left" vertical="top" indent="1"/>
    </xf>
    <xf numFmtId="0" fontId="171" fillId="96" borderId="100" applyNumberFormat="0" applyProtection="0">
      <alignment horizontal="left" vertical="top" indent="1"/>
    </xf>
    <xf numFmtId="0" fontId="171" fillId="96" borderId="100" applyNumberFormat="0" applyProtection="0">
      <alignment horizontal="left" vertical="top" indent="1"/>
    </xf>
    <xf numFmtId="0" fontId="171" fillId="96" borderId="100" applyNumberFormat="0" applyProtection="0">
      <alignment horizontal="left" vertical="top" indent="1"/>
    </xf>
    <xf numFmtId="0" fontId="171" fillId="96" borderId="100" applyNumberFormat="0" applyProtection="0">
      <alignment horizontal="left" vertical="top" indent="1"/>
    </xf>
    <xf numFmtId="0" fontId="171" fillId="96" borderId="100" applyNumberFormat="0" applyProtection="0">
      <alignment horizontal="left" vertical="top" indent="1"/>
    </xf>
    <xf numFmtId="0" fontId="171" fillId="96" borderId="100" applyNumberFormat="0" applyProtection="0">
      <alignment horizontal="left" vertical="top" indent="1"/>
    </xf>
    <xf numFmtId="0" fontId="171" fillId="96" borderId="100" applyNumberFormat="0" applyProtection="0">
      <alignment horizontal="left" vertical="top" indent="1"/>
    </xf>
    <xf numFmtId="0" fontId="171" fillId="96" borderId="100" applyNumberFormat="0" applyProtection="0">
      <alignment horizontal="left" vertical="top" indent="1"/>
    </xf>
    <xf numFmtId="0" fontId="171" fillId="96" borderId="100" applyNumberFormat="0" applyProtection="0">
      <alignment horizontal="left" vertical="top" indent="1"/>
    </xf>
    <xf numFmtId="0" fontId="171" fillId="96" borderId="100" applyNumberFormat="0" applyProtection="0">
      <alignment horizontal="left" vertical="top" indent="1"/>
    </xf>
    <xf numFmtId="0" fontId="171" fillId="96" borderId="100" applyNumberFormat="0" applyProtection="0">
      <alignment horizontal="left" vertical="top" indent="1"/>
    </xf>
    <xf numFmtId="0" fontId="171" fillId="96" borderId="100" applyNumberFormat="0" applyProtection="0">
      <alignment horizontal="left" vertical="top" indent="1"/>
    </xf>
    <xf numFmtId="0" fontId="171" fillId="96" borderId="100" applyNumberFormat="0" applyProtection="0">
      <alignment horizontal="left" vertical="top" indent="1"/>
    </xf>
    <xf numFmtId="0" fontId="171" fillId="96" borderId="100" applyNumberFormat="0" applyProtection="0">
      <alignment horizontal="left" vertical="top" indent="1"/>
    </xf>
    <xf numFmtId="0" fontId="171" fillId="96" borderId="100" applyNumberFormat="0" applyProtection="0">
      <alignment horizontal="left" vertical="top" indent="1"/>
    </xf>
    <xf numFmtId="0" fontId="171" fillId="96" borderId="100" applyNumberFormat="0" applyProtection="0">
      <alignment horizontal="left" vertical="top" indent="1"/>
    </xf>
    <xf numFmtId="0" fontId="171" fillId="96" borderId="100" applyNumberFormat="0" applyProtection="0">
      <alignment horizontal="left" vertical="top" indent="1"/>
    </xf>
    <xf numFmtId="0" fontId="171" fillId="96" borderId="100" applyNumberFormat="0" applyProtection="0">
      <alignment horizontal="left" vertical="top" indent="1"/>
    </xf>
    <xf numFmtId="0" fontId="171" fillId="96" borderId="100" applyNumberFormat="0" applyProtection="0">
      <alignment horizontal="left" vertical="top" indent="1"/>
    </xf>
    <xf numFmtId="0" fontId="171" fillId="96" borderId="100" applyNumberFormat="0" applyProtection="0">
      <alignment horizontal="left" vertical="top" indent="1"/>
    </xf>
    <xf numFmtId="0" fontId="171" fillId="96" borderId="100" applyNumberFormat="0" applyProtection="0">
      <alignment horizontal="left" vertical="top" indent="1"/>
    </xf>
    <xf numFmtId="0" fontId="171" fillId="96" borderId="100" applyNumberFormat="0" applyProtection="0">
      <alignment horizontal="left" vertical="top" indent="1"/>
    </xf>
    <xf numFmtId="0" fontId="171" fillId="96" borderId="100" applyNumberFormat="0" applyProtection="0">
      <alignment horizontal="left" vertical="top" indent="1"/>
    </xf>
    <xf numFmtId="4" fontId="379" fillId="15" borderId="99" applyNumberFormat="0" applyProtection="0">
      <alignment vertical="center"/>
    </xf>
    <xf numFmtId="4" fontId="379" fillId="15" borderId="99" applyNumberFormat="0" applyProtection="0">
      <alignment vertical="center"/>
    </xf>
    <xf numFmtId="4" fontId="488" fillId="15" borderId="99" applyNumberFormat="0" applyProtection="0">
      <alignment vertical="center"/>
    </xf>
    <xf numFmtId="4" fontId="488" fillId="15" borderId="99" applyNumberFormat="0" applyProtection="0">
      <alignment vertical="center"/>
    </xf>
    <xf numFmtId="4" fontId="476" fillId="84" borderId="99" applyNumberFormat="0" applyProtection="0">
      <alignment horizontal="left" vertical="center" indent="1"/>
    </xf>
    <xf numFmtId="4" fontId="476" fillId="84" borderId="99" applyNumberFormat="0" applyProtection="0">
      <alignment horizontal="left" vertical="center" indent="1"/>
    </xf>
    <xf numFmtId="4" fontId="489" fillId="42" borderId="99" applyNumberFormat="0" applyProtection="0">
      <alignment horizontal="left" indent="1"/>
    </xf>
    <xf numFmtId="4" fontId="489" fillId="42" borderId="99" applyNumberFormat="0" applyProtection="0">
      <alignment horizontal="left" indent="1"/>
    </xf>
    <xf numFmtId="4" fontId="490" fillId="15" borderId="99" applyNumberFormat="0" applyProtection="0">
      <alignment vertical="center"/>
    </xf>
    <xf numFmtId="4" fontId="491" fillId="102" borderId="100" applyNumberFormat="0" applyProtection="0">
      <alignment horizontal="right" vertical="center"/>
    </xf>
    <xf numFmtId="4" fontId="491" fillId="102" borderId="100" applyNumberFormat="0" applyProtection="0">
      <alignment horizontal="right" vertical="center"/>
    </xf>
    <xf numFmtId="4" fontId="491" fillId="102" borderId="100" applyNumberFormat="0" applyProtection="0">
      <alignment horizontal="right" vertical="center"/>
    </xf>
    <xf numFmtId="4" fontId="491" fillId="102" borderId="100" applyNumberFormat="0" applyProtection="0">
      <alignment horizontal="right" vertical="center"/>
    </xf>
    <xf numFmtId="4" fontId="491" fillId="102" borderId="100" applyNumberFormat="0" applyProtection="0">
      <alignment horizontal="right" vertical="center"/>
    </xf>
    <xf numFmtId="4" fontId="491" fillId="102" borderId="100" applyNumberFormat="0" applyProtection="0">
      <alignment horizontal="right" vertical="center"/>
    </xf>
    <xf numFmtId="4" fontId="491" fillId="102" borderId="100" applyNumberFormat="0" applyProtection="0">
      <alignment horizontal="right" vertical="center"/>
    </xf>
    <xf numFmtId="4" fontId="491" fillId="102" borderId="100" applyNumberFormat="0" applyProtection="0">
      <alignment horizontal="right" vertical="center"/>
    </xf>
    <xf numFmtId="4" fontId="491" fillId="102" borderId="100" applyNumberFormat="0" applyProtection="0">
      <alignment horizontal="right" vertical="center"/>
    </xf>
    <xf numFmtId="4" fontId="491" fillId="102" borderId="100" applyNumberFormat="0" applyProtection="0">
      <alignment horizontal="right" vertical="center"/>
    </xf>
    <xf numFmtId="4" fontId="491" fillId="102" borderId="100" applyNumberFormat="0" applyProtection="0">
      <alignment horizontal="right" vertical="center"/>
    </xf>
    <xf numFmtId="4" fontId="491" fillId="102" borderId="100" applyNumberFormat="0" applyProtection="0">
      <alignment horizontal="right" vertical="center"/>
    </xf>
    <xf numFmtId="4" fontId="491" fillId="102" borderId="100" applyNumberFormat="0" applyProtection="0">
      <alignment horizontal="right" vertical="center"/>
    </xf>
    <xf numFmtId="4" fontId="491" fillId="102" borderId="100" applyNumberFormat="0" applyProtection="0">
      <alignment horizontal="right" vertical="center"/>
    </xf>
    <xf numFmtId="4" fontId="491" fillId="102" borderId="100" applyNumberFormat="0" applyProtection="0">
      <alignment horizontal="right" vertical="center"/>
    </xf>
    <xf numFmtId="4" fontId="491" fillId="102" borderId="100" applyNumberFormat="0" applyProtection="0">
      <alignment horizontal="right" vertical="center"/>
    </xf>
    <xf numFmtId="4" fontId="491" fillId="102" borderId="100" applyNumberFormat="0" applyProtection="0">
      <alignment horizontal="right" vertical="center"/>
    </xf>
    <xf numFmtId="4" fontId="491" fillId="102" borderId="100" applyNumberFormat="0" applyProtection="0">
      <alignment horizontal="right" vertical="center"/>
    </xf>
    <xf numFmtId="4" fontId="491" fillId="102" borderId="100" applyNumberFormat="0" applyProtection="0">
      <alignment horizontal="right" vertical="center"/>
    </xf>
    <xf numFmtId="4" fontId="491" fillId="102" borderId="100" applyNumberFormat="0" applyProtection="0">
      <alignment horizontal="right" vertical="center"/>
    </xf>
    <xf numFmtId="4" fontId="491" fillId="102" borderId="100" applyNumberFormat="0" applyProtection="0">
      <alignment horizontal="right" vertical="center"/>
    </xf>
    <xf numFmtId="4" fontId="491" fillId="102" borderId="100" applyNumberFormat="0" applyProtection="0">
      <alignment horizontal="right" vertical="center"/>
    </xf>
    <xf numFmtId="4" fontId="491" fillId="102" borderId="100" applyNumberFormat="0" applyProtection="0">
      <alignment horizontal="right" vertical="center"/>
    </xf>
    <xf numFmtId="4" fontId="491" fillId="102" borderId="100" applyNumberFormat="0" applyProtection="0">
      <alignment horizontal="right" vertical="center"/>
    </xf>
    <xf numFmtId="4" fontId="491" fillId="102" borderId="100" applyNumberFormat="0" applyProtection="0">
      <alignment horizontal="right" vertical="center"/>
    </xf>
    <xf numFmtId="4" fontId="491" fillId="102" borderId="100" applyNumberFormat="0" applyProtection="0">
      <alignment horizontal="right" vertical="center"/>
    </xf>
    <xf numFmtId="4" fontId="491" fillId="102" borderId="100" applyNumberFormat="0" applyProtection="0">
      <alignment horizontal="right" vertical="center"/>
    </xf>
    <xf numFmtId="4" fontId="491" fillId="102" borderId="100" applyNumberFormat="0" applyProtection="0">
      <alignment horizontal="right" vertical="center"/>
    </xf>
    <xf numFmtId="4" fontId="491" fillId="102" borderId="100" applyNumberFormat="0" applyProtection="0">
      <alignment horizontal="right" vertical="center"/>
    </xf>
    <xf numFmtId="4" fontId="491" fillId="102" borderId="100" applyNumberFormat="0" applyProtection="0">
      <alignment horizontal="right" vertical="center"/>
    </xf>
    <xf numFmtId="4" fontId="491" fillId="102" borderId="100" applyNumberFormat="0" applyProtection="0">
      <alignment horizontal="right" vertical="center"/>
    </xf>
    <xf numFmtId="4" fontId="491" fillId="102" borderId="100" applyNumberFormat="0" applyProtection="0">
      <alignment horizontal="right" vertical="center"/>
    </xf>
    <xf numFmtId="4" fontId="491" fillId="102" borderId="100" applyNumberFormat="0" applyProtection="0">
      <alignment horizontal="right" vertical="center"/>
    </xf>
    <xf numFmtId="4" fontId="491" fillId="102" borderId="100" applyNumberFormat="0" applyProtection="0">
      <alignment horizontal="right" vertical="center"/>
    </xf>
    <xf numFmtId="4" fontId="491" fillId="102" borderId="100" applyNumberFormat="0" applyProtection="0">
      <alignment horizontal="right" vertical="center"/>
    </xf>
    <xf numFmtId="4" fontId="491" fillId="102" borderId="100" applyNumberFormat="0" applyProtection="0">
      <alignment horizontal="right" vertical="center"/>
    </xf>
    <xf numFmtId="4" fontId="491" fillId="102" borderId="100" applyNumberFormat="0" applyProtection="0">
      <alignment horizontal="right" vertical="center"/>
    </xf>
    <xf numFmtId="4" fontId="491" fillId="102" borderId="100" applyNumberFormat="0" applyProtection="0">
      <alignment horizontal="right" vertical="center"/>
    </xf>
    <xf numFmtId="4" fontId="491" fillId="102" borderId="100" applyNumberFormat="0" applyProtection="0">
      <alignment horizontal="right" vertical="center"/>
    </xf>
    <xf numFmtId="4" fontId="491" fillId="102" borderId="100" applyNumberFormat="0" applyProtection="0">
      <alignment horizontal="right" vertical="center"/>
    </xf>
    <xf numFmtId="4" fontId="491" fillId="102" borderId="100" applyNumberFormat="0" applyProtection="0">
      <alignment horizontal="right" vertical="center"/>
    </xf>
    <xf numFmtId="4" fontId="491" fillId="102" borderId="100" applyNumberFormat="0" applyProtection="0">
      <alignment horizontal="right" vertical="center"/>
    </xf>
    <xf numFmtId="4" fontId="491" fillId="102" borderId="100" applyNumberFormat="0" applyProtection="0">
      <alignment horizontal="right" vertical="center"/>
    </xf>
    <xf numFmtId="4" fontId="491" fillId="102" borderId="100" applyNumberFormat="0" applyProtection="0">
      <alignment horizontal="right" vertical="center"/>
    </xf>
    <xf numFmtId="4" fontId="491" fillId="102" borderId="100" applyNumberFormat="0" applyProtection="0">
      <alignment horizontal="right" vertical="center"/>
    </xf>
    <xf numFmtId="4" fontId="491" fillId="102" borderId="100" applyNumberFormat="0" applyProtection="0">
      <alignment horizontal="right" vertical="center"/>
    </xf>
    <xf numFmtId="4" fontId="491" fillId="102" borderId="100" applyNumberFormat="0" applyProtection="0">
      <alignment horizontal="right" vertical="center"/>
    </xf>
    <xf numFmtId="4" fontId="491" fillId="102" borderId="100" applyNumberFormat="0" applyProtection="0">
      <alignment horizontal="right" vertical="center"/>
    </xf>
    <xf numFmtId="4" fontId="491" fillId="102" borderId="100" applyNumberFormat="0" applyProtection="0">
      <alignment horizontal="right" vertical="center"/>
    </xf>
    <xf numFmtId="4" fontId="491" fillId="102" borderId="100" applyNumberFormat="0" applyProtection="0">
      <alignment horizontal="right" vertical="center"/>
    </xf>
    <xf numFmtId="4" fontId="491" fillId="102" borderId="100" applyNumberFormat="0" applyProtection="0">
      <alignment horizontal="right" vertical="center"/>
    </xf>
    <xf numFmtId="4" fontId="491" fillId="102" borderId="100" applyNumberFormat="0" applyProtection="0">
      <alignment horizontal="right" vertical="center"/>
    </xf>
    <xf numFmtId="4" fontId="491" fillId="102" borderId="100" applyNumberFormat="0" applyProtection="0">
      <alignment horizontal="right" vertical="center"/>
    </xf>
    <xf numFmtId="4" fontId="491" fillId="102" borderId="100" applyNumberFormat="0" applyProtection="0">
      <alignment horizontal="right" vertical="center"/>
    </xf>
    <xf numFmtId="4" fontId="491" fillId="102" borderId="100" applyNumberFormat="0" applyProtection="0">
      <alignment horizontal="right" vertical="center"/>
    </xf>
    <xf numFmtId="4" fontId="491" fillId="102" borderId="100" applyNumberFormat="0" applyProtection="0">
      <alignment horizontal="right" vertical="center"/>
    </xf>
    <xf numFmtId="4" fontId="491" fillId="102" borderId="100" applyNumberFormat="0" applyProtection="0">
      <alignment horizontal="right" vertical="center"/>
    </xf>
    <xf numFmtId="4" fontId="491" fillId="102" borderId="100" applyNumberFormat="0" applyProtection="0">
      <alignment horizontal="right" vertical="center"/>
    </xf>
    <xf numFmtId="4" fontId="491" fillId="102" borderId="100" applyNumberFormat="0" applyProtection="0">
      <alignment horizontal="right" vertical="center"/>
    </xf>
    <xf numFmtId="4" fontId="491" fillId="102" borderId="100" applyNumberFormat="0" applyProtection="0">
      <alignment horizontal="right" vertical="center"/>
    </xf>
    <xf numFmtId="4" fontId="491" fillId="102" borderId="100" applyNumberFormat="0" applyProtection="0">
      <alignment horizontal="right" vertical="center"/>
    </xf>
    <xf numFmtId="4" fontId="491" fillId="102" borderId="100" applyNumberFormat="0" applyProtection="0">
      <alignment horizontal="right" vertical="center"/>
    </xf>
    <xf numFmtId="4" fontId="491" fillId="102" borderId="100" applyNumberFormat="0" applyProtection="0">
      <alignment horizontal="right" vertical="center"/>
    </xf>
    <xf numFmtId="4" fontId="491" fillId="102" borderId="100" applyNumberFormat="0" applyProtection="0">
      <alignment horizontal="right" vertical="center"/>
    </xf>
    <xf numFmtId="4" fontId="491" fillId="102" borderId="100" applyNumberFormat="0" applyProtection="0">
      <alignment horizontal="right" vertical="center"/>
    </xf>
    <xf numFmtId="4" fontId="491" fillId="102" borderId="100" applyNumberFormat="0" applyProtection="0">
      <alignment horizontal="right" vertical="center"/>
    </xf>
    <xf numFmtId="4" fontId="491" fillId="102" borderId="100" applyNumberFormat="0" applyProtection="0">
      <alignment horizontal="right" vertical="center"/>
    </xf>
    <xf numFmtId="4" fontId="491" fillId="102" borderId="100" applyNumberFormat="0" applyProtection="0">
      <alignment horizontal="right" vertical="center"/>
    </xf>
    <xf numFmtId="4" fontId="491" fillId="102" borderId="100" applyNumberFormat="0" applyProtection="0">
      <alignment horizontal="right" vertical="center"/>
    </xf>
    <xf numFmtId="4" fontId="491" fillId="102" borderId="100" applyNumberFormat="0" applyProtection="0">
      <alignment horizontal="right" vertical="center"/>
    </xf>
    <xf numFmtId="4" fontId="491" fillId="102" borderId="100" applyNumberFormat="0" applyProtection="0">
      <alignment horizontal="right" vertical="center"/>
    </xf>
    <xf numFmtId="4" fontId="491" fillId="102" borderId="100" applyNumberFormat="0" applyProtection="0">
      <alignment horizontal="right" vertical="center"/>
    </xf>
    <xf numFmtId="4" fontId="491" fillId="102" borderId="100" applyNumberFormat="0" applyProtection="0">
      <alignment horizontal="right" vertical="center"/>
    </xf>
    <xf numFmtId="4" fontId="491" fillId="102" borderId="100" applyNumberFormat="0" applyProtection="0">
      <alignment horizontal="right" vertical="center"/>
    </xf>
    <xf numFmtId="4" fontId="491" fillId="102" borderId="100" applyNumberFormat="0" applyProtection="0">
      <alignment horizontal="right" vertical="center"/>
    </xf>
    <xf numFmtId="4" fontId="491" fillId="102" borderId="100" applyNumberFormat="0" applyProtection="0">
      <alignment horizontal="right" vertical="center"/>
    </xf>
    <xf numFmtId="4" fontId="491" fillId="102" borderId="100" applyNumberFormat="0" applyProtection="0">
      <alignment horizontal="right" vertical="center"/>
    </xf>
    <xf numFmtId="4" fontId="491" fillId="102" borderId="100" applyNumberFormat="0" applyProtection="0">
      <alignment horizontal="right" vertical="center"/>
    </xf>
    <xf numFmtId="4" fontId="491" fillId="102" borderId="100" applyNumberFormat="0" applyProtection="0">
      <alignment horizontal="right" vertical="center"/>
    </xf>
    <xf numFmtId="4" fontId="491" fillId="102" borderId="100" applyNumberFormat="0" applyProtection="0">
      <alignment horizontal="right" vertical="center"/>
    </xf>
    <xf numFmtId="4" fontId="491" fillId="102" borderId="100" applyNumberFormat="0" applyProtection="0">
      <alignment horizontal="right" vertical="center"/>
    </xf>
    <xf numFmtId="4" fontId="491" fillId="102" borderId="100" applyNumberFormat="0" applyProtection="0">
      <alignment horizontal="right" vertical="center"/>
    </xf>
    <xf numFmtId="4" fontId="491" fillId="102" borderId="100" applyNumberFormat="0" applyProtection="0">
      <alignment horizontal="right" vertical="center"/>
    </xf>
    <xf numFmtId="4" fontId="491" fillId="102" borderId="100" applyNumberFormat="0" applyProtection="0">
      <alignment horizontal="right" vertical="center"/>
    </xf>
    <xf numFmtId="4" fontId="491" fillId="102" borderId="100" applyNumberFormat="0" applyProtection="0">
      <alignment horizontal="right" vertical="center"/>
    </xf>
    <xf numFmtId="4" fontId="491" fillId="102" borderId="100" applyNumberFormat="0" applyProtection="0">
      <alignment horizontal="right" vertical="center"/>
    </xf>
    <xf numFmtId="4" fontId="491" fillId="102" borderId="100" applyNumberFormat="0" applyProtection="0">
      <alignment horizontal="right" vertical="center"/>
    </xf>
    <xf numFmtId="4" fontId="491" fillId="102" borderId="100" applyNumberFormat="0" applyProtection="0">
      <alignment horizontal="right" vertical="center"/>
    </xf>
    <xf numFmtId="4" fontId="491" fillId="102" borderId="100" applyNumberFormat="0" applyProtection="0">
      <alignment horizontal="right" vertical="center"/>
    </xf>
    <xf numFmtId="4" fontId="490" fillId="15" borderId="99" applyNumberFormat="0" applyProtection="0">
      <alignment vertical="center"/>
    </xf>
    <xf numFmtId="4" fontId="490" fillId="15" borderId="99" applyNumberFormat="0" applyProtection="0">
      <alignment vertical="center"/>
    </xf>
    <xf numFmtId="4" fontId="491" fillId="102" borderId="100" applyNumberFormat="0" applyProtection="0">
      <alignment horizontal="right" vertical="center"/>
    </xf>
    <xf numFmtId="4" fontId="491" fillId="102" borderId="100" applyNumberFormat="0" applyProtection="0">
      <alignment horizontal="right" vertical="center"/>
    </xf>
    <xf numFmtId="4" fontId="491" fillId="102" borderId="100" applyNumberFormat="0" applyProtection="0">
      <alignment horizontal="right" vertical="center"/>
    </xf>
    <xf numFmtId="4" fontId="491" fillId="102" borderId="100" applyNumberFormat="0" applyProtection="0">
      <alignment horizontal="right" vertical="center"/>
    </xf>
    <xf numFmtId="4" fontId="491" fillId="102" borderId="100" applyNumberFormat="0" applyProtection="0">
      <alignment horizontal="right" vertical="center"/>
    </xf>
    <xf numFmtId="4" fontId="491" fillId="102" borderId="100" applyNumberFormat="0" applyProtection="0">
      <alignment horizontal="right" vertical="center"/>
    </xf>
    <xf numFmtId="4" fontId="491" fillId="102" borderId="100" applyNumberFormat="0" applyProtection="0">
      <alignment horizontal="right" vertical="center"/>
    </xf>
    <xf numFmtId="4" fontId="491" fillId="102" borderId="100" applyNumberFormat="0" applyProtection="0">
      <alignment horizontal="right" vertical="center"/>
    </xf>
    <xf numFmtId="4" fontId="491" fillId="102" borderId="100" applyNumberFormat="0" applyProtection="0">
      <alignment horizontal="right" vertical="center"/>
    </xf>
    <xf numFmtId="4" fontId="491" fillId="102" borderId="100" applyNumberFormat="0" applyProtection="0">
      <alignment horizontal="right" vertical="center"/>
    </xf>
    <xf numFmtId="4" fontId="491" fillId="102" borderId="100" applyNumberFormat="0" applyProtection="0">
      <alignment horizontal="right" vertical="center"/>
    </xf>
    <xf numFmtId="4" fontId="491" fillId="102" borderId="100" applyNumberFormat="0" applyProtection="0">
      <alignment horizontal="right" vertical="center"/>
    </xf>
    <xf numFmtId="4" fontId="491" fillId="102" borderId="100" applyNumberFormat="0" applyProtection="0">
      <alignment horizontal="right" vertical="center"/>
    </xf>
    <xf numFmtId="4" fontId="491" fillId="102" borderId="100" applyNumberFormat="0" applyProtection="0">
      <alignment horizontal="right" vertical="center"/>
    </xf>
    <xf numFmtId="4" fontId="491" fillId="102" borderId="100" applyNumberFormat="0" applyProtection="0">
      <alignment horizontal="right" vertical="center"/>
    </xf>
    <xf numFmtId="4" fontId="491" fillId="102" borderId="100" applyNumberFormat="0" applyProtection="0">
      <alignment horizontal="right" vertical="center"/>
    </xf>
    <xf numFmtId="4" fontId="491" fillId="102" borderId="100" applyNumberFormat="0" applyProtection="0">
      <alignment horizontal="right" vertical="center"/>
    </xf>
    <xf numFmtId="4" fontId="491" fillId="102" borderId="100" applyNumberFormat="0" applyProtection="0">
      <alignment horizontal="right" vertical="center"/>
    </xf>
    <xf numFmtId="0" fontId="282" fillId="45" borderId="0" applyNumberFormat="0" applyBorder="0" applyAlignment="0" applyProtection="0"/>
    <xf numFmtId="201" fontId="492" fillId="0" borderId="0" applyFont="0" applyFill="0" applyBorder="0" applyAlignment="0" applyProtection="0"/>
    <xf numFmtId="228" fontId="493" fillId="0" borderId="0" applyNumberFormat="0" applyFill="0" applyBorder="0"/>
    <xf numFmtId="0" fontId="494" fillId="0" borderId="0">
      <alignment horizontal="left"/>
    </xf>
    <xf numFmtId="0" fontId="495" fillId="0" borderId="0" applyFill="0" applyBorder="0">
      <alignment horizontal="left" vertical="center"/>
    </xf>
    <xf numFmtId="0" fontId="2" fillId="0" borderId="0">
      <alignment horizontal="left"/>
    </xf>
    <xf numFmtId="0" fontId="496" fillId="77" borderId="0" applyNumberFormat="0" applyBorder="0">
      <alignment vertical="center"/>
    </xf>
    <xf numFmtId="330" fontId="2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464" fillId="103" borderId="2">
      <alignment horizontal="right"/>
    </xf>
    <xf numFmtId="0" fontId="464" fillId="103" borderId="2">
      <alignment horizontal="right"/>
    </xf>
    <xf numFmtId="0" fontId="464" fillId="103" borderId="2">
      <alignment horizontal="right"/>
    </xf>
    <xf numFmtId="0" fontId="464" fillId="103" borderId="2">
      <alignment horizontal="right"/>
    </xf>
    <xf numFmtId="0" fontId="464" fillId="103" borderId="2">
      <alignment horizontal="right"/>
    </xf>
    <xf numFmtId="0" fontId="464" fillId="103" borderId="2">
      <alignment horizontal="right"/>
    </xf>
    <xf numFmtId="0" fontId="464" fillId="103" borderId="2">
      <alignment horizontal="right"/>
    </xf>
    <xf numFmtId="0" fontId="464" fillId="103" borderId="2">
      <alignment horizontal="right"/>
    </xf>
    <xf numFmtId="0" fontId="464" fillId="103" borderId="2">
      <alignment horizontal="right"/>
    </xf>
    <xf numFmtId="0" fontId="464" fillId="103" borderId="2">
      <alignment horizontal="right"/>
    </xf>
    <xf numFmtId="0" fontId="464" fillId="103" borderId="2">
      <alignment horizontal="right"/>
    </xf>
    <xf numFmtId="0" fontId="464" fillId="103" borderId="2">
      <alignment horizontal="right"/>
    </xf>
    <xf numFmtId="0" fontId="464" fillId="103" borderId="2">
      <alignment horizontal="right"/>
    </xf>
    <xf numFmtId="0" fontId="464" fillId="103" borderId="2">
      <alignment horizontal="right"/>
    </xf>
    <xf numFmtId="0" fontId="464" fillId="103" borderId="2">
      <alignment horizontal="right"/>
    </xf>
    <xf numFmtId="0" fontId="464" fillId="103" borderId="2">
      <alignment horizontal="right"/>
    </xf>
    <xf numFmtId="0" fontId="464" fillId="103" borderId="2">
      <alignment horizontal="right"/>
    </xf>
    <xf numFmtId="0" fontId="464" fillId="103" borderId="2">
      <alignment horizontal="right"/>
    </xf>
    <xf numFmtId="0" fontId="464" fillId="103" borderId="2">
      <alignment horizontal="right"/>
    </xf>
    <xf numFmtId="0" fontId="464" fillId="103" borderId="2">
      <alignment horizontal="right"/>
    </xf>
    <xf numFmtId="0" fontId="464" fillId="103" borderId="2">
      <alignment horizontal="right"/>
    </xf>
    <xf numFmtId="0" fontId="464" fillId="103" borderId="2">
      <alignment horizontal="right"/>
    </xf>
    <xf numFmtId="0" fontId="464" fillId="103" borderId="2">
      <alignment horizontal="right"/>
    </xf>
    <xf numFmtId="0" fontId="464" fillId="103" borderId="2">
      <alignment horizontal="right"/>
    </xf>
    <xf numFmtId="0" fontId="464" fillId="103" borderId="2">
      <alignment horizontal="right"/>
    </xf>
    <xf numFmtId="0" fontId="464" fillId="103" borderId="2">
      <alignment horizontal="right"/>
    </xf>
    <xf numFmtId="0" fontId="464" fillId="103" borderId="2">
      <alignment horizontal="right"/>
    </xf>
    <xf numFmtId="0" fontId="464" fillId="103" borderId="2">
      <alignment horizontal="right"/>
    </xf>
    <xf numFmtId="0" fontId="464" fillId="103" borderId="2">
      <alignment horizontal="right"/>
    </xf>
    <xf numFmtId="0" fontId="464" fillId="103" borderId="2">
      <alignment horizontal="right"/>
    </xf>
    <xf numFmtId="0" fontId="464" fillId="103" borderId="2">
      <alignment horizontal="right"/>
    </xf>
    <xf numFmtId="0" fontId="464" fillId="103" borderId="2">
      <alignment horizontal="right"/>
    </xf>
    <xf numFmtId="0" fontId="464" fillId="103" borderId="2">
      <alignment horizontal="right"/>
    </xf>
    <xf numFmtId="0" fontId="464" fillId="103" borderId="2">
      <alignment horizontal="right"/>
    </xf>
    <xf numFmtId="0" fontId="464" fillId="103" borderId="2">
      <alignment horizontal="right"/>
    </xf>
    <xf numFmtId="0" fontId="464" fillId="103" borderId="2">
      <alignment horizontal="right"/>
    </xf>
    <xf numFmtId="0" fontId="464" fillId="103" borderId="2">
      <alignment horizontal="right"/>
    </xf>
    <xf numFmtId="0" fontId="464" fillId="103" borderId="2">
      <alignment horizontal="right"/>
    </xf>
    <xf numFmtId="0" fontId="464" fillId="103" borderId="2">
      <alignment horizontal="right"/>
    </xf>
    <xf numFmtId="0" fontId="464" fillId="103" borderId="2">
      <alignment horizontal="right"/>
    </xf>
    <xf numFmtId="0" fontId="464" fillId="103" borderId="2">
      <alignment horizontal="right"/>
    </xf>
    <xf numFmtId="0" fontId="464" fillId="103" borderId="2">
      <alignment horizontal="right"/>
    </xf>
    <xf numFmtId="0" fontId="464" fillId="103" borderId="2">
      <alignment horizontal="right"/>
    </xf>
    <xf numFmtId="0" fontId="464" fillId="103" borderId="2">
      <alignment horizontal="right"/>
    </xf>
    <xf numFmtId="0" fontId="497" fillId="0" borderId="0" applyFill="0" applyBorder="0">
      <alignment horizontal="left" vertical="center"/>
    </xf>
    <xf numFmtId="0" fontId="498" fillId="0" borderId="0" applyNumberFormat="0" applyFill="0" applyBorder="0" applyAlignment="0" applyProtection="0">
      <alignment vertical="top"/>
      <protection locked="0"/>
    </xf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17" fillId="0" borderId="0"/>
    <xf numFmtId="257" fontId="429" fillId="0" borderId="0">
      <alignment horizontal="center"/>
    </xf>
    <xf numFmtId="0" fontId="56" fillId="0" borderId="8" applyBorder="0" applyAlignment="0" applyProtection="0">
      <alignment horizontal="center" vertical="top"/>
    </xf>
    <xf numFmtId="0" fontId="56" fillId="0" borderId="8" applyBorder="0" applyAlignment="0" applyProtection="0">
      <alignment horizontal="center" vertical="top"/>
    </xf>
    <xf numFmtId="0" fontId="56" fillId="0" borderId="8" applyBorder="0" applyAlignment="0" applyProtection="0">
      <alignment horizontal="center" vertical="top"/>
    </xf>
    <xf numFmtId="0" fontId="56" fillId="0" borderId="8" applyBorder="0" applyAlignment="0" applyProtection="0">
      <alignment horizontal="center" vertical="top"/>
    </xf>
    <xf numFmtId="0" fontId="56" fillId="0" borderId="8" applyBorder="0" applyAlignment="0" applyProtection="0">
      <alignment horizontal="center" vertical="top"/>
    </xf>
    <xf numFmtId="0" fontId="56" fillId="0" borderId="8" applyBorder="0" applyAlignment="0" applyProtection="0">
      <alignment horizontal="center" vertical="top"/>
    </xf>
    <xf numFmtId="0" fontId="56" fillId="0" borderId="8" applyBorder="0" applyAlignment="0" applyProtection="0">
      <alignment horizontal="center" vertical="top"/>
    </xf>
    <xf numFmtId="0" fontId="56" fillId="0" borderId="8" applyBorder="0" applyAlignment="0" applyProtection="0">
      <alignment horizontal="center" vertical="top"/>
    </xf>
    <xf numFmtId="0" fontId="56" fillId="0" borderId="8" applyBorder="0" applyAlignment="0" applyProtection="0">
      <alignment horizontal="center" vertical="top"/>
    </xf>
    <xf numFmtId="0" fontId="56" fillId="0" borderId="8" applyBorder="0" applyAlignment="0" applyProtection="0">
      <alignment horizontal="center" vertical="top"/>
    </xf>
    <xf numFmtId="0" fontId="56" fillId="0" borderId="8" applyBorder="0" applyAlignment="0" applyProtection="0">
      <alignment horizontal="center" vertical="top"/>
    </xf>
    <xf numFmtId="0" fontId="56" fillId="0" borderId="8" applyBorder="0" applyAlignment="0" applyProtection="0">
      <alignment horizontal="center" vertical="top"/>
    </xf>
    <xf numFmtId="0" fontId="56" fillId="0" borderId="8" applyBorder="0" applyAlignment="0" applyProtection="0">
      <alignment horizontal="center" vertical="top"/>
    </xf>
    <xf numFmtId="0" fontId="56" fillId="0" borderId="8" applyBorder="0" applyAlignment="0" applyProtection="0">
      <alignment horizontal="center" vertical="top"/>
    </xf>
    <xf numFmtId="0" fontId="56" fillId="0" borderId="8" applyBorder="0" applyAlignment="0" applyProtection="0">
      <alignment horizontal="center" vertical="top"/>
    </xf>
    <xf numFmtId="0" fontId="56" fillId="0" borderId="8" applyBorder="0" applyAlignment="0" applyProtection="0">
      <alignment horizontal="center" vertical="top"/>
    </xf>
    <xf numFmtId="0" fontId="56" fillId="0" borderId="8" applyBorder="0" applyAlignment="0" applyProtection="0">
      <alignment horizontal="center" vertical="top"/>
    </xf>
    <xf numFmtId="0" fontId="56" fillId="0" borderId="8" applyBorder="0" applyAlignment="0" applyProtection="0">
      <alignment horizontal="center" vertical="top"/>
    </xf>
    <xf numFmtId="0" fontId="56" fillId="0" borderId="8" applyBorder="0" applyAlignment="0" applyProtection="0">
      <alignment horizontal="center" vertical="top"/>
    </xf>
    <xf numFmtId="0" fontId="56" fillId="0" borderId="8" applyBorder="0" applyAlignment="0" applyProtection="0">
      <alignment horizontal="center" vertical="top"/>
    </xf>
    <xf numFmtId="0" fontId="56" fillId="0" borderId="8" applyBorder="0" applyAlignment="0" applyProtection="0">
      <alignment horizontal="center" vertical="top"/>
    </xf>
    <xf numFmtId="0" fontId="56" fillId="0" borderId="8" applyBorder="0" applyAlignment="0" applyProtection="0">
      <alignment horizontal="center" vertical="top"/>
    </xf>
    <xf numFmtId="0" fontId="56" fillId="0" borderId="8" applyBorder="0" applyAlignment="0" applyProtection="0">
      <alignment horizontal="center" vertical="top"/>
    </xf>
    <xf numFmtId="0" fontId="56" fillId="0" borderId="8" applyBorder="0" applyAlignment="0" applyProtection="0">
      <alignment horizontal="center" vertical="top"/>
    </xf>
    <xf numFmtId="0" fontId="56" fillId="0" borderId="8" applyBorder="0" applyAlignment="0" applyProtection="0">
      <alignment horizontal="center" vertical="top"/>
    </xf>
    <xf numFmtId="0" fontId="56" fillId="0" borderId="8" applyBorder="0" applyAlignment="0" applyProtection="0">
      <alignment horizontal="center" vertical="top"/>
    </xf>
    <xf numFmtId="0" fontId="56" fillId="0" borderId="8" applyBorder="0" applyAlignment="0" applyProtection="0">
      <alignment horizontal="center" vertical="top"/>
    </xf>
    <xf numFmtId="0" fontId="56" fillId="0" borderId="8" applyBorder="0" applyAlignment="0" applyProtection="0">
      <alignment horizontal="center" vertical="top"/>
    </xf>
    <xf numFmtId="0" fontId="56" fillId="0" borderId="8" applyBorder="0" applyAlignment="0" applyProtection="0">
      <alignment horizontal="center" vertical="top"/>
    </xf>
    <xf numFmtId="0" fontId="56" fillId="0" borderId="8" applyBorder="0" applyAlignment="0" applyProtection="0">
      <alignment horizontal="center" vertical="top"/>
    </xf>
    <xf numFmtId="0" fontId="56" fillId="0" borderId="8" applyBorder="0" applyAlignment="0" applyProtection="0">
      <alignment horizontal="center" vertical="top"/>
    </xf>
    <xf numFmtId="0" fontId="56" fillId="0" borderId="8" applyBorder="0" applyAlignment="0" applyProtection="0">
      <alignment horizontal="center" vertical="top"/>
    </xf>
    <xf numFmtId="0" fontId="56" fillId="0" borderId="8" applyBorder="0" applyAlignment="0" applyProtection="0">
      <alignment horizontal="center" vertical="top"/>
    </xf>
    <xf numFmtId="0" fontId="56" fillId="0" borderId="8" applyBorder="0" applyAlignment="0" applyProtection="0">
      <alignment horizontal="center" vertical="top"/>
    </xf>
    <xf numFmtId="0" fontId="56" fillId="0" borderId="8" applyBorder="0" applyAlignment="0" applyProtection="0">
      <alignment horizontal="center" vertical="top"/>
    </xf>
    <xf numFmtId="0" fontId="56" fillId="0" borderId="8" applyBorder="0" applyAlignment="0" applyProtection="0">
      <alignment horizontal="center" vertical="top"/>
    </xf>
    <xf numFmtId="0" fontId="499" fillId="0" borderId="2">
      <alignment horizontal="center"/>
    </xf>
    <xf numFmtId="0" fontId="167" fillId="0" borderId="0"/>
    <xf numFmtId="0" fontId="58" fillId="104" borderId="102">
      <alignment horizontal="center"/>
    </xf>
    <xf numFmtId="0" fontId="58" fillId="104" borderId="102">
      <alignment horizontal="center"/>
    </xf>
    <xf numFmtId="0" fontId="58" fillId="104" borderId="102">
      <alignment horizontal="center"/>
    </xf>
    <xf numFmtId="0" fontId="58" fillId="104" borderId="102">
      <alignment horizontal="center"/>
    </xf>
    <xf numFmtId="0" fontId="58" fillId="104" borderId="102">
      <alignment horizontal="center"/>
    </xf>
    <xf numFmtId="0" fontId="58" fillId="104" borderId="102">
      <alignment horizontal="center"/>
    </xf>
    <xf numFmtId="0" fontId="58" fillId="104" borderId="102">
      <alignment horizontal="center"/>
    </xf>
    <xf numFmtId="0" fontId="58" fillId="104" borderId="102">
      <alignment horizontal="center"/>
    </xf>
    <xf numFmtId="0" fontId="58" fillId="104" borderId="102">
      <alignment horizontal="center"/>
    </xf>
    <xf numFmtId="0" fontId="58" fillId="104" borderId="102">
      <alignment horizontal="center"/>
    </xf>
    <xf numFmtId="0" fontId="58" fillId="104" borderId="102">
      <alignment horizontal="center"/>
    </xf>
    <xf numFmtId="0" fontId="58" fillId="104" borderId="102">
      <alignment horizontal="center"/>
    </xf>
    <xf numFmtId="0" fontId="58" fillId="104" borderId="102">
      <alignment horizontal="center"/>
    </xf>
    <xf numFmtId="0" fontId="58" fillId="104" borderId="102">
      <alignment horizontal="center"/>
    </xf>
    <xf numFmtId="0" fontId="58" fillId="104" borderId="102">
      <alignment horizontal="center"/>
    </xf>
    <xf numFmtId="0" fontId="58" fillId="104" borderId="102">
      <alignment horizontal="center"/>
    </xf>
    <xf numFmtId="0" fontId="58" fillId="104" borderId="102">
      <alignment horizontal="center"/>
    </xf>
    <xf numFmtId="0" fontId="17" fillId="0" borderId="0"/>
    <xf numFmtId="0" fontId="170" fillId="0" borderId="0"/>
    <xf numFmtId="0" fontId="170" fillId="0" borderId="0"/>
    <xf numFmtId="0" fontId="58" fillId="104" borderId="102">
      <alignment horizontal="center"/>
    </xf>
    <xf numFmtId="0" fontId="58" fillId="104" borderId="102">
      <alignment horizontal="center"/>
    </xf>
    <xf numFmtId="0" fontId="58" fillId="104" borderId="102">
      <alignment horizontal="center"/>
    </xf>
    <xf numFmtId="0" fontId="58" fillId="104" borderId="102">
      <alignment horizontal="center"/>
    </xf>
    <xf numFmtId="0" fontId="58" fillId="104" borderId="102">
      <alignment horizontal="center"/>
    </xf>
    <xf numFmtId="0" fontId="58" fillId="104" borderId="102">
      <alignment horizontal="center"/>
    </xf>
    <xf numFmtId="0" fontId="58" fillId="104" borderId="102">
      <alignment horizontal="center"/>
    </xf>
    <xf numFmtId="0" fontId="58" fillId="104" borderId="102">
      <alignment horizontal="center"/>
    </xf>
    <xf numFmtId="0" fontId="58" fillId="104" borderId="102">
      <alignment horizontal="center"/>
    </xf>
    <xf numFmtId="0" fontId="58" fillId="104" borderId="102">
      <alignment horizontal="center"/>
    </xf>
    <xf numFmtId="0" fontId="58" fillId="104" borderId="102">
      <alignment horizontal="center"/>
    </xf>
    <xf numFmtId="0" fontId="58" fillId="104" borderId="102">
      <alignment horizontal="center"/>
    </xf>
    <xf numFmtId="0" fontId="58" fillId="104" borderId="102">
      <alignment horizontal="center"/>
    </xf>
    <xf numFmtId="0" fontId="58" fillId="104" borderId="102">
      <alignment horizontal="center"/>
    </xf>
    <xf numFmtId="0" fontId="58" fillId="104" borderId="102">
      <alignment horizontal="center"/>
    </xf>
    <xf numFmtId="0" fontId="16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4" fontId="500" fillId="0" borderId="0" applyFill="0" applyBorder="0" applyAlignment="0" applyProtection="0"/>
    <xf numFmtId="4" fontId="501" fillId="0" borderId="0" applyFill="0" applyBorder="0" applyAlignment="0" applyProtection="0"/>
    <xf numFmtId="4" fontId="502" fillId="105" borderId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4" fontId="503" fillId="106" borderId="0" applyProtection="0">
      <alignment horizontal="center" vertical="center"/>
    </xf>
    <xf numFmtId="0" fontId="504" fillId="107" borderId="0" applyNumberFormat="0" applyProtection="0">
      <alignment horizontal="center" vertical="center" wrapText="1"/>
    </xf>
    <xf numFmtId="0" fontId="505" fillId="15" borderId="0" applyNumberFormat="0" applyProtection="0">
      <alignment horizontal="center" vertical="center" wrapText="1"/>
    </xf>
    <xf numFmtId="0" fontId="17" fillId="0" borderId="0"/>
    <xf numFmtId="0" fontId="309" fillId="106" borderId="0" applyNumberFormat="0" applyProtection="0">
      <alignment horizontal="center" vertical="center" wrapText="1"/>
    </xf>
    <xf numFmtId="0" fontId="17" fillId="0" borderId="0"/>
    <xf numFmtId="0" fontId="17" fillId="0" borderId="0"/>
    <xf numFmtId="331" fontId="264" fillId="1" borderId="103" applyBorder="0" applyProtection="0">
      <alignment vertical="center"/>
    </xf>
    <xf numFmtId="0" fontId="264" fillId="1" borderId="103" applyBorder="0" applyProtection="0">
      <alignment vertical="center"/>
    </xf>
    <xf numFmtId="0" fontId="506" fillId="108" borderId="0" applyNumberFormat="0" applyFill="0">
      <alignment horizontal="left" vertical="center"/>
    </xf>
    <xf numFmtId="0" fontId="507" fillId="109" borderId="2">
      <alignment horizontal="center" vertical="center"/>
    </xf>
    <xf numFmtId="0" fontId="507" fillId="109" borderId="2">
      <alignment horizontal="center" vertical="center"/>
    </xf>
    <xf numFmtId="0" fontId="427" fillId="0" borderId="0"/>
    <xf numFmtId="0" fontId="508" fillId="0" borderId="0" applyNumberFormat="0" applyFill="0" applyBorder="0" applyAlignment="0" applyProtection="0"/>
    <xf numFmtId="0" fontId="509" fillId="0" borderId="0" applyNumberFormat="0" applyFill="0" applyBorder="0" applyAlignment="0" applyProtection="0"/>
    <xf numFmtId="0" fontId="509" fillId="0" borderId="104">
      <alignment horizontal="left"/>
    </xf>
    <xf numFmtId="332" fontId="281" fillId="0" borderId="0" applyFill="0" applyBorder="0" applyProtection="0"/>
    <xf numFmtId="40" fontId="510" fillId="0" borderId="0" applyBorder="0">
      <alignment horizontal="right"/>
    </xf>
    <xf numFmtId="38" fontId="511" fillId="0" borderId="0" applyFill="0" applyBorder="0" applyAlignment="0" applyProtection="0"/>
    <xf numFmtId="252" fontId="17" fillId="0" borderId="0" applyFill="0" applyBorder="0" applyAlignment="0" applyProtection="0"/>
    <xf numFmtId="210" fontId="17" fillId="0" borderId="0" applyFill="0" applyBorder="0" applyAlignment="0" applyProtection="0"/>
    <xf numFmtId="38" fontId="511" fillId="0" borderId="0" applyFill="0" applyBorder="0" applyAlignment="0" applyProtection="0"/>
    <xf numFmtId="0" fontId="278" fillId="0" borderId="0"/>
    <xf numFmtId="260" fontId="464" fillId="0" borderId="0"/>
    <xf numFmtId="0" fontId="27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12" fillId="13" borderId="0" applyBorder="0">
      <alignment horizontal="center" vertical="center"/>
      <protection locked="0"/>
    </xf>
    <xf numFmtId="0" fontId="370" fillId="0" borderId="0" applyAlignment="0">
      <alignment vertical="center"/>
    </xf>
    <xf numFmtId="49" fontId="171" fillId="0" borderId="0" applyFill="0" applyBorder="0" applyAlignment="0"/>
    <xf numFmtId="0" fontId="171" fillId="0" borderId="0" applyFill="0" applyBorder="0" applyAlignment="0"/>
    <xf numFmtId="7" fontId="17" fillId="0" borderId="0" applyFill="0" applyBorder="0" applyAlignment="0"/>
    <xf numFmtId="7" fontId="17" fillId="0" borderId="0" applyFill="0" applyBorder="0" applyAlignment="0"/>
    <xf numFmtId="0" fontId="344" fillId="0" borderId="0" applyNumberFormat="0" applyFill="0" applyBorder="0" applyAlignment="0" applyProtection="0"/>
    <xf numFmtId="0" fontId="268" fillId="0" borderId="0" applyNumberFormat="0" applyFill="0" applyBorder="0" applyAlignment="0" applyProtection="0"/>
    <xf numFmtId="0" fontId="344" fillId="0" borderId="0" applyNumberFormat="0" applyFill="0" applyBorder="0" applyAlignment="0" applyProtection="0"/>
    <xf numFmtId="0" fontId="513" fillId="0" borderId="0"/>
    <xf numFmtId="333" fontId="514" fillId="0" borderId="31" applyFont="0" applyFill="0" applyBorder="0" applyAlignment="0" applyProtection="0">
      <alignment horizontal="right"/>
    </xf>
    <xf numFmtId="334" fontId="56" fillId="110" borderId="0" applyFill="0"/>
    <xf numFmtId="334" fontId="56" fillId="110" borderId="0" applyFill="0"/>
    <xf numFmtId="0" fontId="504" fillId="0" borderId="0" applyFill="0" applyBorder="0" applyProtection="0">
      <alignment horizontal="left" vertical="top"/>
    </xf>
    <xf numFmtId="0" fontId="17" fillId="0" borderId="0" applyFont="0" applyFill="0" applyBorder="0" applyAlignment="0" applyProtection="0">
      <alignment horizontal="left"/>
    </xf>
    <xf numFmtId="18" fontId="329" fillId="0" borderId="0" applyFont="0" applyFill="0" applyBorder="0" applyAlignment="0" applyProtection="0">
      <alignment horizontal="left"/>
    </xf>
    <xf numFmtId="0" fontId="299" fillId="0" borderId="0">
      <alignment horizontal="center"/>
    </xf>
    <xf numFmtId="0" fontId="515" fillId="0" borderId="0" applyNumberFormat="0" applyFill="0" applyBorder="0" applyAlignment="0" applyProtection="0"/>
    <xf numFmtId="0" fontId="515" fillId="0" borderId="0" applyNumberFormat="0" applyFill="0" applyBorder="0" applyAlignment="0" applyProtection="0"/>
    <xf numFmtId="0" fontId="171" fillId="0" borderId="0" applyNumberFormat="0" applyFill="0" applyBorder="0" applyProtection="0">
      <alignment horizontal="left"/>
    </xf>
    <xf numFmtId="0" fontId="516" fillId="0" borderId="0" applyNumberFormat="0" applyFill="0" applyBorder="0" applyAlignment="0" applyProtection="0"/>
    <xf numFmtId="0" fontId="409" fillId="0" borderId="0" applyNumberFormat="0" applyFill="0" applyBorder="0" applyProtection="0">
      <alignment horizontal="left"/>
    </xf>
    <xf numFmtId="0" fontId="516" fillId="0" borderId="0" applyNumberFormat="0" applyFill="0" applyBorder="0" applyAlignment="0" applyProtection="0"/>
    <xf numFmtId="0" fontId="171" fillId="0" borderId="0" applyNumberFormat="0" applyFill="0" applyBorder="0" applyProtection="0">
      <alignment horizontal="left"/>
    </xf>
    <xf numFmtId="0" fontId="517" fillId="0" borderId="0"/>
    <xf numFmtId="0" fontId="515" fillId="0" borderId="0" applyNumberFormat="0" applyFill="0" applyBorder="0" applyAlignment="0" applyProtection="0"/>
    <xf numFmtId="305" fontId="171" fillId="92" borderId="0" applyNumberFormat="0" applyBorder="0">
      <alignment horizontal="center"/>
      <protection locked="0"/>
    </xf>
    <xf numFmtId="305" fontId="171" fillId="108" borderId="0" applyNumberFormat="0" applyBorder="0">
      <alignment horizontal="left"/>
      <protection locked="0"/>
    </xf>
    <xf numFmtId="0" fontId="373" fillId="0" borderId="84" applyNumberFormat="0" applyFill="0" applyAlignment="0" applyProtection="0"/>
    <xf numFmtId="0" fontId="373" fillId="0" borderId="84" applyNumberFormat="0" applyFill="0" applyAlignment="0" applyProtection="0"/>
    <xf numFmtId="0" fontId="377" fillId="0" borderId="86" applyNumberFormat="0" applyFill="0" applyAlignment="0" applyProtection="0"/>
    <xf numFmtId="0" fontId="377" fillId="0" borderId="86" applyNumberFormat="0" applyFill="0" applyAlignment="0" applyProtection="0"/>
    <xf numFmtId="0" fontId="336" fillId="0" borderId="88" applyNumberFormat="0" applyFill="0" applyAlignment="0" applyProtection="0"/>
    <xf numFmtId="0" fontId="336" fillId="0" borderId="0" applyNumberFormat="0" applyFill="0" applyBorder="0" applyAlignment="0" applyProtection="0"/>
    <xf numFmtId="0" fontId="518" fillId="0" borderId="0" applyBorder="0">
      <alignment horizontal="centerContinuous" vertical="center"/>
    </xf>
    <xf numFmtId="0" fontId="515" fillId="0" borderId="0" applyNumberFormat="0" applyFill="0" applyBorder="0" applyAlignment="0" applyProtection="0"/>
    <xf numFmtId="0" fontId="373" fillId="0" borderId="84" applyNumberFormat="0" applyFill="0" applyAlignment="0" applyProtection="0"/>
    <xf numFmtId="0" fontId="377" fillId="0" borderId="86" applyNumberFormat="0" applyFill="0" applyAlignment="0" applyProtection="0"/>
    <xf numFmtId="0" fontId="336" fillId="0" borderId="88" applyNumberFormat="0" applyFill="0" applyAlignment="0" applyProtection="0"/>
    <xf numFmtId="0" fontId="519" fillId="0" borderId="0" applyNumberFormat="0" applyFill="0" applyBorder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6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6" applyNumberFormat="0" applyFill="0" applyAlignment="0" applyProtection="0"/>
    <xf numFmtId="0" fontId="335" fillId="0" borderId="106" applyNumberFormat="0" applyFill="0" applyAlignment="0" applyProtection="0"/>
    <xf numFmtId="0" fontId="335" fillId="0" borderId="106" applyNumberFormat="0" applyFill="0" applyAlignment="0" applyProtection="0"/>
    <xf numFmtId="0" fontId="335" fillId="0" borderId="106" applyNumberFormat="0" applyFill="0" applyAlignment="0" applyProtection="0"/>
    <xf numFmtId="0" fontId="335" fillId="0" borderId="106" applyNumberFormat="0" applyFill="0" applyAlignment="0" applyProtection="0"/>
    <xf numFmtId="0" fontId="335" fillId="0" borderId="106" applyNumberFormat="0" applyFill="0" applyAlignment="0" applyProtection="0"/>
    <xf numFmtId="0" fontId="335" fillId="0" borderId="106" applyNumberFormat="0" applyFill="0" applyAlignment="0" applyProtection="0"/>
    <xf numFmtId="0" fontId="335" fillId="0" borderId="106" applyNumberFormat="0" applyFill="0" applyAlignment="0" applyProtection="0"/>
    <xf numFmtId="0" fontId="335" fillId="0" borderId="106" applyNumberFormat="0" applyFill="0" applyAlignment="0" applyProtection="0"/>
    <xf numFmtId="0" fontId="335" fillId="0" borderId="106" applyNumberFormat="0" applyFill="0" applyAlignment="0" applyProtection="0"/>
    <xf numFmtId="0" fontId="335" fillId="0" borderId="106" applyNumberFormat="0" applyFill="0" applyAlignment="0" applyProtection="0"/>
    <xf numFmtId="0" fontId="335" fillId="0" borderId="106" applyNumberFormat="0" applyFill="0" applyAlignment="0" applyProtection="0"/>
    <xf numFmtId="0" fontId="335" fillId="0" borderId="106" applyNumberFormat="0" applyFill="0" applyAlignment="0" applyProtection="0"/>
    <xf numFmtId="0" fontId="335" fillId="0" borderId="106" applyNumberFormat="0" applyFill="0" applyAlignment="0" applyProtection="0"/>
    <xf numFmtId="0" fontId="335" fillId="0" borderId="106" applyNumberFormat="0" applyFill="0" applyAlignment="0" applyProtection="0"/>
    <xf numFmtId="0" fontId="335" fillId="0" borderId="106" applyNumberFormat="0" applyFill="0" applyAlignment="0" applyProtection="0"/>
    <xf numFmtId="0" fontId="335" fillId="0" borderId="106" applyNumberFormat="0" applyFill="0" applyAlignment="0" applyProtection="0"/>
    <xf numFmtId="0" fontId="335" fillId="0" borderId="106" applyNumberFormat="0" applyFill="0" applyAlignment="0" applyProtection="0"/>
    <xf numFmtId="0" fontId="335" fillId="0" borderId="106" applyNumberFormat="0" applyFill="0" applyAlignment="0" applyProtection="0"/>
    <xf numFmtId="0" fontId="335" fillId="0" borderId="106" applyNumberFormat="0" applyFill="0" applyAlignment="0" applyProtection="0"/>
    <xf numFmtId="0" fontId="335" fillId="0" borderId="106" applyNumberFormat="0" applyFill="0" applyAlignment="0" applyProtection="0"/>
    <xf numFmtId="0" fontId="335" fillId="0" borderId="106" applyNumberFormat="0" applyFill="0" applyAlignment="0" applyProtection="0"/>
    <xf numFmtId="0" fontId="335" fillId="0" borderId="106" applyNumberFormat="0" applyFill="0" applyAlignment="0" applyProtection="0"/>
    <xf numFmtId="0" fontId="335" fillId="0" borderId="106" applyNumberFormat="0" applyFill="0" applyAlignment="0" applyProtection="0"/>
    <xf numFmtId="0" fontId="335" fillId="0" borderId="106" applyNumberFormat="0" applyFill="0" applyAlignment="0" applyProtection="0"/>
    <xf numFmtId="0" fontId="335" fillId="0" borderId="106" applyNumberFormat="0" applyFill="0" applyAlignment="0" applyProtection="0"/>
    <xf numFmtId="0" fontId="335" fillId="0" borderId="106" applyNumberFormat="0" applyFill="0" applyAlignment="0" applyProtection="0"/>
    <xf numFmtId="0" fontId="335" fillId="0" borderId="106" applyNumberFormat="0" applyFill="0" applyAlignment="0" applyProtection="0"/>
    <xf numFmtId="0" fontId="335" fillId="0" borderId="106" applyNumberFormat="0" applyFill="0" applyAlignment="0" applyProtection="0"/>
    <xf numFmtId="0" fontId="335" fillId="0" borderId="106" applyNumberFormat="0" applyFill="0" applyAlignment="0" applyProtection="0"/>
    <xf numFmtId="0" fontId="335" fillId="0" borderId="106" applyNumberFormat="0" applyFill="0" applyAlignment="0" applyProtection="0"/>
    <xf numFmtId="0" fontId="335" fillId="0" borderId="106" applyNumberFormat="0" applyFill="0" applyAlignment="0" applyProtection="0"/>
    <xf numFmtId="0" fontId="335" fillId="0" borderId="106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6" applyNumberFormat="0" applyFill="0" applyAlignment="0" applyProtection="0"/>
    <xf numFmtId="0" fontId="335" fillId="0" borderId="106" applyNumberFormat="0" applyFill="0" applyAlignment="0" applyProtection="0"/>
    <xf numFmtId="0" fontId="335" fillId="0" borderId="106" applyNumberFormat="0" applyFill="0" applyAlignment="0" applyProtection="0"/>
    <xf numFmtId="0" fontId="335" fillId="0" borderId="106" applyNumberFormat="0" applyFill="0" applyAlignment="0" applyProtection="0"/>
    <xf numFmtId="0" fontId="335" fillId="0" borderId="106" applyNumberFormat="0" applyFill="0" applyAlignment="0" applyProtection="0"/>
    <xf numFmtId="0" fontId="335" fillId="0" borderId="106" applyNumberFormat="0" applyFill="0" applyAlignment="0" applyProtection="0"/>
    <xf numFmtId="0" fontId="335" fillId="0" borderId="106" applyNumberFormat="0" applyFill="0" applyAlignment="0" applyProtection="0"/>
    <xf numFmtId="0" fontId="335" fillId="0" borderId="106" applyNumberFormat="0" applyFill="0" applyAlignment="0" applyProtection="0"/>
    <xf numFmtId="0" fontId="335" fillId="0" borderId="106" applyNumberFormat="0" applyFill="0" applyAlignment="0" applyProtection="0"/>
    <xf numFmtId="0" fontId="335" fillId="0" borderId="106" applyNumberFormat="0" applyFill="0" applyAlignment="0" applyProtection="0"/>
    <xf numFmtId="0" fontId="335" fillId="0" borderId="106" applyNumberFormat="0" applyFill="0" applyAlignment="0" applyProtection="0"/>
    <xf numFmtId="0" fontId="335" fillId="0" borderId="106" applyNumberFormat="0" applyFill="0" applyAlignment="0" applyProtection="0"/>
    <xf numFmtId="0" fontId="335" fillId="0" borderId="106" applyNumberFormat="0" applyFill="0" applyAlignment="0" applyProtection="0"/>
    <xf numFmtId="0" fontId="335" fillId="0" borderId="106" applyNumberFormat="0" applyFill="0" applyAlignment="0" applyProtection="0"/>
    <xf numFmtId="0" fontId="335" fillId="0" borderId="106" applyNumberFormat="0" applyFill="0" applyAlignment="0" applyProtection="0"/>
    <xf numFmtId="0" fontId="335" fillId="0" borderId="106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6" applyNumberFormat="0" applyFill="0" applyAlignment="0" applyProtection="0"/>
    <xf numFmtId="0" fontId="335" fillId="0" borderId="106" applyNumberFormat="0" applyFill="0" applyAlignment="0" applyProtection="0"/>
    <xf numFmtId="0" fontId="335" fillId="0" borderId="106" applyNumberFormat="0" applyFill="0" applyAlignment="0" applyProtection="0"/>
    <xf numFmtId="0" fontId="335" fillId="0" borderId="106" applyNumberFormat="0" applyFill="0" applyAlignment="0" applyProtection="0"/>
    <xf numFmtId="0" fontId="335" fillId="0" borderId="106" applyNumberFormat="0" applyFill="0" applyAlignment="0" applyProtection="0"/>
    <xf numFmtId="0" fontId="335" fillId="0" borderId="106" applyNumberFormat="0" applyFill="0" applyAlignment="0" applyProtection="0"/>
    <xf numFmtId="0" fontId="335" fillId="0" borderId="106" applyNumberFormat="0" applyFill="0" applyAlignment="0" applyProtection="0"/>
    <xf numFmtId="0" fontId="335" fillId="0" borderId="106" applyNumberFormat="0" applyFill="0" applyAlignment="0" applyProtection="0"/>
    <xf numFmtId="0" fontId="335" fillId="0" borderId="106" applyNumberFormat="0" applyFill="0" applyAlignment="0" applyProtection="0"/>
    <xf numFmtId="0" fontId="335" fillId="0" borderId="106" applyNumberFormat="0" applyFill="0" applyAlignment="0" applyProtection="0"/>
    <xf numFmtId="0" fontId="335" fillId="0" borderId="106" applyNumberFormat="0" applyFill="0" applyAlignment="0" applyProtection="0"/>
    <xf numFmtId="0" fontId="335" fillId="0" borderId="106" applyNumberFormat="0" applyFill="0" applyAlignment="0" applyProtection="0"/>
    <xf numFmtId="0" fontId="335" fillId="0" borderId="106" applyNumberFormat="0" applyFill="0" applyAlignment="0" applyProtection="0"/>
    <xf numFmtId="0" fontId="335" fillId="0" borderId="106" applyNumberFormat="0" applyFill="0" applyAlignment="0" applyProtection="0"/>
    <xf numFmtId="0" fontId="335" fillId="0" borderId="106" applyNumberFormat="0" applyFill="0" applyAlignment="0" applyProtection="0"/>
    <xf numFmtId="0" fontId="335" fillId="0" borderId="106" applyNumberFormat="0" applyFill="0" applyAlignment="0" applyProtection="0"/>
    <xf numFmtId="0" fontId="335" fillId="0" borderId="106" applyNumberFormat="0" applyFill="0" applyAlignment="0" applyProtection="0"/>
    <xf numFmtId="0" fontId="335" fillId="0" borderId="106" applyNumberFormat="0" applyFill="0" applyAlignment="0" applyProtection="0"/>
    <xf numFmtId="0" fontId="335" fillId="0" borderId="106" applyNumberFormat="0" applyFill="0" applyAlignment="0" applyProtection="0"/>
    <xf numFmtId="0" fontId="335" fillId="0" borderId="106" applyNumberFormat="0" applyFill="0" applyAlignment="0" applyProtection="0"/>
    <xf numFmtId="0" fontId="335" fillId="0" borderId="106" applyNumberFormat="0" applyFill="0" applyAlignment="0" applyProtection="0"/>
    <xf numFmtId="0" fontId="335" fillId="0" borderId="106" applyNumberFormat="0" applyFill="0" applyAlignment="0" applyProtection="0"/>
    <xf numFmtId="0" fontId="335" fillId="0" borderId="106" applyNumberFormat="0" applyFill="0" applyAlignment="0" applyProtection="0"/>
    <xf numFmtId="0" fontId="335" fillId="0" borderId="106" applyNumberFormat="0" applyFill="0" applyAlignment="0" applyProtection="0"/>
    <xf numFmtId="0" fontId="335" fillId="0" borderId="106" applyNumberFormat="0" applyFill="0" applyAlignment="0" applyProtection="0"/>
    <xf numFmtId="0" fontId="335" fillId="0" borderId="106" applyNumberFormat="0" applyFill="0" applyAlignment="0" applyProtection="0"/>
    <xf numFmtId="0" fontId="335" fillId="0" borderId="106" applyNumberFormat="0" applyFill="0" applyAlignment="0" applyProtection="0"/>
    <xf numFmtId="0" fontId="335" fillId="0" borderId="106" applyNumberFormat="0" applyFill="0" applyAlignment="0" applyProtection="0"/>
    <xf numFmtId="0" fontId="335" fillId="0" borderId="106" applyNumberFormat="0" applyFill="0" applyAlignment="0" applyProtection="0"/>
    <xf numFmtId="0" fontId="335" fillId="0" borderId="106" applyNumberFormat="0" applyFill="0" applyAlignment="0" applyProtection="0"/>
    <xf numFmtId="0" fontId="335" fillId="0" borderId="106" applyNumberFormat="0" applyFill="0" applyAlignment="0" applyProtection="0"/>
    <xf numFmtId="0" fontId="335" fillId="0" borderId="106" applyNumberFormat="0" applyFill="0" applyAlignment="0" applyProtection="0"/>
    <xf numFmtId="0" fontId="335" fillId="0" borderId="106" applyNumberFormat="0" applyFill="0" applyAlignment="0" applyProtection="0"/>
    <xf numFmtId="0" fontId="17" fillId="0" borderId="107" applyNumberFormat="0" applyFont="0" applyFill="0" applyAlignment="0" applyProtection="0"/>
    <xf numFmtId="0" fontId="335" fillId="0" borderId="105" applyNumberFormat="0" applyFill="0" applyAlignment="0" applyProtection="0"/>
    <xf numFmtId="0" fontId="17" fillId="0" borderId="107" applyNumberFormat="0" applyFont="0" applyFill="0" applyAlignment="0" applyProtection="0"/>
    <xf numFmtId="0" fontId="471" fillId="0" borderId="105" applyNumberFormat="0" applyFill="0" applyAlignment="0" applyProtection="0"/>
    <xf numFmtId="305" fontId="471" fillId="111" borderId="0" applyNumberFormat="0" applyBorder="0">
      <protection locked="0"/>
    </xf>
    <xf numFmtId="0" fontId="164" fillId="12" borderId="68">
      <alignment horizontal="center" vertical="center" wrapText="1"/>
    </xf>
    <xf numFmtId="0" fontId="520" fillId="112" borderId="108"/>
    <xf numFmtId="41" fontId="17" fillId="0" borderId="0" applyFont="0" applyFill="0" applyBorder="0" applyAlignment="0" applyProtection="0"/>
    <xf numFmtId="4" fontId="167" fillId="0" borderId="0" applyFont="0" applyFill="0" applyBorder="0" applyAlignment="0" applyProtection="0"/>
    <xf numFmtId="49" fontId="58" fillId="0" borderId="0" applyFont="0" applyFill="0" applyBorder="0" applyAlignment="0" applyProtection="0">
      <alignment horizontal="center"/>
    </xf>
    <xf numFmtId="0" fontId="521" fillId="0" borderId="0" applyNumberFormat="0" applyFill="0" applyBorder="0" applyAlignment="0" applyProtection="0">
      <alignment vertical="top"/>
      <protection locked="0"/>
    </xf>
    <xf numFmtId="49" fontId="421" fillId="0" borderId="0"/>
    <xf numFmtId="10" fontId="522" fillId="0" borderId="109" applyNumberFormat="0" applyFont="0" applyFill="0" applyAlignment="0" applyProtection="0"/>
    <xf numFmtId="0" fontId="523" fillId="0" borderId="0">
      <alignment horizontal="left"/>
    </xf>
    <xf numFmtId="37" fontId="57" fillId="41" borderId="0" applyNumberFormat="0" applyBorder="0" applyAlignment="0" applyProtection="0"/>
    <xf numFmtId="37" fontId="57" fillId="0" borderId="0"/>
    <xf numFmtId="37" fontId="57" fillId="41" borderId="0" applyNumberFormat="0" applyBorder="0" applyAlignment="0" applyProtection="0"/>
    <xf numFmtId="3" fontId="401" fillId="0" borderId="90" applyProtection="0"/>
    <xf numFmtId="0" fontId="524" fillId="82" borderId="110">
      <alignment horizontal="center" vertical="center"/>
      <protection locked="0"/>
    </xf>
    <xf numFmtId="0" fontId="524" fillId="82" borderId="110">
      <alignment horizontal="center" vertical="center"/>
      <protection locked="0"/>
    </xf>
    <xf numFmtId="0" fontId="174" fillId="0" borderId="111"/>
    <xf numFmtId="42" fontId="17" fillId="0" borderId="0" applyFont="0" applyFill="0" applyBorder="0" applyAlignment="0" applyProtection="0"/>
    <xf numFmtId="335" fontId="17" fillId="0" borderId="0" applyFont="0" applyFill="0" applyBorder="0" applyAlignment="0" applyProtection="0"/>
    <xf numFmtId="336" fontId="17" fillId="0" borderId="0" applyFont="0" applyFill="0" applyBorder="0" applyAlignment="0" applyProtection="0"/>
    <xf numFmtId="0" fontId="525" fillId="0" borderId="0" applyNumberFormat="0" applyFill="0" applyBorder="0" applyAlignment="0" applyProtection="0"/>
    <xf numFmtId="0" fontId="304" fillId="83" borderId="79" applyNumberFormat="0" applyAlignment="0" applyProtection="0"/>
    <xf numFmtId="0" fontId="304" fillId="83" borderId="79" applyNumberFormat="0" applyAlignment="0" applyProtection="0"/>
    <xf numFmtId="0" fontId="283" fillId="113" borderId="112" applyNumberFormat="0" applyAlignment="0" applyProtection="0"/>
    <xf numFmtId="0" fontId="17" fillId="0" borderId="0" applyNumberFormat="0" applyFont="0" applyBorder="0" applyAlignment="0" applyProtection="0"/>
    <xf numFmtId="0" fontId="17" fillId="0" borderId="0" applyNumberFormat="0" applyFont="0" applyBorder="0" applyAlignment="0" applyProtection="0"/>
    <xf numFmtId="0" fontId="526" fillId="0" borderId="0" applyNumberFormat="0" applyFill="0" applyBorder="0" applyProtection="0">
      <alignment horizontal="right"/>
    </xf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194" fontId="429" fillId="0" borderId="0" applyFont="0" applyFill="0" applyBorder="0" applyAlignment="0" applyProtection="0"/>
    <xf numFmtId="245" fontId="17" fillId="0" borderId="0" applyFont="0" applyFill="0" applyBorder="0" applyAlignment="0" applyProtection="0"/>
    <xf numFmtId="195" fontId="429" fillId="0" borderId="0" applyFont="0" applyFill="0" applyBorder="0" applyAlignment="0" applyProtection="0"/>
    <xf numFmtId="242" fontId="17" fillId="0" borderId="0" applyFont="0" applyFill="0" applyBorder="0" applyAlignment="0" applyProtection="0"/>
    <xf numFmtId="3" fontId="17" fillId="0" borderId="0"/>
    <xf numFmtId="337" fontId="203" fillId="0" borderId="0" applyFont="0" applyFill="0" applyBorder="0" applyAlignment="0" applyProtection="0"/>
    <xf numFmtId="252" fontId="297" fillId="0" borderId="0" applyFont="0" applyFill="0" applyBorder="0" applyAlignment="0" applyProtection="0"/>
    <xf numFmtId="0" fontId="490" fillId="0" borderId="0" applyNumberFormat="0" applyFill="0" applyBorder="0" applyAlignment="0" applyProtection="0"/>
    <xf numFmtId="0" fontId="268" fillId="0" borderId="0" applyNumberFormat="0" applyFill="0" applyBorder="0" applyAlignment="0" applyProtection="0"/>
    <xf numFmtId="0" fontId="268" fillId="0" borderId="0" applyNumberFormat="0" applyFill="0" applyBorder="0" applyAlignment="0" applyProtection="0"/>
    <xf numFmtId="0" fontId="527" fillId="0" borderId="0" applyNumberFormat="0" applyFill="0" applyBorder="0" applyAlignment="0" applyProtection="0"/>
    <xf numFmtId="0" fontId="528" fillId="0" borderId="0" applyNumberFormat="0" applyFill="0" applyBorder="0" applyAlignment="0" applyProtection="0"/>
    <xf numFmtId="0" fontId="490" fillId="0" borderId="0" applyNumberFormat="0" applyFill="0" applyBorder="0" applyAlignment="0" applyProtection="0"/>
    <xf numFmtId="0" fontId="527" fillId="0" borderId="0" applyNumberFormat="0" applyFill="0" applyBorder="0" applyAlignment="0" applyProtection="0"/>
    <xf numFmtId="0" fontId="491" fillId="0" borderId="0" applyNumberFormat="0" applyFill="0" applyBorder="0" applyAlignment="0" applyProtection="0"/>
    <xf numFmtId="0" fontId="58" fillId="0" borderId="0">
      <alignment horizontal="left"/>
    </xf>
    <xf numFmtId="0" fontId="279" fillId="0" borderId="0" applyNumberFormat="0" applyFont="0" applyBorder="0" applyAlignment="0" applyProtection="0">
      <protection locked="0" hidden="1"/>
    </xf>
    <xf numFmtId="334" fontId="529" fillId="0" borderId="2">
      <alignment horizontal="right" vertical="top"/>
      <protection locked="0"/>
    </xf>
    <xf numFmtId="334" fontId="529" fillId="0" borderId="2">
      <alignment horizontal="right" vertical="top"/>
      <protection locked="0"/>
    </xf>
    <xf numFmtId="334" fontId="529" fillId="0" borderId="2">
      <alignment horizontal="right" vertical="top"/>
      <protection locked="0"/>
    </xf>
    <xf numFmtId="334" fontId="529" fillId="0" borderId="2">
      <alignment horizontal="right" vertical="top"/>
      <protection locked="0"/>
    </xf>
    <xf numFmtId="334" fontId="529" fillId="0" borderId="2">
      <alignment horizontal="right" vertical="top"/>
      <protection locked="0"/>
    </xf>
    <xf numFmtId="334" fontId="529" fillId="0" borderId="2">
      <alignment horizontal="right" vertical="top"/>
      <protection locked="0"/>
    </xf>
    <xf numFmtId="334" fontId="529" fillId="0" borderId="2">
      <alignment horizontal="right" vertical="top"/>
      <protection locked="0"/>
    </xf>
    <xf numFmtId="334" fontId="529" fillId="0" borderId="2">
      <alignment horizontal="right" vertical="top"/>
      <protection locked="0"/>
    </xf>
    <xf numFmtId="334" fontId="529" fillId="0" borderId="2">
      <alignment horizontal="right" vertical="top"/>
      <protection locked="0"/>
    </xf>
    <xf numFmtId="334" fontId="529" fillId="0" borderId="2">
      <alignment horizontal="right" vertical="top"/>
      <protection locked="0"/>
    </xf>
    <xf numFmtId="334" fontId="529" fillId="0" borderId="2">
      <alignment horizontal="right" vertical="top"/>
      <protection locked="0"/>
    </xf>
    <xf numFmtId="334" fontId="529" fillId="0" borderId="2">
      <alignment horizontal="right" vertical="top"/>
      <protection locked="0"/>
    </xf>
    <xf numFmtId="334" fontId="529" fillId="0" borderId="2">
      <alignment horizontal="right" vertical="top"/>
      <protection locked="0"/>
    </xf>
    <xf numFmtId="334" fontId="529" fillId="0" borderId="2">
      <alignment horizontal="right" vertical="top"/>
      <protection locked="0"/>
    </xf>
    <xf numFmtId="334" fontId="529" fillId="0" borderId="2">
      <alignment horizontal="right" vertical="top"/>
      <protection locked="0"/>
    </xf>
    <xf numFmtId="334" fontId="529" fillId="0" borderId="2">
      <alignment horizontal="right" vertical="top"/>
      <protection locked="0"/>
    </xf>
    <xf numFmtId="334" fontId="529" fillId="0" borderId="2">
      <alignment horizontal="right" vertical="top"/>
      <protection locked="0"/>
    </xf>
    <xf numFmtId="334" fontId="529" fillId="0" borderId="2">
      <alignment horizontal="right" vertical="top"/>
      <protection locked="0"/>
    </xf>
    <xf numFmtId="334" fontId="529" fillId="0" borderId="2">
      <alignment horizontal="right" vertical="top"/>
      <protection locked="0"/>
    </xf>
    <xf numFmtId="334" fontId="529" fillId="0" borderId="2">
      <alignment horizontal="right" vertical="top"/>
      <protection locked="0"/>
    </xf>
    <xf numFmtId="334" fontId="529" fillId="0" borderId="2">
      <alignment horizontal="right" vertical="top"/>
      <protection locked="0"/>
    </xf>
    <xf numFmtId="334" fontId="529" fillId="0" borderId="2">
      <alignment horizontal="right" vertical="top"/>
      <protection locked="0"/>
    </xf>
    <xf numFmtId="334" fontId="529" fillId="0" borderId="2">
      <alignment horizontal="right" vertical="top"/>
      <protection locked="0"/>
    </xf>
    <xf numFmtId="334" fontId="529" fillId="0" borderId="2">
      <alignment horizontal="right" vertical="top"/>
      <protection locked="0"/>
    </xf>
    <xf numFmtId="334" fontId="529" fillId="0" borderId="2">
      <alignment horizontal="right" vertical="top"/>
      <protection locked="0"/>
    </xf>
    <xf numFmtId="334" fontId="529" fillId="0" borderId="2">
      <alignment horizontal="right" vertical="top"/>
      <protection locked="0"/>
    </xf>
    <xf numFmtId="334" fontId="529" fillId="0" borderId="2">
      <alignment horizontal="right" vertical="top"/>
      <protection locked="0"/>
    </xf>
    <xf numFmtId="334" fontId="529" fillId="0" borderId="2">
      <alignment horizontal="right" vertical="top"/>
      <protection locked="0"/>
    </xf>
    <xf numFmtId="334" fontId="529" fillId="0" borderId="2">
      <alignment horizontal="right" vertical="top"/>
      <protection locked="0"/>
    </xf>
    <xf numFmtId="334" fontId="529" fillId="0" borderId="2">
      <alignment horizontal="right" vertical="top"/>
      <protection locked="0"/>
    </xf>
    <xf numFmtId="334" fontId="529" fillId="0" borderId="2">
      <alignment horizontal="right" vertical="top"/>
      <protection locked="0"/>
    </xf>
    <xf numFmtId="334" fontId="529" fillId="0" borderId="2">
      <alignment horizontal="right" vertical="top"/>
      <protection locked="0"/>
    </xf>
    <xf numFmtId="334" fontId="529" fillId="0" borderId="2">
      <alignment horizontal="right" vertical="top"/>
      <protection locked="0"/>
    </xf>
    <xf numFmtId="334" fontId="529" fillId="0" borderId="2">
      <alignment horizontal="right" vertical="top"/>
      <protection locked="0"/>
    </xf>
    <xf numFmtId="334" fontId="529" fillId="0" borderId="2">
      <alignment horizontal="right" vertical="top"/>
      <protection locked="0"/>
    </xf>
    <xf numFmtId="334" fontId="529" fillId="0" borderId="2">
      <alignment horizontal="right" vertical="top"/>
      <protection locked="0"/>
    </xf>
    <xf numFmtId="334" fontId="529" fillId="0" borderId="2">
      <alignment horizontal="right" vertical="top"/>
      <protection locked="0"/>
    </xf>
    <xf numFmtId="334" fontId="529" fillId="0" borderId="2">
      <alignment horizontal="right" vertical="top"/>
      <protection locked="0"/>
    </xf>
    <xf numFmtId="334" fontId="529" fillId="0" borderId="2">
      <alignment horizontal="right" vertical="top"/>
      <protection locked="0"/>
    </xf>
    <xf numFmtId="334" fontId="529" fillId="0" borderId="2">
      <alignment horizontal="right" vertical="top"/>
      <protection locked="0"/>
    </xf>
    <xf numFmtId="334" fontId="529" fillId="0" borderId="2">
      <alignment horizontal="right" vertical="top"/>
      <protection locked="0"/>
    </xf>
    <xf numFmtId="334" fontId="529" fillId="0" borderId="2">
      <alignment horizontal="right" vertical="top"/>
      <protection locked="0"/>
    </xf>
    <xf numFmtId="334" fontId="529" fillId="0" borderId="2">
      <alignment horizontal="right" vertical="top"/>
      <protection locked="0"/>
    </xf>
    <xf numFmtId="334" fontId="529" fillId="0" borderId="2">
      <alignment horizontal="right" vertical="top"/>
      <protection locked="0"/>
    </xf>
    <xf numFmtId="334" fontId="529" fillId="0" borderId="2">
      <alignment horizontal="right" vertical="top"/>
      <protection locked="0"/>
    </xf>
    <xf numFmtId="334" fontId="529" fillId="0" borderId="2">
      <alignment horizontal="right" vertical="top"/>
      <protection locked="0"/>
    </xf>
    <xf numFmtId="334" fontId="529" fillId="0" borderId="2">
      <alignment horizontal="right" vertical="top"/>
      <protection locked="0"/>
    </xf>
    <xf numFmtId="334" fontId="529" fillId="0" borderId="2">
      <alignment horizontal="right" vertical="top"/>
      <protection locked="0"/>
    </xf>
    <xf numFmtId="334" fontId="529" fillId="0" borderId="2">
      <alignment horizontal="right" vertical="top"/>
      <protection locked="0"/>
    </xf>
    <xf numFmtId="334" fontId="529" fillId="0" borderId="2">
      <alignment horizontal="right" vertical="top"/>
      <protection locked="0"/>
    </xf>
    <xf numFmtId="334" fontId="529" fillId="0" borderId="2">
      <alignment horizontal="right" vertical="top"/>
      <protection locked="0"/>
    </xf>
    <xf numFmtId="334" fontId="529" fillId="0" borderId="2">
      <alignment horizontal="right" vertical="top"/>
      <protection locked="0"/>
    </xf>
    <xf numFmtId="334" fontId="529" fillId="0" borderId="2">
      <alignment horizontal="right" vertical="top"/>
      <protection locked="0"/>
    </xf>
    <xf numFmtId="334" fontId="529" fillId="0" borderId="2">
      <alignment horizontal="right" vertical="top"/>
      <protection locked="0"/>
    </xf>
    <xf numFmtId="334" fontId="529" fillId="0" borderId="2">
      <alignment horizontal="right" vertical="top"/>
      <protection locked="0"/>
    </xf>
    <xf numFmtId="334" fontId="529" fillId="0" borderId="2">
      <alignment horizontal="right" vertical="top"/>
      <protection locked="0"/>
    </xf>
    <xf numFmtId="334" fontId="529" fillId="0" borderId="2">
      <alignment horizontal="right" vertical="top"/>
      <protection locked="0"/>
    </xf>
    <xf numFmtId="334" fontId="529" fillId="0" borderId="2">
      <alignment horizontal="right" vertical="top"/>
      <protection locked="0"/>
    </xf>
    <xf numFmtId="334" fontId="529" fillId="0" borderId="2">
      <alignment horizontal="right" vertical="top"/>
      <protection locked="0"/>
    </xf>
    <xf numFmtId="334" fontId="529" fillId="0" borderId="2">
      <alignment horizontal="right" vertical="top"/>
      <protection locked="0"/>
    </xf>
    <xf numFmtId="334" fontId="529" fillId="0" borderId="2">
      <alignment horizontal="right" vertical="top"/>
      <protection locked="0"/>
    </xf>
    <xf numFmtId="334" fontId="529" fillId="0" borderId="2">
      <alignment horizontal="right" vertical="top"/>
      <protection locked="0"/>
    </xf>
    <xf numFmtId="334" fontId="529" fillId="0" borderId="2">
      <alignment horizontal="right" vertical="top"/>
      <protection locked="0"/>
    </xf>
    <xf numFmtId="334" fontId="529" fillId="0" borderId="2">
      <alignment horizontal="right" vertical="top"/>
      <protection locked="0"/>
    </xf>
    <xf numFmtId="334" fontId="529" fillId="0" borderId="2">
      <alignment horizontal="right" vertical="top"/>
      <protection locked="0"/>
    </xf>
    <xf numFmtId="334" fontId="529" fillId="0" borderId="2">
      <alignment horizontal="right" vertical="top"/>
      <protection locked="0"/>
    </xf>
    <xf numFmtId="334" fontId="529" fillId="0" borderId="2">
      <alignment horizontal="right" vertical="top"/>
      <protection locked="0"/>
    </xf>
    <xf numFmtId="334" fontId="529" fillId="0" borderId="2">
      <alignment horizontal="right" vertical="top"/>
      <protection locked="0"/>
    </xf>
    <xf numFmtId="334" fontId="529" fillId="0" borderId="2">
      <alignment horizontal="right" vertical="top"/>
      <protection locked="0"/>
    </xf>
    <xf numFmtId="334" fontId="529" fillId="0" borderId="2">
      <alignment horizontal="right" vertical="top"/>
      <protection locked="0"/>
    </xf>
    <xf numFmtId="334" fontId="529" fillId="0" borderId="2">
      <alignment horizontal="right" vertical="top"/>
      <protection locked="0"/>
    </xf>
    <xf numFmtId="334" fontId="529" fillId="0" borderId="2">
      <alignment horizontal="right" vertical="top"/>
      <protection locked="0"/>
    </xf>
    <xf numFmtId="334" fontId="529" fillId="0" borderId="2">
      <alignment horizontal="right" vertical="top"/>
      <protection locked="0"/>
    </xf>
    <xf numFmtId="334" fontId="529" fillId="0" borderId="2">
      <alignment horizontal="right" vertical="top"/>
      <protection locked="0"/>
    </xf>
    <xf numFmtId="334" fontId="529" fillId="0" borderId="2">
      <alignment horizontal="right" vertical="top"/>
      <protection locked="0"/>
    </xf>
    <xf numFmtId="334" fontId="529" fillId="0" borderId="2">
      <alignment horizontal="right" vertical="top"/>
      <protection locked="0"/>
    </xf>
    <xf numFmtId="334" fontId="529" fillId="0" borderId="2">
      <alignment horizontal="right" vertical="top"/>
      <protection locked="0"/>
    </xf>
    <xf numFmtId="334" fontId="529" fillId="0" borderId="2">
      <alignment horizontal="right" vertical="top"/>
      <protection locked="0"/>
    </xf>
    <xf numFmtId="334" fontId="529" fillId="0" borderId="2">
      <alignment horizontal="right" vertical="top"/>
      <protection locked="0"/>
    </xf>
    <xf numFmtId="334" fontId="529" fillId="0" borderId="2">
      <alignment horizontal="right" vertical="top"/>
      <protection locked="0"/>
    </xf>
    <xf numFmtId="334" fontId="529" fillId="0" borderId="2">
      <alignment horizontal="right" vertical="top"/>
      <protection locked="0"/>
    </xf>
    <xf numFmtId="334" fontId="529" fillId="0" borderId="2">
      <alignment horizontal="right" vertical="top"/>
      <protection locked="0"/>
    </xf>
    <xf numFmtId="334" fontId="529" fillId="0" borderId="2">
      <alignment horizontal="right" vertical="top"/>
      <protection locked="0"/>
    </xf>
    <xf numFmtId="334" fontId="529" fillId="0" borderId="2">
      <alignment horizontal="right" vertical="top"/>
      <protection locked="0"/>
    </xf>
    <xf numFmtId="334" fontId="529" fillId="0" borderId="2">
      <alignment horizontal="right" vertical="top"/>
      <protection locked="0"/>
    </xf>
    <xf numFmtId="334" fontId="529" fillId="0" borderId="2">
      <alignment horizontal="right" vertical="top"/>
      <protection locked="0"/>
    </xf>
    <xf numFmtId="334" fontId="529" fillId="0" borderId="2">
      <alignment horizontal="right" vertical="top"/>
      <protection locked="0"/>
    </xf>
    <xf numFmtId="334" fontId="529" fillId="0" borderId="2">
      <alignment horizontal="right" vertical="top"/>
      <protection locked="0"/>
    </xf>
    <xf numFmtId="334" fontId="529" fillId="0" borderId="2">
      <alignment horizontal="right" vertical="top"/>
      <protection locked="0"/>
    </xf>
    <xf numFmtId="334" fontId="529" fillId="0" borderId="2">
      <alignment horizontal="right" vertical="top"/>
      <protection locked="0"/>
    </xf>
    <xf numFmtId="334" fontId="529" fillId="0" borderId="2">
      <alignment horizontal="right" vertical="top"/>
      <protection locked="0"/>
    </xf>
    <xf numFmtId="334" fontId="529" fillId="0" borderId="2">
      <alignment horizontal="right" vertical="top"/>
      <protection locked="0"/>
    </xf>
    <xf numFmtId="334" fontId="529" fillId="0" borderId="2">
      <alignment horizontal="right" vertical="top"/>
      <protection locked="0"/>
    </xf>
    <xf numFmtId="334" fontId="529" fillId="0" borderId="2">
      <alignment horizontal="right" vertical="top"/>
      <protection locked="0"/>
    </xf>
    <xf numFmtId="263" fontId="56" fillId="77" borderId="0" applyFill="0" applyBorder="0">
      <alignment horizontal="right" vertical="top"/>
    </xf>
    <xf numFmtId="263" fontId="281" fillId="0" borderId="0" applyFill="0" applyBorder="0">
      <alignment horizontal="right" vertical="top"/>
    </xf>
    <xf numFmtId="338" fontId="17" fillId="0" borderId="0" applyFont="0" applyFill="0" applyBorder="0" applyAlignment="0" applyProtection="0"/>
    <xf numFmtId="339" fontId="17" fillId="0" borderId="0" applyFont="0" applyFill="0" applyBorder="0" applyAlignment="0" applyProtection="0"/>
    <xf numFmtId="203" fontId="75" fillId="0" borderId="0" applyFont="0" applyFill="0" applyBorder="0" applyAlignment="0" applyProtection="0"/>
    <xf numFmtId="0" fontId="530" fillId="0" borderId="0"/>
    <xf numFmtId="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340" fontId="17" fillId="0" borderId="4" applyFont="0" applyFill="0" applyBorder="0" applyAlignment="0" applyProtection="0"/>
    <xf numFmtId="0" fontId="17" fillId="0" borderId="4" applyFont="0" applyFill="0" applyBorder="0" applyAlignment="0" applyProtection="0"/>
    <xf numFmtId="341" fontId="17" fillId="0" borderId="0" applyFill="0" applyBorder="0" applyProtection="0">
      <alignment vertical="center"/>
    </xf>
    <xf numFmtId="275" fontId="2" fillId="0" borderId="0" applyFont="0" applyFill="0" applyBorder="0" applyAlignment="0" applyProtection="0"/>
    <xf numFmtId="0" fontId="531" fillId="0" borderId="0" applyFont="0" applyFill="0" applyBorder="0" applyAlignment="0" applyProtection="0"/>
    <xf numFmtId="0" fontId="531" fillId="0" borderId="0" applyFont="0" applyFill="0" applyBorder="0" applyAlignment="0" applyProtection="0"/>
    <xf numFmtId="0" fontId="532" fillId="0" borderId="0" applyNumberFormat="0" applyFill="0" applyBorder="0" applyAlignment="0" applyProtection="0"/>
    <xf numFmtId="44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/>
    <xf numFmtId="342" fontId="533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243" fillId="61" borderId="0" applyNumberFormat="0" applyBorder="0" applyAlignment="0" applyProtection="0"/>
    <xf numFmtId="0" fontId="248" fillId="61" borderId="0" applyNumberFormat="0" applyBorder="0" applyAlignment="0" applyProtection="0">
      <alignment vertical="center"/>
    </xf>
    <xf numFmtId="0" fontId="248" fillId="61" borderId="0" applyNumberFormat="0" applyBorder="0" applyAlignment="0" applyProtection="0">
      <alignment vertical="center"/>
    </xf>
    <xf numFmtId="0" fontId="243" fillId="66" borderId="0" applyNumberFormat="0" applyBorder="0" applyAlignment="0" applyProtection="0"/>
    <xf numFmtId="0" fontId="248" fillId="66" borderId="0" applyNumberFormat="0" applyBorder="0" applyAlignment="0" applyProtection="0">
      <alignment vertical="center"/>
    </xf>
    <xf numFmtId="0" fontId="248" fillId="66" borderId="0" applyNumberFormat="0" applyBorder="0" applyAlignment="0" applyProtection="0">
      <alignment vertical="center"/>
    </xf>
    <xf numFmtId="0" fontId="243" fillId="70" borderId="0" applyNumberFormat="0" applyBorder="0" applyAlignment="0" applyProtection="0"/>
    <xf numFmtId="0" fontId="248" fillId="70" borderId="0" applyNumberFormat="0" applyBorder="0" applyAlignment="0" applyProtection="0">
      <alignment vertical="center"/>
    </xf>
    <xf numFmtId="0" fontId="248" fillId="70" borderId="0" applyNumberFormat="0" applyBorder="0" applyAlignment="0" applyProtection="0">
      <alignment vertical="center"/>
    </xf>
    <xf numFmtId="0" fontId="243" fillId="57" borderId="0" applyNumberFormat="0" applyBorder="0" applyAlignment="0" applyProtection="0"/>
    <xf numFmtId="0" fontId="248" fillId="57" borderId="0" applyNumberFormat="0" applyBorder="0" applyAlignment="0" applyProtection="0">
      <alignment vertical="center"/>
    </xf>
    <xf numFmtId="0" fontId="248" fillId="57" borderId="0" applyNumberFormat="0" applyBorder="0" applyAlignment="0" applyProtection="0">
      <alignment vertical="center"/>
    </xf>
    <xf numFmtId="0" fontId="243" fillId="58" borderId="0" applyNumberFormat="0" applyBorder="0" applyAlignment="0" applyProtection="0"/>
    <xf numFmtId="0" fontId="248" fillId="58" borderId="0" applyNumberFormat="0" applyBorder="0" applyAlignment="0" applyProtection="0">
      <alignment vertical="center"/>
    </xf>
    <xf numFmtId="0" fontId="248" fillId="58" borderId="0" applyNumberFormat="0" applyBorder="0" applyAlignment="0" applyProtection="0">
      <alignment vertical="center"/>
    </xf>
    <xf numFmtId="0" fontId="243" fillId="60" borderId="0" applyNumberFormat="0" applyBorder="0" applyAlignment="0" applyProtection="0"/>
    <xf numFmtId="0" fontId="248" fillId="60" borderId="0" applyNumberFormat="0" applyBorder="0" applyAlignment="0" applyProtection="0">
      <alignment vertical="center"/>
    </xf>
    <xf numFmtId="0" fontId="248" fillId="60" borderId="0" applyNumberFormat="0" applyBorder="0" applyAlignment="0" applyProtection="0">
      <alignment vertical="center"/>
    </xf>
    <xf numFmtId="0" fontId="2" fillId="0" borderId="113"/>
    <xf numFmtId="214" fontId="63" fillId="0" borderId="0" applyFont="0" applyFill="0" applyBorder="0" applyAlignment="0" applyProtection="0"/>
    <xf numFmtId="216" fontId="63" fillId="0" borderId="0" applyFont="0" applyFill="0" applyBorder="0" applyAlignment="0" applyProtection="0"/>
    <xf numFmtId="216" fontId="63" fillId="0" borderId="0" applyFont="0" applyFill="0" applyBorder="0" applyAlignment="0" applyProtection="0"/>
    <xf numFmtId="216" fontId="64" fillId="0" borderId="0" applyFont="0" applyFill="0" applyBorder="0" applyAlignment="0" applyProtection="0"/>
    <xf numFmtId="216" fontId="63" fillId="0" borderId="0" applyFont="0" applyFill="0" applyBorder="0" applyAlignment="0" applyProtection="0"/>
    <xf numFmtId="215" fontId="17" fillId="0" borderId="0" applyFont="0" applyFill="0" applyBorder="0" applyAlignment="0" applyProtection="0"/>
    <xf numFmtId="216" fontId="63" fillId="0" borderId="0" applyFont="0" applyFill="0" applyBorder="0" applyAlignment="0" applyProtection="0"/>
    <xf numFmtId="216" fontId="64" fillId="0" borderId="0" applyFont="0" applyFill="0" applyBorder="0" applyAlignment="0" applyProtection="0"/>
    <xf numFmtId="216" fontId="63" fillId="0" borderId="0" applyFont="0" applyFill="0" applyBorder="0" applyAlignment="0" applyProtection="0"/>
    <xf numFmtId="215" fontId="17" fillId="0" borderId="0" applyFont="0" applyFill="0" applyBorder="0" applyAlignment="0" applyProtection="0"/>
    <xf numFmtId="200" fontId="2" fillId="0" borderId="0" applyFont="0" applyFill="0" applyBorder="0" applyAlignment="0" applyProtection="0"/>
    <xf numFmtId="216" fontId="63" fillId="0" borderId="0" applyFont="0" applyFill="0" applyBorder="0" applyAlignment="0" applyProtection="0"/>
    <xf numFmtId="216" fontId="61" fillId="0" borderId="0" applyFont="0" applyFill="0" applyBorder="0" applyAlignment="0" applyProtection="0"/>
    <xf numFmtId="215" fontId="17" fillId="0" borderId="0" applyFont="0" applyFill="0" applyBorder="0" applyAlignment="0" applyProtection="0"/>
    <xf numFmtId="200" fontId="70" fillId="0" borderId="0" applyFont="0" applyFill="0" applyBorder="0" applyAlignment="0" applyProtection="0"/>
    <xf numFmtId="0" fontId="534" fillId="0" borderId="0" applyNumberFormat="0" applyFill="0" applyBorder="0" applyAlignment="0" applyProtection="0">
      <alignment vertical="top"/>
      <protection locked="0"/>
    </xf>
    <xf numFmtId="0" fontId="151" fillId="0" borderId="0"/>
    <xf numFmtId="0" fontId="535" fillId="0" borderId="0" applyNumberFormat="0" applyFill="0" applyBorder="0" applyAlignment="0" applyProtection="0">
      <alignment vertical="top"/>
      <protection locked="0"/>
    </xf>
    <xf numFmtId="9" fontId="235" fillId="0" borderId="0" applyFont="0" applyFill="0" applyBorder="0" applyAlignment="0" applyProtection="0"/>
    <xf numFmtId="0" fontId="536" fillId="0" borderId="0" applyNumberFormat="0" applyFill="0" applyBorder="0" applyAlignment="0" applyProtection="0">
      <alignment vertical="top"/>
      <protection locked="0"/>
    </xf>
    <xf numFmtId="0" fontId="66" fillId="0" borderId="0"/>
    <xf numFmtId="0" fontId="537" fillId="0" borderId="0">
      <alignment vertical="center"/>
    </xf>
    <xf numFmtId="0" fontId="167" fillId="0" borderId="0"/>
    <xf numFmtId="0" fontId="169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69" fillId="0" borderId="0"/>
    <xf numFmtId="0" fontId="167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69" fillId="0" borderId="0"/>
    <xf numFmtId="0" fontId="167" fillId="0" borderId="0"/>
    <xf numFmtId="0" fontId="167" fillId="0" borderId="0"/>
    <xf numFmtId="0" fontId="167" fillId="0" borderId="0"/>
    <xf numFmtId="0" fontId="169" fillId="0" borderId="0"/>
    <xf numFmtId="0" fontId="17" fillId="0" borderId="0"/>
    <xf numFmtId="0" fontId="17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17" fillId="0" borderId="0"/>
    <xf numFmtId="0" fontId="17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17" fillId="0" borderId="0"/>
    <xf numFmtId="0" fontId="17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17" fillId="0" borderId="0"/>
    <xf numFmtId="0" fontId="17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17" fillId="0" borderId="0"/>
    <xf numFmtId="0" fontId="17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17" fillId="0" borderId="0"/>
    <xf numFmtId="0" fontId="17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17" fillId="0" borderId="0"/>
    <xf numFmtId="0" fontId="17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17" fillId="0" borderId="0"/>
    <xf numFmtId="0" fontId="17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17" fillId="0" borderId="0"/>
    <xf numFmtId="0" fontId="17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17" fillId="0" borderId="0"/>
    <xf numFmtId="0" fontId="17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1" fontId="17" fillId="0" borderId="0" applyNumberFormat="0" applyFill="0" applyBorder="0" applyAlignment="0" applyProtection="0"/>
    <xf numFmtId="1" fontId="17" fillId="0" borderId="0" applyNumberFormat="0" applyFill="0" applyBorder="0" applyAlignment="0" applyProtection="0"/>
    <xf numFmtId="1" fontId="17" fillId="0" borderId="0" applyNumberFormat="0" applyFill="0" applyBorder="0" applyAlignment="0" applyProtection="0"/>
    <xf numFmtId="0" fontId="17" fillId="0" borderId="0"/>
    <xf numFmtId="0" fontId="17" fillId="0" borderId="0"/>
    <xf numFmtId="0" fontId="72" fillId="0" borderId="0"/>
    <xf numFmtId="0" fontId="17" fillId="0" borderId="0"/>
    <xf numFmtId="0" fontId="17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17" fillId="0" borderId="0"/>
    <xf numFmtId="0" fontId="17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17" fillId="0" borderId="0"/>
    <xf numFmtId="0" fontId="17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5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17" fillId="0" borderId="0"/>
    <xf numFmtId="0" fontId="17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17" fillId="0" borderId="0"/>
    <xf numFmtId="0" fontId="17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5" fillId="0" borderId="0"/>
    <xf numFmtId="0" fontId="72" fillId="0" borderId="0"/>
    <xf numFmtId="0" fontId="17" fillId="0" borderId="0"/>
    <xf numFmtId="0" fontId="17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17" fillId="0" borderId="0"/>
    <xf numFmtId="0" fontId="17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17" fillId="0" borderId="0"/>
    <xf numFmtId="0" fontId="17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535" fillId="0" borderId="0" applyNumberFormat="0" applyFill="0" applyBorder="0" applyAlignment="0" applyProtection="0">
      <alignment vertical="top"/>
      <protection locked="0"/>
    </xf>
    <xf numFmtId="0" fontId="515" fillId="0" borderId="0" applyNumberFormat="0" applyFill="0" applyBorder="0" applyAlignment="0" applyProtection="0"/>
    <xf numFmtId="0" fontId="538" fillId="0" borderId="0" applyNumberFormat="0" applyFill="0" applyBorder="0" applyAlignment="0" applyProtection="0">
      <alignment vertical="center"/>
    </xf>
    <xf numFmtId="0" fontId="538" fillId="0" borderId="0" applyNumberFormat="0" applyFill="0" applyBorder="0" applyAlignment="0" applyProtection="0">
      <alignment vertical="center"/>
    </xf>
    <xf numFmtId="0" fontId="304" fillId="83" borderId="79" applyNumberFormat="0" applyAlignment="0" applyProtection="0"/>
    <xf numFmtId="0" fontId="539" fillId="83" borderId="79" applyNumberFormat="0" applyAlignment="0" applyProtection="0">
      <alignment vertical="center"/>
    </xf>
    <xf numFmtId="0" fontId="539" fillId="83" borderId="79" applyNumberFormat="0" applyAlignment="0" applyProtection="0">
      <alignment vertical="center"/>
    </xf>
    <xf numFmtId="40" fontId="2" fillId="0" borderId="0" applyFont="0" applyFill="0" applyBorder="0" applyAlignment="0" applyProtection="0"/>
    <xf numFmtId="343" fontId="2" fillId="0" borderId="0" applyFont="0" applyFill="0" applyBorder="0" applyAlignment="0" applyProtection="0"/>
    <xf numFmtId="344" fontId="2" fillId="0" borderId="0" applyFont="0" applyFill="0" applyBorder="0" applyAlignment="0" applyProtection="0"/>
    <xf numFmtId="0" fontId="433" fillId="55" borderId="0" applyNumberFormat="0" applyBorder="0" applyAlignment="0" applyProtection="0"/>
    <xf numFmtId="0" fontId="540" fillId="55" borderId="0" applyNumberFormat="0" applyBorder="0" applyAlignment="0" applyProtection="0">
      <alignment vertical="center"/>
    </xf>
    <xf numFmtId="0" fontId="540" fillId="55" borderId="0" applyNumberFormat="0" applyBorder="0" applyAlignment="0" applyProtection="0">
      <alignment vertical="center"/>
    </xf>
    <xf numFmtId="345" fontId="426" fillId="0" borderId="0" applyFont="0" applyFill="0" applyBorder="0" applyAlignment="0" applyProtection="0"/>
    <xf numFmtId="346" fontId="426" fillId="0" borderId="0" applyFont="0" applyFill="0" applyBorder="0" applyAlignment="0" applyProtection="0"/>
    <xf numFmtId="0" fontId="285" fillId="0" borderId="0"/>
    <xf numFmtId="0" fontId="541" fillId="0" borderId="0" applyNumberFormat="0" applyFill="0" applyBorder="0" applyAlignment="0" applyProtection="0">
      <alignment vertical="top"/>
      <protection locked="0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39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40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54" fillId="0" borderId="0" applyFont="0" applyFill="0" applyBorder="0" applyAlignment="0" applyProtection="0"/>
    <xf numFmtId="9" fontId="24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/>
    <xf numFmtId="9" fontId="24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542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/>
    <xf numFmtId="9" fontId="543" fillId="0" borderId="0" applyFon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top"/>
      <protection locked="0"/>
    </xf>
    <xf numFmtId="0" fontId="544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0" fontId="545" fillId="0" borderId="0" applyNumberFormat="0" applyFill="0" applyBorder="0" applyAlignment="0" applyProtection="0">
      <alignment vertical="top"/>
      <protection locked="0"/>
    </xf>
    <xf numFmtId="0" fontId="115" fillId="0" borderId="0" applyNumberFormat="0" applyFill="0" applyBorder="0" applyAlignment="0" applyProtection="0">
      <alignment vertical="top"/>
      <protection locked="0"/>
    </xf>
    <xf numFmtId="0" fontId="395" fillId="0" borderId="0" applyNumberFormat="0" applyFill="0" applyBorder="0" applyAlignment="0" applyProtection="0">
      <alignment vertical="top"/>
      <protection locked="0"/>
    </xf>
    <xf numFmtId="0" fontId="546" fillId="0" borderId="0" applyNumberFormat="0" applyFill="0" applyBorder="0" applyAlignment="0" applyProtection="0">
      <alignment vertical="top"/>
      <protection locked="0"/>
    </xf>
    <xf numFmtId="0" fontId="544" fillId="0" borderId="0" applyNumberFormat="0" applyFill="0" applyBorder="0" applyAlignment="0" applyProtection="0">
      <alignment vertical="top"/>
      <protection locked="0"/>
    </xf>
    <xf numFmtId="0" fontId="544" fillId="0" borderId="0" applyNumberFormat="0" applyFill="0" applyBorder="0" applyAlignment="0" applyProtection="0">
      <alignment vertical="top"/>
      <protection locked="0"/>
    </xf>
    <xf numFmtId="0" fontId="413" fillId="0" borderId="0" applyNumberFormat="0" applyFill="0" applyBorder="0" applyAlignment="0" applyProtection="0">
      <alignment vertical="top"/>
      <protection locked="0"/>
    </xf>
    <xf numFmtId="0" fontId="413" fillId="0" borderId="0" applyNumberFormat="0" applyFill="0" applyBorder="0" applyAlignment="0" applyProtection="0">
      <alignment vertical="top"/>
      <protection locked="0"/>
    </xf>
    <xf numFmtId="0" fontId="544" fillId="0" borderId="0" applyNumberFormat="0" applyFill="0" applyBorder="0" applyAlignment="0" applyProtection="0">
      <alignment vertical="top"/>
      <protection locked="0"/>
    </xf>
    <xf numFmtId="0" fontId="90" fillId="0" borderId="0" applyNumberFormat="0" applyFill="0" applyBorder="0" applyAlignment="0" applyProtection="0">
      <alignment vertical="top"/>
      <protection locked="0"/>
    </xf>
    <xf numFmtId="0" fontId="395" fillId="0" borderId="0" applyNumberFormat="0" applyFill="0" applyBorder="0" applyAlignment="0" applyProtection="0">
      <alignment vertical="top"/>
      <protection locked="0"/>
    </xf>
    <xf numFmtId="0" fontId="547" fillId="0" borderId="0" applyNumberFormat="0" applyFill="0" applyBorder="0" applyAlignment="0" applyProtection="0">
      <alignment vertical="top"/>
      <protection locked="0"/>
    </xf>
    <xf numFmtId="0" fontId="548" fillId="0" borderId="0" applyNumberFormat="0" applyFill="0" applyBorder="0" applyAlignment="0" applyProtection="0">
      <alignment vertical="top"/>
      <protection locked="0"/>
    </xf>
    <xf numFmtId="0" fontId="395" fillId="0" borderId="0" applyNumberFormat="0" applyFill="0" applyBorder="0" applyAlignment="0" applyProtection="0">
      <alignment vertical="top"/>
      <protection locked="0"/>
    </xf>
    <xf numFmtId="0" fontId="430" fillId="0" borderId="0">
      <alignment horizontal="center" vertical="center"/>
    </xf>
    <xf numFmtId="0" fontId="4" fillId="28" borderId="66" applyNumberFormat="0" applyFont="0" applyAlignment="0" applyProtection="0">
      <alignment vertical="center"/>
    </xf>
    <xf numFmtId="0" fontId="4" fillId="28" borderId="66" applyNumberFormat="0" applyFont="0" applyAlignment="0" applyProtection="0">
      <alignment vertical="center"/>
    </xf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>
      <alignment vertical="center"/>
    </xf>
    <xf numFmtId="0" fontId="2" fillId="51" borderId="81" applyNumberFormat="0" applyFont="0" applyAlignment="0" applyProtection="0"/>
    <xf numFmtId="0" fontId="2" fillId="51" borderId="81" applyNumberFormat="0" applyFont="0" applyAlignment="0" applyProtection="0">
      <alignment vertical="center"/>
    </xf>
    <xf numFmtId="0" fontId="2" fillId="51" borderId="81" applyNumberFormat="0" applyFont="0" applyAlignment="0" applyProtection="0">
      <alignment vertical="center"/>
    </xf>
    <xf numFmtId="0" fontId="2" fillId="51" borderId="81" applyNumberFormat="0" applyFont="0" applyAlignment="0" applyProtection="0">
      <alignment vertical="center"/>
    </xf>
    <xf numFmtId="0" fontId="2" fillId="51" borderId="81" applyNumberFormat="0" applyFont="0" applyAlignment="0" applyProtection="0">
      <alignment vertical="center"/>
    </xf>
    <xf numFmtId="0" fontId="2" fillId="51" borderId="81" applyNumberFormat="0" applyFont="0" applyAlignment="0" applyProtection="0">
      <alignment vertical="center"/>
    </xf>
    <xf numFmtId="0" fontId="2" fillId="51" borderId="81" applyNumberFormat="0" applyFont="0" applyAlignment="0" applyProtection="0">
      <alignment vertical="center"/>
    </xf>
    <xf numFmtId="0" fontId="2" fillId="51" borderId="81" applyNumberFormat="0" applyFont="0" applyAlignment="0" applyProtection="0">
      <alignment vertical="center"/>
    </xf>
    <xf numFmtId="0" fontId="2" fillId="51" borderId="81" applyNumberFormat="0" applyFont="0" applyAlignment="0" applyProtection="0">
      <alignment vertical="center"/>
    </xf>
    <xf numFmtId="0" fontId="2" fillId="51" borderId="81" applyNumberFormat="0" applyFont="0" applyAlignment="0" applyProtection="0">
      <alignment vertical="center"/>
    </xf>
    <xf numFmtId="0" fontId="2" fillId="51" borderId="81" applyNumberFormat="0" applyFont="0" applyAlignment="0" applyProtection="0">
      <alignment vertical="center"/>
    </xf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>
      <alignment vertical="center"/>
    </xf>
    <xf numFmtId="0" fontId="2" fillId="51" borderId="81" applyNumberFormat="0" applyFont="0" applyAlignment="0" applyProtection="0">
      <alignment vertical="center"/>
    </xf>
    <xf numFmtId="0" fontId="2" fillId="51" borderId="81" applyNumberFormat="0" applyFont="0" applyAlignment="0" applyProtection="0"/>
    <xf numFmtId="0" fontId="2" fillId="51" borderId="81" applyNumberFormat="0" applyFont="0" applyAlignment="0" applyProtection="0">
      <alignment vertical="center"/>
    </xf>
    <xf numFmtId="0" fontId="2" fillId="51" borderId="81" applyNumberFormat="0" applyFont="0" applyAlignment="0" applyProtection="0">
      <alignment vertical="center"/>
    </xf>
    <xf numFmtId="0" fontId="2" fillId="51" borderId="81" applyNumberFormat="0" applyFont="0" applyAlignment="0" applyProtection="0">
      <alignment vertical="center"/>
    </xf>
    <xf numFmtId="0" fontId="2" fillId="51" borderId="81" applyNumberFormat="0" applyFont="0" applyAlignment="0" applyProtection="0">
      <alignment vertical="center"/>
    </xf>
    <xf numFmtId="0" fontId="2" fillId="51" borderId="81" applyNumberFormat="0" applyFont="0" applyAlignment="0" applyProtection="0">
      <alignment vertical="center"/>
    </xf>
    <xf numFmtId="0" fontId="2" fillId="51" borderId="81" applyNumberFormat="0" applyFont="0" applyAlignment="0" applyProtection="0">
      <alignment vertical="center"/>
    </xf>
    <xf numFmtId="0" fontId="2" fillId="51" borderId="81" applyNumberFormat="0" applyFont="0" applyAlignment="0" applyProtection="0">
      <alignment vertical="center"/>
    </xf>
    <xf numFmtId="0" fontId="2" fillId="51" borderId="81" applyNumberFormat="0" applyFont="0" applyAlignment="0" applyProtection="0"/>
    <xf numFmtId="0" fontId="24" fillId="51" borderId="81" applyNumberFormat="0" applyFont="0" applyAlignment="0" applyProtection="0">
      <alignment vertical="center"/>
    </xf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2" fillId="51" borderId="81" applyNumberFormat="0" applyFont="0" applyAlignment="0" applyProtection="0"/>
    <xf numFmtId="0" fontId="4" fillId="28" borderId="66" applyNumberFormat="0" applyFont="0" applyAlignment="0" applyProtection="0">
      <alignment vertical="center"/>
    </xf>
    <xf numFmtId="0" fontId="240" fillId="51" borderId="81" applyNumberFormat="0" applyFont="0" applyAlignment="0" applyProtection="0">
      <alignment vertical="center"/>
    </xf>
    <xf numFmtId="0" fontId="240" fillId="51" borderId="81" applyNumberFormat="0" applyFont="0" applyAlignment="0" applyProtection="0">
      <alignment vertical="center"/>
    </xf>
    <xf numFmtId="0" fontId="240" fillId="51" borderId="81" applyNumberFormat="0" applyFont="0" applyAlignment="0" applyProtection="0">
      <alignment vertical="center"/>
    </xf>
    <xf numFmtId="0" fontId="240" fillId="51" borderId="81" applyNumberFormat="0" applyFont="0" applyAlignment="0" applyProtection="0">
      <alignment vertical="center"/>
    </xf>
    <xf numFmtId="0" fontId="240" fillId="51" borderId="81" applyNumberFormat="0" applyFont="0" applyAlignment="0" applyProtection="0">
      <alignment vertical="center"/>
    </xf>
    <xf numFmtId="0" fontId="240" fillId="51" borderId="81" applyNumberFormat="0" applyFont="0" applyAlignment="0" applyProtection="0">
      <alignment vertical="center"/>
    </xf>
    <xf numFmtId="0" fontId="240" fillId="51" borderId="81" applyNumberFormat="0" applyFont="0" applyAlignment="0" applyProtection="0">
      <alignment vertical="center"/>
    </xf>
    <xf numFmtId="0" fontId="240" fillId="51" borderId="81" applyNumberFormat="0" applyFont="0" applyAlignment="0" applyProtection="0">
      <alignment vertical="center"/>
    </xf>
    <xf numFmtId="0" fontId="240" fillId="51" borderId="81" applyNumberFormat="0" applyFont="0" applyAlignment="0" applyProtection="0">
      <alignment vertical="center"/>
    </xf>
    <xf numFmtId="0" fontId="24" fillId="51" borderId="81" applyNumberFormat="0" applyFont="0" applyAlignment="0" applyProtection="0">
      <alignment vertical="center"/>
    </xf>
    <xf numFmtId="0" fontId="240" fillId="51" borderId="81" applyNumberFormat="0" applyFont="0" applyAlignment="0" applyProtection="0">
      <alignment vertical="center"/>
    </xf>
    <xf numFmtId="0" fontId="240" fillId="51" borderId="81" applyNumberFormat="0" applyFont="0" applyAlignment="0" applyProtection="0">
      <alignment vertical="center"/>
    </xf>
    <xf numFmtId="0" fontId="240" fillId="51" borderId="81" applyNumberFormat="0" applyFont="0" applyAlignment="0" applyProtection="0">
      <alignment vertical="center"/>
    </xf>
    <xf numFmtId="0" fontId="240" fillId="51" borderId="81" applyNumberFormat="0" applyFont="0" applyAlignment="0" applyProtection="0">
      <alignment vertical="center"/>
    </xf>
    <xf numFmtId="0" fontId="240" fillId="51" borderId="81" applyNumberFormat="0" applyFont="0" applyAlignment="0" applyProtection="0">
      <alignment vertical="center"/>
    </xf>
    <xf numFmtId="0" fontId="240" fillId="51" borderId="81" applyNumberFormat="0" applyFont="0" applyAlignment="0" applyProtection="0">
      <alignment vertical="center"/>
    </xf>
    <xf numFmtId="0" fontId="240" fillId="51" borderId="81" applyNumberFormat="0" applyFont="0" applyAlignment="0" applyProtection="0">
      <alignment vertical="center"/>
    </xf>
    <xf numFmtId="0" fontId="240" fillId="51" borderId="81" applyNumberFormat="0" applyFont="0" applyAlignment="0" applyProtection="0">
      <alignment vertical="center"/>
    </xf>
    <xf numFmtId="0" fontId="240" fillId="51" borderId="81" applyNumberFormat="0" applyFont="0" applyAlignment="0" applyProtection="0">
      <alignment vertical="center"/>
    </xf>
    <xf numFmtId="0" fontId="240" fillId="51" borderId="81" applyNumberFormat="0" applyFont="0" applyAlignment="0" applyProtection="0">
      <alignment vertical="center"/>
    </xf>
    <xf numFmtId="0" fontId="240" fillId="51" borderId="81" applyNumberFormat="0" applyFont="0" applyAlignment="0" applyProtection="0">
      <alignment vertical="center"/>
    </xf>
    <xf numFmtId="0" fontId="240" fillId="51" borderId="81" applyNumberFormat="0" applyFont="0" applyAlignment="0" applyProtection="0">
      <alignment vertical="center"/>
    </xf>
    <xf numFmtId="0" fontId="240" fillId="51" borderId="81" applyNumberFormat="0" applyFont="0" applyAlignment="0" applyProtection="0">
      <alignment vertical="center"/>
    </xf>
    <xf numFmtId="0" fontId="240" fillId="51" borderId="81" applyNumberFormat="0" applyFont="0" applyAlignment="0" applyProtection="0">
      <alignment vertical="center"/>
    </xf>
    <xf numFmtId="0" fontId="240" fillId="51" borderId="81" applyNumberFormat="0" applyFont="0" applyAlignment="0" applyProtection="0">
      <alignment vertical="center"/>
    </xf>
    <xf numFmtId="0" fontId="240" fillId="51" borderId="81" applyNumberFormat="0" applyFont="0" applyAlignment="0" applyProtection="0">
      <alignment vertical="center"/>
    </xf>
    <xf numFmtId="0" fontId="240" fillId="51" borderId="81" applyNumberFormat="0" applyFont="0" applyAlignment="0" applyProtection="0">
      <alignment vertical="center"/>
    </xf>
    <xf numFmtId="0" fontId="240" fillId="51" borderId="81" applyNumberFormat="0" applyFont="0" applyAlignment="0" applyProtection="0">
      <alignment vertical="center"/>
    </xf>
    <xf numFmtId="0" fontId="240" fillId="51" borderId="81" applyNumberFormat="0" applyFont="0" applyAlignment="0" applyProtection="0">
      <alignment vertical="center"/>
    </xf>
    <xf numFmtId="0" fontId="240" fillId="51" borderId="81" applyNumberFormat="0" applyFont="0" applyAlignment="0" applyProtection="0">
      <alignment vertical="center"/>
    </xf>
    <xf numFmtId="0" fontId="240" fillId="51" borderId="81" applyNumberFormat="0" applyFont="0" applyAlignment="0" applyProtection="0">
      <alignment vertical="center"/>
    </xf>
    <xf numFmtId="0" fontId="240" fillId="51" borderId="81" applyNumberFormat="0" applyFont="0" applyAlignment="0" applyProtection="0">
      <alignment vertical="center"/>
    </xf>
    <xf numFmtId="0" fontId="240" fillId="51" borderId="81" applyNumberFormat="0" applyFont="0" applyAlignment="0" applyProtection="0">
      <alignment vertical="center"/>
    </xf>
    <xf numFmtId="0" fontId="240" fillId="51" borderId="81" applyNumberFormat="0" applyFont="0" applyAlignment="0" applyProtection="0">
      <alignment vertical="center"/>
    </xf>
    <xf numFmtId="0" fontId="240" fillId="51" borderId="81" applyNumberFormat="0" applyFont="0" applyAlignment="0" applyProtection="0">
      <alignment vertical="center"/>
    </xf>
    <xf numFmtId="0" fontId="240" fillId="51" borderId="81" applyNumberFormat="0" applyFont="0" applyAlignment="0" applyProtection="0">
      <alignment vertical="center"/>
    </xf>
    <xf numFmtId="0" fontId="240" fillId="51" borderId="81" applyNumberFormat="0" applyFont="0" applyAlignment="0" applyProtection="0">
      <alignment vertical="center"/>
    </xf>
    <xf numFmtId="0" fontId="240" fillId="51" borderId="81" applyNumberFormat="0" applyFont="0" applyAlignment="0" applyProtection="0">
      <alignment vertical="center"/>
    </xf>
    <xf numFmtId="0" fontId="240" fillId="51" borderId="81" applyNumberFormat="0" applyFont="0" applyAlignment="0" applyProtection="0">
      <alignment vertical="center"/>
    </xf>
    <xf numFmtId="0" fontId="240" fillId="51" borderId="81" applyNumberFormat="0" applyFont="0" applyAlignment="0" applyProtection="0">
      <alignment vertical="center"/>
    </xf>
    <xf numFmtId="0" fontId="240" fillId="51" borderId="81" applyNumberFormat="0" applyFont="0" applyAlignment="0" applyProtection="0">
      <alignment vertical="center"/>
    </xf>
    <xf numFmtId="0" fontId="240" fillId="51" borderId="81" applyNumberFormat="0" applyFont="0" applyAlignment="0" applyProtection="0">
      <alignment vertical="center"/>
    </xf>
    <xf numFmtId="0" fontId="240" fillId="51" borderId="81" applyNumberFormat="0" applyFont="0" applyAlignment="0" applyProtection="0">
      <alignment vertical="center"/>
    </xf>
    <xf numFmtId="0" fontId="4" fillId="28" borderId="66" applyNumberFormat="0" applyFont="0" applyAlignment="0" applyProtection="0">
      <alignment vertical="center"/>
    </xf>
    <xf numFmtId="0" fontId="240" fillId="51" borderId="81" applyNumberFormat="0" applyFont="0" applyAlignment="0" applyProtection="0">
      <alignment vertical="center"/>
    </xf>
    <xf numFmtId="0" fontId="240" fillId="51" borderId="81" applyNumberFormat="0" applyFont="0" applyAlignment="0" applyProtection="0">
      <alignment vertical="center"/>
    </xf>
    <xf numFmtId="0" fontId="240" fillId="51" borderId="81" applyNumberFormat="0" applyFont="0" applyAlignment="0" applyProtection="0">
      <alignment vertical="center"/>
    </xf>
    <xf numFmtId="0" fontId="240" fillId="51" borderId="81" applyNumberFormat="0" applyFont="0" applyAlignment="0" applyProtection="0">
      <alignment vertical="center"/>
    </xf>
    <xf numFmtId="0" fontId="240" fillId="51" borderId="81" applyNumberFormat="0" applyFont="0" applyAlignment="0" applyProtection="0">
      <alignment vertical="center"/>
    </xf>
    <xf numFmtId="0" fontId="240" fillId="51" borderId="81" applyNumberFormat="0" applyFont="0" applyAlignment="0" applyProtection="0">
      <alignment vertical="center"/>
    </xf>
    <xf numFmtId="0" fontId="240" fillId="51" borderId="81" applyNumberFormat="0" applyFont="0" applyAlignment="0" applyProtection="0">
      <alignment vertical="center"/>
    </xf>
    <xf numFmtId="0" fontId="240" fillId="51" borderId="81" applyNumberFormat="0" applyFont="0" applyAlignment="0" applyProtection="0">
      <alignment vertical="center"/>
    </xf>
    <xf numFmtId="0" fontId="240" fillId="51" borderId="81" applyNumberFormat="0" applyFont="0" applyAlignment="0" applyProtection="0">
      <alignment vertical="center"/>
    </xf>
    <xf numFmtId="0" fontId="240" fillId="51" borderId="81" applyNumberFormat="0" applyFont="0" applyAlignment="0" applyProtection="0">
      <alignment vertical="center"/>
    </xf>
    <xf numFmtId="0" fontId="240" fillId="51" borderId="81" applyNumberFormat="0" applyFont="0" applyAlignment="0" applyProtection="0">
      <alignment vertical="center"/>
    </xf>
    <xf numFmtId="0" fontId="240" fillId="51" borderId="81" applyNumberFormat="0" applyFont="0" applyAlignment="0" applyProtection="0">
      <alignment vertical="center"/>
    </xf>
    <xf numFmtId="0" fontId="240" fillId="51" borderId="81" applyNumberFormat="0" applyFont="0" applyAlignment="0" applyProtection="0">
      <alignment vertical="center"/>
    </xf>
    <xf numFmtId="0" fontId="240" fillId="51" borderId="81" applyNumberFormat="0" applyFont="0" applyAlignment="0" applyProtection="0">
      <alignment vertical="center"/>
    </xf>
    <xf numFmtId="0" fontId="240" fillId="51" borderId="81" applyNumberFormat="0" applyFont="0" applyAlignment="0" applyProtection="0">
      <alignment vertical="center"/>
    </xf>
    <xf numFmtId="0" fontId="240" fillId="51" borderId="81" applyNumberFormat="0" applyFont="0" applyAlignment="0" applyProtection="0">
      <alignment vertical="center"/>
    </xf>
    <xf numFmtId="0" fontId="240" fillId="51" borderId="81" applyNumberFormat="0" applyFont="0" applyAlignment="0" applyProtection="0">
      <alignment vertical="center"/>
    </xf>
    <xf numFmtId="0" fontId="240" fillId="51" borderId="81" applyNumberFormat="0" applyFont="0" applyAlignment="0" applyProtection="0">
      <alignment vertical="center"/>
    </xf>
    <xf numFmtId="0" fontId="240" fillId="51" borderId="81" applyNumberFormat="0" applyFont="0" applyAlignment="0" applyProtection="0">
      <alignment vertical="center"/>
    </xf>
    <xf numFmtId="0" fontId="240" fillId="51" borderId="81" applyNumberFormat="0" applyFont="0" applyAlignment="0" applyProtection="0">
      <alignment vertical="center"/>
    </xf>
    <xf numFmtId="0" fontId="240" fillId="51" borderId="81" applyNumberFormat="0" applyFont="0" applyAlignment="0" applyProtection="0">
      <alignment vertical="center"/>
    </xf>
    <xf numFmtId="0" fontId="24" fillId="51" borderId="81" applyNumberFormat="0" applyFont="0" applyAlignment="0" applyProtection="0">
      <alignment vertical="center"/>
    </xf>
    <xf numFmtId="0" fontId="24" fillId="51" borderId="81" applyNumberFormat="0" applyFont="0" applyAlignment="0" applyProtection="0">
      <alignment vertical="center"/>
    </xf>
    <xf numFmtId="0" fontId="24" fillId="51" borderId="81" applyNumberFormat="0" applyFont="0" applyAlignment="0" applyProtection="0">
      <alignment vertical="center"/>
    </xf>
    <xf numFmtId="0" fontId="24" fillId="51" borderId="81" applyNumberFormat="0" applyFont="0" applyAlignment="0" applyProtection="0">
      <alignment vertical="center"/>
    </xf>
    <xf numFmtId="0" fontId="24" fillId="51" borderId="81" applyNumberFormat="0" applyFont="0" applyAlignment="0" applyProtection="0">
      <alignment vertical="center"/>
    </xf>
    <xf numFmtId="0" fontId="24" fillId="51" borderId="81" applyNumberFormat="0" applyFont="0" applyAlignment="0" applyProtection="0">
      <alignment vertical="center"/>
    </xf>
    <xf numFmtId="0" fontId="24" fillId="51" borderId="81" applyNumberFormat="0" applyFont="0" applyAlignment="0" applyProtection="0">
      <alignment vertical="center"/>
    </xf>
    <xf numFmtId="0" fontId="24" fillId="51" borderId="81" applyNumberFormat="0" applyFont="0" applyAlignment="0" applyProtection="0">
      <alignment vertical="center"/>
    </xf>
    <xf numFmtId="0" fontId="24" fillId="51" borderId="81" applyNumberFormat="0" applyFont="0" applyAlignment="0" applyProtection="0">
      <alignment vertical="center"/>
    </xf>
    <xf numFmtId="0" fontId="24" fillId="51" borderId="81" applyNumberFormat="0" applyFont="0" applyAlignment="0" applyProtection="0">
      <alignment vertical="center"/>
    </xf>
    <xf numFmtId="0" fontId="24" fillId="51" borderId="81" applyNumberFormat="0" applyFont="0" applyAlignment="0" applyProtection="0">
      <alignment vertical="center"/>
    </xf>
    <xf numFmtId="0" fontId="24" fillId="51" borderId="81" applyNumberFormat="0" applyFont="0" applyAlignment="0" applyProtection="0">
      <alignment vertical="center"/>
    </xf>
    <xf numFmtId="0" fontId="24" fillId="51" borderId="81" applyNumberFormat="0" applyFont="0" applyAlignment="0" applyProtection="0">
      <alignment vertical="center"/>
    </xf>
    <xf numFmtId="0" fontId="24" fillId="51" borderId="81" applyNumberFormat="0" applyFont="0" applyAlignment="0" applyProtection="0">
      <alignment vertical="center"/>
    </xf>
    <xf numFmtId="0" fontId="24" fillId="51" borderId="81" applyNumberFormat="0" applyFont="0" applyAlignment="0" applyProtection="0">
      <alignment vertical="center"/>
    </xf>
    <xf numFmtId="0" fontId="24" fillId="51" borderId="81" applyNumberFormat="0" applyFont="0" applyAlignment="0" applyProtection="0">
      <alignment vertical="center"/>
    </xf>
    <xf numFmtId="0" fontId="24" fillId="51" borderId="81" applyNumberFormat="0" applyFont="0" applyAlignment="0" applyProtection="0">
      <alignment vertical="center"/>
    </xf>
    <xf numFmtId="0" fontId="24" fillId="51" borderId="81" applyNumberFormat="0" applyFont="0" applyAlignment="0" applyProtection="0">
      <alignment vertical="center"/>
    </xf>
    <xf numFmtId="0" fontId="24" fillId="51" borderId="81" applyNumberFormat="0" applyFont="0" applyAlignment="0" applyProtection="0">
      <alignment vertical="center"/>
    </xf>
    <xf numFmtId="0" fontId="24" fillId="51" borderId="81" applyNumberFormat="0" applyFont="0" applyAlignment="0" applyProtection="0">
      <alignment vertical="center"/>
    </xf>
    <xf numFmtId="0" fontId="24" fillId="51" borderId="81" applyNumberFormat="0" applyFont="0" applyAlignment="0" applyProtection="0">
      <alignment vertical="center"/>
    </xf>
    <xf numFmtId="0" fontId="24" fillId="51" borderId="81" applyNumberFormat="0" applyFont="0" applyAlignment="0" applyProtection="0">
      <alignment vertical="center"/>
    </xf>
    <xf numFmtId="0" fontId="24" fillId="51" borderId="81" applyNumberFormat="0" applyFont="0" applyAlignment="0" applyProtection="0">
      <alignment vertical="center"/>
    </xf>
    <xf numFmtId="0" fontId="24" fillId="51" borderId="81" applyNumberFormat="0" applyFont="0" applyAlignment="0" applyProtection="0">
      <alignment vertical="center"/>
    </xf>
    <xf numFmtId="0" fontId="24" fillId="51" borderId="81" applyNumberFormat="0" applyFont="0" applyAlignment="0" applyProtection="0">
      <alignment vertical="center"/>
    </xf>
    <xf numFmtId="0" fontId="24" fillId="51" borderId="81" applyNumberFormat="0" applyFont="0" applyAlignment="0" applyProtection="0">
      <alignment vertical="center"/>
    </xf>
    <xf numFmtId="0" fontId="24" fillId="51" borderId="81" applyNumberFormat="0" applyFont="0" applyAlignment="0" applyProtection="0">
      <alignment vertical="center"/>
    </xf>
    <xf numFmtId="0" fontId="24" fillId="51" borderId="81" applyNumberFormat="0" applyFont="0" applyAlignment="0" applyProtection="0">
      <alignment vertical="center"/>
    </xf>
    <xf numFmtId="0" fontId="24" fillId="51" borderId="81" applyNumberFormat="0" applyFont="0" applyAlignment="0" applyProtection="0">
      <alignment vertical="center"/>
    </xf>
    <xf numFmtId="0" fontId="24" fillId="51" borderId="81" applyNumberFormat="0" applyFont="0" applyAlignment="0" applyProtection="0">
      <alignment vertical="center"/>
    </xf>
    <xf numFmtId="0" fontId="24" fillId="51" borderId="81" applyNumberFormat="0" applyFont="0" applyAlignment="0" applyProtection="0">
      <alignment vertical="center"/>
    </xf>
    <xf numFmtId="0" fontId="24" fillId="51" borderId="81" applyNumberFormat="0" applyFont="0" applyAlignment="0" applyProtection="0">
      <alignment vertical="center"/>
    </xf>
    <xf numFmtId="0" fontId="24" fillId="51" borderId="81" applyNumberFormat="0" applyFont="0" applyAlignment="0" applyProtection="0">
      <alignment vertical="center"/>
    </xf>
    <xf numFmtId="0" fontId="240" fillId="51" borderId="81" applyNumberFormat="0" applyFont="0" applyAlignment="0" applyProtection="0">
      <alignment vertical="center"/>
    </xf>
    <xf numFmtId="0" fontId="2" fillId="51" borderId="81" applyNumberFormat="0" applyFont="0" applyAlignment="0" applyProtection="0"/>
    <xf numFmtId="0" fontId="4" fillId="28" borderId="66" applyNumberFormat="0" applyFont="0" applyAlignment="0" applyProtection="0">
      <alignment vertical="center"/>
    </xf>
    <xf numFmtId="0" fontId="4" fillId="28" borderId="66" applyNumberFormat="0" applyFont="0" applyAlignment="0" applyProtection="0">
      <alignment vertical="center"/>
    </xf>
    <xf numFmtId="0" fontId="285" fillId="0" borderId="0" applyFont="0" applyFill="0" applyBorder="0" applyAlignment="0" applyProtection="0"/>
    <xf numFmtId="0" fontId="549" fillId="0" borderId="0" applyFont="0" applyFill="0" applyBorder="0" applyAlignment="0" applyProtection="0"/>
    <xf numFmtId="0" fontId="286" fillId="0" borderId="0" applyFont="0" applyFill="0" applyBorder="0" applyAlignment="0" applyProtection="0"/>
    <xf numFmtId="0" fontId="305" fillId="0" borderId="80" applyNumberFormat="0" applyFill="0" applyAlignment="0" applyProtection="0"/>
    <xf numFmtId="0" fontId="550" fillId="0" borderId="80" applyNumberFormat="0" applyFill="0" applyAlignment="0" applyProtection="0">
      <alignment vertical="center"/>
    </xf>
    <xf numFmtId="0" fontId="550" fillId="0" borderId="80" applyNumberFormat="0" applyFill="0" applyAlignment="0" applyProtection="0">
      <alignment vertical="center"/>
    </xf>
    <xf numFmtId="41" fontId="341" fillId="0" borderId="0" applyFont="0" applyFill="0" applyBorder="0" applyAlignment="0" applyProtection="0"/>
    <xf numFmtId="43" fontId="551" fillId="0" borderId="0" applyFont="0" applyFill="0" applyBorder="0" applyAlignment="0" applyProtection="0"/>
    <xf numFmtId="347" fontId="341" fillId="0" borderId="0" applyFont="0" applyFill="0" applyBorder="0" applyAlignment="0" applyProtection="0"/>
    <xf numFmtId="348" fontId="341" fillId="0" borderId="0" applyFont="0" applyFill="0" applyBorder="0" applyAlignment="0" applyProtection="0"/>
    <xf numFmtId="0" fontId="224" fillId="0" borderId="0" applyNumberFormat="0" applyFill="0" applyBorder="0" applyAlignment="0" applyProtection="0">
      <alignment vertical="top"/>
      <protection locked="0"/>
    </xf>
    <xf numFmtId="0" fontId="216" fillId="0" borderId="0" applyNumberFormat="0" applyFill="0" applyBorder="0" applyAlignment="0" applyProtection="0">
      <alignment vertical="top"/>
      <protection locked="0"/>
    </xf>
    <xf numFmtId="0" fontId="551" fillId="0" borderId="0"/>
    <xf numFmtId="349" fontId="552" fillId="0" borderId="13" applyFont="0" applyFill="0" applyBorder="0" applyAlignment="0" applyProtection="0">
      <alignment horizontal="center"/>
    </xf>
    <xf numFmtId="349" fontId="552" fillId="0" borderId="13" applyFont="0" applyFill="0" applyBorder="0" applyAlignment="0" applyProtection="0">
      <alignment horizontal="center"/>
    </xf>
    <xf numFmtId="349" fontId="552" fillId="0" borderId="13" applyFont="0" applyFill="0" applyBorder="0" applyAlignment="0" applyProtection="0">
      <alignment horizontal="center"/>
    </xf>
    <xf numFmtId="349" fontId="552" fillId="0" borderId="13" applyFont="0" applyFill="0" applyBorder="0" applyAlignment="0" applyProtection="0">
      <alignment horizontal="center"/>
    </xf>
    <xf numFmtId="349" fontId="552" fillId="0" borderId="13" applyFont="0" applyFill="0" applyBorder="0" applyAlignment="0" applyProtection="0">
      <alignment horizontal="center"/>
    </xf>
    <xf numFmtId="349" fontId="552" fillId="0" borderId="13" applyFont="0" applyFill="0" applyBorder="0" applyAlignment="0" applyProtection="0">
      <alignment horizontal="center"/>
    </xf>
    <xf numFmtId="349" fontId="552" fillId="0" borderId="13" applyFont="0" applyFill="0" applyBorder="0" applyAlignment="0" applyProtection="0">
      <alignment horizontal="center"/>
    </xf>
    <xf numFmtId="349" fontId="552" fillId="0" borderId="13" applyFont="0" applyFill="0" applyBorder="0" applyAlignment="0" applyProtection="0">
      <alignment horizontal="center"/>
    </xf>
    <xf numFmtId="349" fontId="552" fillId="0" borderId="13" applyFont="0" applyFill="0" applyBorder="0" applyAlignment="0" applyProtection="0">
      <alignment horizontal="center"/>
    </xf>
    <xf numFmtId="349" fontId="552" fillId="0" borderId="13" applyFont="0" applyFill="0" applyBorder="0" applyAlignment="0" applyProtection="0">
      <alignment horizontal="center"/>
    </xf>
    <xf numFmtId="349" fontId="552" fillId="0" borderId="13" applyFont="0" applyFill="0" applyBorder="0" applyAlignment="0" applyProtection="0">
      <alignment horizontal="center"/>
    </xf>
    <xf numFmtId="349" fontId="552" fillId="0" borderId="13" applyFont="0" applyFill="0" applyBorder="0" applyAlignment="0" applyProtection="0">
      <alignment horizontal="center"/>
    </xf>
    <xf numFmtId="349" fontId="552" fillId="0" borderId="13" applyFont="0" applyFill="0" applyBorder="0" applyAlignment="0" applyProtection="0">
      <alignment horizontal="center"/>
    </xf>
    <xf numFmtId="349" fontId="552" fillId="0" borderId="13" applyFont="0" applyFill="0" applyBorder="0" applyAlignment="0" applyProtection="0">
      <alignment horizontal="center"/>
    </xf>
    <xf numFmtId="0" fontId="235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219" fontId="164" fillId="0" borderId="0" applyFont="0" applyFill="0" applyBorder="0" applyAlignment="0" applyProtection="0"/>
    <xf numFmtId="220" fontId="164" fillId="0" borderId="0" applyFont="0" applyFill="0" applyBorder="0" applyAlignment="0" applyProtection="0"/>
    <xf numFmtId="216" fontId="553" fillId="0" borderId="0" applyFont="0" applyFill="0" applyBorder="0" applyAlignment="0" applyProtection="0"/>
    <xf numFmtId="214" fontId="553" fillId="0" borderId="0" applyFont="0" applyFill="0" applyBorder="0" applyAlignment="0" applyProtection="0"/>
    <xf numFmtId="216" fontId="554" fillId="0" borderId="0" applyFont="0" applyFill="0" applyBorder="0" applyAlignment="0" applyProtection="0"/>
    <xf numFmtId="214" fontId="554" fillId="0" borderId="0" applyFont="0" applyFill="0" applyBorder="0" applyAlignment="0" applyProtection="0"/>
    <xf numFmtId="10" fontId="555" fillId="111" borderId="0" applyFill="0"/>
    <xf numFmtId="0" fontId="556" fillId="0" borderId="0"/>
    <xf numFmtId="0" fontId="557" fillId="0" borderId="0" applyNumberFormat="0" applyFill="0" applyBorder="0" applyAlignment="0" applyProtection="0">
      <alignment vertical="top"/>
      <protection locked="0"/>
    </xf>
    <xf numFmtId="0" fontId="558" fillId="0" borderId="0" applyNumberFormat="0" applyFill="0" applyBorder="0" applyAlignment="0" applyProtection="0">
      <alignment vertical="top"/>
      <protection locked="0"/>
    </xf>
    <xf numFmtId="0" fontId="557" fillId="0" borderId="0" applyNumberFormat="0" applyFill="0" applyBorder="0" applyAlignment="0" applyProtection="0">
      <alignment vertical="top"/>
      <protection locked="0"/>
    </xf>
    <xf numFmtId="0" fontId="559" fillId="0" borderId="0" applyNumberFormat="0" applyFill="0" applyBorder="0" applyAlignment="0" applyProtection="0">
      <alignment vertical="top"/>
      <protection locked="0"/>
    </xf>
    <xf numFmtId="0" fontId="560" fillId="0" borderId="0" applyNumberFormat="0" applyFill="0" applyBorder="0" applyAlignment="0" applyProtection="0">
      <alignment vertical="top"/>
      <protection locked="0"/>
    </xf>
    <xf numFmtId="0" fontId="561" fillId="0" borderId="0" applyNumberFormat="0" applyFill="0" applyBorder="0" applyAlignment="0" applyProtection="0">
      <alignment vertical="top"/>
      <protection locked="0"/>
    </xf>
    <xf numFmtId="0" fontId="562" fillId="0" borderId="0" applyNumberFormat="0" applyFill="0" applyBorder="0" applyAlignment="0" applyProtection="0">
      <alignment vertical="top"/>
      <protection locked="0"/>
    </xf>
    <xf numFmtId="0" fontId="561" fillId="0" borderId="0" applyNumberFormat="0" applyFill="0" applyBorder="0" applyAlignment="0" applyProtection="0">
      <alignment vertical="top"/>
      <protection locked="0"/>
    </xf>
    <xf numFmtId="0" fontId="563" fillId="0" borderId="0" applyNumberFormat="0" applyFill="0" applyBorder="0" applyAlignment="0" applyProtection="0">
      <alignment vertical="top"/>
      <protection locked="0"/>
    </xf>
    <xf numFmtId="0" fontId="564" fillId="0" borderId="0"/>
    <xf numFmtId="214" fontId="24" fillId="0" borderId="0" applyFont="0" applyFill="0" applyBorder="0" applyAlignment="0" applyProtection="0"/>
    <xf numFmtId="216" fontId="24" fillId="0" borderId="0" applyFont="0" applyFill="0" applyBorder="0" applyAlignment="0" applyProtection="0"/>
    <xf numFmtId="0" fontId="151" fillId="0" borderId="0"/>
    <xf numFmtId="0" fontId="565" fillId="0" borderId="0"/>
    <xf numFmtId="0" fontId="565" fillId="0" borderId="0"/>
    <xf numFmtId="0" fontId="565" fillId="0" borderId="0"/>
    <xf numFmtId="0" fontId="565" fillId="0" borderId="0"/>
    <xf numFmtId="0" fontId="426" fillId="0" borderId="0"/>
    <xf numFmtId="0" fontId="426" fillId="0" borderId="0"/>
    <xf numFmtId="0" fontId="565" fillId="0" borderId="0"/>
    <xf numFmtId="0" fontId="565" fillId="0" borderId="0"/>
    <xf numFmtId="0" fontId="426" fillId="0" borderId="0"/>
    <xf numFmtId="0" fontId="426" fillId="0" borderId="0"/>
    <xf numFmtId="0" fontId="426" fillId="0" borderId="0"/>
    <xf numFmtId="0" fontId="565" fillId="0" borderId="0"/>
    <xf numFmtId="0" fontId="565" fillId="0" borderId="0"/>
    <xf numFmtId="0" fontId="426" fillId="0" borderId="0"/>
    <xf numFmtId="0" fontId="426" fillId="0" borderId="0"/>
    <xf numFmtId="0" fontId="426" fillId="0" borderId="0"/>
    <xf numFmtId="0" fontId="565" fillId="0" borderId="0"/>
    <xf numFmtId="0" fontId="565" fillId="0" borderId="0"/>
    <xf numFmtId="0" fontId="426" fillId="0" borderId="0"/>
    <xf numFmtId="0" fontId="426" fillId="0" borderId="0"/>
    <xf numFmtId="0" fontId="426" fillId="0" borderId="0"/>
    <xf numFmtId="0" fontId="565" fillId="0" borderId="0"/>
    <xf numFmtId="0" fontId="565" fillId="0" borderId="0"/>
    <xf numFmtId="0" fontId="426" fillId="0" borderId="0"/>
    <xf numFmtId="0" fontId="426" fillId="0" borderId="0"/>
    <xf numFmtId="0" fontId="426" fillId="0" borderId="0"/>
    <xf numFmtId="0" fontId="565" fillId="0" borderId="0"/>
    <xf numFmtId="0" fontId="565" fillId="0" borderId="0"/>
    <xf numFmtId="0" fontId="426" fillId="0" borderId="0"/>
    <xf numFmtId="0" fontId="426" fillId="0" borderId="0"/>
    <xf numFmtId="0" fontId="426" fillId="0" borderId="0"/>
    <xf numFmtId="0" fontId="426" fillId="0" borderId="0"/>
    <xf numFmtId="0" fontId="2" fillId="0" borderId="0"/>
    <xf numFmtId="0" fontId="426" fillId="0" borderId="0"/>
    <xf numFmtId="0" fontId="565" fillId="0" borderId="0"/>
    <xf numFmtId="0" fontId="426" fillId="0" borderId="0"/>
    <xf numFmtId="0" fontId="426" fillId="0" borderId="0"/>
    <xf numFmtId="0" fontId="426" fillId="0" borderId="0"/>
    <xf numFmtId="0" fontId="426" fillId="0" borderId="0"/>
    <xf numFmtId="0" fontId="426" fillId="0" borderId="0"/>
    <xf numFmtId="0" fontId="426" fillId="0" borderId="0"/>
    <xf numFmtId="0" fontId="565" fillId="0" borderId="0"/>
    <xf numFmtId="0" fontId="426" fillId="0" borderId="0"/>
    <xf numFmtId="0" fontId="565" fillId="0" borderId="0"/>
    <xf numFmtId="0" fontId="426" fillId="0" borderId="0"/>
    <xf numFmtId="0" fontId="565" fillId="0" borderId="0"/>
    <xf numFmtId="0" fontId="2" fillId="0" borderId="0"/>
    <xf numFmtId="41" fontId="17" fillId="0" borderId="0" applyFont="0" applyFill="0" applyBorder="0" applyAlignment="0" applyProtection="0"/>
    <xf numFmtId="0" fontId="566" fillId="0" borderId="0" applyNumberFormat="0" applyFill="0" applyBorder="0" applyAlignment="0" applyProtection="0">
      <alignment vertical="top"/>
      <protection locked="0"/>
    </xf>
    <xf numFmtId="0" fontId="271" fillId="44" borderId="0" applyNumberFormat="0" applyBorder="0" applyAlignment="0" applyProtection="0"/>
    <xf numFmtId="0" fontId="567" fillId="44" borderId="0" applyNumberFormat="0" applyBorder="0" applyAlignment="0" applyProtection="0">
      <alignment vertical="center"/>
    </xf>
    <xf numFmtId="0" fontId="567" fillId="44" borderId="0" applyNumberFormat="0" applyBorder="0" applyAlignment="0" applyProtection="0">
      <alignment vertical="center"/>
    </xf>
    <xf numFmtId="0" fontId="568" fillId="0" borderId="0" applyNumberFormat="0" applyFont="0" applyFill="0" applyBorder="0" applyProtection="0">
      <alignment vertical="top"/>
    </xf>
    <xf numFmtId="0" fontId="59" fillId="0" borderId="0">
      <alignment vertical="center"/>
    </xf>
    <xf numFmtId="0" fontId="2" fillId="0" borderId="114"/>
    <xf numFmtId="214" fontId="569" fillId="0" borderId="0" applyFont="0" applyFill="0" applyBorder="0" applyAlignment="0" applyProtection="0"/>
    <xf numFmtId="191" fontId="213" fillId="0" borderId="0" applyFont="0" applyFill="0" applyBorder="0" applyAlignment="0" applyProtection="0"/>
    <xf numFmtId="191" fontId="213" fillId="0" borderId="0" applyFont="0" applyFill="0" applyBorder="0" applyAlignment="0" applyProtection="0"/>
    <xf numFmtId="214" fontId="173" fillId="0" borderId="0" applyFont="0" applyFill="0" applyBorder="0" applyAlignment="0" applyProtection="0"/>
    <xf numFmtId="350" fontId="213" fillId="0" borderId="0" applyFont="0" applyFill="0" applyBorder="0" applyAlignment="0" applyProtection="0"/>
    <xf numFmtId="216" fontId="569" fillId="0" borderId="0" applyFont="0" applyFill="0" applyBorder="0" applyAlignment="0" applyProtection="0"/>
    <xf numFmtId="0" fontId="570" fillId="0" borderId="0" applyNumberFormat="0" applyFill="0" applyBorder="0" applyAlignment="0" applyProtection="0">
      <alignment vertical="center"/>
    </xf>
    <xf numFmtId="0" fontId="570" fillId="0" borderId="0" applyNumberFormat="0" applyFill="0" applyBorder="0" applyAlignment="0" applyProtection="0">
      <alignment vertical="center"/>
    </xf>
    <xf numFmtId="0" fontId="570" fillId="0" borderId="0" applyNumberFormat="0" applyFill="0" applyBorder="0" applyAlignment="0" applyProtection="0">
      <alignment vertical="center"/>
    </xf>
    <xf numFmtId="0" fontId="570" fillId="0" borderId="0" applyNumberFormat="0" applyFill="0" applyBorder="0" applyAlignment="0" applyProtection="0">
      <alignment vertical="center"/>
    </xf>
    <xf numFmtId="0" fontId="571" fillId="0" borderId="0" applyNumberFormat="0" applyFill="0" applyBorder="0" applyAlignment="0" applyProtection="0">
      <alignment vertical="center"/>
    </xf>
    <xf numFmtId="0" fontId="570" fillId="0" borderId="0" applyNumberFormat="0" applyFill="0" applyBorder="0" applyAlignment="0" applyProtection="0">
      <alignment vertical="center"/>
    </xf>
    <xf numFmtId="0" fontId="570" fillId="0" borderId="0" applyNumberFormat="0" applyFill="0" applyBorder="0" applyAlignment="0" applyProtection="0">
      <alignment vertical="center"/>
    </xf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572" fillId="54" borderId="77" applyNumberFormat="0" applyAlignment="0" applyProtection="0">
      <alignment vertical="center"/>
    </xf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291" fillId="54" borderId="77" applyNumberFormat="0" applyAlignment="0" applyProtection="0"/>
    <xf numFmtId="0" fontId="572" fillId="54" borderId="77" applyNumberFormat="0" applyAlignment="0" applyProtection="0">
      <alignment vertical="center"/>
    </xf>
    <xf numFmtId="0" fontId="572" fillId="54" borderId="77" applyNumberFormat="0" applyAlignment="0" applyProtection="0">
      <alignment vertical="center"/>
    </xf>
    <xf numFmtId="0" fontId="572" fillId="54" borderId="77" applyNumberFormat="0" applyAlignment="0" applyProtection="0">
      <alignment vertical="center"/>
    </xf>
    <xf numFmtId="0" fontId="572" fillId="54" borderId="77" applyNumberFormat="0" applyAlignment="0" applyProtection="0">
      <alignment vertical="center"/>
    </xf>
    <xf numFmtId="0" fontId="572" fillId="54" borderId="77" applyNumberFormat="0" applyAlignment="0" applyProtection="0">
      <alignment vertical="center"/>
    </xf>
    <xf numFmtId="0" fontId="572" fillId="54" borderId="77" applyNumberFormat="0" applyAlignment="0" applyProtection="0">
      <alignment vertical="center"/>
    </xf>
    <xf numFmtId="0" fontId="572" fillId="54" borderId="77" applyNumberFormat="0" applyAlignment="0" applyProtection="0">
      <alignment vertical="center"/>
    </xf>
    <xf numFmtId="0" fontId="572" fillId="54" borderId="77" applyNumberFormat="0" applyAlignment="0" applyProtection="0">
      <alignment vertical="center"/>
    </xf>
    <xf numFmtId="0" fontId="572" fillId="54" borderId="77" applyNumberFormat="0" applyAlignment="0" applyProtection="0">
      <alignment vertical="center"/>
    </xf>
    <xf numFmtId="0" fontId="572" fillId="54" borderId="77" applyNumberFormat="0" applyAlignment="0" applyProtection="0">
      <alignment vertical="center"/>
    </xf>
    <xf numFmtId="0" fontId="572" fillId="54" borderId="77" applyNumberFormat="0" applyAlignment="0" applyProtection="0">
      <alignment vertical="center"/>
    </xf>
    <xf numFmtId="0" fontId="572" fillId="54" borderId="77" applyNumberFormat="0" applyAlignment="0" applyProtection="0">
      <alignment vertical="center"/>
    </xf>
    <xf numFmtId="0" fontId="572" fillId="54" borderId="77" applyNumberFormat="0" applyAlignment="0" applyProtection="0">
      <alignment vertical="center"/>
    </xf>
    <xf numFmtId="0" fontId="572" fillId="54" borderId="77" applyNumberFormat="0" applyAlignment="0" applyProtection="0">
      <alignment vertical="center"/>
    </xf>
    <xf numFmtId="0" fontId="572" fillId="54" borderId="77" applyNumberFormat="0" applyAlignment="0" applyProtection="0">
      <alignment vertical="center"/>
    </xf>
    <xf numFmtId="0" fontId="572" fillId="54" borderId="77" applyNumberFormat="0" applyAlignment="0" applyProtection="0">
      <alignment vertical="center"/>
    </xf>
    <xf numFmtId="0" fontId="572" fillId="54" borderId="77" applyNumberFormat="0" applyAlignment="0" applyProtection="0">
      <alignment vertical="center"/>
    </xf>
    <xf numFmtId="0" fontId="572" fillId="54" borderId="77" applyNumberFormat="0" applyAlignment="0" applyProtection="0">
      <alignment vertical="center"/>
    </xf>
    <xf numFmtId="0" fontId="572" fillId="54" borderId="77" applyNumberFormat="0" applyAlignment="0" applyProtection="0">
      <alignment vertical="center"/>
    </xf>
    <xf numFmtId="0" fontId="572" fillId="54" borderId="77" applyNumberFormat="0" applyAlignment="0" applyProtection="0">
      <alignment vertical="center"/>
    </xf>
    <xf numFmtId="0" fontId="572" fillId="54" borderId="77" applyNumberFormat="0" applyAlignment="0" applyProtection="0">
      <alignment vertical="center"/>
    </xf>
    <xf numFmtId="0" fontId="572" fillId="54" borderId="77" applyNumberFormat="0" applyAlignment="0" applyProtection="0">
      <alignment vertical="center"/>
    </xf>
    <xf numFmtId="0" fontId="572" fillId="54" borderId="77" applyNumberFormat="0" applyAlignment="0" applyProtection="0">
      <alignment vertical="center"/>
    </xf>
    <xf numFmtId="0" fontId="572" fillId="54" borderId="77" applyNumberFormat="0" applyAlignment="0" applyProtection="0">
      <alignment vertical="center"/>
    </xf>
    <xf numFmtId="0" fontId="572" fillId="54" borderId="77" applyNumberFormat="0" applyAlignment="0" applyProtection="0">
      <alignment vertical="center"/>
    </xf>
    <xf numFmtId="0" fontId="572" fillId="54" borderId="77" applyNumberFormat="0" applyAlignment="0" applyProtection="0">
      <alignment vertical="center"/>
    </xf>
    <xf numFmtId="0" fontId="572" fillId="54" borderId="77" applyNumberFormat="0" applyAlignment="0" applyProtection="0">
      <alignment vertical="center"/>
    </xf>
    <xf numFmtId="0" fontId="572" fillId="54" borderId="77" applyNumberFormat="0" applyAlignment="0" applyProtection="0">
      <alignment vertical="center"/>
    </xf>
    <xf numFmtId="0" fontId="572" fillId="54" borderId="77" applyNumberFormat="0" applyAlignment="0" applyProtection="0">
      <alignment vertical="center"/>
    </xf>
    <xf numFmtId="0" fontId="572" fillId="54" borderId="77" applyNumberFormat="0" applyAlignment="0" applyProtection="0">
      <alignment vertical="center"/>
    </xf>
    <xf numFmtId="0" fontId="572" fillId="54" borderId="77" applyNumberFormat="0" applyAlignment="0" applyProtection="0">
      <alignment vertical="center"/>
    </xf>
    <xf numFmtId="0" fontId="572" fillId="54" borderId="77" applyNumberFormat="0" applyAlignment="0" applyProtection="0">
      <alignment vertical="center"/>
    </xf>
    <xf numFmtId="0" fontId="572" fillId="54" borderId="77" applyNumberFormat="0" applyAlignment="0" applyProtection="0">
      <alignment vertical="center"/>
    </xf>
    <xf numFmtId="0" fontId="572" fillId="54" borderId="77" applyNumberFormat="0" applyAlignment="0" applyProtection="0">
      <alignment vertical="center"/>
    </xf>
    <xf numFmtId="0" fontId="572" fillId="54" borderId="77" applyNumberFormat="0" applyAlignment="0" applyProtection="0">
      <alignment vertical="center"/>
    </xf>
    <xf numFmtId="0" fontId="572" fillId="54" borderId="77" applyNumberFormat="0" applyAlignment="0" applyProtection="0">
      <alignment vertical="center"/>
    </xf>
    <xf numFmtId="0" fontId="572" fillId="54" borderId="77" applyNumberFormat="0" applyAlignment="0" applyProtection="0">
      <alignment vertical="center"/>
    </xf>
    <xf numFmtId="0" fontId="572" fillId="54" borderId="77" applyNumberFormat="0" applyAlignment="0" applyProtection="0">
      <alignment vertical="center"/>
    </xf>
    <xf numFmtId="0" fontId="572" fillId="54" borderId="77" applyNumberFormat="0" applyAlignment="0" applyProtection="0">
      <alignment vertical="center"/>
    </xf>
    <xf numFmtId="0" fontId="572" fillId="54" borderId="77" applyNumberFormat="0" applyAlignment="0" applyProtection="0">
      <alignment vertical="center"/>
    </xf>
    <xf numFmtId="0" fontId="572" fillId="54" borderId="77" applyNumberFormat="0" applyAlignment="0" applyProtection="0">
      <alignment vertical="center"/>
    </xf>
    <xf numFmtId="0" fontId="572" fillId="54" borderId="77" applyNumberFormat="0" applyAlignment="0" applyProtection="0">
      <alignment vertical="center"/>
    </xf>
    <xf numFmtId="0" fontId="572" fillId="54" borderId="77" applyNumberFormat="0" applyAlignment="0" applyProtection="0">
      <alignment vertical="center"/>
    </xf>
    <xf numFmtId="0" fontId="572" fillId="54" borderId="77" applyNumberFormat="0" applyAlignment="0" applyProtection="0">
      <alignment vertical="center"/>
    </xf>
    <xf numFmtId="0" fontId="572" fillId="54" borderId="77" applyNumberFormat="0" applyAlignment="0" applyProtection="0">
      <alignment vertical="center"/>
    </xf>
    <xf numFmtId="0" fontId="572" fillId="54" borderId="77" applyNumberFormat="0" applyAlignment="0" applyProtection="0">
      <alignment vertical="center"/>
    </xf>
    <xf numFmtId="0" fontId="572" fillId="54" borderId="77" applyNumberFormat="0" applyAlignment="0" applyProtection="0">
      <alignment vertical="center"/>
    </xf>
    <xf numFmtId="0" fontId="572" fillId="54" borderId="77" applyNumberFormat="0" applyAlignment="0" applyProtection="0">
      <alignment vertical="center"/>
    </xf>
    <xf numFmtId="0" fontId="572" fillId="54" borderId="77" applyNumberFormat="0" applyAlignment="0" applyProtection="0">
      <alignment vertical="center"/>
    </xf>
    <xf numFmtId="0" fontId="572" fillId="54" borderId="77" applyNumberFormat="0" applyAlignment="0" applyProtection="0">
      <alignment vertical="center"/>
    </xf>
    <xf numFmtId="0" fontId="572" fillId="54" borderId="77" applyNumberFormat="0" applyAlignment="0" applyProtection="0">
      <alignment vertical="center"/>
    </xf>
    <xf numFmtId="0" fontId="572" fillId="54" borderId="77" applyNumberFormat="0" applyAlignment="0" applyProtection="0">
      <alignment vertical="center"/>
    </xf>
    <xf numFmtId="0" fontId="572" fillId="54" borderId="77" applyNumberFormat="0" applyAlignment="0" applyProtection="0">
      <alignment vertical="center"/>
    </xf>
    <xf numFmtId="0" fontId="572" fillId="54" borderId="77" applyNumberFormat="0" applyAlignment="0" applyProtection="0">
      <alignment vertical="center"/>
    </xf>
    <xf numFmtId="0" fontId="572" fillId="54" borderId="77" applyNumberFormat="0" applyAlignment="0" applyProtection="0">
      <alignment vertical="center"/>
    </xf>
    <xf numFmtId="0" fontId="572" fillId="54" borderId="77" applyNumberFormat="0" applyAlignment="0" applyProtection="0">
      <alignment vertical="center"/>
    </xf>
    <xf numFmtId="0" fontId="572" fillId="54" borderId="77" applyNumberFormat="0" applyAlignment="0" applyProtection="0">
      <alignment vertical="center"/>
    </xf>
    <xf numFmtId="0" fontId="572" fillId="54" borderId="77" applyNumberFormat="0" applyAlignment="0" applyProtection="0">
      <alignment vertical="center"/>
    </xf>
    <xf numFmtId="0" fontId="572" fillId="54" borderId="77" applyNumberFormat="0" applyAlignment="0" applyProtection="0">
      <alignment vertical="center"/>
    </xf>
    <xf numFmtId="0" fontId="572" fillId="54" borderId="77" applyNumberFormat="0" applyAlignment="0" applyProtection="0">
      <alignment vertical="center"/>
    </xf>
    <xf numFmtId="0" fontId="572" fillId="54" borderId="77" applyNumberFormat="0" applyAlignment="0" applyProtection="0">
      <alignment vertical="center"/>
    </xf>
    <xf numFmtId="0" fontId="572" fillId="54" borderId="77" applyNumberFormat="0" applyAlignment="0" applyProtection="0">
      <alignment vertical="center"/>
    </xf>
    <xf numFmtId="0" fontId="572" fillId="54" borderId="77" applyNumberFormat="0" applyAlignment="0" applyProtection="0">
      <alignment vertical="center"/>
    </xf>
    <xf numFmtId="0" fontId="572" fillId="54" borderId="77" applyNumberFormat="0" applyAlignment="0" applyProtection="0">
      <alignment vertical="center"/>
    </xf>
    <xf numFmtId="0" fontId="572" fillId="54" borderId="77" applyNumberFormat="0" applyAlignment="0" applyProtection="0">
      <alignment vertical="center"/>
    </xf>
    <xf numFmtId="0" fontId="572" fillId="54" borderId="77" applyNumberFormat="0" applyAlignment="0" applyProtection="0">
      <alignment vertical="center"/>
    </xf>
    <xf numFmtId="0" fontId="572" fillId="54" borderId="77" applyNumberFormat="0" applyAlignment="0" applyProtection="0">
      <alignment vertical="center"/>
    </xf>
    <xf numFmtId="0" fontId="572" fillId="54" borderId="77" applyNumberFormat="0" applyAlignment="0" applyProtection="0">
      <alignment vertical="center"/>
    </xf>
    <xf numFmtId="0" fontId="572" fillId="54" borderId="77" applyNumberFormat="0" applyAlignment="0" applyProtection="0">
      <alignment vertical="center"/>
    </xf>
    <xf numFmtId="0" fontId="572" fillId="54" borderId="77" applyNumberFormat="0" applyAlignment="0" applyProtection="0">
      <alignment vertical="center"/>
    </xf>
    <xf numFmtId="0" fontId="572" fillId="54" borderId="77" applyNumberFormat="0" applyAlignment="0" applyProtection="0">
      <alignment vertical="center"/>
    </xf>
    <xf numFmtId="0" fontId="572" fillId="54" borderId="77" applyNumberFormat="0" applyAlignment="0" applyProtection="0">
      <alignment vertical="center"/>
    </xf>
    <xf numFmtId="0" fontId="572" fillId="54" borderId="77" applyNumberFormat="0" applyAlignment="0" applyProtection="0">
      <alignment vertical="center"/>
    </xf>
    <xf numFmtId="0" fontId="572" fillId="54" borderId="77" applyNumberFormat="0" applyAlignment="0" applyProtection="0">
      <alignment vertical="center"/>
    </xf>
    <xf numFmtId="0" fontId="572" fillId="54" borderId="77" applyNumberFormat="0" applyAlignment="0" applyProtection="0">
      <alignment vertical="center"/>
    </xf>
    <xf numFmtId="0" fontId="572" fillId="54" borderId="77" applyNumberFormat="0" applyAlignment="0" applyProtection="0">
      <alignment vertical="center"/>
    </xf>
    <xf numFmtId="0" fontId="572" fillId="54" borderId="77" applyNumberFormat="0" applyAlignment="0" applyProtection="0">
      <alignment vertical="center"/>
    </xf>
    <xf numFmtId="0" fontId="572" fillId="54" borderId="77" applyNumberFormat="0" applyAlignment="0" applyProtection="0">
      <alignment vertical="center"/>
    </xf>
    <xf numFmtId="0" fontId="572" fillId="54" borderId="77" applyNumberFormat="0" applyAlignment="0" applyProtection="0">
      <alignment vertical="center"/>
    </xf>
    <xf numFmtId="0" fontId="572" fillId="54" borderId="77" applyNumberFormat="0" applyAlignment="0" applyProtection="0">
      <alignment vertical="center"/>
    </xf>
    <xf numFmtId="0" fontId="572" fillId="54" borderId="77" applyNumberFormat="0" applyAlignment="0" applyProtection="0">
      <alignment vertical="center"/>
    </xf>
    <xf numFmtId="0" fontId="572" fillId="54" borderId="77" applyNumberFormat="0" applyAlignment="0" applyProtection="0">
      <alignment vertical="center"/>
    </xf>
    <xf numFmtId="0" fontId="572" fillId="54" borderId="77" applyNumberFormat="0" applyAlignment="0" applyProtection="0">
      <alignment vertical="center"/>
    </xf>
    <xf numFmtId="0" fontId="572" fillId="54" borderId="77" applyNumberFormat="0" applyAlignment="0" applyProtection="0">
      <alignment vertical="center"/>
    </xf>
    <xf numFmtId="0" fontId="572" fillId="54" borderId="77" applyNumberFormat="0" applyAlignment="0" applyProtection="0">
      <alignment vertical="center"/>
    </xf>
    <xf numFmtId="0" fontId="572" fillId="54" borderId="77" applyNumberFormat="0" applyAlignment="0" applyProtection="0">
      <alignment vertical="center"/>
    </xf>
    <xf numFmtId="0" fontId="572" fillId="54" borderId="77" applyNumberFormat="0" applyAlignment="0" applyProtection="0">
      <alignment vertical="center"/>
    </xf>
    <xf numFmtId="0" fontId="572" fillId="54" borderId="77" applyNumberFormat="0" applyAlignment="0" applyProtection="0">
      <alignment vertical="center"/>
    </xf>
    <xf numFmtId="0" fontId="291" fillId="54" borderId="77" applyNumberFormat="0" applyAlignment="0" applyProtection="0"/>
    <xf numFmtId="0" fontId="268" fillId="0" borderId="0" applyNumberFormat="0" applyFill="0" applyBorder="0" applyAlignment="0" applyProtection="0"/>
    <xf numFmtId="0" fontId="573" fillId="0" borderId="0" applyNumberFormat="0" applyFill="0" applyBorder="0" applyAlignment="0" applyProtection="0">
      <alignment vertical="center"/>
    </xf>
    <xf numFmtId="0" fontId="573" fillId="0" borderId="0" applyNumberFormat="0" applyFill="0" applyBorder="0" applyAlignment="0" applyProtection="0">
      <alignment vertical="center"/>
    </xf>
    <xf numFmtId="0" fontId="574" fillId="0" borderId="0" applyNumberFormat="0" applyFill="0" applyBorder="0" applyAlignment="0" applyProtection="0">
      <alignment vertical="center"/>
    </xf>
    <xf numFmtId="0" fontId="574" fillId="0" borderId="0" applyNumberFormat="0" applyFill="0" applyBorder="0" applyAlignment="0" applyProtection="0">
      <alignment vertical="center"/>
    </xf>
    <xf numFmtId="0" fontId="574" fillId="0" borderId="0" applyNumberFormat="0" applyFill="0" applyBorder="0" applyAlignment="0" applyProtection="0">
      <alignment vertical="center"/>
    </xf>
    <xf numFmtId="0" fontId="574" fillId="0" borderId="0" applyNumberFormat="0" applyFill="0" applyBorder="0" applyAlignment="0" applyProtection="0">
      <alignment vertical="center"/>
    </xf>
    <xf numFmtId="0" fontId="575" fillId="0" borderId="0" applyNumberFormat="0" applyFill="0" applyBorder="0" applyAlignment="0" applyProtection="0">
      <alignment vertical="center"/>
    </xf>
    <xf numFmtId="0" fontId="574" fillId="0" borderId="0" applyNumberFormat="0" applyFill="0" applyBorder="0" applyAlignment="0" applyProtection="0">
      <alignment vertical="center"/>
    </xf>
    <xf numFmtId="0" fontId="574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0" fontId="2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4" fillId="0" borderId="0" applyFont="0" applyFill="0" applyBorder="0" applyAlignment="0" applyProtection="0"/>
    <xf numFmtId="40" fontId="24" fillId="0" borderId="0" applyFont="0" applyFill="0" applyBorder="0" applyAlignment="0" applyProtection="0">
      <alignment vertical="center"/>
    </xf>
    <xf numFmtId="40" fontId="2" fillId="0" borderId="0" applyFont="0" applyFill="0" applyBorder="0" applyAlignment="0" applyProtection="0">
      <alignment vertical="center"/>
    </xf>
    <xf numFmtId="40" fontId="4" fillId="0" borderId="0" applyFont="0" applyFill="0" applyBorder="0" applyAlignment="0" applyProtection="0">
      <alignment vertical="center"/>
    </xf>
    <xf numFmtId="40" fontId="4" fillId="0" borderId="0" applyFont="0" applyFill="0" applyBorder="0" applyAlignment="0" applyProtection="0">
      <alignment vertical="center"/>
    </xf>
    <xf numFmtId="40" fontId="4" fillId="0" borderId="0" applyFont="0" applyFill="0" applyBorder="0" applyAlignment="0" applyProtection="0">
      <alignment vertical="center"/>
    </xf>
    <xf numFmtId="40" fontId="4" fillId="0" borderId="0" applyFont="0" applyFill="0" applyBorder="0" applyAlignment="0" applyProtection="0">
      <alignment vertical="center"/>
    </xf>
    <xf numFmtId="40" fontId="4" fillId="0" borderId="0" applyFont="0" applyFill="0" applyBorder="0" applyAlignment="0" applyProtection="0">
      <alignment vertical="center"/>
    </xf>
    <xf numFmtId="40" fontId="4" fillId="0" borderId="0" applyFont="0" applyFill="0" applyBorder="0" applyAlignment="0" applyProtection="0">
      <alignment vertical="center"/>
    </xf>
    <xf numFmtId="40" fontId="4" fillId="0" borderId="0" applyFont="0" applyFill="0" applyBorder="0" applyAlignment="0" applyProtection="0">
      <alignment vertical="center"/>
    </xf>
    <xf numFmtId="40" fontId="4" fillId="0" borderId="0" applyFont="0" applyFill="0" applyBorder="0" applyAlignment="0" applyProtection="0">
      <alignment vertical="center"/>
    </xf>
    <xf numFmtId="40" fontId="4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0" fontId="4" fillId="0" borderId="0" applyFont="0" applyFill="0" applyBorder="0" applyAlignment="0" applyProtection="0">
      <alignment vertical="center"/>
    </xf>
    <xf numFmtId="40" fontId="4" fillId="0" borderId="0" applyFont="0" applyFill="0" applyBorder="0" applyAlignment="0" applyProtection="0">
      <alignment vertical="center"/>
    </xf>
    <xf numFmtId="204" fontId="2" fillId="0" borderId="0" applyFont="0" applyFill="0" applyBorder="0" applyAlignment="0" applyProtection="0"/>
    <xf numFmtId="43" fontId="236" fillId="0" borderId="0" applyFont="0" applyFill="0" applyBorder="0" applyAlignment="0" applyProtection="0"/>
    <xf numFmtId="43" fontId="2" fillId="0" borderId="0" applyFont="0" applyFill="0" applyBorder="0" applyAlignment="0" applyProtection="0"/>
    <xf numFmtId="38" fontId="28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28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4" fillId="0" borderId="0" applyFont="0" applyFill="0" applyBorder="0" applyAlignment="0" applyProtection="0"/>
    <xf numFmtId="38" fontId="576" fillId="0" borderId="0" applyFont="0" applyFill="0" applyBorder="0" applyAlignment="0" applyProtection="0">
      <alignment vertical="center"/>
    </xf>
    <xf numFmtId="38" fontId="57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202" fontId="2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24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24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4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4" fillId="0" borderId="0" applyFont="0" applyFill="0" applyBorder="0" applyAlignment="0" applyProtection="0">
      <alignment vertical="center"/>
    </xf>
    <xf numFmtId="38" fontId="4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/>
    <xf numFmtId="38" fontId="24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8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320" fillId="0" borderId="0" applyFont="0" applyFill="0" applyBorder="0" applyAlignment="0" applyProtection="0"/>
    <xf numFmtId="38" fontId="2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4" fillId="0" borderId="0" applyFont="0" applyFill="0" applyBorder="0" applyAlignment="0" applyProtection="0">
      <alignment vertical="center"/>
    </xf>
    <xf numFmtId="38" fontId="4" fillId="0" borderId="0" applyFont="0" applyFill="0" applyBorder="0" applyAlignment="0" applyProtection="0">
      <alignment vertical="center"/>
    </xf>
    <xf numFmtId="38" fontId="4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4" fillId="0" borderId="0" applyFont="0" applyFill="0" applyBorder="0" applyAlignment="0" applyProtection="0">
      <alignment vertical="center"/>
    </xf>
    <xf numFmtId="38" fontId="4" fillId="0" borderId="0" applyFont="0" applyFill="0" applyBorder="0" applyAlignment="0" applyProtection="0">
      <alignment vertical="center"/>
    </xf>
    <xf numFmtId="38" fontId="240" fillId="0" borderId="0" applyFont="0" applyFill="0" applyBorder="0" applyAlignment="0" applyProtection="0">
      <alignment vertical="center"/>
    </xf>
    <xf numFmtId="38" fontId="4" fillId="0" borderId="0" applyFont="0" applyFill="0" applyBorder="0" applyAlignment="0" applyProtection="0">
      <alignment vertical="center"/>
    </xf>
    <xf numFmtId="38" fontId="240" fillId="0" borderId="0" applyFont="0" applyFill="0" applyBorder="0" applyAlignment="0" applyProtection="0">
      <alignment vertical="center"/>
    </xf>
    <xf numFmtId="38" fontId="240" fillId="0" borderId="0" applyFont="0" applyFill="0" applyBorder="0" applyAlignment="0" applyProtection="0">
      <alignment vertical="center"/>
    </xf>
    <xf numFmtId="38" fontId="240" fillId="0" borderId="0" applyFont="0" applyFill="0" applyBorder="0" applyAlignment="0" applyProtection="0">
      <alignment vertical="center"/>
    </xf>
    <xf numFmtId="38" fontId="240" fillId="0" borderId="0" applyFont="0" applyFill="0" applyBorder="0" applyAlignment="0" applyProtection="0">
      <alignment vertical="center"/>
    </xf>
    <xf numFmtId="38" fontId="240" fillId="0" borderId="0" applyFont="0" applyFill="0" applyBorder="0" applyAlignment="0" applyProtection="0">
      <alignment vertical="center"/>
    </xf>
    <xf numFmtId="38" fontId="240" fillId="0" borderId="0" applyFont="0" applyFill="0" applyBorder="0" applyAlignment="0" applyProtection="0">
      <alignment vertical="center"/>
    </xf>
    <xf numFmtId="38" fontId="4" fillId="0" borderId="0" applyFont="0" applyFill="0" applyBorder="0" applyAlignment="0" applyProtection="0">
      <alignment vertical="center"/>
    </xf>
    <xf numFmtId="38" fontId="4" fillId="0" borderId="0" applyFont="0" applyFill="0" applyBorder="0" applyAlignment="0" applyProtection="0">
      <alignment vertical="center"/>
    </xf>
    <xf numFmtId="38" fontId="4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4" fillId="0" borderId="0" applyFont="0" applyFill="0" applyBorder="0" applyAlignment="0" applyProtection="0">
      <alignment vertical="center"/>
    </xf>
    <xf numFmtId="38" fontId="28" fillId="0" borderId="0" applyFont="0" applyFill="0" applyBorder="0" applyAlignment="0" applyProtection="0">
      <alignment vertical="center"/>
    </xf>
    <xf numFmtId="38" fontId="24" fillId="0" borderId="0" applyFont="0" applyFill="0" applyBorder="0" applyAlignment="0" applyProtection="0">
      <alignment vertical="center"/>
    </xf>
    <xf numFmtId="38" fontId="4" fillId="0" borderId="0" applyFont="0" applyFill="0" applyBorder="0" applyAlignment="0" applyProtection="0">
      <alignment vertical="center"/>
    </xf>
    <xf numFmtId="38" fontId="4" fillId="0" borderId="0" applyFont="0" applyFill="0" applyBorder="0" applyAlignment="0" applyProtection="0">
      <alignment vertical="center"/>
    </xf>
    <xf numFmtId="38" fontId="4" fillId="0" borderId="0" applyFont="0" applyFill="0" applyBorder="0" applyAlignment="0" applyProtection="0">
      <alignment vertical="center"/>
    </xf>
    <xf numFmtId="38" fontId="4" fillId="0" borderId="0" applyFont="0" applyFill="0" applyBorder="0" applyAlignment="0" applyProtection="0">
      <alignment vertical="center"/>
    </xf>
    <xf numFmtId="38" fontId="4" fillId="0" borderId="0" applyFont="0" applyFill="0" applyBorder="0" applyAlignment="0" applyProtection="0">
      <alignment vertical="center"/>
    </xf>
    <xf numFmtId="38" fontId="28" fillId="0" borderId="0" applyFont="0" applyFill="0" applyBorder="0" applyAlignment="0" applyProtection="0">
      <alignment vertical="center"/>
    </xf>
    <xf numFmtId="38" fontId="4" fillId="0" borderId="0" applyFont="0" applyFill="0" applyBorder="0" applyAlignment="0" applyProtection="0">
      <alignment vertical="center"/>
    </xf>
    <xf numFmtId="38" fontId="4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57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4" fillId="0" borderId="0" applyFont="0" applyFill="0" applyBorder="0" applyAlignment="0" applyProtection="0">
      <alignment vertical="center"/>
    </xf>
    <xf numFmtId="38" fontId="4" fillId="0" borderId="0" applyFont="0" applyFill="0" applyBorder="0" applyAlignment="0" applyProtection="0">
      <alignment vertical="center"/>
    </xf>
    <xf numFmtId="38" fontId="4" fillId="0" borderId="0" applyFont="0" applyFill="0" applyBorder="0" applyAlignment="0" applyProtection="0">
      <alignment vertical="center"/>
    </xf>
    <xf numFmtId="38" fontId="4" fillId="0" borderId="0" applyFont="0" applyFill="0" applyBorder="0" applyAlignment="0" applyProtection="0">
      <alignment vertical="center"/>
    </xf>
    <xf numFmtId="38" fontId="4" fillId="0" borderId="0" applyFont="0" applyFill="0" applyBorder="0" applyAlignment="0" applyProtection="0">
      <alignment vertical="center"/>
    </xf>
    <xf numFmtId="38" fontId="4" fillId="0" borderId="0" applyFont="0" applyFill="0" applyBorder="0" applyAlignment="0" applyProtection="0">
      <alignment vertical="center"/>
    </xf>
    <xf numFmtId="38" fontId="4" fillId="0" borderId="0" applyFont="0" applyFill="0" applyBorder="0" applyAlignment="0" applyProtection="0">
      <alignment vertical="center"/>
    </xf>
    <xf numFmtId="38" fontId="4" fillId="0" borderId="0" applyFont="0" applyFill="0" applyBorder="0" applyAlignment="0" applyProtection="0">
      <alignment vertical="center"/>
    </xf>
    <xf numFmtId="38" fontId="4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/>
    <xf numFmtId="38" fontId="24" fillId="0" borderId="0" applyFont="0" applyFill="0" applyBorder="0" applyAlignment="0" applyProtection="0">
      <alignment vertical="center"/>
    </xf>
    <xf numFmtId="38" fontId="24" fillId="0" borderId="0" applyFont="0" applyFill="0" applyBorder="0" applyAlignment="0" applyProtection="0">
      <alignment vertical="center"/>
    </xf>
    <xf numFmtId="38" fontId="4" fillId="0" borderId="0" applyFont="0" applyFill="0" applyBorder="0" applyAlignment="0" applyProtection="0">
      <alignment vertical="center"/>
    </xf>
    <xf numFmtId="38" fontId="4" fillId="0" borderId="0" applyFont="0" applyFill="0" applyBorder="0" applyAlignment="0" applyProtection="0">
      <alignment vertical="center"/>
    </xf>
    <xf numFmtId="38" fontId="4" fillId="0" borderId="0" applyFont="0" applyFill="0" applyBorder="0" applyAlignment="0" applyProtection="0">
      <alignment vertical="center"/>
    </xf>
    <xf numFmtId="38" fontId="4" fillId="0" borderId="0" applyFont="0" applyFill="0" applyBorder="0" applyAlignment="0" applyProtection="0">
      <alignment vertical="center"/>
    </xf>
    <xf numFmtId="38" fontId="240" fillId="0" borderId="0" applyFont="0" applyFill="0" applyBorder="0" applyAlignment="0" applyProtection="0">
      <alignment vertical="center"/>
    </xf>
    <xf numFmtId="38" fontId="4" fillId="0" borderId="0" applyFont="0" applyFill="0" applyBorder="0" applyAlignment="0" applyProtection="0">
      <alignment vertical="center"/>
    </xf>
    <xf numFmtId="38" fontId="4" fillId="0" borderId="0" applyFont="0" applyFill="0" applyBorder="0" applyAlignment="0" applyProtection="0">
      <alignment vertical="center"/>
    </xf>
    <xf numFmtId="38" fontId="28" fillId="0" borderId="0" applyFont="0" applyFill="0" applyBorder="0" applyAlignment="0" applyProtection="0">
      <alignment vertical="center"/>
    </xf>
    <xf numFmtId="38" fontId="28" fillId="0" borderId="0" applyFont="0" applyFill="0" applyBorder="0" applyAlignment="0" applyProtection="0">
      <alignment vertical="center"/>
    </xf>
    <xf numFmtId="38" fontId="28" fillId="0" borderId="0" applyFont="0" applyFill="0" applyBorder="0" applyAlignment="0" applyProtection="0">
      <alignment vertical="center"/>
    </xf>
    <xf numFmtId="38" fontId="28" fillId="0" borderId="0" applyFont="0" applyFill="0" applyBorder="0" applyAlignment="0" applyProtection="0">
      <alignment vertical="center"/>
    </xf>
    <xf numFmtId="38" fontId="28" fillId="0" borderId="0" applyFont="0" applyFill="0" applyBorder="0" applyAlignment="0" applyProtection="0">
      <alignment vertical="center"/>
    </xf>
    <xf numFmtId="38" fontId="28" fillId="0" borderId="0" applyFont="0" applyFill="0" applyBorder="0" applyAlignment="0" applyProtection="0">
      <alignment vertical="center"/>
    </xf>
    <xf numFmtId="38" fontId="28" fillId="0" borderId="0" applyFont="0" applyFill="0" applyBorder="0" applyAlignment="0" applyProtection="0">
      <alignment vertical="center"/>
    </xf>
    <xf numFmtId="38" fontId="236" fillId="0" borderId="0" applyFont="0" applyFill="0" applyBorder="0" applyAlignment="0" applyProtection="0">
      <alignment vertical="center"/>
    </xf>
    <xf numFmtId="38" fontId="240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24" fillId="0" borderId="0" applyFont="0" applyFill="0" applyBorder="0" applyAlignment="0" applyProtection="0">
      <alignment vertical="center"/>
    </xf>
    <xf numFmtId="38" fontId="28" fillId="0" borderId="0" applyFont="0" applyFill="0" applyBorder="0" applyAlignment="0" applyProtection="0">
      <alignment vertical="center"/>
    </xf>
    <xf numFmtId="38" fontId="28" fillId="0" borderId="0" applyFont="0" applyFill="0" applyBorder="0" applyAlignment="0" applyProtection="0">
      <alignment vertical="center"/>
    </xf>
    <xf numFmtId="38" fontId="28" fillId="0" borderId="0" applyFont="0" applyFill="0" applyBorder="0" applyAlignment="0" applyProtection="0">
      <alignment vertical="center"/>
    </xf>
    <xf numFmtId="38" fontId="28" fillId="0" borderId="0" applyFont="0" applyFill="0" applyBorder="0" applyAlignment="0" applyProtection="0">
      <alignment vertical="center"/>
    </xf>
    <xf numFmtId="38" fontId="28" fillId="0" borderId="0" applyFont="0" applyFill="0" applyBorder="0" applyAlignment="0" applyProtection="0">
      <alignment vertical="center"/>
    </xf>
    <xf numFmtId="38" fontId="28" fillId="0" borderId="0" applyFont="0" applyFill="0" applyBorder="0" applyAlignment="0" applyProtection="0">
      <alignment vertical="center"/>
    </xf>
    <xf numFmtId="38" fontId="28" fillId="0" borderId="0" applyFont="0" applyFill="0" applyBorder="0" applyAlignment="0" applyProtection="0">
      <alignment vertical="center"/>
    </xf>
    <xf numFmtId="38" fontId="28" fillId="0" borderId="0" applyFont="0" applyFill="0" applyBorder="0" applyAlignment="0" applyProtection="0">
      <alignment vertical="center"/>
    </xf>
    <xf numFmtId="38" fontId="28" fillId="0" borderId="0" applyFont="0" applyFill="0" applyBorder="0" applyAlignment="0" applyProtection="0">
      <alignment vertical="center"/>
    </xf>
    <xf numFmtId="38" fontId="28" fillId="0" borderId="0" applyFont="0" applyFill="0" applyBorder="0" applyAlignment="0" applyProtection="0">
      <alignment vertical="center"/>
    </xf>
    <xf numFmtId="38" fontId="4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24" fillId="0" borderId="0" applyFont="0" applyFill="0" applyBorder="0" applyAlignment="0" applyProtection="0">
      <alignment vertical="center"/>
    </xf>
    <xf numFmtId="38" fontId="24" fillId="0" borderId="0" applyFont="0" applyFill="0" applyBorder="0" applyAlignment="0" applyProtection="0"/>
    <xf numFmtId="38" fontId="28" fillId="0" borderId="0" applyFont="0" applyFill="0" applyBorder="0" applyAlignment="0" applyProtection="0">
      <alignment vertical="center"/>
    </xf>
    <xf numFmtId="38" fontId="28" fillId="0" borderId="0" applyFont="0" applyFill="0" applyBorder="0" applyAlignment="0" applyProtection="0">
      <alignment vertical="center"/>
    </xf>
    <xf numFmtId="38" fontId="28" fillId="0" borderId="0" applyFont="0" applyFill="0" applyBorder="0" applyAlignment="0" applyProtection="0">
      <alignment vertical="center"/>
    </xf>
    <xf numFmtId="38" fontId="28" fillId="0" borderId="0" applyFont="0" applyFill="0" applyBorder="0" applyAlignment="0" applyProtection="0">
      <alignment vertical="center"/>
    </xf>
    <xf numFmtId="38" fontId="28" fillId="0" borderId="0" applyFont="0" applyFill="0" applyBorder="0" applyAlignment="0" applyProtection="0">
      <alignment vertical="center"/>
    </xf>
    <xf numFmtId="38" fontId="28" fillId="0" borderId="0" applyFont="0" applyFill="0" applyBorder="0" applyAlignment="0" applyProtection="0">
      <alignment vertical="center"/>
    </xf>
    <xf numFmtId="38" fontId="28" fillId="0" borderId="0" applyFont="0" applyFill="0" applyBorder="0" applyAlignment="0" applyProtection="0">
      <alignment vertical="center"/>
    </xf>
    <xf numFmtId="38" fontId="24" fillId="0" borderId="0" applyFont="0" applyFill="0" applyBorder="0" applyAlignment="0" applyProtection="0">
      <alignment vertical="center"/>
    </xf>
    <xf numFmtId="38" fontId="24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54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577" fillId="0" borderId="0" applyFont="0" applyFill="0" applyBorder="0" applyAlignment="0" applyProtection="0">
      <alignment vertical="center"/>
    </xf>
    <xf numFmtId="38" fontId="24" fillId="0" borderId="0" applyFont="0" applyFill="0" applyBorder="0" applyAlignment="0" applyProtection="0">
      <alignment vertical="center"/>
    </xf>
    <xf numFmtId="38" fontId="2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4" fillId="0" borderId="0" applyFont="0" applyFill="0" applyBorder="0" applyAlignment="0" applyProtection="0">
      <alignment vertical="center"/>
    </xf>
    <xf numFmtId="38" fontId="4" fillId="0" borderId="0" applyFont="0" applyFill="0" applyBorder="0" applyAlignment="0" applyProtection="0">
      <alignment vertical="center"/>
    </xf>
    <xf numFmtId="38" fontId="4" fillId="0" borderId="0" applyFont="0" applyFill="0" applyBorder="0" applyAlignment="0" applyProtection="0">
      <alignment vertical="center"/>
    </xf>
    <xf numFmtId="38" fontId="4" fillId="0" borderId="0" applyFont="0" applyFill="0" applyBorder="0" applyAlignment="0" applyProtection="0">
      <alignment vertical="center"/>
    </xf>
    <xf numFmtId="38" fontId="240" fillId="0" borderId="0" applyFont="0" applyFill="0" applyBorder="0" applyAlignment="0" applyProtection="0">
      <alignment vertical="center"/>
    </xf>
    <xf numFmtId="38" fontId="240" fillId="0" borderId="0" applyFont="0" applyFill="0" applyBorder="0" applyAlignment="0" applyProtection="0">
      <alignment vertical="center"/>
    </xf>
    <xf numFmtId="38" fontId="4" fillId="0" borderId="0" applyFont="0" applyFill="0" applyBorder="0" applyAlignment="0" applyProtection="0">
      <alignment vertical="center"/>
    </xf>
    <xf numFmtId="38" fontId="4" fillId="0" borderId="0" applyFont="0" applyFill="0" applyBorder="0" applyAlignment="0" applyProtection="0">
      <alignment vertical="center"/>
    </xf>
    <xf numFmtId="38" fontId="24" fillId="0" borderId="0" applyFont="0" applyFill="0" applyBorder="0" applyAlignment="0" applyProtection="0"/>
    <xf numFmtId="38" fontId="4" fillId="0" borderId="0" applyFont="0" applyFill="0" applyBorder="0" applyAlignment="0" applyProtection="0">
      <alignment vertical="center"/>
    </xf>
    <xf numFmtId="38" fontId="4" fillId="0" borderId="0" applyFont="0" applyFill="0" applyBorder="0" applyAlignment="0" applyProtection="0">
      <alignment vertical="center"/>
    </xf>
    <xf numFmtId="38" fontId="4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4" fillId="0" borderId="0" applyFont="0" applyFill="0" applyBorder="0" applyAlignment="0" applyProtection="0"/>
    <xf numFmtId="0" fontId="373" fillId="0" borderId="84" applyNumberFormat="0" applyFill="0" applyAlignment="0" applyProtection="0"/>
    <xf numFmtId="0" fontId="578" fillId="0" borderId="84" applyNumberFormat="0" applyFill="0" applyAlignment="0" applyProtection="0">
      <alignment vertical="center"/>
    </xf>
    <xf numFmtId="0" fontId="578" fillId="0" borderId="84" applyNumberFormat="0" applyFill="0" applyAlignment="0" applyProtection="0">
      <alignment vertical="center"/>
    </xf>
    <xf numFmtId="0" fontId="377" fillId="0" borderId="86" applyNumberFormat="0" applyFill="0" applyAlignment="0" applyProtection="0"/>
    <xf numFmtId="0" fontId="579" fillId="0" borderId="86" applyNumberFormat="0" applyFill="0" applyAlignment="0" applyProtection="0">
      <alignment vertical="center"/>
    </xf>
    <xf numFmtId="0" fontId="579" fillId="0" borderId="86" applyNumberFormat="0" applyFill="0" applyAlignment="0" applyProtection="0">
      <alignment vertical="center"/>
    </xf>
    <xf numFmtId="0" fontId="336" fillId="0" borderId="88" applyNumberFormat="0" applyFill="0" applyAlignment="0" applyProtection="0"/>
    <xf numFmtId="0" fontId="580" fillId="0" borderId="88" applyNumberFormat="0" applyFill="0" applyAlignment="0" applyProtection="0">
      <alignment vertical="center"/>
    </xf>
    <xf numFmtId="0" fontId="580" fillId="0" borderId="88" applyNumberFormat="0" applyFill="0" applyAlignment="0" applyProtection="0">
      <alignment vertical="center"/>
    </xf>
    <xf numFmtId="0" fontId="336" fillId="0" borderId="0" applyNumberFormat="0" applyFill="0" applyBorder="0" applyAlignment="0" applyProtection="0"/>
    <xf numFmtId="0" fontId="580" fillId="0" borderId="0" applyNumberFormat="0" applyFill="0" applyBorder="0" applyAlignment="0" applyProtection="0">
      <alignment vertical="center"/>
    </xf>
    <xf numFmtId="0" fontId="580" fillId="0" borderId="0" applyNumberFormat="0" applyFill="0" applyBorder="0" applyAlignment="0" applyProtection="0">
      <alignment vertical="center"/>
    </xf>
    <xf numFmtId="0" fontId="581" fillId="0" borderId="0"/>
    <xf numFmtId="0" fontId="582" fillId="0" borderId="0"/>
    <xf numFmtId="0" fontId="583" fillId="0" borderId="0"/>
    <xf numFmtId="0" fontId="584" fillId="0" borderId="0"/>
    <xf numFmtId="0" fontId="585" fillId="0" borderId="0"/>
    <xf numFmtId="0" fontId="586" fillId="0" borderId="0"/>
    <xf numFmtId="0" fontId="358" fillId="0" borderId="0" applyNumberFormat="0" applyFill="0" applyBorder="0" applyAlignment="0" applyProtection="0">
      <alignment vertical="top"/>
      <protection locked="0"/>
    </xf>
    <xf numFmtId="0" fontId="587" fillId="45" borderId="0" applyNumberFormat="0" applyBorder="0" applyAlignment="0" applyProtection="0">
      <alignment vertical="center"/>
    </xf>
    <xf numFmtId="0" fontId="587" fillId="45" borderId="0" applyNumberFormat="0" applyBorder="0" applyAlignment="0" applyProtection="0">
      <alignment vertical="center"/>
    </xf>
    <xf numFmtId="0" fontId="587" fillId="45" borderId="0" applyNumberFormat="0" applyBorder="0" applyAlignment="0" applyProtection="0">
      <alignment vertical="center"/>
    </xf>
    <xf numFmtId="0" fontId="587" fillId="45" borderId="0" applyNumberFormat="0" applyBorder="0" applyAlignment="0" applyProtection="0">
      <alignment vertical="center"/>
    </xf>
    <xf numFmtId="0" fontId="588" fillId="45" borderId="0" applyNumberFormat="0" applyBorder="0" applyAlignment="0" applyProtection="0">
      <alignment vertical="center"/>
    </xf>
    <xf numFmtId="0" fontId="587" fillId="45" borderId="0" applyNumberFormat="0" applyBorder="0" applyAlignment="0" applyProtection="0">
      <alignment vertical="center"/>
    </xf>
    <xf numFmtId="0" fontId="587" fillId="45" borderId="0" applyNumberFormat="0" applyBorder="0" applyAlignment="0" applyProtection="0">
      <alignment vertical="center"/>
    </xf>
    <xf numFmtId="0" fontId="589" fillId="44" borderId="0" applyNumberFormat="0" applyBorder="0" applyAlignment="0" applyProtection="0">
      <alignment vertical="center"/>
    </xf>
    <xf numFmtId="0" fontId="589" fillId="44" borderId="0" applyNumberFormat="0" applyBorder="0" applyAlignment="0" applyProtection="0">
      <alignment vertical="center"/>
    </xf>
    <xf numFmtId="0" fontId="589" fillId="44" borderId="0" applyNumberFormat="0" applyBorder="0" applyAlignment="0" applyProtection="0">
      <alignment vertical="center"/>
    </xf>
    <xf numFmtId="0" fontId="589" fillId="44" borderId="0" applyNumberFormat="0" applyBorder="0" applyAlignment="0" applyProtection="0">
      <alignment vertical="center"/>
    </xf>
    <xf numFmtId="0" fontId="590" fillId="44" borderId="0" applyNumberFormat="0" applyBorder="0" applyAlignment="0" applyProtection="0">
      <alignment vertical="center"/>
    </xf>
    <xf numFmtId="0" fontId="589" fillId="44" borderId="0" applyNumberFormat="0" applyBorder="0" applyAlignment="0" applyProtection="0">
      <alignment vertical="center"/>
    </xf>
    <xf numFmtId="0" fontId="589" fillId="44" borderId="0" applyNumberFormat="0" applyBorder="0" applyAlignment="0" applyProtection="0">
      <alignment vertical="center"/>
    </xf>
    <xf numFmtId="0" fontId="591" fillId="0" borderId="0" applyNumberFormat="0" applyFill="0" applyBorder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592" fillId="0" borderId="105" applyNumberFormat="0" applyFill="0" applyAlignment="0" applyProtection="0">
      <alignment vertical="center"/>
    </xf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592" fillId="0" borderId="105" applyNumberFormat="0" applyFill="0" applyAlignment="0" applyProtection="0">
      <alignment vertical="center"/>
    </xf>
    <xf numFmtId="0" fontId="592" fillId="0" borderId="105" applyNumberFormat="0" applyFill="0" applyAlignment="0" applyProtection="0">
      <alignment vertical="center"/>
    </xf>
    <xf numFmtId="0" fontId="592" fillId="0" borderId="105" applyNumberFormat="0" applyFill="0" applyAlignment="0" applyProtection="0">
      <alignment vertical="center"/>
    </xf>
    <xf numFmtId="0" fontId="592" fillId="0" borderId="105" applyNumberFormat="0" applyFill="0" applyAlignment="0" applyProtection="0">
      <alignment vertical="center"/>
    </xf>
    <xf numFmtId="0" fontId="592" fillId="0" borderId="105" applyNumberFormat="0" applyFill="0" applyAlignment="0" applyProtection="0">
      <alignment vertical="center"/>
    </xf>
    <xf numFmtId="0" fontId="592" fillId="0" borderId="105" applyNumberFormat="0" applyFill="0" applyAlignment="0" applyProtection="0">
      <alignment vertical="center"/>
    </xf>
    <xf numFmtId="0" fontId="592" fillId="0" borderId="105" applyNumberFormat="0" applyFill="0" applyAlignment="0" applyProtection="0">
      <alignment vertical="center"/>
    </xf>
    <xf numFmtId="0" fontId="592" fillId="0" borderId="105" applyNumberFormat="0" applyFill="0" applyAlignment="0" applyProtection="0">
      <alignment vertical="center"/>
    </xf>
    <xf numFmtId="0" fontId="592" fillId="0" borderId="105" applyNumberFormat="0" applyFill="0" applyAlignment="0" applyProtection="0">
      <alignment vertical="center"/>
    </xf>
    <xf numFmtId="0" fontId="592" fillId="0" borderId="105" applyNumberFormat="0" applyFill="0" applyAlignment="0" applyProtection="0">
      <alignment vertical="center"/>
    </xf>
    <xf numFmtId="0" fontId="592" fillId="0" borderId="105" applyNumberFormat="0" applyFill="0" applyAlignment="0" applyProtection="0">
      <alignment vertical="center"/>
    </xf>
    <xf numFmtId="0" fontId="592" fillId="0" borderId="105" applyNumberFormat="0" applyFill="0" applyAlignment="0" applyProtection="0">
      <alignment vertical="center"/>
    </xf>
    <xf numFmtId="0" fontId="592" fillId="0" borderId="105" applyNumberFormat="0" applyFill="0" applyAlignment="0" applyProtection="0">
      <alignment vertical="center"/>
    </xf>
    <xf numFmtId="0" fontId="592" fillId="0" borderId="105" applyNumberFormat="0" applyFill="0" applyAlignment="0" applyProtection="0">
      <alignment vertical="center"/>
    </xf>
    <xf numFmtId="0" fontId="592" fillId="0" borderId="105" applyNumberFormat="0" applyFill="0" applyAlignment="0" applyProtection="0">
      <alignment vertical="center"/>
    </xf>
    <xf numFmtId="0" fontId="592" fillId="0" borderId="105" applyNumberFormat="0" applyFill="0" applyAlignment="0" applyProtection="0">
      <alignment vertical="center"/>
    </xf>
    <xf numFmtId="0" fontId="592" fillId="0" borderId="105" applyNumberFormat="0" applyFill="0" applyAlignment="0" applyProtection="0">
      <alignment vertical="center"/>
    </xf>
    <xf numFmtId="0" fontId="592" fillId="0" borderId="105" applyNumberFormat="0" applyFill="0" applyAlignment="0" applyProtection="0">
      <alignment vertical="center"/>
    </xf>
    <xf numFmtId="0" fontId="592" fillId="0" borderId="105" applyNumberFormat="0" applyFill="0" applyAlignment="0" applyProtection="0">
      <alignment vertical="center"/>
    </xf>
    <xf numFmtId="0" fontId="592" fillId="0" borderId="105" applyNumberFormat="0" applyFill="0" applyAlignment="0" applyProtection="0">
      <alignment vertical="center"/>
    </xf>
    <xf numFmtId="0" fontId="592" fillId="0" borderId="105" applyNumberFormat="0" applyFill="0" applyAlignment="0" applyProtection="0">
      <alignment vertical="center"/>
    </xf>
    <xf numFmtId="0" fontId="592" fillId="0" borderId="105" applyNumberFormat="0" applyFill="0" applyAlignment="0" applyProtection="0">
      <alignment vertical="center"/>
    </xf>
    <xf numFmtId="0" fontId="592" fillId="0" borderId="105" applyNumberFormat="0" applyFill="0" applyAlignment="0" applyProtection="0">
      <alignment vertical="center"/>
    </xf>
    <xf numFmtId="0" fontId="592" fillId="0" borderId="105" applyNumberFormat="0" applyFill="0" applyAlignment="0" applyProtection="0">
      <alignment vertical="center"/>
    </xf>
    <xf numFmtId="0" fontId="592" fillId="0" borderId="105" applyNumberFormat="0" applyFill="0" applyAlignment="0" applyProtection="0">
      <alignment vertical="center"/>
    </xf>
    <xf numFmtId="0" fontId="592" fillId="0" borderId="105" applyNumberFormat="0" applyFill="0" applyAlignment="0" applyProtection="0">
      <alignment vertical="center"/>
    </xf>
    <xf numFmtId="0" fontId="592" fillId="0" borderId="105" applyNumberFormat="0" applyFill="0" applyAlignment="0" applyProtection="0">
      <alignment vertical="center"/>
    </xf>
    <xf numFmtId="0" fontId="592" fillId="0" borderId="105" applyNumberFormat="0" applyFill="0" applyAlignment="0" applyProtection="0">
      <alignment vertical="center"/>
    </xf>
    <xf numFmtId="0" fontId="592" fillId="0" borderId="105" applyNumberFormat="0" applyFill="0" applyAlignment="0" applyProtection="0">
      <alignment vertical="center"/>
    </xf>
    <xf numFmtId="0" fontId="592" fillId="0" borderId="105" applyNumberFormat="0" applyFill="0" applyAlignment="0" applyProtection="0">
      <alignment vertical="center"/>
    </xf>
    <xf numFmtId="0" fontId="592" fillId="0" borderId="105" applyNumberFormat="0" applyFill="0" applyAlignment="0" applyProtection="0">
      <alignment vertical="center"/>
    </xf>
    <xf numFmtId="0" fontId="592" fillId="0" borderId="105" applyNumberFormat="0" applyFill="0" applyAlignment="0" applyProtection="0">
      <alignment vertical="center"/>
    </xf>
    <xf numFmtId="0" fontId="592" fillId="0" borderId="105" applyNumberFormat="0" applyFill="0" applyAlignment="0" applyProtection="0">
      <alignment vertical="center"/>
    </xf>
    <xf numFmtId="0" fontId="592" fillId="0" borderId="105" applyNumberFormat="0" applyFill="0" applyAlignment="0" applyProtection="0">
      <alignment vertical="center"/>
    </xf>
    <xf numFmtId="0" fontId="592" fillId="0" borderId="105" applyNumberFormat="0" applyFill="0" applyAlignment="0" applyProtection="0">
      <alignment vertical="center"/>
    </xf>
    <xf numFmtId="0" fontId="592" fillId="0" borderId="105" applyNumberFormat="0" applyFill="0" applyAlignment="0" applyProtection="0">
      <alignment vertical="center"/>
    </xf>
    <xf numFmtId="0" fontId="592" fillId="0" borderId="105" applyNumberFormat="0" applyFill="0" applyAlignment="0" applyProtection="0">
      <alignment vertical="center"/>
    </xf>
    <xf numFmtId="0" fontId="592" fillId="0" borderId="105" applyNumberFormat="0" applyFill="0" applyAlignment="0" applyProtection="0">
      <alignment vertical="center"/>
    </xf>
    <xf numFmtId="0" fontId="592" fillId="0" borderId="105" applyNumberFormat="0" applyFill="0" applyAlignment="0" applyProtection="0">
      <alignment vertical="center"/>
    </xf>
    <xf numFmtId="0" fontId="592" fillId="0" borderId="105" applyNumberFormat="0" applyFill="0" applyAlignment="0" applyProtection="0">
      <alignment vertical="center"/>
    </xf>
    <xf numFmtId="0" fontId="592" fillId="0" borderId="105" applyNumberFormat="0" applyFill="0" applyAlignment="0" applyProtection="0">
      <alignment vertical="center"/>
    </xf>
    <xf numFmtId="0" fontId="592" fillId="0" borderId="105" applyNumberFormat="0" applyFill="0" applyAlignment="0" applyProtection="0">
      <alignment vertical="center"/>
    </xf>
    <xf numFmtId="0" fontId="592" fillId="0" borderId="105" applyNumberFormat="0" applyFill="0" applyAlignment="0" applyProtection="0">
      <alignment vertical="center"/>
    </xf>
    <xf numFmtId="0" fontId="592" fillId="0" borderId="105" applyNumberFormat="0" applyFill="0" applyAlignment="0" applyProtection="0">
      <alignment vertical="center"/>
    </xf>
    <xf numFmtId="0" fontId="592" fillId="0" borderId="105" applyNumberFormat="0" applyFill="0" applyAlignment="0" applyProtection="0">
      <alignment vertical="center"/>
    </xf>
    <xf numFmtId="0" fontId="592" fillId="0" borderId="105" applyNumberFormat="0" applyFill="0" applyAlignment="0" applyProtection="0">
      <alignment vertical="center"/>
    </xf>
    <xf numFmtId="0" fontId="592" fillId="0" borderId="105" applyNumberFormat="0" applyFill="0" applyAlignment="0" applyProtection="0">
      <alignment vertical="center"/>
    </xf>
    <xf numFmtId="0" fontId="592" fillId="0" borderId="105" applyNumberFormat="0" applyFill="0" applyAlignment="0" applyProtection="0">
      <alignment vertical="center"/>
    </xf>
    <xf numFmtId="0" fontId="592" fillId="0" borderId="105" applyNumberFormat="0" applyFill="0" applyAlignment="0" applyProtection="0">
      <alignment vertical="center"/>
    </xf>
    <xf numFmtId="0" fontId="592" fillId="0" borderId="105" applyNumberFormat="0" applyFill="0" applyAlignment="0" applyProtection="0">
      <alignment vertical="center"/>
    </xf>
    <xf numFmtId="0" fontId="592" fillId="0" borderId="105" applyNumberFormat="0" applyFill="0" applyAlignment="0" applyProtection="0">
      <alignment vertical="center"/>
    </xf>
    <xf numFmtId="0" fontId="592" fillId="0" borderId="105" applyNumberFormat="0" applyFill="0" applyAlignment="0" applyProtection="0">
      <alignment vertical="center"/>
    </xf>
    <xf numFmtId="0" fontId="592" fillId="0" borderId="105" applyNumberFormat="0" applyFill="0" applyAlignment="0" applyProtection="0">
      <alignment vertical="center"/>
    </xf>
    <xf numFmtId="0" fontId="592" fillId="0" borderId="105" applyNumberFormat="0" applyFill="0" applyAlignment="0" applyProtection="0">
      <alignment vertical="center"/>
    </xf>
    <xf numFmtId="0" fontId="592" fillId="0" borderId="105" applyNumberFormat="0" applyFill="0" applyAlignment="0" applyProtection="0">
      <alignment vertical="center"/>
    </xf>
    <xf numFmtId="0" fontId="592" fillId="0" borderId="105" applyNumberFormat="0" applyFill="0" applyAlignment="0" applyProtection="0">
      <alignment vertical="center"/>
    </xf>
    <xf numFmtId="0" fontId="592" fillId="0" borderId="105" applyNumberFormat="0" applyFill="0" applyAlignment="0" applyProtection="0">
      <alignment vertical="center"/>
    </xf>
    <xf numFmtId="0" fontId="592" fillId="0" borderId="105" applyNumberFormat="0" applyFill="0" applyAlignment="0" applyProtection="0">
      <alignment vertical="center"/>
    </xf>
    <xf numFmtId="0" fontId="592" fillId="0" borderId="105" applyNumberFormat="0" applyFill="0" applyAlignment="0" applyProtection="0">
      <alignment vertical="center"/>
    </xf>
    <xf numFmtId="0" fontId="592" fillId="0" borderId="105" applyNumberFormat="0" applyFill="0" applyAlignment="0" applyProtection="0">
      <alignment vertical="center"/>
    </xf>
    <xf numFmtId="0" fontId="592" fillId="0" borderId="105" applyNumberFormat="0" applyFill="0" applyAlignment="0" applyProtection="0">
      <alignment vertical="center"/>
    </xf>
    <xf numFmtId="0" fontId="592" fillId="0" borderId="105" applyNumberFormat="0" applyFill="0" applyAlignment="0" applyProtection="0">
      <alignment vertical="center"/>
    </xf>
    <xf numFmtId="0" fontId="592" fillId="0" borderId="105" applyNumberFormat="0" applyFill="0" applyAlignment="0" applyProtection="0">
      <alignment vertical="center"/>
    </xf>
    <xf numFmtId="0" fontId="592" fillId="0" borderId="105" applyNumberFormat="0" applyFill="0" applyAlignment="0" applyProtection="0">
      <alignment vertical="center"/>
    </xf>
    <xf numFmtId="0" fontId="592" fillId="0" borderId="105" applyNumberFormat="0" applyFill="0" applyAlignment="0" applyProtection="0">
      <alignment vertical="center"/>
    </xf>
    <xf numFmtId="0" fontId="592" fillId="0" borderId="105" applyNumberFormat="0" applyFill="0" applyAlignment="0" applyProtection="0">
      <alignment vertical="center"/>
    </xf>
    <xf numFmtId="0" fontId="592" fillId="0" borderId="105" applyNumberFormat="0" applyFill="0" applyAlignment="0" applyProtection="0">
      <alignment vertical="center"/>
    </xf>
    <xf numFmtId="0" fontId="592" fillId="0" borderId="105" applyNumberFormat="0" applyFill="0" applyAlignment="0" applyProtection="0">
      <alignment vertical="center"/>
    </xf>
    <xf numFmtId="0" fontId="592" fillId="0" borderId="105" applyNumberFormat="0" applyFill="0" applyAlignment="0" applyProtection="0">
      <alignment vertical="center"/>
    </xf>
    <xf numFmtId="0" fontId="592" fillId="0" borderId="105" applyNumberFormat="0" applyFill="0" applyAlignment="0" applyProtection="0">
      <alignment vertical="center"/>
    </xf>
    <xf numFmtId="0" fontId="592" fillId="0" borderId="105" applyNumberFormat="0" applyFill="0" applyAlignment="0" applyProtection="0">
      <alignment vertical="center"/>
    </xf>
    <xf numFmtId="0" fontId="592" fillId="0" borderId="105" applyNumberFormat="0" applyFill="0" applyAlignment="0" applyProtection="0">
      <alignment vertical="center"/>
    </xf>
    <xf numFmtId="0" fontId="592" fillId="0" borderId="105" applyNumberFormat="0" applyFill="0" applyAlignment="0" applyProtection="0">
      <alignment vertical="center"/>
    </xf>
    <xf numFmtId="0" fontId="592" fillId="0" borderId="105" applyNumberFormat="0" applyFill="0" applyAlignment="0" applyProtection="0">
      <alignment vertical="center"/>
    </xf>
    <xf numFmtId="0" fontId="592" fillId="0" borderId="105" applyNumberFormat="0" applyFill="0" applyAlignment="0" applyProtection="0">
      <alignment vertical="center"/>
    </xf>
    <xf numFmtId="0" fontId="592" fillId="0" borderId="105" applyNumberFormat="0" applyFill="0" applyAlignment="0" applyProtection="0">
      <alignment vertical="center"/>
    </xf>
    <xf numFmtId="0" fontId="592" fillId="0" borderId="105" applyNumberFormat="0" applyFill="0" applyAlignment="0" applyProtection="0">
      <alignment vertical="center"/>
    </xf>
    <xf numFmtId="0" fontId="592" fillId="0" borderId="105" applyNumberFormat="0" applyFill="0" applyAlignment="0" applyProtection="0">
      <alignment vertical="center"/>
    </xf>
    <xf numFmtId="0" fontId="592" fillId="0" borderId="105" applyNumberFormat="0" applyFill="0" applyAlignment="0" applyProtection="0">
      <alignment vertical="center"/>
    </xf>
    <xf numFmtId="0" fontId="592" fillId="0" borderId="105" applyNumberFormat="0" applyFill="0" applyAlignment="0" applyProtection="0">
      <alignment vertical="center"/>
    </xf>
    <xf numFmtId="0" fontId="592" fillId="0" borderId="105" applyNumberFormat="0" applyFill="0" applyAlignment="0" applyProtection="0">
      <alignment vertical="center"/>
    </xf>
    <xf numFmtId="0" fontId="592" fillId="0" borderId="105" applyNumberFormat="0" applyFill="0" applyAlignment="0" applyProtection="0">
      <alignment vertical="center"/>
    </xf>
    <xf numFmtId="0" fontId="592" fillId="0" borderId="105" applyNumberFormat="0" applyFill="0" applyAlignment="0" applyProtection="0">
      <alignment vertical="center"/>
    </xf>
    <xf numFmtId="0" fontId="592" fillId="0" borderId="105" applyNumberFormat="0" applyFill="0" applyAlignment="0" applyProtection="0">
      <alignment vertical="center"/>
    </xf>
    <xf numFmtId="0" fontId="592" fillId="0" borderId="105" applyNumberFormat="0" applyFill="0" applyAlignment="0" applyProtection="0">
      <alignment vertical="center"/>
    </xf>
    <xf numFmtId="0" fontId="592" fillId="0" borderId="105" applyNumberFormat="0" applyFill="0" applyAlignment="0" applyProtection="0">
      <alignment vertical="center"/>
    </xf>
    <xf numFmtId="0" fontId="592" fillId="0" borderId="105" applyNumberFormat="0" applyFill="0" applyAlignment="0" applyProtection="0">
      <alignment vertical="center"/>
    </xf>
    <xf numFmtId="0" fontId="592" fillId="0" borderId="105" applyNumberFormat="0" applyFill="0" applyAlignment="0" applyProtection="0">
      <alignment vertical="center"/>
    </xf>
    <xf numFmtId="0" fontId="592" fillId="0" borderId="105" applyNumberFormat="0" applyFill="0" applyAlignment="0" applyProtection="0">
      <alignment vertical="center"/>
    </xf>
    <xf numFmtId="0" fontId="592" fillId="0" borderId="105" applyNumberFormat="0" applyFill="0" applyAlignment="0" applyProtection="0">
      <alignment vertical="center"/>
    </xf>
    <xf numFmtId="0" fontId="592" fillId="0" borderId="105" applyNumberFormat="0" applyFill="0" applyAlignment="0" applyProtection="0">
      <alignment vertical="center"/>
    </xf>
    <xf numFmtId="0" fontId="592" fillId="0" borderId="105" applyNumberFormat="0" applyFill="0" applyAlignment="0" applyProtection="0">
      <alignment vertical="center"/>
    </xf>
    <xf numFmtId="0" fontId="592" fillId="0" borderId="105" applyNumberFormat="0" applyFill="0" applyAlignment="0" applyProtection="0">
      <alignment vertical="center"/>
    </xf>
    <xf numFmtId="0" fontId="592" fillId="0" borderId="105" applyNumberFormat="0" applyFill="0" applyAlignment="0" applyProtection="0">
      <alignment vertical="center"/>
    </xf>
    <xf numFmtId="0" fontId="592" fillId="0" borderId="105" applyNumberFormat="0" applyFill="0" applyAlignment="0" applyProtection="0">
      <alignment vertical="center"/>
    </xf>
    <xf numFmtId="0" fontId="592" fillId="0" borderId="105" applyNumberFormat="0" applyFill="0" applyAlignment="0" applyProtection="0">
      <alignment vertical="center"/>
    </xf>
    <xf numFmtId="0" fontId="592" fillId="0" borderId="105" applyNumberFormat="0" applyFill="0" applyAlignment="0" applyProtection="0">
      <alignment vertical="center"/>
    </xf>
    <xf numFmtId="0" fontId="592" fillId="0" borderId="105" applyNumberFormat="0" applyFill="0" applyAlignment="0" applyProtection="0">
      <alignment vertical="center"/>
    </xf>
    <xf numFmtId="0" fontId="592" fillId="0" borderId="105" applyNumberFormat="0" applyFill="0" applyAlignment="0" applyProtection="0">
      <alignment vertical="center"/>
    </xf>
    <xf numFmtId="0" fontId="592" fillId="0" borderId="105" applyNumberFormat="0" applyFill="0" applyAlignment="0" applyProtection="0">
      <alignment vertical="center"/>
    </xf>
    <xf numFmtId="0" fontId="335" fillId="0" borderId="105" applyNumberFormat="0" applyFill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593" fillId="54" borderId="96" applyNumberFormat="0" applyAlignment="0" applyProtection="0">
      <alignment vertical="center"/>
    </xf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452" fillId="54" borderId="96" applyNumberFormat="0" applyAlignment="0" applyProtection="0"/>
    <xf numFmtId="0" fontId="593" fillId="54" borderId="96" applyNumberFormat="0" applyAlignment="0" applyProtection="0">
      <alignment vertical="center"/>
    </xf>
    <xf numFmtId="0" fontId="593" fillId="54" borderId="96" applyNumberFormat="0" applyAlignment="0" applyProtection="0">
      <alignment vertical="center"/>
    </xf>
    <xf numFmtId="0" fontId="593" fillId="54" borderId="96" applyNumberFormat="0" applyAlignment="0" applyProtection="0">
      <alignment vertical="center"/>
    </xf>
    <xf numFmtId="0" fontId="593" fillId="54" borderId="96" applyNumberFormat="0" applyAlignment="0" applyProtection="0">
      <alignment vertical="center"/>
    </xf>
    <xf numFmtId="0" fontId="593" fillId="54" borderId="96" applyNumberFormat="0" applyAlignment="0" applyProtection="0">
      <alignment vertical="center"/>
    </xf>
    <xf numFmtId="0" fontId="593" fillId="54" borderId="96" applyNumberFormat="0" applyAlignment="0" applyProtection="0">
      <alignment vertical="center"/>
    </xf>
    <xf numFmtId="0" fontId="593" fillId="54" borderId="96" applyNumberFormat="0" applyAlignment="0" applyProtection="0">
      <alignment vertical="center"/>
    </xf>
    <xf numFmtId="0" fontId="593" fillId="54" borderId="96" applyNumberFormat="0" applyAlignment="0" applyProtection="0">
      <alignment vertical="center"/>
    </xf>
    <xf numFmtId="0" fontId="593" fillId="54" borderId="96" applyNumberFormat="0" applyAlignment="0" applyProtection="0">
      <alignment vertical="center"/>
    </xf>
    <xf numFmtId="0" fontId="593" fillId="54" borderId="96" applyNumberFormat="0" applyAlignment="0" applyProtection="0">
      <alignment vertical="center"/>
    </xf>
    <xf numFmtId="0" fontId="593" fillId="54" borderId="96" applyNumberFormat="0" applyAlignment="0" applyProtection="0">
      <alignment vertical="center"/>
    </xf>
    <xf numFmtId="0" fontId="593" fillId="54" borderId="96" applyNumberFormat="0" applyAlignment="0" applyProtection="0">
      <alignment vertical="center"/>
    </xf>
    <xf numFmtId="0" fontId="593" fillId="54" borderId="96" applyNumberFormat="0" applyAlignment="0" applyProtection="0">
      <alignment vertical="center"/>
    </xf>
    <xf numFmtId="0" fontId="593" fillId="54" borderId="96" applyNumberFormat="0" applyAlignment="0" applyProtection="0">
      <alignment vertical="center"/>
    </xf>
    <xf numFmtId="0" fontId="593" fillId="54" borderId="96" applyNumberFormat="0" applyAlignment="0" applyProtection="0">
      <alignment vertical="center"/>
    </xf>
    <xf numFmtId="0" fontId="593" fillId="54" borderId="96" applyNumberFormat="0" applyAlignment="0" applyProtection="0">
      <alignment vertical="center"/>
    </xf>
    <xf numFmtId="0" fontId="593" fillId="54" borderId="96" applyNumberFormat="0" applyAlignment="0" applyProtection="0">
      <alignment vertical="center"/>
    </xf>
    <xf numFmtId="0" fontId="593" fillId="54" borderId="96" applyNumberFormat="0" applyAlignment="0" applyProtection="0">
      <alignment vertical="center"/>
    </xf>
    <xf numFmtId="0" fontId="593" fillId="54" borderId="96" applyNumberFormat="0" applyAlignment="0" applyProtection="0">
      <alignment vertical="center"/>
    </xf>
    <xf numFmtId="0" fontId="593" fillId="54" borderId="96" applyNumberFormat="0" applyAlignment="0" applyProtection="0">
      <alignment vertical="center"/>
    </xf>
    <xf numFmtId="0" fontId="593" fillId="54" borderId="96" applyNumberFormat="0" applyAlignment="0" applyProtection="0">
      <alignment vertical="center"/>
    </xf>
    <xf numFmtId="0" fontId="593" fillId="54" borderId="96" applyNumberFormat="0" applyAlignment="0" applyProtection="0">
      <alignment vertical="center"/>
    </xf>
    <xf numFmtId="0" fontId="593" fillId="54" borderId="96" applyNumberFormat="0" applyAlignment="0" applyProtection="0">
      <alignment vertical="center"/>
    </xf>
    <xf numFmtId="0" fontId="593" fillId="54" borderId="96" applyNumberFormat="0" applyAlignment="0" applyProtection="0">
      <alignment vertical="center"/>
    </xf>
    <xf numFmtId="0" fontId="593" fillId="54" borderId="96" applyNumberFormat="0" applyAlignment="0" applyProtection="0">
      <alignment vertical="center"/>
    </xf>
    <xf numFmtId="0" fontId="593" fillId="54" borderId="96" applyNumberFormat="0" applyAlignment="0" applyProtection="0">
      <alignment vertical="center"/>
    </xf>
    <xf numFmtId="0" fontId="593" fillId="54" borderId="96" applyNumberFormat="0" applyAlignment="0" applyProtection="0">
      <alignment vertical="center"/>
    </xf>
    <xf numFmtId="0" fontId="593" fillId="54" borderId="96" applyNumberFormat="0" applyAlignment="0" applyProtection="0">
      <alignment vertical="center"/>
    </xf>
    <xf numFmtId="0" fontId="593" fillId="54" borderId="96" applyNumberFormat="0" applyAlignment="0" applyProtection="0">
      <alignment vertical="center"/>
    </xf>
    <xf numFmtId="0" fontId="593" fillId="54" borderId="96" applyNumberFormat="0" applyAlignment="0" applyProtection="0">
      <alignment vertical="center"/>
    </xf>
    <xf numFmtId="0" fontId="593" fillId="54" borderId="96" applyNumberFormat="0" applyAlignment="0" applyProtection="0">
      <alignment vertical="center"/>
    </xf>
    <xf numFmtId="0" fontId="593" fillId="54" borderId="96" applyNumberFormat="0" applyAlignment="0" applyProtection="0">
      <alignment vertical="center"/>
    </xf>
    <xf numFmtId="0" fontId="593" fillId="54" borderId="96" applyNumberFormat="0" applyAlignment="0" applyProtection="0">
      <alignment vertical="center"/>
    </xf>
    <xf numFmtId="0" fontId="593" fillId="54" borderId="96" applyNumberFormat="0" applyAlignment="0" applyProtection="0">
      <alignment vertical="center"/>
    </xf>
    <xf numFmtId="0" fontId="593" fillId="54" borderId="96" applyNumberFormat="0" applyAlignment="0" applyProtection="0">
      <alignment vertical="center"/>
    </xf>
    <xf numFmtId="0" fontId="593" fillId="54" borderId="96" applyNumberFormat="0" applyAlignment="0" applyProtection="0">
      <alignment vertical="center"/>
    </xf>
    <xf numFmtId="0" fontId="593" fillId="54" borderId="96" applyNumberFormat="0" applyAlignment="0" applyProtection="0">
      <alignment vertical="center"/>
    </xf>
    <xf numFmtId="0" fontId="593" fillId="54" borderId="96" applyNumberFormat="0" applyAlignment="0" applyProtection="0">
      <alignment vertical="center"/>
    </xf>
    <xf numFmtId="0" fontId="593" fillId="54" borderId="96" applyNumberFormat="0" applyAlignment="0" applyProtection="0">
      <alignment vertical="center"/>
    </xf>
    <xf numFmtId="0" fontId="593" fillId="54" borderId="96" applyNumberFormat="0" applyAlignment="0" applyProtection="0">
      <alignment vertical="center"/>
    </xf>
    <xf numFmtId="0" fontId="593" fillId="54" borderId="96" applyNumberFormat="0" applyAlignment="0" applyProtection="0">
      <alignment vertical="center"/>
    </xf>
    <xf numFmtId="0" fontId="593" fillId="54" borderId="96" applyNumberFormat="0" applyAlignment="0" applyProtection="0">
      <alignment vertical="center"/>
    </xf>
    <xf numFmtId="0" fontId="593" fillId="54" borderId="96" applyNumberFormat="0" applyAlignment="0" applyProtection="0">
      <alignment vertical="center"/>
    </xf>
    <xf numFmtId="0" fontId="593" fillId="54" borderId="96" applyNumberFormat="0" applyAlignment="0" applyProtection="0">
      <alignment vertical="center"/>
    </xf>
    <xf numFmtId="0" fontId="593" fillId="54" borderId="96" applyNumberFormat="0" applyAlignment="0" applyProtection="0">
      <alignment vertical="center"/>
    </xf>
    <xf numFmtId="0" fontId="593" fillId="54" borderId="96" applyNumberFormat="0" applyAlignment="0" applyProtection="0">
      <alignment vertical="center"/>
    </xf>
    <xf numFmtId="0" fontId="593" fillId="54" borderId="96" applyNumberFormat="0" applyAlignment="0" applyProtection="0">
      <alignment vertical="center"/>
    </xf>
    <xf numFmtId="0" fontId="593" fillId="54" borderId="96" applyNumberFormat="0" applyAlignment="0" applyProtection="0">
      <alignment vertical="center"/>
    </xf>
    <xf numFmtId="0" fontId="593" fillId="54" borderId="96" applyNumberFormat="0" applyAlignment="0" applyProtection="0">
      <alignment vertical="center"/>
    </xf>
    <xf numFmtId="0" fontId="593" fillId="54" borderId="96" applyNumberFormat="0" applyAlignment="0" applyProtection="0">
      <alignment vertical="center"/>
    </xf>
    <xf numFmtId="0" fontId="593" fillId="54" borderId="96" applyNumberFormat="0" applyAlignment="0" applyProtection="0">
      <alignment vertical="center"/>
    </xf>
    <xf numFmtId="0" fontId="593" fillId="54" borderId="96" applyNumberFormat="0" applyAlignment="0" applyProtection="0">
      <alignment vertical="center"/>
    </xf>
    <xf numFmtId="0" fontId="593" fillId="54" borderId="96" applyNumberFormat="0" applyAlignment="0" applyProtection="0">
      <alignment vertical="center"/>
    </xf>
    <xf numFmtId="0" fontId="593" fillId="54" borderId="96" applyNumberFormat="0" applyAlignment="0" applyProtection="0">
      <alignment vertical="center"/>
    </xf>
    <xf numFmtId="0" fontId="593" fillId="54" borderId="96" applyNumberFormat="0" applyAlignment="0" applyProtection="0">
      <alignment vertical="center"/>
    </xf>
    <xf numFmtId="0" fontId="593" fillId="54" borderId="96" applyNumberFormat="0" applyAlignment="0" applyProtection="0">
      <alignment vertical="center"/>
    </xf>
    <xf numFmtId="0" fontId="593" fillId="54" borderId="96" applyNumberFormat="0" applyAlignment="0" applyProtection="0">
      <alignment vertical="center"/>
    </xf>
    <xf numFmtId="0" fontId="593" fillId="54" borderId="96" applyNumberFormat="0" applyAlignment="0" applyProtection="0">
      <alignment vertical="center"/>
    </xf>
    <xf numFmtId="0" fontId="593" fillId="54" borderId="96" applyNumberFormat="0" applyAlignment="0" applyProtection="0">
      <alignment vertical="center"/>
    </xf>
    <xf numFmtId="0" fontId="593" fillId="54" borderId="96" applyNumberFormat="0" applyAlignment="0" applyProtection="0">
      <alignment vertical="center"/>
    </xf>
    <xf numFmtId="0" fontId="593" fillId="54" borderId="96" applyNumberFormat="0" applyAlignment="0" applyProtection="0">
      <alignment vertical="center"/>
    </xf>
    <xf numFmtId="0" fontId="593" fillId="54" borderId="96" applyNumberFormat="0" applyAlignment="0" applyProtection="0">
      <alignment vertical="center"/>
    </xf>
    <xf numFmtId="0" fontId="593" fillId="54" borderId="96" applyNumberFormat="0" applyAlignment="0" applyProtection="0">
      <alignment vertical="center"/>
    </xf>
    <xf numFmtId="0" fontId="593" fillId="54" borderId="96" applyNumberFormat="0" applyAlignment="0" applyProtection="0">
      <alignment vertical="center"/>
    </xf>
    <xf numFmtId="0" fontId="593" fillId="54" borderId="96" applyNumberFormat="0" applyAlignment="0" applyProtection="0">
      <alignment vertical="center"/>
    </xf>
    <xf numFmtId="0" fontId="593" fillId="54" borderId="96" applyNumberFormat="0" applyAlignment="0" applyProtection="0">
      <alignment vertical="center"/>
    </xf>
    <xf numFmtId="0" fontId="593" fillId="54" borderId="96" applyNumberFormat="0" applyAlignment="0" applyProtection="0">
      <alignment vertical="center"/>
    </xf>
    <xf numFmtId="0" fontId="593" fillId="54" borderId="96" applyNumberFormat="0" applyAlignment="0" applyProtection="0">
      <alignment vertical="center"/>
    </xf>
    <xf numFmtId="0" fontId="593" fillId="54" borderId="96" applyNumberFormat="0" applyAlignment="0" applyProtection="0">
      <alignment vertical="center"/>
    </xf>
    <xf numFmtId="0" fontId="593" fillId="54" borderId="96" applyNumberFormat="0" applyAlignment="0" applyProtection="0">
      <alignment vertical="center"/>
    </xf>
    <xf numFmtId="0" fontId="593" fillId="54" borderId="96" applyNumberFormat="0" applyAlignment="0" applyProtection="0">
      <alignment vertical="center"/>
    </xf>
    <xf numFmtId="0" fontId="593" fillId="54" borderId="96" applyNumberFormat="0" applyAlignment="0" applyProtection="0">
      <alignment vertical="center"/>
    </xf>
    <xf numFmtId="0" fontId="593" fillId="54" borderId="96" applyNumberFormat="0" applyAlignment="0" applyProtection="0">
      <alignment vertical="center"/>
    </xf>
    <xf numFmtId="0" fontId="593" fillId="54" borderId="96" applyNumberFormat="0" applyAlignment="0" applyProtection="0">
      <alignment vertical="center"/>
    </xf>
    <xf numFmtId="0" fontId="593" fillId="54" borderId="96" applyNumberFormat="0" applyAlignment="0" applyProtection="0">
      <alignment vertical="center"/>
    </xf>
    <xf numFmtId="0" fontId="593" fillId="54" borderId="96" applyNumberFormat="0" applyAlignment="0" applyProtection="0">
      <alignment vertical="center"/>
    </xf>
    <xf numFmtId="0" fontId="593" fillId="54" borderId="96" applyNumberFormat="0" applyAlignment="0" applyProtection="0">
      <alignment vertical="center"/>
    </xf>
    <xf numFmtId="0" fontId="593" fillId="54" borderId="96" applyNumberFormat="0" applyAlignment="0" applyProtection="0">
      <alignment vertical="center"/>
    </xf>
    <xf numFmtId="0" fontId="593" fillId="54" borderId="96" applyNumberFormat="0" applyAlignment="0" applyProtection="0">
      <alignment vertical="center"/>
    </xf>
    <xf numFmtId="0" fontId="593" fillId="54" borderId="96" applyNumberFormat="0" applyAlignment="0" applyProtection="0">
      <alignment vertical="center"/>
    </xf>
    <xf numFmtId="0" fontId="593" fillId="54" borderId="96" applyNumberFormat="0" applyAlignment="0" applyProtection="0">
      <alignment vertical="center"/>
    </xf>
    <xf numFmtId="0" fontId="593" fillId="54" borderId="96" applyNumberFormat="0" applyAlignment="0" applyProtection="0">
      <alignment vertical="center"/>
    </xf>
    <xf numFmtId="0" fontId="593" fillId="54" borderId="96" applyNumberFormat="0" applyAlignment="0" applyProtection="0">
      <alignment vertical="center"/>
    </xf>
    <xf numFmtId="0" fontId="593" fillId="54" borderId="96" applyNumberFormat="0" applyAlignment="0" applyProtection="0">
      <alignment vertical="center"/>
    </xf>
    <xf numFmtId="0" fontId="593" fillId="54" borderId="96" applyNumberFormat="0" applyAlignment="0" applyProtection="0">
      <alignment vertical="center"/>
    </xf>
    <xf numFmtId="0" fontId="593" fillId="54" borderId="96" applyNumberFormat="0" applyAlignment="0" applyProtection="0">
      <alignment vertical="center"/>
    </xf>
    <xf numFmtId="0" fontId="593" fillId="54" borderId="96" applyNumberFormat="0" applyAlignment="0" applyProtection="0">
      <alignment vertical="center"/>
    </xf>
    <xf numFmtId="0" fontId="593" fillId="54" borderId="96" applyNumberFormat="0" applyAlignment="0" applyProtection="0">
      <alignment vertical="center"/>
    </xf>
    <xf numFmtId="0" fontId="593" fillId="54" borderId="96" applyNumberFormat="0" applyAlignment="0" applyProtection="0">
      <alignment vertical="center"/>
    </xf>
    <xf numFmtId="0" fontId="593" fillId="54" borderId="96" applyNumberFormat="0" applyAlignment="0" applyProtection="0">
      <alignment vertical="center"/>
    </xf>
    <xf numFmtId="0" fontId="593" fillId="54" borderId="96" applyNumberFormat="0" applyAlignment="0" applyProtection="0">
      <alignment vertical="center"/>
    </xf>
    <xf numFmtId="0" fontId="593" fillId="54" borderId="96" applyNumberFormat="0" applyAlignment="0" applyProtection="0">
      <alignment vertical="center"/>
    </xf>
    <xf numFmtId="0" fontId="593" fillId="54" borderId="96" applyNumberFormat="0" applyAlignment="0" applyProtection="0">
      <alignment vertical="center"/>
    </xf>
    <xf numFmtId="0" fontId="593" fillId="54" borderId="96" applyNumberFormat="0" applyAlignment="0" applyProtection="0">
      <alignment vertical="center"/>
    </xf>
    <xf numFmtId="0" fontId="452" fillId="54" borderId="96" applyNumberFormat="0" applyAlignment="0" applyProtection="0"/>
    <xf numFmtId="0" fontId="169" fillId="0" borderId="0"/>
    <xf numFmtId="0" fontId="594" fillId="0" borderId="0"/>
    <xf numFmtId="0" fontId="170" fillId="0" borderId="0">
      <alignment vertical="center"/>
    </xf>
    <xf numFmtId="0" fontId="170" fillId="0" borderId="0">
      <alignment vertical="center"/>
    </xf>
    <xf numFmtId="0" fontId="170" fillId="0" borderId="0">
      <alignment vertical="center"/>
    </xf>
    <xf numFmtId="0" fontId="170" fillId="0" borderId="0">
      <alignment vertical="center"/>
    </xf>
    <xf numFmtId="0" fontId="169" fillId="0" borderId="0">
      <alignment vertical="center"/>
    </xf>
    <xf numFmtId="0" fontId="170" fillId="0" borderId="0">
      <alignment vertical="center"/>
    </xf>
    <xf numFmtId="0" fontId="170" fillId="0" borderId="0">
      <alignment vertical="center"/>
    </xf>
    <xf numFmtId="0" fontId="594" fillId="0" borderId="0"/>
    <xf numFmtId="0" fontId="594" fillId="0" borderId="0"/>
    <xf numFmtId="0" fontId="594" fillId="0" borderId="0"/>
    <xf numFmtId="0" fontId="169" fillId="0" borderId="0">
      <alignment vertical="center"/>
    </xf>
    <xf numFmtId="0" fontId="594" fillId="0" borderId="0"/>
    <xf numFmtId="0" fontId="594" fillId="0" borderId="0"/>
    <xf numFmtId="0" fontId="169" fillId="0" borderId="0">
      <alignment vertical="center"/>
    </xf>
    <xf numFmtId="0" fontId="169" fillId="0" borderId="0"/>
    <xf numFmtId="0" fontId="170" fillId="0" borderId="0"/>
    <xf numFmtId="0" fontId="170" fillId="0" borderId="0"/>
    <xf numFmtId="0" fontId="169" fillId="0" borderId="0"/>
    <xf numFmtId="0" fontId="170" fillId="0" borderId="0"/>
    <xf numFmtId="0" fontId="170" fillId="0" borderId="0"/>
    <xf numFmtId="0" fontId="167" fillId="0" borderId="0"/>
    <xf numFmtId="208" fontId="164" fillId="0" borderId="0" applyFont="0" applyFill="0" applyBorder="0" applyAlignment="0" applyProtection="0"/>
    <xf numFmtId="207" fontId="164" fillId="0" borderId="0" applyFont="0" applyFill="0" applyBorder="0" applyAlignment="0" applyProtection="0"/>
    <xf numFmtId="0" fontId="344" fillId="0" borderId="0" applyNumberFormat="0" applyFill="0" applyBorder="0" applyAlignment="0" applyProtection="0"/>
    <xf numFmtId="0" fontId="595" fillId="0" borderId="0" applyNumberFormat="0" applyFill="0" applyBorder="0" applyAlignment="0" applyProtection="0">
      <alignment vertical="center"/>
    </xf>
    <xf numFmtId="0" fontId="595" fillId="0" borderId="0" applyNumberFormat="0" applyFill="0" applyBorder="0" applyAlignment="0" applyProtection="0">
      <alignment vertical="center"/>
    </xf>
    <xf numFmtId="202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40" fontId="17" fillId="0" borderId="0" applyFont="0" applyFill="0" applyBorder="0" applyAlignment="0" applyProtection="0"/>
    <xf numFmtId="202" fontId="170" fillId="0" borderId="0" applyFont="0" applyFill="0" applyBorder="0" applyAlignment="0" applyProtection="0"/>
    <xf numFmtId="202" fontId="170" fillId="0" borderId="0" applyFont="0" applyFill="0" applyBorder="0" applyAlignment="0" applyProtection="0"/>
    <xf numFmtId="202" fontId="170" fillId="0" borderId="0" applyFont="0" applyFill="0" applyBorder="0" applyAlignment="0" applyProtection="0"/>
    <xf numFmtId="202" fontId="170" fillId="0" borderId="0" applyFont="0" applyFill="0" applyBorder="0" applyAlignment="0" applyProtection="0"/>
    <xf numFmtId="202" fontId="170" fillId="0" borderId="0" applyFont="0" applyFill="0" applyBorder="0" applyAlignment="0" applyProtection="0"/>
    <xf numFmtId="202" fontId="169" fillId="0" borderId="0" applyFont="0" applyFill="0" applyBorder="0" applyAlignment="0" applyProtection="0"/>
    <xf numFmtId="202" fontId="170" fillId="0" borderId="0" applyFont="0" applyFill="0" applyBorder="0" applyAlignment="0" applyProtection="0"/>
    <xf numFmtId="202" fontId="170" fillId="0" borderId="0" applyFont="0" applyFill="0" applyBorder="0" applyAlignment="0" applyProtection="0"/>
    <xf numFmtId="202" fontId="169" fillId="0" borderId="0" applyFont="0" applyFill="0" applyBorder="0" applyAlignment="0" applyProtection="0"/>
    <xf numFmtId="202" fontId="170" fillId="0" borderId="0" applyFont="0" applyFill="0" applyBorder="0" applyAlignment="0" applyProtection="0"/>
    <xf numFmtId="202" fontId="169" fillId="0" borderId="0" applyFont="0" applyFill="0" applyBorder="0" applyAlignment="0" applyProtection="0"/>
    <xf numFmtId="204" fontId="169" fillId="0" borderId="0" applyFont="0" applyFill="0" applyBorder="0" applyAlignment="0" applyProtection="0"/>
    <xf numFmtId="202" fontId="164" fillId="0" borderId="0" applyFont="0" applyFill="0" applyBorder="0" applyAlignment="0" applyProtection="0"/>
    <xf numFmtId="204" fontId="164" fillId="0" borderId="0" applyFont="0" applyFill="0" applyBorder="0" applyAlignment="0" applyProtection="0"/>
    <xf numFmtId="351" fontId="2" fillId="0" borderId="0" applyFont="0" applyFill="0" applyBorder="0" applyAlignment="0" applyProtection="0"/>
    <xf numFmtId="49" fontId="596" fillId="0" borderId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200" fontId="144" fillId="0" borderId="0" applyFont="0" applyFill="0" applyBorder="0" applyAlignment="0" applyProtection="0"/>
    <xf numFmtId="199" fontId="144" fillId="0" borderId="0" applyFont="0" applyFill="0" applyBorder="0" applyAlignment="0" applyProtection="0"/>
    <xf numFmtId="199" fontId="2" fillId="0" borderId="0" applyFont="0" applyFill="0" applyBorder="0" applyAlignment="0" applyProtection="0"/>
    <xf numFmtId="200" fontId="2" fillId="0" borderId="0" applyFont="0" applyFill="0" applyBorder="0" applyAlignment="0" applyProtection="0"/>
    <xf numFmtId="199" fontId="2" fillId="0" borderId="0" applyFont="0" applyFill="0" applyBorder="0" applyAlignment="0" applyProtection="0"/>
    <xf numFmtId="0" fontId="169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69" fillId="51" borderId="81" applyNumberFormat="0" applyFont="0" applyAlignment="0" applyProtection="0">
      <alignment vertical="center"/>
    </xf>
    <xf numFmtId="0" fontId="169" fillId="51" borderId="81" applyNumberFormat="0" applyFont="0" applyAlignment="0" applyProtection="0">
      <alignment vertical="center"/>
    </xf>
    <xf numFmtId="0" fontId="169" fillId="51" borderId="81" applyNumberFormat="0" applyFont="0" applyAlignment="0" applyProtection="0">
      <alignment vertical="center"/>
    </xf>
    <xf numFmtId="0" fontId="169" fillId="51" borderId="81" applyNumberFormat="0" applyFont="0" applyAlignment="0" applyProtection="0">
      <alignment vertical="center"/>
    </xf>
    <xf numFmtId="0" fontId="169" fillId="51" borderId="81" applyNumberFormat="0" applyFont="0" applyAlignment="0" applyProtection="0">
      <alignment vertical="center"/>
    </xf>
    <xf numFmtId="0" fontId="169" fillId="51" borderId="81" applyNumberFormat="0" applyFont="0" applyAlignment="0" applyProtection="0">
      <alignment vertical="center"/>
    </xf>
    <xf numFmtId="0" fontId="169" fillId="51" borderId="81" applyNumberFormat="0" applyFont="0" applyAlignment="0" applyProtection="0">
      <alignment vertical="center"/>
    </xf>
    <xf numFmtId="0" fontId="169" fillId="51" borderId="81" applyNumberFormat="0" applyFont="0" applyAlignment="0" applyProtection="0">
      <alignment vertical="center"/>
    </xf>
    <xf numFmtId="0" fontId="169" fillId="51" borderId="81" applyNumberFormat="0" applyFont="0" applyAlignment="0" applyProtection="0">
      <alignment vertical="center"/>
    </xf>
    <xf numFmtId="0" fontId="169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69" fillId="51" borderId="81" applyNumberFormat="0" applyFont="0" applyAlignment="0" applyProtection="0">
      <alignment vertical="center"/>
    </xf>
    <xf numFmtId="0" fontId="169" fillId="51" borderId="81" applyNumberFormat="0" applyFont="0" applyAlignment="0" applyProtection="0">
      <alignment vertical="center"/>
    </xf>
    <xf numFmtId="0" fontId="169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69" fillId="51" borderId="81" applyNumberFormat="0" applyFont="0" applyAlignment="0" applyProtection="0">
      <alignment vertical="center"/>
    </xf>
    <xf numFmtId="0" fontId="169" fillId="51" borderId="81" applyNumberFormat="0" applyFont="0" applyAlignment="0" applyProtection="0">
      <alignment vertical="center"/>
    </xf>
    <xf numFmtId="0" fontId="169" fillId="51" borderId="81" applyNumberFormat="0" applyFont="0" applyAlignment="0" applyProtection="0">
      <alignment vertical="center"/>
    </xf>
    <xf numFmtId="0" fontId="169" fillId="51" borderId="81" applyNumberFormat="0" applyFont="0" applyAlignment="0" applyProtection="0">
      <alignment vertical="center"/>
    </xf>
    <xf numFmtId="0" fontId="169" fillId="51" borderId="81" applyNumberFormat="0" applyFont="0" applyAlignment="0" applyProtection="0">
      <alignment vertical="center"/>
    </xf>
    <xf numFmtId="0" fontId="169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69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69" fillId="51" borderId="81" applyNumberFormat="0" applyFont="0" applyAlignment="0" applyProtection="0">
      <alignment vertical="center"/>
    </xf>
    <xf numFmtId="0" fontId="169" fillId="51" borderId="81" applyNumberFormat="0" applyFont="0" applyAlignment="0" applyProtection="0">
      <alignment vertical="center"/>
    </xf>
    <xf numFmtId="0" fontId="169" fillId="51" borderId="81" applyNumberFormat="0" applyFont="0" applyAlignment="0" applyProtection="0">
      <alignment vertical="center"/>
    </xf>
    <xf numFmtId="0" fontId="169" fillId="51" borderId="81" applyNumberFormat="0" applyFont="0" applyAlignment="0" applyProtection="0">
      <alignment vertical="center"/>
    </xf>
    <xf numFmtId="0" fontId="169" fillId="51" borderId="81" applyNumberFormat="0" applyFont="0" applyAlignment="0" applyProtection="0">
      <alignment vertical="center"/>
    </xf>
    <xf numFmtId="0" fontId="169" fillId="51" borderId="81" applyNumberFormat="0" applyFont="0" applyAlignment="0" applyProtection="0">
      <alignment vertical="center"/>
    </xf>
    <xf numFmtId="0" fontId="169" fillId="51" borderId="81" applyNumberFormat="0" applyFont="0" applyAlignment="0" applyProtection="0">
      <alignment vertical="center"/>
    </xf>
    <xf numFmtId="0" fontId="169" fillId="51" borderId="81" applyNumberFormat="0" applyFont="0" applyAlignment="0" applyProtection="0">
      <alignment vertical="center"/>
    </xf>
    <xf numFmtId="0" fontId="169" fillId="51" borderId="81" applyNumberFormat="0" applyFont="0" applyAlignment="0" applyProtection="0">
      <alignment vertical="center"/>
    </xf>
    <xf numFmtId="0" fontId="169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69" fillId="51" borderId="81" applyNumberFormat="0" applyFont="0" applyAlignment="0" applyProtection="0">
      <alignment vertical="center"/>
    </xf>
    <xf numFmtId="0" fontId="169" fillId="51" borderId="81" applyNumberFormat="0" applyFont="0" applyAlignment="0" applyProtection="0">
      <alignment vertical="center"/>
    </xf>
    <xf numFmtId="0" fontId="169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69" fillId="51" borderId="81" applyNumberFormat="0" applyFont="0" applyAlignment="0" applyProtection="0">
      <alignment vertical="center"/>
    </xf>
    <xf numFmtId="0" fontId="169" fillId="51" borderId="81" applyNumberFormat="0" applyFont="0" applyAlignment="0" applyProtection="0">
      <alignment vertical="center"/>
    </xf>
    <xf numFmtId="0" fontId="169" fillId="51" borderId="81" applyNumberFormat="0" applyFont="0" applyAlignment="0" applyProtection="0">
      <alignment vertical="center"/>
    </xf>
    <xf numFmtId="0" fontId="169" fillId="51" borderId="81" applyNumberFormat="0" applyFont="0" applyAlignment="0" applyProtection="0">
      <alignment vertical="center"/>
    </xf>
    <xf numFmtId="0" fontId="169" fillId="51" borderId="81" applyNumberFormat="0" applyFont="0" applyAlignment="0" applyProtection="0">
      <alignment vertical="center"/>
    </xf>
    <xf numFmtId="0" fontId="169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69" fillId="51" borderId="81" applyNumberFormat="0" applyFont="0" applyAlignment="0" applyProtection="0">
      <alignment vertical="center"/>
    </xf>
    <xf numFmtId="0" fontId="169" fillId="51" borderId="81" applyNumberFormat="0" applyFont="0" applyAlignment="0" applyProtection="0">
      <alignment vertical="center"/>
    </xf>
    <xf numFmtId="0" fontId="169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395" fillId="0" borderId="0" applyNumberFormat="0" applyFill="0" applyBorder="0" applyAlignment="0" applyProtection="0">
      <alignment vertical="top"/>
      <protection locked="0"/>
    </xf>
    <xf numFmtId="195" fontId="17" fillId="0" borderId="0" applyFont="0" applyFill="0" applyBorder="0" applyAlignment="0" applyProtection="0"/>
    <xf numFmtId="14" fontId="59" fillId="0" borderId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597" fillId="48" borderId="77" applyNumberFormat="0" applyAlignment="0" applyProtection="0">
      <alignment vertical="center"/>
    </xf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338" fillId="48" borderId="77" applyNumberFormat="0" applyAlignment="0" applyProtection="0"/>
    <xf numFmtId="0" fontId="597" fillId="48" borderId="77" applyNumberFormat="0" applyAlignment="0" applyProtection="0">
      <alignment vertical="center"/>
    </xf>
    <xf numFmtId="0" fontId="597" fillId="48" borderId="77" applyNumberFormat="0" applyAlignment="0" applyProtection="0">
      <alignment vertical="center"/>
    </xf>
    <xf numFmtId="0" fontId="597" fillId="48" borderId="77" applyNumberFormat="0" applyAlignment="0" applyProtection="0">
      <alignment vertical="center"/>
    </xf>
    <xf numFmtId="0" fontId="597" fillId="48" borderId="77" applyNumberFormat="0" applyAlignment="0" applyProtection="0">
      <alignment vertical="center"/>
    </xf>
    <xf numFmtId="0" fontId="597" fillId="48" borderId="77" applyNumberFormat="0" applyAlignment="0" applyProtection="0">
      <alignment vertical="center"/>
    </xf>
    <xf numFmtId="0" fontId="597" fillId="48" borderId="77" applyNumberFormat="0" applyAlignment="0" applyProtection="0">
      <alignment vertical="center"/>
    </xf>
    <xf numFmtId="0" fontId="597" fillId="48" borderId="77" applyNumberFormat="0" applyAlignment="0" applyProtection="0">
      <alignment vertical="center"/>
    </xf>
    <xf numFmtId="0" fontId="597" fillId="48" borderId="77" applyNumberFormat="0" applyAlignment="0" applyProtection="0">
      <alignment vertical="center"/>
    </xf>
    <xf numFmtId="0" fontId="597" fillId="48" borderId="77" applyNumberFormat="0" applyAlignment="0" applyProtection="0">
      <alignment vertical="center"/>
    </xf>
    <xf numFmtId="0" fontId="597" fillId="48" borderId="77" applyNumberFormat="0" applyAlignment="0" applyProtection="0">
      <alignment vertical="center"/>
    </xf>
    <xf numFmtId="0" fontId="597" fillId="48" borderId="77" applyNumberFormat="0" applyAlignment="0" applyProtection="0">
      <alignment vertical="center"/>
    </xf>
    <xf numFmtId="0" fontId="597" fillId="48" borderId="77" applyNumberFormat="0" applyAlignment="0" applyProtection="0">
      <alignment vertical="center"/>
    </xf>
    <xf numFmtId="0" fontId="597" fillId="48" borderId="77" applyNumberFormat="0" applyAlignment="0" applyProtection="0">
      <alignment vertical="center"/>
    </xf>
    <xf numFmtId="0" fontId="597" fillId="48" borderId="77" applyNumberFormat="0" applyAlignment="0" applyProtection="0">
      <alignment vertical="center"/>
    </xf>
    <xf numFmtId="0" fontId="597" fillId="48" borderId="77" applyNumberFormat="0" applyAlignment="0" applyProtection="0">
      <alignment vertical="center"/>
    </xf>
    <xf numFmtId="0" fontId="597" fillId="48" borderId="77" applyNumberFormat="0" applyAlignment="0" applyProtection="0">
      <alignment vertical="center"/>
    </xf>
    <xf numFmtId="0" fontId="597" fillId="48" borderId="77" applyNumberFormat="0" applyAlignment="0" applyProtection="0">
      <alignment vertical="center"/>
    </xf>
    <xf numFmtId="0" fontId="597" fillId="48" borderId="77" applyNumberFormat="0" applyAlignment="0" applyProtection="0">
      <alignment vertical="center"/>
    </xf>
    <xf numFmtId="0" fontId="597" fillId="48" borderId="77" applyNumberFormat="0" applyAlignment="0" applyProtection="0">
      <alignment vertical="center"/>
    </xf>
    <xf numFmtId="0" fontId="597" fillId="48" borderId="77" applyNumberFormat="0" applyAlignment="0" applyProtection="0">
      <alignment vertical="center"/>
    </xf>
    <xf numFmtId="0" fontId="597" fillId="48" borderId="77" applyNumberFormat="0" applyAlignment="0" applyProtection="0">
      <alignment vertical="center"/>
    </xf>
    <xf numFmtId="0" fontId="597" fillId="48" borderId="77" applyNumberFormat="0" applyAlignment="0" applyProtection="0">
      <alignment vertical="center"/>
    </xf>
    <xf numFmtId="0" fontId="597" fillId="48" borderId="77" applyNumberFormat="0" applyAlignment="0" applyProtection="0">
      <alignment vertical="center"/>
    </xf>
    <xf numFmtId="0" fontId="597" fillId="48" borderId="77" applyNumberFormat="0" applyAlignment="0" applyProtection="0">
      <alignment vertical="center"/>
    </xf>
    <xf numFmtId="0" fontId="597" fillId="48" borderId="77" applyNumberFormat="0" applyAlignment="0" applyProtection="0">
      <alignment vertical="center"/>
    </xf>
    <xf numFmtId="0" fontId="597" fillId="48" borderId="77" applyNumberFormat="0" applyAlignment="0" applyProtection="0">
      <alignment vertical="center"/>
    </xf>
    <xf numFmtId="0" fontId="597" fillId="48" borderId="77" applyNumberFormat="0" applyAlignment="0" applyProtection="0">
      <alignment vertical="center"/>
    </xf>
    <xf numFmtId="0" fontId="597" fillId="48" borderId="77" applyNumberFormat="0" applyAlignment="0" applyProtection="0">
      <alignment vertical="center"/>
    </xf>
    <xf numFmtId="0" fontId="597" fillId="48" borderId="77" applyNumberFormat="0" applyAlignment="0" applyProtection="0">
      <alignment vertical="center"/>
    </xf>
    <xf numFmtId="0" fontId="597" fillId="48" borderId="77" applyNumberFormat="0" applyAlignment="0" applyProtection="0">
      <alignment vertical="center"/>
    </xf>
    <xf numFmtId="0" fontId="597" fillId="48" borderId="77" applyNumberFormat="0" applyAlignment="0" applyProtection="0">
      <alignment vertical="center"/>
    </xf>
    <xf numFmtId="0" fontId="597" fillId="48" borderId="77" applyNumberFormat="0" applyAlignment="0" applyProtection="0">
      <alignment vertical="center"/>
    </xf>
    <xf numFmtId="0" fontId="597" fillId="48" borderId="77" applyNumberFormat="0" applyAlignment="0" applyProtection="0">
      <alignment vertical="center"/>
    </xf>
    <xf numFmtId="0" fontId="597" fillId="48" borderId="77" applyNumberFormat="0" applyAlignment="0" applyProtection="0">
      <alignment vertical="center"/>
    </xf>
    <xf numFmtId="0" fontId="597" fillId="48" borderId="77" applyNumberFormat="0" applyAlignment="0" applyProtection="0">
      <alignment vertical="center"/>
    </xf>
    <xf numFmtId="0" fontId="597" fillId="48" borderId="77" applyNumberFormat="0" applyAlignment="0" applyProtection="0">
      <alignment vertical="center"/>
    </xf>
    <xf numFmtId="0" fontId="597" fillId="48" borderId="77" applyNumberFormat="0" applyAlignment="0" applyProtection="0">
      <alignment vertical="center"/>
    </xf>
    <xf numFmtId="0" fontId="597" fillId="48" borderId="77" applyNumberFormat="0" applyAlignment="0" applyProtection="0">
      <alignment vertical="center"/>
    </xf>
    <xf numFmtId="0" fontId="597" fillId="48" borderId="77" applyNumberFormat="0" applyAlignment="0" applyProtection="0">
      <alignment vertical="center"/>
    </xf>
    <xf numFmtId="0" fontId="597" fillId="48" borderId="77" applyNumberFormat="0" applyAlignment="0" applyProtection="0">
      <alignment vertical="center"/>
    </xf>
    <xf numFmtId="0" fontId="597" fillId="48" borderId="77" applyNumberFormat="0" applyAlignment="0" applyProtection="0">
      <alignment vertical="center"/>
    </xf>
    <xf numFmtId="0" fontId="597" fillId="48" borderId="77" applyNumberFormat="0" applyAlignment="0" applyProtection="0">
      <alignment vertical="center"/>
    </xf>
    <xf numFmtId="0" fontId="597" fillId="48" borderId="77" applyNumberFormat="0" applyAlignment="0" applyProtection="0">
      <alignment vertical="center"/>
    </xf>
    <xf numFmtId="0" fontId="597" fillId="48" borderId="77" applyNumberFormat="0" applyAlignment="0" applyProtection="0">
      <alignment vertical="center"/>
    </xf>
    <xf numFmtId="0" fontId="597" fillId="48" borderId="77" applyNumberFormat="0" applyAlignment="0" applyProtection="0">
      <alignment vertical="center"/>
    </xf>
    <xf numFmtId="0" fontId="597" fillId="48" borderId="77" applyNumberFormat="0" applyAlignment="0" applyProtection="0">
      <alignment vertical="center"/>
    </xf>
    <xf numFmtId="0" fontId="597" fillId="48" borderId="77" applyNumberFormat="0" applyAlignment="0" applyProtection="0">
      <alignment vertical="center"/>
    </xf>
    <xf numFmtId="0" fontId="597" fillId="48" borderId="77" applyNumberFormat="0" applyAlignment="0" applyProtection="0">
      <alignment vertical="center"/>
    </xf>
    <xf numFmtId="0" fontId="597" fillId="48" borderId="77" applyNumberFormat="0" applyAlignment="0" applyProtection="0">
      <alignment vertical="center"/>
    </xf>
    <xf numFmtId="0" fontId="597" fillId="48" borderId="77" applyNumberFormat="0" applyAlignment="0" applyProtection="0">
      <alignment vertical="center"/>
    </xf>
    <xf numFmtId="0" fontId="597" fillId="48" borderId="77" applyNumberFormat="0" applyAlignment="0" applyProtection="0">
      <alignment vertical="center"/>
    </xf>
    <xf numFmtId="0" fontId="597" fillId="48" borderId="77" applyNumberFormat="0" applyAlignment="0" applyProtection="0">
      <alignment vertical="center"/>
    </xf>
    <xf numFmtId="0" fontId="597" fillId="48" borderId="77" applyNumberFormat="0" applyAlignment="0" applyProtection="0">
      <alignment vertical="center"/>
    </xf>
    <xf numFmtId="0" fontId="597" fillId="48" borderId="77" applyNumberFormat="0" applyAlignment="0" applyProtection="0">
      <alignment vertical="center"/>
    </xf>
    <xf numFmtId="0" fontId="597" fillId="48" borderId="77" applyNumberFormat="0" applyAlignment="0" applyProtection="0">
      <alignment vertical="center"/>
    </xf>
    <xf numFmtId="0" fontId="597" fillId="48" borderId="77" applyNumberFormat="0" applyAlignment="0" applyProtection="0">
      <alignment vertical="center"/>
    </xf>
    <xf numFmtId="0" fontId="597" fillId="48" borderId="77" applyNumberFormat="0" applyAlignment="0" applyProtection="0">
      <alignment vertical="center"/>
    </xf>
    <xf numFmtId="0" fontId="597" fillId="48" borderId="77" applyNumberFormat="0" applyAlignment="0" applyProtection="0">
      <alignment vertical="center"/>
    </xf>
    <xf numFmtId="0" fontId="597" fillId="48" borderId="77" applyNumberFormat="0" applyAlignment="0" applyProtection="0">
      <alignment vertical="center"/>
    </xf>
    <xf numFmtId="0" fontId="597" fillId="48" borderId="77" applyNumberFormat="0" applyAlignment="0" applyProtection="0">
      <alignment vertical="center"/>
    </xf>
    <xf numFmtId="0" fontId="597" fillId="48" borderId="77" applyNumberFormat="0" applyAlignment="0" applyProtection="0">
      <alignment vertical="center"/>
    </xf>
    <xf numFmtId="0" fontId="597" fillId="48" borderId="77" applyNumberFormat="0" applyAlignment="0" applyProtection="0">
      <alignment vertical="center"/>
    </xf>
    <xf numFmtId="0" fontId="597" fillId="48" borderId="77" applyNumberFormat="0" applyAlignment="0" applyProtection="0">
      <alignment vertical="center"/>
    </xf>
    <xf numFmtId="0" fontId="597" fillId="48" borderId="77" applyNumberFormat="0" applyAlignment="0" applyProtection="0">
      <alignment vertical="center"/>
    </xf>
    <xf numFmtId="0" fontId="597" fillId="48" borderId="77" applyNumberFormat="0" applyAlignment="0" applyProtection="0">
      <alignment vertical="center"/>
    </xf>
    <xf numFmtId="0" fontId="597" fillId="48" borderId="77" applyNumberFormat="0" applyAlignment="0" applyProtection="0">
      <alignment vertical="center"/>
    </xf>
    <xf numFmtId="0" fontId="597" fillId="48" borderId="77" applyNumberFormat="0" applyAlignment="0" applyProtection="0">
      <alignment vertical="center"/>
    </xf>
    <xf numFmtId="0" fontId="597" fillId="48" borderId="77" applyNumberFormat="0" applyAlignment="0" applyProtection="0">
      <alignment vertical="center"/>
    </xf>
    <xf numFmtId="0" fontId="597" fillId="48" borderId="77" applyNumberFormat="0" applyAlignment="0" applyProtection="0">
      <alignment vertical="center"/>
    </xf>
    <xf numFmtId="0" fontId="597" fillId="48" borderId="77" applyNumberFormat="0" applyAlignment="0" applyProtection="0">
      <alignment vertical="center"/>
    </xf>
    <xf numFmtId="0" fontId="597" fillId="48" borderId="77" applyNumberFormat="0" applyAlignment="0" applyProtection="0">
      <alignment vertical="center"/>
    </xf>
    <xf numFmtId="0" fontId="597" fillId="48" borderId="77" applyNumberFormat="0" applyAlignment="0" applyProtection="0">
      <alignment vertical="center"/>
    </xf>
    <xf numFmtId="0" fontId="597" fillId="48" borderId="77" applyNumberFormat="0" applyAlignment="0" applyProtection="0">
      <alignment vertical="center"/>
    </xf>
    <xf numFmtId="0" fontId="597" fillId="48" borderId="77" applyNumberFormat="0" applyAlignment="0" applyProtection="0">
      <alignment vertical="center"/>
    </xf>
    <xf numFmtId="0" fontId="597" fillId="48" borderId="77" applyNumberFormat="0" applyAlignment="0" applyProtection="0">
      <alignment vertical="center"/>
    </xf>
    <xf numFmtId="0" fontId="597" fillId="48" borderId="77" applyNumberFormat="0" applyAlignment="0" applyProtection="0">
      <alignment vertical="center"/>
    </xf>
    <xf numFmtId="0" fontId="597" fillId="48" borderId="77" applyNumberFormat="0" applyAlignment="0" applyProtection="0">
      <alignment vertical="center"/>
    </xf>
    <xf numFmtId="0" fontId="597" fillId="48" borderId="77" applyNumberFormat="0" applyAlignment="0" applyProtection="0">
      <alignment vertical="center"/>
    </xf>
    <xf numFmtId="0" fontId="597" fillId="48" borderId="77" applyNumberFormat="0" applyAlignment="0" applyProtection="0">
      <alignment vertical="center"/>
    </xf>
    <xf numFmtId="0" fontId="597" fillId="48" borderId="77" applyNumberFormat="0" applyAlignment="0" applyProtection="0">
      <alignment vertical="center"/>
    </xf>
    <xf numFmtId="0" fontId="597" fillId="48" borderId="77" applyNumberFormat="0" applyAlignment="0" applyProtection="0">
      <alignment vertical="center"/>
    </xf>
    <xf numFmtId="0" fontId="597" fillId="48" borderId="77" applyNumberFormat="0" applyAlignment="0" applyProtection="0">
      <alignment vertical="center"/>
    </xf>
    <xf numFmtId="0" fontId="597" fillId="48" borderId="77" applyNumberFormat="0" applyAlignment="0" applyProtection="0">
      <alignment vertical="center"/>
    </xf>
    <xf numFmtId="0" fontId="597" fillId="48" borderId="77" applyNumberFormat="0" applyAlignment="0" applyProtection="0">
      <alignment vertical="center"/>
    </xf>
    <xf numFmtId="0" fontId="597" fillId="48" borderId="77" applyNumberFormat="0" applyAlignment="0" applyProtection="0">
      <alignment vertical="center"/>
    </xf>
    <xf numFmtId="0" fontId="597" fillId="48" borderId="77" applyNumberFormat="0" applyAlignment="0" applyProtection="0">
      <alignment vertical="center"/>
    </xf>
    <xf numFmtId="0" fontId="597" fillId="48" borderId="77" applyNumberFormat="0" applyAlignment="0" applyProtection="0">
      <alignment vertical="center"/>
    </xf>
    <xf numFmtId="0" fontId="597" fillId="48" borderId="77" applyNumberFormat="0" applyAlignment="0" applyProtection="0">
      <alignment vertical="center"/>
    </xf>
    <xf numFmtId="0" fontId="338" fillId="48" borderId="77" applyNumberFormat="0" applyAlignment="0" applyProtection="0"/>
    <xf numFmtId="0" fontId="598" fillId="0" borderId="2" applyNumberFormat="0" applyBorder="0" applyAlignment="0">
      <alignment horizontal="center"/>
    </xf>
    <xf numFmtId="0" fontId="598" fillId="0" borderId="2" applyNumberFormat="0" applyBorder="0" applyAlignment="0">
      <alignment horizontal="center"/>
    </xf>
    <xf numFmtId="0" fontId="598" fillId="0" borderId="2" applyNumberFormat="0" applyBorder="0" applyAlignment="0">
      <alignment horizontal="center"/>
    </xf>
    <xf numFmtId="0" fontId="598" fillId="0" borderId="2" applyNumberFormat="0" applyBorder="0" applyAlignment="0">
      <alignment horizontal="center"/>
    </xf>
    <xf numFmtId="0" fontId="598" fillId="0" borderId="2" applyNumberFormat="0" applyBorder="0" applyAlignment="0">
      <alignment horizontal="center"/>
    </xf>
    <xf numFmtId="0" fontId="598" fillId="0" borderId="2" applyNumberFormat="0" applyBorder="0" applyAlignment="0">
      <alignment horizontal="center"/>
    </xf>
    <xf numFmtId="0" fontId="598" fillId="0" borderId="2" applyNumberFormat="0" applyBorder="0" applyAlignment="0">
      <alignment horizontal="center"/>
    </xf>
    <xf numFmtId="0" fontId="598" fillId="0" borderId="2" applyNumberFormat="0" applyBorder="0" applyAlignment="0">
      <alignment horizontal="center"/>
    </xf>
    <xf numFmtId="0" fontId="598" fillId="0" borderId="2" applyNumberFormat="0" applyBorder="0" applyAlignment="0">
      <alignment horizontal="center"/>
    </xf>
    <xf numFmtId="0" fontId="598" fillId="0" borderId="2" applyNumberFormat="0" applyBorder="0" applyAlignment="0">
      <alignment horizontal="center"/>
    </xf>
    <xf numFmtId="0" fontId="598" fillId="0" borderId="2" applyNumberFormat="0" applyBorder="0" applyAlignment="0">
      <alignment horizontal="center"/>
    </xf>
    <xf numFmtId="0" fontId="598" fillId="0" borderId="2" applyNumberFormat="0" applyBorder="0" applyAlignment="0">
      <alignment horizontal="center"/>
    </xf>
    <xf numFmtId="0" fontId="598" fillId="0" borderId="2" applyNumberFormat="0" applyBorder="0" applyAlignment="0">
      <alignment horizontal="center"/>
    </xf>
    <xf numFmtId="0" fontId="598" fillId="0" borderId="2" applyNumberFormat="0" applyBorder="0" applyAlignment="0">
      <alignment horizontal="center"/>
    </xf>
    <xf numFmtId="0" fontId="598" fillId="0" borderId="2" applyNumberFormat="0" applyBorder="0" applyAlignment="0">
      <alignment horizontal="center"/>
    </xf>
    <xf numFmtId="0" fontId="598" fillId="0" borderId="2" applyNumberFormat="0" applyBorder="0" applyAlignment="0">
      <alignment horizontal="center"/>
    </xf>
    <xf numFmtId="0" fontId="598" fillId="0" borderId="2" applyNumberFormat="0" applyBorder="0" applyAlignment="0">
      <alignment horizontal="center"/>
    </xf>
    <xf numFmtId="0" fontId="598" fillId="0" borderId="2" applyNumberFormat="0" applyBorder="0" applyAlignment="0">
      <alignment horizontal="center"/>
    </xf>
    <xf numFmtId="0" fontId="598" fillId="0" borderId="2" applyNumberFormat="0" applyBorder="0" applyAlignment="0">
      <alignment horizontal="center"/>
    </xf>
    <xf numFmtId="0" fontId="598" fillId="0" borderId="2" applyNumberFormat="0" applyBorder="0" applyAlignment="0">
      <alignment horizontal="center"/>
    </xf>
    <xf numFmtId="0" fontId="598" fillId="0" borderId="2" applyNumberFormat="0" applyBorder="0" applyAlignment="0">
      <alignment horizontal="center"/>
    </xf>
    <xf numFmtId="0" fontId="598" fillId="0" borderId="2" applyNumberFormat="0" applyBorder="0" applyAlignment="0">
      <alignment horizontal="center"/>
    </xf>
    <xf numFmtId="0" fontId="598" fillId="0" borderId="2" applyNumberFormat="0" applyBorder="0" applyAlignment="0">
      <alignment horizontal="center"/>
    </xf>
    <xf numFmtId="0" fontId="598" fillId="0" borderId="2" applyNumberFormat="0" applyBorder="0" applyAlignment="0">
      <alignment horizontal="center"/>
    </xf>
    <xf numFmtId="0" fontId="598" fillId="0" borderId="2" applyNumberFormat="0" applyBorder="0" applyAlignment="0">
      <alignment horizontal="center"/>
    </xf>
    <xf numFmtId="0" fontId="598" fillId="0" borderId="2" applyNumberFormat="0" applyBorder="0" applyAlignment="0">
      <alignment horizontal="center"/>
    </xf>
    <xf numFmtId="0" fontId="598" fillId="0" borderId="2" applyNumberFormat="0" applyBorder="0" applyAlignment="0">
      <alignment horizontal="center"/>
    </xf>
    <xf numFmtId="0" fontId="598" fillId="0" borderId="2" applyNumberFormat="0" applyBorder="0" applyAlignment="0">
      <alignment horizontal="center"/>
    </xf>
    <xf numFmtId="0" fontId="598" fillId="0" borderId="2" applyNumberFormat="0" applyBorder="0" applyAlignment="0">
      <alignment horizontal="center"/>
    </xf>
    <xf numFmtId="0" fontId="598" fillId="0" borderId="2" applyNumberFormat="0" applyBorder="0" applyAlignment="0">
      <alignment horizontal="center"/>
    </xf>
    <xf numFmtId="0" fontId="598" fillId="0" borderId="2" applyNumberFormat="0" applyBorder="0" applyAlignment="0">
      <alignment horizontal="center"/>
    </xf>
    <xf numFmtId="0" fontId="598" fillId="0" borderId="2" applyNumberFormat="0" applyBorder="0" applyAlignment="0">
      <alignment horizontal="center"/>
    </xf>
    <xf numFmtId="0" fontId="598" fillId="0" borderId="2" applyNumberFormat="0" applyBorder="0" applyAlignment="0">
      <alignment horizontal="center"/>
    </xf>
    <xf numFmtId="0" fontId="598" fillId="0" borderId="2" applyNumberFormat="0" applyBorder="0" applyAlignment="0">
      <alignment horizontal="center"/>
    </xf>
    <xf numFmtId="0" fontId="598" fillId="0" borderId="2" applyNumberFormat="0" applyBorder="0" applyAlignment="0">
      <alignment horizontal="center"/>
    </xf>
    <xf numFmtId="0" fontId="598" fillId="0" borderId="2" applyNumberFormat="0" applyBorder="0" applyAlignment="0">
      <alignment horizontal="center"/>
    </xf>
    <xf numFmtId="0" fontId="598" fillId="0" borderId="2" applyNumberFormat="0" applyBorder="0" applyAlignment="0">
      <alignment horizontal="center"/>
    </xf>
    <xf numFmtId="0" fontId="598" fillId="0" borderId="2" applyNumberFormat="0" applyBorder="0" applyAlignment="0">
      <alignment horizontal="center"/>
    </xf>
    <xf numFmtId="0" fontId="598" fillId="0" borderId="2" applyNumberFormat="0" applyBorder="0" applyAlignment="0">
      <alignment horizontal="center"/>
    </xf>
    <xf numFmtId="0" fontId="598" fillId="0" borderId="2" applyNumberFormat="0" applyBorder="0" applyAlignment="0">
      <alignment horizontal="center"/>
    </xf>
    <xf numFmtId="0" fontId="598" fillId="0" borderId="2" applyNumberFormat="0" applyBorder="0" applyAlignment="0">
      <alignment horizontal="center"/>
    </xf>
    <xf numFmtId="0" fontId="598" fillId="0" borderId="2" applyNumberFormat="0" applyBorder="0" applyAlignment="0">
      <alignment horizontal="center"/>
    </xf>
    <xf numFmtId="0" fontId="598" fillId="0" borderId="2" applyNumberFormat="0" applyBorder="0" applyAlignment="0">
      <alignment horizontal="center"/>
    </xf>
    <xf numFmtId="0" fontId="598" fillId="0" borderId="2" applyNumberFormat="0" applyBorder="0" applyAlignment="0">
      <alignment horizontal="center"/>
    </xf>
    <xf numFmtId="0" fontId="598" fillId="0" borderId="2" applyNumberFormat="0" applyBorder="0" applyAlignment="0">
      <alignment horizontal="center"/>
    </xf>
    <xf numFmtId="0" fontId="598" fillId="0" borderId="2" applyNumberFormat="0" applyBorder="0" applyAlignment="0">
      <alignment horizontal="center"/>
    </xf>
    <xf numFmtId="0" fontId="598" fillId="0" borderId="2" applyNumberFormat="0" applyBorder="0" applyAlignment="0">
      <alignment horizontal="center"/>
    </xf>
    <xf numFmtId="0" fontId="598" fillId="0" borderId="2" applyNumberFormat="0" applyBorder="0" applyAlignment="0">
      <alignment horizontal="center"/>
    </xf>
    <xf numFmtId="0" fontId="598" fillId="0" borderId="2" applyNumberFormat="0" applyBorder="0" applyAlignment="0">
      <alignment horizontal="center"/>
    </xf>
    <xf numFmtId="0" fontId="598" fillId="0" borderId="2" applyNumberFormat="0" applyBorder="0" applyAlignment="0">
      <alignment horizontal="center"/>
    </xf>
    <xf numFmtId="0" fontId="598" fillId="0" borderId="2" applyNumberFormat="0" applyBorder="0" applyAlignment="0">
      <alignment horizontal="center"/>
    </xf>
    <xf numFmtId="0" fontId="598" fillId="0" borderId="2" applyNumberFormat="0" applyBorder="0" applyAlignment="0">
      <alignment horizontal="center"/>
    </xf>
    <xf numFmtId="0" fontId="598" fillId="0" borderId="2" applyNumberFormat="0" applyBorder="0" applyAlignment="0">
      <alignment horizontal="center"/>
    </xf>
    <xf numFmtId="0" fontId="598" fillId="0" borderId="2" applyNumberFormat="0" applyBorder="0" applyAlignment="0">
      <alignment horizontal="center"/>
    </xf>
    <xf numFmtId="0" fontId="598" fillId="0" borderId="2" applyNumberFormat="0" applyBorder="0" applyAlignment="0">
      <alignment horizontal="center"/>
    </xf>
    <xf numFmtId="0" fontId="598" fillId="0" borderId="2" applyNumberFormat="0" applyBorder="0" applyAlignment="0">
      <alignment horizontal="center"/>
    </xf>
    <xf numFmtId="0" fontId="598" fillId="0" borderId="2" applyNumberFormat="0" applyBorder="0" applyAlignment="0">
      <alignment horizontal="center"/>
    </xf>
    <xf numFmtId="0" fontId="598" fillId="0" borderId="2" applyNumberFormat="0" applyBorder="0" applyAlignment="0">
      <alignment horizontal="center"/>
    </xf>
    <xf numFmtId="0" fontId="598" fillId="0" borderId="2" applyNumberFormat="0" applyBorder="0" applyAlignment="0">
      <alignment horizontal="center"/>
    </xf>
    <xf numFmtId="0" fontId="598" fillId="0" borderId="2" applyNumberFormat="0" applyBorder="0" applyAlignment="0">
      <alignment horizontal="center"/>
    </xf>
    <xf numFmtId="0" fontId="598" fillId="0" borderId="2" applyNumberFormat="0" applyBorder="0" applyAlignment="0">
      <alignment horizontal="center"/>
    </xf>
    <xf numFmtId="0" fontId="598" fillId="0" borderId="2" applyNumberFormat="0" applyBorder="0" applyAlignment="0">
      <alignment horizontal="center"/>
    </xf>
    <xf numFmtId="0" fontId="598" fillId="0" borderId="2" applyNumberFormat="0" applyBorder="0" applyAlignment="0">
      <alignment horizontal="center"/>
    </xf>
    <xf numFmtId="0" fontId="598" fillId="0" borderId="2" applyNumberFormat="0" applyBorder="0" applyAlignment="0">
      <alignment horizontal="center"/>
    </xf>
    <xf numFmtId="0" fontId="598" fillId="0" borderId="2" applyNumberFormat="0" applyBorder="0" applyAlignment="0">
      <alignment horizontal="center"/>
    </xf>
    <xf numFmtId="0" fontId="598" fillId="0" borderId="2" applyNumberFormat="0" applyBorder="0" applyAlignment="0">
      <alignment horizontal="center"/>
    </xf>
    <xf numFmtId="0" fontId="598" fillId="0" borderId="2" applyNumberFormat="0" applyBorder="0" applyAlignment="0">
      <alignment horizontal="center"/>
    </xf>
    <xf numFmtId="0" fontId="598" fillId="0" borderId="2" applyNumberFormat="0" applyBorder="0" applyAlignment="0">
      <alignment horizontal="center"/>
    </xf>
    <xf numFmtId="0" fontId="598" fillId="0" borderId="2" applyNumberFormat="0" applyBorder="0" applyAlignment="0">
      <alignment horizontal="center"/>
    </xf>
    <xf numFmtId="0" fontId="598" fillId="0" borderId="2" applyNumberFormat="0" applyBorder="0" applyAlignment="0">
      <alignment horizontal="center"/>
    </xf>
    <xf numFmtId="0" fontId="598" fillId="0" borderId="2" applyNumberFormat="0" applyBorder="0" applyAlignment="0">
      <alignment horizontal="center"/>
    </xf>
    <xf numFmtId="0" fontId="598" fillId="0" borderId="2" applyNumberFormat="0" applyBorder="0" applyAlignment="0">
      <alignment horizontal="center"/>
    </xf>
    <xf numFmtId="0" fontId="598" fillId="0" borderId="2" applyNumberFormat="0" applyBorder="0" applyAlignment="0">
      <alignment horizontal="center"/>
    </xf>
    <xf numFmtId="0" fontId="598" fillId="0" borderId="2" applyNumberFormat="0" applyBorder="0" applyAlignment="0">
      <alignment horizontal="center"/>
    </xf>
    <xf numFmtId="0" fontId="598" fillId="0" borderId="2" applyNumberFormat="0" applyBorder="0" applyAlignment="0">
      <alignment horizontal="center"/>
    </xf>
    <xf numFmtId="0" fontId="598" fillId="0" borderId="2" applyNumberFormat="0" applyBorder="0" applyAlignment="0">
      <alignment horizontal="center"/>
    </xf>
    <xf numFmtId="0" fontId="598" fillId="0" borderId="2" applyNumberFormat="0" applyBorder="0" applyAlignment="0">
      <alignment horizontal="center"/>
    </xf>
    <xf numFmtId="0" fontId="598" fillId="0" borderId="2" applyNumberFormat="0" applyBorder="0" applyAlignment="0">
      <alignment horizontal="center"/>
    </xf>
    <xf numFmtId="0" fontId="598" fillId="0" borderId="2" applyNumberFormat="0" applyBorder="0" applyAlignment="0">
      <alignment horizontal="center"/>
    </xf>
    <xf numFmtId="0" fontId="598" fillId="0" borderId="2" applyNumberFormat="0" applyBorder="0" applyAlignment="0">
      <alignment horizontal="center"/>
    </xf>
    <xf numFmtId="0" fontId="598" fillId="0" borderId="2" applyNumberFormat="0" applyBorder="0" applyAlignment="0">
      <alignment horizontal="center"/>
    </xf>
    <xf numFmtId="0" fontId="598" fillId="0" borderId="2" applyNumberFormat="0" applyBorder="0" applyAlignment="0">
      <alignment horizontal="center"/>
    </xf>
    <xf numFmtId="0" fontId="598" fillId="0" borderId="2" applyNumberFormat="0" applyBorder="0" applyAlignment="0">
      <alignment horizontal="center"/>
    </xf>
    <xf numFmtId="0" fontId="598" fillId="0" borderId="2" applyNumberFormat="0" applyBorder="0" applyAlignment="0">
      <alignment horizontal="center"/>
    </xf>
    <xf numFmtId="0" fontId="598" fillId="0" borderId="2" applyNumberFormat="0" applyBorder="0" applyAlignment="0">
      <alignment horizontal="center"/>
    </xf>
    <xf numFmtId="0" fontId="598" fillId="0" borderId="2" applyNumberFormat="0" applyBorder="0" applyAlignment="0">
      <alignment horizontal="center"/>
    </xf>
    <xf numFmtId="0" fontId="598" fillId="0" borderId="2" applyNumberFormat="0" applyBorder="0" applyAlignment="0">
      <alignment horizontal="center"/>
    </xf>
    <xf numFmtId="0" fontId="598" fillId="0" borderId="2" applyNumberFormat="0" applyBorder="0" applyAlignment="0">
      <alignment horizontal="center"/>
    </xf>
    <xf numFmtId="0" fontId="598" fillId="0" borderId="2" applyNumberFormat="0" applyBorder="0" applyAlignment="0">
      <alignment horizontal="center"/>
    </xf>
    <xf numFmtId="0" fontId="598" fillId="0" borderId="2" applyNumberFormat="0" applyBorder="0" applyAlignment="0">
      <alignment horizontal="center"/>
    </xf>
    <xf numFmtId="0" fontId="598" fillId="0" borderId="2" applyNumberFormat="0" applyBorder="0" applyAlignment="0">
      <alignment horizontal="center"/>
    </xf>
    <xf numFmtId="0" fontId="598" fillId="0" borderId="2" applyNumberFormat="0" applyBorder="0" applyAlignment="0">
      <alignment horizontal="center"/>
    </xf>
    <xf numFmtId="0" fontId="598" fillId="0" borderId="2" applyNumberFormat="0" applyBorder="0" applyAlignment="0">
      <alignment horizontal="center"/>
    </xf>
    <xf numFmtId="0" fontId="598" fillId="0" borderId="2" applyNumberFormat="0" applyBorder="0" applyAlignment="0">
      <alignment horizontal="center"/>
    </xf>
    <xf numFmtId="9" fontId="170" fillId="0" borderId="0" applyFont="0" applyFill="0" applyBorder="0" applyAlignment="0" applyProtection="0">
      <alignment vertical="center"/>
    </xf>
    <xf numFmtId="9" fontId="170" fillId="0" borderId="0" applyFont="0" applyFill="0" applyBorder="0" applyAlignment="0" applyProtection="0">
      <alignment vertical="center"/>
    </xf>
    <xf numFmtId="9" fontId="170" fillId="0" borderId="0" applyFont="0" applyFill="0" applyBorder="0" applyAlignment="0" applyProtection="0">
      <alignment vertical="center"/>
    </xf>
    <xf numFmtId="9" fontId="170" fillId="0" borderId="0" applyFont="0" applyFill="0" applyBorder="0" applyAlignment="0" applyProtection="0">
      <alignment vertical="center"/>
    </xf>
    <xf numFmtId="9" fontId="170" fillId="0" borderId="0" applyFont="0" applyFill="0" applyBorder="0" applyAlignment="0" applyProtection="0">
      <alignment vertical="center"/>
    </xf>
    <xf numFmtId="9" fontId="169" fillId="0" borderId="0" applyFont="0" applyFill="0" applyBorder="0" applyAlignment="0" applyProtection="0">
      <alignment vertical="center"/>
    </xf>
    <xf numFmtId="9" fontId="170" fillId="0" borderId="0" applyFont="0" applyFill="0" applyBorder="0" applyAlignment="0" applyProtection="0">
      <alignment vertical="center"/>
    </xf>
    <xf numFmtId="9" fontId="170" fillId="0" borderId="0" applyFont="0" applyFill="0" applyBorder="0" applyAlignment="0" applyProtection="0">
      <alignment vertical="center"/>
    </xf>
    <xf numFmtId="9" fontId="169" fillId="0" borderId="0" applyFont="0" applyFill="0" applyBorder="0" applyAlignment="0" applyProtection="0">
      <alignment vertical="center"/>
    </xf>
    <xf numFmtId="9" fontId="170" fillId="0" borderId="0" applyFont="0" applyFill="0" applyBorder="0" applyAlignment="0" applyProtection="0">
      <alignment vertical="center"/>
    </xf>
    <xf numFmtId="9" fontId="241" fillId="0" borderId="0" applyFont="0" applyFill="0" applyBorder="0" applyAlignment="0" applyProtection="0">
      <alignment vertical="center"/>
    </xf>
    <xf numFmtId="9" fontId="242" fillId="0" borderId="0" applyFont="0" applyFill="0" applyBorder="0" applyAlignment="0" applyProtection="0">
      <alignment vertical="center"/>
    </xf>
    <xf numFmtId="9" fontId="241" fillId="0" borderId="0" applyFont="0" applyFill="0" applyBorder="0" applyAlignment="0" applyProtection="0">
      <alignment vertical="center"/>
    </xf>
    <xf numFmtId="10" fontId="555" fillId="111" borderId="0" applyFill="0"/>
    <xf numFmtId="0" fontId="128" fillId="0" borderId="0"/>
    <xf numFmtId="0" fontId="2" fillId="0" borderId="0"/>
    <xf numFmtId="0" fontId="57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76" fillId="0" borderId="0">
      <alignment vertical="center"/>
    </xf>
    <xf numFmtId="0" fontId="2" fillId="0" borderId="0"/>
    <xf numFmtId="0" fontId="4" fillId="0" borderId="0">
      <alignment vertical="center"/>
    </xf>
    <xf numFmtId="0" fontId="599" fillId="0" borderId="0"/>
    <xf numFmtId="0" fontId="2" fillId="0" borderId="0"/>
    <xf numFmtId="0" fontId="4" fillId="0" borderId="0">
      <alignment vertical="center"/>
    </xf>
    <xf numFmtId="0" fontId="600" fillId="0" borderId="0">
      <alignment vertical="center"/>
    </xf>
    <xf numFmtId="0" fontId="2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99" fillId="0" borderId="0"/>
    <xf numFmtId="0" fontId="4" fillId="0" borderId="0">
      <alignment vertical="center"/>
    </xf>
    <xf numFmtId="0" fontId="54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" fontId="601" fillId="0" borderId="0" applyBorder="0" applyProtection="0">
      <alignment horizontal="center"/>
    </xf>
    <xf numFmtId="0" fontId="54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39" fillId="0" borderId="0"/>
    <xf numFmtId="0" fontId="24" fillId="0" borderId="0">
      <alignment vertical="center"/>
    </xf>
    <xf numFmtId="0" fontId="60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02" fillId="0" borderId="0">
      <alignment vertical="center"/>
    </xf>
    <xf numFmtId="0" fontId="2" fillId="0" borderId="0">
      <alignment vertical="center"/>
    </xf>
    <xf numFmtId="0" fontId="17" fillId="0" borderId="0"/>
    <xf numFmtId="0" fontId="603" fillId="0" borderId="0">
      <alignment vertical="center"/>
    </xf>
    <xf numFmtId="4" fontId="601" fillId="0" borderId="0" applyBorder="0" applyProtection="0">
      <alignment horizontal="center"/>
    </xf>
    <xf numFmtId="0" fontId="599" fillId="0" borderId="0"/>
    <xf numFmtId="0" fontId="8" fillId="0" borderId="0">
      <alignment vertical="center"/>
    </xf>
    <xf numFmtId="0" fontId="17" fillId="0" borderId="0"/>
    <xf numFmtId="221" fontId="24" fillId="0" borderId="0"/>
    <xf numFmtId="0" fontId="24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7" fillId="0" borderId="0"/>
    <xf numFmtId="0" fontId="1" fillId="0" borderId="0"/>
    <xf numFmtId="0" fontId="2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46" fillId="0" borderId="0"/>
    <xf numFmtId="0" fontId="2" fillId="0" borderId="0">
      <alignment vertical="center"/>
    </xf>
    <xf numFmtId="43" fontId="1" fillId="0" borderId="0" applyFont="0" applyFill="0" applyBorder="0" applyAlignment="0" applyProtection="0"/>
    <xf numFmtId="0" fontId="1" fillId="0" borderId="0"/>
    <xf numFmtId="0" fontId="24" fillId="0" borderId="0">
      <alignment vertical="center"/>
    </xf>
    <xf numFmtId="0" fontId="236" fillId="0" borderId="0"/>
    <xf numFmtId="0" fontId="240" fillId="0" borderId="0">
      <alignment vertical="center"/>
    </xf>
    <xf numFmtId="0" fontId="28" fillId="0" borderId="0">
      <alignment vertical="center"/>
    </xf>
    <xf numFmtId="0" fontId="2" fillId="0" borderId="0"/>
    <xf numFmtId="0" fontId="24" fillId="0" borderId="0">
      <alignment vertical="center"/>
    </xf>
    <xf numFmtId="0" fontId="28" fillId="0" borderId="0">
      <alignment vertical="center"/>
    </xf>
    <xf numFmtId="0" fontId="2" fillId="0" borderId="0"/>
    <xf numFmtId="0" fontId="2" fillId="0" borderId="0">
      <alignment vertical="center"/>
    </xf>
    <xf numFmtId="0" fontId="240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54" fillId="0" borderId="0"/>
    <xf numFmtId="0" fontId="600" fillId="0" borderId="0">
      <alignment vertical="center"/>
    </xf>
    <xf numFmtId="0" fontId="240" fillId="0" borderId="0"/>
    <xf numFmtId="0" fontId="24" fillId="0" borderId="0"/>
    <xf numFmtId="0" fontId="4" fillId="0" borderId="0">
      <alignment vertical="center"/>
    </xf>
    <xf numFmtId="0" fontId="4" fillId="0" borderId="0">
      <alignment vertical="center"/>
    </xf>
    <xf numFmtId="0" fontId="542" fillId="0" borderId="0">
      <alignment vertical="center"/>
    </xf>
    <xf numFmtId="0" fontId="2" fillId="0" borderId="0">
      <alignment vertical="center"/>
    </xf>
    <xf numFmtId="0" fontId="577" fillId="0" borderId="0">
      <alignment vertical="center"/>
    </xf>
    <xf numFmtId="0" fontId="17" fillId="0" borderId="0"/>
    <xf numFmtId="0" fontId="2" fillId="0" borderId="0"/>
    <xf numFmtId="0" fontId="24" fillId="0" borderId="0">
      <alignment vertical="center"/>
    </xf>
    <xf numFmtId="0" fontId="60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/>
    <xf numFmtId="0" fontId="604" fillId="0" borderId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2" fillId="0" borderId="0"/>
    <xf numFmtId="0" fontId="605" fillId="0" borderId="0"/>
    <xf numFmtId="0" fontId="605" fillId="0" borderId="0"/>
    <xf numFmtId="0" fontId="606" fillId="0" borderId="0"/>
    <xf numFmtId="0" fontId="607" fillId="0" borderId="0"/>
    <xf numFmtId="0" fontId="608" fillId="0" borderId="0"/>
    <xf numFmtId="0" fontId="608" fillId="0" borderId="0"/>
    <xf numFmtId="0" fontId="609" fillId="0" borderId="0"/>
    <xf numFmtId="0" fontId="610" fillId="0" borderId="0"/>
    <xf numFmtId="0" fontId="228" fillId="0" borderId="0" applyNumberFormat="0" applyFill="0" applyBorder="0" applyAlignment="0">
      <alignment vertical="center"/>
    </xf>
    <xf numFmtId="0" fontId="444" fillId="0" borderId="0"/>
    <xf numFmtId="0" fontId="219" fillId="0" borderId="0" applyNumberFormat="0" applyFill="0" applyBorder="0" applyAlignment="0" applyProtection="0">
      <alignment vertical="top"/>
      <protection locked="0"/>
    </xf>
    <xf numFmtId="0" fontId="611" fillId="0" borderId="0" applyNumberFormat="0" applyFill="0" applyBorder="0" applyAlignment="0" applyProtection="0">
      <alignment vertical="top"/>
      <protection locked="0"/>
    </xf>
    <xf numFmtId="0" fontId="219" fillId="0" borderId="0" applyNumberFormat="0" applyFill="0" applyBorder="0" applyAlignment="0" applyProtection="0">
      <alignment vertical="top"/>
      <protection locked="0"/>
    </xf>
    <xf numFmtId="0" fontId="71" fillId="77" borderId="0" applyNumberFormat="0" applyAlignment="0"/>
    <xf numFmtId="0" fontId="414" fillId="0" borderId="0" applyNumberFormat="0" applyFill="0" applyBorder="0" applyAlignment="0" applyProtection="0">
      <alignment vertical="top"/>
      <protection locked="0"/>
    </xf>
    <xf numFmtId="0" fontId="94" fillId="0" borderId="0" applyNumberFormat="0" applyFill="0" applyBorder="0" applyAlignment="0" applyProtection="0">
      <alignment vertical="top"/>
      <protection locked="0"/>
    </xf>
    <xf numFmtId="0" fontId="358" fillId="0" borderId="0" applyNumberFormat="0" applyFill="0" applyBorder="0" applyAlignment="0" applyProtection="0">
      <alignment vertical="top"/>
      <protection locked="0"/>
    </xf>
    <xf numFmtId="0" fontId="358" fillId="0" borderId="0" applyNumberFormat="0" applyFill="0" applyBorder="0" applyAlignment="0" applyProtection="0">
      <alignment vertical="top"/>
      <protection locked="0"/>
    </xf>
    <xf numFmtId="0" fontId="414" fillId="0" borderId="0" applyNumberFormat="0" applyFill="0" applyBorder="0" applyAlignment="0" applyProtection="0">
      <alignment vertical="top"/>
      <protection locked="0"/>
    </xf>
    <xf numFmtId="0" fontId="414" fillId="0" borderId="0" applyNumberFormat="0" applyFill="0" applyBorder="0" applyAlignment="0" applyProtection="0">
      <alignment vertical="top"/>
      <protection locked="0"/>
    </xf>
    <xf numFmtId="0" fontId="414" fillId="0" borderId="0" applyNumberFormat="0" applyFill="0" applyBorder="0" applyAlignment="0" applyProtection="0">
      <alignment vertical="top"/>
      <protection locked="0"/>
    </xf>
    <xf numFmtId="0" fontId="414" fillId="0" borderId="0" applyNumberFormat="0" applyFill="0" applyBorder="0" applyAlignment="0" applyProtection="0">
      <alignment vertical="top"/>
      <protection locked="0"/>
    </xf>
    <xf numFmtId="0" fontId="414" fillId="0" borderId="0" applyNumberFormat="0" applyFill="0" applyBorder="0" applyAlignment="0" applyProtection="0">
      <alignment vertical="top"/>
      <protection locked="0"/>
    </xf>
    <xf numFmtId="0" fontId="414" fillId="0" borderId="0" applyNumberFormat="0" applyFill="0" applyBorder="0" applyAlignment="0" applyProtection="0">
      <alignment vertical="top"/>
      <protection locked="0"/>
    </xf>
    <xf numFmtId="0" fontId="414" fillId="0" borderId="0" applyNumberFormat="0" applyFill="0" applyBorder="0" applyAlignment="0" applyProtection="0">
      <alignment vertical="top"/>
      <protection locked="0"/>
    </xf>
    <xf numFmtId="0" fontId="414" fillId="0" borderId="0" applyNumberFormat="0" applyFill="0" applyBorder="0" applyAlignment="0" applyProtection="0">
      <alignment vertical="top"/>
      <protection locked="0"/>
    </xf>
    <xf numFmtId="0" fontId="358" fillId="0" borderId="0" applyNumberFormat="0" applyFill="0" applyBorder="0" applyAlignment="0" applyProtection="0">
      <alignment vertical="top"/>
      <protection locked="0"/>
    </xf>
    <xf numFmtId="0" fontId="414" fillId="0" borderId="0" applyNumberFormat="0" applyFill="0" applyBorder="0" applyAlignment="0" applyProtection="0">
      <alignment vertical="top"/>
      <protection locked="0"/>
    </xf>
    <xf numFmtId="0" fontId="414" fillId="0" borderId="0" applyNumberFormat="0" applyFill="0" applyBorder="0" applyAlignment="0" applyProtection="0">
      <alignment vertical="top"/>
      <protection locked="0"/>
    </xf>
    <xf numFmtId="0" fontId="414" fillId="0" borderId="0" applyNumberFormat="0" applyFill="0" applyBorder="0" applyAlignment="0" applyProtection="0">
      <alignment vertical="top"/>
      <protection locked="0"/>
    </xf>
    <xf numFmtId="0" fontId="414" fillId="0" borderId="0" applyNumberFormat="0" applyFill="0" applyBorder="0" applyAlignment="0" applyProtection="0">
      <alignment vertical="top"/>
      <protection locked="0"/>
    </xf>
    <xf numFmtId="0" fontId="414" fillId="0" borderId="0" applyNumberFormat="0" applyFill="0" applyBorder="0" applyAlignment="0" applyProtection="0">
      <alignment vertical="top"/>
      <protection locked="0"/>
    </xf>
    <xf numFmtId="0" fontId="414" fillId="0" borderId="0" applyNumberFormat="0" applyFill="0" applyBorder="0" applyAlignment="0" applyProtection="0">
      <alignment vertical="top"/>
      <protection locked="0"/>
    </xf>
    <xf numFmtId="0" fontId="414" fillId="0" borderId="0" applyNumberFormat="0" applyFill="0" applyBorder="0" applyAlignment="0" applyProtection="0">
      <alignment vertical="top"/>
      <protection locked="0"/>
    </xf>
    <xf numFmtId="0" fontId="414" fillId="0" borderId="0" applyNumberFormat="0" applyFill="0" applyBorder="0" applyAlignment="0" applyProtection="0">
      <alignment vertical="top"/>
      <protection locked="0"/>
    </xf>
    <xf numFmtId="0" fontId="414" fillId="0" borderId="0" applyNumberFormat="0" applyFill="0" applyBorder="0" applyAlignment="0" applyProtection="0">
      <alignment vertical="top"/>
      <protection locked="0"/>
    </xf>
    <xf numFmtId="0" fontId="414" fillId="0" borderId="0" applyNumberFormat="0" applyFill="0" applyBorder="0" applyAlignment="0" applyProtection="0">
      <alignment vertical="top"/>
      <protection locked="0"/>
    </xf>
    <xf numFmtId="0" fontId="358" fillId="0" borderId="0" applyNumberFormat="0" applyFill="0" applyBorder="0" applyAlignment="0" applyProtection="0">
      <alignment vertical="top"/>
      <protection locked="0"/>
    </xf>
    <xf numFmtId="0" fontId="414" fillId="0" borderId="0" applyNumberFormat="0" applyFill="0" applyBorder="0" applyAlignment="0" applyProtection="0">
      <alignment vertical="top"/>
      <protection locked="0"/>
    </xf>
    <xf numFmtId="0" fontId="414" fillId="0" borderId="0" applyNumberFormat="0" applyFill="0" applyBorder="0" applyAlignment="0" applyProtection="0">
      <alignment vertical="top"/>
      <protection locked="0"/>
    </xf>
    <xf numFmtId="0" fontId="414" fillId="0" borderId="0" applyNumberFormat="0" applyFill="0" applyBorder="0" applyAlignment="0" applyProtection="0">
      <alignment vertical="top"/>
      <protection locked="0"/>
    </xf>
    <xf numFmtId="0" fontId="414" fillId="0" borderId="0" applyNumberFormat="0" applyFill="0" applyBorder="0" applyAlignment="0" applyProtection="0">
      <alignment vertical="top"/>
      <protection locked="0"/>
    </xf>
    <xf numFmtId="0" fontId="414" fillId="0" borderId="0" applyNumberFormat="0" applyFill="0" applyBorder="0" applyAlignment="0" applyProtection="0">
      <alignment vertical="top"/>
      <protection locked="0"/>
    </xf>
    <xf numFmtId="0" fontId="414" fillId="0" borderId="0" applyNumberFormat="0" applyFill="0" applyBorder="0" applyAlignment="0" applyProtection="0">
      <alignment vertical="top"/>
      <protection locked="0"/>
    </xf>
    <xf numFmtId="0" fontId="358" fillId="0" borderId="0" applyNumberFormat="0" applyFill="0" applyBorder="0" applyAlignment="0" applyProtection="0">
      <alignment vertical="top"/>
      <protection locked="0"/>
    </xf>
    <xf numFmtId="0" fontId="358" fillId="0" borderId="0" applyNumberFormat="0" applyFill="0" applyBorder="0" applyAlignment="0" applyProtection="0">
      <alignment vertical="top"/>
      <protection locked="0"/>
    </xf>
    <xf numFmtId="0" fontId="358" fillId="0" borderId="0" applyNumberFormat="0" applyFill="0" applyBorder="0" applyAlignment="0" applyProtection="0">
      <alignment vertical="top"/>
      <protection locked="0"/>
    </xf>
    <xf numFmtId="0" fontId="358" fillId="0" borderId="0" applyNumberFormat="0" applyFill="0" applyBorder="0" applyAlignment="0" applyProtection="0">
      <alignment vertical="top"/>
      <protection locked="0"/>
    </xf>
    <xf numFmtId="0" fontId="358" fillId="0" borderId="0" applyNumberFormat="0" applyFill="0" applyBorder="0" applyAlignment="0" applyProtection="0">
      <alignment vertical="top"/>
      <protection locked="0"/>
    </xf>
    <xf numFmtId="0" fontId="358" fillId="0" borderId="0" applyNumberFormat="0" applyFill="0" applyBorder="0" applyAlignment="0" applyProtection="0">
      <alignment vertical="top"/>
      <protection locked="0"/>
    </xf>
    <xf numFmtId="0" fontId="358" fillId="0" borderId="0" applyNumberFormat="0" applyFill="0" applyBorder="0" applyAlignment="0" applyProtection="0">
      <alignment vertical="top"/>
      <protection locked="0"/>
    </xf>
    <xf numFmtId="0" fontId="358" fillId="0" borderId="0" applyNumberFormat="0" applyFill="0" applyBorder="0" applyAlignment="0" applyProtection="0">
      <alignment vertical="top"/>
      <protection locked="0"/>
    </xf>
    <xf numFmtId="0" fontId="612" fillId="0" borderId="0" applyNumberFormat="0" applyFill="0" applyBorder="0" applyAlignment="0" applyProtection="0">
      <alignment vertical="top"/>
      <protection locked="0"/>
    </xf>
    <xf numFmtId="0" fontId="416" fillId="0" borderId="0" applyNumberFormat="0" applyFill="0" applyBorder="0" applyAlignment="0" applyProtection="0">
      <alignment vertical="top"/>
      <protection locked="0"/>
    </xf>
    <xf numFmtId="0" fontId="535" fillId="0" borderId="0" applyNumberFormat="0" applyFill="0" applyBorder="0" applyAlignment="0" applyProtection="0">
      <alignment vertical="top"/>
      <protection locked="0"/>
    </xf>
    <xf numFmtId="0" fontId="103" fillId="0" borderId="0" applyNumberFormat="0" applyFill="0" applyBorder="0" applyAlignment="0" applyProtection="0">
      <alignment vertical="top"/>
      <protection locked="0"/>
    </xf>
    <xf numFmtId="0" fontId="94" fillId="0" borderId="0" applyNumberFormat="0" applyFill="0" applyBorder="0" applyAlignment="0" applyProtection="0">
      <alignment vertical="top"/>
      <protection locked="0"/>
    </xf>
    <xf numFmtId="0" fontId="613" fillId="0" borderId="0" applyNumberFormat="0" applyFill="0" applyBorder="0" applyAlignment="0" applyProtection="0">
      <alignment vertical="top"/>
      <protection locked="0"/>
    </xf>
    <xf numFmtId="0" fontId="414" fillId="0" borderId="0" applyNumberFormat="0" applyFill="0" applyBorder="0" applyAlignment="0" applyProtection="0">
      <alignment vertical="top"/>
      <protection locked="0"/>
    </xf>
    <xf numFmtId="0" fontId="95" fillId="0" borderId="0" applyNumberFormat="0" applyFill="0" applyBorder="0" applyAlignment="0" applyProtection="0">
      <alignment vertical="top"/>
      <protection locked="0"/>
    </xf>
    <xf numFmtId="0" fontId="358" fillId="0" borderId="0" applyNumberFormat="0" applyFill="0" applyBorder="0" applyAlignment="0" applyProtection="0">
      <alignment vertical="top"/>
      <protection locked="0"/>
    </xf>
    <xf numFmtId="0" fontId="358" fillId="0" borderId="0" applyNumberFormat="0" applyFill="0" applyBorder="0" applyAlignment="0" applyProtection="0">
      <alignment vertical="top"/>
      <protection locked="0"/>
    </xf>
    <xf numFmtId="0" fontId="614" fillId="0" borderId="0" applyNumberFormat="0" applyFill="0" applyBorder="0" applyAlignment="0" applyProtection="0">
      <alignment vertical="top"/>
      <protection locked="0"/>
    </xf>
    <xf numFmtId="0" fontId="414" fillId="0" borderId="0" applyNumberFormat="0" applyFill="0" applyBorder="0" applyAlignment="0" applyProtection="0">
      <alignment vertical="top"/>
      <protection locked="0"/>
    </xf>
    <xf numFmtId="0" fontId="358" fillId="0" borderId="0" applyNumberFormat="0" applyFill="0" applyBorder="0" applyAlignment="0" applyProtection="0">
      <alignment vertical="top"/>
      <protection locked="0"/>
    </xf>
    <xf numFmtId="0" fontId="414" fillId="0" borderId="0" applyNumberFormat="0" applyFill="0" applyBorder="0" applyAlignment="0" applyProtection="0">
      <alignment vertical="top"/>
      <protection locked="0"/>
    </xf>
    <xf numFmtId="0" fontId="414" fillId="0" borderId="0" applyNumberFormat="0" applyFill="0" applyBorder="0" applyAlignment="0" applyProtection="0">
      <alignment vertical="top"/>
      <protection locked="0"/>
    </xf>
    <xf numFmtId="0" fontId="615" fillId="0" borderId="0" applyNumberFormat="0" applyFill="0" applyBorder="0" applyAlignment="0" applyProtection="0">
      <alignment vertical="top"/>
      <protection locked="0"/>
    </xf>
    <xf numFmtId="0" fontId="390" fillId="0" borderId="0" applyNumberFormat="0" applyFill="0" applyBorder="0" applyAlignment="0" applyProtection="0">
      <alignment vertical="top"/>
      <protection locked="0"/>
    </xf>
    <xf numFmtId="0" fontId="390" fillId="0" borderId="0" applyNumberFormat="0" applyFill="0" applyBorder="0" applyAlignment="0" applyProtection="0">
      <alignment vertical="top"/>
      <protection locked="0"/>
    </xf>
    <xf numFmtId="0" fontId="616" fillId="0" borderId="0" applyNumberFormat="0" applyFill="0" applyBorder="0" applyAlignment="0" applyProtection="0">
      <alignment vertical="top"/>
      <protection locked="0"/>
    </xf>
    <xf numFmtId="0" fontId="164" fillId="0" borderId="0"/>
    <xf numFmtId="252" fontId="169" fillId="0" borderId="0" applyFont="0" applyFill="0" applyBorder="0" applyAlignment="0" applyProtection="0"/>
    <xf numFmtId="352" fontId="169" fillId="0" borderId="0" applyFont="0" applyFill="0" applyBorder="0" applyAlignment="0" applyProtection="0"/>
    <xf numFmtId="0" fontId="71" fillId="0" borderId="0"/>
    <xf numFmtId="0" fontId="617" fillId="0" borderId="0"/>
    <xf numFmtId="0" fontId="618" fillId="0" borderId="0"/>
    <xf numFmtId="0" fontId="618" fillId="0" borderId="0"/>
    <xf numFmtId="0" fontId="619" fillId="0" borderId="0"/>
    <xf numFmtId="0" fontId="282" fillId="45" borderId="0" applyNumberFormat="0" applyBorder="0" applyAlignment="0" applyProtection="0"/>
    <xf numFmtId="0" fontId="620" fillId="45" borderId="0" applyNumberFormat="0" applyBorder="0" applyAlignment="0" applyProtection="0">
      <alignment vertical="center"/>
    </xf>
    <xf numFmtId="0" fontId="620" fillId="45" borderId="0" applyNumberFormat="0" applyBorder="0" applyAlignment="0" applyProtection="0">
      <alignment vertical="center"/>
    </xf>
    <xf numFmtId="219" fontId="164" fillId="0" borderId="0" applyFont="0" applyFill="0" applyBorder="0" applyAlignment="0" applyProtection="0"/>
    <xf numFmtId="220" fontId="164" fillId="0" borderId="0" applyFont="0" applyFill="0" applyBorder="0" applyAlignment="0" applyProtection="0"/>
    <xf numFmtId="10" fontId="17" fillId="0" borderId="0" applyFont="0" applyFill="0" applyBorder="0" applyAlignment="0" applyProtection="0"/>
    <xf numFmtId="0" fontId="231" fillId="0" borderId="0" applyFill="0" applyBorder="0" applyProtection="0"/>
    <xf numFmtId="0" fontId="164" fillId="0" borderId="0"/>
    <xf numFmtId="9" fontId="621" fillId="0" borderId="0" applyFont="0" applyFill="0" applyBorder="0" applyAlignment="0" applyProtection="0"/>
    <xf numFmtId="202" fontId="151" fillId="0" borderId="0" applyFont="0" applyFill="0" applyBorder="0" applyAlignment="0" applyProtection="0"/>
    <xf numFmtId="204" fontId="151" fillId="0" borderId="0" applyFont="0" applyFill="0" applyBorder="0" applyAlignment="0" applyProtection="0"/>
    <xf numFmtId="201" fontId="72" fillId="0" borderId="0" applyFont="0" applyFill="0" applyBorder="0" applyAlignment="0" applyProtection="0"/>
    <xf numFmtId="38" fontId="320" fillId="0" borderId="0" applyFont="0" applyFill="0" applyBorder="0" applyAlignment="0" applyProtection="0"/>
    <xf numFmtId="0" fontId="622" fillId="0" borderId="0" applyNumberFormat="0" applyFill="0" applyBorder="0" applyAlignment="0" applyProtection="0">
      <alignment vertical="top"/>
      <protection locked="0"/>
    </xf>
    <xf numFmtId="250" fontId="169" fillId="0" borderId="0" applyFont="0" applyFill="0" applyBorder="0" applyAlignment="0" applyProtection="0"/>
    <xf numFmtId="269" fontId="169" fillId="0" borderId="0" applyFont="0" applyFill="0" applyBorder="0" applyAlignment="0" applyProtection="0"/>
    <xf numFmtId="0" fontId="623" fillId="0" borderId="0" applyNumberFormat="0" applyFill="0" applyBorder="0" applyAlignment="0" applyProtection="0">
      <alignment vertical="top"/>
      <protection locked="0"/>
    </xf>
    <xf numFmtId="0" fontId="624" fillId="0" borderId="0" applyNumberFormat="0" applyFill="0" applyBorder="0" applyAlignment="0" applyProtection="0">
      <alignment vertical="top"/>
      <protection locked="0"/>
    </xf>
    <xf numFmtId="0" fontId="623" fillId="0" borderId="0" applyNumberFormat="0" applyFill="0" applyBorder="0" applyAlignment="0" applyProtection="0">
      <alignment vertical="top"/>
      <protection locked="0"/>
    </xf>
    <xf numFmtId="41" fontId="17" fillId="0" borderId="0" applyFont="0" applyFill="0" applyBorder="0" applyAlignment="0" applyProtection="0"/>
    <xf numFmtId="0" fontId="625" fillId="0" borderId="0" applyNumberFormat="0" applyFill="0" applyBorder="0" applyAlignment="0" applyProtection="0">
      <alignment vertical="top"/>
      <protection locked="0"/>
    </xf>
    <xf numFmtId="0" fontId="626" fillId="0" borderId="0" applyNumberFormat="0" applyFill="0" applyBorder="0" applyAlignment="0" applyProtection="0">
      <alignment vertical="top"/>
      <protection locked="0"/>
    </xf>
    <xf numFmtId="0" fontId="627" fillId="0" borderId="0" applyNumberFormat="0" applyFill="0" applyBorder="0" applyAlignment="0" applyProtection="0">
      <alignment vertical="top"/>
      <protection locked="0"/>
    </xf>
    <xf numFmtId="0" fontId="626" fillId="0" borderId="0" applyNumberFormat="0" applyFill="0" applyBorder="0" applyAlignment="0" applyProtection="0">
      <alignment vertical="top"/>
      <protection locked="0"/>
    </xf>
    <xf numFmtId="0" fontId="75" fillId="0" borderId="0" applyFont="0" applyFill="0" applyBorder="0" applyAlignment="0" applyProtection="0"/>
    <xf numFmtId="204" fontId="492" fillId="0" borderId="0" applyFont="0" applyFill="0" applyBorder="0" applyAlignment="0" applyProtection="0"/>
    <xf numFmtId="0" fontId="75" fillId="0" borderId="0" applyFont="0" applyFill="0" applyBorder="0" applyAlignment="0" applyProtection="0"/>
    <xf numFmtId="200" fontId="628" fillId="0" borderId="0" applyFont="0" applyFill="0" applyBorder="0" applyAlignment="0" applyProtection="0"/>
    <xf numFmtId="199" fontId="628" fillId="0" borderId="0" applyFont="0" applyFill="0" applyBorder="0" applyAlignment="0" applyProtection="0"/>
    <xf numFmtId="0" fontId="320" fillId="0" borderId="0"/>
    <xf numFmtId="0" fontId="395" fillId="0" borderId="0" applyNumberFormat="0" applyFill="0" applyBorder="0" applyAlignment="0" applyProtection="0">
      <alignment vertical="top"/>
      <protection locked="0"/>
    </xf>
    <xf numFmtId="0" fontId="249" fillId="61" borderId="0" applyNumberFormat="0" applyBorder="0" applyAlignment="0" applyProtection="0">
      <alignment vertical="center"/>
    </xf>
    <xf numFmtId="0" fontId="249" fillId="61" borderId="0" applyNumberFormat="0" applyBorder="0" applyAlignment="0" applyProtection="0">
      <alignment vertical="center"/>
    </xf>
    <xf numFmtId="0" fontId="249" fillId="61" borderId="0" applyNumberFormat="0" applyBorder="0" applyAlignment="0" applyProtection="0">
      <alignment vertical="center"/>
    </xf>
    <xf numFmtId="0" fontId="249" fillId="61" borderId="0" applyNumberFormat="0" applyBorder="0" applyAlignment="0" applyProtection="0">
      <alignment vertical="center"/>
    </xf>
    <xf numFmtId="0" fontId="250" fillId="61" borderId="0" applyNumberFormat="0" applyBorder="0" applyAlignment="0" applyProtection="0">
      <alignment vertical="center"/>
    </xf>
    <xf numFmtId="0" fontId="249" fillId="61" borderId="0" applyNumberFormat="0" applyBorder="0" applyAlignment="0" applyProtection="0">
      <alignment vertical="center"/>
    </xf>
    <xf numFmtId="0" fontId="249" fillId="61" borderId="0" applyNumberFormat="0" applyBorder="0" applyAlignment="0" applyProtection="0">
      <alignment vertical="center"/>
    </xf>
    <xf numFmtId="0" fontId="249" fillId="66" borderId="0" applyNumberFormat="0" applyBorder="0" applyAlignment="0" applyProtection="0">
      <alignment vertical="center"/>
    </xf>
    <xf numFmtId="0" fontId="249" fillId="66" borderId="0" applyNumberFormat="0" applyBorder="0" applyAlignment="0" applyProtection="0">
      <alignment vertical="center"/>
    </xf>
    <xf numFmtId="0" fontId="249" fillId="66" borderId="0" applyNumberFormat="0" applyBorder="0" applyAlignment="0" applyProtection="0">
      <alignment vertical="center"/>
    </xf>
    <xf numFmtId="0" fontId="249" fillId="66" borderId="0" applyNumberFormat="0" applyBorder="0" applyAlignment="0" applyProtection="0">
      <alignment vertical="center"/>
    </xf>
    <xf numFmtId="0" fontId="250" fillId="66" borderId="0" applyNumberFormat="0" applyBorder="0" applyAlignment="0" applyProtection="0">
      <alignment vertical="center"/>
    </xf>
    <xf numFmtId="0" fontId="249" fillId="66" borderId="0" applyNumberFormat="0" applyBorder="0" applyAlignment="0" applyProtection="0">
      <alignment vertical="center"/>
    </xf>
    <xf numFmtId="0" fontId="249" fillId="66" borderId="0" applyNumberFormat="0" applyBorder="0" applyAlignment="0" applyProtection="0">
      <alignment vertical="center"/>
    </xf>
    <xf numFmtId="0" fontId="249" fillId="70" borderId="0" applyNumberFormat="0" applyBorder="0" applyAlignment="0" applyProtection="0">
      <alignment vertical="center"/>
    </xf>
    <xf numFmtId="0" fontId="249" fillId="70" borderId="0" applyNumberFormat="0" applyBorder="0" applyAlignment="0" applyProtection="0">
      <alignment vertical="center"/>
    </xf>
    <xf numFmtId="0" fontId="249" fillId="70" borderId="0" applyNumberFormat="0" applyBorder="0" applyAlignment="0" applyProtection="0">
      <alignment vertical="center"/>
    </xf>
    <xf numFmtId="0" fontId="249" fillId="70" borderId="0" applyNumberFormat="0" applyBorder="0" applyAlignment="0" applyProtection="0">
      <alignment vertical="center"/>
    </xf>
    <xf numFmtId="0" fontId="250" fillId="70" borderId="0" applyNumberFormat="0" applyBorder="0" applyAlignment="0" applyProtection="0">
      <alignment vertical="center"/>
    </xf>
    <xf numFmtId="0" fontId="249" fillId="70" borderId="0" applyNumberFormat="0" applyBorder="0" applyAlignment="0" applyProtection="0">
      <alignment vertical="center"/>
    </xf>
    <xf numFmtId="0" fontId="249" fillId="70" borderId="0" applyNumberFormat="0" applyBorder="0" applyAlignment="0" applyProtection="0">
      <alignment vertical="center"/>
    </xf>
    <xf numFmtId="0" fontId="249" fillId="57" borderId="0" applyNumberFormat="0" applyBorder="0" applyAlignment="0" applyProtection="0">
      <alignment vertical="center"/>
    </xf>
    <xf numFmtId="0" fontId="249" fillId="57" borderId="0" applyNumberFormat="0" applyBorder="0" applyAlignment="0" applyProtection="0">
      <alignment vertical="center"/>
    </xf>
    <xf numFmtId="0" fontId="249" fillId="57" borderId="0" applyNumberFormat="0" applyBorder="0" applyAlignment="0" applyProtection="0">
      <alignment vertical="center"/>
    </xf>
    <xf numFmtId="0" fontId="249" fillId="57" borderId="0" applyNumberFormat="0" applyBorder="0" applyAlignment="0" applyProtection="0">
      <alignment vertical="center"/>
    </xf>
    <xf numFmtId="0" fontId="250" fillId="57" borderId="0" applyNumberFormat="0" applyBorder="0" applyAlignment="0" applyProtection="0">
      <alignment vertical="center"/>
    </xf>
    <xf numFmtId="0" fontId="249" fillId="57" borderId="0" applyNumberFormat="0" applyBorder="0" applyAlignment="0" applyProtection="0">
      <alignment vertical="center"/>
    </xf>
    <xf numFmtId="0" fontId="249" fillId="57" borderId="0" applyNumberFormat="0" applyBorder="0" applyAlignment="0" applyProtection="0">
      <alignment vertical="center"/>
    </xf>
    <xf numFmtId="0" fontId="249" fillId="58" borderId="0" applyNumberFormat="0" applyBorder="0" applyAlignment="0" applyProtection="0">
      <alignment vertical="center"/>
    </xf>
    <xf numFmtId="0" fontId="249" fillId="58" borderId="0" applyNumberFormat="0" applyBorder="0" applyAlignment="0" applyProtection="0">
      <alignment vertical="center"/>
    </xf>
    <xf numFmtId="0" fontId="249" fillId="58" borderId="0" applyNumberFormat="0" applyBorder="0" applyAlignment="0" applyProtection="0">
      <alignment vertical="center"/>
    </xf>
    <xf numFmtId="0" fontId="249" fillId="58" borderId="0" applyNumberFormat="0" applyBorder="0" applyAlignment="0" applyProtection="0">
      <alignment vertical="center"/>
    </xf>
    <xf numFmtId="0" fontId="250" fillId="58" borderId="0" applyNumberFormat="0" applyBorder="0" applyAlignment="0" applyProtection="0">
      <alignment vertical="center"/>
    </xf>
    <xf numFmtId="0" fontId="249" fillId="58" borderId="0" applyNumberFormat="0" applyBorder="0" applyAlignment="0" applyProtection="0">
      <alignment vertical="center"/>
    </xf>
    <xf numFmtId="0" fontId="249" fillId="58" borderId="0" applyNumberFormat="0" applyBorder="0" applyAlignment="0" applyProtection="0">
      <alignment vertical="center"/>
    </xf>
    <xf numFmtId="0" fontId="249" fillId="60" borderId="0" applyNumberFormat="0" applyBorder="0" applyAlignment="0" applyProtection="0">
      <alignment vertical="center"/>
    </xf>
    <xf numFmtId="0" fontId="249" fillId="60" borderId="0" applyNumberFormat="0" applyBorder="0" applyAlignment="0" applyProtection="0">
      <alignment vertical="center"/>
    </xf>
    <xf numFmtId="0" fontId="249" fillId="60" borderId="0" applyNumberFormat="0" applyBorder="0" applyAlignment="0" applyProtection="0">
      <alignment vertical="center"/>
    </xf>
    <xf numFmtId="0" fontId="249" fillId="60" borderId="0" applyNumberFormat="0" applyBorder="0" applyAlignment="0" applyProtection="0">
      <alignment vertical="center"/>
    </xf>
    <xf numFmtId="0" fontId="250" fillId="60" borderId="0" applyNumberFormat="0" applyBorder="0" applyAlignment="0" applyProtection="0">
      <alignment vertical="center"/>
    </xf>
    <xf numFmtId="0" fontId="249" fillId="60" borderId="0" applyNumberFormat="0" applyBorder="0" applyAlignment="0" applyProtection="0">
      <alignment vertical="center"/>
    </xf>
    <xf numFmtId="0" fontId="249" fillId="60" borderId="0" applyNumberFormat="0" applyBorder="0" applyAlignment="0" applyProtection="0">
      <alignment vertical="center"/>
    </xf>
    <xf numFmtId="0" fontId="24" fillId="0" borderId="0"/>
    <xf numFmtId="0" fontId="629" fillId="0" borderId="0" applyNumberFormat="0" applyFill="0" applyBorder="0" applyAlignment="0" applyProtection="0">
      <alignment vertical="center"/>
    </xf>
    <xf numFmtId="0" fontId="630" fillId="0" borderId="84" applyNumberFormat="0" applyFill="0" applyAlignment="0" applyProtection="0">
      <alignment vertical="center"/>
    </xf>
    <xf numFmtId="0" fontId="630" fillId="0" borderId="84" applyNumberFormat="0" applyFill="0" applyAlignment="0" applyProtection="0">
      <alignment vertical="center"/>
    </xf>
    <xf numFmtId="0" fontId="630" fillId="0" borderId="84" applyNumberFormat="0" applyFill="0" applyAlignment="0" applyProtection="0">
      <alignment vertical="center"/>
    </xf>
    <xf numFmtId="0" fontId="630" fillId="0" borderId="84" applyNumberFormat="0" applyFill="0" applyAlignment="0" applyProtection="0">
      <alignment vertical="center"/>
    </xf>
    <xf numFmtId="0" fontId="630" fillId="0" borderId="84" applyNumberFormat="0" applyFill="0" applyAlignment="0" applyProtection="0">
      <alignment vertical="center"/>
    </xf>
    <xf numFmtId="0" fontId="631" fillId="0" borderId="84" applyNumberFormat="0" applyFill="0" applyAlignment="0" applyProtection="0">
      <alignment vertical="center"/>
    </xf>
    <xf numFmtId="0" fontId="630" fillId="0" borderId="84" applyNumberFormat="0" applyFill="0" applyAlignment="0" applyProtection="0">
      <alignment vertical="center"/>
    </xf>
    <xf numFmtId="0" fontId="632" fillId="0" borderId="86" applyNumberFormat="0" applyFill="0" applyAlignment="0" applyProtection="0">
      <alignment vertical="center"/>
    </xf>
    <xf numFmtId="0" fontId="632" fillId="0" borderId="86" applyNumberFormat="0" applyFill="0" applyAlignment="0" applyProtection="0">
      <alignment vertical="center"/>
    </xf>
    <xf numFmtId="0" fontId="632" fillId="0" borderId="86" applyNumberFormat="0" applyFill="0" applyAlignment="0" applyProtection="0">
      <alignment vertical="center"/>
    </xf>
    <xf numFmtId="0" fontId="632" fillId="0" borderId="86" applyNumberFormat="0" applyFill="0" applyAlignment="0" applyProtection="0">
      <alignment vertical="center"/>
    </xf>
    <xf numFmtId="0" fontId="632" fillId="0" borderId="86" applyNumberFormat="0" applyFill="0" applyAlignment="0" applyProtection="0">
      <alignment vertical="center"/>
    </xf>
    <xf numFmtId="0" fontId="633" fillId="0" borderId="86" applyNumberFormat="0" applyFill="0" applyAlignment="0" applyProtection="0">
      <alignment vertical="center"/>
    </xf>
    <xf numFmtId="0" fontId="632" fillId="0" borderId="86" applyNumberFormat="0" applyFill="0" applyAlignment="0" applyProtection="0">
      <alignment vertical="center"/>
    </xf>
    <xf numFmtId="0" fontId="634" fillId="0" borderId="88" applyNumberFormat="0" applyFill="0" applyAlignment="0" applyProtection="0">
      <alignment vertical="center"/>
    </xf>
    <xf numFmtId="0" fontId="634" fillId="0" borderId="88" applyNumberFormat="0" applyFill="0" applyAlignment="0" applyProtection="0">
      <alignment vertical="center"/>
    </xf>
    <xf numFmtId="0" fontId="634" fillId="0" borderId="88" applyNumberFormat="0" applyFill="0" applyAlignment="0" applyProtection="0">
      <alignment vertical="center"/>
    </xf>
    <xf numFmtId="0" fontId="634" fillId="0" borderId="88" applyNumberFormat="0" applyFill="0" applyAlignment="0" applyProtection="0">
      <alignment vertical="center"/>
    </xf>
    <xf numFmtId="0" fontId="635" fillId="0" borderId="88" applyNumberFormat="0" applyFill="0" applyAlignment="0" applyProtection="0">
      <alignment vertical="center"/>
    </xf>
    <xf numFmtId="0" fontId="634" fillId="0" borderId="88" applyNumberFormat="0" applyFill="0" applyAlignment="0" applyProtection="0">
      <alignment vertical="center"/>
    </xf>
    <xf numFmtId="0" fontId="634" fillId="0" borderId="88" applyNumberFormat="0" applyFill="0" applyAlignment="0" applyProtection="0">
      <alignment vertical="center"/>
    </xf>
    <xf numFmtId="0" fontId="634" fillId="0" borderId="0" applyNumberFormat="0" applyFill="0" applyBorder="0" applyAlignment="0" applyProtection="0">
      <alignment vertical="center"/>
    </xf>
    <xf numFmtId="0" fontId="634" fillId="0" borderId="0" applyNumberFormat="0" applyFill="0" applyBorder="0" applyAlignment="0" applyProtection="0">
      <alignment vertical="center"/>
    </xf>
    <xf numFmtId="0" fontId="634" fillId="0" borderId="0" applyNumberFormat="0" applyFill="0" applyBorder="0" applyAlignment="0" applyProtection="0">
      <alignment vertical="center"/>
    </xf>
    <xf numFmtId="0" fontId="634" fillId="0" borderId="0" applyNumberFormat="0" applyFill="0" applyBorder="0" applyAlignment="0" applyProtection="0">
      <alignment vertical="center"/>
    </xf>
    <xf numFmtId="0" fontId="635" fillId="0" borderId="0" applyNumberFormat="0" applyFill="0" applyBorder="0" applyAlignment="0" applyProtection="0">
      <alignment vertical="center"/>
    </xf>
    <xf numFmtId="0" fontId="634" fillId="0" borderId="0" applyNumberFormat="0" applyFill="0" applyBorder="0" applyAlignment="0" applyProtection="0">
      <alignment vertical="center"/>
    </xf>
    <xf numFmtId="0" fontId="634" fillId="0" borderId="0" applyNumberFormat="0" applyFill="0" applyBorder="0" applyAlignment="0" applyProtection="0">
      <alignment vertical="center"/>
    </xf>
    <xf numFmtId="0" fontId="629" fillId="0" borderId="0" applyNumberFormat="0" applyFill="0" applyBorder="0" applyAlignment="0" applyProtection="0">
      <alignment vertical="center"/>
    </xf>
    <xf numFmtId="0" fontId="629" fillId="0" borderId="0" applyNumberFormat="0" applyFill="0" applyBorder="0" applyAlignment="0" applyProtection="0">
      <alignment vertical="center"/>
    </xf>
    <xf numFmtId="0" fontId="629" fillId="0" borderId="0" applyNumberFormat="0" applyFill="0" applyBorder="0" applyAlignment="0" applyProtection="0">
      <alignment vertical="center"/>
    </xf>
    <xf numFmtId="0" fontId="636" fillId="0" borderId="0" applyNumberFormat="0" applyFill="0" applyBorder="0" applyAlignment="0" applyProtection="0">
      <alignment vertical="center"/>
    </xf>
    <xf numFmtId="0" fontId="629" fillId="0" borderId="0" applyNumberFormat="0" applyFill="0" applyBorder="0" applyAlignment="0" applyProtection="0">
      <alignment vertical="center"/>
    </xf>
    <xf numFmtId="0" fontId="629" fillId="0" borderId="0" applyNumberFormat="0" applyFill="0" applyBorder="0" applyAlignment="0" applyProtection="0">
      <alignment vertical="center"/>
    </xf>
    <xf numFmtId="0" fontId="629" fillId="0" borderId="0" applyNumberFormat="0" applyFill="0" applyBorder="0" applyAlignment="0" applyProtection="0">
      <alignment vertical="center"/>
    </xf>
    <xf numFmtId="0" fontId="171" fillId="0" borderId="0">
      <alignment vertical="top"/>
    </xf>
    <xf numFmtId="0" fontId="171" fillId="0" borderId="0">
      <alignment vertical="top"/>
    </xf>
    <xf numFmtId="0" fontId="167" fillId="0" borderId="0"/>
    <xf numFmtId="0" fontId="637" fillId="83" borderId="79" applyNumberFormat="0" applyAlignment="0" applyProtection="0">
      <alignment vertical="center"/>
    </xf>
    <xf numFmtId="0" fontId="637" fillId="83" borderId="79" applyNumberFormat="0" applyAlignment="0" applyProtection="0">
      <alignment vertical="center"/>
    </xf>
    <xf numFmtId="0" fontId="637" fillId="83" borderId="79" applyNumberFormat="0" applyAlignment="0" applyProtection="0">
      <alignment vertical="center"/>
    </xf>
    <xf numFmtId="0" fontId="637" fillId="83" borderId="79" applyNumberFormat="0" applyAlignment="0" applyProtection="0">
      <alignment vertical="center"/>
    </xf>
    <xf numFmtId="0" fontId="638" fillId="83" borderId="79" applyNumberFormat="0" applyAlignment="0" applyProtection="0">
      <alignment vertical="center"/>
    </xf>
    <xf numFmtId="0" fontId="637" fillId="83" borderId="79" applyNumberFormat="0" applyAlignment="0" applyProtection="0">
      <alignment vertical="center"/>
    </xf>
    <xf numFmtId="0" fontId="637" fillId="83" borderId="79" applyNumberFormat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40" fillId="0" borderId="105" applyNumberFormat="0" applyFill="0" applyAlignment="0" applyProtection="0">
      <alignment vertical="center"/>
    </xf>
    <xf numFmtId="0" fontId="640" fillId="0" borderId="105" applyNumberFormat="0" applyFill="0" applyAlignment="0" applyProtection="0">
      <alignment vertical="center"/>
    </xf>
    <xf numFmtId="0" fontId="640" fillId="0" borderId="105" applyNumberFormat="0" applyFill="0" applyAlignment="0" applyProtection="0">
      <alignment vertical="center"/>
    </xf>
    <xf numFmtId="0" fontId="640" fillId="0" borderId="105" applyNumberFormat="0" applyFill="0" applyAlignment="0" applyProtection="0">
      <alignment vertical="center"/>
    </xf>
    <xf numFmtId="0" fontId="640" fillId="0" borderId="105" applyNumberFormat="0" applyFill="0" applyAlignment="0" applyProtection="0">
      <alignment vertical="center"/>
    </xf>
    <xf numFmtId="0" fontId="640" fillId="0" borderId="105" applyNumberFormat="0" applyFill="0" applyAlignment="0" applyProtection="0">
      <alignment vertical="center"/>
    </xf>
    <xf numFmtId="0" fontId="640" fillId="0" borderId="105" applyNumberFormat="0" applyFill="0" applyAlignment="0" applyProtection="0">
      <alignment vertical="center"/>
    </xf>
    <xf numFmtId="0" fontId="640" fillId="0" borderId="105" applyNumberFormat="0" applyFill="0" applyAlignment="0" applyProtection="0">
      <alignment vertical="center"/>
    </xf>
    <xf numFmtId="0" fontId="640" fillId="0" borderId="105" applyNumberFormat="0" applyFill="0" applyAlignment="0" applyProtection="0">
      <alignment vertical="center"/>
    </xf>
    <xf numFmtId="0" fontId="640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40" fillId="0" borderId="105" applyNumberFormat="0" applyFill="0" applyAlignment="0" applyProtection="0">
      <alignment vertical="center"/>
    </xf>
    <xf numFmtId="0" fontId="640" fillId="0" borderId="105" applyNumberFormat="0" applyFill="0" applyAlignment="0" applyProtection="0">
      <alignment vertical="center"/>
    </xf>
    <xf numFmtId="0" fontId="640" fillId="0" borderId="105" applyNumberFormat="0" applyFill="0" applyAlignment="0" applyProtection="0">
      <alignment vertical="center"/>
    </xf>
    <xf numFmtId="0" fontId="640" fillId="0" borderId="105" applyNumberFormat="0" applyFill="0" applyAlignment="0" applyProtection="0">
      <alignment vertical="center"/>
    </xf>
    <xf numFmtId="0" fontId="640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40" fillId="0" borderId="105" applyNumberFormat="0" applyFill="0" applyAlignment="0" applyProtection="0">
      <alignment vertical="center"/>
    </xf>
    <xf numFmtId="0" fontId="640" fillId="0" borderId="105" applyNumberFormat="0" applyFill="0" applyAlignment="0" applyProtection="0">
      <alignment vertical="center"/>
    </xf>
    <xf numFmtId="0" fontId="640" fillId="0" borderId="105" applyNumberFormat="0" applyFill="0" applyAlignment="0" applyProtection="0">
      <alignment vertical="center"/>
    </xf>
    <xf numFmtId="0" fontId="640" fillId="0" borderId="105" applyNumberFormat="0" applyFill="0" applyAlignment="0" applyProtection="0">
      <alignment vertical="center"/>
    </xf>
    <xf numFmtId="0" fontId="640" fillId="0" borderId="105" applyNumberFormat="0" applyFill="0" applyAlignment="0" applyProtection="0">
      <alignment vertical="center"/>
    </xf>
    <xf numFmtId="0" fontId="640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2" fillId="54" borderId="77" applyNumberFormat="0" applyAlignment="0" applyProtection="0">
      <alignment vertical="center"/>
    </xf>
    <xf numFmtId="0" fontId="642" fillId="54" borderId="77" applyNumberFormat="0" applyAlignment="0" applyProtection="0">
      <alignment vertical="center"/>
    </xf>
    <xf numFmtId="0" fontId="642" fillId="54" borderId="77" applyNumberFormat="0" applyAlignment="0" applyProtection="0">
      <alignment vertical="center"/>
    </xf>
    <xf numFmtId="0" fontId="642" fillId="54" borderId="77" applyNumberFormat="0" applyAlignment="0" applyProtection="0">
      <alignment vertical="center"/>
    </xf>
    <xf numFmtId="0" fontId="642" fillId="54" borderId="77" applyNumberFormat="0" applyAlignment="0" applyProtection="0">
      <alignment vertical="center"/>
    </xf>
    <xf numFmtId="0" fontId="642" fillId="54" borderId="77" applyNumberFormat="0" applyAlignment="0" applyProtection="0">
      <alignment vertical="center"/>
    </xf>
    <xf numFmtId="0" fontId="642" fillId="54" borderId="77" applyNumberFormat="0" applyAlignment="0" applyProtection="0">
      <alignment vertical="center"/>
    </xf>
    <xf numFmtId="0" fontId="642" fillId="54" borderId="77" applyNumberFormat="0" applyAlignment="0" applyProtection="0">
      <alignment vertical="center"/>
    </xf>
    <xf numFmtId="0" fontId="642" fillId="54" borderId="77" applyNumberFormat="0" applyAlignment="0" applyProtection="0">
      <alignment vertical="center"/>
    </xf>
    <xf numFmtId="0" fontId="642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2" fillId="54" borderId="77" applyNumberFormat="0" applyAlignment="0" applyProtection="0">
      <alignment vertical="center"/>
    </xf>
    <xf numFmtId="0" fontId="642" fillId="54" borderId="77" applyNumberFormat="0" applyAlignment="0" applyProtection="0">
      <alignment vertical="center"/>
    </xf>
    <xf numFmtId="0" fontId="642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2" fillId="54" borderId="77" applyNumberFormat="0" applyAlignment="0" applyProtection="0">
      <alignment vertical="center"/>
    </xf>
    <xf numFmtId="0" fontId="642" fillId="54" borderId="77" applyNumberFormat="0" applyAlignment="0" applyProtection="0">
      <alignment vertical="center"/>
    </xf>
    <xf numFmtId="0" fontId="642" fillId="54" borderId="77" applyNumberFormat="0" applyAlignment="0" applyProtection="0">
      <alignment vertical="center"/>
    </xf>
    <xf numFmtId="0" fontId="642" fillId="54" borderId="77" applyNumberFormat="0" applyAlignment="0" applyProtection="0">
      <alignment vertical="center"/>
    </xf>
    <xf numFmtId="0" fontId="642" fillId="54" borderId="77" applyNumberFormat="0" applyAlignment="0" applyProtection="0">
      <alignment vertical="center"/>
    </xf>
    <xf numFmtId="0" fontId="642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4" fillId="54" borderId="96" applyNumberFormat="0" applyAlignment="0" applyProtection="0">
      <alignment vertical="center"/>
    </xf>
    <xf numFmtId="0" fontId="644" fillId="54" borderId="96" applyNumberFormat="0" applyAlignment="0" applyProtection="0">
      <alignment vertical="center"/>
    </xf>
    <xf numFmtId="0" fontId="644" fillId="54" borderId="96" applyNumberFormat="0" applyAlignment="0" applyProtection="0">
      <alignment vertical="center"/>
    </xf>
    <xf numFmtId="0" fontId="644" fillId="54" borderId="96" applyNumberFormat="0" applyAlignment="0" applyProtection="0">
      <alignment vertical="center"/>
    </xf>
    <xf numFmtId="0" fontId="644" fillId="54" borderId="96" applyNumberFormat="0" applyAlignment="0" applyProtection="0">
      <alignment vertical="center"/>
    </xf>
    <xf numFmtId="0" fontId="644" fillId="54" borderId="96" applyNumberFormat="0" applyAlignment="0" applyProtection="0">
      <alignment vertical="center"/>
    </xf>
    <xf numFmtId="0" fontId="644" fillId="54" borderId="96" applyNumberFormat="0" applyAlignment="0" applyProtection="0">
      <alignment vertical="center"/>
    </xf>
    <xf numFmtId="0" fontId="644" fillId="54" borderId="96" applyNumberFormat="0" applyAlignment="0" applyProtection="0">
      <alignment vertical="center"/>
    </xf>
    <xf numFmtId="0" fontId="644" fillId="54" borderId="96" applyNumberFormat="0" applyAlignment="0" applyProtection="0">
      <alignment vertical="center"/>
    </xf>
    <xf numFmtId="0" fontId="644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4" fillId="54" borderId="96" applyNumberFormat="0" applyAlignment="0" applyProtection="0">
      <alignment vertical="center"/>
    </xf>
    <xf numFmtId="0" fontId="644" fillId="54" borderId="96" applyNumberFormat="0" applyAlignment="0" applyProtection="0">
      <alignment vertical="center"/>
    </xf>
    <xf numFmtId="0" fontId="644" fillId="54" borderId="96" applyNumberFormat="0" applyAlignment="0" applyProtection="0">
      <alignment vertical="center"/>
    </xf>
    <xf numFmtId="0" fontId="644" fillId="54" borderId="96" applyNumberFormat="0" applyAlignment="0" applyProtection="0">
      <alignment vertical="center"/>
    </xf>
    <xf numFmtId="0" fontId="644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4" fillId="54" borderId="96" applyNumberFormat="0" applyAlignment="0" applyProtection="0">
      <alignment vertical="center"/>
    </xf>
    <xf numFmtId="0" fontId="644" fillId="54" borderId="96" applyNumberFormat="0" applyAlignment="0" applyProtection="0">
      <alignment vertical="center"/>
    </xf>
    <xf numFmtId="0" fontId="644" fillId="54" borderId="96" applyNumberFormat="0" applyAlignment="0" applyProtection="0">
      <alignment vertical="center"/>
    </xf>
    <xf numFmtId="0" fontId="644" fillId="54" borderId="96" applyNumberFormat="0" applyAlignment="0" applyProtection="0">
      <alignment vertical="center"/>
    </xf>
    <xf numFmtId="0" fontId="644" fillId="54" borderId="96" applyNumberFormat="0" applyAlignment="0" applyProtection="0">
      <alignment vertical="center"/>
    </xf>
    <xf numFmtId="0" fontId="644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6" fillId="48" borderId="77" applyNumberFormat="0" applyAlignment="0" applyProtection="0">
      <alignment vertical="center"/>
    </xf>
    <xf numFmtId="0" fontId="646" fillId="48" borderId="77" applyNumberFormat="0" applyAlignment="0" applyProtection="0">
      <alignment vertical="center"/>
    </xf>
    <xf numFmtId="0" fontId="646" fillId="48" borderId="77" applyNumberFormat="0" applyAlignment="0" applyProtection="0">
      <alignment vertical="center"/>
    </xf>
    <xf numFmtId="0" fontId="646" fillId="48" borderId="77" applyNumberFormat="0" applyAlignment="0" applyProtection="0">
      <alignment vertical="center"/>
    </xf>
    <xf numFmtId="0" fontId="646" fillId="48" borderId="77" applyNumberFormat="0" applyAlignment="0" applyProtection="0">
      <alignment vertical="center"/>
    </xf>
    <xf numFmtId="0" fontId="646" fillId="48" borderId="77" applyNumberFormat="0" applyAlignment="0" applyProtection="0">
      <alignment vertical="center"/>
    </xf>
    <xf numFmtId="0" fontId="646" fillId="48" borderId="77" applyNumberFormat="0" applyAlignment="0" applyProtection="0">
      <alignment vertical="center"/>
    </xf>
    <xf numFmtId="0" fontId="646" fillId="48" borderId="77" applyNumberFormat="0" applyAlignment="0" applyProtection="0">
      <alignment vertical="center"/>
    </xf>
    <xf numFmtId="0" fontId="646" fillId="48" borderId="77" applyNumberFormat="0" applyAlignment="0" applyProtection="0">
      <alignment vertical="center"/>
    </xf>
    <xf numFmtId="0" fontId="646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6" fillId="48" borderId="77" applyNumberFormat="0" applyAlignment="0" applyProtection="0">
      <alignment vertical="center"/>
    </xf>
    <xf numFmtId="0" fontId="646" fillId="48" borderId="77" applyNumberFormat="0" applyAlignment="0" applyProtection="0">
      <alignment vertical="center"/>
    </xf>
    <xf numFmtId="0" fontId="646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6" fillId="48" borderId="77" applyNumberFormat="0" applyAlignment="0" applyProtection="0">
      <alignment vertical="center"/>
    </xf>
    <xf numFmtId="0" fontId="646" fillId="48" borderId="77" applyNumberFormat="0" applyAlignment="0" applyProtection="0">
      <alignment vertical="center"/>
    </xf>
    <xf numFmtId="0" fontId="646" fillId="48" borderId="77" applyNumberFormat="0" applyAlignment="0" applyProtection="0">
      <alignment vertical="center"/>
    </xf>
    <xf numFmtId="0" fontId="646" fillId="48" borderId="77" applyNumberFormat="0" applyAlignment="0" applyProtection="0">
      <alignment vertical="center"/>
    </xf>
    <xf numFmtId="0" fontId="646" fillId="48" borderId="77" applyNumberFormat="0" applyAlignment="0" applyProtection="0">
      <alignment vertical="center"/>
    </xf>
    <xf numFmtId="0" fontId="646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7" fillId="55" borderId="0" applyNumberFormat="0" applyBorder="0" applyAlignment="0" applyProtection="0">
      <alignment vertical="center"/>
    </xf>
    <xf numFmtId="0" fontId="647" fillId="55" borderId="0" applyNumberFormat="0" applyBorder="0" applyAlignment="0" applyProtection="0">
      <alignment vertical="center"/>
    </xf>
    <xf numFmtId="0" fontId="647" fillId="55" borderId="0" applyNumberFormat="0" applyBorder="0" applyAlignment="0" applyProtection="0">
      <alignment vertical="center"/>
    </xf>
    <xf numFmtId="0" fontId="647" fillId="55" borderId="0" applyNumberFormat="0" applyBorder="0" applyAlignment="0" applyProtection="0">
      <alignment vertical="center"/>
    </xf>
    <xf numFmtId="0" fontId="648" fillId="55" borderId="0" applyNumberFormat="0" applyBorder="0" applyAlignment="0" applyProtection="0">
      <alignment vertical="center"/>
    </xf>
    <xf numFmtId="0" fontId="647" fillId="55" borderId="0" applyNumberFormat="0" applyBorder="0" applyAlignment="0" applyProtection="0">
      <alignment vertical="center"/>
    </xf>
    <xf numFmtId="0" fontId="647" fillId="55" borderId="0" applyNumberFormat="0" applyBorder="0" applyAlignment="0" applyProtection="0">
      <alignment vertical="center"/>
    </xf>
    <xf numFmtId="216" fontId="649" fillId="0" borderId="0" applyFont="0" applyFill="0" applyBorder="0" applyAlignment="0" applyProtection="0"/>
    <xf numFmtId="214" fontId="649" fillId="0" borderId="0" applyFont="0" applyFill="0" applyBorder="0" applyAlignment="0" applyProtection="0"/>
    <xf numFmtId="0" fontId="650" fillId="0" borderId="0"/>
    <xf numFmtId="0" fontId="651" fillId="0" borderId="80" applyNumberFormat="0" applyFill="0" applyAlignment="0" applyProtection="0">
      <alignment vertical="center"/>
    </xf>
    <xf numFmtId="0" fontId="651" fillId="0" borderId="80" applyNumberFormat="0" applyFill="0" applyAlignment="0" applyProtection="0">
      <alignment vertical="center"/>
    </xf>
    <xf numFmtId="0" fontId="651" fillId="0" borderId="80" applyNumberFormat="0" applyFill="0" applyAlignment="0" applyProtection="0">
      <alignment vertical="center"/>
    </xf>
    <xf numFmtId="0" fontId="651" fillId="0" borderId="80" applyNumberFormat="0" applyFill="0" applyAlignment="0" applyProtection="0">
      <alignment vertical="center"/>
    </xf>
    <xf numFmtId="0" fontId="652" fillId="0" borderId="80" applyNumberFormat="0" applyFill="0" applyAlignment="0" applyProtection="0">
      <alignment vertical="center"/>
    </xf>
    <xf numFmtId="0" fontId="651" fillId="0" borderId="80" applyNumberFormat="0" applyFill="0" applyAlignment="0" applyProtection="0">
      <alignment vertical="center"/>
    </xf>
    <xf numFmtId="0" fontId="651" fillId="0" borderId="80" applyNumberFormat="0" applyFill="0" applyAlignment="0" applyProtection="0">
      <alignment vertical="center"/>
    </xf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552" fillId="0" borderId="0"/>
    <xf numFmtId="38" fontId="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0" fontId="17" fillId="0" borderId="0"/>
    <xf numFmtId="0" fontId="1" fillId="0" borderId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>
      <alignment vertical="center"/>
    </xf>
    <xf numFmtId="0" fontId="17" fillId="0" borderId="0"/>
    <xf numFmtId="0" fontId="17" fillId="0" borderId="0"/>
    <xf numFmtId="0" fontId="2" fillId="0" borderId="0">
      <alignment vertical="center"/>
    </xf>
    <xf numFmtId="0" fontId="17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38" fontId="1" fillId="0" borderId="0" applyFont="0" applyFill="0" applyBorder="0" applyAlignment="0" applyProtection="0">
      <alignment vertical="center"/>
    </xf>
    <xf numFmtId="0" fontId="1" fillId="0" borderId="0"/>
    <xf numFmtId="197" fontId="2" fillId="0" borderId="0" applyFont="0" applyFill="0" applyBorder="0" applyAlignment="0" applyProtection="0"/>
    <xf numFmtId="0" fontId="1" fillId="0" borderId="0"/>
    <xf numFmtId="0" fontId="1" fillId="0" borderId="0"/>
    <xf numFmtId="38" fontId="1" fillId="0" borderId="0" applyFont="0" applyFill="0" applyBorder="0" applyAlignment="0" applyProtection="0">
      <alignment vertical="center"/>
    </xf>
    <xf numFmtId="203" fontId="149" fillId="0" borderId="0" applyFont="0" applyFill="0" applyBorder="0" applyAlignment="0" applyProtection="0"/>
    <xf numFmtId="203" fontId="149" fillId="0" borderId="0" applyFont="0" applyFill="0" applyBorder="0" applyAlignment="0" applyProtection="0"/>
    <xf numFmtId="203" fontId="150" fillId="0" borderId="0" applyFont="0" applyFill="0" applyBorder="0" applyAlignment="0" applyProtection="0"/>
    <xf numFmtId="203" fontId="151" fillId="0" borderId="0" applyFont="0" applyFill="0" applyBorder="0" applyAlignment="0" applyProtection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201" fontId="72" fillId="0" borderId="0" applyFont="0" applyFill="0" applyBorder="0" applyAlignment="0" applyProtection="0"/>
    <xf numFmtId="201" fontId="75" fillId="0" borderId="0" applyFont="0" applyFill="0" applyBorder="0" applyAlignment="0" applyProtection="0"/>
    <xf numFmtId="203" fontId="72" fillId="0" borderId="0" applyFont="0" applyFill="0" applyBorder="0" applyAlignment="0" applyProtection="0"/>
    <xf numFmtId="201" fontId="72" fillId="0" borderId="0" applyFont="0" applyFill="0" applyBorder="0" applyAlignment="0" applyProtection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201" fontId="72" fillId="0" borderId="0" applyFont="0" applyFill="0" applyBorder="0" applyAlignment="0" applyProtection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201" fontId="75" fillId="0" borderId="0" applyFont="0" applyFill="0" applyBorder="0" applyAlignment="0" applyProtection="0"/>
    <xf numFmtId="203" fontId="72" fillId="0" borderId="0" applyFont="0" applyFill="0" applyBorder="0" applyAlignment="0" applyProtection="0"/>
    <xf numFmtId="0" fontId="170" fillId="0" borderId="0"/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3" fontId="231" fillId="0" borderId="6">
      <alignment horizontal="center"/>
    </xf>
    <xf numFmtId="253" fontId="231" fillId="0" borderId="6">
      <alignment horizontal="center"/>
    </xf>
    <xf numFmtId="253" fontId="231" fillId="0" borderId="6">
      <alignment horizontal="center"/>
    </xf>
    <xf numFmtId="253" fontId="231" fillId="0" borderId="6">
      <alignment horizontal="center"/>
    </xf>
    <xf numFmtId="253" fontId="231" fillId="0" borderId="6">
      <alignment horizontal="center"/>
    </xf>
    <xf numFmtId="253" fontId="231" fillId="0" borderId="6">
      <alignment horizontal="center"/>
    </xf>
    <xf numFmtId="253" fontId="231" fillId="0" borderId="6">
      <alignment horizontal="center"/>
    </xf>
    <xf numFmtId="253" fontId="231" fillId="0" borderId="6">
      <alignment horizontal="center"/>
    </xf>
    <xf numFmtId="253" fontId="231" fillId="0" borderId="6">
      <alignment horizontal="center"/>
    </xf>
    <xf numFmtId="253" fontId="231" fillId="0" borderId="6">
      <alignment horizontal="center"/>
    </xf>
    <xf numFmtId="253" fontId="231" fillId="0" borderId="6">
      <alignment horizontal="center"/>
    </xf>
    <xf numFmtId="253" fontId="231" fillId="0" borderId="6">
      <alignment horizontal="center"/>
    </xf>
    <xf numFmtId="253" fontId="231" fillId="0" borderId="6">
      <alignment horizontal="center"/>
    </xf>
    <xf numFmtId="253" fontId="231" fillId="0" borderId="6">
      <alignment horizontal="center"/>
    </xf>
    <xf numFmtId="253" fontId="231" fillId="0" borderId="6">
      <alignment horizontal="center"/>
    </xf>
    <xf numFmtId="253" fontId="231" fillId="0" borderId="6">
      <alignment horizontal="center"/>
    </xf>
    <xf numFmtId="253" fontId="231" fillId="0" borderId="6">
      <alignment horizontal="center"/>
    </xf>
    <xf numFmtId="253" fontId="231" fillId="0" borderId="6">
      <alignment horizontal="center"/>
    </xf>
    <xf numFmtId="253" fontId="231" fillId="0" borderId="6">
      <alignment horizontal="center"/>
    </xf>
    <xf numFmtId="253" fontId="231" fillId="0" borderId="6">
      <alignment horizontal="center"/>
    </xf>
    <xf numFmtId="253" fontId="231" fillId="0" borderId="6">
      <alignment horizontal="center"/>
    </xf>
    <xf numFmtId="253" fontId="231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3" fontId="231" fillId="0" borderId="6">
      <alignment horizontal="center"/>
    </xf>
    <xf numFmtId="253" fontId="231" fillId="0" borderId="6">
      <alignment horizontal="center"/>
    </xf>
    <xf numFmtId="253" fontId="231" fillId="0" borderId="6">
      <alignment horizontal="center"/>
    </xf>
    <xf numFmtId="253" fontId="231" fillId="0" borderId="6">
      <alignment horizontal="center"/>
    </xf>
    <xf numFmtId="253" fontId="231" fillId="0" borderId="6">
      <alignment horizontal="center"/>
    </xf>
    <xf numFmtId="253" fontId="231" fillId="0" borderId="6">
      <alignment horizontal="center"/>
    </xf>
    <xf numFmtId="253" fontId="231" fillId="0" borderId="6">
      <alignment horizontal="center"/>
    </xf>
    <xf numFmtId="253" fontId="231" fillId="0" borderId="6">
      <alignment horizontal="center"/>
    </xf>
    <xf numFmtId="253" fontId="231" fillId="0" borderId="6">
      <alignment horizontal="center"/>
    </xf>
    <xf numFmtId="253" fontId="231" fillId="0" borderId="6">
      <alignment horizontal="center"/>
    </xf>
    <xf numFmtId="253" fontId="231" fillId="0" borderId="6">
      <alignment horizontal="center"/>
    </xf>
    <xf numFmtId="253" fontId="231" fillId="0" borderId="6">
      <alignment horizontal="center"/>
    </xf>
    <xf numFmtId="253" fontId="231" fillId="0" borderId="6">
      <alignment horizontal="center"/>
    </xf>
    <xf numFmtId="253" fontId="231" fillId="0" borderId="6">
      <alignment horizontal="center"/>
    </xf>
    <xf numFmtId="253" fontId="231" fillId="0" borderId="6">
      <alignment horizontal="center"/>
    </xf>
    <xf numFmtId="253" fontId="231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2" fontId="2" fillId="0" borderId="6">
      <alignment horizontal="center"/>
    </xf>
    <xf numFmtId="253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31" fillId="0" borderId="6">
      <alignment horizontal="center"/>
    </xf>
    <xf numFmtId="0" fontId="241" fillId="43" borderId="0" applyNumberFormat="0" applyBorder="0" applyAlignment="0" applyProtection="0">
      <alignment vertical="center"/>
    </xf>
    <xf numFmtId="0" fontId="241" fillId="43" borderId="0" applyNumberFormat="0" applyBorder="0" applyAlignment="0" applyProtection="0">
      <alignment vertical="center"/>
    </xf>
    <xf numFmtId="0" fontId="241" fillId="43" borderId="0" applyNumberFormat="0" applyBorder="0" applyAlignment="0" applyProtection="0">
      <alignment vertical="center"/>
    </xf>
    <xf numFmtId="0" fontId="241" fillId="44" borderId="0" applyNumberFormat="0" applyBorder="0" applyAlignment="0" applyProtection="0">
      <alignment vertical="center"/>
    </xf>
    <xf numFmtId="0" fontId="241" fillId="44" borderId="0" applyNumberFormat="0" applyBorder="0" applyAlignment="0" applyProtection="0">
      <alignment vertical="center"/>
    </xf>
    <xf numFmtId="0" fontId="241" fillId="44" borderId="0" applyNumberFormat="0" applyBorder="0" applyAlignment="0" applyProtection="0">
      <alignment vertical="center"/>
    </xf>
    <xf numFmtId="0" fontId="241" fillId="45" borderId="0" applyNumberFormat="0" applyBorder="0" applyAlignment="0" applyProtection="0">
      <alignment vertical="center"/>
    </xf>
    <xf numFmtId="0" fontId="241" fillId="45" borderId="0" applyNumberFormat="0" applyBorder="0" applyAlignment="0" applyProtection="0">
      <alignment vertical="center"/>
    </xf>
    <xf numFmtId="0" fontId="241" fillId="45" borderId="0" applyNumberFormat="0" applyBorder="0" applyAlignment="0" applyProtection="0">
      <alignment vertical="center"/>
    </xf>
    <xf numFmtId="0" fontId="241" fillId="46" borderId="0" applyNumberFormat="0" applyBorder="0" applyAlignment="0" applyProtection="0">
      <alignment vertical="center"/>
    </xf>
    <xf numFmtId="0" fontId="241" fillId="46" borderId="0" applyNumberFormat="0" applyBorder="0" applyAlignment="0" applyProtection="0">
      <alignment vertical="center"/>
    </xf>
    <xf numFmtId="0" fontId="241" fillId="46" borderId="0" applyNumberFormat="0" applyBorder="0" applyAlignment="0" applyProtection="0">
      <alignment vertical="center"/>
    </xf>
    <xf numFmtId="0" fontId="241" fillId="47" borderId="0" applyNumberFormat="0" applyBorder="0" applyAlignment="0" applyProtection="0">
      <alignment vertical="center"/>
    </xf>
    <xf numFmtId="0" fontId="241" fillId="47" borderId="0" applyNumberFormat="0" applyBorder="0" applyAlignment="0" applyProtection="0">
      <alignment vertical="center"/>
    </xf>
    <xf numFmtId="0" fontId="241" fillId="47" borderId="0" applyNumberFormat="0" applyBorder="0" applyAlignment="0" applyProtection="0">
      <alignment vertical="center"/>
    </xf>
    <xf numFmtId="0" fontId="241" fillId="48" borderId="0" applyNumberFormat="0" applyBorder="0" applyAlignment="0" applyProtection="0">
      <alignment vertical="center"/>
    </xf>
    <xf numFmtId="0" fontId="241" fillId="48" borderId="0" applyNumberFormat="0" applyBorder="0" applyAlignment="0" applyProtection="0">
      <alignment vertical="center"/>
    </xf>
    <xf numFmtId="0" fontId="241" fillId="48" borderId="0" applyNumberFormat="0" applyBorder="0" applyAlignment="0" applyProtection="0">
      <alignment vertical="center"/>
    </xf>
    <xf numFmtId="0" fontId="241" fillId="49" borderId="0" applyNumberFormat="0" applyBorder="0" applyAlignment="0" applyProtection="0">
      <alignment vertical="center"/>
    </xf>
    <xf numFmtId="0" fontId="241" fillId="49" borderId="0" applyNumberFormat="0" applyBorder="0" applyAlignment="0" applyProtection="0">
      <alignment vertical="center"/>
    </xf>
    <xf numFmtId="0" fontId="241" fillId="49" borderId="0" applyNumberFormat="0" applyBorder="0" applyAlignment="0" applyProtection="0">
      <alignment vertical="center"/>
    </xf>
    <xf numFmtId="0" fontId="241" fillId="50" borderId="0" applyNumberFormat="0" applyBorder="0" applyAlignment="0" applyProtection="0">
      <alignment vertical="center"/>
    </xf>
    <xf numFmtId="0" fontId="241" fillId="50" borderId="0" applyNumberFormat="0" applyBorder="0" applyAlignment="0" applyProtection="0">
      <alignment vertical="center"/>
    </xf>
    <xf numFmtId="0" fontId="241" fillId="50" borderId="0" applyNumberFormat="0" applyBorder="0" applyAlignment="0" applyProtection="0">
      <alignment vertical="center"/>
    </xf>
    <xf numFmtId="0" fontId="241" fillId="52" borderId="0" applyNumberFormat="0" applyBorder="0" applyAlignment="0" applyProtection="0">
      <alignment vertical="center"/>
    </xf>
    <xf numFmtId="0" fontId="241" fillId="52" borderId="0" applyNumberFormat="0" applyBorder="0" applyAlignment="0" applyProtection="0">
      <alignment vertical="center"/>
    </xf>
    <xf numFmtId="0" fontId="241" fillId="52" borderId="0" applyNumberFormat="0" applyBorder="0" applyAlignment="0" applyProtection="0">
      <alignment vertical="center"/>
    </xf>
    <xf numFmtId="0" fontId="241" fillId="46" borderId="0" applyNumberFormat="0" applyBorder="0" applyAlignment="0" applyProtection="0">
      <alignment vertical="center"/>
    </xf>
    <xf numFmtId="0" fontId="241" fillId="46" borderId="0" applyNumberFormat="0" applyBorder="0" applyAlignment="0" applyProtection="0">
      <alignment vertical="center"/>
    </xf>
    <xf numFmtId="0" fontId="241" fillId="46" borderId="0" applyNumberFormat="0" applyBorder="0" applyAlignment="0" applyProtection="0">
      <alignment vertical="center"/>
    </xf>
    <xf numFmtId="0" fontId="241" fillId="49" borderId="0" applyNumberFormat="0" applyBorder="0" applyAlignment="0" applyProtection="0">
      <alignment vertical="center"/>
    </xf>
    <xf numFmtId="0" fontId="241" fillId="49" borderId="0" applyNumberFormat="0" applyBorder="0" applyAlignment="0" applyProtection="0">
      <alignment vertical="center"/>
    </xf>
    <xf numFmtId="0" fontId="241" fillId="49" borderId="0" applyNumberFormat="0" applyBorder="0" applyAlignment="0" applyProtection="0">
      <alignment vertical="center"/>
    </xf>
    <xf numFmtId="0" fontId="241" fillId="53" borderId="0" applyNumberFormat="0" applyBorder="0" applyAlignment="0" applyProtection="0">
      <alignment vertical="center"/>
    </xf>
    <xf numFmtId="0" fontId="241" fillId="53" borderId="0" applyNumberFormat="0" applyBorder="0" applyAlignment="0" applyProtection="0">
      <alignment vertical="center"/>
    </xf>
    <xf numFmtId="0" fontId="241" fillId="53" borderId="0" applyNumberFormat="0" applyBorder="0" applyAlignment="0" applyProtection="0">
      <alignment vertical="center"/>
    </xf>
    <xf numFmtId="0" fontId="249" fillId="56" borderId="0" applyNumberFormat="0" applyBorder="0" applyAlignment="0" applyProtection="0">
      <alignment vertical="center"/>
    </xf>
    <xf numFmtId="0" fontId="249" fillId="56" borderId="0" applyNumberFormat="0" applyBorder="0" applyAlignment="0" applyProtection="0">
      <alignment vertical="center"/>
    </xf>
    <xf numFmtId="0" fontId="249" fillId="56" borderId="0" applyNumberFormat="0" applyBorder="0" applyAlignment="0" applyProtection="0">
      <alignment vertical="center"/>
    </xf>
    <xf numFmtId="0" fontId="249" fillId="50" borderId="0" applyNumberFormat="0" applyBorder="0" applyAlignment="0" applyProtection="0">
      <alignment vertical="center"/>
    </xf>
    <xf numFmtId="0" fontId="249" fillId="50" borderId="0" applyNumberFormat="0" applyBorder="0" applyAlignment="0" applyProtection="0">
      <alignment vertical="center"/>
    </xf>
    <xf numFmtId="0" fontId="249" fillId="50" borderId="0" applyNumberFormat="0" applyBorder="0" applyAlignment="0" applyProtection="0">
      <alignment vertical="center"/>
    </xf>
    <xf numFmtId="0" fontId="249" fillId="52" borderId="0" applyNumberFormat="0" applyBorder="0" applyAlignment="0" applyProtection="0">
      <alignment vertical="center"/>
    </xf>
    <xf numFmtId="0" fontId="249" fillId="52" borderId="0" applyNumberFormat="0" applyBorder="0" applyAlignment="0" applyProtection="0">
      <alignment vertical="center"/>
    </xf>
    <xf numFmtId="0" fontId="249" fillId="52" borderId="0" applyNumberFormat="0" applyBorder="0" applyAlignment="0" applyProtection="0">
      <alignment vertical="center"/>
    </xf>
    <xf numFmtId="0" fontId="249" fillId="57" borderId="0" applyNumberFormat="0" applyBorder="0" applyAlignment="0" applyProtection="0">
      <alignment vertical="center"/>
    </xf>
    <xf numFmtId="0" fontId="249" fillId="57" borderId="0" applyNumberFormat="0" applyBorder="0" applyAlignment="0" applyProtection="0">
      <alignment vertical="center"/>
    </xf>
    <xf numFmtId="0" fontId="249" fillId="57" borderId="0" applyNumberFormat="0" applyBorder="0" applyAlignment="0" applyProtection="0">
      <alignment vertical="center"/>
    </xf>
    <xf numFmtId="0" fontId="249" fillId="58" borderId="0" applyNumberFormat="0" applyBorder="0" applyAlignment="0" applyProtection="0">
      <alignment vertical="center"/>
    </xf>
    <xf numFmtId="0" fontId="249" fillId="58" borderId="0" applyNumberFormat="0" applyBorder="0" applyAlignment="0" applyProtection="0">
      <alignment vertical="center"/>
    </xf>
    <xf numFmtId="0" fontId="249" fillId="58" borderId="0" applyNumberFormat="0" applyBorder="0" applyAlignment="0" applyProtection="0">
      <alignment vertical="center"/>
    </xf>
    <xf numFmtId="0" fontId="249" fillId="59" borderId="0" applyNumberFormat="0" applyBorder="0" applyAlignment="0" applyProtection="0">
      <alignment vertical="center"/>
    </xf>
    <xf numFmtId="0" fontId="249" fillId="59" borderId="0" applyNumberFormat="0" applyBorder="0" applyAlignment="0" applyProtection="0">
      <alignment vertical="center"/>
    </xf>
    <xf numFmtId="0" fontId="249" fillId="59" borderId="0" applyNumberFormat="0" applyBorder="0" applyAlignment="0" applyProtection="0">
      <alignment vertical="center"/>
    </xf>
    <xf numFmtId="0" fontId="259" fillId="0" borderId="70" applyFont="0" applyBorder="0" applyAlignment="0">
      <alignment horizontal="center" vertical="top" wrapText="1"/>
    </xf>
    <xf numFmtId="0" fontId="259" fillId="0" borderId="70" applyFont="0" applyBorder="0" applyAlignment="0">
      <alignment horizontal="center" vertical="top" wrapText="1"/>
    </xf>
    <xf numFmtId="0" fontId="259" fillId="0" borderId="70" applyFont="0" applyBorder="0" applyAlignment="0">
      <alignment horizontal="center" vertical="top" wrapText="1"/>
    </xf>
    <xf numFmtId="0" fontId="259" fillId="0" borderId="70" applyFont="0" applyBorder="0" applyAlignment="0">
      <alignment horizontal="center" vertical="top" wrapText="1"/>
    </xf>
    <xf numFmtId="0" fontId="259" fillId="0" borderId="70" applyFont="0" applyBorder="0" applyAlignment="0">
      <alignment horizontal="center" vertical="top" wrapText="1"/>
    </xf>
    <xf numFmtId="0" fontId="259" fillId="0" borderId="70" applyFont="0" applyBorder="0" applyAlignment="0">
      <alignment horizontal="center" vertical="top" wrapText="1"/>
    </xf>
    <xf numFmtId="0" fontId="259" fillId="0" borderId="70" applyFont="0" applyBorder="0" applyAlignment="0">
      <alignment horizontal="center" vertical="top" wrapText="1"/>
    </xf>
    <xf numFmtId="0" fontId="259" fillId="0" borderId="70" applyFont="0" applyBorder="0" applyAlignment="0">
      <alignment horizontal="center" vertical="top" wrapText="1"/>
    </xf>
    <xf numFmtId="0" fontId="259" fillId="0" borderId="70" applyFont="0" applyBorder="0" applyAlignment="0">
      <alignment horizontal="center" vertical="top" wrapText="1"/>
    </xf>
    <xf numFmtId="0" fontId="259" fillId="0" borderId="70" applyFont="0" applyBorder="0" applyAlignment="0">
      <alignment horizontal="center" vertical="top" wrapText="1"/>
    </xf>
    <xf numFmtId="0" fontId="259" fillId="0" borderId="70" applyFont="0" applyBorder="0" applyAlignment="0">
      <alignment horizontal="center" vertical="top" wrapText="1"/>
    </xf>
    <xf numFmtId="0" fontId="259" fillId="0" borderId="70" applyFont="0" applyBorder="0" applyAlignment="0">
      <alignment horizontal="center" vertical="top" wrapText="1"/>
    </xf>
    <xf numFmtId="0" fontId="259" fillId="0" borderId="70" applyFont="0" applyBorder="0" applyAlignment="0">
      <alignment horizontal="center" vertical="top" wrapText="1"/>
    </xf>
    <xf numFmtId="0" fontId="259" fillId="0" borderId="70" applyFont="0" applyBorder="0" applyAlignment="0">
      <alignment horizontal="center" vertical="top" wrapText="1"/>
    </xf>
    <xf numFmtId="0" fontId="259" fillId="0" borderId="70" applyFont="0" applyBorder="0" applyAlignment="0">
      <alignment horizontal="center" vertical="top" wrapText="1"/>
    </xf>
    <xf numFmtId="0" fontId="259" fillId="0" borderId="70" applyFont="0" applyBorder="0" applyAlignment="0">
      <alignment horizontal="center" vertical="top" wrapText="1"/>
    </xf>
    <xf numFmtId="0" fontId="259" fillId="0" borderId="70" applyFont="0" applyBorder="0" applyAlignment="0">
      <alignment horizontal="center" vertical="top" wrapText="1"/>
    </xf>
    <xf numFmtId="0" fontId="259" fillId="0" borderId="70" applyFont="0" applyBorder="0" applyAlignment="0">
      <alignment horizontal="center" vertical="top" wrapText="1"/>
    </xf>
    <xf numFmtId="0" fontId="259" fillId="0" borderId="70" applyFont="0" applyBorder="0" applyAlignment="0">
      <alignment horizontal="center" vertical="top" wrapText="1"/>
    </xf>
    <xf numFmtId="0" fontId="259" fillId="0" borderId="70" applyFont="0" applyBorder="0" applyAlignment="0">
      <alignment horizontal="center" vertical="top" wrapText="1"/>
    </xf>
    <xf numFmtId="0" fontId="259" fillId="0" borderId="70" applyFont="0" applyBorder="0" applyAlignment="0">
      <alignment horizontal="center" vertical="top" wrapText="1"/>
    </xf>
    <xf numFmtId="0" fontId="259" fillId="0" borderId="70" applyFont="0" applyBorder="0" applyAlignment="0">
      <alignment horizontal="center" vertical="top" wrapText="1"/>
    </xf>
    <xf numFmtId="0" fontId="259" fillId="0" borderId="70" applyFont="0" applyBorder="0" applyAlignment="0">
      <alignment horizontal="center" vertical="top" wrapText="1"/>
    </xf>
    <xf numFmtId="0" fontId="259" fillId="0" borderId="70" applyFont="0" applyBorder="0" applyAlignment="0">
      <alignment horizontal="center" vertical="top" wrapText="1"/>
    </xf>
    <xf numFmtId="202" fontId="24" fillId="0" borderId="0"/>
    <xf numFmtId="204" fontId="261" fillId="42" borderId="76">
      <alignment horizontal="center" vertical="center"/>
    </xf>
    <xf numFmtId="202" fontId="17" fillId="0" borderId="0" applyFont="0" applyFill="0" applyBorder="0" applyAlignment="0" applyProtection="0"/>
    <xf numFmtId="204" fontId="236" fillId="0" borderId="0" applyFont="0" applyFill="0" applyBorder="0" applyAlignment="0" applyProtection="0"/>
    <xf numFmtId="204" fontId="17" fillId="0" borderId="0" applyFont="0" applyFill="0" applyBorder="0" applyAlignment="0" applyProtection="0"/>
    <xf numFmtId="204" fontId="322" fillId="0" borderId="0" applyFont="0" applyFill="0" applyBorder="0" applyAlignment="0" applyProtection="0"/>
    <xf numFmtId="204" fontId="236" fillId="0" borderId="0" applyFont="0" applyFill="0" applyBorder="0" applyAlignment="0" applyProtection="0"/>
    <xf numFmtId="204" fontId="17" fillId="0" borderId="0" applyFont="0" applyFill="0" applyBorder="0" applyAlignment="0" applyProtection="0"/>
    <xf numFmtId="204" fontId="236" fillId="0" borderId="0" applyFont="0" applyFill="0" applyBorder="0" applyAlignment="0" applyProtection="0"/>
    <xf numFmtId="204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204" fontId="236" fillId="0" borderId="0" applyFont="0" applyFill="0" applyBorder="0" applyAlignment="0" applyProtection="0"/>
    <xf numFmtId="204" fontId="341" fillId="0" borderId="0" applyFont="0" applyFill="0" applyBorder="0" applyAlignment="0" applyProtection="0"/>
    <xf numFmtId="203" fontId="75" fillId="0" borderId="0" applyFont="0" applyFill="0" applyBorder="0" applyAlignment="0" applyProtection="0"/>
    <xf numFmtId="201" fontId="75" fillId="0" borderId="0" applyFont="0" applyFill="0" applyBorder="0" applyAlignment="0" applyProtection="0"/>
    <xf numFmtId="0" fontId="1" fillId="0" borderId="0"/>
    <xf numFmtId="202" fontId="341" fillId="0" borderId="0" applyFont="0" applyFill="0" applyBorder="0" applyAlignment="0" applyProtection="0"/>
    <xf numFmtId="204" fontId="75" fillId="0" borderId="0" applyFont="0" applyFill="0" applyBorder="0" applyAlignment="0" applyProtection="0"/>
    <xf numFmtId="201" fontId="492" fillId="0" borderId="0" applyFont="0" applyFill="0" applyBorder="0" applyAlignment="0" applyProtection="0"/>
    <xf numFmtId="0" fontId="56" fillId="0" borderId="8" applyBorder="0" applyAlignment="0" applyProtection="0">
      <alignment horizontal="center" vertical="top"/>
    </xf>
    <xf numFmtId="0" fontId="56" fillId="0" borderId="8" applyBorder="0" applyAlignment="0" applyProtection="0">
      <alignment horizontal="center" vertical="top"/>
    </xf>
    <xf numFmtId="0" fontId="56" fillId="0" borderId="8" applyBorder="0" applyAlignment="0" applyProtection="0">
      <alignment horizontal="center" vertical="top"/>
    </xf>
    <xf numFmtId="0" fontId="56" fillId="0" borderId="8" applyBorder="0" applyAlignment="0" applyProtection="0">
      <alignment horizontal="center" vertical="top"/>
    </xf>
    <xf numFmtId="0" fontId="56" fillId="0" borderId="8" applyBorder="0" applyAlignment="0" applyProtection="0">
      <alignment horizontal="center" vertical="top"/>
    </xf>
    <xf numFmtId="0" fontId="56" fillId="0" borderId="8" applyBorder="0" applyAlignment="0" applyProtection="0">
      <alignment horizontal="center" vertical="top"/>
    </xf>
    <xf numFmtId="0" fontId="56" fillId="0" borderId="8" applyBorder="0" applyAlignment="0" applyProtection="0">
      <alignment horizontal="center" vertical="top"/>
    </xf>
    <xf numFmtId="0" fontId="56" fillId="0" borderId="8" applyBorder="0" applyAlignment="0" applyProtection="0">
      <alignment horizontal="center" vertical="top"/>
    </xf>
    <xf numFmtId="0" fontId="56" fillId="0" borderId="8" applyBorder="0" applyAlignment="0" applyProtection="0">
      <alignment horizontal="center" vertical="top"/>
    </xf>
    <xf numFmtId="0" fontId="56" fillId="0" borderId="8" applyBorder="0" applyAlignment="0" applyProtection="0">
      <alignment horizontal="center" vertical="top"/>
    </xf>
    <xf numFmtId="0" fontId="56" fillId="0" borderId="8" applyBorder="0" applyAlignment="0" applyProtection="0">
      <alignment horizontal="center" vertical="top"/>
    </xf>
    <xf numFmtId="0" fontId="56" fillId="0" borderId="8" applyBorder="0" applyAlignment="0" applyProtection="0">
      <alignment horizontal="center" vertical="top"/>
    </xf>
    <xf numFmtId="0" fontId="56" fillId="0" borderId="8" applyBorder="0" applyAlignment="0" applyProtection="0">
      <alignment horizontal="center" vertical="top"/>
    </xf>
    <xf numFmtId="0" fontId="56" fillId="0" borderId="8" applyBorder="0" applyAlignment="0" applyProtection="0">
      <alignment horizontal="center" vertical="top"/>
    </xf>
    <xf numFmtId="0" fontId="56" fillId="0" borderId="8" applyBorder="0" applyAlignment="0" applyProtection="0">
      <alignment horizontal="center" vertical="top"/>
    </xf>
    <xf numFmtId="0" fontId="56" fillId="0" borderId="8" applyBorder="0" applyAlignment="0" applyProtection="0">
      <alignment horizontal="center" vertical="top"/>
    </xf>
    <xf numFmtId="0" fontId="56" fillId="0" borderId="8" applyBorder="0" applyAlignment="0" applyProtection="0">
      <alignment horizontal="center" vertical="top"/>
    </xf>
    <xf numFmtId="0" fontId="56" fillId="0" borderId="8" applyBorder="0" applyAlignment="0" applyProtection="0">
      <alignment horizontal="center" vertical="top"/>
    </xf>
    <xf numFmtId="0" fontId="56" fillId="0" borderId="8" applyBorder="0" applyAlignment="0" applyProtection="0">
      <alignment horizontal="center" vertical="top"/>
    </xf>
    <xf numFmtId="0" fontId="56" fillId="0" borderId="8" applyBorder="0" applyAlignment="0" applyProtection="0">
      <alignment horizontal="center" vertical="top"/>
    </xf>
    <xf numFmtId="0" fontId="56" fillId="0" borderId="8" applyBorder="0" applyAlignment="0" applyProtection="0">
      <alignment horizontal="center" vertical="top"/>
    </xf>
    <xf numFmtId="0" fontId="56" fillId="0" borderId="8" applyBorder="0" applyAlignment="0" applyProtection="0">
      <alignment horizontal="center" vertical="top"/>
    </xf>
    <xf numFmtId="0" fontId="56" fillId="0" borderId="8" applyBorder="0" applyAlignment="0" applyProtection="0">
      <alignment horizontal="center" vertical="top"/>
    </xf>
    <xf numFmtId="0" fontId="56" fillId="0" borderId="8" applyBorder="0" applyAlignment="0" applyProtection="0">
      <alignment horizontal="center" vertical="top"/>
    </xf>
    <xf numFmtId="0" fontId="56" fillId="0" borderId="8" applyBorder="0" applyAlignment="0" applyProtection="0">
      <alignment horizontal="center" vertical="top"/>
    </xf>
    <xf numFmtId="0" fontId="56" fillId="0" borderId="8" applyBorder="0" applyAlignment="0" applyProtection="0">
      <alignment horizontal="center" vertical="top"/>
    </xf>
    <xf numFmtId="0" fontId="56" fillId="0" borderId="8" applyBorder="0" applyAlignment="0" applyProtection="0">
      <alignment horizontal="center" vertical="top"/>
    </xf>
    <xf numFmtId="0" fontId="56" fillId="0" borderId="8" applyBorder="0" applyAlignment="0" applyProtection="0">
      <alignment horizontal="center" vertical="top"/>
    </xf>
    <xf numFmtId="0" fontId="56" fillId="0" borderId="8" applyBorder="0" applyAlignment="0" applyProtection="0">
      <alignment horizontal="center" vertical="top"/>
    </xf>
    <xf numFmtId="0" fontId="56" fillId="0" borderId="8" applyBorder="0" applyAlignment="0" applyProtection="0">
      <alignment horizontal="center" vertical="top"/>
    </xf>
    <xf numFmtId="0" fontId="56" fillId="0" borderId="8" applyBorder="0" applyAlignment="0" applyProtection="0">
      <alignment horizontal="center" vertical="top"/>
    </xf>
    <xf numFmtId="0" fontId="56" fillId="0" borderId="8" applyBorder="0" applyAlignment="0" applyProtection="0">
      <alignment horizontal="center" vertical="top"/>
    </xf>
    <xf numFmtId="0" fontId="56" fillId="0" borderId="8" applyBorder="0" applyAlignment="0" applyProtection="0">
      <alignment horizontal="center" vertical="top"/>
    </xf>
    <xf numFmtId="0" fontId="56" fillId="0" borderId="8" applyBorder="0" applyAlignment="0" applyProtection="0">
      <alignment horizontal="center" vertical="top"/>
    </xf>
    <xf numFmtId="0" fontId="56" fillId="0" borderId="8" applyBorder="0" applyAlignment="0" applyProtection="0">
      <alignment horizontal="center" vertical="top"/>
    </xf>
    <xf numFmtId="0" fontId="56" fillId="0" borderId="8" applyBorder="0" applyAlignment="0" applyProtection="0">
      <alignment horizontal="center" vertical="top"/>
    </xf>
    <xf numFmtId="0" fontId="170" fillId="0" borderId="0"/>
    <xf numFmtId="203" fontId="75" fillId="0" borderId="0" applyFont="0" applyFill="0" applyBorder="0" applyAlignment="0" applyProtection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202" fontId="17" fillId="0" borderId="0" applyFont="0" applyFill="0" applyBorder="0" applyAlignment="0" applyProtection="0"/>
    <xf numFmtId="0" fontId="570" fillId="0" borderId="0" applyNumberFormat="0" applyFill="0" applyBorder="0" applyAlignment="0" applyProtection="0">
      <alignment vertical="center"/>
    </xf>
    <xf numFmtId="0" fontId="570" fillId="0" borderId="0" applyNumberFormat="0" applyFill="0" applyBorder="0" applyAlignment="0" applyProtection="0">
      <alignment vertical="center"/>
    </xf>
    <xf numFmtId="0" fontId="570" fillId="0" borderId="0" applyNumberFormat="0" applyFill="0" applyBorder="0" applyAlignment="0" applyProtection="0">
      <alignment vertical="center"/>
    </xf>
    <xf numFmtId="0" fontId="574" fillId="0" borderId="0" applyNumberFormat="0" applyFill="0" applyBorder="0" applyAlignment="0" applyProtection="0">
      <alignment vertical="center"/>
    </xf>
    <xf numFmtId="0" fontId="574" fillId="0" borderId="0" applyNumberFormat="0" applyFill="0" applyBorder="0" applyAlignment="0" applyProtection="0">
      <alignment vertical="center"/>
    </xf>
    <xf numFmtId="0" fontId="574" fillId="0" borderId="0" applyNumberFormat="0" applyFill="0" applyBorder="0" applyAlignment="0" applyProtection="0">
      <alignment vertical="center"/>
    </xf>
    <xf numFmtId="204" fontId="17" fillId="0" borderId="0" applyFont="0" applyFill="0" applyBorder="0" applyAlignment="0" applyProtection="0"/>
    <xf numFmtId="204" fontId="54" fillId="0" borderId="0" applyFont="0" applyFill="0" applyBorder="0" applyAlignment="0" applyProtection="0"/>
    <xf numFmtId="204" fontId="17" fillId="0" borderId="0" applyFont="0" applyFill="0" applyBorder="0" applyAlignment="0" applyProtection="0"/>
    <xf numFmtId="204" fontId="2" fillId="0" borderId="0" applyFont="0" applyFill="0" applyBorder="0" applyAlignment="0" applyProtection="0"/>
    <xf numFmtId="204" fontId="236" fillId="0" borderId="0" applyFont="0" applyFill="0" applyBorder="0" applyAlignment="0" applyProtection="0"/>
    <xf numFmtId="204" fontId="2" fillId="0" borderId="0" applyFont="0" applyFill="0" applyBorder="0" applyAlignment="0" applyProtection="0"/>
    <xf numFmtId="202" fontId="2" fillId="0" borderId="0" applyFont="0" applyFill="0" applyBorder="0" applyAlignment="0" applyProtection="0"/>
    <xf numFmtId="202" fontId="54" fillId="0" borderId="0" applyFont="0" applyFill="0" applyBorder="0" applyAlignment="0" applyProtection="0"/>
    <xf numFmtId="0" fontId="587" fillId="45" borderId="0" applyNumberFormat="0" applyBorder="0" applyAlignment="0" applyProtection="0">
      <alignment vertical="center"/>
    </xf>
    <xf numFmtId="0" fontId="587" fillId="45" borderId="0" applyNumberFormat="0" applyBorder="0" applyAlignment="0" applyProtection="0">
      <alignment vertical="center"/>
    </xf>
    <xf numFmtId="0" fontId="587" fillId="45" borderId="0" applyNumberFormat="0" applyBorder="0" applyAlignment="0" applyProtection="0">
      <alignment vertical="center"/>
    </xf>
    <xf numFmtId="0" fontId="589" fillId="44" borderId="0" applyNumberFormat="0" applyBorder="0" applyAlignment="0" applyProtection="0">
      <alignment vertical="center"/>
    </xf>
    <xf numFmtId="0" fontId="589" fillId="44" borderId="0" applyNumberFormat="0" applyBorder="0" applyAlignment="0" applyProtection="0">
      <alignment vertical="center"/>
    </xf>
    <xf numFmtId="0" fontId="589" fillId="44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0" borderId="0">
      <alignment vertical="center"/>
    </xf>
    <xf numFmtId="0" fontId="170" fillId="0" borderId="0">
      <alignment vertical="center"/>
    </xf>
    <xf numFmtId="0" fontId="594" fillId="0" borderId="0"/>
    <xf numFmtId="0" fontId="594" fillId="0" borderId="0"/>
    <xf numFmtId="0" fontId="594" fillId="0" borderId="0"/>
    <xf numFmtId="0" fontId="170" fillId="0" borderId="0"/>
    <xf numFmtId="0" fontId="170" fillId="0" borderId="0"/>
    <xf numFmtId="202" fontId="170" fillId="0" borderId="0" applyFont="0" applyFill="0" applyBorder="0" applyAlignment="0" applyProtection="0"/>
    <xf numFmtId="202" fontId="170" fillId="0" borderId="0" applyFont="0" applyFill="0" applyBorder="0" applyAlignment="0" applyProtection="0"/>
    <xf numFmtId="202" fontId="170" fillId="0" borderId="0" applyFont="0" applyFill="0" applyBorder="0" applyAlignment="0" applyProtection="0"/>
    <xf numFmtId="202" fontId="170" fillId="0" borderId="0" applyFont="0" applyFill="0" applyBorder="0" applyAlignment="0" applyProtection="0"/>
    <xf numFmtId="202" fontId="170" fillId="0" borderId="0" applyFont="0" applyFill="0" applyBorder="0" applyAlignment="0" applyProtection="0"/>
    <xf numFmtId="202" fontId="169" fillId="0" borderId="0" applyFont="0" applyFill="0" applyBorder="0" applyAlignment="0" applyProtection="0"/>
    <xf numFmtId="202" fontId="170" fillId="0" borderId="0" applyFont="0" applyFill="0" applyBorder="0" applyAlignment="0" applyProtection="0"/>
    <xf numFmtId="202" fontId="170" fillId="0" borderId="0" applyFont="0" applyFill="0" applyBorder="0" applyAlignment="0" applyProtection="0"/>
    <xf numFmtId="202" fontId="169" fillId="0" borderId="0" applyFont="0" applyFill="0" applyBorder="0" applyAlignment="0" applyProtection="0"/>
    <xf numFmtId="202" fontId="170" fillId="0" borderId="0" applyFont="0" applyFill="0" applyBorder="0" applyAlignment="0" applyProtection="0"/>
    <xf numFmtId="199" fontId="2" fillId="0" borderId="0" applyFont="0" applyFill="0" applyBorder="0" applyAlignment="0" applyProtection="0"/>
    <xf numFmtId="200" fontId="2" fillId="0" borderId="0" applyFont="0" applyFill="0" applyBorder="0" applyAlignment="0" applyProtection="0"/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0" fontId="170" fillId="51" borderId="81" applyNumberFormat="0" applyFont="0" applyAlignment="0" applyProtection="0">
      <alignment vertical="center"/>
    </xf>
    <xf numFmtId="9" fontId="170" fillId="0" borderId="0" applyFont="0" applyFill="0" applyBorder="0" applyAlignment="0" applyProtection="0">
      <alignment vertical="center"/>
    </xf>
    <xf numFmtId="9" fontId="170" fillId="0" borderId="0" applyFont="0" applyFill="0" applyBorder="0" applyAlignment="0" applyProtection="0">
      <alignment vertical="center"/>
    </xf>
    <xf numFmtId="9" fontId="170" fillId="0" borderId="0" applyFont="0" applyFill="0" applyBorder="0" applyAlignment="0" applyProtection="0">
      <alignment vertical="center"/>
    </xf>
    <xf numFmtId="9" fontId="170" fillId="0" borderId="0" applyFont="0" applyFill="0" applyBorder="0" applyAlignment="0" applyProtection="0">
      <alignment vertical="center"/>
    </xf>
    <xf numFmtId="9" fontId="241" fillId="0" borderId="0" applyFont="0" applyFill="0" applyBorder="0" applyAlignment="0" applyProtection="0">
      <alignment vertical="center"/>
    </xf>
    <xf numFmtId="0" fontId="1" fillId="0" borderId="0"/>
    <xf numFmtId="204" fontId="492" fillId="0" borderId="0" applyFont="0" applyFill="0" applyBorder="0" applyAlignment="0" applyProtection="0"/>
    <xf numFmtId="0" fontId="249" fillId="61" borderId="0" applyNumberFormat="0" applyBorder="0" applyAlignment="0" applyProtection="0">
      <alignment vertical="center"/>
    </xf>
    <xf numFmtId="0" fontId="249" fillId="61" borderId="0" applyNumberFormat="0" applyBorder="0" applyAlignment="0" applyProtection="0">
      <alignment vertical="center"/>
    </xf>
    <xf numFmtId="0" fontId="249" fillId="61" borderId="0" applyNumberFormat="0" applyBorder="0" applyAlignment="0" applyProtection="0">
      <alignment vertical="center"/>
    </xf>
    <xf numFmtId="0" fontId="249" fillId="66" borderId="0" applyNumberFormat="0" applyBorder="0" applyAlignment="0" applyProtection="0">
      <alignment vertical="center"/>
    </xf>
    <xf numFmtId="0" fontId="249" fillId="66" borderId="0" applyNumberFormat="0" applyBorder="0" applyAlignment="0" applyProtection="0">
      <alignment vertical="center"/>
    </xf>
    <xf numFmtId="0" fontId="249" fillId="66" borderId="0" applyNumberFormat="0" applyBorder="0" applyAlignment="0" applyProtection="0">
      <alignment vertical="center"/>
    </xf>
    <xf numFmtId="0" fontId="249" fillId="70" borderId="0" applyNumberFormat="0" applyBorder="0" applyAlignment="0" applyProtection="0">
      <alignment vertical="center"/>
    </xf>
    <xf numFmtId="0" fontId="249" fillId="70" borderId="0" applyNumberFormat="0" applyBorder="0" applyAlignment="0" applyProtection="0">
      <alignment vertical="center"/>
    </xf>
    <xf numFmtId="0" fontId="249" fillId="70" borderId="0" applyNumberFormat="0" applyBorder="0" applyAlignment="0" applyProtection="0">
      <alignment vertical="center"/>
    </xf>
    <xf numFmtId="0" fontId="249" fillId="57" borderId="0" applyNumberFormat="0" applyBorder="0" applyAlignment="0" applyProtection="0">
      <alignment vertical="center"/>
    </xf>
    <xf numFmtId="0" fontId="249" fillId="57" borderId="0" applyNumberFormat="0" applyBorder="0" applyAlignment="0" applyProtection="0">
      <alignment vertical="center"/>
    </xf>
    <xf numFmtId="0" fontId="249" fillId="57" borderId="0" applyNumberFormat="0" applyBorder="0" applyAlignment="0" applyProtection="0">
      <alignment vertical="center"/>
    </xf>
    <xf numFmtId="0" fontId="249" fillId="58" borderId="0" applyNumberFormat="0" applyBorder="0" applyAlignment="0" applyProtection="0">
      <alignment vertical="center"/>
    </xf>
    <xf numFmtId="0" fontId="249" fillId="58" borderId="0" applyNumberFormat="0" applyBorder="0" applyAlignment="0" applyProtection="0">
      <alignment vertical="center"/>
    </xf>
    <xf numFmtId="0" fontId="249" fillId="58" borderId="0" applyNumberFormat="0" applyBorder="0" applyAlignment="0" applyProtection="0">
      <alignment vertical="center"/>
    </xf>
    <xf numFmtId="0" fontId="249" fillId="60" borderId="0" applyNumberFormat="0" applyBorder="0" applyAlignment="0" applyProtection="0">
      <alignment vertical="center"/>
    </xf>
    <xf numFmtId="0" fontId="249" fillId="60" borderId="0" applyNumberFormat="0" applyBorder="0" applyAlignment="0" applyProtection="0">
      <alignment vertical="center"/>
    </xf>
    <xf numFmtId="0" fontId="249" fillId="60" borderId="0" applyNumberFormat="0" applyBorder="0" applyAlignment="0" applyProtection="0">
      <alignment vertical="center"/>
    </xf>
    <xf numFmtId="0" fontId="630" fillId="0" borderId="84" applyNumberFormat="0" applyFill="0" applyAlignment="0" applyProtection="0">
      <alignment vertical="center"/>
    </xf>
    <xf numFmtId="0" fontId="630" fillId="0" borderId="84" applyNumberFormat="0" applyFill="0" applyAlignment="0" applyProtection="0">
      <alignment vertical="center"/>
    </xf>
    <xf numFmtId="0" fontId="630" fillId="0" borderId="84" applyNumberFormat="0" applyFill="0" applyAlignment="0" applyProtection="0">
      <alignment vertical="center"/>
    </xf>
    <xf numFmtId="0" fontId="632" fillId="0" borderId="86" applyNumberFormat="0" applyFill="0" applyAlignment="0" applyProtection="0">
      <alignment vertical="center"/>
    </xf>
    <xf numFmtId="0" fontId="632" fillId="0" borderId="86" applyNumberFormat="0" applyFill="0" applyAlignment="0" applyProtection="0">
      <alignment vertical="center"/>
    </xf>
    <xf numFmtId="0" fontId="632" fillId="0" borderId="86" applyNumberFormat="0" applyFill="0" applyAlignment="0" applyProtection="0">
      <alignment vertical="center"/>
    </xf>
    <xf numFmtId="0" fontId="634" fillId="0" borderId="88" applyNumberFormat="0" applyFill="0" applyAlignment="0" applyProtection="0">
      <alignment vertical="center"/>
    </xf>
    <xf numFmtId="0" fontId="634" fillId="0" borderId="88" applyNumberFormat="0" applyFill="0" applyAlignment="0" applyProtection="0">
      <alignment vertical="center"/>
    </xf>
    <xf numFmtId="0" fontId="634" fillId="0" borderId="88" applyNumberFormat="0" applyFill="0" applyAlignment="0" applyProtection="0">
      <alignment vertical="center"/>
    </xf>
    <xf numFmtId="0" fontId="634" fillId="0" borderId="0" applyNumberFormat="0" applyFill="0" applyBorder="0" applyAlignment="0" applyProtection="0">
      <alignment vertical="center"/>
    </xf>
    <xf numFmtId="0" fontId="634" fillId="0" borderId="0" applyNumberFormat="0" applyFill="0" applyBorder="0" applyAlignment="0" applyProtection="0">
      <alignment vertical="center"/>
    </xf>
    <xf numFmtId="0" fontId="634" fillId="0" borderId="0" applyNumberFormat="0" applyFill="0" applyBorder="0" applyAlignment="0" applyProtection="0">
      <alignment vertical="center"/>
    </xf>
    <xf numFmtId="0" fontId="629" fillId="0" borderId="0" applyNumberFormat="0" applyFill="0" applyBorder="0" applyAlignment="0" applyProtection="0">
      <alignment vertical="center"/>
    </xf>
    <xf numFmtId="0" fontId="629" fillId="0" borderId="0" applyNumberFormat="0" applyFill="0" applyBorder="0" applyAlignment="0" applyProtection="0">
      <alignment vertical="center"/>
    </xf>
    <xf numFmtId="0" fontId="629" fillId="0" borderId="0" applyNumberFormat="0" applyFill="0" applyBorder="0" applyAlignment="0" applyProtection="0">
      <alignment vertical="center"/>
    </xf>
    <xf numFmtId="0" fontId="637" fillId="83" borderId="79" applyNumberFormat="0" applyAlignment="0" applyProtection="0">
      <alignment vertical="center"/>
    </xf>
    <xf numFmtId="0" fontId="637" fillId="83" borderId="79" applyNumberFormat="0" applyAlignment="0" applyProtection="0">
      <alignment vertical="center"/>
    </xf>
    <xf numFmtId="0" fontId="637" fillId="83" borderId="79" applyNumberFormat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39" fillId="0" borderId="105" applyNumberFormat="0" applyFill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1" fillId="54" borderId="77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3" fillId="54" borderId="96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5" fillId="48" borderId="77" applyNumberFormat="0" applyAlignment="0" applyProtection="0">
      <alignment vertical="center"/>
    </xf>
    <xf numFmtId="0" fontId="647" fillId="55" borderId="0" applyNumberFormat="0" applyBorder="0" applyAlignment="0" applyProtection="0">
      <alignment vertical="center"/>
    </xf>
    <xf numFmtId="0" fontId="647" fillId="55" borderId="0" applyNumberFormat="0" applyBorder="0" applyAlignment="0" applyProtection="0">
      <alignment vertical="center"/>
    </xf>
    <xf numFmtId="0" fontId="647" fillId="55" borderId="0" applyNumberFormat="0" applyBorder="0" applyAlignment="0" applyProtection="0">
      <alignment vertical="center"/>
    </xf>
    <xf numFmtId="0" fontId="651" fillId="0" borderId="80" applyNumberFormat="0" applyFill="0" applyAlignment="0" applyProtection="0">
      <alignment vertical="center"/>
    </xf>
    <xf numFmtId="0" fontId="651" fillId="0" borderId="80" applyNumberFormat="0" applyFill="0" applyAlignment="0" applyProtection="0">
      <alignment vertical="center"/>
    </xf>
    <xf numFmtId="0" fontId="651" fillId="0" borderId="80" applyNumberFormat="0" applyFill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38" fontId="1" fillId="0" borderId="0" applyFont="0" applyFill="0" applyBorder="0" applyAlignment="0" applyProtection="0">
      <alignment vertical="center"/>
    </xf>
    <xf numFmtId="197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/>
    <xf numFmtId="38" fontId="543" fillId="0" borderId="0" applyFont="0" applyFill="0" applyBorder="0" applyAlignment="0" applyProtection="0">
      <alignment vertical="center"/>
    </xf>
    <xf numFmtId="0" fontId="452" fillId="54" borderId="137" applyNumberFormat="0" applyAlignment="0" applyProtection="0"/>
    <xf numFmtId="1" fontId="264" fillId="0" borderId="136">
      <protection hidden="1"/>
    </xf>
    <xf numFmtId="1" fontId="264" fillId="0" borderId="136">
      <protection hidden="1"/>
    </xf>
    <xf numFmtId="0" fontId="597" fillId="48" borderId="132" applyNumberFormat="0" applyAlignment="0" applyProtection="0">
      <alignment vertical="center"/>
    </xf>
    <xf numFmtId="0" fontId="597" fillId="48" borderId="132" applyNumberFormat="0" applyAlignment="0" applyProtection="0">
      <alignment vertical="center"/>
    </xf>
    <xf numFmtId="0" fontId="597" fillId="48" borderId="132" applyNumberFormat="0" applyAlignment="0" applyProtection="0">
      <alignment vertical="center"/>
    </xf>
    <xf numFmtId="1" fontId="264" fillId="0" borderId="136">
      <protection hidden="1"/>
    </xf>
    <xf numFmtId="0" fontId="597" fillId="48" borderId="132" applyNumberForma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65" fillId="51" borderId="134" applyNumberFormat="0" applyFont="0" applyAlignment="0" applyProtection="0"/>
    <xf numFmtId="1" fontId="264" fillId="0" borderId="136">
      <protection hidden="1"/>
    </xf>
    <xf numFmtId="0" fontId="291" fillId="54" borderId="132" applyNumberFormat="0" applyAlignment="0" applyProtection="0"/>
    <xf numFmtId="0" fontId="296" fillId="80" borderId="132" applyNumberFormat="0" applyAlignment="0" applyProtection="0"/>
    <xf numFmtId="0" fontId="236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" fillId="51" borderId="134" applyNumberFormat="0" applyFont="0" applyAlignment="0" applyProtection="0"/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95" borderId="139" applyNumberFormat="0" applyProtection="0">
      <alignment horizontal="right" vertical="center"/>
    </xf>
    <xf numFmtId="4" fontId="171" fillId="95" borderId="139" applyNumberFormat="0" applyProtection="0">
      <alignment horizontal="right" vertical="center"/>
    </xf>
    <xf numFmtId="4" fontId="171" fillId="95" borderId="139" applyNumberFormat="0" applyProtection="0">
      <alignment horizontal="right" vertical="center"/>
    </xf>
    <xf numFmtId="4" fontId="171" fillId="95" borderId="139" applyNumberFormat="0" applyProtection="0">
      <alignment horizontal="right" vertical="center"/>
    </xf>
    <xf numFmtId="4" fontId="171" fillId="95" borderId="139" applyNumberFormat="0" applyProtection="0">
      <alignment horizontal="right" vertical="center"/>
    </xf>
    <xf numFmtId="4" fontId="171" fillId="95" borderId="139" applyNumberFormat="0" applyProtection="0">
      <alignment horizontal="right" vertical="center"/>
    </xf>
    <xf numFmtId="4" fontId="171" fillId="95" borderId="139" applyNumberFormat="0" applyProtection="0">
      <alignment horizontal="right" vertical="center"/>
    </xf>
    <xf numFmtId="4" fontId="171" fillId="95" borderId="139" applyNumberFormat="0" applyProtection="0">
      <alignment horizontal="right" vertical="center"/>
    </xf>
    <xf numFmtId="4" fontId="171" fillId="95" borderId="139" applyNumberFormat="0" applyProtection="0">
      <alignment horizontal="right" vertical="center"/>
    </xf>
    <xf numFmtId="4" fontId="171" fillId="95" borderId="139" applyNumberFormat="0" applyProtection="0">
      <alignment horizontal="right" vertical="center"/>
    </xf>
    <xf numFmtId="4" fontId="171" fillId="95" borderId="139" applyNumberFormat="0" applyProtection="0">
      <alignment horizontal="right" vertical="center"/>
    </xf>
    <xf numFmtId="4" fontId="171" fillId="95" borderId="139" applyNumberFormat="0" applyProtection="0">
      <alignment horizontal="right" vertical="center"/>
    </xf>
    <xf numFmtId="4" fontId="171" fillId="95" borderId="139" applyNumberFormat="0" applyProtection="0">
      <alignment horizontal="right" vertical="center"/>
    </xf>
    <xf numFmtId="4" fontId="171" fillId="95" borderId="139" applyNumberFormat="0" applyProtection="0">
      <alignment horizontal="right" vertical="center"/>
    </xf>
    <xf numFmtId="4" fontId="171" fillId="95" borderId="139" applyNumberFormat="0" applyProtection="0">
      <alignment horizontal="right" vertical="center"/>
    </xf>
    <xf numFmtId="4" fontId="171" fillId="95" borderId="139" applyNumberFormat="0" applyProtection="0">
      <alignment horizontal="right" vertical="center"/>
    </xf>
    <xf numFmtId="4" fontId="171" fillId="95" borderId="139" applyNumberFormat="0" applyProtection="0">
      <alignment horizontal="right" vertical="center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89" borderId="139" applyNumberFormat="0" applyProtection="0">
      <alignment horizontal="left" vertical="center" indent="1"/>
    </xf>
    <xf numFmtId="0" fontId="17" fillId="89" borderId="139" applyNumberFormat="0" applyProtection="0">
      <alignment horizontal="left" vertical="center" indent="1"/>
    </xf>
    <xf numFmtId="0" fontId="17" fillId="89" borderId="139" applyNumberFormat="0" applyProtection="0">
      <alignment horizontal="left" vertical="center" indent="1"/>
    </xf>
    <xf numFmtId="0" fontId="17" fillId="89" borderId="139" applyNumberFormat="0" applyProtection="0">
      <alignment horizontal="left" vertical="center" indent="1"/>
    </xf>
    <xf numFmtId="0" fontId="17" fillId="89" borderId="139" applyNumberFormat="0" applyProtection="0">
      <alignment horizontal="left" vertical="center" indent="1"/>
    </xf>
    <xf numFmtId="0" fontId="17" fillId="89" borderId="139" applyNumberFormat="0" applyProtection="0">
      <alignment horizontal="left" vertical="center" indent="1"/>
    </xf>
    <xf numFmtId="0" fontId="17" fillId="89" borderId="139" applyNumberFormat="0" applyProtection="0">
      <alignment horizontal="left" vertical="center" indent="1"/>
    </xf>
    <xf numFmtId="0" fontId="17" fillId="89" borderId="139" applyNumberFormat="0" applyProtection="0">
      <alignment horizontal="left" vertical="center" indent="1"/>
    </xf>
    <xf numFmtId="0" fontId="17" fillId="89" borderId="139" applyNumberFormat="0" applyProtection="0">
      <alignment horizontal="left" vertical="center" indent="1"/>
    </xf>
    <xf numFmtId="0" fontId="17" fillId="89" borderId="139" applyNumberFormat="0" applyProtection="0">
      <alignment horizontal="left" vertical="center" indent="1"/>
    </xf>
    <xf numFmtId="0" fontId="17" fillId="89" borderId="139" applyNumberFormat="0" applyProtection="0">
      <alignment horizontal="left" vertical="center" indent="1"/>
    </xf>
    <xf numFmtId="0" fontId="17" fillId="89" borderId="139" applyNumberFormat="0" applyProtection="0">
      <alignment horizontal="left" vertical="center" indent="1"/>
    </xf>
    <xf numFmtId="0" fontId="17" fillId="89" borderId="139" applyNumberFormat="0" applyProtection="0">
      <alignment horizontal="left" vertical="center" indent="1"/>
    </xf>
    <xf numFmtId="0" fontId="17" fillId="89" borderId="139" applyNumberFormat="0" applyProtection="0">
      <alignment horizontal="left" vertical="center" indent="1"/>
    </xf>
    <xf numFmtId="0" fontId="17" fillId="89" borderId="139" applyNumberFormat="0" applyProtection="0">
      <alignment horizontal="left" vertical="center" indent="1"/>
    </xf>
    <xf numFmtId="0" fontId="17" fillId="89" borderId="139" applyNumberFormat="0" applyProtection="0">
      <alignment horizontal="left" vertical="center" indent="1"/>
    </xf>
    <xf numFmtId="0" fontId="17" fillId="89" borderId="139" applyNumberFormat="0" applyProtection="0">
      <alignment horizontal="left" vertical="center" indent="1"/>
    </xf>
    <xf numFmtId="0" fontId="17" fillId="89" borderId="139" applyNumberFormat="0" applyProtection="0">
      <alignment horizontal="left" vertical="center" indent="1"/>
    </xf>
    <xf numFmtId="0" fontId="17" fillId="89" borderId="139" applyNumberFormat="0" applyProtection="0">
      <alignment horizontal="left" vertical="center" indent="1"/>
    </xf>
    <xf numFmtId="0" fontId="17" fillId="89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89" borderId="139" applyNumberFormat="0" applyProtection="0">
      <alignment horizontal="left" vertical="center" indent="1"/>
    </xf>
    <xf numFmtId="0" fontId="17" fillId="89" borderId="139" applyNumberFormat="0" applyProtection="0">
      <alignment horizontal="left" vertical="center" indent="1"/>
    </xf>
    <xf numFmtId="0" fontId="17" fillId="89" borderId="139" applyNumberFormat="0" applyProtection="0">
      <alignment horizontal="left" vertical="center" indent="1"/>
    </xf>
    <xf numFmtId="0" fontId="17" fillId="89" borderId="139" applyNumberFormat="0" applyProtection="0">
      <alignment horizontal="left" vertical="center" indent="1"/>
    </xf>
    <xf numFmtId="0" fontId="17" fillId="89" borderId="139" applyNumberFormat="0" applyProtection="0">
      <alignment horizontal="left" vertical="top" indent="1"/>
    </xf>
    <xf numFmtId="0" fontId="17" fillId="89" borderId="139" applyNumberFormat="0" applyProtection="0">
      <alignment horizontal="left" vertical="top" indent="1"/>
    </xf>
    <xf numFmtId="0" fontId="17" fillId="89" borderId="139" applyNumberFormat="0" applyProtection="0">
      <alignment horizontal="left" vertical="top" indent="1"/>
    </xf>
    <xf numFmtId="0" fontId="17" fillId="89" borderId="139" applyNumberFormat="0" applyProtection="0">
      <alignment horizontal="left" vertical="top" indent="1"/>
    </xf>
    <xf numFmtId="0" fontId="17" fillId="89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89" borderId="139" applyNumberFormat="0" applyProtection="0">
      <alignment horizontal="left" vertical="top" indent="1"/>
    </xf>
    <xf numFmtId="0" fontId="17" fillId="89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89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89" borderId="139" applyNumberFormat="0" applyProtection="0">
      <alignment horizontal="left" vertical="top" indent="1"/>
    </xf>
    <xf numFmtId="0" fontId="17" fillId="89" borderId="139" applyNumberFormat="0" applyProtection="0">
      <alignment horizontal="left" vertical="top" indent="1"/>
    </xf>
    <xf numFmtId="0" fontId="17" fillId="89" borderId="139" applyNumberFormat="0" applyProtection="0">
      <alignment horizontal="left" vertical="top" indent="1"/>
    </xf>
    <xf numFmtId="0" fontId="17" fillId="89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89" borderId="139" applyNumberFormat="0" applyProtection="0">
      <alignment horizontal="left" vertical="top" indent="1"/>
    </xf>
    <xf numFmtId="0" fontId="17" fillId="89" borderId="139" applyNumberFormat="0" applyProtection="0">
      <alignment horizontal="left" vertical="top" indent="1"/>
    </xf>
    <xf numFmtId="0" fontId="17" fillId="89" borderId="139" applyNumberFormat="0" applyProtection="0">
      <alignment horizontal="left" vertical="top" indent="1"/>
    </xf>
    <xf numFmtId="0" fontId="17" fillId="89" borderId="139" applyNumberFormat="0" applyProtection="0">
      <alignment horizontal="left" vertical="top" indent="1"/>
    </xf>
    <xf numFmtId="0" fontId="17" fillId="89" borderId="139" applyNumberFormat="0" applyProtection="0">
      <alignment horizontal="left" vertical="top" indent="1"/>
    </xf>
    <xf numFmtId="0" fontId="17" fillId="89" borderId="139" applyNumberFormat="0" applyProtection="0">
      <alignment horizontal="left" vertical="top" indent="1"/>
    </xf>
    <xf numFmtId="0" fontId="17" fillId="89" borderId="139" applyNumberFormat="0" applyProtection="0">
      <alignment horizontal="left" vertical="top" indent="1"/>
    </xf>
    <xf numFmtId="0" fontId="17" fillId="89" borderId="139" applyNumberFormat="0" applyProtection="0">
      <alignment horizontal="left" vertical="top" indent="1"/>
    </xf>
    <xf numFmtId="0" fontId="17" fillId="89" borderId="139" applyNumberFormat="0" applyProtection="0">
      <alignment horizontal="left" vertical="top" indent="1"/>
    </xf>
    <xf numFmtId="0" fontId="17" fillId="89" borderId="139" applyNumberFormat="0" applyProtection="0">
      <alignment horizontal="left" vertical="top" indent="1"/>
    </xf>
    <xf numFmtId="0" fontId="17" fillId="89" borderId="139" applyNumberFormat="0" applyProtection="0">
      <alignment horizontal="left" vertical="top" indent="1"/>
    </xf>
    <xf numFmtId="0" fontId="17" fillId="89" borderId="139" applyNumberFormat="0" applyProtection="0">
      <alignment horizontal="left" vertical="top" indent="1"/>
    </xf>
    <xf numFmtId="0" fontId="17" fillId="89" borderId="139" applyNumberFormat="0" applyProtection="0">
      <alignment horizontal="left" vertical="top" indent="1"/>
    </xf>
    <xf numFmtId="0" fontId="17" fillId="89" borderId="139" applyNumberFormat="0" applyProtection="0">
      <alignment horizontal="left" vertical="top" indent="1"/>
    </xf>
    <xf numFmtId="0" fontId="17" fillId="89" borderId="139" applyNumberFormat="0" applyProtection="0">
      <alignment horizontal="left" vertical="top" indent="1"/>
    </xf>
    <xf numFmtId="0" fontId="17" fillId="89" borderId="139" applyNumberFormat="0" applyProtection="0">
      <alignment horizontal="left" vertical="top" indent="1"/>
    </xf>
    <xf numFmtId="0" fontId="17" fillId="96" borderId="139" applyNumberFormat="0" applyProtection="0">
      <alignment horizontal="left" vertical="center" indent="1"/>
    </xf>
    <xf numFmtId="0" fontId="17" fillId="96" borderId="139" applyNumberFormat="0" applyProtection="0">
      <alignment horizontal="left" vertical="center" indent="1"/>
    </xf>
    <xf numFmtId="0" fontId="17" fillId="96" borderId="139" applyNumberFormat="0" applyProtection="0">
      <alignment horizontal="left" vertical="center" indent="1"/>
    </xf>
    <xf numFmtId="0" fontId="17" fillId="96" borderId="139" applyNumberFormat="0" applyProtection="0">
      <alignment horizontal="left" vertical="center" indent="1"/>
    </xf>
    <xf numFmtId="0" fontId="17" fillId="89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6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6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6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6" borderId="139" applyNumberFormat="0" applyProtection="0">
      <alignment horizontal="left" vertical="center" indent="1"/>
    </xf>
    <xf numFmtId="0" fontId="17" fillId="96" borderId="139" applyNumberFormat="0" applyProtection="0">
      <alignment horizontal="left" vertical="center" indent="1"/>
    </xf>
    <xf numFmtId="0" fontId="17" fillId="96" borderId="139" applyNumberFormat="0" applyProtection="0">
      <alignment horizontal="left" vertical="center" indent="1"/>
    </xf>
    <xf numFmtId="0" fontId="17" fillId="96" borderId="139" applyNumberFormat="0" applyProtection="0">
      <alignment horizontal="left" vertical="center" indent="1"/>
    </xf>
    <xf numFmtId="0" fontId="17" fillId="96" borderId="139" applyNumberFormat="0" applyProtection="0">
      <alignment horizontal="left" vertical="center" indent="1"/>
    </xf>
    <xf numFmtId="0" fontId="17" fillId="96" borderId="139" applyNumberFormat="0" applyProtection="0">
      <alignment horizontal="left" vertical="center" indent="1"/>
    </xf>
    <xf numFmtId="0" fontId="17" fillId="96" borderId="139" applyNumberFormat="0" applyProtection="0">
      <alignment horizontal="left" vertical="center" indent="1"/>
    </xf>
    <xf numFmtId="0" fontId="17" fillId="96" borderId="139" applyNumberFormat="0" applyProtection="0">
      <alignment horizontal="left" vertical="center" indent="1"/>
    </xf>
    <xf numFmtId="0" fontId="17" fillId="96" borderId="139" applyNumberFormat="0" applyProtection="0">
      <alignment horizontal="left" vertical="center" indent="1"/>
    </xf>
    <xf numFmtId="0" fontId="17" fillId="96" borderId="139" applyNumberFormat="0" applyProtection="0">
      <alignment horizontal="left" vertical="center" indent="1"/>
    </xf>
    <xf numFmtId="0" fontId="17" fillId="96" borderId="139" applyNumberFormat="0" applyProtection="0">
      <alignment horizontal="left" vertical="center" indent="1"/>
    </xf>
    <xf numFmtId="0" fontId="17" fillId="96" borderId="139" applyNumberFormat="0" applyProtection="0">
      <alignment horizontal="left" vertical="center" indent="1"/>
    </xf>
    <xf numFmtId="0" fontId="17" fillId="96" borderId="139" applyNumberFormat="0" applyProtection="0">
      <alignment horizontal="left" vertical="center" indent="1"/>
    </xf>
    <xf numFmtId="0" fontId="17" fillId="96" borderId="139" applyNumberFormat="0" applyProtection="0">
      <alignment horizontal="left" vertical="center" indent="1"/>
    </xf>
    <xf numFmtId="0" fontId="17" fillId="96" borderId="139" applyNumberFormat="0" applyProtection="0">
      <alignment horizontal="left" vertical="center" indent="1"/>
    </xf>
    <xf numFmtId="0" fontId="17" fillId="96" borderId="139" applyNumberFormat="0" applyProtection="0">
      <alignment horizontal="left" vertical="center" indent="1"/>
    </xf>
    <xf numFmtId="0" fontId="17" fillId="96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42" borderId="139" applyNumberFormat="0" applyProtection="0">
      <alignment horizontal="left" vertical="top" indent="1"/>
    </xf>
    <xf numFmtId="0" fontId="17" fillId="42" borderId="139" applyNumberFormat="0" applyProtection="0">
      <alignment horizontal="left" vertical="top" indent="1"/>
    </xf>
    <xf numFmtId="0" fontId="17" fillId="42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96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42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center" indent="1"/>
    </xf>
    <xf numFmtId="0" fontId="17" fillId="42" borderId="139" applyNumberFormat="0" applyProtection="0">
      <alignment horizontal="left" vertical="top" indent="1"/>
    </xf>
    <xf numFmtId="0" fontId="17" fillId="82" borderId="139" applyNumberFormat="0" applyProtection="0">
      <alignment horizontal="left" vertical="center" indent="1"/>
    </xf>
    <xf numFmtId="0" fontId="17" fillId="8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>
      <alignment vertical="center"/>
    </xf>
    <xf numFmtId="0" fontId="2" fillId="51" borderId="134" applyNumberFormat="0" applyFont="0" applyAlignment="0" applyProtection="0">
      <alignment vertical="center"/>
    </xf>
    <xf numFmtId="0" fontId="2" fillId="51" borderId="134" applyNumberFormat="0" applyFont="0" applyAlignment="0" applyProtection="0"/>
    <xf numFmtId="0" fontId="240" fillId="51" borderId="134" applyNumberFormat="0" applyFont="0" applyAlignment="0" applyProtection="0">
      <alignment vertical="center"/>
    </xf>
    <xf numFmtId="0" fontId="240" fillId="51" borderId="134" applyNumberFormat="0" applyFont="0" applyAlignment="0" applyProtection="0">
      <alignment vertical="center"/>
    </xf>
    <xf numFmtId="0" fontId="240" fillId="51" borderId="134" applyNumberFormat="0" applyFont="0" applyAlignment="0" applyProtection="0">
      <alignment vertical="center"/>
    </xf>
    <xf numFmtId="0" fontId="240" fillId="51" borderId="134" applyNumberFormat="0" applyFont="0" applyAlignment="0" applyProtection="0">
      <alignment vertical="center"/>
    </xf>
    <xf numFmtId="0" fontId="240" fillId="51" borderId="134" applyNumberFormat="0" applyFont="0" applyAlignment="0" applyProtection="0">
      <alignment vertical="center"/>
    </xf>
    <xf numFmtId="0" fontId="240" fillId="51" borderId="134" applyNumberFormat="0" applyFont="0" applyAlignment="0" applyProtection="0">
      <alignment vertical="center"/>
    </xf>
    <xf numFmtId="0" fontId="240" fillId="51" borderId="134" applyNumberFormat="0" applyFont="0" applyAlignment="0" applyProtection="0">
      <alignment vertical="center"/>
    </xf>
    <xf numFmtId="0" fontId="240" fillId="51" borderId="134" applyNumberFormat="0" applyFont="0" applyAlignment="0" applyProtection="0">
      <alignment vertical="center"/>
    </xf>
    <xf numFmtId="0" fontId="240" fillId="51" borderId="134" applyNumberFormat="0" applyFont="0" applyAlignment="0" applyProtection="0">
      <alignment vertical="center"/>
    </xf>
    <xf numFmtId="0" fontId="24" fillId="51" borderId="134" applyNumberFormat="0" applyFont="0" applyAlignment="0" applyProtection="0">
      <alignment vertical="center"/>
    </xf>
    <xf numFmtId="0" fontId="24" fillId="51" borderId="134" applyNumberFormat="0" applyFont="0" applyAlignment="0" applyProtection="0">
      <alignment vertical="center"/>
    </xf>
    <xf numFmtId="0" fontId="24" fillId="51" borderId="134" applyNumberFormat="0" applyFont="0" applyAlignment="0" applyProtection="0">
      <alignment vertical="center"/>
    </xf>
    <xf numFmtId="0" fontId="24" fillId="51" borderId="134" applyNumberFormat="0" applyFont="0" applyAlignment="0" applyProtection="0">
      <alignment vertical="center"/>
    </xf>
    <xf numFmtId="0" fontId="24" fillId="51" borderId="134" applyNumberFormat="0" applyFont="0" applyAlignment="0" applyProtection="0">
      <alignment vertical="center"/>
    </xf>
    <xf numFmtId="0" fontId="24" fillId="51" borderId="134" applyNumberFormat="0" applyFont="0" applyAlignment="0" applyProtection="0">
      <alignment vertical="center"/>
    </xf>
    <xf numFmtId="0" fontId="24" fillId="51" borderId="134" applyNumberFormat="0" applyFont="0" applyAlignment="0" applyProtection="0">
      <alignment vertical="center"/>
    </xf>
    <xf numFmtId="0" fontId="2" fillId="51" borderId="134" applyNumberFormat="0" applyFon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572" fillId="54" borderId="132" applyNumberFormat="0" applyAlignment="0" applyProtection="0">
      <alignment vertical="center"/>
    </xf>
    <xf numFmtId="0" fontId="572" fillId="54" borderId="132" applyNumberFormat="0" applyAlignment="0" applyProtection="0">
      <alignment vertical="center"/>
    </xf>
    <xf numFmtId="0" fontId="572" fillId="54" borderId="132" applyNumberFormat="0" applyAlignment="0" applyProtection="0">
      <alignment vertical="center"/>
    </xf>
    <xf numFmtId="0" fontId="572" fillId="54" borderId="132" applyNumberFormat="0" applyAlignment="0" applyProtection="0">
      <alignment vertical="center"/>
    </xf>
    <xf numFmtId="0" fontId="572" fillId="54" borderId="132" applyNumberFormat="0" applyAlignment="0" applyProtection="0">
      <alignment vertical="center"/>
    </xf>
    <xf numFmtId="0" fontId="572" fillId="54" borderId="132" applyNumberFormat="0" applyAlignment="0" applyProtection="0">
      <alignment vertical="center"/>
    </xf>
    <xf numFmtId="0" fontId="572" fillId="54" borderId="132" applyNumberFormat="0" applyAlignment="0" applyProtection="0">
      <alignment vertical="center"/>
    </xf>
    <xf numFmtId="0" fontId="572" fillId="54" borderId="132" applyNumberFormat="0" applyAlignment="0" applyProtection="0">
      <alignment vertical="center"/>
    </xf>
    <xf numFmtId="0" fontId="572" fillId="54" borderId="132" applyNumberFormat="0" applyAlignment="0" applyProtection="0">
      <alignment vertical="center"/>
    </xf>
    <xf numFmtId="0" fontId="572" fillId="54" borderId="132" applyNumberFormat="0" applyAlignment="0" applyProtection="0">
      <alignment vertical="center"/>
    </xf>
    <xf numFmtId="0" fontId="572" fillId="54" borderId="132" applyNumberFormat="0" applyAlignment="0" applyProtection="0">
      <alignment vertical="center"/>
    </xf>
    <xf numFmtId="0" fontId="572" fillId="54" borderId="132" applyNumberFormat="0" applyAlignment="0" applyProtection="0">
      <alignment vertical="center"/>
    </xf>
    <xf numFmtId="0" fontId="572" fillId="54" borderId="132" applyNumberFormat="0" applyAlignment="0" applyProtection="0">
      <alignment vertical="center"/>
    </xf>
    <xf numFmtId="0" fontId="572" fillId="54" borderId="132" applyNumberFormat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40" fillId="0" borderId="142" applyNumberFormat="0" applyFill="0" applyAlignment="0" applyProtection="0">
      <alignment vertical="center"/>
    </xf>
    <xf numFmtId="0" fontId="640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40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2" fillId="54" borderId="132" applyNumberFormat="0" applyAlignment="0" applyProtection="0">
      <alignment vertical="center"/>
    </xf>
    <xf numFmtId="0" fontId="642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2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4" fillId="54" borderId="137" applyNumberFormat="0" applyAlignment="0" applyProtection="0">
      <alignment vertical="center"/>
    </xf>
    <xf numFmtId="0" fontId="644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4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6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445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36" fillId="51" borderId="134" applyNumberFormat="0" applyFont="0" applyAlignment="0" applyProtection="0"/>
    <xf numFmtId="43" fontId="1" fillId="0" borderId="0" applyFont="0" applyFill="0" applyBorder="0" applyAlignment="0" applyProtection="0"/>
    <xf numFmtId="0" fontId="651" fillId="0" borderId="126" applyNumberFormat="0" applyFill="0" applyAlignment="0" applyProtection="0">
      <alignment vertical="center"/>
    </xf>
    <xf numFmtId="0" fontId="652" fillId="0" borderId="126" applyNumberFormat="0" applyFill="0" applyAlignment="0" applyProtection="0">
      <alignment vertical="center"/>
    </xf>
    <xf numFmtId="0" fontId="651" fillId="0" borderId="126" applyNumberFormat="0" applyFill="0" applyAlignment="0" applyProtection="0">
      <alignment vertical="center"/>
    </xf>
    <xf numFmtId="0" fontId="651" fillId="0" borderId="126" applyNumberFormat="0" applyFill="0" applyAlignment="0" applyProtection="0">
      <alignment vertical="center"/>
    </xf>
    <xf numFmtId="0" fontId="550" fillId="0" borderId="126" applyNumberFormat="0" applyFill="0" applyAlignment="0" applyProtection="0">
      <alignment vertical="center"/>
    </xf>
    <xf numFmtId="0" fontId="550" fillId="0" borderId="126" applyNumberFormat="0" applyFill="0" applyAlignment="0" applyProtection="0">
      <alignment vertical="center"/>
    </xf>
    <xf numFmtId="0" fontId="305" fillId="0" borderId="126" applyNumberFormat="0" applyFill="0" applyAlignment="0" applyProtection="0"/>
    <xf numFmtId="0" fontId="189" fillId="0" borderId="131" applyNumberFormat="0" applyFill="0" applyAlignment="0" applyProtection="0"/>
    <xf numFmtId="0" fontId="189" fillId="0" borderId="131" applyNumberFormat="0" applyFill="0" applyAlignment="0" applyProtection="0"/>
    <xf numFmtId="0" fontId="189" fillId="0" borderId="131" applyNumberFormat="0" applyFill="0" applyAlignment="0" applyProtection="0"/>
    <xf numFmtId="0" fontId="189" fillId="0" borderId="131" applyNumberFormat="0" applyFill="0" applyAlignment="0" applyProtection="0"/>
    <xf numFmtId="0" fontId="189" fillId="0" borderId="131" applyNumberFormat="0" applyFill="0" applyAlignment="0" applyProtection="0"/>
    <xf numFmtId="0" fontId="189" fillId="0" borderId="131" applyNumberFormat="0" applyFill="0" applyAlignment="0" applyProtection="0"/>
    <xf numFmtId="0" fontId="189" fillId="0" borderId="131" applyNumberFormat="0" applyFill="0" applyAlignment="0" applyProtection="0"/>
    <xf numFmtId="0" fontId="189" fillId="0" borderId="131" applyNumberFormat="0" applyFill="0" applyAlignment="0" applyProtection="0"/>
    <xf numFmtId="0" fontId="189" fillId="0" borderId="122" applyNumberFormat="0" applyFill="0" applyAlignment="0" applyProtection="0"/>
    <xf numFmtId="0" fontId="189" fillId="0" borderId="122" applyNumberFormat="0" applyFill="0" applyAlignment="0" applyProtection="0"/>
    <xf numFmtId="0" fontId="189" fillId="0" borderId="122" applyNumberFormat="0" applyFill="0" applyAlignment="0" applyProtection="0"/>
    <xf numFmtId="0" fontId="189" fillId="0" borderId="122" applyNumberFormat="0" applyFill="0" applyAlignment="0" applyProtection="0"/>
    <xf numFmtId="0" fontId="189" fillId="0" borderId="122" applyNumberFormat="0" applyFill="0" applyAlignment="0" applyProtection="0"/>
    <xf numFmtId="0" fontId="189" fillId="0" borderId="122" applyNumberFormat="0" applyFill="0" applyAlignment="0" applyProtection="0"/>
    <xf numFmtId="0" fontId="189" fillId="0" borderId="122" applyNumberFormat="0" applyFill="0" applyAlignment="0" applyProtection="0"/>
    <xf numFmtId="0" fontId="189" fillId="0" borderId="122" applyNumberFormat="0" applyFill="0" applyAlignment="0" applyProtection="0"/>
    <xf numFmtId="0" fontId="189" fillId="0" borderId="122" applyNumberFormat="0" applyFill="0" applyAlignment="0" applyProtection="0"/>
    <xf numFmtId="0" fontId="189" fillId="0" borderId="122" applyNumberFormat="0" applyFill="0" applyAlignment="0" applyProtection="0"/>
    <xf numFmtId="10" fontId="522" fillId="0" borderId="128" applyNumberFormat="0" applyFont="0" applyFill="0" applyAlignment="0" applyProtection="0"/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3" fontId="231" fillId="0" borderId="121">
      <alignment horizontal="center"/>
    </xf>
    <xf numFmtId="253" fontId="231" fillId="0" borderId="121">
      <alignment horizontal="center"/>
    </xf>
    <xf numFmtId="253" fontId="231" fillId="0" borderId="121">
      <alignment horizontal="center"/>
    </xf>
    <xf numFmtId="253" fontId="231" fillId="0" borderId="121">
      <alignment horizontal="center"/>
    </xf>
    <xf numFmtId="253" fontId="231" fillId="0" borderId="121">
      <alignment horizontal="center"/>
    </xf>
    <xf numFmtId="253" fontId="231" fillId="0" borderId="121">
      <alignment horizontal="center"/>
    </xf>
    <xf numFmtId="253" fontId="231" fillId="0" borderId="121">
      <alignment horizontal="center"/>
    </xf>
    <xf numFmtId="253" fontId="231" fillId="0" borderId="121">
      <alignment horizontal="center"/>
    </xf>
    <xf numFmtId="253" fontId="231" fillId="0" borderId="121">
      <alignment horizontal="center"/>
    </xf>
    <xf numFmtId="253" fontId="231" fillId="0" borderId="121">
      <alignment horizontal="center"/>
    </xf>
    <xf numFmtId="253" fontId="231" fillId="0" borderId="121">
      <alignment horizontal="center"/>
    </xf>
    <xf numFmtId="253" fontId="231" fillId="0" borderId="121">
      <alignment horizontal="center"/>
    </xf>
    <xf numFmtId="253" fontId="231" fillId="0" borderId="121">
      <alignment horizontal="center"/>
    </xf>
    <xf numFmtId="253" fontId="231" fillId="0" borderId="121">
      <alignment horizontal="center"/>
    </xf>
    <xf numFmtId="253" fontId="231" fillId="0" borderId="121">
      <alignment horizontal="center"/>
    </xf>
    <xf numFmtId="253" fontId="231" fillId="0" borderId="121">
      <alignment horizontal="center"/>
    </xf>
    <xf numFmtId="253" fontId="231" fillId="0" borderId="121">
      <alignment horizontal="center"/>
    </xf>
    <xf numFmtId="253" fontId="231" fillId="0" borderId="121">
      <alignment horizontal="center"/>
    </xf>
    <xf numFmtId="253" fontId="231" fillId="0" borderId="121">
      <alignment horizontal="center"/>
    </xf>
    <xf numFmtId="253" fontId="231" fillId="0" borderId="121">
      <alignment horizontal="center"/>
    </xf>
    <xf numFmtId="253" fontId="231" fillId="0" borderId="121">
      <alignment horizontal="center"/>
    </xf>
    <xf numFmtId="253" fontId="231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3" fontId="231" fillId="0" borderId="121">
      <alignment horizontal="center"/>
    </xf>
    <xf numFmtId="253" fontId="231" fillId="0" borderId="121">
      <alignment horizontal="center"/>
    </xf>
    <xf numFmtId="253" fontId="231" fillId="0" borderId="121">
      <alignment horizontal="center"/>
    </xf>
    <xf numFmtId="253" fontId="231" fillId="0" borderId="121">
      <alignment horizontal="center"/>
    </xf>
    <xf numFmtId="253" fontId="231" fillId="0" borderId="121">
      <alignment horizontal="center"/>
    </xf>
    <xf numFmtId="253" fontId="231" fillId="0" borderId="121">
      <alignment horizontal="center"/>
    </xf>
    <xf numFmtId="253" fontId="231" fillId="0" borderId="121">
      <alignment horizontal="center"/>
    </xf>
    <xf numFmtId="253" fontId="231" fillId="0" borderId="121">
      <alignment horizontal="center"/>
    </xf>
    <xf numFmtId="253" fontId="231" fillId="0" borderId="121">
      <alignment horizontal="center"/>
    </xf>
    <xf numFmtId="253" fontId="231" fillId="0" borderId="121">
      <alignment horizontal="center"/>
    </xf>
    <xf numFmtId="253" fontId="231" fillId="0" borderId="121">
      <alignment horizontal="center"/>
    </xf>
    <xf numFmtId="253" fontId="231" fillId="0" borderId="121">
      <alignment horizontal="center"/>
    </xf>
    <xf numFmtId="253" fontId="231" fillId="0" borderId="121">
      <alignment horizontal="center"/>
    </xf>
    <xf numFmtId="253" fontId="231" fillId="0" borderId="121">
      <alignment horizontal="center"/>
    </xf>
    <xf numFmtId="253" fontId="231" fillId="0" borderId="121">
      <alignment horizontal="center"/>
    </xf>
    <xf numFmtId="253" fontId="231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3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3" fontId="253" fillId="0" borderId="118" applyBorder="0" applyAlignment="0">
      <alignment horizontal="center" vertical="center" wrapText="1"/>
    </xf>
    <xf numFmtId="3" fontId="254" fillId="0" borderId="118" applyBorder="0" applyAlignment="0">
      <alignment horizontal="center" vertical="center" wrapText="1"/>
    </xf>
    <xf numFmtId="0" fontId="256" fillId="0" borderId="115" applyFont="0" applyBorder="0" applyAlignment="0">
      <alignment horizontal="center" vertical="top" wrapText="1"/>
    </xf>
    <xf numFmtId="0" fontId="259" fillId="0" borderId="115" applyFont="0" applyBorder="0" applyAlignment="0">
      <alignment horizontal="center" vertical="top" wrapText="1"/>
    </xf>
    <xf numFmtId="0" fontId="259" fillId="0" borderId="115" applyFont="0" applyBorder="0" applyAlignment="0">
      <alignment horizontal="center" vertical="top" wrapText="1"/>
    </xf>
    <xf numFmtId="0" fontId="259" fillId="0" borderId="115" applyFont="0" applyBorder="0" applyAlignment="0">
      <alignment horizontal="center" vertical="top" wrapText="1"/>
    </xf>
    <xf numFmtId="0" fontId="259" fillId="0" borderId="115" applyFont="0" applyBorder="0" applyAlignment="0">
      <alignment horizontal="center" vertical="top" wrapText="1"/>
    </xf>
    <xf numFmtId="0" fontId="259" fillId="0" borderId="115" applyFont="0" applyBorder="0" applyAlignment="0">
      <alignment horizontal="center" vertical="top" wrapText="1"/>
    </xf>
    <xf numFmtId="0" fontId="259" fillId="0" borderId="115" applyFont="0" applyBorder="0" applyAlignment="0">
      <alignment horizontal="center" vertical="top" wrapText="1"/>
    </xf>
    <xf numFmtId="0" fontId="259" fillId="0" borderId="115" applyFont="0" applyBorder="0" applyAlignment="0">
      <alignment horizontal="center" vertical="top" wrapText="1"/>
    </xf>
    <xf numFmtId="0" fontId="259" fillId="0" borderId="115" applyFont="0" applyBorder="0" applyAlignment="0">
      <alignment horizontal="center" vertical="top" wrapText="1"/>
    </xf>
    <xf numFmtId="0" fontId="259" fillId="0" borderId="115" applyFont="0" applyBorder="0" applyAlignment="0">
      <alignment horizontal="center" vertical="top" wrapText="1"/>
    </xf>
    <xf numFmtId="0" fontId="259" fillId="0" borderId="115" applyFont="0" applyBorder="0" applyAlignment="0">
      <alignment horizontal="center" vertical="top" wrapText="1"/>
    </xf>
    <xf numFmtId="0" fontId="259" fillId="0" borderId="115" applyFont="0" applyBorder="0" applyAlignment="0">
      <alignment horizontal="center" vertical="top" wrapText="1"/>
    </xf>
    <xf numFmtId="0" fontId="259" fillId="0" borderId="115" applyFont="0" applyBorder="0" applyAlignment="0">
      <alignment horizontal="center" vertical="top" wrapText="1"/>
    </xf>
    <xf numFmtId="0" fontId="259" fillId="0" borderId="115" applyFont="0" applyBorder="0" applyAlignment="0">
      <alignment horizontal="center" vertical="top" wrapText="1"/>
    </xf>
    <xf numFmtId="0" fontId="259" fillId="0" borderId="115" applyFont="0" applyBorder="0" applyAlignment="0">
      <alignment horizontal="center" vertical="top" wrapText="1"/>
    </xf>
    <xf numFmtId="0" fontId="259" fillId="0" borderId="115" applyFont="0" applyBorder="0" applyAlignment="0">
      <alignment horizontal="center" vertical="top" wrapText="1"/>
    </xf>
    <xf numFmtId="0" fontId="259" fillId="0" borderId="115" applyFont="0" applyBorder="0" applyAlignment="0">
      <alignment horizontal="center" vertical="top" wrapText="1"/>
    </xf>
    <xf numFmtId="0" fontId="259" fillId="0" borderId="115" applyFont="0" applyBorder="0" applyAlignment="0">
      <alignment horizontal="center" vertical="top" wrapText="1"/>
    </xf>
    <xf numFmtId="0" fontId="259" fillId="0" borderId="115" applyFont="0" applyBorder="0" applyAlignment="0">
      <alignment horizontal="center" vertical="top" wrapText="1"/>
    </xf>
    <xf numFmtId="0" fontId="259" fillId="0" borderId="115" applyFont="0" applyBorder="0" applyAlignment="0">
      <alignment horizontal="center" vertical="top" wrapText="1"/>
    </xf>
    <xf numFmtId="0" fontId="259" fillId="0" borderId="115" applyFont="0" applyBorder="0" applyAlignment="0">
      <alignment horizontal="center" vertical="top" wrapText="1"/>
    </xf>
    <xf numFmtId="0" fontId="259" fillId="0" borderId="115" applyFont="0" applyBorder="0" applyAlignment="0">
      <alignment horizontal="center" vertical="top" wrapText="1"/>
    </xf>
    <xf numFmtId="0" fontId="259" fillId="0" borderId="115" applyFont="0" applyBorder="0" applyAlignment="0">
      <alignment horizontal="center" vertical="top" wrapText="1"/>
    </xf>
    <xf numFmtId="0" fontId="259" fillId="0" borderId="115" applyFont="0" applyBorder="0" applyAlignment="0">
      <alignment horizontal="center" vertical="top" wrapText="1"/>
    </xf>
    <xf numFmtId="0" fontId="259" fillId="0" borderId="115" applyFont="0" applyBorder="0" applyAlignment="0">
      <alignment horizontal="center" vertical="top" wrapText="1"/>
    </xf>
    <xf numFmtId="0" fontId="259" fillId="0" borderId="115" applyFont="0" applyBorder="0" applyAlignment="0">
      <alignment horizontal="center" vertical="top" wrapText="1"/>
    </xf>
    <xf numFmtId="0" fontId="259" fillId="0" borderId="115" applyFont="0" applyBorder="0" applyAlignment="0">
      <alignment horizontal="center" vertical="top" wrapText="1"/>
    </xf>
    <xf numFmtId="0" fontId="259" fillId="0" borderId="115" applyFont="0" applyBorder="0" applyAlignment="0">
      <alignment horizontal="center" vertical="top" wrapText="1"/>
    </xf>
    <xf numFmtId="0" fontId="259" fillId="0" borderId="115" applyFont="0" applyBorder="0" applyAlignment="0">
      <alignment horizontal="center" vertical="top" wrapText="1"/>
    </xf>
    <xf numFmtId="0" fontId="259" fillId="0" borderId="115" applyFont="0" applyBorder="0" applyAlignment="0">
      <alignment horizontal="center" vertical="top" wrapText="1"/>
    </xf>
    <xf numFmtId="0" fontId="259" fillId="0" borderId="115" applyFont="0" applyBorder="0" applyAlignment="0">
      <alignment horizontal="center" vertical="top" wrapText="1"/>
    </xf>
    <xf numFmtId="0" fontId="259" fillId="0" borderId="115" applyFont="0" applyBorder="0" applyAlignment="0">
      <alignment horizontal="center" vertical="top" wrapText="1"/>
    </xf>
    <xf numFmtId="0" fontId="259" fillId="0" borderId="115" applyFont="0" applyBorder="0" applyAlignment="0">
      <alignment horizontal="center" vertical="top" wrapText="1"/>
    </xf>
    <xf numFmtId="0" fontId="259" fillId="0" borderId="115" applyFont="0" applyBorder="0" applyAlignment="0">
      <alignment horizontal="center" vertical="top" wrapText="1"/>
    </xf>
    <xf numFmtId="0" fontId="259" fillId="0" borderId="115" applyFont="0" applyBorder="0" applyAlignment="0">
      <alignment horizontal="center" vertical="top" wrapText="1"/>
    </xf>
    <xf numFmtId="0" fontId="259" fillId="0" borderId="115" applyFont="0" applyBorder="0" applyAlignment="0">
      <alignment horizontal="center" vertical="top" wrapText="1"/>
    </xf>
    <xf numFmtId="0" fontId="259" fillId="0" borderId="115" applyFont="0" applyBorder="0" applyAlignment="0">
      <alignment horizontal="center" vertical="top" wrapText="1"/>
    </xf>
    <xf numFmtId="0" fontId="259" fillId="0" borderId="115" applyFont="0" applyBorder="0" applyAlignment="0">
      <alignment horizontal="center" vertical="top" wrapText="1"/>
    </xf>
    <xf numFmtId="0" fontId="259" fillId="0" borderId="115" applyFont="0" applyBorder="0" applyAlignment="0">
      <alignment horizontal="center" vertical="top" wrapText="1"/>
    </xf>
    <xf numFmtId="0" fontId="259" fillId="0" borderId="115" applyFont="0" applyBorder="0" applyAlignment="0">
      <alignment horizontal="center" vertical="top" wrapText="1"/>
    </xf>
    <xf numFmtId="0" fontId="259" fillId="0" borderId="115" applyFont="0" applyBorder="0" applyAlignment="0">
      <alignment horizontal="center" vertical="top" wrapText="1"/>
    </xf>
    <xf numFmtId="0" fontId="259" fillId="0" borderId="115" applyFont="0" applyBorder="0" applyAlignment="0">
      <alignment horizontal="center" vertical="top" wrapText="1"/>
    </xf>
    <xf numFmtId="0" fontId="259" fillId="0" borderId="115" applyFont="0" applyBorder="0" applyAlignment="0">
      <alignment horizontal="center" vertical="top" wrapText="1"/>
    </xf>
    <xf numFmtId="0" fontId="259" fillId="0" borderId="115" applyFont="0" applyBorder="0" applyAlignment="0">
      <alignment horizontal="center" vertical="top" wrapText="1"/>
    </xf>
    <xf numFmtId="0" fontId="259" fillId="0" borderId="115" applyFont="0" applyBorder="0" applyAlignment="0">
      <alignment horizontal="center" vertical="top" wrapText="1"/>
    </xf>
    <xf numFmtId="0" fontId="259" fillId="0" borderId="115" applyFont="0" applyBorder="0" applyAlignment="0">
      <alignment horizontal="center" vertical="top" wrapText="1"/>
    </xf>
    <xf numFmtId="0" fontId="259" fillId="0" borderId="115" applyFont="0" applyBorder="0" applyAlignment="0">
      <alignment horizontal="center" vertical="top" wrapText="1"/>
    </xf>
    <xf numFmtId="0" fontId="259" fillId="0" borderId="115" applyFont="0" applyBorder="0" applyAlignment="0">
      <alignment horizontal="center" vertical="top" wrapText="1"/>
    </xf>
    <xf numFmtId="0" fontId="259" fillId="0" borderId="115" applyFont="0" applyBorder="0" applyAlignment="0">
      <alignment horizontal="center" vertical="top" wrapText="1"/>
    </xf>
    <xf numFmtId="190" fontId="278" fillId="0" borderId="102" applyAlignment="0" applyProtection="0"/>
    <xf numFmtId="190" fontId="278" fillId="0" borderId="102" applyAlignment="0" applyProtection="0"/>
    <xf numFmtId="190" fontId="278" fillId="0" borderId="102" applyAlignment="0" applyProtection="0"/>
    <xf numFmtId="190" fontId="278" fillId="0" borderId="102" applyAlignment="0" applyProtection="0"/>
    <xf numFmtId="190" fontId="278" fillId="0" borderId="102" applyAlignment="0" applyProtection="0"/>
    <xf numFmtId="190" fontId="278" fillId="0" borderId="102" applyAlignment="0" applyProtection="0"/>
    <xf numFmtId="190" fontId="278" fillId="0" borderId="102" applyAlignment="0" applyProtection="0"/>
    <xf numFmtId="190" fontId="278" fillId="0" borderId="102" applyAlignment="0" applyProtection="0"/>
    <xf numFmtId="190" fontId="278" fillId="0" borderId="102" applyAlignment="0" applyProtection="0"/>
    <xf numFmtId="190" fontId="278" fillId="0" borderId="102" applyAlignment="0" applyProtection="0"/>
    <xf numFmtId="190" fontId="278" fillId="0" borderId="102" applyAlignment="0" applyProtection="0"/>
    <xf numFmtId="190" fontId="278" fillId="0" borderId="102" applyAlignment="0" applyProtection="0"/>
    <xf numFmtId="190" fontId="278" fillId="0" borderId="102" applyAlignment="0" applyProtection="0"/>
    <xf numFmtId="190" fontId="278" fillId="0" borderId="102" applyAlignment="0" applyProtection="0"/>
    <xf numFmtId="190" fontId="278" fillId="0" borderId="102" applyAlignment="0" applyProtection="0"/>
    <xf numFmtId="190" fontId="278" fillId="0" borderId="102" applyAlignment="0" applyProtection="0"/>
    <xf numFmtId="190" fontId="278" fillId="0" borderId="102" applyAlignment="0" applyProtection="0"/>
    <xf numFmtId="190" fontId="278" fillId="0" borderId="102" applyAlignment="0" applyProtection="0"/>
    <xf numFmtId="190" fontId="278" fillId="0" borderId="102" applyAlignment="0" applyProtection="0"/>
    <xf numFmtId="190" fontId="278" fillId="0" borderId="102" applyAlignment="0" applyProtection="0"/>
    <xf numFmtId="190" fontId="278" fillId="0" borderId="102" applyAlignment="0" applyProtection="0"/>
    <xf numFmtId="190" fontId="278" fillId="0" borderId="102" applyAlignment="0" applyProtection="0"/>
    <xf numFmtId="190" fontId="278" fillId="0" borderId="102" applyAlignment="0" applyProtection="0"/>
    <xf numFmtId="190" fontId="278" fillId="0" borderId="102" applyAlignment="0" applyProtection="0"/>
    <xf numFmtId="190" fontId="278" fillId="0" borderId="102" applyAlignment="0" applyProtection="0"/>
    <xf numFmtId="190" fontId="278" fillId="0" borderId="102" applyAlignment="0" applyProtection="0"/>
    <xf numFmtId="190" fontId="278" fillId="0" borderId="102" applyAlignment="0" applyProtection="0"/>
    <xf numFmtId="190" fontId="278" fillId="0" borderId="102" applyAlignment="0" applyProtection="0"/>
    <xf numFmtId="190" fontId="278" fillId="0" borderId="102" applyAlignment="0" applyProtection="0"/>
    <xf numFmtId="190" fontId="278" fillId="0" borderId="102" applyAlignment="0" applyProtection="0"/>
    <xf numFmtId="190" fontId="278" fillId="0" borderId="102" applyAlignment="0" applyProtection="0"/>
    <xf numFmtId="190" fontId="278" fillId="0" borderId="102" applyAlignment="0" applyProtection="0"/>
    <xf numFmtId="190" fontId="278" fillId="0" borderId="102" applyAlignment="0" applyProtection="0"/>
    <xf numFmtId="190" fontId="278" fillId="0" borderId="102" applyAlignment="0" applyProtection="0"/>
    <xf numFmtId="190" fontId="278" fillId="0" borderId="102" applyAlignment="0" applyProtection="0"/>
    <xf numFmtId="190" fontId="278" fillId="0" borderId="102" applyAlignment="0" applyProtection="0"/>
    <xf numFmtId="190" fontId="278" fillId="0" borderId="102" applyAlignment="0" applyProtection="0"/>
    <xf numFmtId="190" fontId="278" fillId="0" borderId="102" applyAlignment="0" applyProtection="0"/>
    <xf numFmtId="190" fontId="278" fillId="0" borderId="102" applyAlignment="0" applyProtection="0"/>
    <xf numFmtId="190" fontId="278" fillId="0" borderId="102" applyAlignment="0" applyProtection="0"/>
    <xf numFmtId="190" fontId="278" fillId="0" borderId="102" applyAlignment="0" applyProtection="0"/>
    <xf numFmtId="190" fontId="278" fillId="0" borderId="102" applyAlignment="0" applyProtection="0"/>
    <xf numFmtId="190" fontId="278" fillId="0" borderId="102" applyAlignment="0" applyProtection="0"/>
    <xf numFmtId="190" fontId="278" fillId="0" borderId="102" applyAlignment="0" applyProtection="0"/>
    <xf numFmtId="190" fontId="278" fillId="0" borderId="102" applyAlignment="0" applyProtection="0"/>
    <xf numFmtId="190" fontId="278" fillId="0" borderId="102" applyAlignment="0" applyProtection="0"/>
    <xf numFmtId="190" fontId="278" fillId="0" borderId="102" applyAlignment="0" applyProtection="0"/>
    <xf numFmtId="190" fontId="278" fillId="0" borderId="102" applyAlignment="0" applyProtection="0"/>
    <xf numFmtId="190" fontId="278" fillId="0" borderId="102" applyAlignment="0" applyProtection="0"/>
    <xf numFmtId="190" fontId="278" fillId="0" borderId="102" applyAlignment="0" applyProtection="0"/>
    <xf numFmtId="190" fontId="278" fillId="0" borderId="102" applyAlignment="0" applyProtection="0"/>
    <xf numFmtId="190" fontId="278" fillId="0" borderId="102" applyAlignment="0" applyProtection="0"/>
    <xf numFmtId="190" fontId="278" fillId="0" borderId="102" applyAlignment="0" applyProtection="0"/>
    <xf numFmtId="190" fontId="278" fillId="0" borderId="102" applyAlignment="0" applyProtection="0"/>
    <xf numFmtId="190" fontId="278" fillId="0" borderId="102" applyAlignment="0" applyProtection="0"/>
    <xf numFmtId="190" fontId="278" fillId="0" borderId="102" applyAlignment="0" applyProtection="0"/>
    <xf numFmtId="190" fontId="278" fillId="0" borderId="102" applyAlignment="0" applyProtection="0"/>
    <xf numFmtId="190" fontId="278" fillId="0" borderId="102" applyAlignment="0" applyProtection="0"/>
    <xf numFmtId="190" fontId="278" fillId="0" borderId="102" applyAlignment="0" applyProtection="0"/>
    <xf numFmtId="190" fontId="278" fillId="0" borderId="102" applyAlignment="0" applyProtection="0"/>
    <xf numFmtId="190" fontId="278" fillId="0" borderId="102" applyAlignment="0" applyProtection="0"/>
    <xf numFmtId="190" fontId="278" fillId="0" borderId="102" applyAlignment="0" applyProtection="0"/>
    <xf numFmtId="190" fontId="278" fillId="0" borderId="102" applyAlignment="0" applyProtection="0"/>
    <xf numFmtId="190" fontId="278" fillId="0" borderId="102" applyAlignment="0" applyProtection="0"/>
    <xf numFmtId="190" fontId="278" fillId="0" borderId="102" applyAlignment="0" applyProtection="0"/>
    <xf numFmtId="190" fontId="278" fillId="0" borderId="102" applyAlignment="0" applyProtection="0"/>
    <xf numFmtId="190" fontId="278" fillId="0" borderId="102" applyAlignment="0" applyProtection="0"/>
    <xf numFmtId="190" fontId="278" fillId="0" borderId="102" applyAlignment="0" applyProtection="0"/>
    <xf numFmtId="190" fontId="278" fillId="0" borderId="102" applyAlignment="0" applyProtection="0"/>
    <xf numFmtId="190" fontId="278" fillId="0" borderId="102" applyAlignment="0" applyProtection="0"/>
    <xf numFmtId="190" fontId="278" fillId="0" borderId="102" applyAlignment="0" applyProtection="0"/>
    <xf numFmtId="190" fontId="278" fillId="0" borderId="102" applyAlignment="0" applyProtection="0"/>
    <xf numFmtId="190" fontId="278" fillId="0" borderId="102" applyAlignment="0" applyProtection="0"/>
    <xf numFmtId="190" fontId="278" fillId="0" borderId="102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2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5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3" fillId="54" borderId="132" applyNumberFormat="0" applyAlignment="0" applyProtection="0"/>
    <xf numFmtId="0" fontId="292" fillId="54" borderId="132" applyNumberFormat="0" applyAlignment="0" applyProtection="0"/>
    <xf numFmtId="0" fontId="294" fillId="54" borderId="132" applyNumberFormat="0" applyAlignment="0" applyProtection="0"/>
    <xf numFmtId="0" fontId="295" fillId="54" borderId="132" applyNumberFormat="0" applyAlignment="0" applyProtection="0"/>
    <xf numFmtId="0" fontId="296" fillId="80" borderId="132" applyNumberFormat="0" applyAlignment="0" applyProtection="0"/>
    <xf numFmtId="0" fontId="296" fillId="80" borderId="132" applyNumberFormat="0" applyAlignment="0" applyProtection="0"/>
    <xf numFmtId="0" fontId="296" fillId="80" borderId="132" applyNumberFormat="0" applyAlignment="0" applyProtection="0"/>
    <xf numFmtId="0" fontId="296" fillId="80" borderId="132" applyNumberFormat="0" applyAlignment="0" applyProtection="0"/>
    <xf numFmtId="0" fontId="296" fillId="80" borderId="132" applyNumberFormat="0" applyAlignment="0" applyProtection="0"/>
    <xf numFmtId="0" fontId="296" fillId="80" borderId="132" applyNumberFormat="0" applyAlignment="0" applyProtection="0"/>
    <xf numFmtId="0" fontId="296" fillId="80" borderId="132" applyNumberFormat="0" applyAlignment="0" applyProtection="0"/>
    <xf numFmtId="0" fontId="296" fillId="80" borderId="132" applyNumberFormat="0" applyAlignment="0" applyProtection="0"/>
    <xf numFmtId="0" fontId="296" fillId="80" borderId="132" applyNumberFormat="0" applyAlignment="0" applyProtection="0"/>
    <xf numFmtId="0" fontId="296" fillId="80" borderId="132" applyNumberFormat="0" applyAlignment="0" applyProtection="0"/>
    <xf numFmtId="0" fontId="295" fillId="54" borderId="132" applyNumberFormat="0" applyAlignment="0" applyProtection="0"/>
    <xf numFmtId="0" fontId="295" fillId="54" borderId="132" applyNumberFormat="0" applyAlignment="0" applyProtection="0"/>
    <xf numFmtId="0" fontId="295" fillId="54" borderId="132" applyNumberFormat="0" applyAlignment="0" applyProtection="0"/>
    <xf numFmtId="0" fontId="295" fillId="54" borderId="132" applyNumberFormat="0" applyAlignment="0" applyProtection="0"/>
    <xf numFmtId="0" fontId="295" fillId="54" borderId="132" applyNumberFormat="0" applyAlignment="0" applyProtection="0"/>
    <xf numFmtId="0" fontId="295" fillId="54" borderId="132" applyNumberFormat="0" applyAlignment="0" applyProtection="0"/>
    <xf numFmtId="0" fontId="295" fillId="54" borderId="132" applyNumberFormat="0" applyAlignment="0" applyProtection="0"/>
    <xf numFmtId="0" fontId="295" fillId="54" borderId="132" applyNumberFormat="0" applyAlignment="0" applyProtection="0"/>
    <xf numFmtId="0" fontId="295" fillId="54" borderId="132" applyNumberFormat="0" applyAlignment="0" applyProtection="0"/>
    <xf numFmtId="0" fontId="295" fillId="54" borderId="132" applyNumberFormat="0" applyAlignment="0" applyProtection="0"/>
    <xf numFmtId="0" fontId="295" fillId="54" borderId="132" applyNumberFormat="0" applyAlignment="0" applyProtection="0"/>
    <xf numFmtId="0" fontId="295" fillId="54" borderId="132" applyNumberFormat="0" applyAlignment="0" applyProtection="0"/>
    <xf numFmtId="0" fontId="295" fillId="54" borderId="132" applyNumberFormat="0" applyAlignment="0" applyProtection="0"/>
    <xf numFmtId="0" fontId="295" fillId="54" borderId="132" applyNumberFormat="0" applyAlignment="0" applyProtection="0"/>
    <xf numFmtId="0" fontId="295" fillId="54" borderId="132" applyNumberFormat="0" applyAlignment="0" applyProtection="0"/>
    <xf numFmtId="0" fontId="295" fillId="54" borderId="132" applyNumberFormat="0" applyAlignment="0" applyProtection="0"/>
    <xf numFmtId="0" fontId="295" fillId="54" borderId="132" applyNumberFormat="0" applyAlignment="0" applyProtection="0"/>
    <xf numFmtId="0" fontId="295" fillId="54" borderId="132" applyNumberFormat="0" applyAlignment="0" applyProtection="0"/>
    <xf numFmtId="0" fontId="295" fillId="54" borderId="132" applyNumberFormat="0" applyAlignment="0" applyProtection="0"/>
    <xf numFmtId="0" fontId="295" fillId="54" borderId="132" applyNumberFormat="0" applyAlignment="0" applyProtection="0"/>
    <xf numFmtId="0" fontId="295" fillId="54" borderId="132" applyNumberFormat="0" applyAlignment="0" applyProtection="0"/>
    <xf numFmtId="0" fontId="295" fillId="54" borderId="132" applyNumberFormat="0" applyAlignment="0" applyProtection="0"/>
    <xf numFmtId="9" fontId="55" fillId="0" borderId="115" applyNumberFormat="0" applyBorder="0"/>
    <xf numFmtId="0" fontId="295" fillId="54" borderId="132" applyNumberFormat="0" applyAlignment="0" applyProtection="0"/>
    <xf numFmtId="0" fontId="295" fillId="54" borderId="132" applyNumberFormat="0" applyAlignment="0" applyProtection="0"/>
    <xf numFmtId="0" fontId="295" fillId="54" borderId="132" applyNumberFormat="0" applyAlignment="0" applyProtection="0"/>
    <xf numFmtId="0" fontId="295" fillId="54" borderId="132" applyNumberFormat="0" applyAlignment="0" applyProtection="0"/>
    <xf numFmtId="0" fontId="295" fillId="54" borderId="132" applyNumberFormat="0" applyAlignment="0" applyProtection="0"/>
    <xf numFmtId="0" fontId="296" fillId="80" borderId="132" applyNumberFormat="0" applyAlignment="0" applyProtection="0"/>
    <xf numFmtId="0" fontId="296" fillId="80" borderId="132" applyNumberFormat="0" applyAlignment="0" applyProtection="0"/>
    <xf numFmtId="0" fontId="296" fillId="80" borderId="132" applyNumberFormat="0" applyAlignment="0" applyProtection="0"/>
    <xf numFmtId="0" fontId="295" fillId="54" borderId="132" applyNumberFormat="0" applyAlignment="0" applyProtection="0"/>
    <xf numFmtId="0" fontId="295" fillId="54" borderId="132" applyNumberFormat="0" applyAlignment="0" applyProtection="0"/>
    <xf numFmtId="0" fontId="295" fillId="54" borderId="132" applyNumberFormat="0" applyAlignment="0" applyProtection="0"/>
    <xf numFmtId="0" fontId="295" fillId="54" borderId="132" applyNumberFormat="0" applyAlignment="0" applyProtection="0"/>
    <xf numFmtId="0" fontId="295" fillId="54" borderId="132" applyNumberFormat="0" applyAlignment="0" applyProtection="0"/>
    <xf numFmtId="0" fontId="295" fillId="54" borderId="132" applyNumberFormat="0" applyAlignment="0" applyProtection="0"/>
    <xf numFmtId="0" fontId="295" fillId="54" borderId="132" applyNumberFormat="0" applyAlignment="0" applyProtection="0"/>
    <xf numFmtId="0" fontId="295" fillId="54" borderId="132" applyNumberFormat="0" applyAlignment="0" applyProtection="0"/>
    <xf numFmtId="0" fontId="295" fillId="54" borderId="132" applyNumberFormat="0" applyAlignment="0" applyProtection="0"/>
    <xf numFmtId="0" fontId="295" fillId="54" borderId="132" applyNumberFormat="0" applyAlignment="0" applyProtection="0"/>
    <xf numFmtId="0" fontId="295" fillId="54" borderId="132" applyNumberFormat="0" applyAlignment="0" applyProtection="0"/>
    <xf numFmtId="0" fontId="295" fillId="54" borderId="132" applyNumberFormat="0" applyAlignment="0" applyProtection="0"/>
    <xf numFmtId="0" fontId="295" fillId="54" borderId="132" applyNumberFormat="0" applyAlignment="0" applyProtection="0"/>
    <xf numFmtId="0" fontId="295" fillId="54" borderId="132" applyNumberFormat="0" applyAlignment="0" applyProtection="0"/>
    <xf numFmtId="0" fontId="296" fillId="80" borderId="132" applyNumberFormat="0" applyAlignment="0" applyProtection="0"/>
    <xf numFmtId="0" fontId="296" fillId="80" borderId="132" applyNumberFormat="0" applyAlignment="0" applyProtection="0"/>
    <xf numFmtId="0" fontId="296" fillId="80" borderId="132" applyNumberFormat="0" applyAlignment="0" applyProtection="0"/>
    <xf numFmtId="0" fontId="296" fillId="80" borderId="132" applyNumberFormat="0" applyAlignment="0" applyProtection="0"/>
    <xf numFmtId="0" fontId="296" fillId="80" borderId="132" applyNumberFormat="0" applyAlignment="0" applyProtection="0"/>
    <xf numFmtId="0" fontId="296" fillId="80" borderId="132" applyNumberFormat="0" applyAlignment="0" applyProtection="0"/>
    <xf numFmtId="0" fontId="296" fillId="80" borderId="132" applyNumberFormat="0" applyAlignment="0" applyProtection="0"/>
    <xf numFmtId="0" fontId="295" fillId="54" borderId="132" applyNumberFormat="0" applyAlignment="0" applyProtection="0"/>
    <xf numFmtId="0" fontId="295" fillId="54" borderId="132" applyNumberFormat="0" applyAlignment="0" applyProtection="0"/>
    <xf numFmtId="0" fontId="295" fillId="54" borderId="132" applyNumberFormat="0" applyAlignment="0" applyProtection="0"/>
    <xf numFmtId="0" fontId="295" fillId="54" borderId="132" applyNumberFormat="0" applyAlignment="0" applyProtection="0"/>
    <xf numFmtId="0" fontId="295" fillId="54" borderId="132" applyNumberFormat="0" applyAlignment="0" applyProtection="0"/>
    <xf numFmtId="0" fontId="295" fillId="54" borderId="132" applyNumberFormat="0" applyAlignment="0" applyProtection="0"/>
    <xf numFmtId="0" fontId="295" fillId="54" borderId="132" applyNumberFormat="0" applyAlignment="0" applyProtection="0"/>
    <xf numFmtId="0" fontId="295" fillId="54" borderId="132" applyNumberFormat="0" applyAlignment="0" applyProtection="0"/>
    <xf numFmtId="0" fontId="295" fillId="54" borderId="132" applyNumberFormat="0" applyAlignment="0" applyProtection="0"/>
    <xf numFmtId="0" fontId="295" fillId="54" borderId="132" applyNumberFormat="0" applyAlignment="0" applyProtection="0"/>
    <xf numFmtId="0" fontId="296" fillId="80" borderId="132" applyNumberFormat="0" applyAlignment="0" applyProtection="0"/>
    <xf numFmtId="0" fontId="296" fillId="80" borderId="132" applyNumberFormat="0" applyAlignment="0" applyProtection="0"/>
    <xf numFmtId="0" fontId="296" fillId="80" borderId="132" applyNumberFormat="0" applyAlignment="0" applyProtection="0"/>
    <xf numFmtId="0" fontId="296" fillId="80" borderId="132" applyNumberFormat="0" applyAlignment="0" applyProtection="0"/>
    <xf numFmtId="0" fontId="296" fillId="80" borderId="132" applyNumberFormat="0" applyAlignment="0" applyProtection="0"/>
    <xf numFmtId="0" fontId="296" fillId="80" borderId="132" applyNumberFormat="0" applyAlignment="0" applyProtection="0"/>
    <xf numFmtId="0" fontId="296" fillId="80" borderId="132" applyNumberFormat="0" applyAlignment="0" applyProtection="0"/>
    <xf numFmtId="0" fontId="296" fillId="80" borderId="132" applyNumberFormat="0" applyAlignment="0" applyProtection="0"/>
    <xf numFmtId="0" fontId="296" fillId="80" borderId="132" applyNumberFormat="0" applyAlignment="0" applyProtection="0"/>
    <xf numFmtId="0" fontId="296" fillId="80" borderId="132" applyNumberFormat="0" applyAlignment="0" applyProtection="0"/>
    <xf numFmtId="0" fontId="296" fillId="80" borderId="132" applyNumberFormat="0" applyAlignment="0" applyProtection="0"/>
    <xf numFmtId="0" fontId="296" fillId="80" borderId="132" applyNumberFormat="0" applyAlignment="0" applyProtection="0"/>
    <xf numFmtId="0" fontId="296" fillId="80" borderId="132" applyNumberFormat="0" applyAlignment="0" applyProtection="0"/>
    <xf numFmtId="0" fontId="296" fillId="80" borderId="132" applyNumberFormat="0" applyAlignment="0" applyProtection="0"/>
    <xf numFmtId="0" fontId="296" fillId="80" borderId="132" applyNumberFormat="0" applyAlignment="0" applyProtection="0"/>
    <xf numFmtId="0" fontId="296" fillId="80" borderId="132" applyNumberFormat="0" applyAlignment="0" applyProtection="0"/>
    <xf numFmtId="0" fontId="296" fillId="80" borderId="132" applyNumberFormat="0" applyAlignment="0" applyProtection="0"/>
    <xf numFmtId="0" fontId="296" fillId="80" borderId="132" applyNumberFormat="0" applyAlignment="0" applyProtection="0"/>
    <xf numFmtId="0" fontId="296" fillId="80" borderId="132" applyNumberFormat="0" applyAlignment="0" applyProtection="0"/>
    <xf numFmtId="0" fontId="296" fillId="80" borderId="132" applyNumberFormat="0" applyAlignment="0" applyProtection="0"/>
    <xf numFmtId="0" fontId="296" fillId="80" borderId="132" applyNumberFormat="0" applyAlignment="0" applyProtection="0"/>
    <xf numFmtId="0" fontId="296" fillId="80" borderId="132" applyNumberFormat="0" applyAlignment="0" applyProtection="0"/>
    <xf numFmtId="0" fontId="296" fillId="80" borderId="132" applyNumberFormat="0" applyAlignment="0" applyProtection="0"/>
    <xf numFmtId="0" fontId="296" fillId="80" borderId="132" applyNumberFormat="0" applyAlignment="0" applyProtection="0"/>
    <xf numFmtId="0" fontId="296" fillId="80" borderId="132" applyNumberFormat="0" applyAlignment="0" applyProtection="0"/>
    <xf numFmtId="0" fontId="296" fillId="80" borderId="132" applyNumberFormat="0" applyAlignment="0" applyProtection="0"/>
    <xf numFmtId="0" fontId="296" fillId="80" borderId="132" applyNumberFormat="0" applyAlignment="0" applyProtection="0"/>
    <xf numFmtId="0" fontId="296" fillId="80" borderId="132" applyNumberFormat="0" applyAlignment="0" applyProtection="0"/>
    <xf numFmtId="0" fontId="295" fillId="54" borderId="132" applyNumberFormat="0" applyAlignment="0" applyProtection="0"/>
    <xf numFmtId="0" fontId="295" fillId="54" borderId="132" applyNumberFormat="0" applyAlignment="0" applyProtection="0"/>
    <xf numFmtId="0" fontId="295" fillId="54" borderId="132" applyNumberFormat="0" applyAlignment="0" applyProtection="0"/>
    <xf numFmtId="0" fontId="296" fillId="80" borderId="132" applyNumberFormat="0" applyAlignment="0" applyProtection="0"/>
    <xf numFmtId="0" fontId="296" fillId="80" borderId="132" applyNumberFormat="0" applyAlignment="0" applyProtection="0"/>
    <xf numFmtId="0" fontId="296" fillId="80" borderId="132" applyNumberFormat="0" applyAlignment="0" applyProtection="0"/>
    <xf numFmtId="0" fontId="296" fillId="80" borderId="132" applyNumberFormat="0" applyAlignment="0" applyProtection="0"/>
    <xf numFmtId="0" fontId="296" fillId="80" borderId="132" applyNumberFormat="0" applyAlignment="0" applyProtection="0"/>
    <xf numFmtId="0" fontId="296" fillId="80" borderId="132" applyNumberFormat="0" applyAlignment="0" applyProtection="0"/>
    <xf numFmtId="0" fontId="296" fillId="80" borderId="132" applyNumberFormat="0" applyAlignment="0" applyProtection="0"/>
    <xf numFmtId="0" fontId="296" fillId="80" borderId="132" applyNumberFormat="0" applyAlignment="0" applyProtection="0"/>
    <xf numFmtId="0" fontId="296" fillId="80" borderId="132" applyNumberFormat="0" applyAlignment="0" applyProtection="0"/>
    <xf numFmtId="0" fontId="296" fillId="80" borderId="132" applyNumberFormat="0" applyAlignment="0" applyProtection="0"/>
    <xf numFmtId="0" fontId="296" fillId="80" borderId="132" applyNumberFormat="0" applyAlignment="0" applyProtection="0"/>
    <xf numFmtId="0" fontId="296" fillId="80" borderId="132" applyNumberFormat="0" applyAlignment="0" applyProtection="0"/>
    <xf numFmtId="0" fontId="296" fillId="80" borderId="132" applyNumberFormat="0" applyAlignment="0" applyProtection="0"/>
    <xf numFmtId="0" fontId="296" fillId="80" borderId="132" applyNumberFormat="0" applyAlignment="0" applyProtection="0"/>
    <xf numFmtId="0" fontId="295" fillId="54" borderId="132" applyNumberFormat="0" applyAlignment="0" applyProtection="0"/>
    <xf numFmtId="0" fontId="295" fillId="54" borderId="132" applyNumberFormat="0" applyAlignment="0" applyProtection="0"/>
    <xf numFmtId="0" fontId="295" fillId="54" borderId="132" applyNumberFormat="0" applyAlignment="0" applyProtection="0"/>
    <xf numFmtId="0" fontId="295" fillId="54" borderId="132" applyNumberFormat="0" applyAlignment="0" applyProtection="0"/>
    <xf numFmtId="0" fontId="295" fillId="54" borderId="132" applyNumberFormat="0" applyAlignment="0" applyProtection="0"/>
    <xf numFmtId="0" fontId="295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5" fillId="54" borderId="132" applyNumberFormat="0" applyAlignment="0" applyProtection="0"/>
    <xf numFmtId="0" fontId="295" fillId="54" borderId="132" applyNumberFormat="0" applyAlignment="0" applyProtection="0"/>
    <xf numFmtId="0" fontId="295" fillId="54" borderId="132" applyNumberFormat="0" applyAlignment="0" applyProtection="0"/>
    <xf numFmtId="0" fontId="295" fillId="54" borderId="132" applyNumberFormat="0" applyAlignment="0" applyProtection="0"/>
    <xf numFmtId="0" fontId="295" fillId="54" borderId="132" applyNumberFormat="0" applyAlignment="0" applyProtection="0"/>
    <xf numFmtId="0" fontId="295" fillId="54" borderId="132" applyNumberFormat="0" applyAlignment="0" applyProtection="0"/>
    <xf numFmtId="0" fontId="295" fillId="54" borderId="132" applyNumberFormat="0" applyAlignment="0" applyProtection="0"/>
    <xf numFmtId="0" fontId="295" fillId="54" borderId="132" applyNumberFormat="0" applyAlignment="0" applyProtection="0"/>
    <xf numFmtId="0" fontId="295" fillId="54" borderId="132" applyNumberFormat="0" applyAlignment="0" applyProtection="0"/>
    <xf numFmtId="0" fontId="295" fillId="54" borderId="132" applyNumberFormat="0" applyAlignment="0" applyProtection="0"/>
    <xf numFmtId="0" fontId="295" fillId="54" borderId="132" applyNumberFormat="0" applyAlignment="0" applyProtection="0"/>
    <xf numFmtId="0" fontId="295" fillId="54" borderId="132" applyNumberFormat="0" applyAlignment="0" applyProtection="0"/>
    <xf numFmtId="0" fontId="295" fillId="54" borderId="132" applyNumberFormat="0" applyAlignment="0" applyProtection="0"/>
    <xf numFmtId="0" fontId="295" fillId="54" borderId="132" applyNumberFormat="0" applyAlignment="0" applyProtection="0"/>
    <xf numFmtId="0" fontId="295" fillId="54" borderId="132" applyNumberFormat="0" applyAlignment="0" applyProtection="0"/>
    <xf numFmtId="0" fontId="295" fillId="54" borderId="132" applyNumberFormat="0" applyAlignment="0" applyProtection="0"/>
    <xf numFmtId="0" fontId="295" fillId="54" borderId="132" applyNumberFormat="0" applyAlignment="0" applyProtection="0"/>
    <xf numFmtId="0" fontId="295" fillId="54" borderId="132" applyNumberFormat="0" applyAlignment="0" applyProtection="0"/>
    <xf numFmtId="0" fontId="295" fillId="54" borderId="132" applyNumberFormat="0" applyAlignment="0" applyProtection="0"/>
    <xf numFmtId="0" fontId="295" fillId="54" borderId="132" applyNumberFormat="0" applyAlignment="0" applyProtection="0"/>
    <xf numFmtId="0" fontId="295" fillId="54" borderId="132" applyNumberFormat="0" applyAlignment="0" applyProtection="0"/>
    <xf numFmtId="0" fontId="295" fillId="54" borderId="132" applyNumberFormat="0" applyAlignment="0" applyProtection="0"/>
    <xf numFmtId="0" fontId="295" fillId="54" borderId="132" applyNumberFormat="0" applyAlignment="0" applyProtection="0"/>
    <xf numFmtId="0" fontId="295" fillId="54" borderId="132" applyNumberFormat="0" applyAlignment="0" applyProtection="0"/>
    <xf numFmtId="0" fontId="295" fillId="54" borderId="132" applyNumberFormat="0" applyAlignment="0" applyProtection="0"/>
    <xf numFmtId="0" fontId="295" fillId="54" borderId="132" applyNumberFormat="0" applyAlignment="0" applyProtection="0"/>
    <xf numFmtId="0" fontId="295" fillId="54" borderId="132" applyNumberFormat="0" applyAlignment="0" applyProtection="0"/>
    <xf numFmtId="0" fontId="295" fillId="54" borderId="132" applyNumberFormat="0" applyAlignment="0" applyProtection="0"/>
    <xf numFmtId="0" fontId="295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1" fontId="298" fillId="41" borderId="133"/>
    <xf numFmtId="1" fontId="298" fillId="41" borderId="133"/>
    <xf numFmtId="1" fontId="298" fillId="41" borderId="133"/>
    <xf numFmtId="1" fontId="298" fillId="41" borderId="133"/>
    <xf numFmtId="1" fontId="298" fillId="41" borderId="133"/>
    <xf numFmtId="1" fontId="298" fillId="41" borderId="133"/>
    <xf numFmtId="1" fontId="298" fillId="41" borderId="133"/>
    <xf numFmtId="1" fontId="298" fillId="41" borderId="133"/>
    <xf numFmtId="1" fontId="298" fillId="41" borderId="133"/>
    <xf numFmtId="1" fontId="298" fillId="41" borderId="133"/>
    <xf numFmtId="1" fontId="298" fillId="41" borderId="133"/>
    <xf numFmtId="1" fontId="299" fillId="41" borderId="133"/>
    <xf numFmtId="1" fontId="299" fillId="41" borderId="133"/>
    <xf numFmtId="1" fontId="299" fillId="41" borderId="133"/>
    <xf numFmtId="1" fontId="299" fillId="41" borderId="133"/>
    <xf numFmtId="1" fontId="299" fillId="41" borderId="133"/>
    <xf numFmtId="1" fontId="299" fillId="41" borderId="133"/>
    <xf numFmtId="1" fontId="299" fillId="41" borderId="133"/>
    <xf numFmtId="1" fontId="299" fillId="41" borderId="133"/>
    <xf numFmtId="1" fontId="298" fillId="41" borderId="133"/>
    <xf numFmtId="1" fontId="298" fillId="41" borderId="133"/>
    <xf numFmtId="1" fontId="298" fillId="41" borderId="133"/>
    <xf numFmtId="1" fontId="298" fillId="41" borderId="133"/>
    <xf numFmtId="1" fontId="298" fillId="41" borderId="133"/>
    <xf numFmtId="1" fontId="298" fillId="41" borderId="133"/>
    <xf numFmtId="1" fontId="298" fillId="41" borderId="133"/>
    <xf numFmtId="1" fontId="298" fillId="41" borderId="133"/>
    <xf numFmtId="1" fontId="298" fillId="41" borderId="133"/>
    <xf numFmtId="1" fontId="298" fillId="41" borderId="133"/>
    <xf numFmtId="1" fontId="298" fillId="41" borderId="133"/>
    <xf numFmtId="1" fontId="299" fillId="41" borderId="133"/>
    <xf numFmtId="1" fontId="299" fillId="41" borderId="133"/>
    <xf numFmtId="1" fontId="299" fillId="41" borderId="133"/>
    <xf numFmtId="1" fontId="299" fillId="41" borderId="133"/>
    <xf numFmtId="1" fontId="299" fillId="41" borderId="133"/>
    <xf numFmtId="1" fontId="299" fillId="41" borderId="133"/>
    <xf numFmtId="1" fontId="298" fillId="41" borderId="133"/>
    <xf numFmtId="1" fontId="298" fillId="41" borderId="133"/>
    <xf numFmtId="1" fontId="298" fillId="41" borderId="133"/>
    <xf numFmtId="1" fontId="298" fillId="41" borderId="133"/>
    <xf numFmtId="1" fontId="298" fillId="41" borderId="133"/>
    <xf numFmtId="1" fontId="298" fillId="41" borderId="133"/>
    <xf numFmtId="1" fontId="298" fillId="41" borderId="133"/>
    <xf numFmtId="1" fontId="298" fillId="41" borderId="133"/>
    <xf numFmtId="1" fontId="298" fillId="41" borderId="133"/>
    <xf numFmtId="1" fontId="298" fillId="41" borderId="133"/>
    <xf numFmtId="1" fontId="298" fillId="41" borderId="133"/>
    <xf numFmtId="1" fontId="298" fillId="41" borderId="133"/>
    <xf numFmtId="1" fontId="298" fillId="41" borderId="133"/>
    <xf numFmtId="1" fontId="298" fillId="41" borderId="133"/>
    <xf numFmtId="1" fontId="298" fillId="41" borderId="133"/>
    <xf numFmtId="1" fontId="298" fillId="41" borderId="133"/>
    <xf numFmtId="1" fontId="299" fillId="41" borderId="133"/>
    <xf numFmtId="1" fontId="301" fillId="82" borderId="133"/>
    <xf numFmtId="1" fontId="301" fillId="82" borderId="133"/>
    <xf numFmtId="1" fontId="301" fillId="82" borderId="133"/>
    <xf numFmtId="1" fontId="301" fillId="82" borderId="133"/>
    <xf numFmtId="1" fontId="301" fillId="82" borderId="133"/>
    <xf numFmtId="1" fontId="301" fillId="82" borderId="133"/>
    <xf numFmtId="1" fontId="301" fillId="82" borderId="133"/>
    <xf numFmtId="1" fontId="301" fillId="82" borderId="133"/>
    <xf numFmtId="1" fontId="301" fillId="82" borderId="133"/>
    <xf numFmtId="1" fontId="301" fillId="82" borderId="133"/>
    <xf numFmtId="1" fontId="301" fillId="82" borderId="133"/>
    <xf numFmtId="1" fontId="302" fillId="82" borderId="133"/>
    <xf numFmtId="1" fontId="302" fillId="82" borderId="133"/>
    <xf numFmtId="1" fontId="302" fillId="82" borderId="133"/>
    <xf numFmtId="1" fontId="302" fillId="82" borderId="133"/>
    <xf numFmtId="1" fontId="302" fillId="82" borderId="133"/>
    <xf numFmtId="1" fontId="302" fillId="82" borderId="133"/>
    <xf numFmtId="1" fontId="302" fillId="82" borderId="133"/>
    <xf numFmtId="1" fontId="302" fillId="82" borderId="133"/>
    <xf numFmtId="1" fontId="301" fillId="82" borderId="133"/>
    <xf numFmtId="1" fontId="301" fillId="82" borderId="133"/>
    <xf numFmtId="1" fontId="301" fillId="82" borderId="133"/>
    <xf numFmtId="1" fontId="301" fillId="82" borderId="133"/>
    <xf numFmtId="1" fontId="301" fillId="82" borderId="133"/>
    <xf numFmtId="1" fontId="301" fillId="82" borderId="133"/>
    <xf numFmtId="1" fontId="301" fillId="82" borderId="133"/>
    <xf numFmtId="1" fontId="301" fillId="82" borderId="133"/>
    <xf numFmtId="1" fontId="301" fillId="82" borderId="133"/>
    <xf numFmtId="1" fontId="301" fillId="82" borderId="133"/>
    <xf numFmtId="1" fontId="301" fillId="82" borderId="133"/>
    <xf numFmtId="1" fontId="302" fillId="82" borderId="133"/>
    <xf numFmtId="1" fontId="302" fillId="82" borderId="133"/>
    <xf numFmtId="1" fontId="302" fillId="82" borderId="133"/>
    <xf numFmtId="1" fontId="302" fillId="82" borderId="133"/>
    <xf numFmtId="1" fontId="302" fillId="82" borderId="133"/>
    <xf numFmtId="1" fontId="302" fillId="82" borderId="133"/>
    <xf numFmtId="1" fontId="302" fillId="82" borderId="133"/>
    <xf numFmtId="1" fontId="301" fillId="82" borderId="133"/>
    <xf numFmtId="1" fontId="301" fillId="82" borderId="133"/>
    <xf numFmtId="1" fontId="301" fillId="82" borderId="133"/>
    <xf numFmtId="1" fontId="301" fillId="82" borderId="133"/>
    <xf numFmtId="1" fontId="301" fillId="82" borderId="133"/>
    <xf numFmtId="1" fontId="301" fillId="82" borderId="133"/>
    <xf numFmtId="1" fontId="301" fillId="82" borderId="133"/>
    <xf numFmtId="1" fontId="301" fillId="82" borderId="133"/>
    <xf numFmtId="1" fontId="301" fillId="82" borderId="133"/>
    <xf numFmtId="1" fontId="301" fillId="82" borderId="133"/>
    <xf numFmtId="1" fontId="301" fillId="82" borderId="133"/>
    <xf numFmtId="1" fontId="301" fillId="82" borderId="133"/>
    <xf numFmtId="1" fontId="301" fillId="82" borderId="133"/>
    <xf numFmtId="1" fontId="301" fillId="82" borderId="133"/>
    <xf numFmtId="1" fontId="301" fillId="82" borderId="133"/>
    <xf numFmtId="1" fontId="301" fillId="82" borderId="133"/>
    <xf numFmtId="0" fontId="315" fillId="84" borderId="129">
      <alignment horizontal="center" wrapText="1"/>
    </xf>
    <xf numFmtId="0" fontId="314" fillId="0" borderId="124">
      <alignment horizontal="center"/>
    </xf>
    <xf numFmtId="0" fontId="315" fillId="84" borderId="129">
      <alignment horizontal="center" wrapText="1"/>
    </xf>
    <xf numFmtId="0" fontId="315" fillId="84" borderId="129">
      <alignment horizontal="center" wrapText="1"/>
    </xf>
    <xf numFmtId="0" fontId="315" fillId="84" borderId="129">
      <alignment horizontal="center" wrapText="1"/>
    </xf>
    <xf numFmtId="0" fontId="315" fillId="84" borderId="129">
      <alignment horizontal="center" wrapText="1"/>
    </xf>
    <xf numFmtId="0" fontId="315" fillId="84" borderId="129">
      <alignment horizontal="center" wrapText="1"/>
    </xf>
    <xf numFmtId="0" fontId="315" fillId="84" borderId="129">
      <alignment horizontal="center" wrapText="1"/>
    </xf>
    <xf numFmtId="0" fontId="315" fillId="84" borderId="129">
      <alignment horizontal="center" wrapText="1"/>
    </xf>
    <xf numFmtId="0" fontId="315" fillId="84" borderId="129">
      <alignment horizontal="center" wrapText="1"/>
    </xf>
    <xf numFmtId="0" fontId="315" fillId="84" borderId="129">
      <alignment horizontal="center" wrapText="1"/>
    </xf>
    <xf numFmtId="0" fontId="315" fillId="84" borderId="129">
      <alignment horizontal="center" wrapText="1"/>
    </xf>
    <xf numFmtId="0" fontId="315" fillId="84" borderId="129">
      <alignment horizontal="center" wrapText="1"/>
    </xf>
    <xf numFmtId="0" fontId="315" fillId="84" borderId="129">
      <alignment horizontal="center" wrapText="1"/>
    </xf>
    <xf numFmtId="0" fontId="315" fillId="84" borderId="129">
      <alignment horizontal="center" wrapText="1"/>
    </xf>
    <xf numFmtId="0" fontId="315" fillId="84" borderId="129">
      <alignment horizontal="center" wrapText="1"/>
    </xf>
    <xf numFmtId="0" fontId="315" fillId="84" borderId="129">
      <alignment horizontal="center" wrapText="1"/>
    </xf>
    <xf numFmtId="0" fontId="315" fillId="84" borderId="129">
      <alignment horizontal="center" wrapText="1"/>
    </xf>
    <xf numFmtId="0" fontId="315" fillId="84" borderId="129">
      <alignment horizontal="center" wrapText="1"/>
    </xf>
    <xf numFmtId="0" fontId="315" fillId="84" borderId="129">
      <alignment horizontal="center" wrapText="1"/>
    </xf>
    <xf numFmtId="0" fontId="315" fillId="84" borderId="129">
      <alignment horizontal="center" wrapText="1"/>
    </xf>
    <xf numFmtId="0" fontId="315" fillId="84" borderId="129">
      <alignment horizontal="center" wrapText="1"/>
    </xf>
    <xf numFmtId="0" fontId="315" fillId="84" borderId="129">
      <alignment horizontal="center" wrapText="1"/>
    </xf>
    <xf numFmtId="0" fontId="315" fillId="84" borderId="129">
      <alignment horizontal="center" wrapText="1"/>
    </xf>
    <xf numFmtId="0" fontId="315" fillId="84" borderId="129">
      <alignment horizontal="center" wrapText="1"/>
    </xf>
    <xf numFmtId="0" fontId="315" fillId="84" borderId="129">
      <alignment horizontal="center" wrapText="1"/>
    </xf>
    <xf numFmtId="0" fontId="315" fillId="84" borderId="129">
      <alignment horizontal="center" wrapText="1"/>
    </xf>
    <xf numFmtId="0" fontId="17" fillId="51" borderId="134" applyNumberFormat="0" applyFont="0" applyAlignment="0" applyProtection="0"/>
    <xf numFmtId="0" fontId="17" fillId="51" borderId="134" applyNumberFormat="0" applyFont="0" applyAlignment="0" applyProtection="0"/>
    <xf numFmtId="0" fontId="17" fillId="51" borderId="134" applyNumberFormat="0" applyFont="0" applyAlignment="0" applyProtection="0"/>
    <xf numFmtId="0" fontId="17" fillId="51" borderId="134" applyNumberFormat="0" applyFont="0" applyAlignment="0" applyProtection="0"/>
    <xf numFmtId="0" fontId="17" fillId="51" borderId="134" applyNumberFormat="0" applyFont="0" applyAlignment="0" applyProtection="0"/>
    <xf numFmtId="0" fontId="17" fillId="51" borderId="134" applyNumberFormat="0" applyFont="0" applyAlignment="0" applyProtection="0"/>
    <xf numFmtId="0" fontId="324" fillId="51" borderId="134" applyNumberFormat="0" applyFont="0" applyAlignment="0" applyProtection="0"/>
    <xf numFmtId="0" fontId="17" fillId="51" borderId="134" applyNumberFormat="0" applyFont="0" applyAlignment="0" applyProtection="0"/>
    <xf numFmtId="0" fontId="17" fillId="51" borderId="134" applyNumberFormat="0" applyFont="0" applyAlignment="0" applyProtection="0"/>
    <xf numFmtId="0" fontId="324" fillId="51" borderId="134" applyNumberFormat="0" applyFont="0" applyAlignment="0" applyProtection="0"/>
    <xf numFmtId="0" fontId="324" fillId="51" borderId="134" applyNumberFormat="0" applyFont="0" applyAlignment="0" applyProtection="0"/>
    <xf numFmtId="0" fontId="324" fillId="51" borderId="134" applyNumberFormat="0" applyFont="0" applyAlignment="0" applyProtection="0"/>
    <xf numFmtId="0" fontId="324" fillId="51" borderId="134" applyNumberFormat="0" applyFont="0" applyAlignment="0" applyProtection="0"/>
    <xf numFmtId="0" fontId="324" fillId="51" borderId="134" applyNumberFormat="0" applyFont="0" applyAlignment="0" applyProtection="0"/>
    <xf numFmtId="0" fontId="324" fillId="51" borderId="134" applyNumberFormat="0" applyFont="0" applyAlignment="0" applyProtection="0"/>
    <xf numFmtId="0" fontId="221" fillId="51" borderId="134" applyNumberFormat="0" applyFont="0" applyAlignment="0" applyProtection="0"/>
    <xf numFmtId="0" fontId="324" fillId="51" borderId="134" applyNumberFormat="0" applyFont="0" applyAlignment="0" applyProtection="0"/>
    <xf numFmtId="0" fontId="324" fillId="51" borderId="134" applyNumberFormat="0" applyFont="0" applyAlignment="0" applyProtection="0"/>
    <xf numFmtId="0" fontId="324" fillId="51" borderId="134" applyNumberFormat="0" applyFont="0" applyAlignment="0" applyProtection="0"/>
    <xf numFmtId="0" fontId="324" fillId="51" borderId="134" applyNumberFormat="0" applyFont="0" applyAlignment="0" applyProtection="0"/>
    <xf numFmtId="0" fontId="324" fillId="51" borderId="134" applyNumberFormat="0" applyFont="0" applyAlignment="0" applyProtection="0"/>
    <xf numFmtId="0" fontId="324" fillId="51" borderId="134" applyNumberFormat="0" applyFont="0" applyAlignment="0" applyProtection="0"/>
    <xf numFmtId="0" fontId="324" fillId="51" borderId="134" applyNumberFormat="0" applyFont="0" applyAlignment="0" applyProtection="0"/>
    <xf numFmtId="0" fontId="324" fillId="51" borderId="134" applyNumberFormat="0" applyFont="0" applyAlignment="0" applyProtection="0"/>
    <xf numFmtId="0" fontId="324" fillId="51" borderId="134" applyNumberFormat="0" applyFont="0" applyAlignment="0" applyProtection="0"/>
    <xf numFmtId="0" fontId="324" fillId="51" borderId="134" applyNumberFormat="0" applyFont="0" applyAlignment="0" applyProtection="0"/>
    <xf numFmtId="0" fontId="324" fillId="51" borderId="134" applyNumberFormat="0" applyFont="0" applyAlignment="0" applyProtection="0"/>
    <xf numFmtId="0" fontId="324" fillId="51" borderId="134" applyNumberFormat="0" applyFont="0" applyAlignment="0" applyProtection="0"/>
    <xf numFmtId="0" fontId="324" fillId="51" borderId="134" applyNumberFormat="0" applyFont="0" applyAlignment="0" applyProtection="0"/>
    <xf numFmtId="0" fontId="324" fillId="51" borderId="134" applyNumberFormat="0" applyFont="0" applyAlignment="0" applyProtection="0"/>
    <xf numFmtId="0" fontId="324" fillId="51" borderId="134" applyNumberFormat="0" applyFont="0" applyAlignment="0" applyProtection="0"/>
    <xf numFmtId="0" fontId="324" fillId="51" borderId="134" applyNumberFormat="0" applyFont="0" applyAlignment="0" applyProtection="0"/>
    <xf numFmtId="0" fontId="324" fillId="51" borderId="134" applyNumberFormat="0" applyFont="0" applyAlignment="0" applyProtection="0"/>
    <xf numFmtId="0" fontId="324" fillId="51" borderId="134" applyNumberFormat="0" applyFont="0" applyAlignment="0" applyProtection="0"/>
    <xf numFmtId="0" fontId="324" fillId="51" borderId="134" applyNumberFormat="0" applyFont="0" applyAlignment="0" applyProtection="0"/>
    <xf numFmtId="0" fontId="17" fillId="51" borderId="134" applyNumberFormat="0" applyFont="0" applyAlignment="0" applyProtection="0"/>
    <xf numFmtId="0" fontId="17" fillId="51" borderId="134" applyNumberFormat="0" applyFont="0" applyAlignment="0" applyProtection="0"/>
    <xf numFmtId="0" fontId="17" fillId="51" borderId="134" applyNumberFormat="0" applyFont="0" applyAlignment="0" applyProtection="0"/>
    <xf numFmtId="0" fontId="221" fillId="51" borderId="134" applyNumberFormat="0" applyFont="0" applyAlignment="0" applyProtection="0"/>
    <xf numFmtId="0" fontId="324" fillId="51" borderId="134" applyNumberFormat="0" applyFont="0" applyAlignment="0" applyProtection="0"/>
    <xf numFmtId="0" fontId="324" fillId="51" borderId="134" applyNumberFormat="0" applyFont="0" applyAlignment="0" applyProtection="0"/>
    <xf numFmtId="0" fontId="324" fillId="51" borderId="134" applyNumberFormat="0" applyFont="0" applyAlignment="0" applyProtection="0"/>
    <xf numFmtId="0" fontId="324" fillId="51" borderId="134" applyNumberFormat="0" applyFont="0" applyAlignment="0" applyProtection="0"/>
    <xf numFmtId="0" fontId="324" fillId="51" borderId="134" applyNumberFormat="0" applyFont="0" applyAlignment="0" applyProtection="0"/>
    <xf numFmtId="0" fontId="324" fillId="51" borderId="134" applyNumberFormat="0" applyFont="0" applyAlignment="0" applyProtection="0"/>
    <xf numFmtId="0" fontId="324" fillId="51" borderId="134" applyNumberFormat="0" applyFont="0" applyAlignment="0" applyProtection="0"/>
    <xf numFmtId="0" fontId="324" fillId="51" borderId="134" applyNumberFormat="0" applyFont="0" applyAlignment="0" applyProtection="0"/>
    <xf numFmtId="0" fontId="324" fillId="51" borderId="134" applyNumberFormat="0" applyFont="0" applyAlignment="0" applyProtection="0"/>
    <xf numFmtId="0" fontId="324" fillId="51" borderId="134" applyNumberFormat="0" applyFont="0" applyAlignment="0" applyProtection="0"/>
    <xf numFmtId="0" fontId="324" fillId="51" borderId="134" applyNumberFormat="0" applyFont="0" applyAlignment="0" applyProtection="0"/>
    <xf numFmtId="0" fontId="324" fillId="51" borderId="134" applyNumberFormat="0" applyFont="0" applyAlignment="0" applyProtection="0"/>
    <xf numFmtId="0" fontId="324" fillId="51" borderId="134" applyNumberFormat="0" applyFont="0" applyAlignment="0" applyProtection="0"/>
    <xf numFmtId="0" fontId="324" fillId="51" borderId="134" applyNumberFormat="0" applyFont="0" applyAlignment="0" applyProtection="0"/>
    <xf numFmtId="0" fontId="324" fillId="51" borderId="134" applyNumberFormat="0" applyFont="0" applyAlignment="0" applyProtection="0"/>
    <xf numFmtId="0" fontId="17" fillId="51" borderId="134" applyNumberFormat="0" applyFont="0" applyAlignment="0" applyProtection="0"/>
    <xf numFmtId="0" fontId="17" fillId="51" borderId="134" applyNumberFormat="0" applyFont="0" applyAlignment="0" applyProtection="0"/>
    <xf numFmtId="0" fontId="17" fillId="51" borderId="134" applyNumberFormat="0" applyFont="0" applyAlignment="0" applyProtection="0"/>
    <xf numFmtId="0" fontId="17" fillId="51" borderId="134" applyNumberFormat="0" applyFont="0" applyAlignment="0" applyProtection="0"/>
    <xf numFmtId="0" fontId="17" fillId="51" borderId="134" applyNumberFormat="0" applyFont="0" applyAlignment="0" applyProtection="0"/>
    <xf numFmtId="0" fontId="17" fillId="51" borderId="134" applyNumberFormat="0" applyFont="0" applyAlignment="0" applyProtection="0"/>
    <xf numFmtId="0" fontId="17" fillId="51" borderId="134" applyNumberFormat="0" applyFont="0" applyAlignment="0" applyProtection="0"/>
    <xf numFmtId="0" fontId="17" fillId="51" borderId="134" applyNumberFormat="0" applyFont="0" applyAlignment="0" applyProtection="0"/>
    <xf numFmtId="0" fontId="17" fillId="51" borderId="134" applyNumberFormat="0" applyFont="0" applyAlignment="0" applyProtection="0"/>
    <xf numFmtId="0" fontId="17" fillId="51" borderId="134" applyNumberFormat="0" applyFont="0" applyAlignment="0" applyProtection="0"/>
    <xf numFmtId="0" fontId="17" fillId="51" borderId="134" applyNumberFormat="0" applyFont="0" applyAlignment="0" applyProtection="0"/>
    <xf numFmtId="0" fontId="221" fillId="51" borderId="134" applyNumberFormat="0" applyFont="0" applyAlignment="0" applyProtection="0"/>
    <xf numFmtId="0" fontId="324" fillId="51" borderId="134" applyNumberFormat="0" applyFont="0" applyAlignment="0" applyProtection="0"/>
    <xf numFmtId="0" fontId="324" fillId="51" borderId="134" applyNumberFormat="0" applyFont="0" applyAlignment="0" applyProtection="0"/>
    <xf numFmtId="0" fontId="324" fillId="51" borderId="134" applyNumberFormat="0" applyFont="0" applyAlignment="0" applyProtection="0"/>
    <xf numFmtId="0" fontId="324" fillId="51" borderId="134" applyNumberFormat="0" applyFont="0" applyAlignment="0" applyProtection="0"/>
    <xf numFmtId="0" fontId="324" fillId="51" borderId="134" applyNumberFormat="0" applyFont="0" applyAlignment="0" applyProtection="0"/>
    <xf numFmtId="0" fontId="324" fillId="51" borderId="134" applyNumberFormat="0" applyFont="0" applyAlignment="0" applyProtection="0"/>
    <xf numFmtId="0" fontId="324" fillId="51" borderId="134" applyNumberFormat="0" applyFont="0" applyAlignment="0" applyProtection="0"/>
    <xf numFmtId="0" fontId="324" fillId="51" borderId="134" applyNumberFormat="0" applyFont="0" applyAlignment="0" applyProtection="0"/>
    <xf numFmtId="0" fontId="324" fillId="51" borderId="134" applyNumberFormat="0" applyFont="0" applyAlignment="0" applyProtection="0"/>
    <xf numFmtId="0" fontId="324" fillId="51" borderId="134" applyNumberFormat="0" applyFont="0" applyAlignment="0" applyProtection="0"/>
    <xf numFmtId="0" fontId="221" fillId="51" borderId="134" applyNumberFormat="0" applyFont="0" applyAlignment="0" applyProtection="0"/>
    <xf numFmtId="0" fontId="324" fillId="51" borderId="134" applyNumberFormat="0" applyFont="0" applyAlignment="0" applyProtection="0"/>
    <xf numFmtId="0" fontId="324" fillId="51" borderId="134" applyNumberFormat="0" applyFont="0" applyAlignment="0" applyProtection="0"/>
    <xf numFmtId="0" fontId="324" fillId="51" borderId="134" applyNumberFormat="0" applyFont="0" applyAlignment="0" applyProtection="0"/>
    <xf numFmtId="0" fontId="324" fillId="51" borderId="134" applyNumberFormat="0" applyFont="0" applyAlignment="0" applyProtection="0"/>
    <xf numFmtId="0" fontId="324" fillId="51" borderId="134" applyNumberFormat="0" applyFont="0" applyAlignment="0" applyProtection="0"/>
    <xf numFmtId="0" fontId="324" fillId="51" borderId="134" applyNumberFormat="0" applyFont="0" applyAlignment="0" applyProtection="0"/>
    <xf numFmtId="0" fontId="324" fillId="51" borderId="134" applyNumberFormat="0" applyFont="0" applyAlignment="0" applyProtection="0"/>
    <xf numFmtId="0" fontId="324" fillId="51" borderId="134" applyNumberFormat="0" applyFont="0" applyAlignment="0" applyProtection="0"/>
    <xf numFmtId="0" fontId="324" fillId="51" borderId="134" applyNumberFormat="0" applyFont="0" applyAlignment="0" applyProtection="0"/>
    <xf numFmtId="0" fontId="324" fillId="51" borderId="134" applyNumberFormat="0" applyFont="0" applyAlignment="0" applyProtection="0"/>
    <xf numFmtId="0" fontId="324" fillId="51" borderId="134" applyNumberFormat="0" applyFont="0" applyAlignment="0" applyProtection="0"/>
    <xf numFmtId="0" fontId="324" fillId="51" borderId="134" applyNumberFormat="0" applyFont="0" applyAlignment="0" applyProtection="0"/>
    <xf numFmtId="0" fontId="324" fillId="51" borderId="134" applyNumberFormat="0" applyFont="0" applyAlignment="0" applyProtection="0"/>
    <xf numFmtId="0" fontId="324" fillId="51" borderId="134" applyNumberFormat="0" applyFont="0" applyAlignment="0" applyProtection="0"/>
    <xf numFmtId="0" fontId="324" fillId="51" borderId="134" applyNumberFormat="0" applyFont="0" applyAlignment="0" applyProtection="0"/>
    <xf numFmtId="0" fontId="324" fillId="51" borderId="134" applyNumberFormat="0" applyFont="0" applyAlignment="0" applyProtection="0"/>
    <xf numFmtId="0" fontId="324" fillId="51" borderId="134" applyNumberFormat="0" applyFont="0" applyAlignment="0" applyProtection="0"/>
    <xf numFmtId="0" fontId="324" fillId="51" borderId="134" applyNumberFormat="0" applyFont="0" applyAlignment="0" applyProtection="0"/>
    <xf numFmtId="0" fontId="324" fillId="51" borderId="134" applyNumberFormat="0" applyFont="0" applyAlignment="0" applyProtection="0"/>
    <xf numFmtId="0" fontId="324" fillId="51" borderId="134" applyNumberFormat="0" applyFont="0" applyAlignment="0" applyProtection="0"/>
    <xf numFmtId="0" fontId="324" fillId="51" borderId="134" applyNumberFormat="0" applyFont="0" applyAlignment="0" applyProtection="0"/>
    <xf numFmtId="0" fontId="324" fillId="51" borderId="134" applyNumberFormat="0" applyFont="0" applyAlignment="0" applyProtection="0"/>
    <xf numFmtId="0" fontId="324" fillId="51" borderId="134" applyNumberFormat="0" applyFont="0" applyAlignment="0" applyProtection="0"/>
    <xf numFmtId="0" fontId="324" fillId="51" borderId="134" applyNumberFormat="0" applyFont="0" applyAlignment="0" applyProtection="0"/>
    <xf numFmtId="0" fontId="324" fillId="51" borderId="134" applyNumberFormat="0" applyFont="0" applyAlignment="0" applyProtection="0"/>
    <xf numFmtId="0" fontId="324" fillId="51" borderId="134" applyNumberFormat="0" applyFont="0" applyAlignment="0" applyProtection="0"/>
    <xf numFmtId="0" fontId="324" fillId="51" borderId="134" applyNumberFormat="0" applyFont="0" applyAlignment="0" applyProtection="0"/>
    <xf numFmtId="0" fontId="324" fillId="51" borderId="134" applyNumberFormat="0" applyFont="0" applyAlignment="0" applyProtection="0"/>
    <xf numFmtId="0" fontId="324" fillId="51" borderId="134" applyNumberFormat="0" applyFont="0" applyAlignment="0" applyProtection="0"/>
    <xf numFmtId="0" fontId="324" fillId="51" borderId="134" applyNumberFormat="0" applyFont="0" applyAlignment="0" applyProtection="0"/>
    <xf numFmtId="0" fontId="324" fillId="51" borderId="134" applyNumberFormat="0" applyFont="0" applyAlignment="0" applyProtection="0"/>
    <xf numFmtId="0" fontId="324" fillId="51" borderId="134" applyNumberFormat="0" applyFont="0" applyAlignment="0" applyProtection="0"/>
    <xf numFmtId="0" fontId="324" fillId="51" borderId="134" applyNumberFormat="0" applyFont="0" applyAlignment="0" applyProtection="0"/>
    <xf numFmtId="0" fontId="324" fillId="51" borderId="134" applyNumberFormat="0" applyFont="0" applyAlignment="0" applyProtection="0"/>
    <xf numFmtId="0" fontId="324" fillId="51" borderId="134" applyNumberFormat="0" applyFont="0" applyAlignment="0" applyProtection="0"/>
    <xf numFmtId="0" fontId="324" fillId="51" borderId="134" applyNumberFormat="0" applyFont="0" applyAlignment="0" applyProtection="0"/>
    <xf numFmtId="0" fontId="324" fillId="51" borderId="134" applyNumberFormat="0" applyFont="0" applyAlignment="0" applyProtection="0"/>
    <xf numFmtId="0" fontId="324" fillId="51" borderId="134" applyNumberFormat="0" applyFont="0" applyAlignment="0" applyProtection="0"/>
    <xf numFmtId="0" fontId="324" fillId="51" borderId="134" applyNumberFormat="0" applyFont="0" applyAlignment="0" applyProtection="0"/>
    <xf numFmtId="0" fontId="324" fillId="51" borderId="134" applyNumberFormat="0" applyFont="0" applyAlignment="0" applyProtection="0"/>
    <xf numFmtId="0" fontId="324" fillId="51" borderId="134" applyNumberFormat="0" applyFont="0" applyAlignment="0" applyProtection="0"/>
    <xf numFmtId="0" fontId="324" fillId="51" borderId="134" applyNumberFormat="0" applyFont="0" applyAlignment="0" applyProtection="0"/>
    <xf numFmtId="0" fontId="324" fillId="51" borderId="134" applyNumberFormat="0" applyFont="0" applyAlignment="0" applyProtection="0"/>
    <xf numFmtId="0" fontId="324" fillId="51" borderId="134" applyNumberFormat="0" applyFont="0" applyAlignment="0" applyProtection="0"/>
    <xf numFmtId="0" fontId="324" fillId="51" borderId="134" applyNumberFormat="0" applyFont="0" applyAlignment="0" applyProtection="0"/>
    <xf numFmtId="0" fontId="324" fillId="51" borderId="134" applyNumberFormat="0" applyFont="0" applyAlignment="0" applyProtection="0"/>
    <xf numFmtId="0" fontId="324" fillId="51" borderId="134" applyNumberFormat="0" applyFont="0" applyAlignment="0" applyProtection="0"/>
    <xf numFmtId="0" fontId="324" fillId="51" borderId="134" applyNumberFormat="0" applyFont="0" applyAlignment="0" applyProtection="0"/>
    <xf numFmtId="0" fontId="324" fillId="51" borderId="134" applyNumberFormat="0" applyFont="0" applyAlignment="0" applyProtection="0"/>
    <xf numFmtId="0" fontId="324" fillId="51" borderId="134" applyNumberFormat="0" applyFont="0" applyAlignment="0" applyProtection="0"/>
    <xf numFmtId="0" fontId="324" fillId="51" borderId="134" applyNumberFormat="0" applyFont="0" applyAlignment="0" applyProtection="0"/>
    <xf numFmtId="0" fontId="324" fillId="51" borderId="134" applyNumberFormat="0" applyFont="0" applyAlignment="0" applyProtection="0"/>
    <xf numFmtId="0" fontId="324" fillId="51" borderId="134" applyNumberFormat="0" applyFont="0" applyAlignment="0" applyProtection="0"/>
    <xf numFmtId="0" fontId="324" fillId="51" borderId="134" applyNumberFormat="0" applyFont="0" applyAlignment="0" applyProtection="0"/>
    <xf numFmtId="0" fontId="324" fillId="51" borderId="134" applyNumberFormat="0" applyFont="0" applyAlignment="0" applyProtection="0"/>
    <xf numFmtId="0" fontId="324" fillId="51" borderId="134" applyNumberFormat="0" applyFont="0" applyAlignment="0" applyProtection="0"/>
    <xf numFmtId="0" fontId="324" fillId="51" borderId="134" applyNumberFormat="0" applyFont="0" applyAlignment="0" applyProtection="0"/>
    <xf numFmtId="0" fontId="324" fillId="51" borderId="134" applyNumberFormat="0" applyFont="0" applyAlignment="0" applyProtection="0"/>
    <xf numFmtId="0" fontId="324" fillId="51" borderId="134" applyNumberFormat="0" applyFont="0" applyAlignment="0" applyProtection="0"/>
    <xf numFmtId="0" fontId="324" fillId="51" borderId="134" applyNumberFormat="0" applyFont="0" applyAlignment="0" applyProtection="0"/>
    <xf numFmtId="0" fontId="324" fillId="51" borderId="134" applyNumberFormat="0" applyFont="0" applyAlignment="0" applyProtection="0"/>
    <xf numFmtId="0" fontId="324" fillId="51" borderId="134" applyNumberFormat="0" applyFont="0" applyAlignment="0" applyProtection="0"/>
    <xf numFmtId="0" fontId="324" fillId="51" borderId="134" applyNumberFormat="0" applyFont="0" applyAlignment="0" applyProtection="0"/>
    <xf numFmtId="0" fontId="324" fillId="51" borderId="134" applyNumberFormat="0" applyFont="0" applyAlignment="0" applyProtection="0"/>
    <xf numFmtId="0" fontId="324" fillId="51" borderId="134" applyNumberFormat="0" applyFont="0" applyAlignment="0" applyProtection="0"/>
    <xf numFmtId="0" fontId="324" fillId="51" borderId="134" applyNumberFormat="0" applyFont="0" applyAlignment="0" applyProtection="0"/>
    <xf numFmtId="0" fontId="324" fillId="51" borderId="134" applyNumberFormat="0" applyFont="0" applyAlignment="0" applyProtection="0"/>
    <xf numFmtId="0" fontId="324" fillId="51" borderId="134" applyNumberFormat="0" applyFont="0" applyAlignment="0" applyProtection="0"/>
    <xf numFmtId="0" fontId="324" fillId="51" borderId="134" applyNumberFormat="0" applyFont="0" applyAlignment="0" applyProtection="0"/>
    <xf numFmtId="0" fontId="17" fillId="51" borderId="134" applyNumberFormat="0" applyFont="0" applyAlignment="0" applyProtection="0"/>
    <xf numFmtId="0" fontId="17" fillId="51" borderId="134" applyNumberFormat="0" applyFont="0" applyAlignment="0" applyProtection="0"/>
    <xf numFmtId="0" fontId="17" fillId="51" borderId="134" applyNumberFormat="0" applyFont="0" applyAlignment="0" applyProtection="0"/>
    <xf numFmtId="0" fontId="17" fillId="51" borderId="134" applyNumberFormat="0" applyFont="0" applyAlignment="0" applyProtection="0"/>
    <xf numFmtId="0" fontId="328" fillId="0" borderId="115" applyNumberFormat="0" applyBorder="0">
      <alignment horizontal="centerContinuous"/>
    </xf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1" fontId="278" fillId="0" borderId="116">
      <alignment horizontal="center"/>
    </xf>
    <xf numFmtId="0" fontId="370" fillId="0" borderId="119" applyNumberFormat="0" applyAlignment="0" applyProtection="0">
      <alignment horizontal="left" vertical="center"/>
    </xf>
    <xf numFmtId="0" fontId="370" fillId="0" borderId="119" applyNumberFormat="0" applyAlignment="0" applyProtection="0">
      <alignment horizontal="left" vertical="center"/>
    </xf>
    <xf numFmtId="0" fontId="420" fillId="0" borderId="126" applyNumberFormat="0" applyFill="0" applyAlignment="0" applyProtection="0"/>
    <xf numFmtId="0" fontId="419" fillId="0" borderId="126" applyNumberFormat="0" applyFill="0" applyAlignment="0" applyProtection="0"/>
    <xf numFmtId="0" fontId="417" fillId="0" borderId="126" applyNumberFormat="0" applyFill="0" applyAlignment="0" applyProtection="0"/>
    <xf numFmtId="0" fontId="268" fillId="0" borderId="127" applyNumberFormat="0" applyFill="0" applyAlignment="0" applyProtection="0"/>
    <xf numFmtId="0" fontId="418" fillId="0" borderId="126" applyNumberFormat="0" applyFill="0" applyAlignment="0" applyProtection="0"/>
    <xf numFmtId="0" fontId="305" fillId="0" borderId="126" applyNumberFormat="0" applyFill="0" applyAlignment="0" applyProtection="0"/>
    <xf numFmtId="0" fontId="417" fillId="0" borderId="126" applyNumberFormat="0" applyFill="0" applyAlignment="0" applyProtection="0"/>
    <xf numFmtId="290" fontId="401" fillId="82" borderId="134">
      <alignment horizontal="right" vertical="center"/>
      <protection locked="0"/>
    </xf>
    <xf numFmtId="288" fontId="401" fillId="82" borderId="134">
      <alignment horizontal="right"/>
      <protection locked="0"/>
    </xf>
    <xf numFmtId="288" fontId="401" fillId="82" borderId="134">
      <alignment horizontal="right"/>
      <protection locked="0"/>
    </xf>
    <xf numFmtId="290" fontId="401" fillId="82" borderId="134">
      <alignment horizontal="right" vertical="center"/>
      <protection locked="0"/>
    </xf>
    <xf numFmtId="291" fontId="401" fillId="82" borderId="134">
      <protection locked="0"/>
    </xf>
    <xf numFmtId="291" fontId="401" fillId="82" borderId="134">
      <protection locked="0"/>
    </xf>
    <xf numFmtId="292" fontId="401" fillId="82" borderId="134">
      <protection locked="0"/>
    </xf>
    <xf numFmtId="292" fontId="401" fillId="82" borderId="134">
      <protection locked="0"/>
    </xf>
    <xf numFmtId="293" fontId="387" fillId="82" borderId="132">
      <alignment horizontal="right"/>
      <protection locked="0"/>
    </xf>
    <xf numFmtId="293" fontId="387" fillId="82" borderId="132">
      <alignment horizontal="right"/>
      <protection locked="0"/>
    </xf>
    <xf numFmtId="294" fontId="401" fillId="82" borderId="134">
      <alignment horizontal="right"/>
      <protection locked="0"/>
    </xf>
    <xf numFmtId="294" fontId="401" fillId="82" borderId="134">
      <alignment horizontal="right"/>
      <protection locked="0"/>
    </xf>
    <xf numFmtId="295" fontId="401" fillId="82" borderId="134">
      <alignment horizontal="right"/>
      <protection locked="0"/>
    </xf>
    <xf numFmtId="295" fontId="401" fillId="82" borderId="134">
      <alignment horizontal="right"/>
      <protection locked="0"/>
    </xf>
    <xf numFmtId="296" fontId="401" fillId="82" borderId="134">
      <alignment horizontal="right"/>
      <protection locked="0"/>
    </xf>
    <xf numFmtId="296" fontId="401" fillId="82" borderId="134">
      <alignment horizontal="right"/>
      <protection locked="0"/>
    </xf>
    <xf numFmtId="297" fontId="401" fillId="82" borderId="134">
      <alignment horizontal="right"/>
      <protection locked="0"/>
    </xf>
    <xf numFmtId="297" fontId="401" fillId="82" borderId="134">
      <alignment horizontal="right"/>
      <protection locked="0"/>
    </xf>
    <xf numFmtId="0" fontId="401" fillId="82" borderId="134">
      <alignment horizontal="left" vertical="top" wrapText="1"/>
      <protection locked="0"/>
    </xf>
    <xf numFmtId="0" fontId="401" fillId="82" borderId="134">
      <alignment horizontal="left" vertical="top" wrapText="1"/>
      <protection locked="0"/>
    </xf>
    <xf numFmtId="15" fontId="401" fillId="82" borderId="134">
      <alignment horizontal="right" vertical="center"/>
      <protection locked="0"/>
    </xf>
    <xf numFmtId="15" fontId="401" fillId="82" borderId="134">
      <alignment horizontal="right" vertical="center"/>
      <protection locked="0"/>
    </xf>
    <xf numFmtId="15" fontId="401" fillId="82" borderId="134">
      <alignment horizontal="right" vertical="center"/>
      <protection locked="0"/>
    </xf>
    <xf numFmtId="15" fontId="401" fillId="82" borderId="134">
      <alignment horizontal="right" vertical="center"/>
      <protection locked="0"/>
    </xf>
    <xf numFmtId="15" fontId="401" fillId="82" borderId="134">
      <alignment horizontal="right" vertical="center"/>
      <protection locked="0"/>
    </xf>
    <xf numFmtId="15" fontId="401" fillId="82" borderId="134">
      <alignment horizontal="right" vertical="center"/>
      <protection locked="0"/>
    </xf>
    <xf numFmtId="0" fontId="401" fillId="82" borderId="134">
      <alignment horizontal="center" vertical="center" wrapText="1"/>
      <protection locked="0"/>
    </xf>
    <xf numFmtId="0" fontId="401" fillId="82" borderId="134">
      <alignment horizontal="center" vertical="center" wrapText="1"/>
      <protection locked="0"/>
    </xf>
    <xf numFmtId="49" fontId="401" fillId="82" borderId="134">
      <alignment horizontal="center" vertical="center" wrapText="1"/>
      <protection locked="0"/>
    </xf>
    <xf numFmtId="49" fontId="401" fillId="82" borderId="134">
      <alignment horizontal="center" vertical="center" wrapText="1"/>
      <protection locked="0"/>
    </xf>
    <xf numFmtId="289" fontId="401" fillId="82" borderId="117">
      <alignment horizontal="right"/>
      <protection locked="0"/>
    </xf>
    <xf numFmtId="0" fontId="338" fillId="55" borderId="132" applyNumberFormat="0" applyAlignment="0" applyProtection="0"/>
    <xf numFmtId="0" fontId="338" fillId="55" borderId="132" applyNumberFormat="0" applyAlignment="0" applyProtection="0"/>
    <xf numFmtId="0" fontId="338" fillId="55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55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55" borderId="132" applyNumberFormat="0" applyAlignment="0" applyProtection="0"/>
    <xf numFmtId="0" fontId="338" fillId="55" borderId="132" applyNumberFormat="0" applyAlignment="0" applyProtection="0"/>
    <xf numFmtId="0" fontId="338" fillId="55" borderId="132" applyNumberFormat="0" applyAlignment="0" applyProtection="0"/>
    <xf numFmtId="0" fontId="338" fillId="55" borderId="132" applyNumberFormat="0" applyAlignment="0" applyProtection="0"/>
    <xf numFmtId="0" fontId="338" fillId="55" borderId="132" applyNumberFormat="0" applyAlignment="0" applyProtection="0"/>
    <xf numFmtId="0" fontId="338" fillId="55" borderId="132" applyNumberFormat="0" applyAlignment="0" applyProtection="0"/>
    <xf numFmtId="0" fontId="338" fillId="55" borderId="132" applyNumberFormat="0" applyAlignment="0" applyProtection="0"/>
    <xf numFmtId="0" fontId="338" fillId="55" borderId="132" applyNumberFormat="0" applyAlignment="0" applyProtection="0"/>
    <xf numFmtId="0" fontId="338" fillId="55" borderId="132" applyNumberFormat="0" applyAlignment="0" applyProtection="0"/>
    <xf numFmtId="0" fontId="338" fillId="55" borderId="132" applyNumberFormat="0" applyAlignment="0" applyProtection="0"/>
    <xf numFmtId="0" fontId="338" fillId="55" borderId="132" applyNumberFormat="0" applyAlignment="0" applyProtection="0"/>
    <xf numFmtId="0" fontId="338" fillId="55" borderId="132" applyNumberFormat="0" applyAlignment="0" applyProtection="0"/>
    <xf numFmtId="0" fontId="338" fillId="55" borderId="132" applyNumberFormat="0" applyAlignment="0" applyProtection="0"/>
    <xf numFmtId="0" fontId="338" fillId="55" borderId="132" applyNumberFormat="0" applyAlignment="0" applyProtection="0"/>
    <xf numFmtId="0" fontId="338" fillId="55" borderId="132" applyNumberFormat="0" applyAlignment="0" applyProtection="0"/>
    <xf numFmtId="0" fontId="338" fillId="55" borderId="132" applyNumberFormat="0" applyAlignment="0" applyProtection="0"/>
    <xf numFmtId="0" fontId="338" fillId="55" borderId="132" applyNumberFormat="0" applyAlignment="0" applyProtection="0"/>
    <xf numFmtId="0" fontId="338" fillId="55" borderId="132" applyNumberFormat="0" applyAlignment="0" applyProtection="0"/>
    <xf numFmtId="0" fontId="338" fillId="55" borderId="132" applyNumberFormat="0" applyAlignment="0" applyProtection="0"/>
    <xf numFmtId="0" fontId="338" fillId="55" borderId="132" applyNumberFormat="0" applyAlignment="0" applyProtection="0"/>
    <xf numFmtId="0" fontId="338" fillId="55" borderId="132" applyNumberFormat="0" applyAlignment="0" applyProtection="0"/>
    <xf numFmtId="0" fontId="338" fillId="55" borderId="132" applyNumberFormat="0" applyAlignment="0" applyProtection="0"/>
    <xf numFmtId="0" fontId="338" fillId="55" borderId="132" applyNumberFormat="0" applyAlignment="0" applyProtection="0"/>
    <xf numFmtId="0" fontId="338" fillId="55" borderId="132" applyNumberFormat="0" applyAlignment="0" applyProtection="0"/>
    <xf numFmtId="0" fontId="338" fillId="55" borderId="132" applyNumberFormat="0" applyAlignment="0" applyProtection="0"/>
    <xf numFmtId="0" fontId="338" fillId="55" borderId="132" applyNumberFormat="0" applyAlignment="0" applyProtection="0"/>
    <xf numFmtId="0" fontId="338" fillId="55" borderId="132" applyNumberFormat="0" applyAlignment="0" applyProtection="0"/>
    <xf numFmtId="0" fontId="338" fillId="55" borderId="132" applyNumberFormat="0" applyAlignment="0" applyProtection="0"/>
    <xf numFmtId="0" fontId="338" fillId="55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55" borderId="132" applyNumberFormat="0" applyAlignment="0" applyProtection="0"/>
    <xf numFmtId="0" fontId="338" fillId="55" borderId="132" applyNumberFormat="0" applyAlignment="0" applyProtection="0"/>
    <xf numFmtId="0" fontId="338" fillId="55" borderId="132" applyNumberFormat="0" applyAlignment="0" applyProtection="0"/>
    <xf numFmtId="0" fontId="338" fillId="55" borderId="132" applyNumberFormat="0" applyAlignment="0" applyProtection="0"/>
    <xf numFmtId="0" fontId="338" fillId="55" borderId="132" applyNumberFormat="0" applyAlignment="0" applyProtection="0"/>
    <xf numFmtId="0" fontId="338" fillId="55" borderId="132" applyNumberFormat="0" applyAlignment="0" applyProtection="0"/>
    <xf numFmtId="0" fontId="338" fillId="55" borderId="132" applyNumberFormat="0" applyAlignment="0" applyProtection="0"/>
    <xf numFmtId="0" fontId="338" fillId="55" borderId="132" applyNumberFormat="0" applyAlignment="0" applyProtection="0"/>
    <xf numFmtId="0" fontId="338" fillId="55" borderId="132" applyNumberFormat="0" applyAlignment="0" applyProtection="0"/>
    <xf numFmtId="0" fontId="338" fillId="55" borderId="132" applyNumberFormat="0" applyAlignment="0" applyProtection="0"/>
    <xf numFmtId="0" fontId="338" fillId="55" borderId="132" applyNumberFormat="0" applyAlignment="0" applyProtection="0"/>
    <xf numFmtId="0" fontId="338" fillId="55" borderId="132" applyNumberFormat="0" applyAlignment="0" applyProtection="0"/>
    <xf numFmtId="0" fontId="338" fillId="55" borderId="132" applyNumberFormat="0" applyAlignment="0" applyProtection="0"/>
    <xf numFmtId="0" fontId="338" fillId="55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403" fillId="48" borderId="132" applyNumberFormat="0" applyAlignment="0" applyProtection="0"/>
    <xf numFmtId="0" fontId="338" fillId="55" borderId="132" applyNumberFormat="0" applyAlignment="0" applyProtection="0"/>
    <xf numFmtId="0" fontId="338" fillId="55" borderId="132" applyNumberFormat="0" applyAlignment="0" applyProtection="0"/>
    <xf numFmtId="0" fontId="338" fillId="55" borderId="132" applyNumberFormat="0" applyAlignment="0" applyProtection="0"/>
    <xf numFmtId="0" fontId="338" fillId="55" borderId="132" applyNumberFormat="0" applyAlignment="0" applyProtection="0"/>
    <xf numFmtId="0" fontId="338" fillId="55" borderId="132" applyNumberFormat="0" applyAlignment="0" applyProtection="0"/>
    <xf numFmtId="0" fontId="338" fillId="55" borderId="132" applyNumberFormat="0" applyAlignment="0" applyProtection="0"/>
    <xf numFmtId="0" fontId="338" fillId="55" borderId="132" applyNumberFormat="0" applyAlignment="0" applyProtection="0"/>
    <xf numFmtId="0" fontId="338" fillId="55" borderId="132" applyNumberFormat="0" applyAlignment="0" applyProtection="0"/>
    <xf numFmtId="0" fontId="338" fillId="55" borderId="132" applyNumberFormat="0" applyAlignment="0" applyProtection="0"/>
    <xf numFmtId="0" fontId="338" fillId="55" borderId="132" applyNumberFormat="0" applyAlignment="0" applyProtection="0"/>
    <xf numFmtId="0" fontId="338" fillId="55" borderId="132" applyNumberFormat="0" applyAlignment="0" applyProtection="0"/>
    <xf numFmtId="0" fontId="338" fillId="55" borderId="132" applyNumberFormat="0" applyAlignment="0" applyProtection="0"/>
    <xf numFmtId="0" fontId="338" fillId="55" borderId="132" applyNumberFormat="0" applyAlignment="0" applyProtection="0"/>
    <xf numFmtId="0" fontId="338" fillId="55" borderId="132" applyNumberFormat="0" applyAlignment="0" applyProtection="0"/>
    <xf numFmtId="0" fontId="338" fillId="55" borderId="132" applyNumberFormat="0" applyAlignment="0" applyProtection="0"/>
    <xf numFmtId="0" fontId="338" fillId="55" borderId="132" applyNumberFormat="0" applyAlignment="0" applyProtection="0"/>
    <xf numFmtId="0" fontId="338" fillId="55" borderId="132" applyNumberFormat="0" applyAlignment="0" applyProtection="0"/>
    <xf numFmtId="0" fontId="338" fillId="55" borderId="132" applyNumberFormat="0" applyAlignment="0" applyProtection="0"/>
    <xf numFmtId="0" fontId="338" fillId="55" borderId="132" applyNumberFormat="0" applyAlignment="0" applyProtection="0"/>
    <xf numFmtId="3" fontId="407" fillId="41" borderId="135">
      <alignment horizontal="right"/>
    </xf>
    <xf numFmtId="3" fontId="407" fillId="41" borderId="135">
      <alignment horizontal="right"/>
    </xf>
    <xf numFmtId="0" fontId="427" fillId="0" borderId="124"/>
    <xf numFmtId="1" fontId="264" fillId="0" borderId="136">
      <protection hidden="1"/>
    </xf>
    <xf numFmtId="1" fontId="264" fillId="0" borderId="136">
      <protection hidden="1"/>
    </xf>
    <xf numFmtId="1" fontId="264" fillId="0" borderId="136">
      <protection hidden="1"/>
    </xf>
    <xf numFmtId="1" fontId="264" fillId="0" borderId="136">
      <protection hidden="1"/>
    </xf>
    <xf numFmtId="1" fontId="264" fillId="0" borderId="136">
      <protection hidden="1"/>
    </xf>
    <xf numFmtId="1" fontId="264" fillId="0" borderId="136">
      <protection hidden="1"/>
    </xf>
    <xf numFmtId="1" fontId="264" fillId="0" borderId="136">
      <protection hidden="1"/>
    </xf>
    <xf numFmtId="1" fontId="264" fillId="0" borderId="136">
      <protection hidden="1"/>
    </xf>
    <xf numFmtId="1" fontId="264" fillId="0" borderId="136">
      <protection hidden="1"/>
    </xf>
    <xf numFmtId="1" fontId="264" fillId="0" borderId="136">
      <protection hidden="1"/>
    </xf>
    <xf numFmtId="1" fontId="264" fillId="0" borderId="136">
      <protection hidden="1"/>
    </xf>
    <xf numFmtId="1" fontId="264" fillId="0" borderId="136">
      <protection hidden="1"/>
    </xf>
    <xf numFmtId="1" fontId="264" fillId="0" borderId="136">
      <protection hidden="1"/>
    </xf>
    <xf numFmtId="1" fontId="264" fillId="0" borderId="136">
      <protection hidden="1"/>
    </xf>
    <xf numFmtId="1" fontId="264" fillId="0" borderId="136">
      <protection hidden="1"/>
    </xf>
    <xf numFmtId="1" fontId="264" fillId="0" borderId="136">
      <protection hidden="1"/>
    </xf>
    <xf numFmtId="1" fontId="264" fillId="0" borderId="136">
      <protection hidden="1"/>
    </xf>
    <xf numFmtId="1" fontId="264" fillId="0" borderId="136">
      <protection hidden="1"/>
    </xf>
    <xf numFmtId="1" fontId="264" fillId="0" borderId="136">
      <protection hidden="1"/>
    </xf>
    <xf numFmtId="1" fontId="264" fillId="0" borderId="136">
      <protection hidden="1"/>
    </xf>
    <xf numFmtId="1" fontId="264" fillId="0" borderId="136">
      <protection hidden="1"/>
    </xf>
    <xf numFmtId="1" fontId="264" fillId="0" borderId="136">
      <protection hidden="1"/>
    </xf>
    <xf numFmtId="1" fontId="264" fillId="0" borderId="136">
      <protection hidden="1"/>
    </xf>
    <xf numFmtId="1" fontId="264" fillId="0" borderId="136">
      <protection hidden="1"/>
    </xf>
    <xf numFmtId="1" fontId="264" fillId="0" borderId="136">
      <protection hidden="1"/>
    </xf>
    <xf numFmtId="1" fontId="264" fillId="0" borderId="136">
      <protection hidden="1"/>
    </xf>
    <xf numFmtId="1" fontId="264" fillId="0" borderId="136">
      <protection hidden="1"/>
    </xf>
    <xf numFmtId="1" fontId="264" fillId="0" borderId="136">
      <protection hidden="1"/>
    </xf>
    <xf numFmtId="1" fontId="264" fillId="0" borderId="136">
      <protection hidden="1"/>
    </xf>
    <xf numFmtId="1" fontId="264" fillId="0" borderId="136">
      <protection hidden="1"/>
    </xf>
    <xf numFmtId="0" fontId="65" fillId="51" borderId="134" applyNumberFormat="0" applyFont="0" applyAlignment="0" applyProtection="0"/>
    <xf numFmtId="1" fontId="264" fillId="0" borderId="136">
      <protection hidden="1"/>
    </xf>
    <xf numFmtId="1" fontId="264" fillId="0" borderId="136">
      <protection hidden="1"/>
    </xf>
    <xf numFmtId="1" fontId="264" fillId="0" borderId="136">
      <protection hidden="1"/>
    </xf>
    <xf numFmtId="1" fontId="264" fillId="0" borderId="136">
      <protection hidden="1"/>
    </xf>
    <xf numFmtId="0" fontId="2" fillId="51" borderId="134" applyNumberFormat="0" applyFont="0" applyAlignment="0" applyProtection="0"/>
    <xf numFmtId="0" fontId="65" fillId="51" borderId="134" applyNumberFormat="0" applyFont="0" applyAlignment="0" applyProtection="0"/>
    <xf numFmtId="0" fontId="65" fillId="51" borderId="134" applyNumberFormat="0" applyFont="0" applyAlignment="0" applyProtection="0"/>
    <xf numFmtId="0" fontId="65" fillId="51" borderId="134" applyNumberFormat="0" applyFont="0" applyAlignment="0" applyProtection="0"/>
    <xf numFmtId="0" fontId="65" fillId="51" borderId="134" applyNumberFormat="0" applyFont="0" applyAlignment="0" applyProtection="0"/>
    <xf numFmtId="0" fontId="65" fillId="51" borderId="134" applyNumberFormat="0" applyFont="0" applyAlignment="0" applyProtection="0"/>
    <xf numFmtId="0" fontId="65" fillId="51" borderId="134" applyNumberFormat="0" applyFont="0" applyAlignment="0" applyProtection="0"/>
    <xf numFmtId="0" fontId="65" fillId="51" borderId="134" applyNumberFormat="0" applyFont="0" applyAlignment="0" applyProtection="0"/>
    <xf numFmtId="0" fontId="65" fillId="51" borderId="134" applyNumberFormat="0" applyFont="0" applyAlignment="0" applyProtection="0"/>
    <xf numFmtId="0" fontId="65" fillId="51" borderId="134" applyNumberFormat="0" applyFont="0" applyAlignment="0" applyProtection="0"/>
    <xf numFmtId="0" fontId="65" fillId="51" borderId="134" applyNumberFormat="0" applyFont="0" applyAlignment="0" applyProtection="0"/>
    <xf numFmtId="0" fontId="17" fillId="51" borderId="134" applyNumberFormat="0" applyFont="0" applyAlignment="0" applyProtection="0"/>
    <xf numFmtId="0" fontId="65" fillId="51" borderId="134" applyNumberFormat="0" applyFont="0" applyAlignment="0" applyProtection="0"/>
    <xf numFmtId="0" fontId="65" fillId="51" borderId="134" applyNumberFormat="0" applyFont="0" applyAlignment="0" applyProtection="0"/>
    <xf numFmtId="0" fontId="65" fillId="51" borderId="134" applyNumberFormat="0" applyFont="0" applyAlignment="0" applyProtection="0"/>
    <xf numFmtId="0" fontId="65" fillId="51" borderId="134" applyNumberFormat="0" applyFont="0" applyAlignment="0" applyProtection="0"/>
    <xf numFmtId="0" fontId="65" fillId="51" borderId="134" applyNumberFormat="0" applyFont="0" applyAlignment="0" applyProtection="0"/>
    <xf numFmtId="0" fontId="65" fillId="51" borderId="134" applyNumberFormat="0" applyFont="0" applyAlignment="0" applyProtection="0"/>
    <xf numFmtId="0" fontId="65" fillId="51" borderId="134" applyNumberFormat="0" applyFont="0" applyAlignment="0" applyProtection="0"/>
    <xf numFmtId="0" fontId="65" fillId="51" borderId="134" applyNumberFormat="0" applyFont="0" applyAlignment="0" applyProtection="0"/>
    <xf numFmtId="0" fontId="65" fillId="51" borderId="134" applyNumberFormat="0" applyFont="0" applyAlignment="0" applyProtection="0"/>
    <xf numFmtId="0" fontId="65" fillId="51" borderId="134" applyNumberFormat="0" applyFont="0" applyAlignment="0" applyProtection="0"/>
    <xf numFmtId="0" fontId="65" fillId="51" borderId="134" applyNumberFormat="0" applyFont="0" applyAlignment="0" applyProtection="0"/>
    <xf numFmtId="0" fontId="65" fillId="51" borderId="134" applyNumberFormat="0" applyFont="0" applyAlignment="0" applyProtection="0"/>
    <xf numFmtId="0" fontId="65" fillId="51" borderId="134" applyNumberFormat="0" applyFont="0" applyAlignment="0" applyProtection="0"/>
    <xf numFmtId="0" fontId="65" fillId="51" borderId="134" applyNumberFormat="0" applyFont="0" applyAlignment="0" applyProtection="0"/>
    <xf numFmtId="0" fontId="65" fillId="51" borderId="134" applyNumberFormat="0" applyFont="0" applyAlignment="0" applyProtection="0"/>
    <xf numFmtId="0" fontId="65" fillId="51" borderId="134" applyNumberFormat="0" applyFont="0" applyAlignment="0" applyProtection="0"/>
    <xf numFmtId="0" fontId="65" fillId="51" borderId="134" applyNumberFormat="0" applyFont="0" applyAlignment="0" applyProtection="0"/>
    <xf numFmtId="0" fontId="65" fillId="51" borderId="134" applyNumberFormat="0" applyFont="0" applyAlignment="0" applyProtection="0"/>
    <xf numFmtId="0" fontId="65" fillId="51" borderId="134" applyNumberFormat="0" applyFont="0" applyAlignment="0" applyProtection="0"/>
    <xf numFmtId="0" fontId="65" fillId="51" borderId="134" applyNumberFormat="0" applyFont="0" applyAlignment="0" applyProtection="0"/>
    <xf numFmtId="0" fontId="65" fillId="51" borderId="134" applyNumberFormat="0" applyFont="0" applyAlignment="0" applyProtection="0"/>
    <xf numFmtId="0" fontId="2" fillId="51" borderId="134" applyNumberFormat="0" applyFont="0" applyAlignment="0" applyProtection="0"/>
    <xf numFmtId="0" fontId="65" fillId="51" borderId="134" applyNumberFormat="0" applyFont="0" applyAlignment="0" applyProtection="0"/>
    <xf numFmtId="0" fontId="65" fillId="51" borderId="134" applyNumberFormat="0" applyFont="0" applyAlignment="0" applyProtection="0"/>
    <xf numFmtId="0" fontId="65" fillId="51" borderId="134" applyNumberFormat="0" applyFont="0" applyAlignment="0" applyProtection="0"/>
    <xf numFmtId="0" fontId="65" fillId="51" borderId="134" applyNumberFormat="0" applyFont="0" applyAlignment="0" applyProtection="0"/>
    <xf numFmtId="0" fontId="65" fillId="51" borderId="134" applyNumberFormat="0" applyFont="0" applyAlignment="0" applyProtection="0"/>
    <xf numFmtId="0" fontId="65" fillId="51" borderId="134" applyNumberFormat="0" applyFont="0" applyAlignment="0" applyProtection="0"/>
    <xf numFmtId="0" fontId="65" fillId="51" borderId="134" applyNumberFormat="0" applyFont="0" applyAlignment="0" applyProtection="0"/>
    <xf numFmtId="0" fontId="65" fillId="51" borderId="134" applyNumberFormat="0" applyFont="0" applyAlignment="0" applyProtection="0"/>
    <xf numFmtId="0" fontId="65" fillId="51" borderId="134" applyNumberFormat="0" applyFont="0" applyAlignment="0" applyProtection="0"/>
    <xf numFmtId="0" fontId="65" fillId="51" borderId="134" applyNumberFormat="0" applyFont="0" applyAlignment="0" applyProtection="0"/>
    <xf numFmtId="0" fontId="65" fillId="51" borderId="134" applyNumberFormat="0" applyFont="0" applyAlignment="0" applyProtection="0"/>
    <xf numFmtId="0" fontId="65" fillId="51" borderId="134" applyNumberFormat="0" applyFont="0" applyAlignment="0" applyProtection="0"/>
    <xf numFmtId="0" fontId="65" fillId="51" borderId="134" applyNumberFormat="0" applyFont="0" applyAlignment="0" applyProtection="0"/>
    <xf numFmtId="0" fontId="65" fillId="51" borderId="134" applyNumberFormat="0" applyFont="0" applyAlignment="0" applyProtection="0"/>
    <xf numFmtId="0" fontId="65" fillId="51" borderId="134" applyNumberFormat="0" applyFont="0" applyAlignment="0" applyProtection="0"/>
    <xf numFmtId="0" fontId="65" fillId="51" borderId="134" applyNumberFormat="0" applyFont="0" applyAlignment="0" applyProtection="0"/>
    <xf numFmtId="0" fontId="65" fillId="51" borderId="134" applyNumberFormat="0" applyFont="0" applyAlignment="0" applyProtection="0"/>
    <xf numFmtId="0" fontId="65" fillId="51" borderId="134" applyNumberFormat="0" applyFont="0" applyAlignment="0" applyProtection="0"/>
    <xf numFmtId="0" fontId="65" fillId="51" borderId="134" applyNumberFormat="0" applyFont="0" applyAlignment="0" applyProtection="0"/>
    <xf numFmtId="0" fontId="65" fillId="51" borderId="134" applyNumberFormat="0" applyFont="0" applyAlignment="0" applyProtection="0"/>
    <xf numFmtId="0" fontId="65" fillId="51" borderId="134" applyNumberFormat="0" applyFont="0" applyAlignment="0" applyProtection="0"/>
    <xf numFmtId="0" fontId="320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4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4" fillId="51" borderId="134" applyNumberFormat="0" applyFont="0" applyAlignment="0" applyProtection="0"/>
    <xf numFmtId="0" fontId="2" fillId="51" borderId="134" applyNumberFormat="0" applyFont="0" applyAlignment="0" applyProtection="0"/>
    <xf numFmtId="0" fontId="320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" fillId="51" borderId="134" applyNumberFormat="0" applyFont="0" applyAlignment="0" applyProtection="0"/>
    <xf numFmtId="0" fontId="24" fillId="51" borderId="134" applyNumberFormat="0" applyFont="0" applyAlignment="0" applyProtection="0"/>
    <xf numFmtId="0" fontId="24" fillId="51" borderId="134" applyNumberFormat="0" applyFont="0" applyAlignment="0" applyProtection="0"/>
    <xf numFmtId="0" fontId="24" fillId="51" borderId="134" applyNumberFormat="0" applyFont="0" applyAlignment="0" applyProtection="0"/>
    <xf numFmtId="0" fontId="24" fillId="51" borderId="134" applyNumberFormat="0" applyFont="0" applyAlignment="0" applyProtection="0"/>
    <xf numFmtId="0" fontId="24" fillId="51" borderId="134" applyNumberFormat="0" applyFont="0" applyAlignment="0" applyProtection="0"/>
    <xf numFmtId="0" fontId="24" fillId="51" borderId="134" applyNumberFormat="0" applyFont="0" applyAlignment="0" applyProtection="0"/>
    <xf numFmtId="0" fontId="24" fillId="51" borderId="134" applyNumberFormat="0" applyFont="0" applyAlignment="0" applyProtection="0"/>
    <xf numFmtId="0" fontId="24" fillId="51" borderId="134" applyNumberFormat="0" applyFont="0" applyAlignment="0" applyProtection="0"/>
    <xf numFmtId="0" fontId="24" fillId="51" borderId="134" applyNumberFormat="0" applyFont="0" applyAlignment="0" applyProtection="0"/>
    <xf numFmtId="0" fontId="24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4" fillId="51" borderId="134" applyNumberFormat="0" applyFont="0" applyAlignment="0" applyProtection="0"/>
    <xf numFmtId="0" fontId="24" fillId="51" borderId="134" applyNumberFormat="0" applyFont="0" applyAlignment="0" applyProtection="0"/>
    <xf numFmtId="0" fontId="24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4" fillId="51" borderId="134" applyNumberFormat="0" applyFont="0" applyAlignment="0" applyProtection="0"/>
    <xf numFmtId="0" fontId="24" fillId="51" borderId="134" applyNumberFormat="0" applyFont="0" applyAlignment="0" applyProtection="0"/>
    <xf numFmtId="0" fontId="24" fillId="51" borderId="134" applyNumberFormat="0" applyFont="0" applyAlignment="0" applyProtection="0"/>
    <xf numFmtId="0" fontId="24" fillId="51" borderId="134" applyNumberFormat="0" applyFont="0" applyAlignment="0" applyProtection="0"/>
    <xf numFmtId="0" fontId="24" fillId="51" borderId="134" applyNumberFormat="0" applyFont="0" applyAlignment="0" applyProtection="0"/>
    <xf numFmtId="0" fontId="24" fillId="51" borderId="134" applyNumberFormat="0" applyFont="0" applyAlignment="0" applyProtection="0"/>
    <xf numFmtId="0" fontId="445" fillId="51" borderId="134" applyNumberFormat="0" applyFont="0" applyAlignment="0" applyProtection="0"/>
    <xf numFmtId="0" fontId="445" fillId="51" borderId="134" applyNumberFormat="0" applyFont="0" applyAlignment="0" applyProtection="0"/>
    <xf numFmtId="0" fontId="445" fillId="51" borderId="134" applyNumberFormat="0" applyFont="0" applyAlignment="0" applyProtection="0"/>
    <xf numFmtId="0" fontId="445" fillId="51" borderId="134" applyNumberFormat="0" applyFont="0" applyAlignment="0" applyProtection="0"/>
    <xf numFmtId="0" fontId="445" fillId="51" borderId="134" applyNumberFormat="0" applyFont="0" applyAlignment="0" applyProtection="0"/>
    <xf numFmtId="0" fontId="445" fillId="51" borderId="134" applyNumberFormat="0" applyFont="0" applyAlignment="0" applyProtection="0"/>
    <xf numFmtId="0" fontId="445" fillId="51" borderId="134" applyNumberFormat="0" applyFont="0" applyAlignment="0" applyProtection="0"/>
    <xf numFmtId="0" fontId="445" fillId="51" borderId="134" applyNumberFormat="0" applyFont="0" applyAlignment="0" applyProtection="0"/>
    <xf numFmtId="0" fontId="445" fillId="51" borderId="134" applyNumberFormat="0" applyFont="0" applyAlignment="0" applyProtection="0"/>
    <xf numFmtId="0" fontId="445" fillId="51" borderId="134" applyNumberFormat="0" applyFont="0" applyAlignment="0" applyProtection="0"/>
    <xf numFmtId="0" fontId="445" fillId="51" borderId="134" applyNumberFormat="0" applyFont="0" applyAlignment="0" applyProtection="0"/>
    <xf numFmtId="0" fontId="445" fillId="51" borderId="134" applyNumberFormat="0" applyFont="0" applyAlignment="0" applyProtection="0"/>
    <xf numFmtId="0" fontId="445" fillId="51" borderId="134" applyNumberFormat="0" applyFont="0" applyAlignment="0" applyProtection="0"/>
    <xf numFmtId="0" fontId="445" fillId="51" borderId="134" applyNumberFormat="0" applyFont="0" applyAlignment="0" applyProtection="0"/>
    <xf numFmtId="0" fontId="445" fillId="51" borderId="134" applyNumberFormat="0" applyFont="0" applyAlignment="0" applyProtection="0"/>
    <xf numFmtId="0" fontId="445" fillId="51" borderId="134" applyNumberFormat="0" applyFont="0" applyAlignment="0" applyProtection="0"/>
    <xf numFmtId="0" fontId="445" fillId="51" borderId="134" applyNumberFormat="0" applyFont="0" applyAlignment="0" applyProtection="0"/>
    <xf numFmtId="0" fontId="445" fillId="51" borderId="134" applyNumberFormat="0" applyFont="0" applyAlignment="0" applyProtection="0"/>
    <xf numFmtId="0" fontId="445" fillId="51" borderId="134" applyNumberFormat="0" applyFont="0" applyAlignment="0" applyProtection="0"/>
    <xf numFmtId="0" fontId="445" fillId="51" borderId="134" applyNumberFormat="0" applyFont="0" applyAlignment="0" applyProtection="0"/>
    <xf numFmtId="0" fontId="445" fillId="51" borderId="134" applyNumberFormat="0" applyFont="0" applyAlignment="0" applyProtection="0"/>
    <xf numFmtId="0" fontId="445" fillId="51" borderId="134" applyNumberFormat="0" applyFont="0" applyAlignment="0" applyProtection="0"/>
    <xf numFmtId="0" fontId="445" fillId="51" borderId="134" applyNumberFormat="0" applyFont="0" applyAlignment="0" applyProtection="0"/>
    <xf numFmtId="0" fontId="445" fillId="51" borderId="134" applyNumberFormat="0" applyFont="0" applyAlignment="0" applyProtection="0"/>
    <xf numFmtId="0" fontId="445" fillId="51" borderId="134" applyNumberFormat="0" applyFont="0" applyAlignment="0" applyProtection="0"/>
    <xf numFmtId="0" fontId="445" fillId="51" borderId="134" applyNumberFormat="0" applyFont="0" applyAlignment="0" applyProtection="0"/>
    <xf numFmtId="0" fontId="445" fillId="51" borderId="134" applyNumberFormat="0" applyFont="0" applyAlignment="0" applyProtection="0"/>
    <xf numFmtId="0" fontId="445" fillId="51" borderId="134" applyNumberFormat="0" applyFont="0" applyAlignment="0" applyProtection="0"/>
    <xf numFmtId="0" fontId="445" fillId="51" borderId="134" applyNumberFormat="0" applyFont="0" applyAlignment="0" applyProtection="0"/>
    <xf numFmtId="0" fontId="445" fillId="51" borderId="134" applyNumberFormat="0" applyFont="0" applyAlignment="0" applyProtection="0"/>
    <xf numFmtId="0" fontId="445" fillId="51" borderId="134" applyNumberFormat="0" applyFont="0" applyAlignment="0" applyProtection="0"/>
    <xf numFmtId="0" fontId="445" fillId="51" borderId="134" applyNumberFormat="0" applyFont="0" applyAlignment="0" applyProtection="0"/>
    <xf numFmtId="0" fontId="445" fillId="51" borderId="134" applyNumberFormat="0" applyFont="0" applyAlignment="0" applyProtection="0"/>
    <xf numFmtId="0" fontId="445" fillId="51" borderId="134" applyNumberFormat="0" applyFont="0" applyAlignment="0" applyProtection="0"/>
    <xf numFmtId="0" fontId="445" fillId="51" borderId="134" applyNumberFormat="0" applyFont="0" applyAlignment="0" applyProtection="0"/>
    <xf numFmtId="0" fontId="445" fillId="51" borderId="134" applyNumberFormat="0" applyFont="0" applyAlignment="0" applyProtection="0"/>
    <xf numFmtId="0" fontId="445" fillId="51" borderId="134" applyNumberFormat="0" applyFont="0" applyAlignment="0" applyProtection="0"/>
    <xf numFmtId="0" fontId="445" fillId="51" borderId="134" applyNumberFormat="0" applyFont="0" applyAlignment="0" applyProtection="0"/>
    <xf numFmtId="0" fontId="445" fillId="51" borderId="134" applyNumberFormat="0" applyFont="0" applyAlignment="0" applyProtection="0"/>
    <xf numFmtId="0" fontId="445" fillId="51" borderId="134" applyNumberFormat="0" applyFont="0" applyAlignment="0" applyProtection="0"/>
    <xf numFmtId="0" fontId="445" fillId="51" borderId="134" applyNumberFormat="0" applyFont="0" applyAlignment="0" applyProtection="0"/>
    <xf numFmtId="0" fontId="445" fillId="51" borderId="134" applyNumberFormat="0" applyFont="0" applyAlignment="0" applyProtection="0"/>
    <xf numFmtId="0" fontId="445" fillId="51" borderId="134" applyNumberFormat="0" applyFont="0" applyAlignment="0" applyProtection="0"/>
    <xf numFmtId="0" fontId="445" fillId="51" borderId="134" applyNumberFormat="0" applyFont="0" applyAlignment="0" applyProtection="0"/>
    <xf numFmtId="0" fontId="445" fillId="51" borderId="134" applyNumberFormat="0" applyFont="0" applyAlignment="0" applyProtection="0"/>
    <xf numFmtId="0" fontId="445" fillId="51" borderId="134" applyNumberFormat="0" applyFont="0" applyAlignment="0" applyProtection="0"/>
    <xf numFmtId="0" fontId="445" fillId="51" borderId="134" applyNumberFormat="0" applyFont="0" applyAlignment="0" applyProtection="0"/>
    <xf numFmtId="0" fontId="445" fillId="51" borderId="134" applyNumberFormat="0" applyFont="0" applyAlignment="0" applyProtection="0"/>
    <xf numFmtId="0" fontId="445" fillId="51" borderId="134" applyNumberFormat="0" applyFont="0" applyAlignment="0" applyProtection="0"/>
    <xf numFmtId="0" fontId="445" fillId="51" borderId="134" applyNumberFormat="0" applyFont="0" applyAlignment="0" applyProtection="0"/>
    <xf numFmtId="0" fontId="445" fillId="51" borderId="134" applyNumberFormat="0" applyFont="0" applyAlignment="0" applyProtection="0"/>
    <xf numFmtId="0" fontId="445" fillId="51" borderId="134" applyNumberFormat="0" applyFont="0" applyAlignment="0" applyProtection="0"/>
    <xf numFmtId="0" fontId="445" fillId="51" borderId="134" applyNumberFormat="0" applyFont="0" applyAlignment="0" applyProtection="0"/>
    <xf numFmtId="0" fontId="445" fillId="51" borderId="134" applyNumberFormat="0" applyFont="0" applyAlignment="0" applyProtection="0"/>
    <xf numFmtId="0" fontId="445" fillId="51" borderId="134" applyNumberFormat="0" applyFont="0" applyAlignment="0" applyProtection="0"/>
    <xf numFmtId="0" fontId="445" fillId="51" borderId="134" applyNumberFormat="0" applyFont="0" applyAlignment="0" applyProtection="0"/>
    <xf numFmtId="0" fontId="445" fillId="51" borderId="134" applyNumberFormat="0" applyFont="0" applyAlignment="0" applyProtection="0"/>
    <xf numFmtId="0" fontId="445" fillId="51" borderId="134" applyNumberFormat="0" applyFont="0" applyAlignment="0" applyProtection="0"/>
    <xf numFmtId="0" fontId="445" fillId="51" borderId="134" applyNumberFormat="0" applyFont="0" applyAlignment="0" applyProtection="0"/>
    <xf numFmtId="0" fontId="445" fillId="51" borderId="134" applyNumberFormat="0" applyFont="0" applyAlignment="0" applyProtection="0"/>
    <xf numFmtId="0" fontId="445" fillId="51" borderId="134" applyNumberFormat="0" applyFont="0" applyAlignment="0" applyProtection="0"/>
    <xf numFmtId="0" fontId="445" fillId="51" borderId="134" applyNumberFormat="0" applyFont="0" applyAlignment="0" applyProtection="0"/>
    <xf numFmtId="0" fontId="236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" fillId="51" borderId="134" applyNumberFormat="0" applyFont="0" applyAlignment="0" applyProtection="0"/>
    <xf numFmtId="0" fontId="236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0" fontId="236" fillId="51" borderId="134" applyNumberFormat="0" applyFont="0" applyAlignment="0" applyProtection="0"/>
    <xf numFmtId="293" fontId="446" fillId="0" borderId="132">
      <alignment horizontal="right"/>
    </xf>
    <xf numFmtId="293" fontId="446" fillId="0" borderId="132">
      <alignment horizontal="right"/>
    </xf>
    <xf numFmtId="278" fontId="449" fillId="41" borderId="132">
      <alignment horizontal="left" vertical="center"/>
    </xf>
    <xf numFmtId="278" fontId="449" fillId="41" borderId="132">
      <alignment horizontal="left" vertical="center"/>
    </xf>
    <xf numFmtId="317" fontId="17" fillId="0" borderId="132">
      <alignment horizontal="center" vertical="center"/>
    </xf>
    <xf numFmtId="317" fontId="17" fillId="0" borderId="132">
      <alignment horizontal="center" vertical="center"/>
    </xf>
    <xf numFmtId="317" fontId="17" fillId="0" borderId="132">
      <alignment horizontal="center" vertical="center"/>
    </xf>
    <xf numFmtId="0" fontId="305" fillId="0" borderId="126" applyNumberFormat="0" applyFill="0" applyAlignment="0" applyProtection="0"/>
    <xf numFmtId="0" fontId="305" fillId="0" borderId="126" applyNumberFormat="0" applyFill="0" applyAlignment="0" applyProtection="0"/>
    <xf numFmtId="317" fontId="17" fillId="0" borderId="132">
      <alignment horizontal="center" vertical="center"/>
    </xf>
    <xf numFmtId="0" fontId="451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293" fontId="447" fillId="93" borderId="115">
      <alignment horizontal="right"/>
    </xf>
    <xf numFmtId="0" fontId="452" fillId="54" borderId="137" applyNumberFormat="0" applyAlignment="0" applyProtection="0"/>
    <xf numFmtId="294" fontId="383" fillId="93" borderId="115">
      <alignment horizontal="right"/>
    </xf>
    <xf numFmtId="0" fontId="452" fillId="54" borderId="137" applyNumberFormat="0" applyAlignment="0" applyProtection="0"/>
    <xf numFmtId="295" fontId="448" fillId="41" borderId="118">
      <alignment horizontal="right"/>
    </xf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3" fillId="54" borderId="137" applyNumberFormat="0" applyAlignment="0" applyProtection="0"/>
    <xf numFmtId="0" fontId="451" fillId="54" borderId="137" applyNumberFormat="0" applyAlignment="0" applyProtection="0"/>
    <xf numFmtId="0" fontId="454" fillId="54" borderId="137" applyNumberFormat="0" applyAlignment="0" applyProtection="0"/>
    <xf numFmtId="0" fontId="455" fillId="54" borderId="137" applyNumberFormat="0" applyAlignment="0" applyProtection="0"/>
    <xf numFmtId="0" fontId="452" fillId="80" borderId="137" applyNumberFormat="0" applyAlignment="0" applyProtection="0"/>
    <xf numFmtId="0" fontId="452" fillId="80" borderId="137" applyNumberFormat="0" applyAlignment="0" applyProtection="0"/>
    <xf numFmtId="0" fontId="452" fillId="80" borderId="137" applyNumberFormat="0" applyAlignment="0" applyProtection="0"/>
    <xf numFmtId="0" fontId="452" fillId="80" borderId="137" applyNumberFormat="0" applyAlignment="0" applyProtection="0"/>
    <xf numFmtId="0" fontId="452" fillId="80" borderId="137" applyNumberFormat="0" applyAlignment="0" applyProtection="0"/>
    <xf numFmtId="0" fontId="452" fillId="80" borderId="137" applyNumberFormat="0" applyAlignment="0" applyProtection="0"/>
    <xf numFmtId="0" fontId="452" fillId="80" borderId="137" applyNumberFormat="0" applyAlignment="0" applyProtection="0"/>
    <xf numFmtId="0" fontId="452" fillId="80" borderId="137" applyNumberFormat="0" applyAlignment="0" applyProtection="0"/>
    <xf numFmtId="0" fontId="452" fillId="80" borderId="137" applyNumberFormat="0" applyAlignment="0" applyProtection="0"/>
    <xf numFmtId="0" fontId="452" fillId="80" borderId="137" applyNumberFormat="0" applyAlignment="0" applyProtection="0"/>
    <xf numFmtId="0" fontId="455" fillId="54" borderId="137" applyNumberFormat="0" applyAlignment="0" applyProtection="0"/>
    <xf numFmtId="0" fontId="455" fillId="54" borderId="137" applyNumberFormat="0" applyAlignment="0" applyProtection="0"/>
    <xf numFmtId="0" fontId="455" fillId="54" borderId="137" applyNumberFormat="0" applyAlignment="0" applyProtection="0"/>
    <xf numFmtId="0" fontId="455" fillId="54" borderId="137" applyNumberFormat="0" applyAlignment="0" applyProtection="0"/>
    <xf numFmtId="0" fontId="455" fillId="54" borderId="137" applyNumberFormat="0" applyAlignment="0" applyProtection="0"/>
    <xf numFmtId="0" fontId="455" fillId="54" borderId="137" applyNumberFormat="0" applyAlignment="0" applyProtection="0"/>
    <xf numFmtId="0" fontId="455" fillId="54" borderId="137" applyNumberFormat="0" applyAlignment="0" applyProtection="0"/>
    <xf numFmtId="0" fontId="455" fillId="54" borderId="137" applyNumberFormat="0" applyAlignment="0" applyProtection="0"/>
    <xf numFmtId="0" fontId="455" fillId="54" borderId="137" applyNumberFormat="0" applyAlignment="0" applyProtection="0"/>
    <xf numFmtId="0" fontId="455" fillId="54" borderId="137" applyNumberFormat="0" applyAlignment="0" applyProtection="0"/>
    <xf numFmtId="0" fontId="455" fillId="54" borderId="137" applyNumberFormat="0" applyAlignment="0" applyProtection="0"/>
    <xf numFmtId="0" fontId="455" fillId="54" borderId="137" applyNumberFormat="0" applyAlignment="0" applyProtection="0"/>
    <xf numFmtId="0" fontId="452" fillId="80" borderId="137" applyNumberFormat="0" applyAlignment="0" applyProtection="0"/>
    <xf numFmtId="0" fontId="455" fillId="54" borderId="137" applyNumberFormat="0" applyAlignment="0" applyProtection="0"/>
    <xf numFmtId="0" fontId="455" fillId="54" borderId="137" applyNumberFormat="0" applyAlignment="0" applyProtection="0"/>
    <xf numFmtId="0" fontId="455" fillId="54" borderId="137" applyNumberFormat="0" applyAlignment="0" applyProtection="0"/>
    <xf numFmtId="0" fontId="455" fillId="54" borderId="137" applyNumberFormat="0" applyAlignment="0" applyProtection="0"/>
    <xf numFmtId="0" fontId="455" fillId="54" borderId="137" applyNumberFormat="0" applyAlignment="0" applyProtection="0"/>
    <xf numFmtId="0" fontId="455" fillId="54" borderId="137" applyNumberFormat="0" applyAlignment="0" applyProtection="0"/>
    <xf numFmtId="0" fontId="455" fillId="54" borderId="137" applyNumberFormat="0" applyAlignment="0" applyProtection="0"/>
    <xf numFmtId="0" fontId="455" fillId="54" borderId="137" applyNumberFormat="0" applyAlignment="0" applyProtection="0"/>
    <xf numFmtId="0" fontId="455" fillId="54" borderId="137" applyNumberFormat="0" applyAlignment="0" applyProtection="0"/>
    <xf numFmtId="0" fontId="455" fillId="54" borderId="137" applyNumberFormat="0" applyAlignment="0" applyProtection="0"/>
    <xf numFmtId="0" fontId="455" fillId="54" borderId="137" applyNumberFormat="0" applyAlignment="0" applyProtection="0"/>
    <xf numFmtId="0" fontId="455" fillId="54" borderId="137" applyNumberFormat="0" applyAlignment="0" applyProtection="0"/>
    <xf numFmtId="0" fontId="455" fillId="54" borderId="137" applyNumberFormat="0" applyAlignment="0" applyProtection="0"/>
    <xf numFmtId="0" fontId="455" fillId="54" borderId="137" applyNumberFormat="0" applyAlignment="0" applyProtection="0"/>
    <xf numFmtId="0" fontId="455" fillId="54" borderId="137" applyNumberFormat="0" applyAlignment="0" applyProtection="0"/>
    <xf numFmtId="0" fontId="455" fillId="54" borderId="137" applyNumberFormat="0" applyAlignment="0" applyProtection="0"/>
    <xf numFmtId="0" fontId="455" fillId="54" borderId="137" applyNumberFormat="0" applyAlignment="0" applyProtection="0"/>
    <xf numFmtId="0" fontId="455" fillId="54" borderId="137" applyNumberFormat="0" applyAlignment="0" applyProtection="0"/>
    <xf numFmtId="0" fontId="455" fillId="54" borderId="137" applyNumberFormat="0" applyAlignment="0" applyProtection="0"/>
    <xf numFmtId="0" fontId="452" fillId="80" borderId="137" applyNumberFormat="0" applyAlignment="0" applyProtection="0"/>
    <xf numFmtId="0" fontId="452" fillId="80" borderId="137" applyNumberFormat="0" applyAlignment="0" applyProtection="0"/>
    <xf numFmtId="0" fontId="452" fillId="80" borderId="137" applyNumberFormat="0" applyAlignment="0" applyProtection="0"/>
    <xf numFmtId="0" fontId="452" fillId="80" borderId="137" applyNumberFormat="0" applyAlignment="0" applyProtection="0"/>
    <xf numFmtId="0" fontId="452" fillId="80" borderId="137" applyNumberFormat="0" applyAlignment="0" applyProtection="0"/>
    <xf numFmtId="0" fontId="455" fillId="54" borderId="137" applyNumberFormat="0" applyAlignment="0" applyProtection="0"/>
    <xf numFmtId="0" fontId="455" fillId="54" borderId="137" applyNumberFormat="0" applyAlignment="0" applyProtection="0"/>
    <xf numFmtId="0" fontId="455" fillId="54" borderId="137" applyNumberFormat="0" applyAlignment="0" applyProtection="0"/>
    <xf numFmtId="0" fontId="455" fillId="54" borderId="137" applyNumberFormat="0" applyAlignment="0" applyProtection="0"/>
    <xf numFmtId="0" fontId="455" fillId="54" borderId="137" applyNumberFormat="0" applyAlignment="0" applyProtection="0"/>
    <xf numFmtId="0" fontId="455" fillId="54" borderId="137" applyNumberFormat="0" applyAlignment="0" applyProtection="0"/>
    <xf numFmtId="0" fontId="455" fillId="54" borderId="137" applyNumberFormat="0" applyAlignment="0" applyProtection="0"/>
    <xf numFmtId="0" fontId="455" fillId="54" borderId="137" applyNumberFormat="0" applyAlignment="0" applyProtection="0"/>
    <xf numFmtId="0" fontId="455" fillId="54" borderId="137" applyNumberFormat="0" applyAlignment="0" applyProtection="0"/>
    <xf numFmtId="0" fontId="455" fillId="54" borderId="137" applyNumberFormat="0" applyAlignment="0" applyProtection="0"/>
    <xf numFmtId="0" fontId="455" fillId="54" borderId="137" applyNumberFormat="0" applyAlignment="0" applyProtection="0"/>
    <xf numFmtId="0" fontId="455" fillId="54" borderId="137" applyNumberFormat="0" applyAlignment="0" applyProtection="0"/>
    <xf numFmtId="0" fontId="455" fillId="54" borderId="137" applyNumberFormat="0" applyAlignment="0" applyProtection="0"/>
    <xf numFmtId="0" fontId="455" fillId="54" borderId="137" applyNumberFormat="0" applyAlignment="0" applyProtection="0"/>
    <xf numFmtId="0" fontId="452" fillId="80" borderId="137" applyNumberFormat="0" applyAlignment="0" applyProtection="0"/>
    <xf numFmtId="0" fontId="452" fillId="80" borderId="137" applyNumberFormat="0" applyAlignment="0" applyProtection="0"/>
    <xf numFmtId="0" fontId="452" fillId="80" borderId="137" applyNumberFormat="0" applyAlignment="0" applyProtection="0"/>
    <xf numFmtId="0" fontId="452" fillId="80" borderId="137" applyNumberFormat="0" applyAlignment="0" applyProtection="0"/>
    <xf numFmtId="0" fontId="452" fillId="80" borderId="137" applyNumberFormat="0" applyAlignment="0" applyProtection="0"/>
    <xf numFmtId="0" fontId="452" fillId="80" borderId="137" applyNumberFormat="0" applyAlignment="0" applyProtection="0"/>
    <xf numFmtId="0" fontId="452" fillId="80" borderId="137" applyNumberFormat="0" applyAlignment="0" applyProtection="0"/>
    <xf numFmtId="0" fontId="455" fillId="54" borderId="137" applyNumberFormat="0" applyAlignment="0" applyProtection="0"/>
    <xf numFmtId="0" fontId="455" fillId="54" borderId="137" applyNumberFormat="0" applyAlignment="0" applyProtection="0"/>
    <xf numFmtId="0" fontId="455" fillId="54" borderId="137" applyNumberFormat="0" applyAlignment="0" applyProtection="0"/>
    <xf numFmtId="0" fontId="455" fillId="54" borderId="137" applyNumberFormat="0" applyAlignment="0" applyProtection="0"/>
    <xf numFmtId="0" fontId="455" fillId="54" borderId="137" applyNumberFormat="0" applyAlignment="0" applyProtection="0"/>
    <xf numFmtId="0" fontId="455" fillId="54" borderId="137" applyNumberFormat="0" applyAlignment="0" applyProtection="0"/>
    <xf numFmtId="0" fontId="455" fillId="54" borderId="137" applyNumberFormat="0" applyAlignment="0" applyProtection="0"/>
    <xf numFmtId="0" fontId="455" fillId="54" borderId="137" applyNumberFormat="0" applyAlignment="0" applyProtection="0"/>
    <xf numFmtId="0" fontId="455" fillId="54" borderId="137" applyNumberFormat="0" applyAlignment="0" applyProtection="0"/>
    <xf numFmtId="0" fontId="455" fillId="54" borderId="137" applyNumberFormat="0" applyAlignment="0" applyProtection="0"/>
    <xf numFmtId="0" fontId="452" fillId="80" borderId="137" applyNumberFormat="0" applyAlignment="0" applyProtection="0"/>
    <xf numFmtId="0" fontId="452" fillId="80" borderId="137" applyNumberFormat="0" applyAlignment="0" applyProtection="0"/>
    <xf numFmtId="0" fontId="452" fillId="80" borderId="137" applyNumberFormat="0" applyAlignment="0" applyProtection="0"/>
    <xf numFmtId="0" fontId="452" fillId="80" borderId="137" applyNumberFormat="0" applyAlignment="0" applyProtection="0"/>
    <xf numFmtId="0" fontId="452" fillId="80" borderId="137" applyNumberFormat="0" applyAlignment="0" applyProtection="0"/>
    <xf numFmtId="0" fontId="452" fillId="80" borderId="137" applyNumberFormat="0" applyAlignment="0" applyProtection="0"/>
    <xf numFmtId="0" fontId="452" fillId="80" borderId="137" applyNumberFormat="0" applyAlignment="0" applyProtection="0"/>
    <xf numFmtId="0" fontId="452" fillId="80" borderId="137" applyNumberFormat="0" applyAlignment="0" applyProtection="0"/>
    <xf numFmtId="0" fontId="452" fillId="80" borderId="137" applyNumberFormat="0" applyAlignment="0" applyProtection="0"/>
    <xf numFmtId="0" fontId="452" fillId="80" borderId="137" applyNumberFormat="0" applyAlignment="0" applyProtection="0"/>
    <xf numFmtId="0" fontId="452" fillId="80" borderId="137" applyNumberFormat="0" applyAlignment="0" applyProtection="0"/>
    <xf numFmtId="0" fontId="452" fillId="80" borderId="137" applyNumberFormat="0" applyAlignment="0" applyProtection="0"/>
    <xf numFmtId="0" fontId="452" fillId="80" borderId="137" applyNumberFormat="0" applyAlignment="0" applyProtection="0"/>
    <xf numFmtId="0" fontId="452" fillId="80" borderId="137" applyNumberFormat="0" applyAlignment="0" applyProtection="0"/>
    <xf numFmtId="0" fontId="452" fillId="80" borderId="137" applyNumberFormat="0" applyAlignment="0" applyProtection="0"/>
    <xf numFmtId="0" fontId="452" fillId="80" borderId="137" applyNumberFormat="0" applyAlignment="0" applyProtection="0"/>
    <xf numFmtId="0" fontId="452" fillId="80" borderId="137" applyNumberFormat="0" applyAlignment="0" applyProtection="0"/>
    <xf numFmtId="0" fontId="452" fillId="80" borderId="137" applyNumberFormat="0" applyAlignment="0" applyProtection="0"/>
    <xf numFmtId="0" fontId="452" fillId="80" borderId="137" applyNumberFormat="0" applyAlignment="0" applyProtection="0"/>
    <xf numFmtId="0" fontId="452" fillId="80" borderId="137" applyNumberFormat="0" applyAlignment="0" applyProtection="0"/>
    <xf numFmtId="0" fontId="452" fillId="80" borderId="137" applyNumberFormat="0" applyAlignment="0" applyProtection="0"/>
    <xf numFmtId="0" fontId="452" fillId="80" borderId="137" applyNumberFormat="0" applyAlignment="0" applyProtection="0"/>
    <xf numFmtId="0" fontId="452" fillId="80" borderId="137" applyNumberFormat="0" applyAlignment="0" applyProtection="0"/>
    <xf numFmtId="0" fontId="452" fillId="80" borderId="137" applyNumberFormat="0" applyAlignment="0" applyProtection="0"/>
    <xf numFmtId="0" fontId="452" fillId="80" borderId="137" applyNumberFormat="0" applyAlignment="0" applyProtection="0"/>
    <xf numFmtId="0" fontId="452" fillId="80" borderId="137" applyNumberFormat="0" applyAlignment="0" applyProtection="0"/>
    <xf numFmtId="0" fontId="452" fillId="80" borderId="137" applyNumberFormat="0" applyAlignment="0" applyProtection="0"/>
    <xf numFmtId="0" fontId="452" fillId="80" borderId="137" applyNumberFormat="0" applyAlignment="0" applyProtection="0"/>
    <xf numFmtId="0" fontId="452" fillId="80" borderId="137" applyNumberFormat="0" applyAlignment="0" applyProtection="0"/>
    <xf numFmtId="0" fontId="452" fillId="80" borderId="137" applyNumberFormat="0" applyAlignment="0" applyProtection="0"/>
    <xf numFmtId="0" fontId="455" fillId="54" borderId="137" applyNumberFormat="0" applyAlignment="0" applyProtection="0"/>
    <xf numFmtId="0" fontId="455" fillId="54" borderId="137" applyNumberFormat="0" applyAlignment="0" applyProtection="0"/>
    <xf numFmtId="0" fontId="455" fillId="54" borderId="137" applyNumberFormat="0" applyAlignment="0" applyProtection="0"/>
    <xf numFmtId="0" fontId="455" fillId="54" borderId="137" applyNumberFormat="0" applyAlignment="0" applyProtection="0"/>
    <xf numFmtId="0" fontId="455" fillId="54" borderId="137" applyNumberFormat="0" applyAlignment="0" applyProtection="0"/>
    <xf numFmtId="0" fontId="452" fillId="80" borderId="137" applyNumberFormat="0" applyAlignment="0" applyProtection="0"/>
    <xf numFmtId="0" fontId="452" fillId="80" borderId="137" applyNumberFormat="0" applyAlignment="0" applyProtection="0"/>
    <xf numFmtId="0" fontId="452" fillId="80" borderId="137" applyNumberFormat="0" applyAlignment="0" applyProtection="0"/>
    <xf numFmtId="0" fontId="452" fillId="80" borderId="137" applyNumberFormat="0" applyAlignment="0" applyProtection="0"/>
    <xf numFmtId="0" fontId="452" fillId="80" borderId="137" applyNumberFormat="0" applyAlignment="0" applyProtection="0"/>
    <xf numFmtId="0" fontId="452" fillId="80" borderId="137" applyNumberFormat="0" applyAlignment="0" applyProtection="0"/>
    <xf numFmtId="0" fontId="452" fillId="80" borderId="137" applyNumberFormat="0" applyAlignment="0" applyProtection="0"/>
    <xf numFmtId="0" fontId="452" fillId="80" borderId="137" applyNumberFormat="0" applyAlignment="0" applyProtection="0"/>
    <xf numFmtId="0" fontId="452" fillId="80" borderId="137" applyNumberFormat="0" applyAlignment="0" applyProtection="0"/>
    <xf numFmtId="0" fontId="452" fillId="80" borderId="137" applyNumberFormat="0" applyAlignment="0" applyProtection="0"/>
    <xf numFmtId="0" fontId="452" fillId="80" borderId="137" applyNumberFormat="0" applyAlignment="0" applyProtection="0"/>
    <xf numFmtId="0" fontId="452" fillId="80" borderId="137" applyNumberFormat="0" applyAlignment="0" applyProtection="0"/>
    <xf numFmtId="0" fontId="452" fillId="80" borderId="137" applyNumberFormat="0" applyAlignment="0" applyProtection="0"/>
    <xf numFmtId="0" fontId="452" fillId="80" borderId="137" applyNumberFormat="0" applyAlignment="0" applyProtection="0"/>
    <xf numFmtId="0" fontId="455" fillId="54" borderId="137" applyNumberFormat="0" applyAlignment="0" applyProtection="0"/>
    <xf numFmtId="0" fontId="455" fillId="54" borderId="137" applyNumberFormat="0" applyAlignment="0" applyProtection="0"/>
    <xf numFmtId="0" fontId="455" fillId="54" borderId="137" applyNumberFormat="0" applyAlignment="0" applyProtection="0"/>
    <xf numFmtId="0" fontId="455" fillId="54" borderId="137" applyNumberFormat="0" applyAlignment="0" applyProtection="0"/>
    <xf numFmtId="0" fontId="455" fillId="54" borderId="137" applyNumberFormat="0" applyAlignment="0" applyProtection="0"/>
    <xf numFmtId="0" fontId="455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5" fillId="54" borderId="137" applyNumberFormat="0" applyAlignment="0" applyProtection="0"/>
    <xf numFmtId="0" fontId="455" fillId="54" borderId="137" applyNumberFormat="0" applyAlignment="0" applyProtection="0"/>
    <xf numFmtId="0" fontId="455" fillId="54" borderId="137" applyNumberFormat="0" applyAlignment="0" applyProtection="0"/>
    <xf numFmtId="0" fontId="455" fillId="54" borderId="137" applyNumberFormat="0" applyAlignment="0" applyProtection="0"/>
    <xf numFmtId="0" fontId="455" fillId="54" borderId="137" applyNumberFormat="0" applyAlignment="0" applyProtection="0"/>
    <xf numFmtId="0" fontId="455" fillId="54" borderId="137" applyNumberFormat="0" applyAlignment="0" applyProtection="0"/>
    <xf numFmtId="0" fontId="455" fillId="54" borderId="137" applyNumberFormat="0" applyAlignment="0" applyProtection="0"/>
    <xf numFmtId="0" fontId="455" fillId="54" borderId="137" applyNumberFormat="0" applyAlignment="0" applyProtection="0"/>
    <xf numFmtId="0" fontId="455" fillId="54" borderId="137" applyNumberFormat="0" applyAlignment="0" applyProtection="0"/>
    <xf numFmtId="0" fontId="455" fillId="54" borderId="137" applyNumberFormat="0" applyAlignment="0" applyProtection="0"/>
    <xf numFmtId="0" fontId="455" fillId="54" borderId="137" applyNumberFormat="0" applyAlignment="0" applyProtection="0"/>
    <xf numFmtId="0" fontId="455" fillId="54" borderId="137" applyNumberFormat="0" applyAlignment="0" applyProtection="0"/>
    <xf numFmtId="0" fontId="455" fillId="54" borderId="137" applyNumberFormat="0" applyAlignment="0" applyProtection="0"/>
    <xf numFmtId="0" fontId="455" fillId="54" borderId="137" applyNumberFormat="0" applyAlignment="0" applyProtection="0"/>
    <xf numFmtId="0" fontId="455" fillId="54" borderId="137" applyNumberFormat="0" applyAlignment="0" applyProtection="0"/>
    <xf numFmtId="0" fontId="455" fillId="54" borderId="137" applyNumberFormat="0" applyAlignment="0" applyProtection="0"/>
    <xf numFmtId="0" fontId="455" fillId="54" borderId="137" applyNumberFormat="0" applyAlignment="0" applyProtection="0"/>
    <xf numFmtId="0" fontId="455" fillId="54" borderId="137" applyNumberFormat="0" applyAlignment="0" applyProtection="0"/>
    <xf numFmtId="0" fontId="455" fillId="54" borderId="137" applyNumberFormat="0" applyAlignment="0" applyProtection="0"/>
    <xf numFmtId="0" fontId="455" fillId="54" borderId="137" applyNumberFormat="0" applyAlignment="0" applyProtection="0"/>
    <xf numFmtId="0" fontId="455" fillId="54" borderId="137" applyNumberFormat="0" applyAlignment="0" applyProtection="0"/>
    <xf numFmtId="0" fontId="455" fillId="54" borderId="137" applyNumberFormat="0" applyAlignment="0" applyProtection="0"/>
    <xf numFmtId="0" fontId="455" fillId="54" borderId="137" applyNumberFormat="0" applyAlignment="0" applyProtection="0"/>
    <xf numFmtId="0" fontId="455" fillId="54" borderId="137" applyNumberFormat="0" applyAlignment="0" applyProtection="0"/>
    <xf numFmtId="0" fontId="455" fillId="54" borderId="137" applyNumberFormat="0" applyAlignment="0" applyProtection="0"/>
    <xf numFmtId="0" fontId="455" fillId="54" borderId="137" applyNumberFormat="0" applyAlignment="0" applyProtection="0"/>
    <xf numFmtId="0" fontId="455" fillId="54" borderId="137" applyNumberFormat="0" applyAlignment="0" applyProtection="0"/>
    <xf numFmtId="0" fontId="455" fillId="54" borderId="137" applyNumberFormat="0" applyAlignment="0" applyProtection="0"/>
    <xf numFmtId="0" fontId="455" fillId="54" borderId="137" applyNumberFormat="0" applyAlignment="0" applyProtection="0"/>
    <xf numFmtId="0" fontId="455" fillId="54" borderId="137" applyNumberFormat="0" applyAlignment="0" applyProtection="0"/>
    <xf numFmtId="0" fontId="455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9" fontId="55" fillId="0" borderId="115" applyNumberFormat="0" applyBorder="0"/>
    <xf numFmtId="0" fontId="278" fillId="0" borderId="124">
      <alignment horizontal="center"/>
    </xf>
    <xf numFmtId="0" fontId="203" fillId="0" borderId="124">
      <alignment horizontal="center"/>
    </xf>
    <xf numFmtId="269" fontId="326" fillId="77" borderId="138" applyFill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9" fontId="55" fillId="0" borderId="115" applyNumberFormat="0" applyBorder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4" fontId="471" fillId="55" borderId="139" applyNumberFormat="0" applyProtection="0">
      <alignment vertical="center"/>
    </xf>
    <xf numFmtId="4" fontId="471" fillId="55" borderId="139" applyNumberFormat="0" applyProtection="0">
      <alignment vertical="center"/>
    </xf>
    <xf numFmtId="4" fontId="471" fillId="55" borderId="139" applyNumberFormat="0" applyProtection="0">
      <alignment vertical="center"/>
    </xf>
    <xf numFmtId="4" fontId="471" fillId="55" borderId="139" applyNumberFormat="0" applyProtection="0">
      <alignment vertical="center"/>
    </xf>
    <xf numFmtId="4" fontId="471" fillId="55" borderId="139" applyNumberFormat="0" applyProtection="0">
      <alignment vertical="center"/>
    </xf>
    <xf numFmtId="4" fontId="471" fillId="55" borderId="139" applyNumberFormat="0" applyProtection="0">
      <alignment vertical="center"/>
    </xf>
    <xf numFmtId="4" fontId="471" fillId="55" borderId="139" applyNumberFormat="0" applyProtection="0">
      <alignment vertical="center"/>
    </xf>
    <xf numFmtId="4" fontId="471" fillId="55" borderId="139" applyNumberFormat="0" applyProtection="0">
      <alignment vertical="center"/>
    </xf>
    <xf numFmtId="4" fontId="471" fillId="55" borderId="139" applyNumberFormat="0" applyProtection="0">
      <alignment vertical="center"/>
    </xf>
    <xf numFmtId="4" fontId="471" fillId="55" borderId="139" applyNumberFormat="0" applyProtection="0">
      <alignment vertical="center"/>
    </xf>
    <xf numFmtId="4" fontId="471" fillId="55" borderId="139" applyNumberFormat="0" applyProtection="0">
      <alignment vertical="center"/>
    </xf>
    <xf numFmtId="4" fontId="471" fillId="55" borderId="139" applyNumberFormat="0" applyProtection="0">
      <alignment vertical="center"/>
    </xf>
    <xf numFmtId="4" fontId="471" fillId="55" borderId="139" applyNumberFormat="0" applyProtection="0">
      <alignment vertical="center"/>
    </xf>
    <xf numFmtId="4" fontId="471" fillId="55" borderId="139" applyNumberFormat="0" applyProtection="0">
      <alignment vertical="center"/>
    </xf>
    <xf numFmtId="4" fontId="471" fillId="55" borderId="139" applyNumberFormat="0" applyProtection="0">
      <alignment vertical="center"/>
    </xf>
    <xf numFmtId="4" fontId="471" fillId="55" borderId="139" applyNumberFormat="0" applyProtection="0">
      <alignment vertical="center"/>
    </xf>
    <xf numFmtId="4" fontId="471" fillId="55" borderId="139" applyNumberFormat="0" applyProtection="0">
      <alignment vertical="center"/>
    </xf>
    <xf numFmtId="4" fontId="471" fillId="55" borderId="139" applyNumberFormat="0" applyProtection="0">
      <alignment vertical="center"/>
    </xf>
    <xf numFmtId="4" fontId="471" fillId="55" borderId="139" applyNumberFormat="0" applyProtection="0">
      <alignment vertical="center"/>
    </xf>
    <xf numFmtId="4" fontId="471" fillId="55" borderId="139" applyNumberFormat="0" applyProtection="0">
      <alignment vertical="center"/>
    </xf>
    <xf numFmtId="4" fontId="471" fillId="55" borderId="139" applyNumberFormat="0" applyProtection="0">
      <alignment vertical="center"/>
    </xf>
    <xf numFmtId="4" fontId="471" fillId="55" borderId="139" applyNumberFormat="0" applyProtection="0">
      <alignment vertical="center"/>
    </xf>
    <xf numFmtId="4" fontId="471" fillId="55" borderId="139" applyNumberFormat="0" applyProtection="0">
      <alignment vertical="center"/>
    </xf>
    <xf numFmtId="4" fontId="471" fillId="55" borderId="139" applyNumberFormat="0" applyProtection="0">
      <alignment vertical="center"/>
    </xf>
    <xf numFmtId="4" fontId="471" fillId="55" borderId="139" applyNumberFormat="0" applyProtection="0">
      <alignment vertical="center"/>
    </xf>
    <xf numFmtId="4" fontId="471" fillId="55" borderId="139" applyNumberFormat="0" applyProtection="0">
      <alignment vertical="center"/>
    </xf>
    <xf numFmtId="4" fontId="471" fillId="55" borderId="139" applyNumberFormat="0" applyProtection="0">
      <alignment vertical="center"/>
    </xf>
    <xf numFmtId="4" fontId="471" fillId="55" borderId="139" applyNumberFormat="0" applyProtection="0">
      <alignment vertical="center"/>
    </xf>
    <xf numFmtId="4" fontId="471" fillId="55" borderId="139" applyNumberFormat="0" applyProtection="0">
      <alignment vertical="center"/>
    </xf>
    <xf numFmtId="4" fontId="471" fillId="55" borderId="139" applyNumberFormat="0" applyProtection="0">
      <alignment vertical="center"/>
    </xf>
    <xf numFmtId="4" fontId="471" fillId="55" borderId="139" applyNumberFormat="0" applyProtection="0">
      <alignment vertical="center"/>
    </xf>
    <xf numFmtId="4" fontId="471" fillId="55" borderId="139" applyNumberFormat="0" applyProtection="0">
      <alignment vertical="center"/>
    </xf>
    <xf numFmtId="4" fontId="471" fillId="55" borderId="139" applyNumberFormat="0" applyProtection="0">
      <alignment vertical="center"/>
    </xf>
    <xf numFmtId="4" fontId="471" fillId="55" borderId="139" applyNumberFormat="0" applyProtection="0">
      <alignment vertical="center"/>
    </xf>
    <xf numFmtId="4" fontId="471" fillId="55" borderId="139" applyNumberFormat="0" applyProtection="0">
      <alignment vertical="center"/>
    </xf>
    <xf numFmtId="4" fontId="471" fillId="55" borderId="139" applyNumberFormat="0" applyProtection="0">
      <alignment vertical="center"/>
    </xf>
    <xf numFmtId="4" fontId="471" fillId="55" borderId="139" applyNumberFormat="0" applyProtection="0">
      <alignment vertical="center"/>
    </xf>
    <xf numFmtId="4" fontId="471" fillId="55" borderId="139" applyNumberFormat="0" applyProtection="0">
      <alignment vertical="center"/>
    </xf>
    <xf numFmtId="4" fontId="471" fillId="55" borderId="139" applyNumberFormat="0" applyProtection="0">
      <alignment vertical="center"/>
    </xf>
    <xf numFmtId="4" fontId="471" fillId="55" borderId="139" applyNumberFormat="0" applyProtection="0">
      <alignment vertical="center"/>
    </xf>
    <xf numFmtId="4" fontId="471" fillId="55" borderId="139" applyNumberFormat="0" applyProtection="0">
      <alignment vertical="center"/>
    </xf>
    <xf numFmtId="4" fontId="471" fillId="55" borderId="139" applyNumberFormat="0" applyProtection="0">
      <alignment vertical="center"/>
    </xf>
    <xf numFmtId="4" fontId="471" fillId="55" borderId="139" applyNumberFormat="0" applyProtection="0">
      <alignment vertical="center"/>
    </xf>
    <xf numFmtId="4" fontId="471" fillId="55" borderId="139" applyNumberFormat="0" applyProtection="0">
      <alignment vertical="center"/>
    </xf>
    <xf numFmtId="4" fontId="471" fillId="55" borderId="139" applyNumberFormat="0" applyProtection="0">
      <alignment vertical="center"/>
    </xf>
    <xf numFmtId="4" fontId="471" fillId="55" borderId="139" applyNumberFormat="0" applyProtection="0">
      <alignment vertical="center"/>
    </xf>
    <xf numFmtId="4" fontId="471" fillId="55" borderId="139" applyNumberFormat="0" applyProtection="0">
      <alignment vertical="center"/>
    </xf>
    <xf numFmtId="4" fontId="471" fillId="55" borderId="139" applyNumberFormat="0" applyProtection="0">
      <alignment vertical="center"/>
    </xf>
    <xf numFmtId="4" fontId="471" fillId="55" borderId="139" applyNumberFormat="0" applyProtection="0">
      <alignment vertical="center"/>
    </xf>
    <xf numFmtId="4" fontId="471" fillId="55" borderId="139" applyNumberFormat="0" applyProtection="0">
      <alignment vertical="center"/>
    </xf>
    <xf numFmtId="4" fontId="471" fillId="55" borderId="139" applyNumberFormat="0" applyProtection="0">
      <alignment vertical="center"/>
    </xf>
    <xf numFmtId="4" fontId="471" fillId="55" borderId="139" applyNumberFormat="0" applyProtection="0">
      <alignment vertical="center"/>
    </xf>
    <xf numFmtId="4" fontId="471" fillId="55" borderId="139" applyNumberFormat="0" applyProtection="0">
      <alignment vertical="center"/>
    </xf>
    <xf numFmtId="4" fontId="471" fillId="55" borderId="139" applyNumberFormat="0" applyProtection="0">
      <alignment vertical="center"/>
    </xf>
    <xf numFmtId="4" fontId="471" fillId="55" borderId="139" applyNumberFormat="0" applyProtection="0">
      <alignment vertical="center"/>
    </xf>
    <xf numFmtId="4" fontId="471" fillId="55" borderId="139" applyNumberFormat="0" applyProtection="0">
      <alignment vertical="center"/>
    </xf>
    <xf numFmtId="4" fontId="471" fillId="55" borderId="139" applyNumberFormat="0" applyProtection="0">
      <alignment vertical="center"/>
    </xf>
    <xf numFmtId="4" fontId="471" fillId="55" borderId="139" applyNumberFormat="0" applyProtection="0">
      <alignment vertical="center"/>
    </xf>
    <xf numFmtId="4" fontId="471" fillId="55" borderId="139" applyNumberFormat="0" applyProtection="0">
      <alignment vertical="center"/>
    </xf>
    <xf numFmtId="4" fontId="471" fillId="55" borderId="139" applyNumberFormat="0" applyProtection="0">
      <alignment vertical="center"/>
    </xf>
    <xf numFmtId="4" fontId="471" fillId="55" borderId="139" applyNumberFormat="0" applyProtection="0">
      <alignment vertical="center"/>
    </xf>
    <xf numFmtId="4" fontId="471" fillId="55" borderId="139" applyNumberFormat="0" applyProtection="0">
      <alignment vertical="center"/>
    </xf>
    <xf numFmtId="4" fontId="471" fillId="55" borderId="139" applyNumberFormat="0" applyProtection="0">
      <alignment vertical="center"/>
    </xf>
    <xf numFmtId="4" fontId="471" fillId="55" borderId="139" applyNumberFormat="0" applyProtection="0">
      <alignment vertical="center"/>
    </xf>
    <xf numFmtId="4" fontId="471" fillId="55" borderId="139" applyNumberFormat="0" applyProtection="0">
      <alignment vertical="center"/>
    </xf>
    <xf numFmtId="4" fontId="471" fillId="55" borderId="139" applyNumberFormat="0" applyProtection="0">
      <alignment vertical="center"/>
    </xf>
    <xf numFmtId="4" fontId="471" fillId="55" borderId="139" applyNumberFormat="0" applyProtection="0">
      <alignment vertical="center"/>
    </xf>
    <xf numFmtId="4" fontId="471" fillId="55" borderId="139" applyNumberFormat="0" applyProtection="0">
      <alignment vertical="center"/>
    </xf>
    <xf numFmtId="4" fontId="471" fillId="55" borderId="139" applyNumberFormat="0" applyProtection="0">
      <alignment vertical="center"/>
    </xf>
    <xf numFmtId="4" fontId="471" fillId="55" borderId="139" applyNumberFormat="0" applyProtection="0">
      <alignment vertical="center"/>
    </xf>
    <xf numFmtId="4" fontId="471" fillId="55" borderId="139" applyNumberFormat="0" applyProtection="0">
      <alignment vertical="center"/>
    </xf>
    <xf numFmtId="4" fontId="471" fillId="55" borderId="139" applyNumberFormat="0" applyProtection="0">
      <alignment vertical="center"/>
    </xf>
    <xf numFmtId="4" fontId="471" fillId="55" borderId="139" applyNumberFormat="0" applyProtection="0">
      <alignment vertical="center"/>
    </xf>
    <xf numFmtId="4" fontId="471" fillId="55" borderId="139" applyNumberFormat="0" applyProtection="0">
      <alignment vertical="center"/>
    </xf>
    <xf numFmtId="4" fontId="471" fillId="55" borderId="139" applyNumberFormat="0" applyProtection="0">
      <alignment vertical="center"/>
    </xf>
    <xf numFmtId="4" fontId="471" fillId="55" borderId="139" applyNumberFormat="0" applyProtection="0">
      <alignment vertical="center"/>
    </xf>
    <xf numFmtId="4" fontId="471" fillId="55" borderId="139" applyNumberFormat="0" applyProtection="0">
      <alignment vertical="center"/>
    </xf>
    <xf numFmtId="4" fontId="471" fillId="55" borderId="139" applyNumberFormat="0" applyProtection="0">
      <alignment vertical="center"/>
    </xf>
    <xf numFmtId="4" fontId="471" fillId="55" borderId="139" applyNumberFormat="0" applyProtection="0">
      <alignment vertical="center"/>
    </xf>
    <xf numFmtId="4" fontId="471" fillId="55" borderId="139" applyNumberFormat="0" applyProtection="0">
      <alignment vertical="center"/>
    </xf>
    <xf numFmtId="4" fontId="471" fillId="55" borderId="139" applyNumberFormat="0" applyProtection="0">
      <alignment vertical="center"/>
    </xf>
    <xf numFmtId="4" fontId="471" fillId="55" borderId="139" applyNumberFormat="0" applyProtection="0">
      <alignment vertical="center"/>
    </xf>
    <xf numFmtId="4" fontId="471" fillId="55" borderId="139" applyNumberFormat="0" applyProtection="0">
      <alignment vertical="center"/>
    </xf>
    <xf numFmtId="4" fontId="471" fillId="55" borderId="139" applyNumberFormat="0" applyProtection="0">
      <alignment vertical="center"/>
    </xf>
    <xf numFmtId="4" fontId="471" fillId="55" borderId="139" applyNumberFormat="0" applyProtection="0">
      <alignment vertical="center"/>
    </xf>
    <xf numFmtId="4" fontId="471" fillId="55" borderId="139" applyNumberFormat="0" applyProtection="0">
      <alignment vertical="center"/>
    </xf>
    <xf numFmtId="4" fontId="471" fillId="55" borderId="139" applyNumberFormat="0" applyProtection="0">
      <alignment vertical="center"/>
    </xf>
    <xf numFmtId="4" fontId="471" fillId="55" borderId="139" applyNumberFormat="0" applyProtection="0">
      <alignment vertical="center"/>
    </xf>
    <xf numFmtId="4" fontId="471" fillId="55" borderId="139" applyNumberFormat="0" applyProtection="0">
      <alignment vertical="center"/>
    </xf>
    <xf numFmtId="4" fontId="471" fillId="55" borderId="139" applyNumberFormat="0" applyProtection="0">
      <alignment vertical="center"/>
    </xf>
    <xf numFmtId="4" fontId="471" fillId="55" borderId="139" applyNumberFormat="0" applyProtection="0">
      <alignment vertical="center"/>
    </xf>
    <xf numFmtId="4" fontId="471" fillId="55" borderId="139" applyNumberFormat="0" applyProtection="0">
      <alignment vertical="center"/>
    </xf>
    <xf numFmtId="4" fontId="471" fillId="55" borderId="139" applyNumberFormat="0" applyProtection="0">
      <alignment vertical="center"/>
    </xf>
    <xf numFmtId="4" fontId="471" fillId="55" borderId="139" applyNumberFormat="0" applyProtection="0">
      <alignment vertical="center"/>
    </xf>
    <xf numFmtId="4" fontId="471" fillId="55" borderId="139" applyNumberFormat="0" applyProtection="0">
      <alignment vertical="center"/>
    </xf>
    <xf numFmtId="4" fontId="471" fillId="55" borderId="139" applyNumberFormat="0" applyProtection="0">
      <alignment vertical="center"/>
    </xf>
    <xf numFmtId="4" fontId="471" fillId="55" borderId="139" applyNumberFormat="0" applyProtection="0">
      <alignment vertical="center"/>
    </xf>
    <xf numFmtId="4" fontId="471" fillId="55" borderId="139" applyNumberFormat="0" applyProtection="0">
      <alignment vertical="center"/>
    </xf>
    <xf numFmtId="4" fontId="471" fillId="55" borderId="139" applyNumberFormat="0" applyProtection="0">
      <alignment vertical="center"/>
    </xf>
    <xf numFmtId="4" fontId="471" fillId="55" borderId="139" applyNumberFormat="0" applyProtection="0">
      <alignment vertical="center"/>
    </xf>
    <xf numFmtId="4" fontId="471" fillId="55" borderId="139" applyNumberFormat="0" applyProtection="0">
      <alignment vertical="center"/>
    </xf>
    <xf numFmtId="4" fontId="471" fillId="55" borderId="139" applyNumberFormat="0" applyProtection="0">
      <alignment vertical="center"/>
    </xf>
    <xf numFmtId="4" fontId="471" fillId="55" borderId="139" applyNumberFormat="0" applyProtection="0">
      <alignment vertical="center"/>
    </xf>
    <xf numFmtId="4" fontId="471" fillId="55" borderId="139" applyNumberFormat="0" applyProtection="0">
      <alignment vertical="center"/>
    </xf>
    <xf numFmtId="4" fontId="471" fillId="55" borderId="139" applyNumberFormat="0" applyProtection="0">
      <alignment vertical="center"/>
    </xf>
    <xf numFmtId="4" fontId="471" fillId="55" borderId="139" applyNumberFormat="0" applyProtection="0">
      <alignment vertical="center"/>
    </xf>
    <xf numFmtId="4" fontId="473" fillId="41" borderId="139" applyNumberFormat="0" applyProtection="0">
      <alignment vertical="center"/>
    </xf>
    <xf numFmtId="4" fontId="473" fillId="41" borderId="139" applyNumberFormat="0" applyProtection="0">
      <alignment vertical="center"/>
    </xf>
    <xf numFmtId="4" fontId="473" fillId="41" borderId="139" applyNumberFormat="0" applyProtection="0">
      <alignment vertical="center"/>
    </xf>
    <xf numFmtId="4" fontId="473" fillId="41" borderId="139" applyNumberFormat="0" applyProtection="0">
      <alignment vertical="center"/>
    </xf>
    <xf numFmtId="4" fontId="473" fillId="41" borderId="139" applyNumberFormat="0" applyProtection="0">
      <alignment vertical="center"/>
    </xf>
    <xf numFmtId="4" fontId="473" fillId="41" borderId="139" applyNumberFormat="0" applyProtection="0">
      <alignment vertical="center"/>
    </xf>
    <xf numFmtId="4" fontId="473" fillId="41" borderId="139" applyNumberFormat="0" applyProtection="0">
      <alignment vertical="center"/>
    </xf>
    <xf numFmtId="4" fontId="473" fillId="41" borderId="139" applyNumberFormat="0" applyProtection="0">
      <alignment vertical="center"/>
    </xf>
    <xf numFmtId="4" fontId="473" fillId="41" borderId="139" applyNumberFormat="0" applyProtection="0">
      <alignment vertical="center"/>
    </xf>
    <xf numFmtId="4" fontId="473" fillId="41" borderId="139" applyNumberFormat="0" applyProtection="0">
      <alignment vertical="center"/>
    </xf>
    <xf numFmtId="4" fontId="473" fillId="55" borderId="139" applyNumberFormat="0" applyProtection="0">
      <alignment vertical="center"/>
    </xf>
    <xf numFmtId="4" fontId="473" fillId="55" borderId="139" applyNumberFormat="0" applyProtection="0">
      <alignment vertical="center"/>
    </xf>
    <xf numFmtId="4" fontId="473" fillId="55" borderId="139" applyNumberFormat="0" applyProtection="0">
      <alignment vertical="center"/>
    </xf>
    <xf numFmtId="4" fontId="473" fillId="55" borderId="139" applyNumberFormat="0" applyProtection="0">
      <alignment vertical="center"/>
    </xf>
    <xf numFmtId="4" fontId="473" fillId="55" borderId="139" applyNumberFormat="0" applyProtection="0">
      <alignment vertical="center"/>
    </xf>
    <xf numFmtId="4" fontId="473" fillId="55" borderId="139" applyNumberFormat="0" applyProtection="0">
      <alignment vertical="center"/>
    </xf>
    <xf numFmtId="4" fontId="473" fillId="55" borderId="139" applyNumberFormat="0" applyProtection="0">
      <alignment vertical="center"/>
    </xf>
    <xf numFmtId="4" fontId="473" fillId="55" borderId="139" applyNumberFormat="0" applyProtection="0">
      <alignment vertical="center"/>
    </xf>
    <xf numFmtId="4" fontId="473" fillId="55" borderId="139" applyNumberFormat="0" applyProtection="0">
      <alignment vertical="center"/>
    </xf>
    <xf numFmtId="4" fontId="473" fillId="55" borderId="139" applyNumberFormat="0" applyProtection="0">
      <alignment vertical="center"/>
    </xf>
    <xf numFmtId="4" fontId="473" fillId="55" borderId="139" applyNumberFormat="0" applyProtection="0">
      <alignment vertical="center"/>
    </xf>
    <xf numFmtId="4" fontId="473" fillId="55" borderId="139" applyNumberFormat="0" applyProtection="0">
      <alignment vertical="center"/>
    </xf>
    <xf numFmtId="4" fontId="473" fillId="55" borderId="139" applyNumberFormat="0" applyProtection="0">
      <alignment vertical="center"/>
    </xf>
    <xf numFmtId="4" fontId="473" fillId="55" borderId="139" applyNumberFormat="0" applyProtection="0">
      <alignment vertical="center"/>
    </xf>
    <xf numFmtId="4" fontId="473" fillId="55" borderId="139" applyNumberFormat="0" applyProtection="0">
      <alignment vertical="center"/>
    </xf>
    <xf numFmtId="4" fontId="473" fillId="55" borderId="139" applyNumberFormat="0" applyProtection="0">
      <alignment vertical="center"/>
    </xf>
    <xf numFmtId="4" fontId="473" fillId="55" borderId="139" applyNumberFormat="0" applyProtection="0">
      <alignment vertical="center"/>
    </xf>
    <xf numFmtId="4" fontId="473" fillId="55" borderId="139" applyNumberFormat="0" applyProtection="0">
      <alignment vertical="center"/>
    </xf>
    <xf numFmtId="4" fontId="473" fillId="55" borderId="139" applyNumberFormat="0" applyProtection="0">
      <alignment vertical="center"/>
    </xf>
    <xf numFmtId="4" fontId="473" fillId="55" borderId="139" applyNumberFormat="0" applyProtection="0">
      <alignment vertical="center"/>
    </xf>
    <xf numFmtId="4" fontId="473" fillId="55" borderId="139" applyNumberFormat="0" applyProtection="0">
      <alignment vertical="center"/>
    </xf>
    <xf numFmtId="4" fontId="473" fillId="55" borderId="139" applyNumberFormat="0" applyProtection="0">
      <alignment vertical="center"/>
    </xf>
    <xf numFmtId="4" fontId="473" fillId="55" borderId="139" applyNumberFormat="0" applyProtection="0">
      <alignment vertical="center"/>
    </xf>
    <xf numFmtId="4" fontId="473" fillId="55" borderId="139" applyNumberFormat="0" applyProtection="0">
      <alignment vertical="center"/>
    </xf>
    <xf numFmtId="4" fontId="473" fillId="55" borderId="139" applyNumberFormat="0" applyProtection="0">
      <alignment vertical="center"/>
    </xf>
    <xf numFmtId="4" fontId="473" fillId="55" borderId="139" applyNumberFormat="0" applyProtection="0">
      <alignment vertical="center"/>
    </xf>
    <xf numFmtId="4" fontId="473" fillId="55" borderId="139" applyNumberFormat="0" applyProtection="0">
      <alignment vertical="center"/>
    </xf>
    <xf numFmtId="4" fontId="473" fillId="55" borderId="139" applyNumberFormat="0" applyProtection="0">
      <alignment vertical="center"/>
    </xf>
    <xf numFmtId="4" fontId="473" fillId="55" borderId="139" applyNumberFormat="0" applyProtection="0">
      <alignment vertical="center"/>
    </xf>
    <xf numFmtId="4" fontId="473" fillId="55" borderId="139" applyNumberFormat="0" applyProtection="0">
      <alignment vertical="center"/>
    </xf>
    <xf numFmtId="4" fontId="473" fillId="55" borderId="139" applyNumberFormat="0" applyProtection="0">
      <alignment vertical="center"/>
    </xf>
    <xf numFmtId="4" fontId="473" fillId="55" borderId="139" applyNumberFormat="0" applyProtection="0">
      <alignment vertical="center"/>
    </xf>
    <xf numFmtId="4" fontId="473" fillId="55" borderId="139" applyNumberFormat="0" applyProtection="0">
      <alignment vertical="center"/>
    </xf>
    <xf numFmtId="4" fontId="473" fillId="55" borderId="139" applyNumberFormat="0" applyProtection="0">
      <alignment vertical="center"/>
    </xf>
    <xf numFmtId="4" fontId="473" fillId="55" borderId="139" applyNumberFormat="0" applyProtection="0">
      <alignment vertical="center"/>
    </xf>
    <xf numFmtId="4" fontId="473" fillId="55" borderId="139" applyNumberFormat="0" applyProtection="0">
      <alignment vertical="center"/>
    </xf>
    <xf numFmtId="4" fontId="473" fillId="55" borderId="139" applyNumberFormat="0" applyProtection="0">
      <alignment vertical="center"/>
    </xf>
    <xf numFmtId="4" fontId="473" fillId="55" borderId="139" applyNumberFormat="0" applyProtection="0">
      <alignment vertical="center"/>
    </xf>
    <xf numFmtId="4" fontId="473" fillId="55" borderId="139" applyNumberFormat="0" applyProtection="0">
      <alignment vertical="center"/>
    </xf>
    <xf numFmtId="4" fontId="473" fillId="55" borderId="139" applyNumberFormat="0" applyProtection="0">
      <alignment vertical="center"/>
    </xf>
    <xf numFmtId="4" fontId="473" fillId="55" borderId="139" applyNumberFormat="0" applyProtection="0">
      <alignment vertical="center"/>
    </xf>
    <xf numFmtId="4" fontId="473" fillId="55" borderId="139" applyNumberFormat="0" applyProtection="0">
      <alignment vertical="center"/>
    </xf>
    <xf numFmtId="4" fontId="473" fillId="55" borderId="139" applyNumberFormat="0" applyProtection="0">
      <alignment vertical="center"/>
    </xf>
    <xf numFmtId="4" fontId="473" fillId="55" borderId="139" applyNumberFormat="0" applyProtection="0">
      <alignment vertical="center"/>
    </xf>
    <xf numFmtId="4" fontId="473" fillId="55" borderId="139" applyNumberFormat="0" applyProtection="0">
      <alignment vertical="center"/>
    </xf>
    <xf numFmtId="4" fontId="473" fillId="55" borderId="139" applyNumberFormat="0" applyProtection="0">
      <alignment vertical="center"/>
    </xf>
    <xf numFmtId="4" fontId="473" fillId="55" borderId="139" applyNumberFormat="0" applyProtection="0">
      <alignment vertical="center"/>
    </xf>
    <xf numFmtId="4" fontId="473" fillId="55" borderId="139" applyNumberFormat="0" applyProtection="0">
      <alignment vertical="center"/>
    </xf>
    <xf numFmtId="4" fontId="473" fillId="55" borderId="139" applyNumberFormat="0" applyProtection="0">
      <alignment vertical="center"/>
    </xf>
    <xf numFmtId="4" fontId="473" fillId="55" borderId="139" applyNumberFormat="0" applyProtection="0">
      <alignment vertical="center"/>
    </xf>
    <xf numFmtId="4" fontId="473" fillId="55" borderId="139" applyNumberFormat="0" applyProtection="0">
      <alignment vertical="center"/>
    </xf>
    <xf numFmtId="4" fontId="473" fillId="55" borderId="139" applyNumberFormat="0" applyProtection="0">
      <alignment vertical="center"/>
    </xf>
    <xf numFmtId="4" fontId="473" fillId="55" borderId="139" applyNumberFormat="0" applyProtection="0">
      <alignment vertical="center"/>
    </xf>
    <xf numFmtId="4" fontId="473" fillId="55" borderId="139" applyNumberFormat="0" applyProtection="0">
      <alignment vertical="center"/>
    </xf>
    <xf numFmtId="4" fontId="473" fillId="55" borderId="139" applyNumberFormat="0" applyProtection="0">
      <alignment vertical="center"/>
    </xf>
    <xf numFmtId="4" fontId="473" fillId="55" borderId="139" applyNumberFormat="0" applyProtection="0">
      <alignment vertical="center"/>
    </xf>
    <xf numFmtId="4" fontId="473" fillId="55" borderId="139" applyNumberFormat="0" applyProtection="0">
      <alignment vertical="center"/>
    </xf>
    <xf numFmtId="4" fontId="473" fillId="55" borderId="139" applyNumberFormat="0" applyProtection="0">
      <alignment vertical="center"/>
    </xf>
    <xf numFmtId="4" fontId="473" fillId="55" borderId="139" applyNumberFormat="0" applyProtection="0">
      <alignment vertical="center"/>
    </xf>
    <xf numFmtId="4" fontId="473" fillId="55" borderId="139" applyNumberFormat="0" applyProtection="0">
      <alignment vertical="center"/>
    </xf>
    <xf numFmtId="4" fontId="473" fillId="55" borderId="139" applyNumberFormat="0" applyProtection="0">
      <alignment vertical="center"/>
    </xf>
    <xf numFmtId="4" fontId="473" fillId="55" borderId="139" applyNumberFormat="0" applyProtection="0">
      <alignment vertical="center"/>
    </xf>
    <xf numFmtId="4" fontId="473" fillId="41" borderId="139" applyNumberFormat="0" applyProtection="0">
      <alignment vertical="center"/>
    </xf>
    <xf numFmtId="4" fontId="473" fillId="41" borderId="139" applyNumberFormat="0" applyProtection="0">
      <alignment vertical="center"/>
    </xf>
    <xf numFmtId="4" fontId="473" fillId="41" borderId="139" applyNumberFormat="0" applyProtection="0">
      <alignment vertical="center"/>
    </xf>
    <xf numFmtId="4" fontId="473" fillId="41" borderId="139" applyNumberFormat="0" applyProtection="0">
      <alignment vertical="center"/>
    </xf>
    <xf numFmtId="4" fontId="473" fillId="41" borderId="139" applyNumberFormat="0" applyProtection="0">
      <alignment vertical="center"/>
    </xf>
    <xf numFmtId="4" fontId="473" fillId="41" borderId="139" applyNumberFormat="0" applyProtection="0">
      <alignment vertical="center"/>
    </xf>
    <xf numFmtId="4" fontId="473" fillId="41" borderId="139" applyNumberFormat="0" applyProtection="0">
      <alignment vertical="center"/>
    </xf>
    <xf numFmtId="4" fontId="473" fillId="41" borderId="139" applyNumberFormat="0" applyProtection="0">
      <alignment vertical="center"/>
    </xf>
    <xf numFmtId="4" fontId="473" fillId="41" borderId="139" applyNumberFormat="0" applyProtection="0">
      <alignment vertical="center"/>
    </xf>
    <xf numFmtId="4" fontId="473" fillId="41" borderId="139" applyNumberFormat="0" applyProtection="0">
      <alignment vertical="center"/>
    </xf>
    <xf numFmtId="4" fontId="473" fillId="41" borderId="139" applyNumberFormat="0" applyProtection="0">
      <alignment vertical="center"/>
    </xf>
    <xf numFmtId="4" fontId="473" fillId="41" borderId="139" applyNumberFormat="0" applyProtection="0">
      <alignment vertical="center"/>
    </xf>
    <xf numFmtId="4" fontId="473" fillId="41" borderId="139" applyNumberFormat="0" applyProtection="0">
      <alignment vertical="center"/>
    </xf>
    <xf numFmtId="4" fontId="473" fillId="41" borderId="139" applyNumberFormat="0" applyProtection="0">
      <alignment vertical="center"/>
    </xf>
    <xf numFmtId="4" fontId="473" fillId="41" borderId="139" applyNumberFormat="0" applyProtection="0">
      <alignment vertical="center"/>
    </xf>
    <xf numFmtId="4" fontId="473" fillId="41" borderId="139" applyNumberFormat="0" applyProtection="0">
      <alignment vertical="center"/>
    </xf>
    <xf numFmtId="4" fontId="473" fillId="41" borderId="139" applyNumberFormat="0" applyProtection="0">
      <alignment vertical="center"/>
    </xf>
    <xf numFmtId="4" fontId="473" fillId="41" borderId="139" applyNumberFormat="0" applyProtection="0">
      <alignment vertical="center"/>
    </xf>
    <xf numFmtId="4" fontId="473" fillId="41" borderId="139" applyNumberFormat="0" applyProtection="0">
      <alignment vertical="center"/>
    </xf>
    <xf numFmtId="4" fontId="473" fillId="41" borderId="139" applyNumberFormat="0" applyProtection="0">
      <alignment vertical="center"/>
    </xf>
    <xf numFmtId="4" fontId="473" fillId="41" borderId="139" applyNumberFormat="0" applyProtection="0">
      <alignment vertical="center"/>
    </xf>
    <xf numFmtId="4" fontId="473" fillId="41" borderId="139" applyNumberFormat="0" applyProtection="0">
      <alignment vertical="center"/>
    </xf>
    <xf numFmtId="4" fontId="473" fillId="41" borderId="139" applyNumberFormat="0" applyProtection="0">
      <alignment vertical="center"/>
    </xf>
    <xf numFmtId="4" fontId="473" fillId="41" borderId="139" applyNumberFormat="0" applyProtection="0">
      <alignment vertical="center"/>
    </xf>
    <xf numFmtId="4" fontId="473" fillId="41" borderId="139" applyNumberFormat="0" applyProtection="0">
      <alignment vertical="center"/>
    </xf>
    <xf numFmtId="4" fontId="473" fillId="41" borderId="139" applyNumberFormat="0" applyProtection="0">
      <alignment vertical="center"/>
    </xf>
    <xf numFmtId="4" fontId="473" fillId="41" borderId="139" applyNumberFormat="0" applyProtection="0">
      <alignment vertical="center"/>
    </xf>
    <xf numFmtId="4" fontId="473" fillId="41" borderId="139" applyNumberFormat="0" applyProtection="0">
      <alignment vertical="center"/>
    </xf>
    <xf numFmtId="4" fontId="473" fillId="41" borderId="139" applyNumberFormat="0" applyProtection="0">
      <alignment vertical="center"/>
    </xf>
    <xf numFmtId="4" fontId="473" fillId="41" borderId="139" applyNumberFormat="0" applyProtection="0">
      <alignment vertical="center"/>
    </xf>
    <xf numFmtId="4" fontId="473" fillId="41" borderId="139" applyNumberFormat="0" applyProtection="0">
      <alignment vertical="center"/>
    </xf>
    <xf numFmtId="4" fontId="473" fillId="41" borderId="139" applyNumberFormat="0" applyProtection="0">
      <alignment vertical="center"/>
    </xf>
    <xf numFmtId="4" fontId="473" fillId="41" borderId="139" applyNumberFormat="0" applyProtection="0">
      <alignment vertical="center"/>
    </xf>
    <xf numFmtId="4" fontId="473" fillId="41" borderId="139" applyNumberFormat="0" applyProtection="0">
      <alignment vertical="center"/>
    </xf>
    <xf numFmtId="4" fontId="473" fillId="41" borderId="139" applyNumberFormat="0" applyProtection="0">
      <alignment vertical="center"/>
    </xf>
    <xf numFmtId="4" fontId="471" fillId="41" borderId="139" applyNumberFormat="0" applyProtection="0">
      <alignment horizontal="left" vertical="center" indent="1"/>
    </xf>
    <xf numFmtId="4" fontId="471" fillId="41" borderId="139" applyNumberFormat="0" applyProtection="0">
      <alignment horizontal="left" vertical="center" indent="1"/>
    </xf>
    <xf numFmtId="4" fontId="471" fillId="41" borderId="139" applyNumberFormat="0" applyProtection="0">
      <alignment horizontal="left" vertical="center" indent="1"/>
    </xf>
    <xf numFmtId="4" fontId="471" fillId="41" borderId="139" applyNumberFormat="0" applyProtection="0">
      <alignment horizontal="left" vertical="center" indent="1"/>
    </xf>
    <xf numFmtId="4" fontId="471" fillId="41" borderId="139" applyNumberFormat="0" applyProtection="0">
      <alignment horizontal="left" vertical="center" indent="1"/>
    </xf>
    <xf numFmtId="4" fontId="471" fillId="41" borderId="139" applyNumberFormat="0" applyProtection="0">
      <alignment horizontal="left" vertical="center" indent="1"/>
    </xf>
    <xf numFmtId="4" fontId="471" fillId="41" borderId="139" applyNumberFormat="0" applyProtection="0">
      <alignment horizontal="left" vertical="center" indent="1"/>
    </xf>
    <xf numFmtId="4" fontId="471" fillId="41" borderId="139" applyNumberFormat="0" applyProtection="0">
      <alignment horizontal="left" vertical="center" indent="1"/>
    </xf>
    <xf numFmtId="4" fontId="471" fillId="41" borderId="139" applyNumberFormat="0" applyProtection="0">
      <alignment horizontal="left" vertical="center" indent="1"/>
    </xf>
    <xf numFmtId="4" fontId="471" fillId="41" borderId="139" applyNumberFormat="0" applyProtection="0">
      <alignment horizontal="left" vertical="center" indent="1"/>
    </xf>
    <xf numFmtId="4" fontId="471" fillId="55" borderId="139" applyNumberFormat="0" applyProtection="0">
      <alignment horizontal="left" vertical="center" indent="1"/>
    </xf>
    <xf numFmtId="4" fontId="471" fillId="55" borderId="139" applyNumberFormat="0" applyProtection="0">
      <alignment horizontal="left" vertical="center" indent="1"/>
    </xf>
    <xf numFmtId="4" fontId="471" fillId="55" borderId="139" applyNumberFormat="0" applyProtection="0">
      <alignment horizontal="left" vertical="center" indent="1"/>
    </xf>
    <xf numFmtId="4" fontId="471" fillId="55" borderId="139" applyNumberFormat="0" applyProtection="0">
      <alignment horizontal="left" vertical="center" indent="1"/>
    </xf>
    <xf numFmtId="4" fontId="471" fillId="55" borderId="139" applyNumberFormat="0" applyProtection="0">
      <alignment horizontal="left" vertical="center" indent="1"/>
    </xf>
    <xf numFmtId="4" fontId="471" fillId="55" borderId="139" applyNumberFormat="0" applyProtection="0">
      <alignment horizontal="left" vertical="center" indent="1"/>
    </xf>
    <xf numFmtId="4" fontId="471" fillId="55" borderId="139" applyNumberFormat="0" applyProtection="0">
      <alignment horizontal="left" vertical="center" indent="1"/>
    </xf>
    <xf numFmtId="4" fontId="471" fillId="55" borderId="139" applyNumberFormat="0" applyProtection="0">
      <alignment horizontal="left" vertical="center" indent="1"/>
    </xf>
    <xf numFmtId="4" fontId="471" fillId="55" borderId="139" applyNumberFormat="0" applyProtection="0">
      <alignment horizontal="left" vertical="center" indent="1"/>
    </xf>
    <xf numFmtId="4" fontId="471" fillId="55" borderId="139" applyNumberFormat="0" applyProtection="0">
      <alignment horizontal="left" vertical="center" indent="1"/>
    </xf>
    <xf numFmtId="4" fontId="471" fillId="55" borderId="139" applyNumberFormat="0" applyProtection="0">
      <alignment horizontal="left" vertical="center" indent="1"/>
    </xf>
    <xf numFmtId="4" fontId="471" fillId="55" borderId="139" applyNumberFormat="0" applyProtection="0">
      <alignment horizontal="left" vertical="center" indent="1"/>
    </xf>
    <xf numFmtId="4" fontId="471" fillId="55" borderId="139" applyNumberFormat="0" applyProtection="0">
      <alignment horizontal="left" vertical="center" indent="1"/>
    </xf>
    <xf numFmtId="4" fontId="471" fillId="55" borderId="139" applyNumberFormat="0" applyProtection="0">
      <alignment horizontal="left" vertical="center" indent="1"/>
    </xf>
    <xf numFmtId="4" fontId="471" fillId="55" borderId="139" applyNumberFormat="0" applyProtection="0">
      <alignment horizontal="left" vertical="center" indent="1"/>
    </xf>
    <xf numFmtId="4" fontId="471" fillId="55" borderId="139" applyNumberFormat="0" applyProtection="0">
      <alignment horizontal="left" vertical="center" indent="1"/>
    </xf>
    <xf numFmtId="4" fontId="471" fillId="55" borderId="139" applyNumberFormat="0" applyProtection="0">
      <alignment horizontal="left" vertical="center" indent="1"/>
    </xf>
    <xf numFmtId="4" fontId="471" fillId="55" borderId="139" applyNumberFormat="0" applyProtection="0">
      <alignment horizontal="left" vertical="center" indent="1"/>
    </xf>
    <xf numFmtId="4" fontId="471" fillId="55" borderId="139" applyNumberFormat="0" applyProtection="0">
      <alignment horizontal="left" vertical="center" indent="1"/>
    </xf>
    <xf numFmtId="4" fontId="471" fillId="55" borderId="139" applyNumberFormat="0" applyProtection="0">
      <alignment horizontal="left" vertical="center" indent="1"/>
    </xf>
    <xf numFmtId="4" fontId="471" fillId="55" borderId="139" applyNumberFormat="0" applyProtection="0">
      <alignment horizontal="left" vertical="center" indent="1"/>
    </xf>
    <xf numFmtId="4" fontId="471" fillId="55" borderId="139" applyNumberFormat="0" applyProtection="0">
      <alignment horizontal="left" vertical="center" indent="1"/>
    </xf>
    <xf numFmtId="4" fontId="471" fillId="55" borderId="139" applyNumberFormat="0" applyProtection="0">
      <alignment horizontal="left" vertical="center" indent="1"/>
    </xf>
    <xf numFmtId="4" fontId="471" fillId="55" borderId="139" applyNumberFormat="0" applyProtection="0">
      <alignment horizontal="left" vertical="center" indent="1"/>
    </xf>
    <xf numFmtId="4" fontId="471" fillId="55" borderId="139" applyNumberFormat="0" applyProtection="0">
      <alignment horizontal="left" vertical="center" indent="1"/>
    </xf>
    <xf numFmtId="4" fontId="471" fillId="55" borderId="139" applyNumberFormat="0" applyProtection="0">
      <alignment horizontal="left" vertical="center" indent="1"/>
    </xf>
    <xf numFmtId="4" fontId="471" fillId="55" borderId="139" applyNumberFormat="0" applyProtection="0">
      <alignment horizontal="left" vertical="center" indent="1"/>
    </xf>
    <xf numFmtId="4" fontId="471" fillId="55" borderId="139" applyNumberFormat="0" applyProtection="0">
      <alignment horizontal="left" vertical="center" indent="1"/>
    </xf>
    <xf numFmtId="4" fontId="471" fillId="55" borderId="139" applyNumberFormat="0" applyProtection="0">
      <alignment horizontal="left" vertical="center" indent="1"/>
    </xf>
    <xf numFmtId="4" fontId="471" fillId="55" borderId="139" applyNumberFormat="0" applyProtection="0">
      <alignment horizontal="left" vertical="center" indent="1"/>
    </xf>
    <xf numFmtId="4" fontId="471" fillId="55" borderId="139" applyNumberFormat="0" applyProtection="0">
      <alignment horizontal="left" vertical="center" indent="1"/>
    </xf>
    <xf numFmtId="4" fontId="471" fillId="55" borderId="139" applyNumberFormat="0" applyProtection="0">
      <alignment horizontal="left" vertical="center" indent="1"/>
    </xf>
    <xf numFmtId="4" fontId="471" fillId="55" borderId="139" applyNumberFormat="0" applyProtection="0">
      <alignment horizontal="left" vertical="center" indent="1"/>
    </xf>
    <xf numFmtId="4" fontId="471" fillId="55" borderId="139" applyNumberFormat="0" applyProtection="0">
      <alignment horizontal="left" vertical="center" indent="1"/>
    </xf>
    <xf numFmtId="4" fontId="471" fillId="55" borderId="139" applyNumberFormat="0" applyProtection="0">
      <alignment horizontal="left" vertical="center" indent="1"/>
    </xf>
    <xf numFmtId="4" fontId="471" fillId="55" borderId="139" applyNumberFormat="0" applyProtection="0">
      <alignment horizontal="left" vertical="center" indent="1"/>
    </xf>
    <xf numFmtId="4" fontId="471" fillId="55" borderId="139" applyNumberFormat="0" applyProtection="0">
      <alignment horizontal="left" vertical="center" indent="1"/>
    </xf>
    <xf numFmtId="4" fontId="471" fillId="55" borderId="139" applyNumberFormat="0" applyProtection="0">
      <alignment horizontal="left" vertical="center" indent="1"/>
    </xf>
    <xf numFmtId="4" fontId="471" fillId="55" borderId="139" applyNumberFormat="0" applyProtection="0">
      <alignment horizontal="left" vertical="center" indent="1"/>
    </xf>
    <xf numFmtId="4" fontId="471" fillId="55" borderId="139" applyNumberFormat="0" applyProtection="0">
      <alignment horizontal="left" vertical="center" indent="1"/>
    </xf>
    <xf numFmtId="4" fontId="471" fillId="55" borderId="139" applyNumberFormat="0" applyProtection="0">
      <alignment horizontal="left" vertical="center" indent="1"/>
    </xf>
    <xf numFmtId="4" fontId="471" fillId="55" borderId="139" applyNumberFormat="0" applyProtection="0">
      <alignment horizontal="left" vertical="center" indent="1"/>
    </xf>
    <xf numFmtId="4" fontId="471" fillId="55" borderId="139" applyNumberFormat="0" applyProtection="0">
      <alignment horizontal="left" vertical="center" indent="1"/>
    </xf>
    <xf numFmtId="4" fontId="471" fillId="55" borderId="139" applyNumberFormat="0" applyProtection="0">
      <alignment horizontal="left" vertical="center" indent="1"/>
    </xf>
    <xf numFmtId="4" fontId="471" fillId="55" borderId="139" applyNumberFormat="0" applyProtection="0">
      <alignment horizontal="left" vertical="center" indent="1"/>
    </xf>
    <xf numFmtId="4" fontId="471" fillId="55" borderId="139" applyNumberFormat="0" applyProtection="0">
      <alignment horizontal="left" vertical="center" indent="1"/>
    </xf>
    <xf numFmtId="4" fontId="471" fillId="55" borderId="139" applyNumberFormat="0" applyProtection="0">
      <alignment horizontal="left" vertical="center" indent="1"/>
    </xf>
    <xf numFmtId="4" fontId="471" fillId="55" borderId="139" applyNumberFormat="0" applyProtection="0">
      <alignment horizontal="left" vertical="center" indent="1"/>
    </xf>
    <xf numFmtId="4" fontId="471" fillId="55" borderId="139" applyNumberFormat="0" applyProtection="0">
      <alignment horizontal="left" vertical="center" indent="1"/>
    </xf>
    <xf numFmtId="4" fontId="471" fillId="55" borderId="139" applyNumberFormat="0" applyProtection="0">
      <alignment horizontal="left" vertical="center" indent="1"/>
    </xf>
    <xf numFmtId="4" fontId="471" fillId="55" borderId="139" applyNumberFormat="0" applyProtection="0">
      <alignment horizontal="left" vertical="center" indent="1"/>
    </xf>
    <xf numFmtId="4" fontId="471" fillId="55" borderId="139" applyNumberFormat="0" applyProtection="0">
      <alignment horizontal="left" vertical="center" indent="1"/>
    </xf>
    <xf numFmtId="4" fontId="471" fillId="55" borderId="139" applyNumberFormat="0" applyProtection="0">
      <alignment horizontal="left" vertical="center" indent="1"/>
    </xf>
    <xf numFmtId="4" fontId="471" fillId="55" borderId="139" applyNumberFormat="0" applyProtection="0">
      <alignment horizontal="left" vertical="center" indent="1"/>
    </xf>
    <xf numFmtId="4" fontId="471" fillId="55" borderId="139" applyNumberFormat="0" applyProtection="0">
      <alignment horizontal="left" vertical="center" indent="1"/>
    </xf>
    <xf numFmtId="4" fontId="471" fillId="55" borderId="139" applyNumberFormat="0" applyProtection="0">
      <alignment horizontal="left" vertical="center" indent="1"/>
    </xf>
    <xf numFmtId="4" fontId="471" fillId="55" borderId="139" applyNumberFormat="0" applyProtection="0">
      <alignment horizontal="left" vertical="center" indent="1"/>
    </xf>
    <xf numFmtId="4" fontId="471" fillId="55" borderId="139" applyNumberFormat="0" applyProtection="0">
      <alignment horizontal="left" vertical="center" indent="1"/>
    </xf>
    <xf numFmtId="4" fontId="471" fillId="55" borderId="139" applyNumberFormat="0" applyProtection="0">
      <alignment horizontal="left" vertical="center" indent="1"/>
    </xf>
    <xf numFmtId="4" fontId="471" fillId="55" borderId="139" applyNumberFormat="0" applyProtection="0">
      <alignment horizontal="left" vertical="center" indent="1"/>
    </xf>
    <xf numFmtId="4" fontId="471" fillId="55" borderId="139" applyNumberFormat="0" applyProtection="0">
      <alignment horizontal="left" vertical="center" indent="1"/>
    </xf>
    <xf numFmtId="4" fontId="471" fillId="55" borderId="139" applyNumberFormat="0" applyProtection="0">
      <alignment horizontal="left" vertical="center" indent="1"/>
    </xf>
    <xf numFmtId="4" fontId="471" fillId="41" borderId="139" applyNumberFormat="0" applyProtection="0">
      <alignment horizontal="left" vertical="center" indent="1"/>
    </xf>
    <xf numFmtId="4" fontId="471" fillId="41" borderId="139" applyNumberFormat="0" applyProtection="0">
      <alignment horizontal="left" vertical="center" indent="1"/>
    </xf>
    <xf numFmtId="4" fontId="471" fillId="41" borderId="139" applyNumberFormat="0" applyProtection="0">
      <alignment horizontal="left" vertical="center" indent="1"/>
    </xf>
    <xf numFmtId="4" fontId="471" fillId="41" borderId="139" applyNumberFormat="0" applyProtection="0">
      <alignment horizontal="left" vertical="center" indent="1"/>
    </xf>
    <xf numFmtId="4" fontId="471" fillId="41" borderId="139" applyNumberFormat="0" applyProtection="0">
      <alignment horizontal="left" vertical="center" indent="1"/>
    </xf>
    <xf numFmtId="4" fontId="471" fillId="41" borderId="139" applyNumberFormat="0" applyProtection="0">
      <alignment horizontal="left" vertical="center" indent="1"/>
    </xf>
    <xf numFmtId="4" fontId="471" fillId="41" borderId="139" applyNumberFormat="0" applyProtection="0">
      <alignment horizontal="left" vertical="center" indent="1"/>
    </xf>
    <xf numFmtId="4" fontId="471" fillId="41" borderId="139" applyNumberFormat="0" applyProtection="0">
      <alignment horizontal="left" vertical="center" indent="1"/>
    </xf>
    <xf numFmtId="4" fontId="471" fillId="41" borderId="139" applyNumberFormat="0" applyProtection="0">
      <alignment horizontal="left" vertical="center" indent="1"/>
    </xf>
    <xf numFmtId="4" fontId="471" fillId="41" borderId="139" applyNumberFormat="0" applyProtection="0">
      <alignment horizontal="left" vertical="center" indent="1"/>
    </xf>
    <xf numFmtId="4" fontId="471" fillId="41" borderId="139" applyNumberFormat="0" applyProtection="0">
      <alignment horizontal="left" vertical="center" indent="1"/>
    </xf>
    <xf numFmtId="4" fontId="471" fillId="41" borderId="139" applyNumberFormat="0" applyProtection="0">
      <alignment horizontal="left" vertical="center" indent="1"/>
    </xf>
    <xf numFmtId="4" fontId="471" fillId="41" borderId="139" applyNumberFormat="0" applyProtection="0">
      <alignment horizontal="left" vertical="center" indent="1"/>
    </xf>
    <xf numFmtId="4" fontId="471" fillId="41" borderId="139" applyNumberFormat="0" applyProtection="0">
      <alignment horizontal="left" vertical="center" indent="1"/>
    </xf>
    <xf numFmtId="4" fontId="471" fillId="41" borderId="139" applyNumberFormat="0" applyProtection="0">
      <alignment horizontal="left" vertical="center" indent="1"/>
    </xf>
    <xf numFmtId="4" fontId="471" fillId="41" borderId="139" applyNumberFormat="0" applyProtection="0">
      <alignment horizontal="left" vertical="center" indent="1"/>
    </xf>
    <xf numFmtId="4" fontId="471" fillId="41" borderId="139" applyNumberFormat="0" applyProtection="0">
      <alignment horizontal="left" vertical="center" indent="1"/>
    </xf>
    <xf numFmtId="4" fontId="471" fillId="41" borderId="139" applyNumberFormat="0" applyProtection="0">
      <alignment horizontal="left" vertical="center" indent="1"/>
    </xf>
    <xf numFmtId="4" fontId="471" fillId="41" borderId="139" applyNumberFormat="0" applyProtection="0">
      <alignment horizontal="left" vertical="center" indent="1"/>
    </xf>
    <xf numFmtId="4" fontId="471" fillId="41" borderId="139" applyNumberFormat="0" applyProtection="0">
      <alignment horizontal="left" vertical="center" indent="1"/>
    </xf>
    <xf numFmtId="4" fontId="471" fillId="41" borderId="139" applyNumberFormat="0" applyProtection="0">
      <alignment horizontal="left" vertical="center" indent="1"/>
    </xf>
    <xf numFmtId="4" fontId="471" fillId="41" borderId="139" applyNumberFormat="0" applyProtection="0">
      <alignment horizontal="left" vertical="center" indent="1"/>
    </xf>
    <xf numFmtId="4" fontId="471" fillId="41" borderId="139" applyNumberFormat="0" applyProtection="0">
      <alignment horizontal="left" vertical="center" indent="1"/>
    </xf>
    <xf numFmtId="4" fontId="471" fillId="41" borderId="139" applyNumberFormat="0" applyProtection="0">
      <alignment horizontal="left" vertical="center" indent="1"/>
    </xf>
    <xf numFmtId="4" fontId="471" fillId="41" borderId="139" applyNumberFormat="0" applyProtection="0">
      <alignment horizontal="left" vertical="center" indent="1"/>
    </xf>
    <xf numFmtId="4" fontId="471" fillId="41" borderId="139" applyNumberFormat="0" applyProtection="0">
      <alignment horizontal="left" vertical="center" indent="1"/>
    </xf>
    <xf numFmtId="4" fontId="471" fillId="41" borderId="139" applyNumberFormat="0" applyProtection="0">
      <alignment horizontal="left" vertical="center" indent="1"/>
    </xf>
    <xf numFmtId="4" fontId="471" fillId="41" borderId="139" applyNumberFormat="0" applyProtection="0">
      <alignment horizontal="left" vertical="center" indent="1"/>
    </xf>
    <xf numFmtId="4" fontId="471" fillId="41" borderId="139" applyNumberFormat="0" applyProtection="0">
      <alignment horizontal="left" vertical="center" indent="1"/>
    </xf>
    <xf numFmtId="4" fontId="471" fillId="41" borderId="139" applyNumberFormat="0" applyProtection="0">
      <alignment horizontal="left" vertical="center" indent="1"/>
    </xf>
    <xf numFmtId="4" fontId="471" fillId="41" borderId="139" applyNumberFormat="0" applyProtection="0">
      <alignment horizontal="left" vertical="center" indent="1"/>
    </xf>
    <xf numFmtId="4" fontId="471" fillId="41" borderId="139" applyNumberFormat="0" applyProtection="0">
      <alignment horizontal="left" vertical="center" indent="1"/>
    </xf>
    <xf numFmtId="4" fontId="471" fillId="41" borderId="139" applyNumberFormat="0" applyProtection="0">
      <alignment horizontal="left" vertical="center" indent="1"/>
    </xf>
    <xf numFmtId="4" fontId="471" fillId="41" borderId="139" applyNumberFormat="0" applyProtection="0">
      <alignment horizontal="left" vertical="center" indent="1"/>
    </xf>
    <xf numFmtId="4" fontId="471" fillId="41" borderId="139" applyNumberFormat="0" applyProtection="0">
      <alignment horizontal="left" vertical="center" indent="1"/>
    </xf>
    <xf numFmtId="0" fontId="471" fillId="55" borderId="139" applyNumberFormat="0" applyProtection="0">
      <alignment horizontal="left" vertical="top" indent="1"/>
    </xf>
    <xf numFmtId="0" fontId="471" fillId="41" borderId="139" applyNumberFormat="0" applyProtection="0">
      <alignment horizontal="left" vertical="top" indent="1"/>
    </xf>
    <xf numFmtId="0" fontId="471" fillId="41" borderId="139" applyNumberFormat="0" applyProtection="0">
      <alignment horizontal="left" vertical="top" indent="1"/>
    </xf>
    <xf numFmtId="0" fontId="471" fillId="41" borderId="139" applyNumberFormat="0" applyProtection="0">
      <alignment horizontal="left" vertical="top" indent="1"/>
    </xf>
    <xf numFmtId="0" fontId="471" fillId="41" borderId="139" applyNumberFormat="0" applyProtection="0">
      <alignment horizontal="left" vertical="top" indent="1"/>
    </xf>
    <xf numFmtId="0" fontId="471" fillId="41" borderId="139" applyNumberFormat="0" applyProtection="0">
      <alignment horizontal="left" vertical="top" indent="1"/>
    </xf>
    <xf numFmtId="0" fontId="471" fillId="41" borderId="139" applyNumberFormat="0" applyProtection="0">
      <alignment horizontal="left" vertical="top" indent="1"/>
    </xf>
    <xf numFmtId="0" fontId="471" fillId="41" borderId="139" applyNumberFormat="0" applyProtection="0">
      <alignment horizontal="left" vertical="top" indent="1"/>
    </xf>
    <xf numFmtId="0" fontId="471" fillId="41" borderId="139" applyNumberFormat="0" applyProtection="0">
      <alignment horizontal="left" vertical="top" indent="1"/>
    </xf>
    <xf numFmtId="0" fontId="471" fillId="41" borderId="139" applyNumberFormat="0" applyProtection="0">
      <alignment horizontal="left" vertical="top" indent="1"/>
    </xf>
    <xf numFmtId="0" fontId="471" fillId="41" borderId="139" applyNumberFormat="0" applyProtection="0">
      <alignment horizontal="left" vertical="top" indent="1"/>
    </xf>
    <xf numFmtId="0" fontId="471" fillId="55" borderId="139" applyNumberFormat="0" applyProtection="0">
      <alignment horizontal="left" vertical="top" indent="1"/>
    </xf>
    <xf numFmtId="0" fontId="471" fillId="55" borderId="139" applyNumberFormat="0" applyProtection="0">
      <alignment horizontal="left" vertical="top" indent="1"/>
    </xf>
    <xf numFmtId="0" fontId="471" fillId="55" borderId="139" applyNumberFormat="0" applyProtection="0">
      <alignment horizontal="left" vertical="top" indent="1"/>
    </xf>
    <xf numFmtId="0" fontId="471" fillId="55" borderId="139" applyNumberFormat="0" applyProtection="0">
      <alignment horizontal="left" vertical="top" indent="1"/>
    </xf>
    <xf numFmtId="0" fontId="471" fillId="55" borderId="139" applyNumberFormat="0" applyProtection="0">
      <alignment horizontal="left" vertical="top" indent="1"/>
    </xf>
    <xf numFmtId="0" fontId="471" fillId="55" borderId="139" applyNumberFormat="0" applyProtection="0">
      <alignment horizontal="left" vertical="top" indent="1"/>
    </xf>
    <xf numFmtId="0" fontId="471" fillId="55" borderId="139" applyNumberFormat="0" applyProtection="0">
      <alignment horizontal="left" vertical="top" indent="1"/>
    </xf>
    <xf numFmtId="0" fontId="471" fillId="55" borderId="139" applyNumberFormat="0" applyProtection="0">
      <alignment horizontal="left" vertical="top" indent="1"/>
    </xf>
    <xf numFmtId="0" fontId="471" fillId="55" borderId="139" applyNumberFormat="0" applyProtection="0">
      <alignment horizontal="left" vertical="top" indent="1"/>
    </xf>
    <xf numFmtId="0" fontId="471" fillId="55" borderId="139" applyNumberFormat="0" applyProtection="0">
      <alignment horizontal="left" vertical="top" indent="1"/>
    </xf>
    <xf numFmtId="0" fontId="471" fillId="55" borderId="139" applyNumberFormat="0" applyProtection="0">
      <alignment horizontal="left" vertical="top" indent="1"/>
    </xf>
    <xf numFmtId="0" fontId="471" fillId="55" borderId="139" applyNumberFormat="0" applyProtection="0">
      <alignment horizontal="left" vertical="top" indent="1"/>
    </xf>
    <xf numFmtId="0" fontId="471" fillId="55" borderId="139" applyNumberFormat="0" applyProtection="0">
      <alignment horizontal="left" vertical="top" indent="1"/>
    </xf>
    <xf numFmtId="0" fontId="471" fillId="55" borderId="139" applyNumberFormat="0" applyProtection="0">
      <alignment horizontal="left" vertical="top" indent="1"/>
    </xf>
    <xf numFmtId="0" fontId="471" fillId="55" borderId="139" applyNumberFormat="0" applyProtection="0">
      <alignment horizontal="left" vertical="top" indent="1"/>
    </xf>
    <xf numFmtId="0" fontId="471" fillId="55" borderId="139" applyNumberFormat="0" applyProtection="0">
      <alignment horizontal="left" vertical="top" indent="1"/>
    </xf>
    <xf numFmtId="0" fontId="471" fillId="55" borderId="139" applyNumberFormat="0" applyProtection="0">
      <alignment horizontal="left" vertical="top" indent="1"/>
    </xf>
    <xf numFmtId="0" fontId="471" fillId="55" borderId="139" applyNumberFormat="0" applyProtection="0">
      <alignment horizontal="left" vertical="top" indent="1"/>
    </xf>
    <xf numFmtId="0" fontId="471" fillId="55" borderId="139" applyNumberFormat="0" applyProtection="0">
      <alignment horizontal="left" vertical="top" indent="1"/>
    </xf>
    <xf numFmtId="0" fontId="471" fillId="55" borderId="139" applyNumberFormat="0" applyProtection="0">
      <alignment horizontal="left" vertical="top" indent="1"/>
    </xf>
    <xf numFmtId="0" fontId="471" fillId="55" borderId="139" applyNumberFormat="0" applyProtection="0">
      <alignment horizontal="left" vertical="top" indent="1"/>
    </xf>
    <xf numFmtId="0" fontId="471" fillId="55" borderId="139" applyNumberFormat="0" applyProtection="0">
      <alignment horizontal="left" vertical="top" indent="1"/>
    </xf>
    <xf numFmtId="0" fontId="471" fillId="55" borderId="139" applyNumberFormat="0" applyProtection="0">
      <alignment horizontal="left" vertical="top" indent="1"/>
    </xf>
    <xf numFmtId="0" fontId="471" fillId="55" borderId="139" applyNumberFormat="0" applyProtection="0">
      <alignment horizontal="left" vertical="top" indent="1"/>
    </xf>
    <xf numFmtId="0" fontId="471" fillId="55" borderId="139" applyNumberFormat="0" applyProtection="0">
      <alignment horizontal="left" vertical="top" indent="1"/>
    </xf>
    <xf numFmtId="0" fontId="471" fillId="55" borderId="139" applyNumberFormat="0" applyProtection="0">
      <alignment horizontal="left" vertical="top" indent="1"/>
    </xf>
    <xf numFmtId="0" fontId="471" fillId="55" borderId="139" applyNumberFormat="0" applyProtection="0">
      <alignment horizontal="left" vertical="top" indent="1"/>
    </xf>
    <xf numFmtId="0" fontId="471" fillId="55" borderId="139" applyNumberFormat="0" applyProtection="0">
      <alignment horizontal="left" vertical="top" indent="1"/>
    </xf>
    <xf numFmtId="0" fontId="471" fillId="55" borderId="139" applyNumberFormat="0" applyProtection="0">
      <alignment horizontal="left" vertical="top" indent="1"/>
    </xf>
    <xf numFmtId="0" fontId="471" fillId="55" borderId="139" applyNumberFormat="0" applyProtection="0">
      <alignment horizontal="left" vertical="top" indent="1"/>
    </xf>
    <xf numFmtId="0" fontId="471" fillId="55" borderId="139" applyNumberFormat="0" applyProtection="0">
      <alignment horizontal="left" vertical="top" indent="1"/>
    </xf>
    <xf numFmtId="0" fontId="471" fillId="55" borderId="139" applyNumberFormat="0" applyProtection="0">
      <alignment horizontal="left" vertical="top" indent="1"/>
    </xf>
    <xf numFmtId="0" fontId="471" fillId="55" borderId="139" applyNumberFormat="0" applyProtection="0">
      <alignment horizontal="left" vertical="top" indent="1"/>
    </xf>
    <xf numFmtId="0" fontId="471" fillId="55" borderId="139" applyNumberFormat="0" applyProtection="0">
      <alignment horizontal="left" vertical="top" indent="1"/>
    </xf>
    <xf numFmtId="0" fontId="471" fillId="55" borderId="139" applyNumberFormat="0" applyProtection="0">
      <alignment horizontal="left" vertical="top" indent="1"/>
    </xf>
    <xf numFmtId="0" fontId="471" fillId="55" borderId="139" applyNumberFormat="0" applyProtection="0">
      <alignment horizontal="left" vertical="top" indent="1"/>
    </xf>
    <xf numFmtId="0" fontId="471" fillId="55" borderId="139" applyNumberFormat="0" applyProtection="0">
      <alignment horizontal="left" vertical="top" indent="1"/>
    </xf>
    <xf numFmtId="0" fontId="471" fillId="55" borderId="139" applyNumberFormat="0" applyProtection="0">
      <alignment horizontal="left" vertical="top" indent="1"/>
    </xf>
    <xf numFmtId="0" fontId="471" fillId="55" borderId="139" applyNumberFormat="0" applyProtection="0">
      <alignment horizontal="left" vertical="top" indent="1"/>
    </xf>
    <xf numFmtId="0" fontId="471" fillId="55" borderId="139" applyNumberFormat="0" applyProtection="0">
      <alignment horizontal="left" vertical="top" indent="1"/>
    </xf>
    <xf numFmtId="0" fontId="471" fillId="55" borderId="139" applyNumberFormat="0" applyProtection="0">
      <alignment horizontal="left" vertical="top" indent="1"/>
    </xf>
    <xf numFmtId="0" fontId="471" fillId="55" borderId="139" applyNumberFormat="0" applyProtection="0">
      <alignment horizontal="left" vertical="top" indent="1"/>
    </xf>
    <xf numFmtId="0" fontId="471" fillId="55" borderId="139" applyNumberFormat="0" applyProtection="0">
      <alignment horizontal="left" vertical="top" indent="1"/>
    </xf>
    <xf numFmtId="0" fontId="471" fillId="55" borderId="139" applyNumberFormat="0" applyProtection="0">
      <alignment horizontal="left" vertical="top" indent="1"/>
    </xf>
    <xf numFmtId="0" fontId="471" fillId="55" borderId="139" applyNumberFormat="0" applyProtection="0">
      <alignment horizontal="left" vertical="top" indent="1"/>
    </xf>
    <xf numFmtId="0" fontId="471" fillId="55" borderId="139" applyNumberFormat="0" applyProtection="0">
      <alignment horizontal="left" vertical="top" indent="1"/>
    </xf>
    <xf numFmtId="0" fontId="471" fillId="55" borderId="139" applyNumberFormat="0" applyProtection="0">
      <alignment horizontal="left" vertical="top" indent="1"/>
    </xf>
    <xf numFmtId="0" fontId="471" fillId="55" borderId="139" applyNumberFormat="0" applyProtection="0">
      <alignment horizontal="left" vertical="top" indent="1"/>
    </xf>
    <xf numFmtId="0" fontId="471" fillId="55" borderId="139" applyNumberFormat="0" applyProtection="0">
      <alignment horizontal="left" vertical="top" indent="1"/>
    </xf>
    <xf numFmtId="0" fontId="471" fillId="55" borderId="139" applyNumberFormat="0" applyProtection="0">
      <alignment horizontal="left" vertical="top" indent="1"/>
    </xf>
    <xf numFmtId="0" fontId="471" fillId="55" borderId="139" applyNumberFormat="0" applyProtection="0">
      <alignment horizontal="left" vertical="top" indent="1"/>
    </xf>
    <xf numFmtId="0" fontId="471" fillId="55" borderId="139" applyNumberFormat="0" applyProtection="0">
      <alignment horizontal="left" vertical="top" indent="1"/>
    </xf>
    <xf numFmtId="0" fontId="471" fillId="55" borderId="139" applyNumberFormat="0" applyProtection="0">
      <alignment horizontal="left" vertical="top" indent="1"/>
    </xf>
    <xf numFmtId="0" fontId="471" fillId="55" borderId="139" applyNumberFormat="0" applyProtection="0">
      <alignment horizontal="left" vertical="top" indent="1"/>
    </xf>
    <xf numFmtId="0" fontId="471" fillId="55" borderId="139" applyNumberFormat="0" applyProtection="0">
      <alignment horizontal="left" vertical="top" indent="1"/>
    </xf>
    <xf numFmtId="0" fontId="471" fillId="55" borderId="139" applyNumberFormat="0" applyProtection="0">
      <alignment horizontal="left" vertical="top" indent="1"/>
    </xf>
    <xf numFmtId="0" fontId="471" fillId="55" borderId="139" applyNumberFormat="0" applyProtection="0">
      <alignment horizontal="left" vertical="top" indent="1"/>
    </xf>
    <xf numFmtId="0" fontId="471" fillId="55" borderId="139" applyNumberFormat="0" applyProtection="0">
      <alignment horizontal="left" vertical="top" indent="1"/>
    </xf>
    <xf numFmtId="0" fontId="471" fillId="55" borderId="139" applyNumberFormat="0" applyProtection="0">
      <alignment horizontal="left" vertical="top" indent="1"/>
    </xf>
    <xf numFmtId="0" fontId="471" fillId="55" borderId="139" applyNumberFormat="0" applyProtection="0">
      <alignment horizontal="left" vertical="top" indent="1"/>
    </xf>
    <xf numFmtId="0" fontId="471" fillId="55" borderId="139" applyNumberFormat="0" applyProtection="0">
      <alignment horizontal="left" vertical="top" indent="1"/>
    </xf>
    <xf numFmtId="0" fontId="471" fillId="55" borderId="139" applyNumberFormat="0" applyProtection="0">
      <alignment horizontal="left" vertical="top" indent="1"/>
    </xf>
    <xf numFmtId="0" fontId="471" fillId="41" borderId="139" applyNumberFormat="0" applyProtection="0">
      <alignment horizontal="left" vertical="top" indent="1"/>
    </xf>
    <xf numFmtId="0" fontId="471" fillId="41" borderId="139" applyNumberFormat="0" applyProtection="0">
      <alignment horizontal="left" vertical="top" indent="1"/>
    </xf>
    <xf numFmtId="0" fontId="471" fillId="41" borderId="139" applyNumberFormat="0" applyProtection="0">
      <alignment horizontal="left" vertical="top" indent="1"/>
    </xf>
    <xf numFmtId="0" fontId="471" fillId="41" borderId="139" applyNumberFormat="0" applyProtection="0">
      <alignment horizontal="left" vertical="top" indent="1"/>
    </xf>
    <xf numFmtId="0" fontId="471" fillId="41" borderId="139" applyNumberFormat="0" applyProtection="0">
      <alignment horizontal="left" vertical="top" indent="1"/>
    </xf>
    <xf numFmtId="0" fontId="471" fillId="41" borderId="139" applyNumberFormat="0" applyProtection="0">
      <alignment horizontal="left" vertical="top" indent="1"/>
    </xf>
    <xf numFmtId="0" fontId="471" fillId="41" borderId="139" applyNumberFormat="0" applyProtection="0">
      <alignment horizontal="left" vertical="top" indent="1"/>
    </xf>
    <xf numFmtId="0" fontId="471" fillId="41" borderId="139" applyNumberFormat="0" applyProtection="0">
      <alignment horizontal="left" vertical="top" indent="1"/>
    </xf>
    <xf numFmtId="0" fontId="471" fillId="41" borderId="139" applyNumberFormat="0" applyProtection="0">
      <alignment horizontal="left" vertical="top" indent="1"/>
    </xf>
    <xf numFmtId="0" fontId="471" fillId="41" borderId="139" applyNumberFormat="0" applyProtection="0">
      <alignment horizontal="left" vertical="top" indent="1"/>
    </xf>
    <xf numFmtId="0" fontId="471" fillId="41" borderId="139" applyNumberFormat="0" applyProtection="0">
      <alignment horizontal="left" vertical="top" indent="1"/>
    </xf>
    <xf numFmtId="0" fontId="471" fillId="41" borderId="139" applyNumberFormat="0" applyProtection="0">
      <alignment horizontal="left" vertical="top" indent="1"/>
    </xf>
    <xf numFmtId="0" fontId="471" fillId="41" borderId="139" applyNumberFormat="0" applyProtection="0">
      <alignment horizontal="left" vertical="top" indent="1"/>
    </xf>
    <xf numFmtId="0" fontId="471" fillId="41" borderId="139" applyNumberFormat="0" applyProtection="0">
      <alignment horizontal="left" vertical="top" indent="1"/>
    </xf>
    <xf numFmtId="0" fontId="471" fillId="41" borderId="139" applyNumberFormat="0" applyProtection="0">
      <alignment horizontal="left" vertical="top" indent="1"/>
    </xf>
    <xf numFmtId="0" fontId="471" fillId="41" borderId="139" applyNumberFormat="0" applyProtection="0">
      <alignment horizontal="left" vertical="top" indent="1"/>
    </xf>
    <xf numFmtId="0" fontId="471" fillId="41" borderId="139" applyNumberFormat="0" applyProtection="0">
      <alignment horizontal="left" vertical="top" indent="1"/>
    </xf>
    <xf numFmtId="0" fontId="471" fillId="41" borderId="139" applyNumberFormat="0" applyProtection="0">
      <alignment horizontal="left" vertical="top" indent="1"/>
    </xf>
    <xf numFmtId="0" fontId="471" fillId="41" borderId="139" applyNumberFormat="0" applyProtection="0">
      <alignment horizontal="left" vertical="top" indent="1"/>
    </xf>
    <xf numFmtId="0" fontId="471" fillId="41" borderId="139" applyNumberFormat="0" applyProtection="0">
      <alignment horizontal="left" vertical="top" indent="1"/>
    </xf>
    <xf numFmtId="0" fontId="471" fillId="41" borderId="139" applyNumberFormat="0" applyProtection="0">
      <alignment horizontal="left" vertical="top" indent="1"/>
    </xf>
    <xf numFmtId="0" fontId="471" fillId="41" borderId="139" applyNumberFormat="0" applyProtection="0">
      <alignment horizontal="left" vertical="top" indent="1"/>
    </xf>
    <xf numFmtId="0" fontId="471" fillId="41" borderId="139" applyNumberFormat="0" applyProtection="0">
      <alignment horizontal="left" vertical="top" indent="1"/>
    </xf>
    <xf numFmtId="0" fontId="471" fillId="41" borderId="139" applyNumberFormat="0" applyProtection="0">
      <alignment horizontal="left" vertical="top" indent="1"/>
    </xf>
    <xf numFmtId="0" fontId="471" fillId="41" borderId="139" applyNumberFormat="0" applyProtection="0">
      <alignment horizontal="left" vertical="top" indent="1"/>
    </xf>
    <xf numFmtId="0" fontId="471" fillId="41" borderId="139" applyNumberFormat="0" applyProtection="0">
      <alignment horizontal="left" vertical="top" indent="1"/>
    </xf>
    <xf numFmtId="0" fontId="471" fillId="41" borderId="139" applyNumberFormat="0" applyProtection="0">
      <alignment horizontal="left" vertical="top" indent="1"/>
    </xf>
    <xf numFmtId="0" fontId="471" fillId="41" borderId="139" applyNumberFormat="0" applyProtection="0">
      <alignment horizontal="left" vertical="top" indent="1"/>
    </xf>
    <xf numFmtId="0" fontId="471" fillId="41" borderId="139" applyNumberFormat="0" applyProtection="0">
      <alignment horizontal="left" vertical="top" indent="1"/>
    </xf>
    <xf numFmtId="0" fontId="471" fillId="41" borderId="139" applyNumberFormat="0" applyProtection="0">
      <alignment horizontal="left" vertical="top" indent="1"/>
    </xf>
    <xf numFmtId="0" fontId="471" fillId="41" borderId="139" applyNumberFormat="0" applyProtection="0">
      <alignment horizontal="left" vertical="top" indent="1"/>
    </xf>
    <xf numFmtId="0" fontId="471" fillId="41" borderId="139" applyNumberFormat="0" applyProtection="0">
      <alignment horizontal="left" vertical="top" indent="1"/>
    </xf>
    <xf numFmtId="0" fontId="471" fillId="41" borderId="139" applyNumberFormat="0" applyProtection="0">
      <alignment horizontal="left" vertical="top" indent="1"/>
    </xf>
    <xf numFmtId="0" fontId="471" fillId="41" borderId="139" applyNumberFormat="0" applyProtection="0">
      <alignment horizontal="left" vertical="top" indent="1"/>
    </xf>
    <xf numFmtId="0" fontId="471" fillId="41" borderId="139" applyNumberFormat="0" applyProtection="0">
      <alignment horizontal="left" vertical="top" indent="1"/>
    </xf>
    <xf numFmtId="0" fontId="471" fillId="41" borderId="139" applyNumberFormat="0" applyProtection="0">
      <alignment horizontal="left" vertical="top" indent="1"/>
    </xf>
    <xf numFmtId="0" fontId="471" fillId="41" borderId="139" applyNumberFormat="0" applyProtection="0">
      <alignment horizontal="left" vertical="top" indent="1"/>
    </xf>
    <xf numFmtId="0" fontId="471" fillId="41" borderId="139" applyNumberFormat="0" applyProtection="0">
      <alignment horizontal="left" vertical="top" indent="1"/>
    </xf>
    <xf numFmtId="0" fontId="471" fillId="41" borderId="139" applyNumberFormat="0" applyProtection="0">
      <alignment horizontal="left" vertical="top" indent="1"/>
    </xf>
    <xf numFmtId="0" fontId="471" fillId="41" borderId="139" applyNumberFormat="0" applyProtection="0">
      <alignment horizontal="left" vertical="top" indent="1"/>
    </xf>
    <xf numFmtId="0" fontId="471" fillId="41" borderId="139" applyNumberFormat="0" applyProtection="0">
      <alignment horizontal="left" vertical="top" indent="1"/>
    </xf>
    <xf numFmtId="0" fontId="471" fillId="41" borderId="139" applyNumberFormat="0" applyProtection="0">
      <alignment horizontal="left" vertical="top" indent="1"/>
    </xf>
    <xf numFmtId="0" fontId="471" fillId="41" borderId="139" applyNumberFormat="0" applyProtection="0">
      <alignment horizontal="left" vertical="top" indent="1"/>
    </xf>
    <xf numFmtId="0" fontId="471" fillId="41" borderId="139" applyNumberFormat="0" applyProtection="0">
      <alignment horizontal="left" vertical="top" indent="1"/>
    </xf>
    <xf numFmtId="0" fontId="471" fillId="41" borderId="139" applyNumberFormat="0" applyProtection="0">
      <alignment horizontal="left" vertical="top" indent="1"/>
    </xf>
    <xf numFmtId="0" fontId="471" fillId="41" borderId="139" applyNumberFormat="0" applyProtection="0">
      <alignment horizontal="left" vertical="top" indent="1"/>
    </xf>
    <xf numFmtId="0" fontId="471" fillId="41" borderId="139" applyNumberFormat="0" applyProtection="0">
      <alignment horizontal="left" vertical="top" indent="1"/>
    </xf>
    <xf numFmtId="0" fontId="471" fillId="41" borderId="139" applyNumberFormat="0" applyProtection="0">
      <alignment horizontal="left" vertical="top" indent="1"/>
    </xf>
    <xf numFmtId="0" fontId="471" fillId="41" borderId="139" applyNumberFormat="0" applyProtection="0">
      <alignment horizontal="left" vertical="top" indent="1"/>
    </xf>
    <xf numFmtId="0" fontId="471" fillId="41" borderId="139" applyNumberFormat="0" applyProtection="0">
      <alignment horizontal="left" vertical="top" indent="1"/>
    </xf>
    <xf numFmtId="0" fontId="471" fillId="41" borderId="139" applyNumberFormat="0" applyProtection="0">
      <alignment horizontal="left" vertical="top" indent="1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44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50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66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3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59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6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7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100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52" borderId="139" applyNumberFormat="0" applyProtection="0">
      <alignment horizontal="right" vertical="center"/>
    </xf>
    <xf numFmtId="4" fontId="171" fillId="95" borderId="139" applyNumberFormat="0" applyProtection="0">
      <alignment horizontal="right" vertical="center"/>
    </xf>
    <xf numFmtId="4" fontId="171" fillId="95" borderId="139" applyNumberFormat="0" applyProtection="0">
      <alignment horizontal="right" vertical="center"/>
    </xf>
    <xf numFmtId="4" fontId="171" fillId="95" borderId="139" applyNumberFormat="0" applyProtection="0">
      <alignment horizontal="right" vertical="center"/>
    </xf>
    <xf numFmtId="4" fontId="171" fillId="95" borderId="139" applyNumberFormat="0" applyProtection="0">
      <alignment horizontal="right" vertical="center"/>
    </xf>
    <xf numFmtId="4" fontId="171" fillId="95" borderId="139" applyNumberFormat="0" applyProtection="0">
      <alignment horizontal="right" vertical="center"/>
    </xf>
    <xf numFmtId="4" fontId="171" fillId="95" borderId="139" applyNumberFormat="0" applyProtection="0">
      <alignment horizontal="right" vertical="center"/>
    </xf>
    <xf numFmtId="4" fontId="171" fillId="95" borderId="139" applyNumberFormat="0" applyProtection="0">
      <alignment horizontal="right" vertical="center"/>
    </xf>
    <xf numFmtId="4" fontId="171" fillId="95" borderId="139" applyNumberFormat="0" applyProtection="0">
      <alignment horizontal="right" vertical="center"/>
    </xf>
    <xf numFmtId="4" fontId="171" fillId="95" borderId="139" applyNumberFormat="0" applyProtection="0">
      <alignment horizontal="right" vertical="center"/>
    </xf>
    <xf numFmtId="4" fontId="171" fillId="95" borderId="139" applyNumberFormat="0" applyProtection="0">
      <alignment horizontal="right" vertical="center"/>
    </xf>
    <xf numFmtId="4" fontId="171" fillId="95" borderId="139" applyNumberFormat="0" applyProtection="0">
      <alignment horizontal="right" vertical="center"/>
    </xf>
    <xf numFmtId="4" fontId="171" fillId="95" borderId="139" applyNumberFormat="0" applyProtection="0">
      <alignment horizontal="right" vertical="center"/>
    </xf>
    <xf numFmtId="4" fontId="171" fillId="95" borderId="139" applyNumberFormat="0" applyProtection="0">
      <alignment horizontal="right" vertical="center"/>
    </xf>
    <xf numFmtId="4" fontId="171" fillId="95" borderId="139" applyNumberFormat="0" applyProtection="0">
      <alignment horizontal="right" vertical="center"/>
    </xf>
    <xf numFmtId="4" fontId="171" fillId="95" borderId="139" applyNumberFormat="0" applyProtection="0">
      <alignment horizontal="right" vertical="center"/>
    </xf>
    <xf numFmtId="4" fontId="171" fillId="95" borderId="139" applyNumberFormat="0" applyProtection="0">
      <alignment horizontal="right" vertical="center"/>
    </xf>
    <xf numFmtId="4" fontId="171" fillId="95" borderId="139" applyNumberFormat="0" applyProtection="0">
      <alignment horizontal="right" vertical="center"/>
    </xf>
    <xf numFmtId="4" fontId="171" fillId="95" borderId="139" applyNumberFormat="0" applyProtection="0">
      <alignment horizontal="right" vertical="center"/>
    </xf>
    <xf numFmtId="4" fontId="171" fillId="95" borderId="139" applyNumberFormat="0" applyProtection="0">
      <alignment horizontal="right" vertical="center"/>
    </xf>
    <xf numFmtId="4" fontId="171" fillId="95" borderId="139" applyNumberFormat="0" applyProtection="0">
      <alignment horizontal="right" vertical="center"/>
    </xf>
    <xf numFmtId="4" fontId="171" fillId="95" borderId="139" applyNumberFormat="0" applyProtection="0">
      <alignment horizontal="right" vertical="center"/>
    </xf>
    <xf numFmtId="4" fontId="171" fillId="95" borderId="139" applyNumberFormat="0" applyProtection="0">
      <alignment horizontal="right" vertical="center"/>
    </xf>
    <xf numFmtId="4" fontId="171" fillId="95" borderId="139" applyNumberFormat="0" applyProtection="0">
      <alignment horizontal="right" vertical="center"/>
    </xf>
    <xf numFmtId="4" fontId="171" fillId="95" borderId="139" applyNumberFormat="0" applyProtection="0">
      <alignment horizontal="right" vertical="center"/>
    </xf>
    <xf numFmtId="4" fontId="171" fillId="95" borderId="139" applyNumberFormat="0" applyProtection="0">
      <alignment horizontal="right" vertical="center"/>
    </xf>
    <xf numFmtId="4" fontId="171" fillId="95" borderId="139" applyNumberFormat="0" applyProtection="0">
      <alignment horizontal="right" vertical="center"/>
    </xf>
    <xf numFmtId="4" fontId="171" fillId="95" borderId="139" applyNumberFormat="0" applyProtection="0">
      <alignment horizontal="right" vertical="center"/>
    </xf>
    <xf numFmtId="4" fontId="171" fillId="95" borderId="139" applyNumberFormat="0" applyProtection="0">
      <alignment horizontal="right" vertical="center"/>
    </xf>
    <xf numFmtId="4" fontId="171" fillId="95" borderId="139" applyNumberFormat="0" applyProtection="0">
      <alignment horizontal="right" vertical="center"/>
    </xf>
    <xf numFmtId="4" fontId="171" fillId="95" borderId="139" applyNumberFormat="0" applyProtection="0">
      <alignment horizontal="right" vertical="center"/>
    </xf>
    <xf numFmtId="4" fontId="171" fillId="95" borderId="139" applyNumberFormat="0" applyProtection="0">
      <alignment horizontal="right" vertical="center"/>
    </xf>
    <xf numFmtId="4" fontId="171" fillId="95" borderId="139" applyNumberFormat="0" applyProtection="0">
      <alignment horizontal="right" vertical="center"/>
    </xf>
    <xf numFmtId="4" fontId="171" fillId="95" borderId="139" applyNumberFormat="0" applyProtection="0">
      <alignment horizontal="right" vertical="center"/>
    </xf>
    <xf numFmtId="4" fontId="171" fillId="95" borderId="139" applyNumberFormat="0" applyProtection="0">
      <alignment horizontal="right" vertical="center"/>
    </xf>
    <xf numFmtId="4" fontId="171" fillId="95" borderId="139" applyNumberFormat="0" applyProtection="0">
      <alignment horizontal="right" vertical="center"/>
    </xf>
    <xf numFmtId="4" fontId="171" fillId="95" borderId="139" applyNumberFormat="0" applyProtection="0">
      <alignment horizontal="right" vertical="center"/>
    </xf>
    <xf numFmtId="4" fontId="171" fillId="95" borderId="139" applyNumberFormat="0" applyProtection="0">
      <alignment horizontal="right" vertical="center"/>
    </xf>
    <xf numFmtId="4" fontId="171" fillId="95" borderId="139" applyNumberFormat="0" applyProtection="0">
      <alignment horizontal="right" vertical="center"/>
    </xf>
    <xf numFmtId="4" fontId="171" fillId="95" borderId="139" applyNumberFormat="0" applyProtection="0">
      <alignment horizontal="right" vertical="center"/>
    </xf>
    <xf numFmtId="4" fontId="171" fillId="95" borderId="139" applyNumberFormat="0" applyProtection="0">
      <alignment horizontal="right" vertical="center"/>
    </xf>
    <xf numFmtId="4" fontId="171" fillId="95" borderId="139" applyNumberFormat="0" applyProtection="0">
      <alignment horizontal="right" vertical="center"/>
    </xf>
    <xf numFmtId="4" fontId="171" fillId="95" borderId="139" applyNumberFormat="0" applyProtection="0">
      <alignment horizontal="right" vertical="center"/>
    </xf>
    <xf numFmtId="4" fontId="171" fillId="95" borderId="139" applyNumberFormat="0" applyProtection="0">
      <alignment horizontal="right" vertical="center"/>
    </xf>
    <xf numFmtId="4" fontId="171" fillId="95" borderId="139" applyNumberFormat="0" applyProtection="0">
      <alignment horizontal="right" vertical="center"/>
    </xf>
    <xf numFmtId="4" fontId="171" fillId="95" borderId="139" applyNumberFormat="0" applyProtection="0">
      <alignment horizontal="right" vertical="center"/>
    </xf>
    <xf numFmtId="4" fontId="171" fillId="95" borderId="139" applyNumberFormat="0" applyProtection="0">
      <alignment horizontal="right" vertical="center"/>
    </xf>
    <xf numFmtId="4" fontId="171" fillId="95" borderId="139" applyNumberFormat="0" applyProtection="0">
      <alignment horizontal="right" vertical="center"/>
    </xf>
    <xf numFmtId="4" fontId="171" fillId="95" borderId="139" applyNumberFormat="0" applyProtection="0">
      <alignment horizontal="right" vertical="center"/>
    </xf>
    <xf numFmtId="4" fontId="171" fillId="95" borderId="139" applyNumberFormat="0" applyProtection="0">
      <alignment horizontal="right" vertical="center"/>
    </xf>
    <xf numFmtId="4" fontId="171" fillId="95" borderId="139" applyNumberFormat="0" applyProtection="0">
      <alignment horizontal="right" vertical="center"/>
    </xf>
    <xf numFmtId="4" fontId="171" fillId="95" borderId="139" applyNumberFormat="0" applyProtection="0">
      <alignment horizontal="right" vertical="center"/>
    </xf>
    <xf numFmtId="4" fontId="171" fillId="95" borderId="139" applyNumberFormat="0" applyProtection="0">
      <alignment horizontal="right" vertical="center"/>
    </xf>
    <xf numFmtId="4" fontId="171" fillId="95" borderId="139" applyNumberFormat="0" applyProtection="0">
      <alignment horizontal="right" vertical="center"/>
    </xf>
    <xf numFmtId="4" fontId="171" fillId="95" borderId="139" applyNumberFormat="0" applyProtection="0">
      <alignment horizontal="right" vertical="center"/>
    </xf>
    <xf numFmtId="4" fontId="171" fillId="95" borderId="139" applyNumberFormat="0" applyProtection="0">
      <alignment horizontal="right" vertical="center"/>
    </xf>
    <xf numFmtId="4" fontId="171" fillId="95" borderId="139" applyNumberFormat="0" applyProtection="0">
      <alignment horizontal="right" vertical="center"/>
    </xf>
    <xf numFmtId="4" fontId="171" fillId="95" borderId="139" applyNumberFormat="0" applyProtection="0">
      <alignment horizontal="right" vertical="center"/>
    </xf>
    <xf numFmtId="4" fontId="171" fillId="95" borderId="139" applyNumberFormat="0" applyProtection="0">
      <alignment horizontal="right" vertical="center"/>
    </xf>
    <xf numFmtId="4" fontId="171" fillId="95" borderId="139" applyNumberFormat="0" applyProtection="0">
      <alignment horizontal="right" vertical="center"/>
    </xf>
    <xf numFmtId="4" fontId="171" fillId="95" borderId="139" applyNumberFormat="0" applyProtection="0">
      <alignment horizontal="right" vertical="center"/>
    </xf>
    <xf numFmtId="4" fontId="171" fillId="95" borderId="139" applyNumberFormat="0" applyProtection="0">
      <alignment horizontal="right" vertical="center"/>
    </xf>
    <xf numFmtId="4" fontId="171" fillId="95" borderId="139" applyNumberFormat="0" applyProtection="0">
      <alignment horizontal="right" vertical="center"/>
    </xf>
    <xf numFmtId="4" fontId="171" fillId="95" borderId="139" applyNumberFormat="0" applyProtection="0">
      <alignment horizontal="right" vertical="center"/>
    </xf>
    <xf numFmtId="4" fontId="171" fillId="95" borderId="139" applyNumberFormat="0" applyProtection="0">
      <alignment horizontal="right" vertical="center"/>
    </xf>
    <xf numFmtId="4" fontId="171" fillId="95" borderId="139" applyNumberFormat="0" applyProtection="0">
      <alignment horizontal="right" vertical="center"/>
    </xf>
    <xf numFmtId="4" fontId="171" fillId="95" borderId="139" applyNumberFormat="0" applyProtection="0">
      <alignment horizontal="right" vertical="center"/>
    </xf>
    <xf numFmtId="4" fontId="171" fillId="95" borderId="139" applyNumberFormat="0" applyProtection="0">
      <alignment horizontal="right" vertical="center"/>
    </xf>
    <xf numFmtId="4" fontId="171" fillId="95" borderId="139" applyNumberFormat="0" applyProtection="0">
      <alignment horizontal="right" vertical="center"/>
    </xf>
    <xf numFmtId="4" fontId="171" fillId="95" borderId="139" applyNumberFormat="0" applyProtection="0">
      <alignment horizontal="right" vertical="center"/>
    </xf>
    <xf numFmtId="4" fontId="171" fillId="95" borderId="139" applyNumberFormat="0" applyProtection="0">
      <alignment horizontal="right" vertical="center"/>
    </xf>
    <xf numFmtId="4" fontId="171" fillId="95" borderId="139" applyNumberFormat="0" applyProtection="0">
      <alignment horizontal="right" vertical="center"/>
    </xf>
    <xf numFmtId="4" fontId="171" fillId="95" borderId="139" applyNumberFormat="0" applyProtection="0">
      <alignment horizontal="right" vertical="center"/>
    </xf>
    <xf numFmtId="4" fontId="171" fillId="95" borderId="139" applyNumberFormat="0" applyProtection="0">
      <alignment horizontal="right" vertical="center"/>
    </xf>
    <xf numFmtId="4" fontId="171" fillId="95" borderId="139" applyNumberFormat="0" applyProtection="0">
      <alignment horizontal="right" vertical="center"/>
    </xf>
    <xf numFmtId="4" fontId="171" fillId="95" borderId="139" applyNumberFormat="0" applyProtection="0">
      <alignment horizontal="right" vertical="center"/>
    </xf>
    <xf numFmtId="4" fontId="171" fillId="95" borderId="139" applyNumberFormat="0" applyProtection="0">
      <alignment horizontal="right" vertical="center"/>
    </xf>
    <xf numFmtId="4" fontId="171" fillId="95" borderId="139" applyNumberFormat="0" applyProtection="0">
      <alignment horizontal="right" vertical="center"/>
    </xf>
    <xf numFmtId="4" fontId="171" fillId="95" borderId="139" applyNumberFormat="0" applyProtection="0">
      <alignment horizontal="right" vertical="center"/>
    </xf>
    <xf numFmtId="4" fontId="171" fillId="95" borderId="139" applyNumberFormat="0" applyProtection="0">
      <alignment horizontal="right" vertical="center"/>
    </xf>
    <xf numFmtId="4" fontId="171" fillId="95" borderId="139" applyNumberFormat="0" applyProtection="0">
      <alignment horizontal="right" vertical="center"/>
    </xf>
    <xf numFmtId="4" fontId="171" fillId="95" borderId="139" applyNumberFormat="0" applyProtection="0">
      <alignment horizontal="right" vertical="center"/>
    </xf>
    <xf numFmtId="4" fontId="171" fillId="95" borderId="139" applyNumberFormat="0" applyProtection="0">
      <alignment horizontal="right" vertical="center"/>
    </xf>
    <xf numFmtId="4" fontId="171" fillId="95" borderId="139" applyNumberFormat="0" applyProtection="0">
      <alignment horizontal="right" vertical="center"/>
    </xf>
    <xf numFmtId="4" fontId="171" fillId="95" borderId="139" applyNumberFormat="0" applyProtection="0">
      <alignment horizontal="right" vertical="center"/>
    </xf>
    <xf numFmtId="4" fontId="171" fillId="95" borderId="139" applyNumberFormat="0" applyProtection="0">
      <alignment horizontal="right" vertical="center"/>
    </xf>
    <xf numFmtId="4" fontId="171" fillId="95" borderId="139" applyNumberFormat="0" applyProtection="0">
      <alignment horizontal="right" vertical="center"/>
    </xf>
    <xf numFmtId="4" fontId="171" fillId="95" borderId="139" applyNumberFormat="0" applyProtection="0">
      <alignment horizontal="right" vertical="center"/>
    </xf>
    <xf numFmtId="4" fontId="171" fillId="95" borderId="139" applyNumberFormat="0" applyProtection="0">
      <alignment horizontal="right" vertical="center"/>
    </xf>
    <xf numFmtId="4" fontId="171" fillId="95" borderId="139" applyNumberFormat="0" applyProtection="0">
      <alignment horizontal="right" vertical="center"/>
    </xf>
    <xf numFmtId="4" fontId="171" fillId="95" borderId="139" applyNumberFormat="0" applyProtection="0">
      <alignment horizontal="right" vertical="center"/>
    </xf>
    <xf numFmtId="0" fontId="17" fillId="74" borderId="139" applyNumberFormat="0" applyProtection="0">
      <alignment horizontal="left" vertical="center" indent="1"/>
    </xf>
    <xf numFmtId="0" fontId="17" fillId="89" borderId="139" applyNumberFormat="0" applyProtection="0">
      <alignment horizontal="left" vertical="center" indent="1"/>
    </xf>
    <xf numFmtId="0" fontId="17" fillId="89" borderId="139" applyNumberFormat="0" applyProtection="0">
      <alignment horizontal="left" vertical="center" indent="1"/>
    </xf>
    <xf numFmtId="0" fontId="17" fillId="89" borderId="139" applyNumberFormat="0" applyProtection="0">
      <alignment horizontal="left" vertical="center" indent="1"/>
    </xf>
    <xf numFmtId="0" fontId="17" fillId="89" borderId="139" applyNumberFormat="0" applyProtection="0">
      <alignment horizontal="left" vertical="center" indent="1"/>
    </xf>
    <xf numFmtId="0" fontId="17" fillId="89" borderId="139" applyNumberFormat="0" applyProtection="0">
      <alignment horizontal="left" vertical="center" indent="1"/>
    </xf>
    <xf numFmtId="0" fontId="17" fillId="89" borderId="139" applyNumberFormat="0" applyProtection="0">
      <alignment horizontal="left" vertical="center" indent="1"/>
    </xf>
    <xf numFmtId="0" fontId="17" fillId="89" borderId="139" applyNumberFormat="0" applyProtection="0">
      <alignment horizontal="left" vertical="center" indent="1"/>
    </xf>
    <xf numFmtId="0" fontId="17" fillId="89" borderId="139" applyNumberFormat="0" applyProtection="0">
      <alignment horizontal="left" vertical="center" indent="1"/>
    </xf>
    <xf numFmtId="0" fontId="17" fillId="89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89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89" borderId="139" applyNumberFormat="0" applyProtection="0">
      <alignment horizontal="left" vertical="center" indent="1"/>
    </xf>
    <xf numFmtId="0" fontId="17" fillId="89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center" indent="1"/>
    </xf>
    <xf numFmtId="0" fontId="17" fillId="89" borderId="139" applyNumberFormat="0" applyProtection="0">
      <alignment horizontal="left" vertical="center" indent="1"/>
    </xf>
    <xf numFmtId="0" fontId="17" fillId="89" borderId="139" applyNumberFormat="0" applyProtection="0">
      <alignment horizontal="left" vertical="center" indent="1"/>
    </xf>
    <xf numFmtId="0" fontId="17" fillId="89" borderId="139" applyNumberFormat="0" applyProtection="0">
      <alignment horizontal="left" vertical="center" indent="1"/>
    </xf>
    <xf numFmtId="0" fontId="17" fillId="89" borderId="139" applyNumberFormat="0" applyProtection="0">
      <alignment horizontal="left" vertical="center" indent="1"/>
    </xf>
    <xf numFmtId="0" fontId="17" fillId="89" borderId="139" applyNumberFormat="0" applyProtection="0">
      <alignment horizontal="left" vertical="center" indent="1"/>
    </xf>
    <xf numFmtId="0" fontId="17" fillId="89" borderId="139" applyNumberFormat="0" applyProtection="0">
      <alignment horizontal="left" vertical="center" indent="1"/>
    </xf>
    <xf numFmtId="0" fontId="17" fillId="89" borderId="139" applyNumberFormat="0" applyProtection="0">
      <alignment horizontal="left" vertical="center" indent="1"/>
    </xf>
    <xf numFmtId="0" fontId="17" fillId="89" borderId="139" applyNumberFormat="0" applyProtection="0">
      <alignment horizontal="left" vertical="center" indent="1"/>
    </xf>
    <xf numFmtId="0" fontId="17" fillId="89" borderId="139" applyNumberFormat="0" applyProtection="0">
      <alignment horizontal="left" vertical="center" indent="1"/>
    </xf>
    <xf numFmtId="0" fontId="17" fillId="89" borderId="139" applyNumberFormat="0" applyProtection="0">
      <alignment horizontal="left" vertical="center" indent="1"/>
    </xf>
    <xf numFmtId="0" fontId="17" fillId="89" borderId="139" applyNumberFormat="0" applyProtection="0">
      <alignment horizontal="left" vertical="center" indent="1"/>
    </xf>
    <xf numFmtId="0" fontId="17" fillId="89" borderId="139" applyNumberFormat="0" applyProtection="0">
      <alignment horizontal="left" vertical="center" indent="1"/>
    </xf>
    <xf numFmtId="0" fontId="17" fillId="89" borderId="139" applyNumberFormat="0" applyProtection="0">
      <alignment horizontal="left" vertical="center" indent="1"/>
    </xf>
    <xf numFmtId="0" fontId="17" fillId="89" borderId="139" applyNumberFormat="0" applyProtection="0">
      <alignment horizontal="left" vertical="center" indent="1"/>
    </xf>
    <xf numFmtId="0" fontId="17" fillId="89" borderId="139" applyNumberFormat="0" applyProtection="0">
      <alignment horizontal="left" vertical="center" indent="1"/>
    </xf>
    <xf numFmtId="0" fontId="17" fillId="89" borderId="139" applyNumberFormat="0" applyProtection="0">
      <alignment horizontal="left" vertical="center" indent="1"/>
    </xf>
    <xf numFmtId="0" fontId="17" fillId="89" borderId="139" applyNumberFormat="0" applyProtection="0">
      <alignment horizontal="left" vertical="center" indent="1"/>
    </xf>
    <xf numFmtId="0" fontId="17" fillId="89" borderId="139" applyNumberFormat="0" applyProtection="0">
      <alignment horizontal="left" vertical="center" indent="1"/>
    </xf>
    <xf numFmtId="0" fontId="17" fillId="89" borderId="139" applyNumberFormat="0" applyProtection="0">
      <alignment horizontal="left" vertical="center" indent="1"/>
    </xf>
    <xf numFmtId="0" fontId="17" fillId="89" borderId="139" applyNumberFormat="0" applyProtection="0">
      <alignment horizontal="left" vertical="center" indent="1"/>
    </xf>
    <xf numFmtId="0" fontId="17" fillId="89" borderId="139" applyNumberFormat="0" applyProtection="0">
      <alignment horizontal="left" vertical="center" indent="1"/>
    </xf>
    <xf numFmtId="0" fontId="17" fillId="89" borderId="139" applyNumberFormat="0" applyProtection="0">
      <alignment horizontal="left" vertical="center" indent="1"/>
    </xf>
    <xf numFmtId="0" fontId="17" fillId="89" borderId="139" applyNumberFormat="0" applyProtection="0">
      <alignment horizontal="left" vertical="center" indent="1"/>
    </xf>
    <xf numFmtId="0" fontId="17" fillId="89" borderId="139" applyNumberFormat="0" applyProtection="0">
      <alignment horizontal="left" vertical="center" indent="1"/>
    </xf>
    <xf numFmtId="0" fontId="17" fillId="74" borderId="139" applyNumberFormat="0" applyProtection="0">
      <alignment horizontal="left" vertical="top" indent="1"/>
    </xf>
    <xf numFmtId="0" fontId="17" fillId="89" borderId="139" applyNumberFormat="0" applyProtection="0">
      <alignment horizontal="left" vertical="top" indent="1"/>
    </xf>
    <xf numFmtId="0" fontId="17" fillId="89" borderId="139" applyNumberFormat="0" applyProtection="0">
      <alignment horizontal="left" vertical="top" indent="1"/>
    </xf>
    <xf numFmtId="0" fontId="17" fillId="89" borderId="139" applyNumberFormat="0" applyProtection="0">
      <alignment horizontal="left" vertical="top" indent="1"/>
    </xf>
    <xf numFmtId="0" fontId="17" fillId="89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89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89" borderId="139" applyNumberFormat="0" applyProtection="0">
      <alignment horizontal="left" vertical="top" indent="1"/>
    </xf>
    <xf numFmtId="0" fontId="17" fillId="89" borderId="139" applyNumberFormat="0" applyProtection="0">
      <alignment horizontal="left" vertical="top" indent="1"/>
    </xf>
    <xf numFmtId="0" fontId="17" fillId="89" borderId="139" applyNumberFormat="0" applyProtection="0">
      <alignment horizontal="left" vertical="top" indent="1"/>
    </xf>
    <xf numFmtId="0" fontId="17" fillId="89" borderId="139" applyNumberFormat="0" applyProtection="0">
      <alignment horizontal="left" vertical="top" indent="1"/>
    </xf>
    <xf numFmtId="0" fontId="17" fillId="89" borderId="139" applyNumberFormat="0" applyProtection="0">
      <alignment horizontal="left" vertical="top" indent="1"/>
    </xf>
    <xf numFmtId="0" fontId="17" fillId="89" borderId="139" applyNumberFormat="0" applyProtection="0">
      <alignment horizontal="left" vertical="top" indent="1"/>
    </xf>
    <xf numFmtId="0" fontId="17" fillId="89" borderId="139" applyNumberFormat="0" applyProtection="0">
      <alignment horizontal="left" vertical="top" indent="1"/>
    </xf>
    <xf numFmtId="0" fontId="17" fillId="89" borderId="139" applyNumberFormat="0" applyProtection="0">
      <alignment horizontal="left" vertical="top" indent="1"/>
    </xf>
    <xf numFmtId="0" fontId="17" fillId="89" borderId="139" applyNumberFormat="0" applyProtection="0">
      <alignment horizontal="left" vertical="top" indent="1"/>
    </xf>
    <xf numFmtId="0" fontId="17" fillId="89" borderId="139" applyNumberFormat="0" applyProtection="0">
      <alignment horizontal="left" vertical="top" indent="1"/>
    </xf>
    <xf numFmtId="0" fontId="17" fillId="89" borderId="139" applyNumberFormat="0" applyProtection="0">
      <alignment horizontal="left" vertical="top" indent="1"/>
    </xf>
    <xf numFmtId="0" fontId="17" fillId="89" borderId="139" applyNumberFormat="0" applyProtection="0">
      <alignment horizontal="left" vertical="top" indent="1"/>
    </xf>
    <xf numFmtId="0" fontId="17" fillId="89" borderId="139" applyNumberFormat="0" applyProtection="0">
      <alignment horizontal="left" vertical="top" indent="1"/>
    </xf>
    <xf numFmtId="0" fontId="17" fillId="89" borderId="139" applyNumberFormat="0" applyProtection="0">
      <alignment horizontal="left" vertical="top" indent="1"/>
    </xf>
    <xf numFmtId="0" fontId="17" fillId="89" borderId="139" applyNumberFormat="0" applyProtection="0">
      <alignment horizontal="left" vertical="top" indent="1"/>
    </xf>
    <xf numFmtId="0" fontId="17" fillId="89" borderId="139" applyNumberFormat="0" applyProtection="0">
      <alignment horizontal="left" vertical="top" indent="1"/>
    </xf>
    <xf numFmtId="0" fontId="17" fillId="89" borderId="139" applyNumberFormat="0" applyProtection="0">
      <alignment horizontal="left" vertical="top" indent="1"/>
    </xf>
    <xf numFmtId="0" fontId="17" fillId="89" borderId="139" applyNumberFormat="0" applyProtection="0">
      <alignment horizontal="left" vertical="top" indent="1"/>
    </xf>
    <xf numFmtId="0" fontId="17" fillId="89" borderId="139" applyNumberFormat="0" applyProtection="0">
      <alignment horizontal="left" vertical="top" indent="1"/>
    </xf>
    <xf numFmtId="0" fontId="17" fillId="89" borderId="139" applyNumberFormat="0" applyProtection="0">
      <alignment horizontal="left" vertical="top" indent="1"/>
    </xf>
    <xf numFmtId="0" fontId="17" fillId="89" borderId="139" applyNumberFormat="0" applyProtection="0">
      <alignment horizontal="left" vertical="top" indent="1"/>
    </xf>
    <xf numFmtId="0" fontId="17" fillId="89" borderId="139" applyNumberFormat="0" applyProtection="0">
      <alignment horizontal="left" vertical="top" indent="1"/>
    </xf>
    <xf numFmtId="0" fontId="17" fillId="89" borderId="139" applyNumberFormat="0" applyProtection="0">
      <alignment horizontal="left" vertical="top" indent="1"/>
    </xf>
    <xf numFmtId="0" fontId="17" fillId="89" borderId="139" applyNumberFormat="0" applyProtection="0">
      <alignment horizontal="left" vertical="top" indent="1"/>
    </xf>
    <xf numFmtId="0" fontId="17" fillId="89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center" indent="1"/>
    </xf>
    <xf numFmtId="0" fontId="17" fillId="96" borderId="139" applyNumberFormat="0" applyProtection="0">
      <alignment horizontal="left" vertical="center" indent="1"/>
    </xf>
    <xf numFmtId="0" fontId="17" fillId="96" borderId="139" applyNumberFormat="0" applyProtection="0">
      <alignment horizontal="left" vertical="center" indent="1"/>
    </xf>
    <xf numFmtId="0" fontId="17" fillId="96" borderId="139" applyNumberFormat="0" applyProtection="0">
      <alignment horizontal="left" vertical="center" indent="1"/>
    </xf>
    <xf numFmtId="0" fontId="17" fillId="96" borderId="139" applyNumberFormat="0" applyProtection="0">
      <alignment horizontal="left" vertical="center" indent="1"/>
    </xf>
    <xf numFmtId="0" fontId="17" fillId="96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6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center" indent="1"/>
    </xf>
    <xf numFmtId="0" fontId="17" fillId="96" borderId="139" applyNumberFormat="0" applyProtection="0">
      <alignment horizontal="left" vertical="center" indent="1"/>
    </xf>
    <xf numFmtId="0" fontId="17" fillId="96" borderId="139" applyNumberFormat="0" applyProtection="0">
      <alignment horizontal="left" vertical="center" indent="1"/>
    </xf>
    <xf numFmtId="0" fontId="17" fillId="96" borderId="139" applyNumberFormat="0" applyProtection="0">
      <alignment horizontal="left" vertical="center" indent="1"/>
    </xf>
    <xf numFmtId="0" fontId="17" fillId="96" borderId="139" applyNumberFormat="0" applyProtection="0">
      <alignment horizontal="left" vertical="center" indent="1"/>
    </xf>
    <xf numFmtId="0" fontId="17" fillId="96" borderId="139" applyNumberFormat="0" applyProtection="0">
      <alignment horizontal="left" vertical="center" indent="1"/>
    </xf>
    <xf numFmtId="0" fontId="17" fillId="96" borderId="139" applyNumberFormat="0" applyProtection="0">
      <alignment horizontal="left" vertical="center" indent="1"/>
    </xf>
    <xf numFmtId="0" fontId="17" fillId="96" borderId="139" applyNumberFormat="0" applyProtection="0">
      <alignment horizontal="left" vertical="center" indent="1"/>
    </xf>
    <xf numFmtId="0" fontId="17" fillId="96" borderId="139" applyNumberFormat="0" applyProtection="0">
      <alignment horizontal="left" vertical="center" indent="1"/>
    </xf>
    <xf numFmtId="0" fontId="17" fillId="96" borderId="139" applyNumberFormat="0" applyProtection="0">
      <alignment horizontal="left" vertical="center" indent="1"/>
    </xf>
    <xf numFmtId="0" fontId="17" fillId="96" borderId="139" applyNumberFormat="0" applyProtection="0">
      <alignment horizontal="left" vertical="center" indent="1"/>
    </xf>
    <xf numFmtId="0" fontId="17" fillId="96" borderId="139" applyNumberFormat="0" applyProtection="0">
      <alignment horizontal="left" vertical="center" indent="1"/>
    </xf>
    <xf numFmtId="0" fontId="17" fillId="96" borderId="139" applyNumberFormat="0" applyProtection="0">
      <alignment horizontal="left" vertical="center" indent="1"/>
    </xf>
    <xf numFmtId="0" fontId="17" fillId="96" borderId="139" applyNumberFormat="0" applyProtection="0">
      <alignment horizontal="left" vertical="center" indent="1"/>
    </xf>
    <xf numFmtId="0" fontId="17" fillId="96" borderId="139" applyNumberFormat="0" applyProtection="0">
      <alignment horizontal="left" vertical="center" indent="1"/>
    </xf>
    <xf numFmtId="0" fontId="17" fillId="96" borderId="139" applyNumberFormat="0" applyProtection="0">
      <alignment horizontal="left" vertical="center" indent="1"/>
    </xf>
    <xf numFmtId="0" fontId="17" fillId="96" borderId="139" applyNumberFormat="0" applyProtection="0">
      <alignment horizontal="left" vertical="center" indent="1"/>
    </xf>
    <xf numFmtId="0" fontId="17" fillId="96" borderId="139" applyNumberFormat="0" applyProtection="0">
      <alignment horizontal="left" vertical="center" indent="1"/>
    </xf>
    <xf numFmtId="0" fontId="17" fillId="96" borderId="139" applyNumberFormat="0" applyProtection="0">
      <alignment horizontal="left" vertical="center" indent="1"/>
    </xf>
    <xf numFmtId="0" fontId="17" fillId="96" borderId="139" applyNumberFormat="0" applyProtection="0">
      <alignment horizontal="left" vertical="center" indent="1"/>
    </xf>
    <xf numFmtId="0" fontId="17" fillId="96" borderId="139" applyNumberFormat="0" applyProtection="0">
      <alignment horizontal="left" vertical="center" indent="1"/>
    </xf>
    <xf numFmtId="0" fontId="17" fillId="96" borderId="139" applyNumberFormat="0" applyProtection="0">
      <alignment horizontal="left" vertical="center" indent="1"/>
    </xf>
    <xf numFmtId="0" fontId="17" fillId="96" borderId="139" applyNumberFormat="0" applyProtection="0">
      <alignment horizontal="left" vertical="center" indent="1"/>
    </xf>
    <xf numFmtId="0" fontId="17" fillId="96" borderId="139" applyNumberFormat="0" applyProtection="0">
      <alignment horizontal="left" vertical="center" indent="1"/>
    </xf>
    <xf numFmtId="0" fontId="17" fillId="96" borderId="139" applyNumberFormat="0" applyProtection="0">
      <alignment horizontal="left" vertical="center" indent="1"/>
    </xf>
    <xf numFmtId="0" fontId="17" fillId="96" borderId="139" applyNumberFormat="0" applyProtection="0">
      <alignment horizontal="left" vertical="center" indent="1"/>
    </xf>
    <xf numFmtId="0" fontId="17" fillId="96" borderId="139" applyNumberFormat="0" applyProtection="0">
      <alignment horizontal="left" vertical="center" indent="1"/>
    </xf>
    <xf numFmtId="0" fontId="17" fillId="96" borderId="139" applyNumberFormat="0" applyProtection="0">
      <alignment horizontal="left" vertical="top" indent="1"/>
    </xf>
    <xf numFmtId="0" fontId="17" fillId="96" borderId="139" applyNumberFormat="0" applyProtection="0">
      <alignment horizontal="left" vertical="top" indent="1"/>
    </xf>
    <xf numFmtId="0" fontId="17" fillId="96" borderId="139" applyNumberFormat="0" applyProtection="0">
      <alignment horizontal="left" vertical="top" indent="1"/>
    </xf>
    <xf numFmtId="0" fontId="17" fillId="96" borderId="139" applyNumberFormat="0" applyProtection="0">
      <alignment horizontal="left" vertical="top" indent="1"/>
    </xf>
    <xf numFmtId="0" fontId="17" fillId="96" borderId="139" applyNumberFormat="0" applyProtection="0">
      <alignment horizontal="left" vertical="top" indent="1"/>
    </xf>
    <xf numFmtId="0" fontId="17" fillId="96" borderId="139" applyNumberFormat="0" applyProtection="0">
      <alignment horizontal="left" vertical="top" indent="1"/>
    </xf>
    <xf numFmtId="0" fontId="17" fillId="96" borderId="139" applyNumberFormat="0" applyProtection="0">
      <alignment horizontal="left" vertical="top" indent="1"/>
    </xf>
    <xf numFmtId="0" fontId="17" fillId="96" borderId="139" applyNumberFormat="0" applyProtection="0">
      <alignment horizontal="left" vertical="top" indent="1"/>
    </xf>
    <xf numFmtId="0" fontId="17" fillId="96" borderId="139" applyNumberFormat="0" applyProtection="0">
      <alignment horizontal="left" vertical="top" indent="1"/>
    </xf>
    <xf numFmtId="0" fontId="17" fillId="96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6" borderId="139" applyNumberFormat="0" applyProtection="0">
      <alignment horizontal="left" vertical="top" indent="1"/>
    </xf>
    <xf numFmtId="0" fontId="17" fillId="96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5" borderId="139" applyNumberFormat="0" applyProtection="0">
      <alignment horizontal="left" vertical="top" indent="1"/>
    </xf>
    <xf numFmtId="0" fontId="17" fillId="96" borderId="139" applyNumberFormat="0" applyProtection="0">
      <alignment horizontal="left" vertical="top" indent="1"/>
    </xf>
    <xf numFmtId="0" fontId="17" fillId="96" borderId="139" applyNumberFormat="0" applyProtection="0">
      <alignment horizontal="left" vertical="top" indent="1"/>
    </xf>
    <xf numFmtId="0" fontId="17" fillId="96" borderId="139" applyNumberFormat="0" applyProtection="0">
      <alignment horizontal="left" vertical="top" indent="1"/>
    </xf>
    <xf numFmtId="0" fontId="17" fillId="96" borderId="139" applyNumberFormat="0" applyProtection="0">
      <alignment horizontal="left" vertical="top" indent="1"/>
    </xf>
    <xf numFmtId="0" fontId="17" fillId="96" borderId="139" applyNumberFormat="0" applyProtection="0">
      <alignment horizontal="left" vertical="top" indent="1"/>
    </xf>
    <xf numFmtId="0" fontId="17" fillId="96" borderId="139" applyNumberFormat="0" applyProtection="0">
      <alignment horizontal="left" vertical="top" indent="1"/>
    </xf>
    <xf numFmtId="0" fontId="17" fillId="96" borderId="139" applyNumberFormat="0" applyProtection="0">
      <alignment horizontal="left" vertical="top" indent="1"/>
    </xf>
    <xf numFmtId="0" fontId="17" fillId="96" borderId="139" applyNumberFormat="0" applyProtection="0">
      <alignment horizontal="left" vertical="top" indent="1"/>
    </xf>
    <xf numFmtId="0" fontId="17" fillId="96" borderId="139" applyNumberFormat="0" applyProtection="0">
      <alignment horizontal="left" vertical="top" indent="1"/>
    </xf>
    <xf numFmtId="0" fontId="17" fillId="96" borderId="139" applyNumberFormat="0" applyProtection="0">
      <alignment horizontal="left" vertical="top" indent="1"/>
    </xf>
    <xf numFmtId="0" fontId="17" fillId="96" borderId="139" applyNumberFormat="0" applyProtection="0">
      <alignment horizontal="left" vertical="top" indent="1"/>
    </xf>
    <xf numFmtId="0" fontId="17" fillId="96" borderId="139" applyNumberFormat="0" applyProtection="0">
      <alignment horizontal="left" vertical="top" indent="1"/>
    </xf>
    <xf numFmtId="0" fontId="17" fillId="96" borderId="139" applyNumberFormat="0" applyProtection="0">
      <alignment horizontal="left" vertical="top" indent="1"/>
    </xf>
    <xf numFmtId="0" fontId="17" fillId="96" borderId="139" applyNumberFormat="0" applyProtection="0">
      <alignment horizontal="left" vertical="top" indent="1"/>
    </xf>
    <xf numFmtId="0" fontId="17" fillId="96" borderId="139" applyNumberFormat="0" applyProtection="0">
      <alignment horizontal="left" vertical="top" indent="1"/>
    </xf>
    <xf numFmtId="0" fontId="17" fillId="96" borderId="139" applyNumberFormat="0" applyProtection="0">
      <alignment horizontal="left" vertical="top" indent="1"/>
    </xf>
    <xf numFmtId="0" fontId="17" fillId="96" borderId="139" applyNumberFormat="0" applyProtection="0">
      <alignment horizontal="left" vertical="top" indent="1"/>
    </xf>
    <xf numFmtId="0" fontId="17" fillId="96" borderId="139" applyNumberFormat="0" applyProtection="0">
      <alignment horizontal="left" vertical="top" indent="1"/>
    </xf>
    <xf numFmtId="0" fontId="17" fillId="96" borderId="139" applyNumberFormat="0" applyProtection="0">
      <alignment horizontal="left" vertical="top" indent="1"/>
    </xf>
    <xf numFmtId="0" fontId="17" fillId="96" borderId="139" applyNumberFormat="0" applyProtection="0">
      <alignment horizontal="left" vertical="top" indent="1"/>
    </xf>
    <xf numFmtId="0" fontId="17" fillId="96" borderId="139" applyNumberFormat="0" applyProtection="0">
      <alignment horizontal="left" vertical="top" indent="1"/>
    </xf>
    <xf numFmtId="0" fontId="17" fillId="96" borderId="139" applyNumberFormat="0" applyProtection="0">
      <alignment horizontal="left" vertical="top" indent="1"/>
    </xf>
    <xf numFmtId="0" fontId="17" fillId="96" borderId="139" applyNumberFormat="0" applyProtection="0">
      <alignment horizontal="left" vertical="top" indent="1"/>
    </xf>
    <xf numFmtId="0" fontId="17" fillId="96" borderId="139" applyNumberFormat="0" applyProtection="0">
      <alignment horizontal="left" vertical="top" indent="1"/>
    </xf>
    <xf numFmtId="0" fontId="17" fillId="96" borderId="139" applyNumberFormat="0" applyProtection="0">
      <alignment horizontal="left" vertical="top" indent="1"/>
    </xf>
    <xf numFmtId="0" fontId="17" fillId="96" borderId="139" applyNumberFormat="0" applyProtection="0">
      <alignment horizontal="left" vertical="top" indent="1"/>
    </xf>
    <xf numFmtId="0" fontId="17" fillId="96" borderId="139" applyNumberFormat="0" applyProtection="0">
      <alignment horizontal="left" vertical="top" indent="1"/>
    </xf>
    <xf numFmtId="0" fontId="17" fillId="96" borderId="139" applyNumberFormat="0" applyProtection="0">
      <alignment horizontal="left" vertical="top" indent="1"/>
    </xf>
    <xf numFmtId="0" fontId="17" fillId="96" borderId="139" applyNumberFormat="0" applyProtection="0">
      <alignment horizontal="left" vertical="top" indent="1"/>
    </xf>
    <xf numFmtId="0" fontId="17" fillId="96" borderId="139" applyNumberFormat="0" applyProtection="0">
      <alignment horizontal="left" vertical="top" indent="1"/>
    </xf>
    <xf numFmtId="0" fontId="17" fillId="96" borderId="139" applyNumberFormat="0" applyProtection="0">
      <alignment horizontal="left" vertical="top" indent="1"/>
    </xf>
    <xf numFmtId="0" fontId="17" fillId="96" borderId="139" applyNumberFormat="0" applyProtection="0">
      <alignment horizontal="left" vertical="top" indent="1"/>
    </xf>
    <xf numFmtId="0" fontId="17" fillId="96" borderId="139" applyNumberFormat="0" applyProtection="0">
      <alignment horizontal="left" vertical="top" indent="1"/>
    </xf>
    <xf numFmtId="0" fontId="17" fillId="96" borderId="139" applyNumberFormat="0" applyProtection="0">
      <alignment horizontal="left" vertical="top" indent="1"/>
    </xf>
    <xf numFmtId="0" fontId="17" fillId="96" borderId="139" applyNumberFormat="0" applyProtection="0">
      <alignment horizontal="left" vertical="top" indent="1"/>
    </xf>
    <xf numFmtId="0" fontId="17" fillId="96" borderId="139" applyNumberFormat="0" applyProtection="0">
      <alignment horizontal="left" vertical="top" indent="1"/>
    </xf>
    <xf numFmtId="0" fontId="17" fillId="96" borderId="139" applyNumberFormat="0" applyProtection="0">
      <alignment horizontal="left" vertical="top" indent="1"/>
    </xf>
    <xf numFmtId="0" fontId="17" fillId="96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center" indent="1"/>
    </xf>
    <xf numFmtId="0" fontId="17" fillId="42" borderId="139" applyNumberFormat="0" applyProtection="0">
      <alignment horizontal="left" vertical="center" indent="1"/>
    </xf>
    <xf numFmtId="0" fontId="17" fillId="42" borderId="139" applyNumberFormat="0" applyProtection="0">
      <alignment horizontal="left" vertical="center" indent="1"/>
    </xf>
    <xf numFmtId="0" fontId="17" fillId="42" borderId="139" applyNumberFormat="0" applyProtection="0">
      <alignment horizontal="left" vertical="center" indent="1"/>
    </xf>
    <xf numFmtId="0" fontId="17" fillId="42" borderId="139" applyNumberFormat="0" applyProtection="0">
      <alignment horizontal="left" vertical="center" indent="1"/>
    </xf>
    <xf numFmtId="0" fontId="17" fillId="42" borderId="139" applyNumberFormat="0" applyProtection="0">
      <alignment horizontal="left" vertical="center" indent="1"/>
    </xf>
    <xf numFmtId="0" fontId="17" fillId="42" borderId="139" applyNumberFormat="0" applyProtection="0">
      <alignment horizontal="left" vertical="center" indent="1"/>
    </xf>
    <xf numFmtId="0" fontId="17" fillId="42" borderId="139" applyNumberFormat="0" applyProtection="0">
      <alignment horizontal="left" vertical="center" indent="1"/>
    </xf>
    <xf numFmtId="0" fontId="17" fillId="42" borderId="139" applyNumberFormat="0" applyProtection="0">
      <alignment horizontal="left" vertical="center" indent="1"/>
    </xf>
    <xf numFmtId="0" fontId="17" fillId="42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center" indent="1"/>
    </xf>
    <xf numFmtId="0" fontId="17" fillId="42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center" indent="1"/>
    </xf>
    <xf numFmtId="0" fontId="17" fillId="42" borderId="139" applyNumberFormat="0" applyProtection="0">
      <alignment horizontal="left" vertical="center" indent="1"/>
    </xf>
    <xf numFmtId="0" fontId="17" fillId="42" borderId="139" applyNumberFormat="0" applyProtection="0">
      <alignment horizontal="left" vertical="center" indent="1"/>
    </xf>
    <xf numFmtId="0" fontId="17" fillId="42" borderId="139" applyNumberFormat="0" applyProtection="0">
      <alignment horizontal="left" vertical="center" indent="1"/>
    </xf>
    <xf numFmtId="0" fontId="17" fillId="42" borderId="139" applyNumberFormat="0" applyProtection="0">
      <alignment horizontal="left" vertical="center" indent="1"/>
    </xf>
    <xf numFmtId="0" fontId="17" fillId="42" borderId="139" applyNumberFormat="0" applyProtection="0">
      <alignment horizontal="left" vertical="center" indent="1"/>
    </xf>
    <xf numFmtId="0" fontId="17" fillId="42" borderId="139" applyNumberFormat="0" applyProtection="0">
      <alignment horizontal="left" vertical="center" indent="1"/>
    </xf>
    <xf numFmtId="0" fontId="17" fillId="42" borderId="139" applyNumberFormat="0" applyProtection="0">
      <alignment horizontal="left" vertical="center" indent="1"/>
    </xf>
    <xf numFmtId="0" fontId="17" fillId="42" borderId="139" applyNumberFormat="0" applyProtection="0">
      <alignment horizontal="left" vertical="center" indent="1"/>
    </xf>
    <xf numFmtId="0" fontId="17" fillId="42" borderId="139" applyNumberFormat="0" applyProtection="0">
      <alignment horizontal="left" vertical="center" indent="1"/>
    </xf>
    <xf numFmtId="0" fontId="17" fillId="42" borderId="139" applyNumberFormat="0" applyProtection="0">
      <alignment horizontal="left" vertical="center" indent="1"/>
    </xf>
    <xf numFmtId="0" fontId="17" fillId="42" borderId="139" applyNumberFormat="0" applyProtection="0">
      <alignment horizontal="left" vertical="center" indent="1"/>
    </xf>
    <xf numFmtId="0" fontId="17" fillId="42" borderId="139" applyNumberFormat="0" applyProtection="0">
      <alignment horizontal="left" vertical="center" indent="1"/>
    </xf>
    <xf numFmtId="0" fontId="17" fillId="42" borderId="139" applyNumberFormat="0" applyProtection="0">
      <alignment horizontal="left" vertical="center" indent="1"/>
    </xf>
    <xf numFmtId="0" fontId="17" fillId="42" borderId="139" applyNumberFormat="0" applyProtection="0">
      <alignment horizontal="left" vertical="center" indent="1"/>
    </xf>
    <xf numFmtId="0" fontId="17" fillId="42" borderId="139" applyNumberFormat="0" applyProtection="0">
      <alignment horizontal="left" vertical="center" indent="1"/>
    </xf>
    <xf numFmtId="0" fontId="17" fillId="42" borderId="139" applyNumberFormat="0" applyProtection="0">
      <alignment horizontal="left" vertical="center" indent="1"/>
    </xf>
    <xf numFmtId="0" fontId="17" fillId="42" borderId="139" applyNumberFormat="0" applyProtection="0">
      <alignment horizontal="left" vertical="center" indent="1"/>
    </xf>
    <xf numFmtId="0" fontId="17" fillId="42" borderId="139" applyNumberFormat="0" applyProtection="0">
      <alignment horizontal="left" vertical="center" indent="1"/>
    </xf>
    <xf numFmtId="0" fontId="17" fillId="42" borderId="139" applyNumberFormat="0" applyProtection="0">
      <alignment horizontal="left" vertical="center" indent="1"/>
    </xf>
    <xf numFmtId="0" fontId="17" fillId="42" borderId="139" applyNumberFormat="0" applyProtection="0">
      <alignment horizontal="left" vertical="center" indent="1"/>
    </xf>
    <xf numFmtId="0" fontId="17" fillId="42" borderId="139" applyNumberFormat="0" applyProtection="0">
      <alignment horizontal="left" vertical="center" indent="1"/>
    </xf>
    <xf numFmtId="0" fontId="17" fillId="42" borderId="139" applyNumberFormat="0" applyProtection="0">
      <alignment horizontal="left" vertical="center" indent="1"/>
    </xf>
    <xf numFmtId="0" fontId="17" fillId="42" borderId="139" applyNumberFormat="0" applyProtection="0">
      <alignment horizontal="left" vertical="center" indent="1"/>
    </xf>
    <xf numFmtId="0" fontId="17" fillId="42" borderId="139" applyNumberFormat="0" applyProtection="0">
      <alignment horizontal="left" vertical="center" indent="1"/>
    </xf>
    <xf numFmtId="0" fontId="17" fillId="42" borderId="139" applyNumberFormat="0" applyProtection="0">
      <alignment horizontal="left" vertical="center" indent="1"/>
    </xf>
    <xf numFmtId="0" fontId="17" fillId="42" borderId="139" applyNumberFormat="0" applyProtection="0">
      <alignment horizontal="left" vertical="center" indent="1"/>
    </xf>
    <xf numFmtId="0" fontId="17" fillId="42" borderId="139" applyNumberFormat="0" applyProtection="0">
      <alignment horizontal="left" vertical="center" indent="1"/>
    </xf>
    <xf numFmtId="0" fontId="17" fillId="42" borderId="139" applyNumberFormat="0" applyProtection="0">
      <alignment horizontal="left" vertical="center" indent="1"/>
    </xf>
    <xf numFmtId="0" fontId="17" fillId="42" borderId="139" applyNumberFormat="0" applyProtection="0">
      <alignment horizontal="left" vertical="center" indent="1"/>
    </xf>
    <xf numFmtId="0" fontId="17" fillId="42" borderId="139" applyNumberFormat="0" applyProtection="0">
      <alignment horizontal="left" vertical="center" indent="1"/>
    </xf>
    <xf numFmtId="0" fontId="17" fillId="42" borderId="139" applyNumberFormat="0" applyProtection="0">
      <alignment horizontal="left" vertical="center" indent="1"/>
    </xf>
    <xf numFmtId="0" fontId="17" fillId="42" borderId="139" applyNumberFormat="0" applyProtection="0">
      <alignment horizontal="left" vertical="center" indent="1"/>
    </xf>
    <xf numFmtId="0" fontId="17" fillId="42" borderId="139" applyNumberFormat="0" applyProtection="0">
      <alignment horizontal="left" vertical="center" indent="1"/>
    </xf>
    <xf numFmtId="0" fontId="17" fillId="42" borderId="139" applyNumberFormat="0" applyProtection="0">
      <alignment horizontal="left" vertical="center" indent="1"/>
    </xf>
    <xf numFmtId="0" fontId="17" fillId="42" borderId="139" applyNumberFormat="0" applyProtection="0">
      <alignment horizontal="left" vertical="center" indent="1"/>
    </xf>
    <xf numFmtId="0" fontId="17" fillId="42" borderId="139" applyNumberFormat="0" applyProtection="0">
      <alignment horizontal="left" vertical="center" indent="1"/>
    </xf>
    <xf numFmtId="0" fontId="17" fillId="42" borderId="139" applyNumberFormat="0" applyProtection="0">
      <alignment horizontal="left" vertical="center" indent="1"/>
    </xf>
    <xf numFmtId="0" fontId="17" fillId="42" borderId="139" applyNumberFormat="0" applyProtection="0">
      <alignment horizontal="left" vertical="center" indent="1"/>
    </xf>
    <xf numFmtId="0" fontId="17" fillId="42" borderId="139" applyNumberFormat="0" applyProtection="0">
      <alignment horizontal="left" vertical="center" indent="1"/>
    </xf>
    <xf numFmtId="0" fontId="17" fillId="42" borderId="139" applyNumberFormat="0" applyProtection="0">
      <alignment horizontal="left" vertical="center" indent="1"/>
    </xf>
    <xf numFmtId="0" fontId="17" fillId="42" borderId="139" applyNumberFormat="0" applyProtection="0">
      <alignment horizontal="left" vertical="center" indent="1"/>
    </xf>
    <xf numFmtId="0" fontId="17" fillId="42" borderId="139" applyNumberFormat="0" applyProtection="0">
      <alignment horizontal="left" vertical="center" indent="1"/>
    </xf>
    <xf numFmtId="0" fontId="17" fillId="42" borderId="139" applyNumberFormat="0" applyProtection="0">
      <alignment horizontal="left" vertical="center" indent="1"/>
    </xf>
    <xf numFmtId="0" fontId="17" fillId="42" borderId="139" applyNumberFormat="0" applyProtection="0">
      <alignment horizontal="left" vertical="center" indent="1"/>
    </xf>
    <xf numFmtId="0" fontId="17" fillId="42" borderId="139" applyNumberFormat="0" applyProtection="0">
      <alignment horizontal="left" vertical="center" indent="1"/>
    </xf>
    <xf numFmtId="0" fontId="17" fillId="42" borderId="139" applyNumberFormat="0" applyProtection="0">
      <alignment horizontal="left" vertical="center" indent="1"/>
    </xf>
    <xf numFmtId="0" fontId="17" fillId="42" borderId="139" applyNumberFormat="0" applyProtection="0">
      <alignment horizontal="left" vertical="center" indent="1"/>
    </xf>
    <xf numFmtId="0" fontId="17" fillId="42" borderId="139" applyNumberFormat="0" applyProtection="0">
      <alignment horizontal="left" vertical="center" indent="1"/>
    </xf>
    <xf numFmtId="0" fontId="17" fillId="42" borderId="139" applyNumberFormat="0" applyProtection="0">
      <alignment horizontal="left" vertical="center" indent="1"/>
    </xf>
    <xf numFmtId="0" fontId="17" fillId="42" borderId="139" applyNumberFormat="0" applyProtection="0">
      <alignment horizontal="left" vertical="top" indent="1"/>
    </xf>
    <xf numFmtId="0" fontId="17" fillId="42" borderId="139" applyNumberFormat="0" applyProtection="0">
      <alignment horizontal="left" vertical="top" indent="1"/>
    </xf>
    <xf numFmtId="0" fontId="17" fillId="42" borderId="139" applyNumberFormat="0" applyProtection="0">
      <alignment horizontal="left" vertical="top" indent="1"/>
    </xf>
    <xf numFmtId="0" fontId="17" fillId="42" borderId="139" applyNumberFormat="0" applyProtection="0">
      <alignment horizontal="left" vertical="top" indent="1"/>
    </xf>
    <xf numFmtId="0" fontId="17" fillId="42" borderId="139" applyNumberFormat="0" applyProtection="0">
      <alignment horizontal="left" vertical="top" indent="1"/>
    </xf>
    <xf numFmtId="0" fontId="17" fillId="42" borderId="139" applyNumberFormat="0" applyProtection="0">
      <alignment horizontal="left" vertical="top" indent="1"/>
    </xf>
    <xf numFmtId="0" fontId="17" fillId="42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42" borderId="139" applyNumberFormat="0" applyProtection="0">
      <alignment horizontal="left" vertical="top" indent="1"/>
    </xf>
    <xf numFmtId="0" fontId="17" fillId="42" borderId="139" applyNumberFormat="0" applyProtection="0">
      <alignment horizontal="left" vertical="top" indent="1"/>
    </xf>
    <xf numFmtId="0" fontId="17" fillId="42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center" indent="1"/>
    </xf>
    <xf numFmtId="0" fontId="17" fillId="42" borderId="139" applyNumberFormat="0" applyProtection="0">
      <alignment horizontal="left" vertical="top" indent="1"/>
    </xf>
    <xf numFmtId="0" fontId="17" fillId="42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42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center" indent="1"/>
    </xf>
    <xf numFmtId="0" fontId="17" fillId="42" borderId="139" applyNumberFormat="0" applyProtection="0">
      <alignment horizontal="left" vertical="top" indent="1"/>
    </xf>
    <xf numFmtId="0" fontId="17" fillId="42" borderId="139" applyNumberFormat="0" applyProtection="0">
      <alignment horizontal="left" vertical="top" indent="1"/>
    </xf>
    <xf numFmtId="0" fontId="17" fillId="42" borderId="139" applyNumberFormat="0" applyProtection="0">
      <alignment horizontal="left" vertical="top" indent="1"/>
    </xf>
    <xf numFmtId="0" fontId="17" fillId="42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42" borderId="139" applyNumberFormat="0" applyProtection="0">
      <alignment horizontal="left" vertical="top" indent="1"/>
    </xf>
    <xf numFmtId="0" fontId="17" fillId="42" borderId="139" applyNumberFormat="0" applyProtection="0">
      <alignment horizontal="left" vertical="top" indent="1"/>
    </xf>
    <xf numFmtId="0" fontId="17" fillId="42" borderId="139" applyNumberFormat="0" applyProtection="0">
      <alignment horizontal="left" vertical="top" indent="1"/>
    </xf>
    <xf numFmtId="0" fontId="17" fillId="42" borderId="139" applyNumberFormat="0" applyProtection="0">
      <alignment horizontal="left" vertical="top" indent="1"/>
    </xf>
    <xf numFmtId="0" fontId="17" fillId="42" borderId="139" applyNumberFormat="0" applyProtection="0">
      <alignment horizontal="left" vertical="top" indent="1"/>
    </xf>
    <xf numFmtId="0" fontId="17" fillId="42" borderId="139" applyNumberFormat="0" applyProtection="0">
      <alignment horizontal="left" vertical="top" indent="1"/>
    </xf>
    <xf numFmtId="0" fontId="17" fillId="42" borderId="139" applyNumberFormat="0" applyProtection="0">
      <alignment horizontal="left" vertical="top" indent="1"/>
    </xf>
    <xf numFmtId="0" fontId="17" fillId="42" borderId="139" applyNumberFormat="0" applyProtection="0">
      <alignment horizontal="left" vertical="top" indent="1"/>
    </xf>
    <xf numFmtId="0" fontId="17" fillId="42" borderId="139" applyNumberFormat="0" applyProtection="0">
      <alignment horizontal="left" vertical="top" indent="1"/>
    </xf>
    <xf numFmtId="0" fontId="17" fillId="42" borderId="139" applyNumberFormat="0" applyProtection="0">
      <alignment horizontal="left" vertical="top" indent="1"/>
    </xf>
    <xf numFmtId="0" fontId="17" fillId="42" borderId="139" applyNumberFormat="0" applyProtection="0">
      <alignment horizontal="left" vertical="top" indent="1"/>
    </xf>
    <xf numFmtId="0" fontId="17" fillId="42" borderId="139" applyNumberFormat="0" applyProtection="0">
      <alignment horizontal="left" vertical="top" indent="1"/>
    </xf>
    <xf numFmtId="0" fontId="17" fillId="42" borderId="139" applyNumberFormat="0" applyProtection="0">
      <alignment horizontal="left" vertical="top" indent="1"/>
    </xf>
    <xf numFmtId="0" fontId="17" fillId="42" borderId="139" applyNumberFormat="0" applyProtection="0">
      <alignment horizontal="left" vertical="top" indent="1"/>
    </xf>
    <xf numFmtId="0" fontId="17" fillId="42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center" indent="1"/>
    </xf>
    <xf numFmtId="0" fontId="17" fillId="42" borderId="139" applyNumberFormat="0" applyProtection="0">
      <alignment horizontal="left" vertical="top" indent="1"/>
    </xf>
    <xf numFmtId="0" fontId="17" fillId="42" borderId="139" applyNumberFormat="0" applyProtection="0">
      <alignment horizontal="left" vertical="top" indent="1"/>
    </xf>
    <xf numFmtId="0" fontId="17" fillId="42" borderId="139" applyNumberFormat="0" applyProtection="0">
      <alignment horizontal="left" vertical="top" indent="1"/>
    </xf>
    <xf numFmtId="0" fontId="17" fillId="42" borderId="139" applyNumberFormat="0" applyProtection="0">
      <alignment horizontal="left" vertical="top" indent="1"/>
    </xf>
    <xf numFmtId="0" fontId="17" fillId="42" borderId="139" applyNumberFormat="0" applyProtection="0">
      <alignment horizontal="left" vertical="top" indent="1"/>
    </xf>
    <xf numFmtId="0" fontId="17" fillId="42" borderId="139" applyNumberFormat="0" applyProtection="0">
      <alignment horizontal="left" vertical="top" indent="1"/>
    </xf>
    <xf numFmtId="0" fontId="17" fillId="42" borderId="139" applyNumberFormat="0" applyProtection="0">
      <alignment horizontal="left" vertical="top" indent="1"/>
    </xf>
    <xf numFmtId="0" fontId="17" fillId="42" borderId="139" applyNumberFormat="0" applyProtection="0">
      <alignment horizontal="left" vertical="top" indent="1"/>
    </xf>
    <xf numFmtId="0" fontId="17" fillId="42" borderId="139" applyNumberFormat="0" applyProtection="0">
      <alignment horizontal="left" vertical="top" indent="1"/>
    </xf>
    <xf numFmtId="0" fontId="17" fillId="42" borderId="139" applyNumberFormat="0" applyProtection="0">
      <alignment horizontal="left" vertical="top" indent="1"/>
    </xf>
    <xf numFmtId="0" fontId="17" fillId="42" borderId="139" applyNumberFormat="0" applyProtection="0">
      <alignment horizontal="left" vertical="top" indent="1"/>
    </xf>
    <xf numFmtId="0" fontId="17" fillId="42" borderId="139" applyNumberFormat="0" applyProtection="0">
      <alignment horizontal="left" vertical="top" indent="1"/>
    </xf>
    <xf numFmtId="0" fontId="17" fillId="42" borderId="139" applyNumberFormat="0" applyProtection="0">
      <alignment horizontal="left" vertical="top" indent="1"/>
    </xf>
    <xf numFmtId="0" fontId="17" fillId="42" borderId="139" applyNumberFormat="0" applyProtection="0">
      <alignment horizontal="left" vertical="top" indent="1"/>
    </xf>
    <xf numFmtId="0" fontId="17" fillId="42" borderId="139" applyNumberFormat="0" applyProtection="0">
      <alignment horizontal="left" vertical="top" indent="1"/>
    </xf>
    <xf numFmtId="0" fontId="17" fillId="42" borderId="139" applyNumberFormat="0" applyProtection="0">
      <alignment horizontal="left" vertical="top" indent="1"/>
    </xf>
    <xf numFmtId="0" fontId="17" fillId="42" borderId="139" applyNumberFormat="0" applyProtection="0">
      <alignment horizontal="left" vertical="top" indent="1"/>
    </xf>
    <xf numFmtId="0" fontId="17" fillId="42" borderId="139" applyNumberFormat="0" applyProtection="0">
      <alignment horizontal="left" vertical="top" indent="1"/>
    </xf>
    <xf numFmtId="0" fontId="17" fillId="42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42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center" indent="1"/>
    </xf>
    <xf numFmtId="0" fontId="17" fillId="42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42" borderId="139" applyNumberFormat="0" applyProtection="0">
      <alignment horizontal="left" vertical="top" indent="1"/>
    </xf>
    <xf numFmtId="0" fontId="17" fillId="96" borderId="139" applyNumberFormat="0" applyProtection="0">
      <alignment horizontal="left" vertical="top" indent="1"/>
    </xf>
    <xf numFmtId="0" fontId="17" fillId="96" borderId="139" applyNumberFormat="0" applyProtection="0">
      <alignment horizontal="left" vertical="top" indent="1"/>
    </xf>
    <xf numFmtId="0" fontId="17" fillId="96" borderId="139" applyNumberFormat="0" applyProtection="0">
      <alignment horizontal="left" vertical="top" indent="1"/>
    </xf>
    <xf numFmtId="0" fontId="17" fillId="96" borderId="139" applyNumberFormat="0" applyProtection="0">
      <alignment horizontal="left" vertical="top" indent="1"/>
    </xf>
    <xf numFmtId="0" fontId="17" fillId="96" borderId="139" applyNumberFormat="0" applyProtection="0">
      <alignment horizontal="left" vertical="top" indent="1"/>
    </xf>
    <xf numFmtId="0" fontId="17" fillId="96" borderId="139" applyNumberFormat="0" applyProtection="0">
      <alignment horizontal="left" vertical="top" indent="1"/>
    </xf>
    <xf numFmtId="0" fontId="17" fillId="96" borderId="139" applyNumberFormat="0" applyProtection="0">
      <alignment horizontal="left" vertical="top" indent="1"/>
    </xf>
    <xf numFmtId="0" fontId="17" fillId="96" borderId="139" applyNumberFormat="0" applyProtection="0">
      <alignment horizontal="left" vertical="top" indent="1"/>
    </xf>
    <xf numFmtId="0" fontId="17" fillId="96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42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center" indent="1"/>
    </xf>
    <xf numFmtId="0" fontId="17" fillId="49" borderId="139" applyNumberFormat="0" applyProtection="0">
      <alignment horizontal="left" vertical="top" indent="1"/>
    </xf>
    <xf numFmtId="0" fontId="17" fillId="42" borderId="139" applyNumberFormat="0" applyProtection="0">
      <alignment horizontal="left" vertical="top" indent="1"/>
    </xf>
    <xf numFmtId="0" fontId="17" fillId="4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center" indent="1"/>
    </xf>
    <xf numFmtId="0" fontId="17" fillId="82" borderId="139" applyNumberFormat="0" applyProtection="0">
      <alignment horizontal="left" vertical="center" indent="1"/>
    </xf>
    <xf numFmtId="0" fontId="17" fillId="82" borderId="139" applyNumberFormat="0" applyProtection="0">
      <alignment horizontal="left" vertical="center" indent="1"/>
    </xf>
    <xf numFmtId="0" fontId="17" fillId="82" borderId="139" applyNumberFormat="0" applyProtection="0">
      <alignment horizontal="left" vertical="center" indent="1"/>
    </xf>
    <xf numFmtId="0" fontId="17" fillId="82" borderId="139" applyNumberFormat="0" applyProtection="0">
      <alignment horizontal="left" vertical="center" indent="1"/>
    </xf>
    <xf numFmtId="0" fontId="17" fillId="82" borderId="139" applyNumberFormat="0" applyProtection="0">
      <alignment horizontal="left" vertical="center" indent="1"/>
    </xf>
    <xf numFmtId="0" fontId="17" fillId="82" borderId="139" applyNumberFormat="0" applyProtection="0">
      <alignment horizontal="left" vertical="center" indent="1"/>
    </xf>
    <xf numFmtId="0" fontId="17" fillId="8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82" borderId="139" applyNumberFormat="0" applyProtection="0">
      <alignment horizontal="left" vertical="center" indent="1"/>
    </xf>
    <xf numFmtId="0" fontId="17" fillId="8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82" borderId="139" applyNumberFormat="0" applyProtection="0">
      <alignment horizontal="left" vertical="center" indent="1"/>
    </xf>
    <xf numFmtId="0" fontId="17" fillId="82" borderId="139" applyNumberFormat="0" applyProtection="0">
      <alignment horizontal="left" vertical="center" indent="1"/>
    </xf>
    <xf numFmtId="0" fontId="17" fillId="82" borderId="139" applyNumberFormat="0" applyProtection="0">
      <alignment horizontal="left" vertical="center" indent="1"/>
    </xf>
    <xf numFmtId="0" fontId="17" fillId="82" borderId="139" applyNumberFormat="0" applyProtection="0">
      <alignment horizontal="left" vertical="center" indent="1"/>
    </xf>
    <xf numFmtId="0" fontId="17" fillId="82" borderId="139" applyNumberFormat="0" applyProtection="0">
      <alignment horizontal="left" vertical="center" indent="1"/>
    </xf>
    <xf numFmtId="0" fontId="17" fillId="82" borderId="139" applyNumberFormat="0" applyProtection="0">
      <alignment horizontal="left" vertical="center" indent="1"/>
    </xf>
    <xf numFmtId="0" fontId="17" fillId="82" borderId="139" applyNumberFormat="0" applyProtection="0">
      <alignment horizontal="left" vertical="center" indent="1"/>
    </xf>
    <xf numFmtId="0" fontId="17" fillId="82" borderId="139" applyNumberFormat="0" applyProtection="0">
      <alignment horizontal="left" vertical="center" indent="1"/>
    </xf>
    <xf numFmtId="0" fontId="17" fillId="82" borderId="139" applyNumberFormat="0" applyProtection="0">
      <alignment horizontal="left" vertical="center" indent="1"/>
    </xf>
    <xf numFmtId="0" fontId="17" fillId="82" borderId="139" applyNumberFormat="0" applyProtection="0">
      <alignment horizontal="left" vertical="center" indent="1"/>
    </xf>
    <xf numFmtId="0" fontId="17" fillId="82" borderId="139" applyNumberFormat="0" applyProtection="0">
      <alignment horizontal="left" vertical="center" indent="1"/>
    </xf>
    <xf numFmtId="0" fontId="17" fillId="82" borderId="139" applyNumberFormat="0" applyProtection="0">
      <alignment horizontal="left" vertical="center" indent="1"/>
    </xf>
    <xf numFmtId="0" fontId="17" fillId="82" borderId="139" applyNumberFormat="0" applyProtection="0">
      <alignment horizontal="left" vertical="center" indent="1"/>
    </xf>
    <xf numFmtId="0" fontId="17" fillId="82" borderId="139" applyNumberFormat="0" applyProtection="0">
      <alignment horizontal="left" vertical="center" indent="1"/>
    </xf>
    <xf numFmtId="0" fontId="17" fillId="82" borderId="139" applyNumberFormat="0" applyProtection="0">
      <alignment horizontal="left" vertical="center" indent="1"/>
    </xf>
    <xf numFmtId="0" fontId="17" fillId="82" borderId="139" applyNumberFormat="0" applyProtection="0">
      <alignment horizontal="left" vertical="center" indent="1"/>
    </xf>
    <xf numFmtId="0" fontId="17" fillId="82" borderId="139" applyNumberFormat="0" applyProtection="0">
      <alignment horizontal="left" vertical="center" indent="1"/>
    </xf>
    <xf numFmtId="0" fontId="17" fillId="82" borderId="139" applyNumberFormat="0" applyProtection="0">
      <alignment horizontal="left" vertical="center" indent="1"/>
    </xf>
    <xf numFmtId="0" fontId="17" fillId="82" borderId="139" applyNumberFormat="0" applyProtection="0">
      <alignment horizontal="left" vertical="center" indent="1"/>
    </xf>
    <xf numFmtId="0" fontId="17" fillId="82" borderId="139" applyNumberFormat="0" applyProtection="0">
      <alignment horizontal="left" vertical="center" indent="1"/>
    </xf>
    <xf numFmtId="0" fontId="17" fillId="82" borderId="139" applyNumberFormat="0" applyProtection="0">
      <alignment horizontal="left" vertical="center" indent="1"/>
    </xf>
    <xf numFmtId="0" fontId="17" fillId="82" borderId="139" applyNumberFormat="0" applyProtection="0">
      <alignment horizontal="left" vertical="center" indent="1"/>
    </xf>
    <xf numFmtId="0" fontId="17" fillId="82" borderId="139" applyNumberFormat="0" applyProtection="0">
      <alignment horizontal="left" vertical="center" indent="1"/>
    </xf>
    <xf numFmtId="0" fontId="17" fillId="82" borderId="139" applyNumberFormat="0" applyProtection="0">
      <alignment horizontal="left" vertical="center" indent="1"/>
    </xf>
    <xf numFmtId="0" fontId="17" fillId="82" borderId="139" applyNumberFormat="0" applyProtection="0">
      <alignment horizontal="left" vertical="center" indent="1"/>
    </xf>
    <xf numFmtId="0" fontId="17" fillId="82" borderId="139" applyNumberFormat="0" applyProtection="0">
      <alignment horizontal="left" vertical="center" indent="1"/>
    </xf>
    <xf numFmtId="0" fontId="17" fillId="82" borderId="139" applyNumberFormat="0" applyProtection="0">
      <alignment horizontal="left" vertical="center" indent="1"/>
    </xf>
    <xf numFmtId="0" fontId="17" fillId="82" borderId="139" applyNumberFormat="0" applyProtection="0">
      <alignment horizontal="left" vertical="center" indent="1"/>
    </xf>
    <xf numFmtId="0" fontId="17" fillId="82" borderId="139" applyNumberFormat="0" applyProtection="0">
      <alignment horizontal="left" vertical="center" indent="1"/>
    </xf>
    <xf numFmtId="0" fontId="17" fillId="82" borderId="139" applyNumberFormat="0" applyProtection="0">
      <alignment horizontal="left" vertical="center" indent="1"/>
    </xf>
    <xf numFmtId="0" fontId="17" fillId="82" borderId="139" applyNumberFormat="0" applyProtection="0">
      <alignment horizontal="left" vertical="center" indent="1"/>
    </xf>
    <xf numFmtId="0" fontId="17" fillId="82" borderId="139" applyNumberFormat="0" applyProtection="0">
      <alignment horizontal="left" vertical="center" indent="1"/>
    </xf>
    <xf numFmtId="0" fontId="17" fillId="82" borderId="139" applyNumberFormat="0" applyProtection="0">
      <alignment horizontal="left" vertical="center" indent="1"/>
    </xf>
    <xf numFmtId="0" fontId="17" fillId="82" borderId="139" applyNumberFormat="0" applyProtection="0">
      <alignment horizontal="left" vertical="center" indent="1"/>
    </xf>
    <xf numFmtId="0" fontId="17" fillId="82" borderId="139" applyNumberFormat="0" applyProtection="0">
      <alignment horizontal="left" vertical="center" indent="1"/>
    </xf>
    <xf numFmtId="0" fontId="17" fillId="82" borderId="139" applyNumberFormat="0" applyProtection="0">
      <alignment horizontal="left" vertical="center" indent="1"/>
    </xf>
    <xf numFmtId="0" fontId="17" fillId="82" borderId="139" applyNumberFormat="0" applyProtection="0">
      <alignment horizontal="left" vertical="center" indent="1"/>
    </xf>
    <xf numFmtId="0" fontId="17" fillId="82" borderId="139" applyNumberFormat="0" applyProtection="0">
      <alignment horizontal="left" vertical="center" indent="1"/>
    </xf>
    <xf numFmtId="0" fontId="17" fillId="82" borderId="139" applyNumberFormat="0" applyProtection="0">
      <alignment horizontal="left" vertical="center" indent="1"/>
    </xf>
    <xf numFmtId="0" fontId="17" fillId="82" borderId="139" applyNumberFormat="0" applyProtection="0">
      <alignment horizontal="left" vertical="center" indent="1"/>
    </xf>
    <xf numFmtId="0" fontId="17" fillId="82" borderId="139" applyNumberFormat="0" applyProtection="0">
      <alignment horizontal="left" vertical="center" indent="1"/>
    </xf>
    <xf numFmtId="0" fontId="17" fillId="82" borderId="139" applyNumberFormat="0" applyProtection="0">
      <alignment horizontal="left" vertical="center" indent="1"/>
    </xf>
    <xf numFmtId="0" fontId="17" fillId="82" borderId="139" applyNumberFormat="0" applyProtection="0">
      <alignment horizontal="left" vertical="center" indent="1"/>
    </xf>
    <xf numFmtId="0" fontId="17" fillId="82" borderId="139" applyNumberFormat="0" applyProtection="0">
      <alignment horizontal="left" vertical="center" indent="1"/>
    </xf>
    <xf numFmtId="0" fontId="17" fillId="82" borderId="139" applyNumberFormat="0" applyProtection="0">
      <alignment horizontal="left" vertical="center" indent="1"/>
    </xf>
    <xf numFmtId="0" fontId="17" fillId="82" borderId="139" applyNumberFormat="0" applyProtection="0">
      <alignment horizontal="left" vertical="center" indent="1"/>
    </xf>
    <xf numFmtId="0" fontId="17" fillId="82" borderId="139" applyNumberFormat="0" applyProtection="0">
      <alignment horizontal="left" vertical="center" indent="1"/>
    </xf>
    <xf numFmtId="0" fontId="17" fillId="82" borderId="139" applyNumberFormat="0" applyProtection="0">
      <alignment horizontal="left" vertical="center" indent="1"/>
    </xf>
    <xf numFmtId="0" fontId="17" fillId="8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top" indent="1"/>
    </xf>
    <xf numFmtId="0" fontId="17" fillId="82" borderId="139" applyNumberFormat="0" applyProtection="0">
      <alignment horizontal="left" vertical="top" indent="1"/>
    </xf>
    <xf numFmtId="0" fontId="17" fillId="82" borderId="139" applyNumberFormat="0" applyProtection="0">
      <alignment horizontal="left" vertical="top" indent="1"/>
    </xf>
    <xf numFmtId="0" fontId="17" fillId="82" borderId="139" applyNumberFormat="0" applyProtection="0">
      <alignment horizontal="left" vertical="top" indent="1"/>
    </xf>
    <xf numFmtId="0" fontId="17" fillId="82" borderId="139" applyNumberFormat="0" applyProtection="0">
      <alignment horizontal="left" vertical="top" indent="1"/>
    </xf>
    <xf numFmtId="0" fontId="17" fillId="82" borderId="139" applyNumberFormat="0" applyProtection="0">
      <alignment horizontal="left" vertical="top" indent="1"/>
    </xf>
    <xf numFmtId="0" fontId="17" fillId="82" borderId="139" applyNumberFormat="0" applyProtection="0">
      <alignment horizontal="left" vertical="top" indent="1"/>
    </xf>
    <xf numFmtId="0" fontId="17" fillId="82" borderId="139" applyNumberFormat="0" applyProtection="0">
      <alignment horizontal="left" vertical="top" indent="1"/>
    </xf>
    <xf numFmtId="0" fontId="17" fillId="82" borderId="139" applyNumberFormat="0" applyProtection="0">
      <alignment horizontal="left" vertical="top" indent="1"/>
    </xf>
    <xf numFmtId="0" fontId="17" fillId="82" borderId="139" applyNumberFormat="0" applyProtection="0">
      <alignment horizontal="left" vertical="top" indent="1"/>
    </xf>
    <xf numFmtId="0" fontId="17" fillId="8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82" borderId="139" applyNumberFormat="0" applyProtection="0">
      <alignment horizontal="left" vertical="top" indent="1"/>
    </xf>
    <xf numFmtId="0" fontId="17" fillId="8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102" borderId="139" applyNumberFormat="0" applyProtection="0">
      <alignment horizontal="left" vertical="top" indent="1"/>
    </xf>
    <xf numFmtId="0" fontId="17" fillId="82" borderId="139" applyNumberFormat="0" applyProtection="0">
      <alignment horizontal="left" vertical="top" indent="1"/>
    </xf>
    <xf numFmtId="0" fontId="17" fillId="82" borderId="139" applyNumberFormat="0" applyProtection="0">
      <alignment horizontal="left" vertical="top" indent="1"/>
    </xf>
    <xf numFmtId="0" fontId="17" fillId="82" borderId="139" applyNumberFormat="0" applyProtection="0">
      <alignment horizontal="left" vertical="top" indent="1"/>
    </xf>
    <xf numFmtId="0" fontId="17" fillId="82" borderId="139" applyNumberFormat="0" applyProtection="0">
      <alignment horizontal="left" vertical="top" indent="1"/>
    </xf>
    <xf numFmtId="0" fontId="17" fillId="82" borderId="139" applyNumberFormat="0" applyProtection="0">
      <alignment horizontal="left" vertical="top" indent="1"/>
    </xf>
    <xf numFmtId="0" fontId="17" fillId="82" borderId="139" applyNumberFormat="0" applyProtection="0">
      <alignment horizontal="left" vertical="top" indent="1"/>
    </xf>
    <xf numFmtId="0" fontId="17" fillId="82" borderId="139" applyNumberFormat="0" applyProtection="0">
      <alignment horizontal="left" vertical="top" indent="1"/>
    </xf>
    <xf numFmtId="0" fontId="17" fillId="82" borderId="139" applyNumberFormat="0" applyProtection="0">
      <alignment horizontal="left" vertical="top" indent="1"/>
    </xf>
    <xf numFmtId="0" fontId="17" fillId="82" borderId="139" applyNumberFormat="0" applyProtection="0">
      <alignment horizontal="left" vertical="top" indent="1"/>
    </xf>
    <xf numFmtId="0" fontId="17" fillId="82" borderId="139" applyNumberFormat="0" applyProtection="0">
      <alignment horizontal="left" vertical="top" indent="1"/>
    </xf>
    <xf numFmtId="0" fontId="17" fillId="82" borderId="139" applyNumberFormat="0" applyProtection="0">
      <alignment horizontal="left" vertical="top" indent="1"/>
    </xf>
    <xf numFmtId="0" fontId="17" fillId="82" borderId="139" applyNumberFormat="0" applyProtection="0">
      <alignment horizontal="left" vertical="top" indent="1"/>
    </xf>
    <xf numFmtId="0" fontId="17" fillId="82" borderId="139" applyNumberFormat="0" applyProtection="0">
      <alignment horizontal="left" vertical="top" indent="1"/>
    </xf>
    <xf numFmtId="0" fontId="17" fillId="82" borderId="139" applyNumberFormat="0" applyProtection="0">
      <alignment horizontal="left" vertical="top" indent="1"/>
    </xf>
    <xf numFmtId="0" fontId="17" fillId="82" borderId="139" applyNumberFormat="0" applyProtection="0">
      <alignment horizontal="left" vertical="top" indent="1"/>
    </xf>
    <xf numFmtId="0" fontId="17" fillId="82" borderId="139" applyNumberFormat="0" applyProtection="0">
      <alignment horizontal="left" vertical="top" indent="1"/>
    </xf>
    <xf numFmtId="0" fontId="17" fillId="82" borderId="139" applyNumberFormat="0" applyProtection="0">
      <alignment horizontal="left" vertical="top" indent="1"/>
    </xf>
    <xf numFmtId="0" fontId="17" fillId="82" borderId="139" applyNumberFormat="0" applyProtection="0">
      <alignment horizontal="left" vertical="top" indent="1"/>
    </xf>
    <xf numFmtId="0" fontId="17" fillId="82" borderId="139" applyNumberFormat="0" applyProtection="0">
      <alignment horizontal="left" vertical="top" indent="1"/>
    </xf>
    <xf numFmtId="0" fontId="17" fillId="82" borderId="139" applyNumberFormat="0" applyProtection="0">
      <alignment horizontal="left" vertical="top" indent="1"/>
    </xf>
    <xf numFmtId="0" fontId="17" fillId="82" borderId="139" applyNumberFormat="0" applyProtection="0">
      <alignment horizontal="left" vertical="top" indent="1"/>
    </xf>
    <xf numFmtId="0" fontId="17" fillId="82" borderId="139" applyNumberFormat="0" applyProtection="0">
      <alignment horizontal="left" vertical="top" indent="1"/>
    </xf>
    <xf numFmtId="0" fontId="17" fillId="82" borderId="139" applyNumberFormat="0" applyProtection="0">
      <alignment horizontal="left" vertical="top" indent="1"/>
    </xf>
    <xf numFmtId="0" fontId="17" fillId="82" borderId="139" applyNumberFormat="0" applyProtection="0">
      <alignment horizontal="left" vertical="top" indent="1"/>
    </xf>
    <xf numFmtId="0" fontId="17" fillId="82" borderId="139" applyNumberFormat="0" applyProtection="0">
      <alignment horizontal="left" vertical="top" indent="1"/>
    </xf>
    <xf numFmtId="0" fontId="17" fillId="82" borderId="139" applyNumberFormat="0" applyProtection="0">
      <alignment horizontal="left" vertical="top" indent="1"/>
    </xf>
    <xf numFmtId="0" fontId="17" fillId="82" borderId="139" applyNumberFormat="0" applyProtection="0">
      <alignment horizontal="left" vertical="top" indent="1"/>
    </xf>
    <xf numFmtId="0" fontId="17" fillId="82" borderId="139" applyNumberFormat="0" applyProtection="0">
      <alignment horizontal="left" vertical="top" indent="1"/>
    </xf>
    <xf numFmtId="0" fontId="17" fillId="82" borderId="139" applyNumberFormat="0" applyProtection="0">
      <alignment horizontal="left" vertical="top" indent="1"/>
    </xf>
    <xf numFmtId="0" fontId="17" fillId="82" borderId="139" applyNumberFormat="0" applyProtection="0">
      <alignment horizontal="left" vertical="top" indent="1"/>
    </xf>
    <xf numFmtId="0" fontId="17" fillId="82" borderId="139" applyNumberFormat="0" applyProtection="0">
      <alignment horizontal="left" vertical="top" indent="1"/>
    </xf>
    <xf numFmtId="0" fontId="17" fillId="82" borderId="139" applyNumberFormat="0" applyProtection="0">
      <alignment horizontal="left" vertical="top" indent="1"/>
    </xf>
    <xf numFmtId="0" fontId="17" fillId="82" borderId="139" applyNumberFormat="0" applyProtection="0">
      <alignment horizontal="left" vertical="top" indent="1"/>
    </xf>
    <xf numFmtId="0" fontId="17" fillId="82" borderId="139" applyNumberFormat="0" applyProtection="0">
      <alignment horizontal="left" vertical="top" indent="1"/>
    </xf>
    <xf numFmtId="0" fontId="17" fillId="82" borderId="139" applyNumberFormat="0" applyProtection="0">
      <alignment horizontal="left" vertical="top" indent="1"/>
    </xf>
    <xf numFmtId="0" fontId="17" fillId="82" borderId="139" applyNumberFormat="0" applyProtection="0">
      <alignment horizontal="left" vertical="top" indent="1"/>
    </xf>
    <xf numFmtId="0" fontId="17" fillId="82" borderId="139" applyNumberFormat="0" applyProtection="0">
      <alignment horizontal="left" vertical="top" indent="1"/>
    </xf>
    <xf numFmtId="0" fontId="17" fillId="82" borderId="139" applyNumberFormat="0" applyProtection="0">
      <alignment horizontal="left" vertical="top" indent="1"/>
    </xf>
    <xf numFmtId="0" fontId="17" fillId="82" borderId="139" applyNumberFormat="0" applyProtection="0">
      <alignment horizontal="left" vertical="top" indent="1"/>
    </xf>
    <xf numFmtId="0" fontId="17" fillId="82" borderId="139" applyNumberFormat="0" applyProtection="0">
      <alignment horizontal="left" vertical="top" indent="1"/>
    </xf>
    <xf numFmtId="0" fontId="17" fillId="82" borderId="139" applyNumberFormat="0" applyProtection="0">
      <alignment horizontal="left" vertical="top" indent="1"/>
    </xf>
    <xf numFmtId="0" fontId="17" fillId="82" borderId="139" applyNumberFormat="0" applyProtection="0">
      <alignment horizontal="left" vertical="top" indent="1"/>
    </xf>
    <xf numFmtId="0" fontId="17" fillId="82" borderId="139" applyNumberFormat="0" applyProtection="0">
      <alignment horizontal="left" vertical="top" indent="1"/>
    </xf>
    <xf numFmtId="0" fontId="17" fillId="82" borderId="139" applyNumberFormat="0" applyProtection="0">
      <alignment horizontal="left" vertical="top" indent="1"/>
    </xf>
    <xf numFmtId="0" fontId="17" fillId="82" borderId="139" applyNumberFormat="0" applyProtection="0">
      <alignment horizontal="left" vertical="top" indent="1"/>
    </xf>
    <xf numFmtId="0" fontId="17" fillId="82" borderId="139" applyNumberFormat="0" applyProtection="0">
      <alignment horizontal="left" vertical="top" indent="1"/>
    </xf>
    <xf numFmtId="0" fontId="17" fillId="82" borderId="139" applyNumberFormat="0" applyProtection="0">
      <alignment horizontal="left" vertical="top" indent="1"/>
    </xf>
    <xf numFmtId="0" fontId="17" fillId="82" borderId="139" applyNumberFormat="0" applyProtection="0">
      <alignment horizontal="left" vertical="top" indent="1"/>
    </xf>
    <xf numFmtId="0" fontId="17" fillId="82" borderId="139" applyNumberFormat="0" applyProtection="0">
      <alignment horizontal="left" vertical="top" indent="1"/>
    </xf>
    <xf numFmtId="4" fontId="171" fillId="84" borderId="139" applyNumberFormat="0" applyProtection="0">
      <alignment vertical="center"/>
    </xf>
    <xf numFmtId="4" fontId="171" fillId="84" borderId="139" applyNumberFormat="0" applyProtection="0">
      <alignment vertical="center"/>
    </xf>
    <xf numFmtId="4" fontId="171" fillId="84" borderId="139" applyNumberFormat="0" applyProtection="0">
      <alignment vertical="center"/>
    </xf>
    <xf numFmtId="4" fontId="171" fillId="84" borderId="139" applyNumberFormat="0" applyProtection="0">
      <alignment vertical="center"/>
    </xf>
    <xf numFmtId="4" fontId="171" fillId="84" borderId="139" applyNumberFormat="0" applyProtection="0">
      <alignment vertical="center"/>
    </xf>
    <xf numFmtId="4" fontId="171" fillId="84" borderId="139" applyNumberFormat="0" applyProtection="0">
      <alignment vertical="center"/>
    </xf>
    <xf numFmtId="4" fontId="171" fillId="84" borderId="139" applyNumberFormat="0" applyProtection="0">
      <alignment vertical="center"/>
    </xf>
    <xf numFmtId="4" fontId="171" fillId="84" borderId="139" applyNumberFormat="0" applyProtection="0">
      <alignment vertical="center"/>
    </xf>
    <xf numFmtId="4" fontId="171" fillId="84" borderId="139" applyNumberFormat="0" applyProtection="0">
      <alignment vertical="center"/>
    </xf>
    <xf numFmtId="4" fontId="171" fillId="84" borderId="139" applyNumberFormat="0" applyProtection="0">
      <alignment vertical="center"/>
    </xf>
    <xf numFmtId="4" fontId="171" fillId="51" borderId="139" applyNumberFormat="0" applyProtection="0">
      <alignment vertical="center"/>
    </xf>
    <xf numFmtId="4" fontId="171" fillId="51" borderId="139" applyNumberFormat="0" applyProtection="0">
      <alignment vertical="center"/>
    </xf>
    <xf numFmtId="4" fontId="171" fillId="51" borderId="139" applyNumberFormat="0" applyProtection="0">
      <alignment vertical="center"/>
    </xf>
    <xf numFmtId="4" fontId="171" fillId="51" borderId="139" applyNumberFormat="0" applyProtection="0">
      <alignment vertical="center"/>
    </xf>
    <xf numFmtId="4" fontId="171" fillId="51" borderId="139" applyNumberFormat="0" applyProtection="0">
      <alignment vertical="center"/>
    </xf>
    <xf numFmtId="4" fontId="171" fillId="51" borderId="139" applyNumberFormat="0" applyProtection="0">
      <alignment vertical="center"/>
    </xf>
    <xf numFmtId="4" fontId="171" fillId="51" borderId="139" applyNumberFormat="0" applyProtection="0">
      <alignment vertical="center"/>
    </xf>
    <xf numFmtId="4" fontId="171" fillId="51" borderId="139" applyNumberFormat="0" applyProtection="0">
      <alignment vertical="center"/>
    </xf>
    <xf numFmtId="4" fontId="171" fillId="51" borderId="139" applyNumberFormat="0" applyProtection="0">
      <alignment vertical="center"/>
    </xf>
    <xf numFmtId="4" fontId="171" fillId="51" borderId="139" applyNumberFormat="0" applyProtection="0">
      <alignment vertical="center"/>
    </xf>
    <xf numFmtId="4" fontId="171" fillId="51" borderId="139" applyNumberFormat="0" applyProtection="0">
      <alignment vertical="center"/>
    </xf>
    <xf numFmtId="4" fontId="171" fillId="51" borderId="139" applyNumberFormat="0" applyProtection="0">
      <alignment vertical="center"/>
    </xf>
    <xf numFmtId="4" fontId="171" fillId="51" borderId="139" applyNumberFormat="0" applyProtection="0">
      <alignment vertical="center"/>
    </xf>
    <xf numFmtId="4" fontId="171" fillId="51" borderId="139" applyNumberFormat="0" applyProtection="0">
      <alignment vertical="center"/>
    </xf>
    <xf numFmtId="4" fontId="171" fillId="51" borderId="139" applyNumberFormat="0" applyProtection="0">
      <alignment vertical="center"/>
    </xf>
    <xf numFmtId="4" fontId="171" fillId="51" borderId="139" applyNumberFormat="0" applyProtection="0">
      <alignment vertical="center"/>
    </xf>
    <xf numFmtId="4" fontId="171" fillId="51" borderId="139" applyNumberFormat="0" applyProtection="0">
      <alignment vertical="center"/>
    </xf>
    <xf numFmtId="4" fontId="171" fillId="51" borderId="139" applyNumberFormat="0" applyProtection="0">
      <alignment vertical="center"/>
    </xf>
    <xf numFmtId="4" fontId="171" fillId="51" borderId="139" applyNumberFormat="0" applyProtection="0">
      <alignment vertical="center"/>
    </xf>
    <xf numFmtId="4" fontId="171" fillId="51" borderId="139" applyNumberFormat="0" applyProtection="0">
      <alignment vertical="center"/>
    </xf>
    <xf numFmtId="4" fontId="171" fillId="51" borderId="139" applyNumberFormat="0" applyProtection="0">
      <alignment vertical="center"/>
    </xf>
    <xf numFmtId="4" fontId="171" fillId="51" borderId="139" applyNumberFormat="0" applyProtection="0">
      <alignment vertical="center"/>
    </xf>
    <xf numFmtId="4" fontId="171" fillId="51" borderId="139" applyNumberFormat="0" applyProtection="0">
      <alignment vertical="center"/>
    </xf>
    <xf numFmtId="4" fontId="171" fillId="51" borderId="139" applyNumberFormat="0" applyProtection="0">
      <alignment vertical="center"/>
    </xf>
    <xf numFmtId="4" fontId="171" fillId="51" borderId="139" applyNumberFormat="0" applyProtection="0">
      <alignment vertical="center"/>
    </xf>
    <xf numFmtId="4" fontId="171" fillId="51" borderId="139" applyNumberFormat="0" applyProtection="0">
      <alignment vertical="center"/>
    </xf>
    <xf numFmtId="4" fontId="171" fillId="51" borderId="139" applyNumberFormat="0" applyProtection="0">
      <alignment vertical="center"/>
    </xf>
    <xf numFmtId="4" fontId="171" fillId="51" borderId="139" applyNumberFormat="0" applyProtection="0">
      <alignment vertical="center"/>
    </xf>
    <xf numFmtId="4" fontId="171" fillId="51" borderId="139" applyNumberFormat="0" applyProtection="0">
      <alignment vertical="center"/>
    </xf>
    <xf numFmtId="4" fontId="171" fillId="51" borderId="139" applyNumberFormat="0" applyProtection="0">
      <alignment vertical="center"/>
    </xf>
    <xf numFmtId="4" fontId="171" fillId="51" borderId="139" applyNumberFormat="0" applyProtection="0">
      <alignment vertical="center"/>
    </xf>
    <xf numFmtId="4" fontId="171" fillId="51" borderId="139" applyNumberFormat="0" applyProtection="0">
      <alignment vertical="center"/>
    </xf>
    <xf numFmtId="4" fontId="171" fillId="51" borderId="139" applyNumberFormat="0" applyProtection="0">
      <alignment vertical="center"/>
    </xf>
    <xf numFmtId="4" fontId="171" fillId="51" borderId="139" applyNumberFormat="0" applyProtection="0">
      <alignment vertical="center"/>
    </xf>
    <xf numFmtId="4" fontId="171" fillId="51" borderId="139" applyNumberFormat="0" applyProtection="0">
      <alignment vertical="center"/>
    </xf>
    <xf numFmtId="4" fontId="171" fillId="51" borderId="139" applyNumberFormat="0" applyProtection="0">
      <alignment vertical="center"/>
    </xf>
    <xf numFmtId="4" fontId="171" fillId="51" borderId="139" applyNumberFormat="0" applyProtection="0">
      <alignment vertical="center"/>
    </xf>
    <xf numFmtId="4" fontId="171" fillId="51" borderId="139" applyNumberFormat="0" applyProtection="0">
      <alignment vertical="center"/>
    </xf>
    <xf numFmtId="4" fontId="171" fillId="51" borderId="139" applyNumberFormat="0" applyProtection="0">
      <alignment vertical="center"/>
    </xf>
    <xf numFmtId="4" fontId="171" fillId="51" borderId="139" applyNumberFormat="0" applyProtection="0">
      <alignment vertical="center"/>
    </xf>
    <xf numFmtId="4" fontId="171" fillId="51" borderId="139" applyNumberFormat="0" applyProtection="0">
      <alignment vertical="center"/>
    </xf>
    <xf numFmtId="4" fontId="171" fillId="51" borderId="139" applyNumberFormat="0" applyProtection="0">
      <alignment vertical="center"/>
    </xf>
    <xf numFmtId="4" fontId="171" fillId="51" borderId="139" applyNumberFormat="0" applyProtection="0">
      <alignment vertical="center"/>
    </xf>
    <xf numFmtId="4" fontId="171" fillId="51" borderId="139" applyNumberFormat="0" applyProtection="0">
      <alignment vertical="center"/>
    </xf>
    <xf numFmtId="4" fontId="171" fillId="51" borderId="139" applyNumberFormat="0" applyProtection="0">
      <alignment vertical="center"/>
    </xf>
    <xf numFmtId="4" fontId="171" fillId="51" borderId="139" applyNumberFormat="0" applyProtection="0">
      <alignment vertical="center"/>
    </xf>
    <xf numFmtId="4" fontId="171" fillId="51" borderId="139" applyNumberFormat="0" applyProtection="0">
      <alignment vertical="center"/>
    </xf>
    <xf numFmtId="4" fontId="171" fillId="51" borderId="139" applyNumberFormat="0" applyProtection="0">
      <alignment vertical="center"/>
    </xf>
    <xf numFmtId="4" fontId="171" fillId="51" borderId="139" applyNumberFormat="0" applyProtection="0">
      <alignment vertical="center"/>
    </xf>
    <xf numFmtId="4" fontId="171" fillId="51" borderId="139" applyNumberFormat="0" applyProtection="0">
      <alignment vertical="center"/>
    </xf>
    <xf numFmtId="4" fontId="171" fillId="51" borderId="139" applyNumberFormat="0" applyProtection="0">
      <alignment vertical="center"/>
    </xf>
    <xf numFmtId="4" fontId="171" fillId="51" borderId="139" applyNumberFormat="0" applyProtection="0">
      <alignment vertical="center"/>
    </xf>
    <xf numFmtId="4" fontId="171" fillId="51" borderId="139" applyNumberFormat="0" applyProtection="0">
      <alignment vertical="center"/>
    </xf>
    <xf numFmtId="4" fontId="171" fillId="51" borderId="139" applyNumberFormat="0" applyProtection="0">
      <alignment vertical="center"/>
    </xf>
    <xf numFmtId="4" fontId="171" fillId="51" borderId="139" applyNumberFormat="0" applyProtection="0">
      <alignment vertical="center"/>
    </xf>
    <xf numFmtId="4" fontId="171" fillId="51" borderId="139" applyNumberFormat="0" applyProtection="0">
      <alignment vertical="center"/>
    </xf>
    <xf numFmtId="4" fontId="171" fillId="51" borderId="139" applyNumberFormat="0" applyProtection="0">
      <alignment vertical="center"/>
    </xf>
    <xf numFmtId="4" fontId="171" fillId="51" borderId="139" applyNumberFormat="0" applyProtection="0">
      <alignment vertical="center"/>
    </xf>
    <xf numFmtId="4" fontId="171" fillId="51" borderId="139" applyNumberFormat="0" applyProtection="0">
      <alignment vertical="center"/>
    </xf>
    <xf numFmtId="4" fontId="171" fillId="51" borderId="139" applyNumberFormat="0" applyProtection="0">
      <alignment vertical="center"/>
    </xf>
    <xf numFmtId="4" fontId="171" fillId="51" borderId="139" applyNumberFormat="0" applyProtection="0">
      <alignment vertical="center"/>
    </xf>
    <xf numFmtId="4" fontId="171" fillId="51" borderId="139" applyNumberFormat="0" applyProtection="0">
      <alignment vertical="center"/>
    </xf>
    <xf numFmtId="4" fontId="171" fillId="84" borderId="139" applyNumberFormat="0" applyProtection="0">
      <alignment vertical="center"/>
    </xf>
    <xf numFmtId="4" fontId="171" fillId="84" borderId="139" applyNumberFormat="0" applyProtection="0">
      <alignment vertical="center"/>
    </xf>
    <xf numFmtId="4" fontId="171" fillId="84" borderId="139" applyNumberFormat="0" applyProtection="0">
      <alignment vertical="center"/>
    </xf>
    <xf numFmtId="4" fontId="171" fillId="84" borderId="139" applyNumberFormat="0" applyProtection="0">
      <alignment vertical="center"/>
    </xf>
    <xf numFmtId="4" fontId="171" fillId="84" borderId="139" applyNumberFormat="0" applyProtection="0">
      <alignment vertical="center"/>
    </xf>
    <xf numFmtId="4" fontId="171" fillId="84" borderId="139" applyNumberFormat="0" applyProtection="0">
      <alignment vertical="center"/>
    </xf>
    <xf numFmtId="4" fontId="171" fillId="84" borderId="139" applyNumberFormat="0" applyProtection="0">
      <alignment vertical="center"/>
    </xf>
    <xf numFmtId="4" fontId="171" fillId="84" borderId="139" applyNumberFormat="0" applyProtection="0">
      <alignment vertical="center"/>
    </xf>
    <xf numFmtId="4" fontId="171" fillId="84" borderId="139" applyNumberFormat="0" applyProtection="0">
      <alignment vertical="center"/>
    </xf>
    <xf numFmtId="4" fontId="171" fillId="84" borderId="139" applyNumberFormat="0" applyProtection="0">
      <alignment vertical="center"/>
    </xf>
    <xf numFmtId="4" fontId="171" fillId="84" borderId="139" applyNumberFormat="0" applyProtection="0">
      <alignment vertical="center"/>
    </xf>
    <xf numFmtId="4" fontId="171" fillId="84" borderId="139" applyNumberFormat="0" applyProtection="0">
      <alignment vertical="center"/>
    </xf>
    <xf numFmtId="4" fontId="171" fillId="84" borderId="139" applyNumberFormat="0" applyProtection="0">
      <alignment vertical="center"/>
    </xf>
    <xf numFmtId="4" fontId="171" fillId="84" borderId="139" applyNumberFormat="0" applyProtection="0">
      <alignment vertical="center"/>
    </xf>
    <xf numFmtId="4" fontId="171" fillId="84" borderId="139" applyNumberFormat="0" applyProtection="0">
      <alignment vertical="center"/>
    </xf>
    <xf numFmtId="4" fontId="171" fillId="84" borderId="139" applyNumberFormat="0" applyProtection="0">
      <alignment vertical="center"/>
    </xf>
    <xf numFmtId="4" fontId="171" fillId="84" borderId="139" applyNumberFormat="0" applyProtection="0">
      <alignment vertical="center"/>
    </xf>
    <xf numFmtId="4" fontId="171" fillId="84" borderId="139" applyNumberFormat="0" applyProtection="0">
      <alignment vertical="center"/>
    </xf>
    <xf numFmtId="4" fontId="171" fillId="84" borderId="139" applyNumberFormat="0" applyProtection="0">
      <alignment vertical="center"/>
    </xf>
    <xf numFmtId="4" fontId="171" fillId="84" borderId="139" applyNumberFormat="0" applyProtection="0">
      <alignment vertical="center"/>
    </xf>
    <xf numFmtId="4" fontId="171" fillId="84" borderId="139" applyNumberFormat="0" applyProtection="0">
      <alignment vertical="center"/>
    </xf>
    <xf numFmtId="4" fontId="171" fillId="84" borderId="139" applyNumberFormat="0" applyProtection="0">
      <alignment vertical="center"/>
    </xf>
    <xf numFmtId="4" fontId="171" fillId="84" borderId="139" applyNumberFormat="0" applyProtection="0">
      <alignment vertical="center"/>
    </xf>
    <xf numFmtId="4" fontId="171" fillId="84" borderId="139" applyNumberFormat="0" applyProtection="0">
      <alignment vertical="center"/>
    </xf>
    <xf numFmtId="4" fontId="171" fillId="84" borderId="139" applyNumberFormat="0" applyProtection="0">
      <alignment vertical="center"/>
    </xf>
    <xf numFmtId="4" fontId="171" fillId="84" borderId="139" applyNumberFormat="0" applyProtection="0">
      <alignment vertical="center"/>
    </xf>
    <xf numFmtId="4" fontId="171" fillId="84" borderId="139" applyNumberFormat="0" applyProtection="0">
      <alignment vertical="center"/>
    </xf>
    <xf numFmtId="4" fontId="171" fillId="84" borderId="139" applyNumberFormat="0" applyProtection="0">
      <alignment vertical="center"/>
    </xf>
    <xf numFmtId="4" fontId="171" fillId="84" borderId="139" applyNumberFormat="0" applyProtection="0">
      <alignment vertical="center"/>
    </xf>
    <xf numFmtId="4" fontId="171" fillId="84" borderId="139" applyNumberFormat="0" applyProtection="0">
      <alignment vertical="center"/>
    </xf>
    <xf numFmtId="4" fontId="171" fillId="84" borderId="139" applyNumberFormat="0" applyProtection="0">
      <alignment vertical="center"/>
    </xf>
    <xf numFmtId="4" fontId="171" fillId="84" borderId="139" applyNumberFormat="0" applyProtection="0">
      <alignment vertical="center"/>
    </xf>
    <xf numFmtId="4" fontId="171" fillId="84" borderId="139" applyNumberFormat="0" applyProtection="0">
      <alignment vertical="center"/>
    </xf>
    <xf numFmtId="4" fontId="171" fillId="84" borderId="139" applyNumberFormat="0" applyProtection="0">
      <alignment vertical="center"/>
    </xf>
    <xf numFmtId="4" fontId="171" fillId="84" borderId="139" applyNumberFormat="0" applyProtection="0">
      <alignment vertical="center"/>
    </xf>
    <xf numFmtId="4" fontId="484" fillId="84" borderId="139" applyNumberFormat="0" applyProtection="0">
      <alignment vertical="center"/>
    </xf>
    <xf numFmtId="4" fontId="484" fillId="84" borderId="139" applyNumberFormat="0" applyProtection="0">
      <alignment vertical="center"/>
    </xf>
    <xf numFmtId="4" fontId="484" fillId="84" borderId="139" applyNumberFormat="0" applyProtection="0">
      <alignment vertical="center"/>
    </xf>
    <xf numFmtId="4" fontId="484" fillId="84" borderId="139" applyNumberFormat="0" applyProtection="0">
      <alignment vertical="center"/>
    </xf>
    <xf numFmtId="4" fontId="484" fillId="84" borderId="139" applyNumberFormat="0" applyProtection="0">
      <alignment vertical="center"/>
    </xf>
    <xf numFmtId="4" fontId="484" fillId="84" borderId="139" applyNumberFormat="0" applyProtection="0">
      <alignment vertical="center"/>
    </xf>
    <xf numFmtId="4" fontId="484" fillId="84" borderId="139" applyNumberFormat="0" applyProtection="0">
      <alignment vertical="center"/>
    </xf>
    <xf numFmtId="4" fontId="484" fillId="84" borderId="139" applyNumberFormat="0" applyProtection="0">
      <alignment vertical="center"/>
    </xf>
    <xf numFmtId="4" fontId="484" fillId="84" borderId="139" applyNumberFormat="0" applyProtection="0">
      <alignment vertical="center"/>
    </xf>
    <xf numFmtId="4" fontId="484" fillId="84" borderId="139" applyNumberFormat="0" applyProtection="0">
      <alignment vertical="center"/>
    </xf>
    <xf numFmtId="4" fontId="484" fillId="51" borderId="139" applyNumberFormat="0" applyProtection="0">
      <alignment vertical="center"/>
    </xf>
    <xf numFmtId="4" fontId="484" fillId="51" borderId="139" applyNumberFormat="0" applyProtection="0">
      <alignment vertical="center"/>
    </xf>
    <xf numFmtId="4" fontId="484" fillId="51" borderId="139" applyNumberFormat="0" applyProtection="0">
      <alignment vertical="center"/>
    </xf>
    <xf numFmtId="4" fontId="484" fillId="51" borderId="139" applyNumberFormat="0" applyProtection="0">
      <alignment vertical="center"/>
    </xf>
    <xf numFmtId="4" fontId="484" fillId="51" borderId="139" applyNumberFormat="0" applyProtection="0">
      <alignment vertical="center"/>
    </xf>
    <xf numFmtId="4" fontId="484" fillId="51" borderId="139" applyNumberFormat="0" applyProtection="0">
      <alignment vertical="center"/>
    </xf>
    <xf numFmtId="4" fontId="484" fillId="51" borderId="139" applyNumberFormat="0" applyProtection="0">
      <alignment vertical="center"/>
    </xf>
    <xf numFmtId="4" fontId="484" fillId="51" borderId="139" applyNumberFormat="0" applyProtection="0">
      <alignment vertical="center"/>
    </xf>
    <xf numFmtId="4" fontId="484" fillId="51" borderId="139" applyNumberFormat="0" applyProtection="0">
      <alignment vertical="center"/>
    </xf>
    <xf numFmtId="4" fontId="484" fillId="51" borderId="139" applyNumberFormat="0" applyProtection="0">
      <alignment vertical="center"/>
    </xf>
    <xf numFmtId="4" fontId="484" fillId="51" borderId="139" applyNumberFormat="0" applyProtection="0">
      <alignment vertical="center"/>
    </xf>
    <xf numFmtId="4" fontId="484" fillId="51" borderId="139" applyNumberFormat="0" applyProtection="0">
      <alignment vertical="center"/>
    </xf>
    <xf numFmtId="4" fontId="484" fillId="51" borderId="139" applyNumberFormat="0" applyProtection="0">
      <alignment vertical="center"/>
    </xf>
    <xf numFmtId="4" fontId="484" fillId="51" borderId="139" applyNumberFormat="0" applyProtection="0">
      <alignment vertical="center"/>
    </xf>
    <xf numFmtId="4" fontId="484" fillId="51" borderId="139" applyNumberFormat="0" applyProtection="0">
      <alignment vertical="center"/>
    </xf>
    <xf numFmtId="4" fontId="484" fillId="51" borderId="139" applyNumberFormat="0" applyProtection="0">
      <alignment vertical="center"/>
    </xf>
    <xf numFmtId="4" fontId="484" fillId="51" borderId="139" applyNumberFormat="0" applyProtection="0">
      <alignment vertical="center"/>
    </xf>
    <xf numFmtId="4" fontId="484" fillId="51" borderId="139" applyNumberFormat="0" applyProtection="0">
      <alignment vertical="center"/>
    </xf>
    <xf numFmtId="4" fontId="484" fillId="51" borderId="139" applyNumberFormat="0" applyProtection="0">
      <alignment vertical="center"/>
    </xf>
    <xf numFmtId="4" fontId="484" fillId="51" borderId="139" applyNumberFormat="0" applyProtection="0">
      <alignment vertical="center"/>
    </xf>
    <xf numFmtId="4" fontId="484" fillId="51" borderId="139" applyNumberFormat="0" applyProtection="0">
      <alignment vertical="center"/>
    </xf>
    <xf numFmtId="4" fontId="484" fillId="51" borderId="139" applyNumberFormat="0" applyProtection="0">
      <alignment vertical="center"/>
    </xf>
    <xf numFmtId="4" fontId="484" fillId="51" borderId="139" applyNumberFormat="0" applyProtection="0">
      <alignment vertical="center"/>
    </xf>
    <xf numFmtId="4" fontId="484" fillId="51" borderId="139" applyNumberFormat="0" applyProtection="0">
      <alignment vertical="center"/>
    </xf>
    <xf numFmtId="4" fontId="484" fillId="51" borderId="139" applyNumberFormat="0" applyProtection="0">
      <alignment vertical="center"/>
    </xf>
    <xf numFmtId="4" fontId="484" fillId="51" borderId="139" applyNumberFormat="0" applyProtection="0">
      <alignment vertical="center"/>
    </xf>
    <xf numFmtId="4" fontId="484" fillId="51" borderId="139" applyNumberFormat="0" applyProtection="0">
      <alignment vertical="center"/>
    </xf>
    <xf numFmtId="4" fontId="484" fillId="51" borderId="139" applyNumberFormat="0" applyProtection="0">
      <alignment vertical="center"/>
    </xf>
    <xf numFmtId="4" fontId="484" fillId="51" borderId="139" applyNumberFormat="0" applyProtection="0">
      <alignment vertical="center"/>
    </xf>
    <xf numFmtId="4" fontId="484" fillId="51" borderId="139" applyNumberFormat="0" applyProtection="0">
      <alignment vertical="center"/>
    </xf>
    <xf numFmtId="4" fontId="484" fillId="51" borderId="139" applyNumberFormat="0" applyProtection="0">
      <alignment vertical="center"/>
    </xf>
    <xf numFmtId="4" fontId="484" fillId="51" borderId="139" applyNumberFormat="0" applyProtection="0">
      <alignment vertical="center"/>
    </xf>
    <xf numFmtId="4" fontId="484" fillId="51" borderId="139" applyNumberFormat="0" applyProtection="0">
      <alignment vertical="center"/>
    </xf>
    <xf numFmtId="4" fontId="484" fillId="51" borderId="139" applyNumberFormat="0" applyProtection="0">
      <alignment vertical="center"/>
    </xf>
    <xf numFmtId="4" fontId="484" fillId="51" borderId="139" applyNumberFormat="0" applyProtection="0">
      <alignment vertical="center"/>
    </xf>
    <xf numFmtId="4" fontId="484" fillId="51" borderId="139" applyNumberFormat="0" applyProtection="0">
      <alignment vertical="center"/>
    </xf>
    <xf numFmtId="4" fontId="484" fillId="51" borderId="139" applyNumberFormat="0" applyProtection="0">
      <alignment vertical="center"/>
    </xf>
    <xf numFmtId="4" fontId="484" fillId="51" borderId="139" applyNumberFormat="0" applyProtection="0">
      <alignment vertical="center"/>
    </xf>
    <xf numFmtId="4" fontId="484" fillId="51" borderId="139" applyNumberFormat="0" applyProtection="0">
      <alignment vertical="center"/>
    </xf>
    <xf numFmtId="4" fontId="484" fillId="51" borderId="139" applyNumberFormat="0" applyProtection="0">
      <alignment vertical="center"/>
    </xf>
    <xf numFmtId="4" fontId="484" fillId="51" borderId="139" applyNumberFormat="0" applyProtection="0">
      <alignment vertical="center"/>
    </xf>
    <xf numFmtId="4" fontId="484" fillId="51" borderId="139" applyNumberFormat="0" applyProtection="0">
      <alignment vertical="center"/>
    </xf>
    <xf numFmtId="4" fontId="484" fillId="51" borderId="139" applyNumberFormat="0" applyProtection="0">
      <alignment vertical="center"/>
    </xf>
    <xf numFmtId="4" fontId="484" fillId="51" borderId="139" applyNumberFormat="0" applyProtection="0">
      <alignment vertical="center"/>
    </xf>
    <xf numFmtId="4" fontId="484" fillId="51" borderId="139" applyNumberFormat="0" applyProtection="0">
      <alignment vertical="center"/>
    </xf>
    <xf numFmtId="4" fontId="484" fillId="51" borderId="139" applyNumberFormat="0" applyProtection="0">
      <alignment vertical="center"/>
    </xf>
    <xf numFmtId="4" fontId="484" fillId="51" borderId="139" applyNumberFormat="0" applyProtection="0">
      <alignment vertical="center"/>
    </xf>
    <xf numFmtId="4" fontId="484" fillId="51" borderId="139" applyNumberFormat="0" applyProtection="0">
      <alignment vertical="center"/>
    </xf>
    <xf numFmtId="4" fontId="484" fillId="51" borderId="139" applyNumberFormat="0" applyProtection="0">
      <alignment vertical="center"/>
    </xf>
    <xf numFmtId="4" fontId="484" fillId="51" borderId="139" applyNumberFormat="0" applyProtection="0">
      <alignment vertical="center"/>
    </xf>
    <xf numFmtId="4" fontId="484" fillId="51" borderId="139" applyNumberFormat="0" applyProtection="0">
      <alignment vertical="center"/>
    </xf>
    <xf numFmtId="4" fontId="484" fillId="51" borderId="139" applyNumberFormat="0" applyProtection="0">
      <alignment vertical="center"/>
    </xf>
    <xf numFmtId="4" fontId="484" fillId="51" borderId="139" applyNumberFormat="0" applyProtection="0">
      <alignment vertical="center"/>
    </xf>
    <xf numFmtId="4" fontId="484" fillId="51" borderId="139" applyNumberFormat="0" applyProtection="0">
      <alignment vertical="center"/>
    </xf>
    <xf numFmtId="4" fontId="484" fillId="51" borderId="139" applyNumberFormat="0" applyProtection="0">
      <alignment vertical="center"/>
    </xf>
    <xf numFmtId="4" fontId="484" fillId="51" borderId="139" applyNumberFormat="0" applyProtection="0">
      <alignment vertical="center"/>
    </xf>
    <xf numFmtId="4" fontId="484" fillId="51" borderId="139" applyNumberFormat="0" applyProtection="0">
      <alignment vertical="center"/>
    </xf>
    <xf numFmtId="4" fontId="484" fillId="51" borderId="139" applyNumberFormat="0" applyProtection="0">
      <alignment vertical="center"/>
    </xf>
    <xf numFmtId="4" fontId="484" fillId="51" borderId="139" applyNumberFormat="0" applyProtection="0">
      <alignment vertical="center"/>
    </xf>
    <xf numFmtId="4" fontId="484" fillId="51" borderId="139" applyNumberFormat="0" applyProtection="0">
      <alignment vertical="center"/>
    </xf>
    <xf numFmtId="4" fontId="484" fillId="51" borderId="139" applyNumberFormat="0" applyProtection="0">
      <alignment vertical="center"/>
    </xf>
    <xf numFmtId="4" fontId="484" fillId="51" borderId="139" applyNumberFormat="0" applyProtection="0">
      <alignment vertical="center"/>
    </xf>
    <xf numFmtId="4" fontId="484" fillId="84" borderId="139" applyNumberFormat="0" applyProtection="0">
      <alignment vertical="center"/>
    </xf>
    <xf numFmtId="4" fontId="484" fillId="84" borderId="139" applyNumberFormat="0" applyProtection="0">
      <alignment vertical="center"/>
    </xf>
    <xf numFmtId="4" fontId="484" fillId="84" borderId="139" applyNumberFormat="0" applyProtection="0">
      <alignment vertical="center"/>
    </xf>
    <xf numFmtId="4" fontId="484" fillId="84" borderId="139" applyNumberFormat="0" applyProtection="0">
      <alignment vertical="center"/>
    </xf>
    <xf numFmtId="4" fontId="484" fillId="84" borderId="139" applyNumberFormat="0" applyProtection="0">
      <alignment vertical="center"/>
    </xf>
    <xf numFmtId="4" fontId="484" fillId="84" borderId="139" applyNumberFormat="0" applyProtection="0">
      <alignment vertical="center"/>
    </xf>
    <xf numFmtId="4" fontId="484" fillId="84" borderId="139" applyNumberFormat="0" applyProtection="0">
      <alignment vertical="center"/>
    </xf>
    <xf numFmtId="4" fontId="484" fillId="84" borderId="139" applyNumberFormat="0" applyProtection="0">
      <alignment vertical="center"/>
    </xf>
    <xf numFmtId="4" fontId="484" fillId="84" borderId="139" applyNumberFormat="0" applyProtection="0">
      <alignment vertical="center"/>
    </xf>
    <xf numFmtId="4" fontId="484" fillId="84" borderId="139" applyNumberFormat="0" applyProtection="0">
      <alignment vertical="center"/>
    </xf>
    <xf numFmtId="4" fontId="484" fillId="84" borderId="139" applyNumberFormat="0" applyProtection="0">
      <alignment vertical="center"/>
    </xf>
    <xf numFmtId="4" fontId="484" fillId="84" borderId="139" applyNumberFormat="0" applyProtection="0">
      <alignment vertical="center"/>
    </xf>
    <xf numFmtId="4" fontId="484" fillId="84" borderId="139" applyNumberFormat="0" applyProtection="0">
      <alignment vertical="center"/>
    </xf>
    <xf numFmtId="4" fontId="484" fillId="84" borderId="139" applyNumberFormat="0" applyProtection="0">
      <alignment vertical="center"/>
    </xf>
    <xf numFmtId="4" fontId="484" fillId="84" borderId="139" applyNumberFormat="0" applyProtection="0">
      <alignment vertical="center"/>
    </xf>
    <xf numFmtId="4" fontId="484" fillId="84" borderId="139" applyNumberFormat="0" applyProtection="0">
      <alignment vertical="center"/>
    </xf>
    <xf numFmtId="4" fontId="484" fillId="84" borderId="139" applyNumberFormat="0" applyProtection="0">
      <alignment vertical="center"/>
    </xf>
    <xf numFmtId="4" fontId="484" fillId="84" borderId="139" applyNumberFormat="0" applyProtection="0">
      <alignment vertical="center"/>
    </xf>
    <xf numFmtId="4" fontId="484" fillId="84" borderId="139" applyNumberFormat="0" applyProtection="0">
      <alignment vertical="center"/>
    </xf>
    <xf numFmtId="4" fontId="484" fillId="84" borderId="139" applyNumberFormat="0" applyProtection="0">
      <alignment vertical="center"/>
    </xf>
    <xf numFmtId="4" fontId="484" fillId="84" borderId="139" applyNumberFormat="0" applyProtection="0">
      <alignment vertical="center"/>
    </xf>
    <xf numFmtId="4" fontId="484" fillId="84" borderId="139" applyNumberFormat="0" applyProtection="0">
      <alignment vertical="center"/>
    </xf>
    <xf numFmtId="4" fontId="484" fillId="84" borderId="139" applyNumberFormat="0" applyProtection="0">
      <alignment vertical="center"/>
    </xf>
    <xf numFmtId="4" fontId="484" fillId="84" borderId="139" applyNumberFormat="0" applyProtection="0">
      <alignment vertical="center"/>
    </xf>
    <xf numFmtId="4" fontId="484" fillId="84" borderId="139" applyNumberFormat="0" applyProtection="0">
      <alignment vertical="center"/>
    </xf>
    <xf numFmtId="4" fontId="484" fillId="84" borderId="139" applyNumberFormat="0" applyProtection="0">
      <alignment vertical="center"/>
    </xf>
    <xf numFmtId="4" fontId="484" fillId="84" borderId="139" applyNumberFormat="0" applyProtection="0">
      <alignment vertical="center"/>
    </xf>
    <xf numFmtId="4" fontId="484" fillId="84" borderId="139" applyNumberFormat="0" applyProtection="0">
      <alignment vertical="center"/>
    </xf>
    <xf numFmtId="4" fontId="484" fillId="84" borderId="139" applyNumberFormat="0" applyProtection="0">
      <alignment vertical="center"/>
    </xf>
    <xf numFmtId="4" fontId="484" fillId="84" borderId="139" applyNumberFormat="0" applyProtection="0">
      <alignment vertical="center"/>
    </xf>
    <xf numFmtId="4" fontId="484" fillId="84" borderId="139" applyNumberFormat="0" applyProtection="0">
      <alignment vertical="center"/>
    </xf>
    <xf numFmtId="4" fontId="484" fillId="84" borderId="139" applyNumberFormat="0" applyProtection="0">
      <alignment vertical="center"/>
    </xf>
    <xf numFmtId="4" fontId="484" fillId="84" borderId="139" applyNumberFormat="0" applyProtection="0">
      <alignment vertical="center"/>
    </xf>
    <xf numFmtId="4" fontId="484" fillId="84" borderId="139" applyNumberFormat="0" applyProtection="0">
      <alignment vertical="center"/>
    </xf>
    <xf numFmtId="4" fontId="484" fillId="84" borderId="139" applyNumberFormat="0" applyProtection="0">
      <alignment vertical="center"/>
    </xf>
    <xf numFmtId="4" fontId="171" fillId="84" borderId="139" applyNumberFormat="0" applyProtection="0">
      <alignment horizontal="left" vertical="center" indent="1"/>
    </xf>
    <xf numFmtId="4" fontId="171" fillId="84" borderId="139" applyNumberFormat="0" applyProtection="0">
      <alignment horizontal="left" vertical="center" indent="1"/>
    </xf>
    <xf numFmtId="4" fontId="171" fillId="84" borderId="139" applyNumberFormat="0" applyProtection="0">
      <alignment horizontal="left" vertical="center" indent="1"/>
    </xf>
    <xf numFmtId="4" fontId="171" fillId="84" borderId="139" applyNumberFormat="0" applyProtection="0">
      <alignment horizontal="left" vertical="center" indent="1"/>
    </xf>
    <xf numFmtId="4" fontId="171" fillId="84" borderId="139" applyNumberFormat="0" applyProtection="0">
      <alignment horizontal="left" vertical="center" indent="1"/>
    </xf>
    <xf numFmtId="4" fontId="171" fillId="84" borderId="139" applyNumberFormat="0" applyProtection="0">
      <alignment horizontal="left" vertical="center" indent="1"/>
    </xf>
    <xf numFmtId="4" fontId="171" fillId="84" borderId="139" applyNumberFormat="0" applyProtection="0">
      <alignment horizontal="left" vertical="center" indent="1"/>
    </xf>
    <xf numFmtId="4" fontId="171" fillId="84" borderId="139" applyNumberFormat="0" applyProtection="0">
      <alignment horizontal="left" vertical="center" indent="1"/>
    </xf>
    <xf numFmtId="4" fontId="171" fillId="84" borderId="139" applyNumberFormat="0" applyProtection="0">
      <alignment horizontal="left" vertical="center" indent="1"/>
    </xf>
    <xf numFmtId="4" fontId="171" fillId="84" borderId="139" applyNumberFormat="0" applyProtection="0">
      <alignment horizontal="left" vertical="center" indent="1"/>
    </xf>
    <xf numFmtId="4" fontId="171" fillId="51" borderId="139" applyNumberFormat="0" applyProtection="0">
      <alignment horizontal="left" vertical="center" indent="1"/>
    </xf>
    <xf numFmtId="4" fontId="171" fillId="51" borderId="139" applyNumberFormat="0" applyProtection="0">
      <alignment horizontal="left" vertical="center" indent="1"/>
    </xf>
    <xf numFmtId="4" fontId="171" fillId="51" borderId="139" applyNumberFormat="0" applyProtection="0">
      <alignment horizontal="left" vertical="center" indent="1"/>
    </xf>
    <xf numFmtId="4" fontId="171" fillId="51" borderId="139" applyNumberFormat="0" applyProtection="0">
      <alignment horizontal="left" vertical="center" indent="1"/>
    </xf>
    <xf numFmtId="4" fontId="171" fillId="51" borderId="139" applyNumberFormat="0" applyProtection="0">
      <alignment horizontal="left" vertical="center" indent="1"/>
    </xf>
    <xf numFmtId="4" fontId="171" fillId="51" borderId="139" applyNumberFormat="0" applyProtection="0">
      <alignment horizontal="left" vertical="center" indent="1"/>
    </xf>
    <xf numFmtId="4" fontId="171" fillId="51" borderId="139" applyNumberFormat="0" applyProtection="0">
      <alignment horizontal="left" vertical="center" indent="1"/>
    </xf>
    <xf numFmtId="4" fontId="171" fillId="51" borderId="139" applyNumberFormat="0" applyProtection="0">
      <alignment horizontal="left" vertical="center" indent="1"/>
    </xf>
    <xf numFmtId="4" fontId="171" fillId="51" borderId="139" applyNumberFormat="0" applyProtection="0">
      <alignment horizontal="left" vertical="center" indent="1"/>
    </xf>
    <xf numFmtId="4" fontId="171" fillId="51" borderId="139" applyNumberFormat="0" applyProtection="0">
      <alignment horizontal="left" vertical="center" indent="1"/>
    </xf>
    <xf numFmtId="4" fontId="171" fillId="51" borderId="139" applyNumberFormat="0" applyProtection="0">
      <alignment horizontal="left" vertical="center" indent="1"/>
    </xf>
    <xf numFmtId="4" fontId="171" fillId="51" borderId="139" applyNumberFormat="0" applyProtection="0">
      <alignment horizontal="left" vertical="center" indent="1"/>
    </xf>
    <xf numFmtId="4" fontId="171" fillId="51" borderId="139" applyNumberFormat="0" applyProtection="0">
      <alignment horizontal="left" vertical="center" indent="1"/>
    </xf>
    <xf numFmtId="4" fontId="171" fillId="51" borderId="139" applyNumberFormat="0" applyProtection="0">
      <alignment horizontal="left" vertical="center" indent="1"/>
    </xf>
    <xf numFmtId="4" fontId="171" fillId="51" borderId="139" applyNumberFormat="0" applyProtection="0">
      <alignment horizontal="left" vertical="center" indent="1"/>
    </xf>
    <xf numFmtId="4" fontId="171" fillId="51" borderId="139" applyNumberFormat="0" applyProtection="0">
      <alignment horizontal="left" vertical="center" indent="1"/>
    </xf>
    <xf numFmtId="4" fontId="171" fillId="51" borderId="139" applyNumberFormat="0" applyProtection="0">
      <alignment horizontal="left" vertical="center" indent="1"/>
    </xf>
    <xf numFmtId="4" fontId="171" fillId="51" borderId="139" applyNumberFormat="0" applyProtection="0">
      <alignment horizontal="left" vertical="center" indent="1"/>
    </xf>
    <xf numFmtId="4" fontId="171" fillId="51" borderId="139" applyNumberFormat="0" applyProtection="0">
      <alignment horizontal="left" vertical="center" indent="1"/>
    </xf>
    <xf numFmtId="4" fontId="171" fillId="51" borderId="139" applyNumberFormat="0" applyProtection="0">
      <alignment horizontal="left" vertical="center" indent="1"/>
    </xf>
    <xf numFmtId="4" fontId="171" fillId="51" borderId="139" applyNumberFormat="0" applyProtection="0">
      <alignment horizontal="left" vertical="center" indent="1"/>
    </xf>
    <xf numFmtId="4" fontId="171" fillId="51" borderId="139" applyNumberFormat="0" applyProtection="0">
      <alignment horizontal="left" vertical="center" indent="1"/>
    </xf>
    <xf numFmtId="4" fontId="171" fillId="51" borderId="139" applyNumberFormat="0" applyProtection="0">
      <alignment horizontal="left" vertical="center" indent="1"/>
    </xf>
    <xf numFmtId="4" fontId="171" fillId="51" borderId="139" applyNumberFormat="0" applyProtection="0">
      <alignment horizontal="left" vertical="center" indent="1"/>
    </xf>
    <xf numFmtId="4" fontId="171" fillId="51" borderId="139" applyNumberFormat="0" applyProtection="0">
      <alignment horizontal="left" vertical="center" indent="1"/>
    </xf>
    <xf numFmtId="4" fontId="171" fillId="51" borderId="139" applyNumberFormat="0" applyProtection="0">
      <alignment horizontal="left" vertical="center" indent="1"/>
    </xf>
    <xf numFmtId="4" fontId="171" fillId="51" borderId="139" applyNumberFormat="0" applyProtection="0">
      <alignment horizontal="left" vertical="center" indent="1"/>
    </xf>
    <xf numFmtId="4" fontId="171" fillId="51" borderId="139" applyNumberFormat="0" applyProtection="0">
      <alignment horizontal="left" vertical="center" indent="1"/>
    </xf>
    <xf numFmtId="4" fontId="171" fillId="51" borderId="139" applyNumberFormat="0" applyProtection="0">
      <alignment horizontal="left" vertical="center" indent="1"/>
    </xf>
    <xf numFmtId="4" fontId="171" fillId="51" borderId="139" applyNumberFormat="0" applyProtection="0">
      <alignment horizontal="left" vertical="center" indent="1"/>
    </xf>
    <xf numFmtId="4" fontId="171" fillId="51" borderId="139" applyNumberFormat="0" applyProtection="0">
      <alignment horizontal="left" vertical="center" indent="1"/>
    </xf>
    <xf numFmtId="4" fontId="171" fillId="51" borderId="139" applyNumberFormat="0" applyProtection="0">
      <alignment horizontal="left" vertical="center" indent="1"/>
    </xf>
    <xf numFmtId="4" fontId="171" fillId="51" borderId="139" applyNumberFormat="0" applyProtection="0">
      <alignment horizontal="left" vertical="center" indent="1"/>
    </xf>
    <xf numFmtId="4" fontId="171" fillId="51" borderId="139" applyNumberFormat="0" applyProtection="0">
      <alignment horizontal="left" vertical="center" indent="1"/>
    </xf>
    <xf numFmtId="4" fontId="171" fillId="51" borderId="139" applyNumberFormat="0" applyProtection="0">
      <alignment horizontal="left" vertical="center" indent="1"/>
    </xf>
    <xf numFmtId="4" fontId="171" fillId="51" borderId="139" applyNumberFormat="0" applyProtection="0">
      <alignment horizontal="left" vertical="center" indent="1"/>
    </xf>
    <xf numFmtId="4" fontId="171" fillId="51" borderId="139" applyNumberFormat="0" applyProtection="0">
      <alignment horizontal="left" vertical="center" indent="1"/>
    </xf>
    <xf numFmtId="4" fontId="171" fillId="51" borderId="139" applyNumberFormat="0" applyProtection="0">
      <alignment horizontal="left" vertical="center" indent="1"/>
    </xf>
    <xf numFmtId="4" fontId="171" fillId="51" borderId="139" applyNumberFormat="0" applyProtection="0">
      <alignment horizontal="left" vertical="center" indent="1"/>
    </xf>
    <xf numFmtId="4" fontId="171" fillId="51" borderId="139" applyNumberFormat="0" applyProtection="0">
      <alignment horizontal="left" vertical="center" indent="1"/>
    </xf>
    <xf numFmtId="4" fontId="171" fillId="51" borderId="139" applyNumberFormat="0" applyProtection="0">
      <alignment horizontal="left" vertical="center" indent="1"/>
    </xf>
    <xf numFmtId="4" fontId="171" fillId="51" borderId="139" applyNumberFormat="0" applyProtection="0">
      <alignment horizontal="left" vertical="center" indent="1"/>
    </xf>
    <xf numFmtId="4" fontId="171" fillId="51" borderId="139" applyNumberFormat="0" applyProtection="0">
      <alignment horizontal="left" vertical="center" indent="1"/>
    </xf>
    <xf numFmtId="4" fontId="171" fillId="51" borderId="139" applyNumberFormat="0" applyProtection="0">
      <alignment horizontal="left" vertical="center" indent="1"/>
    </xf>
    <xf numFmtId="4" fontId="171" fillId="51" borderId="139" applyNumberFormat="0" applyProtection="0">
      <alignment horizontal="left" vertical="center" indent="1"/>
    </xf>
    <xf numFmtId="4" fontId="171" fillId="51" borderId="139" applyNumberFormat="0" applyProtection="0">
      <alignment horizontal="left" vertical="center" indent="1"/>
    </xf>
    <xf numFmtId="4" fontId="171" fillId="51" borderId="139" applyNumberFormat="0" applyProtection="0">
      <alignment horizontal="left" vertical="center" indent="1"/>
    </xf>
    <xf numFmtId="4" fontId="171" fillId="51" borderId="139" applyNumberFormat="0" applyProtection="0">
      <alignment horizontal="left" vertical="center" indent="1"/>
    </xf>
    <xf numFmtId="4" fontId="171" fillId="51" borderId="139" applyNumberFormat="0" applyProtection="0">
      <alignment horizontal="left" vertical="center" indent="1"/>
    </xf>
    <xf numFmtId="4" fontId="171" fillId="51" borderId="139" applyNumberFormat="0" applyProtection="0">
      <alignment horizontal="left" vertical="center" indent="1"/>
    </xf>
    <xf numFmtId="4" fontId="171" fillId="51" borderId="139" applyNumberFormat="0" applyProtection="0">
      <alignment horizontal="left" vertical="center" indent="1"/>
    </xf>
    <xf numFmtId="4" fontId="171" fillId="51" borderId="139" applyNumberFormat="0" applyProtection="0">
      <alignment horizontal="left" vertical="center" indent="1"/>
    </xf>
    <xf numFmtId="4" fontId="171" fillId="51" borderId="139" applyNumberFormat="0" applyProtection="0">
      <alignment horizontal="left" vertical="center" indent="1"/>
    </xf>
    <xf numFmtId="4" fontId="171" fillId="51" borderId="139" applyNumberFormat="0" applyProtection="0">
      <alignment horizontal="left" vertical="center" indent="1"/>
    </xf>
    <xf numFmtId="4" fontId="171" fillId="51" borderId="139" applyNumberFormat="0" applyProtection="0">
      <alignment horizontal="left" vertical="center" indent="1"/>
    </xf>
    <xf numFmtId="4" fontId="171" fillId="51" borderId="139" applyNumberFormat="0" applyProtection="0">
      <alignment horizontal="left" vertical="center" indent="1"/>
    </xf>
    <xf numFmtId="4" fontId="171" fillId="51" borderId="139" applyNumberFormat="0" applyProtection="0">
      <alignment horizontal="left" vertical="center" indent="1"/>
    </xf>
    <xf numFmtId="4" fontId="171" fillId="51" borderId="139" applyNumberFormat="0" applyProtection="0">
      <alignment horizontal="left" vertical="center" indent="1"/>
    </xf>
    <xf numFmtId="4" fontId="171" fillId="51" borderId="139" applyNumberFormat="0" applyProtection="0">
      <alignment horizontal="left" vertical="center" indent="1"/>
    </xf>
    <xf numFmtId="4" fontId="171" fillId="51" borderId="139" applyNumberFormat="0" applyProtection="0">
      <alignment horizontal="left" vertical="center" indent="1"/>
    </xf>
    <xf numFmtId="4" fontId="171" fillId="51" borderId="139" applyNumberFormat="0" applyProtection="0">
      <alignment horizontal="left" vertical="center" indent="1"/>
    </xf>
    <xf numFmtId="4" fontId="171" fillId="51" borderId="139" applyNumberFormat="0" applyProtection="0">
      <alignment horizontal="left" vertical="center" indent="1"/>
    </xf>
    <xf numFmtId="4" fontId="171" fillId="84" borderId="139" applyNumberFormat="0" applyProtection="0">
      <alignment horizontal="left" vertical="center" indent="1"/>
    </xf>
    <xf numFmtId="4" fontId="171" fillId="84" borderId="139" applyNumberFormat="0" applyProtection="0">
      <alignment horizontal="left" vertical="center" indent="1"/>
    </xf>
    <xf numFmtId="4" fontId="171" fillId="84" borderId="139" applyNumberFormat="0" applyProtection="0">
      <alignment horizontal="left" vertical="center" indent="1"/>
    </xf>
    <xf numFmtId="4" fontId="171" fillId="84" borderId="139" applyNumberFormat="0" applyProtection="0">
      <alignment horizontal="left" vertical="center" indent="1"/>
    </xf>
    <xf numFmtId="4" fontId="171" fillId="84" borderId="139" applyNumberFormat="0" applyProtection="0">
      <alignment horizontal="left" vertical="center" indent="1"/>
    </xf>
    <xf numFmtId="4" fontId="171" fillId="84" borderId="139" applyNumberFormat="0" applyProtection="0">
      <alignment horizontal="left" vertical="center" indent="1"/>
    </xf>
    <xf numFmtId="4" fontId="171" fillId="84" borderId="139" applyNumberFormat="0" applyProtection="0">
      <alignment horizontal="left" vertical="center" indent="1"/>
    </xf>
    <xf numFmtId="4" fontId="171" fillId="84" borderId="139" applyNumberFormat="0" applyProtection="0">
      <alignment horizontal="left" vertical="center" indent="1"/>
    </xf>
    <xf numFmtId="4" fontId="171" fillId="84" borderId="139" applyNumberFormat="0" applyProtection="0">
      <alignment horizontal="left" vertical="center" indent="1"/>
    </xf>
    <xf numFmtId="4" fontId="171" fillId="84" borderId="139" applyNumberFormat="0" applyProtection="0">
      <alignment horizontal="left" vertical="center" indent="1"/>
    </xf>
    <xf numFmtId="4" fontId="171" fillId="84" borderId="139" applyNumberFormat="0" applyProtection="0">
      <alignment horizontal="left" vertical="center" indent="1"/>
    </xf>
    <xf numFmtId="4" fontId="171" fillId="84" borderId="139" applyNumberFormat="0" applyProtection="0">
      <alignment horizontal="left" vertical="center" indent="1"/>
    </xf>
    <xf numFmtId="4" fontId="171" fillId="84" borderId="139" applyNumberFormat="0" applyProtection="0">
      <alignment horizontal="left" vertical="center" indent="1"/>
    </xf>
    <xf numFmtId="4" fontId="171" fillId="84" borderId="139" applyNumberFormat="0" applyProtection="0">
      <alignment horizontal="left" vertical="center" indent="1"/>
    </xf>
    <xf numFmtId="4" fontId="171" fillId="84" borderId="139" applyNumberFormat="0" applyProtection="0">
      <alignment horizontal="left" vertical="center" indent="1"/>
    </xf>
    <xf numFmtId="4" fontId="171" fillId="84" borderId="139" applyNumberFormat="0" applyProtection="0">
      <alignment horizontal="left" vertical="center" indent="1"/>
    </xf>
    <xf numFmtId="4" fontId="171" fillId="84" borderId="139" applyNumberFormat="0" applyProtection="0">
      <alignment horizontal="left" vertical="center" indent="1"/>
    </xf>
    <xf numFmtId="4" fontId="171" fillId="84" borderId="139" applyNumberFormat="0" applyProtection="0">
      <alignment horizontal="left" vertical="center" indent="1"/>
    </xf>
    <xf numFmtId="4" fontId="171" fillId="84" borderId="139" applyNumberFormat="0" applyProtection="0">
      <alignment horizontal="left" vertical="center" indent="1"/>
    </xf>
    <xf numFmtId="4" fontId="171" fillId="84" borderId="139" applyNumberFormat="0" applyProtection="0">
      <alignment horizontal="left" vertical="center" indent="1"/>
    </xf>
    <xf numFmtId="4" fontId="171" fillId="84" borderId="139" applyNumberFormat="0" applyProtection="0">
      <alignment horizontal="left" vertical="center" indent="1"/>
    </xf>
    <xf numFmtId="4" fontId="171" fillId="84" borderId="139" applyNumberFormat="0" applyProtection="0">
      <alignment horizontal="left" vertical="center" indent="1"/>
    </xf>
    <xf numFmtId="4" fontId="171" fillId="84" borderId="139" applyNumberFormat="0" applyProtection="0">
      <alignment horizontal="left" vertical="center" indent="1"/>
    </xf>
    <xf numFmtId="4" fontId="171" fillId="84" borderId="139" applyNumberFormat="0" applyProtection="0">
      <alignment horizontal="left" vertical="center" indent="1"/>
    </xf>
    <xf numFmtId="4" fontId="171" fillId="84" borderId="139" applyNumberFormat="0" applyProtection="0">
      <alignment horizontal="left" vertical="center" indent="1"/>
    </xf>
    <xf numFmtId="4" fontId="171" fillId="84" borderId="139" applyNumberFormat="0" applyProtection="0">
      <alignment horizontal="left" vertical="center" indent="1"/>
    </xf>
    <xf numFmtId="4" fontId="171" fillId="84" borderId="139" applyNumberFormat="0" applyProtection="0">
      <alignment horizontal="left" vertical="center" indent="1"/>
    </xf>
    <xf numFmtId="4" fontId="171" fillId="84" borderId="139" applyNumberFormat="0" applyProtection="0">
      <alignment horizontal="left" vertical="center" indent="1"/>
    </xf>
    <xf numFmtId="4" fontId="171" fillId="84" borderId="139" applyNumberFormat="0" applyProtection="0">
      <alignment horizontal="left" vertical="center" indent="1"/>
    </xf>
    <xf numFmtId="4" fontId="171" fillId="84" borderId="139" applyNumberFormat="0" applyProtection="0">
      <alignment horizontal="left" vertical="center" indent="1"/>
    </xf>
    <xf numFmtId="4" fontId="171" fillId="84" borderId="139" applyNumberFormat="0" applyProtection="0">
      <alignment horizontal="left" vertical="center" indent="1"/>
    </xf>
    <xf numFmtId="4" fontId="171" fillId="84" borderId="139" applyNumberFormat="0" applyProtection="0">
      <alignment horizontal="left" vertical="center" indent="1"/>
    </xf>
    <xf numFmtId="4" fontId="171" fillId="84" borderId="139" applyNumberFormat="0" applyProtection="0">
      <alignment horizontal="left" vertical="center" indent="1"/>
    </xf>
    <xf numFmtId="4" fontId="171" fillId="84" borderId="139" applyNumberFormat="0" applyProtection="0">
      <alignment horizontal="left" vertical="center" indent="1"/>
    </xf>
    <xf numFmtId="4" fontId="171" fillId="84" borderId="139" applyNumberFormat="0" applyProtection="0">
      <alignment horizontal="left" vertical="center" indent="1"/>
    </xf>
    <xf numFmtId="0" fontId="171" fillId="51" borderId="139" applyNumberFormat="0" applyProtection="0">
      <alignment horizontal="left" vertical="top" indent="1"/>
    </xf>
    <xf numFmtId="0" fontId="171" fillId="84" borderId="139" applyNumberFormat="0" applyProtection="0">
      <alignment horizontal="left" vertical="top" indent="1"/>
    </xf>
    <xf numFmtId="0" fontId="171" fillId="84" borderId="139" applyNumberFormat="0" applyProtection="0">
      <alignment horizontal="left" vertical="top" indent="1"/>
    </xf>
    <xf numFmtId="0" fontId="171" fillId="84" borderId="139" applyNumberFormat="0" applyProtection="0">
      <alignment horizontal="left" vertical="top" indent="1"/>
    </xf>
    <xf numFmtId="0" fontId="171" fillId="84" borderId="139" applyNumberFormat="0" applyProtection="0">
      <alignment horizontal="left" vertical="top" indent="1"/>
    </xf>
    <xf numFmtId="0" fontId="171" fillId="84" borderId="139" applyNumberFormat="0" applyProtection="0">
      <alignment horizontal="left" vertical="top" indent="1"/>
    </xf>
    <xf numFmtId="0" fontId="171" fillId="84" borderId="139" applyNumberFormat="0" applyProtection="0">
      <alignment horizontal="left" vertical="top" indent="1"/>
    </xf>
    <xf numFmtId="0" fontId="171" fillId="84" borderId="139" applyNumberFormat="0" applyProtection="0">
      <alignment horizontal="left" vertical="top" indent="1"/>
    </xf>
    <xf numFmtId="0" fontId="171" fillId="84" borderId="139" applyNumberFormat="0" applyProtection="0">
      <alignment horizontal="left" vertical="top" indent="1"/>
    </xf>
    <xf numFmtId="0" fontId="171" fillId="84" borderId="139" applyNumberFormat="0" applyProtection="0">
      <alignment horizontal="left" vertical="top" indent="1"/>
    </xf>
    <xf numFmtId="0" fontId="171" fillId="84" borderId="139" applyNumberFormat="0" applyProtection="0">
      <alignment horizontal="left" vertical="top" indent="1"/>
    </xf>
    <xf numFmtId="0" fontId="171" fillId="51" borderId="139" applyNumberFormat="0" applyProtection="0">
      <alignment horizontal="left" vertical="top" indent="1"/>
    </xf>
    <xf numFmtId="0" fontId="171" fillId="51" borderId="139" applyNumberFormat="0" applyProtection="0">
      <alignment horizontal="left" vertical="top" indent="1"/>
    </xf>
    <xf numFmtId="0" fontId="171" fillId="51" borderId="139" applyNumberFormat="0" applyProtection="0">
      <alignment horizontal="left" vertical="top" indent="1"/>
    </xf>
    <xf numFmtId="0" fontId="171" fillId="51" borderId="139" applyNumberFormat="0" applyProtection="0">
      <alignment horizontal="left" vertical="top" indent="1"/>
    </xf>
    <xf numFmtId="0" fontId="171" fillId="51" borderId="139" applyNumberFormat="0" applyProtection="0">
      <alignment horizontal="left" vertical="top" indent="1"/>
    </xf>
    <xf numFmtId="0" fontId="171" fillId="51" borderId="139" applyNumberFormat="0" applyProtection="0">
      <alignment horizontal="left" vertical="top" indent="1"/>
    </xf>
    <xf numFmtId="0" fontId="171" fillId="51" borderId="139" applyNumberFormat="0" applyProtection="0">
      <alignment horizontal="left" vertical="top" indent="1"/>
    </xf>
    <xf numFmtId="0" fontId="171" fillId="51" borderId="139" applyNumberFormat="0" applyProtection="0">
      <alignment horizontal="left" vertical="top" indent="1"/>
    </xf>
    <xf numFmtId="0" fontId="171" fillId="51" borderId="139" applyNumberFormat="0" applyProtection="0">
      <alignment horizontal="left" vertical="top" indent="1"/>
    </xf>
    <xf numFmtId="0" fontId="171" fillId="51" borderId="139" applyNumberFormat="0" applyProtection="0">
      <alignment horizontal="left" vertical="top" indent="1"/>
    </xf>
    <xf numFmtId="0" fontId="171" fillId="51" borderId="139" applyNumberFormat="0" applyProtection="0">
      <alignment horizontal="left" vertical="top" indent="1"/>
    </xf>
    <xf numFmtId="0" fontId="171" fillId="51" borderId="139" applyNumberFormat="0" applyProtection="0">
      <alignment horizontal="left" vertical="top" indent="1"/>
    </xf>
    <xf numFmtId="0" fontId="171" fillId="51" borderId="139" applyNumberFormat="0" applyProtection="0">
      <alignment horizontal="left" vertical="top" indent="1"/>
    </xf>
    <xf numFmtId="0" fontId="171" fillId="51" borderId="139" applyNumberFormat="0" applyProtection="0">
      <alignment horizontal="left" vertical="top" indent="1"/>
    </xf>
    <xf numFmtId="0" fontId="171" fillId="51" borderId="139" applyNumberFormat="0" applyProtection="0">
      <alignment horizontal="left" vertical="top" indent="1"/>
    </xf>
    <xf numFmtId="0" fontId="171" fillId="51" borderId="139" applyNumberFormat="0" applyProtection="0">
      <alignment horizontal="left" vertical="top" indent="1"/>
    </xf>
    <xf numFmtId="0" fontId="171" fillId="51" borderId="139" applyNumberFormat="0" applyProtection="0">
      <alignment horizontal="left" vertical="top" indent="1"/>
    </xf>
    <xf numFmtId="0" fontId="171" fillId="51" borderId="139" applyNumberFormat="0" applyProtection="0">
      <alignment horizontal="left" vertical="top" indent="1"/>
    </xf>
    <xf numFmtId="0" fontId="171" fillId="51" borderId="139" applyNumberFormat="0" applyProtection="0">
      <alignment horizontal="left" vertical="top" indent="1"/>
    </xf>
    <xf numFmtId="0" fontId="171" fillId="51" borderId="139" applyNumberFormat="0" applyProtection="0">
      <alignment horizontal="left" vertical="top" indent="1"/>
    </xf>
    <xf numFmtId="0" fontId="171" fillId="51" borderId="139" applyNumberFormat="0" applyProtection="0">
      <alignment horizontal="left" vertical="top" indent="1"/>
    </xf>
    <xf numFmtId="0" fontId="171" fillId="51" borderId="139" applyNumberFormat="0" applyProtection="0">
      <alignment horizontal="left" vertical="top" indent="1"/>
    </xf>
    <xf numFmtId="0" fontId="171" fillId="51" borderId="139" applyNumberFormat="0" applyProtection="0">
      <alignment horizontal="left" vertical="top" indent="1"/>
    </xf>
    <xf numFmtId="0" fontId="171" fillId="51" borderId="139" applyNumberFormat="0" applyProtection="0">
      <alignment horizontal="left" vertical="top" indent="1"/>
    </xf>
    <xf numFmtId="0" fontId="171" fillId="51" borderId="139" applyNumberFormat="0" applyProtection="0">
      <alignment horizontal="left" vertical="top" indent="1"/>
    </xf>
    <xf numFmtId="0" fontId="171" fillId="51" borderId="139" applyNumberFormat="0" applyProtection="0">
      <alignment horizontal="left" vertical="top" indent="1"/>
    </xf>
    <xf numFmtId="0" fontId="171" fillId="51" borderId="139" applyNumberFormat="0" applyProtection="0">
      <alignment horizontal="left" vertical="top" indent="1"/>
    </xf>
    <xf numFmtId="0" fontId="171" fillId="51" borderId="139" applyNumberFormat="0" applyProtection="0">
      <alignment horizontal="left" vertical="top" indent="1"/>
    </xf>
    <xf numFmtId="0" fontId="171" fillId="51" borderId="139" applyNumberFormat="0" applyProtection="0">
      <alignment horizontal="left" vertical="top" indent="1"/>
    </xf>
    <xf numFmtId="0" fontId="171" fillId="51" borderId="139" applyNumberFormat="0" applyProtection="0">
      <alignment horizontal="left" vertical="top" indent="1"/>
    </xf>
    <xf numFmtId="0" fontId="171" fillId="51" borderId="139" applyNumberFormat="0" applyProtection="0">
      <alignment horizontal="left" vertical="top" indent="1"/>
    </xf>
    <xf numFmtId="0" fontId="171" fillId="51" borderId="139" applyNumberFormat="0" applyProtection="0">
      <alignment horizontal="left" vertical="top" indent="1"/>
    </xf>
    <xf numFmtId="0" fontId="171" fillId="51" borderId="139" applyNumberFormat="0" applyProtection="0">
      <alignment horizontal="left" vertical="top" indent="1"/>
    </xf>
    <xf numFmtId="0" fontId="171" fillId="51" borderId="139" applyNumberFormat="0" applyProtection="0">
      <alignment horizontal="left" vertical="top" indent="1"/>
    </xf>
    <xf numFmtId="0" fontId="171" fillId="51" borderId="139" applyNumberFormat="0" applyProtection="0">
      <alignment horizontal="left" vertical="top" indent="1"/>
    </xf>
    <xf numFmtId="0" fontId="171" fillId="51" borderId="139" applyNumberFormat="0" applyProtection="0">
      <alignment horizontal="left" vertical="top" indent="1"/>
    </xf>
    <xf numFmtId="0" fontId="171" fillId="51" borderId="139" applyNumberFormat="0" applyProtection="0">
      <alignment horizontal="left" vertical="top" indent="1"/>
    </xf>
    <xf numFmtId="0" fontId="171" fillId="51" borderId="139" applyNumberFormat="0" applyProtection="0">
      <alignment horizontal="left" vertical="top" indent="1"/>
    </xf>
    <xf numFmtId="0" fontId="171" fillId="51" borderId="139" applyNumberFormat="0" applyProtection="0">
      <alignment horizontal="left" vertical="top" indent="1"/>
    </xf>
    <xf numFmtId="0" fontId="171" fillId="51" borderId="139" applyNumberFormat="0" applyProtection="0">
      <alignment horizontal="left" vertical="top" indent="1"/>
    </xf>
    <xf numFmtId="0" fontId="171" fillId="51" borderId="139" applyNumberFormat="0" applyProtection="0">
      <alignment horizontal="left" vertical="top" indent="1"/>
    </xf>
    <xf numFmtId="0" fontId="171" fillId="51" borderId="139" applyNumberFormat="0" applyProtection="0">
      <alignment horizontal="left" vertical="top" indent="1"/>
    </xf>
    <xf numFmtId="0" fontId="171" fillId="51" borderId="139" applyNumberFormat="0" applyProtection="0">
      <alignment horizontal="left" vertical="top" indent="1"/>
    </xf>
    <xf numFmtId="0" fontId="171" fillId="51" borderId="139" applyNumberFormat="0" applyProtection="0">
      <alignment horizontal="left" vertical="top" indent="1"/>
    </xf>
    <xf numFmtId="0" fontId="171" fillId="51" borderId="139" applyNumberFormat="0" applyProtection="0">
      <alignment horizontal="left" vertical="top" indent="1"/>
    </xf>
    <xf numFmtId="0" fontId="171" fillId="51" borderId="139" applyNumberFormat="0" applyProtection="0">
      <alignment horizontal="left" vertical="top" indent="1"/>
    </xf>
    <xf numFmtId="0" fontId="171" fillId="51" borderId="139" applyNumberFormat="0" applyProtection="0">
      <alignment horizontal="left" vertical="top" indent="1"/>
    </xf>
    <xf numFmtId="0" fontId="171" fillId="51" borderId="139" applyNumberFormat="0" applyProtection="0">
      <alignment horizontal="left" vertical="top" indent="1"/>
    </xf>
    <xf numFmtId="0" fontId="171" fillId="51" borderId="139" applyNumberFormat="0" applyProtection="0">
      <alignment horizontal="left" vertical="top" indent="1"/>
    </xf>
    <xf numFmtId="0" fontId="171" fillId="51" borderId="139" applyNumberFormat="0" applyProtection="0">
      <alignment horizontal="left" vertical="top" indent="1"/>
    </xf>
    <xf numFmtId="0" fontId="171" fillId="51" borderId="139" applyNumberFormat="0" applyProtection="0">
      <alignment horizontal="left" vertical="top" indent="1"/>
    </xf>
    <xf numFmtId="0" fontId="171" fillId="51" borderId="139" applyNumberFormat="0" applyProtection="0">
      <alignment horizontal="left" vertical="top" indent="1"/>
    </xf>
    <xf numFmtId="0" fontId="171" fillId="51" borderId="139" applyNumberFormat="0" applyProtection="0">
      <alignment horizontal="left" vertical="top" indent="1"/>
    </xf>
    <xf numFmtId="0" fontId="171" fillId="51" borderId="139" applyNumberFormat="0" applyProtection="0">
      <alignment horizontal="left" vertical="top" indent="1"/>
    </xf>
    <xf numFmtId="0" fontId="171" fillId="51" borderId="139" applyNumberFormat="0" applyProtection="0">
      <alignment horizontal="left" vertical="top" indent="1"/>
    </xf>
    <xf numFmtId="0" fontId="171" fillId="51" borderId="139" applyNumberFormat="0" applyProtection="0">
      <alignment horizontal="left" vertical="top" indent="1"/>
    </xf>
    <xf numFmtId="0" fontId="171" fillId="51" borderId="139" applyNumberFormat="0" applyProtection="0">
      <alignment horizontal="left" vertical="top" indent="1"/>
    </xf>
    <xf numFmtId="0" fontId="171" fillId="51" borderId="139" applyNumberFormat="0" applyProtection="0">
      <alignment horizontal="left" vertical="top" indent="1"/>
    </xf>
    <xf numFmtId="0" fontId="171" fillId="51" borderId="139" applyNumberFormat="0" applyProtection="0">
      <alignment horizontal="left" vertical="top" indent="1"/>
    </xf>
    <xf numFmtId="0" fontId="171" fillId="51" borderId="139" applyNumberFormat="0" applyProtection="0">
      <alignment horizontal="left" vertical="top" indent="1"/>
    </xf>
    <xf numFmtId="0" fontId="171" fillId="51" borderId="139" applyNumberFormat="0" applyProtection="0">
      <alignment horizontal="left" vertical="top" indent="1"/>
    </xf>
    <xf numFmtId="0" fontId="171" fillId="51" borderId="139" applyNumberFormat="0" applyProtection="0">
      <alignment horizontal="left" vertical="top" indent="1"/>
    </xf>
    <xf numFmtId="0" fontId="171" fillId="84" borderId="139" applyNumberFormat="0" applyProtection="0">
      <alignment horizontal="left" vertical="top" indent="1"/>
    </xf>
    <xf numFmtId="0" fontId="171" fillId="84" borderId="139" applyNumberFormat="0" applyProtection="0">
      <alignment horizontal="left" vertical="top" indent="1"/>
    </xf>
    <xf numFmtId="0" fontId="171" fillId="84" borderId="139" applyNumberFormat="0" applyProtection="0">
      <alignment horizontal="left" vertical="top" indent="1"/>
    </xf>
    <xf numFmtId="0" fontId="171" fillId="84" borderId="139" applyNumberFormat="0" applyProtection="0">
      <alignment horizontal="left" vertical="top" indent="1"/>
    </xf>
    <xf numFmtId="0" fontId="171" fillId="84" borderId="139" applyNumberFormat="0" applyProtection="0">
      <alignment horizontal="left" vertical="top" indent="1"/>
    </xf>
    <xf numFmtId="0" fontId="171" fillId="84" borderId="139" applyNumberFormat="0" applyProtection="0">
      <alignment horizontal="left" vertical="top" indent="1"/>
    </xf>
    <xf numFmtId="0" fontId="171" fillId="84" borderId="139" applyNumberFormat="0" applyProtection="0">
      <alignment horizontal="left" vertical="top" indent="1"/>
    </xf>
    <xf numFmtId="0" fontId="171" fillId="84" borderId="139" applyNumberFormat="0" applyProtection="0">
      <alignment horizontal="left" vertical="top" indent="1"/>
    </xf>
    <xf numFmtId="0" fontId="171" fillId="84" borderId="139" applyNumberFormat="0" applyProtection="0">
      <alignment horizontal="left" vertical="top" indent="1"/>
    </xf>
    <xf numFmtId="0" fontId="171" fillId="84" borderId="139" applyNumberFormat="0" applyProtection="0">
      <alignment horizontal="left" vertical="top" indent="1"/>
    </xf>
    <xf numFmtId="0" fontId="171" fillId="84" borderId="139" applyNumberFormat="0" applyProtection="0">
      <alignment horizontal="left" vertical="top" indent="1"/>
    </xf>
    <xf numFmtId="0" fontId="171" fillId="84" borderId="139" applyNumberFormat="0" applyProtection="0">
      <alignment horizontal="left" vertical="top" indent="1"/>
    </xf>
    <xf numFmtId="0" fontId="171" fillId="84" borderId="139" applyNumberFormat="0" applyProtection="0">
      <alignment horizontal="left" vertical="top" indent="1"/>
    </xf>
    <xf numFmtId="0" fontId="171" fillId="84" borderId="139" applyNumberFormat="0" applyProtection="0">
      <alignment horizontal="left" vertical="top" indent="1"/>
    </xf>
    <xf numFmtId="0" fontId="171" fillId="84" borderId="139" applyNumberFormat="0" applyProtection="0">
      <alignment horizontal="left" vertical="top" indent="1"/>
    </xf>
    <xf numFmtId="0" fontId="171" fillId="84" borderId="139" applyNumberFormat="0" applyProtection="0">
      <alignment horizontal="left" vertical="top" indent="1"/>
    </xf>
    <xf numFmtId="0" fontId="171" fillId="84" borderId="139" applyNumberFormat="0" applyProtection="0">
      <alignment horizontal="left" vertical="top" indent="1"/>
    </xf>
    <xf numFmtId="0" fontId="171" fillId="84" borderId="139" applyNumberFormat="0" applyProtection="0">
      <alignment horizontal="left" vertical="top" indent="1"/>
    </xf>
    <xf numFmtId="0" fontId="171" fillId="84" borderId="139" applyNumberFormat="0" applyProtection="0">
      <alignment horizontal="left" vertical="top" indent="1"/>
    </xf>
    <xf numFmtId="0" fontId="171" fillId="84" borderId="139" applyNumberFormat="0" applyProtection="0">
      <alignment horizontal="left" vertical="top" indent="1"/>
    </xf>
    <xf numFmtId="0" fontId="171" fillId="84" borderId="139" applyNumberFormat="0" applyProtection="0">
      <alignment horizontal="left" vertical="top" indent="1"/>
    </xf>
    <xf numFmtId="0" fontId="171" fillId="84" borderId="139" applyNumberFormat="0" applyProtection="0">
      <alignment horizontal="left" vertical="top" indent="1"/>
    </xf>
    <xf numFmtId="0" fontId="171" fillId="84" borderId="139" applyNumberFormat="0" applyProtection="0">
      <alignment horizontal="left" vertical="top" indent="1"/>
    </xf>
    <xf numFmtId="0" fontId="171" fillId="84" borderId="139" applyNumberFormat="0" applyProtection="0">
      <alignment horizontal="left" vertical="top" indent="1"/>
    </xf>
    <xf numFmtId="0" fontId="171" fillId="84" borderId="139" applyNumberFormat="0" applyProtection="0">
      <alignment horizontal="left" vertical="top" indent="1"/>
    </xf>
    <xf numFmtId="0" fontId="171" fillId="84" borderId="139" applyNumberFormat="0" applyProtection="0">
      <alignment horizontal="left" vertical="top" indent="1"/>
    </xf>
    <xf numFmtId="0" fontId="171" fillId="84" borderId="139" applyNumberFormat="0" applyProtection="0">
      <alignment horizontal="left" vertical="top" indent="1"/>
    </xf>
    <xf numFmtId="0" fontId="171" fillId="84" borderId="139" applyNumberFormat="0" applyProtection="0">
      <alignment horizontal="left" vertical="top" indent="1"/>
    </xf>
    <xf numFmtId="0" fontId="171" fillId="84" borderId="139" applyNumberFormat="0" applyProtection="0">
      <alignment horizontal="left" vertical="top" indent="1"/>
    </xf>
    <xf numFmtId="0" fontId="171" fillId="84" borderId="139" applyNumberFormat="0" applyProtection="0">
      <alignment horizontal="left" vertical="top" indent="1"/>
    </xf>
    <xf numFmtId="0" fontId="171" fillId="84" borderId="139" applyNumberFormat="0" applyProtection="0">
      <alignment horizontal="left" vertical="top" indent="1"/>
    </xf>
    <xf numFmtId="0" fontId="171" fillId="84" borderId="139" applyNumberFormat="0" applyProtection="0">
      <alignment horizontal="left" vertical="top" indent="1"/>
    </xf>
    <xf numFmtId="0" fontId="171" fillId="84" borderId="139" applyNumberFormat="0" applyProtection="0">
      <alignment horizontal="left" vertical="top" indent="1"/>
    </xf>
    <xf numFmtId="0" fontId="171" fillId="84" borderId="139" applyNumberFormat="0" applyProtection="0">
      <alignment horizontal="left" vertical="top" indent="1"/>
    </xf>
    <xf numFmtId="0" fontId="171" fillId="84" borderId="139" applyNumberFormat="0" applyProtection="0">
      <alignment horizontal="left" vertical="top" indent="1"/>
    </xf>
    <xf numFmtId="0" fontId="171" fillId="84" borderId="139" applyNumberFormat="0" applyProtection="0">
      <alignment horizontal="left" vertical="top" indent="1"/>
    </xf>
    <xf numFmtId="0" fontId="171" fillId="84" borderId="139" applyNumberFormat="0" applyProtection="0">
      <alignment horizontal="left" vertical="top" indent="1"/>
    </xf>
    <xf numFmtId="0" fontId="171" fillId="84" borderId="139" applyNumberFormat="0" applyProtection="0">
      <alignment horizontal="left" vertical="top" indent="1"/>
    </xf>
    <xf numFmtId="0" fontId="171" fillId="84" borderId="139" applyNumberFormat="0" applyProtection="0">
      <alignment horizontal="left" vertical="top" indent="1"/>
    </xf>
    <xf numFmtId="0" fontId="171" fillId="84" borderId="139" applyNumberFormat="0" applyProtection="0">
      <alignment horizontal="left" vertical="top" indent="1"/>
    </xf>
    <xf numFmtId="0" fontId="171" fillId="84" borderId="139" applyNumberFormat="0" applyProtection="0">
      <alignment horizontal="left" vertical="top" indent="1"/>
    </xf>
    <xf numFmtId="0" fontId="171" fillId="84" borderId="139" applyNumberFormat="0" applyProtection="0">
      <alignment horizontal="left" vertical="top" indent="1"/>
    </xf>
    <xf numFmtId="0" fontId="171" fillId="84" borderId="139" applyNumberFormat="0" applyProtection="0">
      <alignment horizontal="left" vertical="top" indent="1"/>
    </xf>
    <xf numFmtId="0" fontId="171" fillId="84" borderId="139" applyNumberFormat="0" applyProtection="0">
      <alignment horizontal="left" vertical="top" indent="1"/>
    </xf>
    <xf numFmtId="0" fontId="171" fillId="84" borderId="139" applyNumberFormat="0" applyProtection="0">
      <alignment horizontal="left" vertical="top" indent="1"/>
    </xf>
    <xf numFmtId="0" fontId="171" fillId="84" borderId="139" applyNumberFormat="0" applyProtection="0">
      <alignment horizontal="left" vertical="top" indent="1"/>
    </xf>
    <xf numFmtId="0" fontId="171" fillId="84" borderId="139" applyNumberFormat="0" applyProtection="0">
      <alignment horizontal="left" vertical="top" indent="1"/>
    </xf>
    <xf numFmtId="0" fontId="171" fillId="84" borderId="139" applyNumberFormat="0" applyProtection="0">
      <alignment horizontal="left" vertical="top" indent="1"/>
    </xf>
    <xf numFmtId="0" fontId="171" fillId="84" borderId="139" applyNumberFormat="0" applyProtection="0">
      <alignment horizontal="left" vertical="top" indent="1"/>
    </xf>
    <xf numFmtId="0" fontId="171" fillId="84" borderId="139" applyNumberFormat="0" applyProtection="0">
      <alignment horizontal="left" vertical="top" indent="1"/>
    </xf>
    <xf numFmtId="0" fontId="171" fillId="84" borderId="139" applyNumberFormat="0" applyProtection="0">
      <alignment horizontal="left" vertical="top" indent="1"/>
    </xf>
    <xf numFmtId="4" fontId="171" fillId="102" borderId="139" applyNumberFormat="0" applyProtection="0">
      <alignment horizontal="right" vertical="center"/>
    </xf>
    <xf numFmtId="4" fontId="171" fillId="102" borderId="139" applyNumberFormat="0" applyProtection="0">
      <alignment horizontal="right" vertical="center"/>
    </xf>
    <xf numFmtId="4" fontId="171" fillId="102" borderId="139" applyNumberFormat="0" applyProtection="0">
      <alignment horizontal="right" vertical="center"/>
    </xf>
    <xf numFmtId="4" fontId="171" fillId="102" borderId="139" applyNumberFormat="0" applyProtection="0">
      <alignment horizontal="right" vertical="center"/>
    </xf>
    <xf numFmtId="4" fontId="171" fillId="102" borderId="139" applyNumberFormat="0" applyProtection="0">
      <alignment horizontal="right" vertical="center"/>
    </xf>
    <xf numFmtId="4" fontId="171" fillId="102" borderId="139" applyNumberFormat="0" applyProtection="0">
      <alignment horizontal="right" vertical="center"/>
    </xf>
    <xf numFmtId="4" fontId="171" fillId="102" borderId="139" applyNumberFormat="0" applyProtection="0">
      <alignment horizontal="right" vertical="center"/>
    </xf>
    <xf numFmtId="4" fontId="171" fillId="102" borderId="139" applyNumberFormat="0" applyProtection="0">
      <alignment horizontal="right" vertical="center"/>
    </xf>
    <xf numFmtId="4" fontId="171" fillId="102" borderId="139" applyNumberFormat="0" applyProtection="0">
      <alignment horizontal="right" vertical="center"/>
    </xf>
    <xf numFmtId="4" fontId="171" fillId="102" borderId="139" applyNumberFormat="0" applyProtection="0">
      <alignment horizontal="right" vertical="center"/>
    </xf>
    <xf numFmtId="4" fontId="171" fillId="102" borderId="139" applyNumberFormat="0" applyProtection="0">
      <alignment horizontal="right" vertical="center"/>
    </xf>
    <xf numFmtId="4" fontId="171" fillId="102" borderId="139" applyNumberFormat="0" applyProtection="0">
      <alignment horizontal="right" vertical="center"/>
    </xf>
    <xf numFmtId="4" fontId="171" fillId="102" borderId="139" applyNumberFormat="0" applyProtection="0">
      <alignment horizontal="right" vertical="center"/>
    </xf>
    <xf numFmtId="4" fontId="171" fillId="102" borderId="139" applyNumberFormat="0" applyProtection="0">
      <alignment horizontal="right" vertical="center"/>
    </xf>
    <xf numFmtId="4" fontId="171" fillId="102" borderId="139" applyNumberFormat="0" applyProtection="0">
      <alignment horizontal="right" vertical="center"/>
    </xf>
    <xf numFmtId="4" fontId="171" fillId="102" borderId="139" applyNumberFormat="0" applyProtection="0">
      <alignment horizontal="right" vertical="center"/>
    </xf>
    <xf numFmtId="4" fontId="171" fillId="102" borderId="139" applyNumberFormat="0" applyProtection="0">
      <alignment horizontal="right" vertical="center"/>
    </xf>
    <xf numFmtId="4" fontId="171" fillId="102" borderId="139" applyNumberFormat="0" applyProtection="0">
      <alignment horizontal="right" vertical="center"/>
    </xf>
    <xf numFmtId="4" fontId="171" fillId="102" borderId="139" applyNumberFormat="0" applyProtection="0">
      <alignment horizontal="right" vertical="center"/>
    </xf>
    <xf numFmtId="4" fontId="171" fillId="102" borderId="139" applyNumberFormat="0" applyProtection="0">
      <alignment horizontal="right" vertical="center"/>
    </xf>
    <xf numFmtId="4" fontId="171" fillId="102" borderId="139" applyNumberFormat="0" applyProtection="0">
      <alignment horizontal="right" vertical="center"/>
    </xf>
    <xf numFmtId="4" fontId="171" fillId="102" borderId="139" applyNumberFormat="0" applyProtection="0">
      <alignment horizontal="right" vertical="center"/>
    </xf>
    <xf numFmtId="4" fontId="171" fillId="102" borderId="139" applyNumberFormat="0" applyProtection="0">
      <alignment horizontal="right" vertical="center"/>
    </xf>
    <xf numFmtId="4" fontId="171" fillId="102" borderId="139" applyNumberFormat="0" applyProtection="0">
      <alignment horizontal="right" vertical="center"/>
    </xf>
    <xf numFmtId="4" fontId="171" fillId="102" borderId="139" applyNumberFormat="0" applyProtection="0">
      <alignment horizontal="right" vertical="center"/>
    </xf>
    <xf numFmtId="4" fontId="171" fillId="102" borderId="139" applyNumberFormat="0" applyProtection="0">
      <alignment horizontal="right" vertical="center"/>
    </xf>
    <xf numFmtId="4" fontId="171" fillId="102" borderId="139" applyNumberFormat="0" applyProtection="0">
      <alignment horizontal="right" vertical="center"/>
    </xf>
    <xf numFmtId="4" fontId="171" fillId="102" borderId="139" applyNumberFormat="0" applyProtection="0">
      <alignment horizontal="right" vertical="center"/>
    </xf>
    <xf numFmtId="4" fontId="171" fillId="102" borderId="139" applyNumberFormat="0" applyProtection="0">
      <alignment horizontal="right" vertical="center"/>
    </xf>
    <xf numFmtId="4" fontId="171" fillId="102" borderId="139" applyNumberFormat="0" applyProtection="0">
      <alignment horizontal="right" vertical="center"/>
    </xf>
    <xf numFmtId="4" fontId="171" fillId="102" borderId="139" applyNumberFormat="0" applyProtection="0">
      <alignment horizontal="right" vertical="center"/>
    </xf>
    <xf numFmtId="4" fontId="171" fillId="102" borderId="139" applyNumberFormat="0" applyProtection="0">
      <alignment horizontal="right" vertical="center"/>
    </xf>
    <xf numFmtId="4" fontId="171" fillId="102" borderId="139" applyNumberFormat="0" applyProtection="0">
      <alignment horizontal="right" vertical="center"/>
    </xf>
    <xf numFmtId="4" fontId="171" fillId="102" borderId="139" applyNumberFormat="0" applyProtection="0">
      <alignment horizontal="right" vertical="center"/>
    </xf>
    <xf numFmtId="4" fontId="171" fillId="102" borderId="139" applyNumberFormat="0" applyProtection="0">
      <alignment horizontal="right" vertical="center"/>
    </xf>
    <xf numFmtId="4" fontId="171" fillId="102" borderId="139" applyNumberFormat="0" applyProtection="0">
      <alignment horizontal="right" vertical="center"/>
    </xf>
    <xf numFmtId="4" fontId="171" fillId="102" borderId="139" applyNumberFormat="0" applyProtection="0">
      <alignment horizontal="right" vertical="center"/>
    </xf>
    <xf numFmtId="4" fontId="171" fillId="102" borderId="139" applyNumberFormat="0" applyProtection="0">
      <alignment horizontal="right" vertical="center"/>
    </xf>
    <xf numFmtId="4" fontId="171" fillId="102" borderId="139" applyNumberFormat="0" applyProtection="0">
      <alignment horizontal="right" vertical="center"/>
    </xf>
    <xf numFmtId="4" fontId="171" fillId="102" borderId="139" applyNumberFormat="0" applyProtection="0">
      <alignment horizontal="right" vertical="center"/>
    </xf>
    <xf numFmtId="4" fontId="171" fillId="102" borderId="139" applyNumberFormat="0" applyProtection="0">
      <alignment horizontal="right" vertical="center"/>
    </xf>
    <xf numFmtId="4" fontId="171" fillId="102" borderId="139" applyNumberFormat="0" applyProtection="0">
      <alignment horizontal="right" vertical="center"/>
    </xf>
    <xf numFmtId="4" fontId="171" fillId="102" borderId="139" applyNumberFormat="0" applyProtection="0">
      <alignment horizontal="right" vertical="center"/>
    </xf>
    <xf numFmtId="4" fontId="171" fillId="102" borderId="139" applyNumberFormat="0" applyProtection="0">
      <alignment horizontal="right" vertical="center"/>
    </xf>
    <xf numFmtId="4" fontId="171" fillId="102" borderId="139" applyNumberFormat="0" applyProtection="0">
      <alignment horizontal="right" vertical="center"/>
    </xf>
    <xf numFmtId="4" fontId="171" fillId="102" borderId="139" applyNumberFormat="0" applyProtection="0">
      <alignment horizontal="right" vertical="center"/>
    </xf>
    <xf numFmtId="4" fontId="171" fillId="102" borderId="139" applyNumberFormat="0" applyProtection="0">
      <alignment horizontal="right" vertical="center"/>
    </xf>
    <xf numFmtId="4" fontId="171" fillId="102" borderId="139" applyNumberFormat="0" applyProtection="0">
      <alignment horizontal="right" vertical="center"/>
    </xf>
    <xf numFmtId="4" fontId="171" fillId="102" borderId="139" applyNumberFormat="0" applyProtection="0">
      <alignment horizontal="right" vertical="center"/>
    </xf>
    <xf numFmtId="4" fontId="171" fillId="102" borderId="139" applyNumberFormat="0" applyProtection="0">
      <alignment horizontal="right" vertical="center"/>
    </xf>
    <xf numFmtId="4" fontId="171" fillId="102" borderId="139" applyNumberFormat="0" applyProtection="0">
      <alignment horizontal="right" vertical="center"/>
    </xf>
    <xf numFmtId="4" fontId="171" fillId="102" borderId="139" applyNumberFormat="0" applyProtection="0">
      <alignment horizontal="right" vertical="center"/>
    </xf>
    <xf numFmtId="4" fontId="171" fillId="102" borderId="139" applyNumberFormat="0" applyProtection="0">
      <alignment horizontal="right" vertical="center"/>
    </xf>
    <xf numFmtId="4" fontId="171" fillId="102" borderId="139" applyNumberFormat="0" applyProtection="0">
      <alignment horizontal="right" vertical="center"/>
    </xf>
    <xf numFmtId="4" fontId="171" fillId="102" borderId="139" applyNumberFormat="0" applyProtection="0">
      <alignment horizontal="right" vertical="center"/>
    </xf>
    <xf numFmtId="4" fontId="171" fillId="102" borderId="139" applyNumberFormat="0" applyProtection="0">
      <alignment horizontal="right" vertical="center"/>
    </xf>
    <xf numFmtId="4" fontId="171" fillId="102" borderId="139" applyNumberFormat="0" applyProtection="0">
      <alignment horizontal="right" vertical="center"/>
    </xf>
    <xf numFmtId="4" fontId="171" fillId="102" borderId="139" applyNumberFormat="0" applyProtection="0">
      <alignment horizontal="right" vertical="center"/>
    </xf>
    <xf numFmtId="4" fontId="171" fillId="102" borderId="139" applyNumberFormat="0" applyProtection="0">
      <alignment horizontal="right" vertical="center"/>
    </xf>
    <xf numFmtId="4" fontId="171" fillId="102" borderId="139" applyNumberFormat="0" applyProtection="0">
      <alignment horizontal="right" vertical="center"/>
    </xf>
    <xf numFmtId="4" fontId="171" fillId="102" borderId="139" applyNumberFormat="0" applyProtection="0">
      <alignment horizontal="right" vertical="center"/>
    </xf>
    <xf numFmtId="4" fontId="171" fillId="102" borderId="139" applyNumberFormat="0" applyProtection="0">
      <alignment horizontal="right" vertical="center"/>
    </xf>
    <xf numFmtId="4" fontId="171" fillId="102" borderId="139" applyNumberFormat="0" applyProtection="0">
      <alignment horizontal="right" vertical="center"/>
    </xf>
    <xf numFmtId="4" fontId="171" fillId="102" borderId="139" applyNumberFormat="0" applyProtection="0">
      <alignment horizontal="right" vertical="center"/>
    </xf>
    <xf numFmtId="4" fontId="171" fillId="102" borderId="139" applyNumberFormat="0" applyProtection="0">
      <alignment horizontal="right" vertical="center"/>
    </xf>
    <xf numFmtId="4" fontId="171" fillId="102" borderId="139" applyNumberFormat="0" applyProtection="0">
      <alignment horizontal="right" vertical="center"/>
    </xf>
    <xf numFmtId="4" fontId="171" fillId="102" borderId="139" applyNumberFormat="0" applyProtection="0">
      <alignment horizontal="right" vertical="center"/>
    </xf>
    <xf numFmtId="4" fontId="171" fillId="102" borderId="139" applyNumberFormat="0" applyProtection="0">
      <alignment horizontal="right" vertical="center"/>
    </xf>
    <xf numFmtId="4" fontId="171" fillId="102" borderId="139" applyNumberFormat="0" applyProtection="0">
      <alignment horizontal="right" vertical="center"/>
    </xf>
    <xf numFmtId="4" fontId="171" fillId="102" borderId="139" applyNumberFormat="0" applyProtection="0">
      <alignment horizontal="right" vertical="center"/>
    </xf>
    <xf numFmtId="4" fontId="171" fillId="102" borderId="139" applyNumberFormat="0" applyProtection="0">
      <alignment horizontal="right" vertical="center"/>
    </xf>
    <xf numFmtId="4" fontId="171" fillId="102" borderId="139" applyNumberFormat="0" applyProtection="0">
      <alignment horizontal="right" vertical="center"/>
    </xf>
    <xf numFmtId="4" fontId="171" fillId="102" borderId="139" applyNumberFormat="0" applyProtection="0">
      <alignment horizontal="right" vertical="center"/>
    </xf>
    <xf numFmtId="4" fontId="171" fillId="102" borderId="139" applyNumberFormat="0" applyProtection="0">
      <alignment horizontal="right" vertical="center"/>
    </xf>
    <xf numFmtId="4" fontId="171" fillId="102" borderId="139" applyNumberFormat="0" applyProtection="0">
      <alignment horizontal="right" vertical="center"/>
    </xf>
    <xf numFmtId="4" fontId="171" fillId="102" borderId="139" applyNumberFormat="0" applyProtection="0">
      <alignment horizontal="right" vertical="center"/>
    </xf>
    <xf numFmtId="4" fontId="171" fillId="102" borderId="139" applyNumberFormat="0" applyProtection="0">
      <alignment horizontal="right" vertical="center"/>
    </xf>
    <xf numFmtId="4" fontId="171" fillId="102" borderId="139" applyNumberFormat="0" applyProtection="0">
      <alignment horizontal="right" vertical="center"/>
    </xf>
    <xf numFmtId="4" fontId="171" fillId="102" borderId="139" applyNumberFormat="0" applyProtection="0">
      <alignment horizontal="right" vertical="center"/>
    </xf>
    <xf numFmtId="4" fontId="171" fillId="102" borderId="139" applyNumberFormat="0" applyProtection="0">
      <alignment horizontal="right" vertical="center"/>
    </xf>
    <xf numFmtId="4" fontId="171" fillId="102" borderId="139" applyNumberFormat="0" applyProtection="0">
      <alignment horizontal="right" vertical="center"/>
    </xf>
    <xf numFmtId="4" fontId="171" fillId="102" borderId="139" applyNumberFormat="0" applyProtection="0">
      <alignment horizontal="right" vertical="center"/>
    </xf>
    <xf numFmtId="4" fontId="171" fillId="102" borderId="139" applyNumberFormat="0" applyProtection="0">
      <alignment horizontal="right" vertical="center"/>
    </xf>
    <xf numFmtId="4" fontId="171" fillId="102" borderId="139" applyNumberFormat="0" applyProtection="0">
      <alignment horizontal="right" vertical="center"/>
    </xf>
    <xf numFmtId="4" fontId="171" fillId="102" borderId="139" applyNumberFormat="0" applyProtection="0">
      <alignment horizontal="right" vertical="center"/>
    </xf>
    <xf numFmtId="4" fontId="171" fillId="102" borderId="139" applyNumberFormat="0" applyProtection="0">
      <alignment horizontal="right" vertical="center"/>
    </xf>
    <xf numFmtId="4" fontId="171" fillId="102" borderId="139" applyNumberFormat="0" applyProtection="0">
      <alignment horizontal="right" vertical="center"/>
    </xf>
    <xf numFmtId="4" fontId="171" fillId="102" borderId="139" applyNumberFormat="0" applyProtection="0">
      <alignment horizontal="right" vertical="center"/>
    </xf>
    <xf numFmtId="4" fontId="171" fillId="102" borderId="139" applyNumberFormat="0" applyProtection="0">
      <alignment horizontal="right" vertical="center"/>
    </xf>
    <xf numFmtId="4" fontId="171" fillId="102" borderId="139" applyNumberFormat="0" applyProtection="0">
      <alignment horizontal="right" vertical="center"/>
    </xf>
    <xf numFmtId="4" fontId="171" fillId="102" borderId="139" applyNumberFormat="0" applyProtection="0">
      <alignment horizontal="right" vertical="center"/>
    </xf>
    <xf numFmtId="4" fontId="171" fillId="102" borderId="139" applyNumberFormat="0" applyProtection="0">
      <alignment horizontal="right" vertical="center"/>
    </xf>
    <xf numFmtId="4" fontId="171" fillId="102" borderId="139" applyNumberFormat="0" applyProtection="0">
      <alignment horizontal="right" vertical="center"/>
    </xf>
    <xf numFmtId="4" fontId="171" fillId="102" borderId="139" applyNumberFormat="0" applyProtection="0">
      <alignment horizontal="right" vertical="center"/>
    </xf>
    <xf numFmtId="4" fontId="171" fillId="102" borderId="139" applyNumberFormat="0" applyProtection="0">
      <alignment horizontal="right" vertical="center"/>
    </xf>
    <xf numFmtId="4" fontId="171" fillId="102" borderId="139" applyNumberFormat="0" applyProtection="0">
      <alignment horizontal="right" vertical="center"/>
    </xf>
    <xf numFmtId="4" fontId="171" fillId="102" borderId="139" applyNumberFormat="0" applyProtection="0">
      <alignment horizontal="right" vertical="center"/>
    </xf>
    <xf numFmtId="4" fontId="171" fillId="102" borderId="139" applyNumberFormat="0" applyProtection="0">
      <alignment horizontal="right" vertical="center"/>
    </xf>
    <xf numFmtId="4" fontId="171" fillId="102" borderId="139" applyNumberFormat="0" applyProtection="0">
      <alignment horizontal="right" vertical="center"/>
    </xf>
    <xf numFmtId="4" fontId="171" fillId="102" borderId="139" applyNumberFormat="0" applyProtection="0">
      <alignment horizontal="right" vertical="center"/>
    </xf>
    <xf numFmtId="4" fontId="171" fillId="102" borderId="139" applyNumberFormat="0" applyProtection="0">
      <alignment horizontal="right" vertical="center"/>
    </xf>
    <xf numFmtId="4" fontId="171" fillId="102" borderId="139" applyNumberFormat="0" applyProtection="0">
      <alignment horizontal="right" vertical="center"/>
    </xf>
    <xf numFmtId="4" fontId="171" fillId="102" borderId="139" applyNumberFormat="0" applyProtection="0">
      <alignment horizontal="right" vertical="center"/>
    </xf>
    <xf numFmtId="4" fontId="171" fillId="102" borderId="139" applyNumberFormat="0" applyProtection="0">
      <alignment horizontal="right" vertical="center"/>
    </xf>
    <xf numFmtId="4" fontId="171" fillId="102" borderId="139" applyNumberFormat="0" applyProtection="0">
      <alignment horizontal="right" vertical="center"/>
    </xf>
    <xf numFmtId="4" fontId="171" fillId="102" borderId="139" applyNumberFormat="0" applyProtection="0">
      <alignment horizontal="right" vertical="center"/>
    </xf>
    <xf numFmtId="4" fontId="171" fillId="102" borderId="139" applyNumberFormat="0" applyProtection="0">
      <alignment horizontal="right" vertical="center"/>
    </xf>
    <xf numFmtId="4" fontId="484" fillId="102" borderId="139" applyNumberFormat="0" applyProtection="0">
      <alignment horizontal="right" vertical="center"/>
    </xf>
    <xf numFmtId="4" fontId="484" fillId="102" borderId="139" applyNumberFormat="0" applyProtection="0">
      <alignment horizontal="right" vertical="center"/>
    </xf>
    <xf numFmtId="4" fontId="484" fillId="102" borderId="139" applyNumberFormat="0" applyProtection="0">
      <alignment horizontal="right" vertical="center"/>
    </xf>
    <xf numFmtId="4" fontId="484" fillId="102" borderId="139" applyNumberFormat="0" applyProtection="0">
      <alignment horizontal="right" vertical="center"/>
    </xf>
    <xf numFmtId="4" fontId="484" fillId="102" borderId="139" applyNumberFormat="0" applyProtection="0">
      <alignment horizontal="right" vertical="center"/>
    </xf>
    <xf numFmtId="4" fontId="484" fillId="102" borderId="139" applyNumberFormat="0" applyProtection="0">
      <alignment horizontal="right" vertical="center"/>
    </xf>
    <xf numFmtId="4" fontId="484" fillId="102" borderId="139" applyNumberFormat="0" applyProtection="0">
      <alignment horizontal="right" vertical="center"/>
    </xf>
    <xf numFmtId="4" fontId="484" fillId="102" borderId="139" applyNumberFormat="0" applyProtection="0">
      <alignment horizontal="right" vertical="center"/>
    </xf>
    <xf numFmtId="4" fontId="484" fillId="102" borderId="139" applyNumberFormat="0" applyProtection="0">
      <alignment horizontal="right" vertical="center"/>
    </xf>
    <xf numFmtId="4" fontId="484" fillId="102" borderId="139" applyNumberFormat="0" applyProtection="0">
      <alignment horizontal="right" vertical="center"/>
    </xf>
    <xf numFmtId="4" fontId="484" fillId="102" borderId="139" applyNumberFormat="0" applyProtection="0">
      <alignment horizontal="right" vertical="center"/>
    </xf>
    <xf numFmtId="4" fontId="484" fillId="102" borderId="139" applyNumberFormat="0" applyProtection="0">
      <alignment horizontal="right" vertical="center"/>
    </xf>
    <xf numFmtId="4" fontId="484" fillId="102" borderId="139" applyNumberFormat="0" applyProtection="0">
      <alignment horizontal="right" vertical="center"/>
    </xf>
    <xf numFmtId="4" fontId="484" fillId="102" borderId="139" applyNumberFormat="0" applyProtection="0">
      <alignment horizontal="right" vertical="center"/>
    </xf>
    <xf numFmtId="4" fontId="484" fillId="102" borderId="139" applyNumberFormat="0" applyProtection="0">
      <alignment horizontal="right" vertical="center"/>
    </xf>
    <xf numFmtId="4" fontId="484" fillId="102" borderId="139" applyNumberFormat="0" applyProtection="0">
      <alignment horizontal="right" vertical="center"/>
    </xf>
    <xf numFmtId="4" fontId="484" fillId="102" borderId="139" applyNumberFormat="0" applyProtection="0">
      <alignment horizontal="right" vertical="center"/>
    </xf>
    <xf numFmtId="4" fontId="484" fillId="102" borderId="139" applyNumberFormat="0" applyProtection="0">
      <alignment horizontal="right" vertical="center"/>
    </xf>
    <xf numFmtId="4" fontId="484" fillId="102" borderId="139" applyNumberFormat="0" applyProtection="0">
      <alignment horizontal="right" vertical="center"/>
    </xf>
    <xf numFmtId="4" fontId="484" fillId="102" borderId="139" applyNumberFormat="0" applyProtection="0">
      <alignment horizontal="right" vertical="center"/>
    </xf>
    <xf numFmtId="4" fontId="484" fillId="102" borderId="139" applyNumberFormat="0" applyProtection="0">
      <alignment horizontal="right" vertical="center"/>
    </xf>
    <xf numFmtId="4" fontId="484" fillId="102" borderId="139" applyNumberFormat="0" applyProtection="0">
      <alignment horizontal="right" vertical="center"/>
    </xf>
    <xf numFmtId="4" fontId="484" fillId="102" borderId="139" applyNumberFormat="0" applyProtection="0">
      <alignment horizontal="right" vertical="center"/>
    </xf>
    <xf numFmtId="4" fontId="484" fillId="102" borderId="139" applyNumberFormat="0" applyProtection="0">
      <alignment horizontal="right" vertical="center"/>
    </xf>
    <xf numFmtId="4" fontId="484" fillId="102" borderId="139" applyNumberFormat="0" applyProtection="0">
      <alignment horizontal="right" vertical="center"/>
    </xf>
    <xf numFmtId="4" fontId="484" fillId="102" borderId="139" applyNumberFormat="0" applyProtection="0">
      <alignment horizontal="right" vertical="center"/>
    </xf>
    <xf numFmtId="4" fontId="484" fillId="102" borderId="139" applyNumberFormat="0" applyProtection="0">
      <alignment horizontal="right" vertical="center"/>
    </xf>
    <xf numFmtId="4" fontId="484" fillId="102" borderId="139" applyNumberFormat="0" applyProtection="0">
      <alignment horizontal="right" vertical="center"/>
    </xf>
    <xf numFmtId="4" fontId="484" fillId="102" borderId="139" applyNumberFormat="0" applyProtection="0">
      <alignment horizontal="right" vertical="center"/>
    </xf>
    <xf numFmtId="4" fontId="484" fillId="102" borderId="139" applyNumberFormat="0" applyProtection="0">
      <alignment horizontal="right" vertical="center"/>
    </xf>
    <xf numFmtId="4" fontId="484" fillId="102" borderId="139" applyNumberFormat="0" applyProtection="0">
      <alignment horizontal="right" vertical="center"/>
    </xf>
    <xf numFmtId="4" fontId="484" fillId="102" borderId="139" applyNumberFormat="0" applyProtection="0">
      <alignment horizontal="right" vertical="center"/>
    </xf>
    <xf numFmtId="4" fontId="484" fillId="102" borderId="139" applyNumberFormat="0" applyProtection="0">
      <alignment horizontal="right" vertical="center"/>
    </xf>
    <xf numFmtId="4" fontId="484" fillId="102" borderId="139" applyNumberFormat="0" applyProtection="0">
      <alignment horizontal="right" vertical="center"/>
    </xf>
    <xf numFmtId="4" fontId="484" fillId="102" borderId="139" applyNumberFormat="0" applyProtection="0">
      <alignment horizontal="right" vertical="center"/>
    </xf>
    <xf numFmtId="4" fontId="484" fillId="102" borderId="139" applyNumberFormat="0" applyProtection="0">
      <alignment horizontal="right" vertical="center"/>
    </xf>
    <xf numFmtId="4" fontId="484" fillId="102" borderId="139" applyNumberFormat="0" applyProtection="0">
      <alignment horizontal="right" vertical="center"/>
    </xf>
    <xf numFmtId="4" fontId="484" fillId="102" borderId="139" applyNumberFormat="0" applyProtection="0">
      <alignment horizontal="right" vertical="center"/>
    </xf>
    <xf numFmtId="4" fontId="484" fillId="102" borderId="139" applyNumberFormat="0" applyProtection="0">
      <alignment horizontal="right" vertical="center"/>
    </xf>
    <xf numFmtId="4" fontId="484" fillId="102" borderId="139" applyNumberFormat="0" applyProtection="0">
      <alignment horizontal="right" vertical="center"/>
    </xf>
    <xf numFmtId="4" fontId="484" fillId="102" borderId="139" applyNumberFormat="0" applyProtection="0">
      <alignment horizontal="right" vertical="center"/>
    </xf>
    <xf numFmtId="4" fontId="484" fillId="102" borderId="139" applyNumberFormat="0" applyProtection="0">
      <alignment horizontal="right" vertical="center"/>
    </xf>
    <xf numFmtId="4" fontId="484" fillId="102" borderId="139" applyNumberFormat="0" applyProtection="0">
      <alignment horizontal="right" vertical="center"/>
    </xf>
    <xf numFmtId="4" fontId="484" fillId="102" borderId="139" applyNumberFormat="0" applyProtection="0">
      <alignment horizontal="right" vertical="center"/>
    </xf>
    <xf numFmtId="4" fontId="484" fillId="102" borderId="139" applyNumberFormat="0" applyProtection="0">
      <alignment horizontal="right" vertical="center"/>
    </xf>
    <xf numFmtId="4" fontId="484" fillId="102" borderId="139" applyNumberFormat="0" applyProtection="0">
      <alignment horizontal="right" vertical="center"/>
    </xf>
    <xf numFmtId="4" fontId="484" fillId="102" borderId="139" applyNumberFormat="0" applyProtection="0">
      <alignment horizontal="right" vertical="center"/>
    </xf>
    <xf numFmtId="4" fontId="484" fillId="102" borderId="139" applyNumberFormat="0" applyProtection="0">
      <alignment horizontal="right" vertical="center"/>
    </xf>
    <xf numFmtId="4" fontId="484" fillId="102" borderId="139" applyNumberFormat="0" applyProtection="0">
      <alignment horizontal="right" vertical="center"/>
    </xf>
    <xf numFmtId="4" fontId="484" fillId="102" borderId="139" applyNumberFormat="0" applyProtection="0">
      <alignment horizontal="right" vertical="center"/>
    </xf>
    <xf numFmtId="4" fontId="484" fillId="102" borderId="139" applyNumberFormat="0" applyProtection="0">
      <alignment horizontal="right" vertical="center"/>
    </xf>
    <xf numFmtId="4" fontId="484" fillId="102" borderId="139" applyNumberFormat="0" applyProtection="0">
      <alignment horizontal="right" vertical="center"/>
    </xf>
    <xf numFmtId="4" fontId="484" fillId="102" borderId="139" applyNumberFormat="0" applyProtection="0">
      <alignment horizontal="right" vertical="center"/>
    </xf>
    <xf numFmtId="4" fontId="484" fillId="102" borderId="139" applyNumberFormat="0" applyProtection="0">
      <alignment horizontal="right" vertical="center"/>
    </xf>
    <xf numFmtId="4" fontId="484" fillId="102" borderId="139" applyNumberFormat="0" applyProtection="0">
      <alignment horizontal="right" vertical="center"/>
    </xf>
    <xf numFmtId="4" fontId="484" fillId="102" borderId="139" applyNumberFormat="0" applyProtection="0">
      <alignment horizontal="right" vertical="center"/>
    </xf>
    <xf numFmtId="4" fontId="484" fillId="102" borderId="139" applyNumberFormat="0" applyProtection="0">
      <alignment horizontal="right" vertical="center"/>
    </xf>
    <xf numFmtId="4" fontId="484" fillId="102" borderId="139" applyNumberFormat="0" applyProtection="0">
      <alignment horizontal="right" vertical="center"/>
    </xf>
    <xf numFmtId="4" fontId="484" fillId="102" borderId="139" applyNumberFormat="0" applyProtection="0">
      <alignment horizontal="right" vertical="center"/>
    </xf>
    <xf numFmtId="4" fontId="484" fillId="102" borderId="139" applyNumberFormat="0" applyProtection="0">
      <alignment horizontal="right" vertical="center"/>
    </xf>
    <xf numFmtId="4" fontId="484" fillId="102" borderId="139" applyNumberFormat="0" applyProtection="0">
      <alignment horizontal="right" vertical="center"/>
    </xf>
    <xf numFmtId="4" fontId="484" fillId="102" borderId="139" applyNumberFormat="0" applyProtection="0">
      <alignment horizontal="right" vertical="center"/>
    </xf>
    <xf numFmtId="4" fontId="484" fillId="102" borderId="139" applyNumberFormat="0" applyProtection="0">
      <alignment horizontal="right" vertical="center"/>
    </xf>
    <xf numFmtId="4" fontId="484" fillId="102" borderId="139" applyNumberFormat="0" applyProtection="0">
      <alignment horizontal="right" vertical="center"/>
    </xf>
    <xf numFmtId="4" fontId="484" fillId="102" borderId="139" applyNumberFormat="0" applyProtection="0">
      <alignment horizontal="right" vertical="center"/>
    </xf>
    <xf numFmtId="4" fontId="484" fillId="102" borderId="139" applyNumberFormat="0" applyProtection="0">
      <alignment horizontal="right" vertical="center"/>
    </xf>
    <xf numFmtId="4" fontId="484" fillId="102" borderId="139" applyNumberFormat="0" applyProtection="0">
      <alignment horizontal="right" vertical="center"/>
    </xf>
    <xf numFmtId="4" fontId="484" fillId="102" borderId="139" applyNumberFormat="0" applyProtection="0">
      <alignment horizontal="right" vertical="center"/>
    </xf>
    <xf numFmtId="4" fontId="484" fillId="102" borderId="139" applyNumberFormat="0" applyProtection="0">
      <alignment horizontal="right" vertical="center"/>
    </xf>
    <xf numFmtId="4" fontId="484" fillId="102" borderId="139" applyNumberFormat="0" applyProtection="0">
      <alignment horizontal="right" vertical="center"/>
    </xf>
    <xf numFmtId="4" fontId="484" fillId="102" borderId="139" applyNumberFormat="0" applyProtection="0">
      <alignment horizontal="right" vertical="center"/>
    </xf>
    <xf numFmtId="4" fontId="484" fillId="102" borderId="139" applyNumberFormat="0" applyProtection="0">
      <alignment horizontal="right" vertical="center"/>
    </xf>
    <xf numFmtId="4" fontId="484" fillId="102" borderId="139" applyNumberFormat="0" applyProtection="0">
      <alignment horizontal="right" vertical="center"/>
    </xf>
    <xf numFmtId="4" fontId="484" fillId="102" borderId="139" applyNumberFormat="0" applyProtection="0">
      <alignment horizontal="right" vertical="center"/>
    </xf>
    <xf numFmtId="4" fontId="484" fillId="102" borderId="139" applyNumberFormat="0" applyProtection="0">
      <alignment horizontal="right" vertical="center"/>
    </xf>
    <xf numFmtId="4" fontId="484" fillId="102" borderId="139" applyNumberFormat="0" applyProtection="0">
      <alignment horizontal="right" vertical="center"/>
    </xf>
    <xf numFmtId="4" fontId="484" fillId="102" borderId="139" applyNumberFormat="0" applyProtection="0">
      <alignment horizontal="right" vertical="center"/>
    </xf>
    <xf numFmtId="4" fontId="484" fillId="102" borderId="139" applyNumberFormat="0" applyProtection="0">
      <alignment horizontal="right" vertical="center"/>
    </xf>
    <xf numFmtId="4" fontId="484" fillId="102" borderId="139" applyNumberFormat="0" applyProtection="0">
      <alignment horizontal="right" vertical="center"/>
    </xf>
    <xf numFmtId="4" fontId="484" fillId="102" borderId="139" applyNumberFormat="0" applyProtection="0">
      <alignment horizontal="right" vertical="center"/>
    </xf>
    <xf numFmtId="4" fontId="484" fillId="102" borderId="139" applyNumberFormat="0" applyProtection="0">
      <alignment horizontal="right" vertical="center"/>
    </xf>
    <xf numFmtId="4" fontId="484" fillId="102" borderId="139" applyNumberFormat="0" applyProtection="0">
      <alignment horizontal="right" vertical="center"/>
    </xf>
    <xf numFmtId="4" fontId="484" fillId="102" borderId="139" applyNumberFormat="0" applyProtection="0">
      <alignment horizontal="right" vertical="center"/>
    </xf>
    <xf numFmtId="4" fontId="484" fillId="102" borderId="139" applyNumberFormat="0" applyProtection="0">
      <alignment horizontal="right" vertical="center"/>
    </xf>
    <xf numFmtId="4" fontId="484" fillId="102" borderId="139" applyNumberFormat="0" applyProtection="0">
      <alignment horizontal="right" vertical="center"/>
    </xf>
    <xf numFmtId="4" fontId="484" fillId="102" borderId="139" applyNumberFormat="0" applyProtection="0">
      <alignment horizontal="right" vertical="center"/>
    </xf>
    <xf numFmtId="4" fontId="484" fillId="102" borderId="139" applyNumberFormat="0" applyProtection="0">
      <alignment horizontal="right" vertical="center"/>
    </xf>
    <xf numFmtId="4" fontId="484" fillId="102" borderId="139" applyNumberFormat="0" applyProtection="0">
      <alignment horizontal="right" vertical="center"/>
    </xf>
    <xf numFmtId="4" fontId="484" fillId="102" borderId="139" applyNumberFormat="0" applyProtection="0">
      <alignment horizontal="right" vertical="center"/>
    </xf>
    <xf numFmtId="4" fontId="484" fillId="102" borderId="139" applyNumberFormat="0" applyProtection="0">
      <alignment horizontal="right" vertical="center"/>
    </xf>
    <xf numFmtId="4" fontId="484" fillId="102" borderId="139" applyNumberFormat="0" applyProtection="0">
      <alignment horizontal="right" vertical="center"/>
    </xf>
    <xf numFmtId="4" fontId="484" fillId="102" borderId="139" applyNumberFormat="0" applyProtection="0">
      <alignment horizontal="right" vertical="center"/>
    </xf>
    <xf numFmtId="4" fontId="484" fillId="102" borderId="139" applyNumberFormat="0" applyProtection="0">
      <alignment horizontal="right" vertical="center"/>
    </xf>
    <xf numFmtId="4" fontId="484" fillId="102" borderId="139" applyNumberFormat="0" applyProtection="0">
      <alignment horizontal="right" vertical="center"/>
    </xf>
    <xf numFmtId="4" fontId="484" fillId="102" borderId="139" applyNumberFormat="0" applyProtection="0">
      <alignment horizontal="right" vertical="center"/>
    </xf>
    <xf numFmtId="4" fontId="484" fillId="102" borderId="139" applyNumberFormat="0" applyProtection="0">
      <alignment horizontal="right" vertical="center"/>
    </xf>
    <xf numFmtId="4" fontId="484" fillId="102" borderId="139" applyNumberFormat="0" applyProtection="0">
      <alignment horizontal="right" vertical="center"/>
    </xf>
    <xf numFmtId="4" fontId="484" fillId="102" borderId="139" applyNumberFormat="0" applyProtection="0">
      <alignment horizontal="right" vertical="center"/>
    </xf>
    <xf numFmtId="4" fontId="484" fillId="102" borderId="139" applyNumberFormat="0" applyProtection="0">
      <alignment horizontal="right" vertical="center"/>
    </xf>
    <xf numFmtId="4" fontId="484" fillId="102" borderId="139" applyNumberFormat="0" applyProtection="0">
      <alignment horizontal="right" vertical="center"/>
    </xf>
    <xf numFmtId="4" fontId="484" fillId="102" borderId="139" applyNumberFormat="0" applyProtection="0">
      <alignment horizontal="right" vertical="center"/>
    </xf>
    <xf numFmtId="4" fontId="484" fillId="102" borderId="139" applyNumberFormat="0" applyProtection="0">
      <alignment horizontal="right" vertical="center"/>
    </xf>
    <xf numFmtId="4" fontId="484" fillId="102" borderId="139" applyNumberFormat="0" applyProtection="0">
      <alignment horizontal="right" vertical="center"/>
    </xf>
    <xf numFmtId="4" fontId="484" fillId="102" borderId="139" applyNumberFormat="0" applyProtection="0">
      <alignment horizontal="right" vertical="center"/>
    </xf>
    <xf numFmtId="4" fontId="484" fillId="102" borderId="139" applyNumberFormat="0" applyProtection="0">
      <alignment horizontal="right" vertical="center"/>
    </xf>
    <xf numFmtId="4" fontId="484" fillId="102" borderId="139" applyNumberFormat="0" applyProtection="0">
      <alignment horizontal="right" vertical="center"/>
    </xf>
    <xf numFmtId="4" fontId="484" fillId="102" borderId="139" applyNumberFormat="0" applyProtection="0">
      <alignment horizontal="right" vertical="center"/>
    </xf>
    <xf numFmtId="4" fontId="487" fillId="80" borderId="140" applyNumberFormat="0" applyProtection="0">
      <alignment horizontal="left" vertical="center" indent="1"/>
    </xf>
    <xf numFmtId="4" fontId="171" fillId="95" borderId="139" applyNumberFormat="0" applyProtection="0">
      <alignment horizontal="left" vertical="center" indent="1"/>
    </xf>
    <xf numFmtId="4" fontId="171" fillId="95" borderId="139" applyNumberFormat="0" applyProtection="0">
      <alignment horizontal="left" vertical="center" indent="1"/>
    </xf>
    <xf numFmtId="4" fontId="171" fillId="95" borderId="139" applyNumberFormat="0" applyProtection="0">
      <alignment horizontal="left" vertical="center" indent="1"/>
    </xf>
    <xf numFmtId="4" fontId="171" fillId="95" borderId="139" applyNumberFormat="0" applyProtection="0">
      <alignment horizontal="left" vertical="center" indent="1"/>
    </xf>
    <xf numFmtId="4" fontId="171" fillId="95" borderId="139" applyNumberFormat="0" applyProtection="0">
      <alignment horizontal="left" vertical="center" indent="1"/>
    </xf>
    <xf numFmtId="4" fontId="171" fillId="95" borderId="139" applyNumberFormat="0" applyProtection="0">
      <alignment horizontal="left" vertical="center" indent="1"/>
    </xf>
    <xf numFmtId="4" fontId="171" fillId="95" borderId="139" applyNumberFormat="0" applyProtection="0">
      <alignment horizontal="left" vertical="center" indent="1"/>
    </xf>
    <xf numFmtId="4" fontId="171" fillId="95" borderId="139" applyNumberFormat="0" applyProtection="0">
      <alignment horizontal="left" vertical="center" indent="1"/>
    </xf>
    <xf numFmtId="4" fontId="171" fillId="95" borderId="139" applyNumberFormat="0" applyProtection="0">
      <alignment horizontal="left" vertical="center" indent="1"/>
    </xf>
    <xf numFmtId="4" fontId="171" fillId="95" borderId="139" applyNumberFormat="0" applyProtection="0">
      <alignment horizontal="left" vertical="center" indent="1"/>
    </xf>
    <xf numFmtId="4" fontId="171" fillId="95" borderId="139" applyNumberFormat="0" applyProtection="0">
      <alignment horizontal="left" vertical="center" indent="1"/>
    </xf>
    <xf numFmtId="4" fontId="171" fillId="95" borderId="139" applyNumberFormat="0" applyProtection="0">
      <alignment horizontal="left" vertical="center" indent="1"/>
    </xf>
    <xf numFmtId="4" fontId="171" fillId="95" borderId="139" applyNumberFormat="0" applyProtection="0">
      <alignment horizontal="left" vertical="center" indent="1"/>
    </xf>
    <xf numFmtId="4" fontId="171" fillId="95" borderId="139" applyNumberFormat="0" applyProtection="0">
      <alignment horizontal="left" vertical="center" indent="1"/>
    </xf>
    <xf numFmtId="4" fontId="171" fillId="95" borderId="139" applyNumberFormat="0" applyProtection="0">
      <alignment horizontal="left" vertical="center" indent="1"/>
    </xf>
    <xf numFmtId="4" fontId="171" fillId="95" borderId="139" applyNumberFormat="0" applyProtection="0">
      <alignment horizontal="left" vertical="center" indent="1"/>
    </xf>
    <xf numFmtId="4" fontId="171" fillId="95" borderId="139" applyNumberFormat="0" applyProtection="0">
      <alignment horizontal="left" vertical="center" indent="1"/>
    </xf>
    <xf numFmtId="4" fontId="171" fillId="95" borderId="139" applyNumberFormat="0" applyProtection="0">
      <alignment horizontal="left" vertical="center" indent="1"/>
    </xf>
    <xf numFmtId="4" fontId="171" fillId="95" borderId="139" applyNumberFormat="0" applyProtection="0">
      <alignment horizontal="left" vertical="center" indent="1"/>
    </xf>
    <xf numFmtId="4" fontId="171" fillId="95" borderId="139" applyNumberFormat="0" applyProtection="0">
      <alignment horizontal="left" vertical="center" indent="1"/>
    </xf>
    <xf numFmtId="4" fontId="171" fillId="95" borderId="139" applyNumberFormat="0" applyProtection="0">
      <alignment horizontal="left" vertical="center" indent="1"/>
    </xf>
    <xf numFmtId="4" fontId="171" fillId="95" borderId="139" applyNumberFormat="0" applyProtection="0">
      <alignment horizontal="left" vertical="center" indent="1"/>
    </xf>
    <xf numFmtId="4" fontId="171" fillId="95" borderId="139" applyNumberFormat="0" applyProtection="0">
      <alignment horizontal="left" vertical="center" indent="1"/>
    </xf>
    <xf numFmtId="4" fontId="171" fillId="95" borderId="139" applyNumberFormat="0" applyProtection="0">
      <alignment horizontal="left" vertical="center" indent="1"/>
    </xf>
    <xf numFmtId="4" fontId="171" fillId="95" borderId="139" applyNumberFormat="0" applyProtection="0">
      <alignment horizontal="left" vertical="center" indent="1"/>
    </xf>
    <xf numFmtId="4" fontId="171" fillId="95" borderId="139" applyNumberFormat="0" applyProtection="0">
      <alignment horizontal="left" vertical="center" indent="1"/>
    </xf>
    <xf numFmtId="4" fontId="171" fillId="95" borderId="139" applyNumberFormat="0" applyProtection="0">
      <alignment horizontal="left" vertical="center" indent="1"/>
    </xf>
    <xf numFmtId="4" fontId="171" fillId="95" borderId="139" applyNumberFormat="0" applyProtection="0">
      <alignment horizontal="left" vertical="center" indent="1"/>
    </xf>
    <xf numFmtId="4" fontId="171" fillId="95" borderId="139" applyNumberFormat="0" applyProtection="0">
      <alignment horizontal="left" vertical="center" indent="1"/>
    </xf>
    <xf numFmtId="4" fontId="171" fillId="95" borderId="139" applyNumberFormat="0" applyProtection="0">
      <alignment horizontal="left" vertical="center" indent="1"/>
    </xf>
    <xf numFmtId="4" fontId="171" fillId="95" borderId="139" applyNumberFormat="0" applyProtection="0">
      <alignment horizontal="left" vertical="center" indent="1"/>
    </xf>
    <xf numFmtId="4" fontId="171" fillId="95" borderId="139" applyNumberFormat="0" applyProtection="0">
      <alignment horizontal="left" vertical="center" indent="1"/>
    </xf>
    <xf numFmtId="4" fontId="171" fillId="95" borderId="139" applyNumberFormat="0" applyProtection="0">
      <alignment horizontal="left" vertical="center" indent="1"/>
    </xf>
    <xf numFmtId="4" fontId="171" fillId="95" borderId="139" applyNumberFormat="0" applyProtection="0">
      <alignment horizontal="left" vertical="center" indent="1"/>
    </xf>
    <xf numFmtId="4" fontId="171" fillId="95" borderId="139" applyNumberFormat="0" applyProtection="0">
      <alignment horizontal="left" vertical="center" indent="1"/>
    </xf>
    <xf numFmtId="4" fontId="171" fillId="95" borderId="139" applyNumberFormat="0" applyProtection="0">
      <alignment horizontal="left" vertical="center" indent="1"/>
    </xf>
    <xf numFmtId="4" fontId="171" fillId="95" borderId="139" applyNumberFormat="0" applyProtection="0">
      <alignment horizontal="left" vertical="center" indent="1"/>
    </xf>
    <xf numFmtId="4" fontId="171" fillId="95" borderId="139" applyNumberFormat="0" applyProtection="0">
      <alignment horizontal="left" vertical="center" indent="1"/>
    </xf>
    <xf numFmtId="4" fontId="171" fillId="95" borderId="139" applyNumberFormat="0" applyProtection="0">
      <alignment horizontal="left" vertical="center" indent="1"/>
    </xf>
    <xf numFmtId="4" fontId="171" fillId="95" borderId="139" applyNumberFormat="0" applyProtection="0">
      <alignment horizontal="left" vertical="center" indent="1"/>
    </xf>
    <xf numFmtId="4" fontId="171" fillId="95" borderId="139" applyNumberFormat="0" applyProtection="0">
      <alignment horizontal="left" vertical="center" indent="1"/>
    </xf>
    <xf numFmtId="4" fontId="171" fillId="95" borderId="139" applyNumberFormat="0" applyProtection="0">
      <alignment horizontal="left" vertical="center" indent="1"/>
    </xf>
    <xf numFmtId="4" fontId="171" fillId="95" borderId="139" applyNumberFormat="0" applyProtection="0">
      <alignment horizontal="left" vertical="center" indent="1"/>
    </xf>
    <xf numFmtId="4" fontId="171" fillId="95" borderId="139" applyNumberFormat="0" applyProtection="0">
      <alignment horizontal="left" vertical="center" indent="1"/>
    </xf>
    <xf numFmtId="4" fontId="171" fillId="95" borderId="139" applyNumberFormat="0" applyProtection="0">
      <alignment horizontal="left" vertical="center" indent="1"/>
    </xf>
    <xf numFmtId="4" fontId="171" fillId="95" borderId="139" applyNumberFormat="0" applyProtection="0">
      <alignment horizontal="left" vertical="center" indent="1"/>
    </xf>
    <xf numFmtId="4" fontId="171" fillId="95" borderId="139" applyNumberFormat="0" applyProtection="0">
      <alignment horizontal="left" vertical="center" indent="1"/>
    </xf>
    <xf numFmtId="4" fontId="171" fillId="95" borderId="139" applyNumberFormat="0" applyProtection="0">
      <alignment horizontal="left" vertical="center" indent="1"/>
    </xf>
    <xf numFmtId="4" fontId="171" fillId="95" borderId="139" applyNumberFormat="0" applyProtection="0">
      <alignment horizontal="left" vertical="center" indent="1"/>
    </xf>
    <xf numFmtId="4" fontId="171" fillId="95" borderId="139" applyNumberFormat="0" applyProtection="0">
      <alignment horizontal="left" vertical="center" indent="1"/>
    </xf>
    <xf numFmtId="4" fontId="171" fillId="95" borderId="139" applyNumberFormat="0" applyProtection="0">
      <alignment horizontal="left" vertical="center" indent="1"/>
    </xf>
    <xf numFmtId="4" fontId="171" fillId="95" borderId="139" applyNumberFormat="0" applyProtection="0">
      <alignment horizontal="left" vertical="center" indent="1"/>
    </xf>
    <xf numFmtId="4" fontId="171" fillId="95" borderId="139" applyNumberFormat="0" applyProtection="0">
      <alignment horizontal="left" vertical="center" indent="1"/>
    </xf>
    <xf numFmtId="4" fontId="171" fillId="95" borderId="139" applyNumberFormat="0" applyProtection="0">
      <alignment horizontal="left" vertical="center" indent="1"/>
    </xf>
    <xf numFmtId="4" fontId="171" fillId="95" borderId="139" applyNumberFormat="0" applyProtection="0">
      <alignment horizontal="left" vertical="center" indent="1"/>
    </xf>
    <xf numFmtId="4" fontId="171" fillId="95" borderId="139" applyNumberFormat="0" applyProtection="0">
      <alignment horizontal="left" vertical="center" indent="1"/>
    </xf>
    <xf numFmtId="4" fontId="171" fillId="95" borderId="139" applyNumberFormat="0" applyProtection="0">
      <alignment horizontal="left" vertical="center" indent="1"/>
    </xf>
    <xf numFmtId="4" fontId="171" fillId="95" borderId="139" applyNumberFormat="0" applyProtection="0">
      <alignment horizontal="left" vertical="center" indent="1"/>
    </xf>
    <xf numFmtId="4" fontId="171" fillId="95" borderId="139" applyNumberFormat="0" applyProtection="0">
      <alignment horizontal="left" vertical="center" indent="1"/>
    </xf>
    <xf numFmtId="4" fontId="171" fillId="95" borderId="139" applyNumberFormat="0" applyProtection="0">
      <alignment horizontal="left" vertical="center" indent="1"/>
    </xf>
    <xf numFmtId="4" fontId="171" fillId="95" borderId="139" applyNumberFormat="0" applyProtection="0">
      <alignment horizontal="left" vertical="center" indent="1"/>
    </xf>
    <xf numFmtId="4" fontId="171" fillId="95" borderId="139" applyNumberFormat="0" applyProtection="0">
      <alignment horizontal="left" vertical="center" indent="1"/>
    </xf>
    <xf numFmtId="4" fontId="171" fillId="95" borderId="139" applyNumberFormat="0" applyProtection="0">
      <alignment horizontal="left" vertical="center" indent="1"/>
    </xf>
    <xf numFmtId="4" fontId="171" fillId="95" borderId="139" applyNumberFormat="0" applyProtection="0">
      <alignment horizontal="left" vertical="center" indent="1"/>
    </xf>
    <xf numFmtId="4" fontId="171" fillId="95" borderId="139" applyNumberFormat="0" applyProtection="0">
      <alignment horizontal="left" vertical="center" indent="1"/>
    </xf>
    <xf numFmtId="4" fontId="171" fillId="95" borderId="139" applyNumberFormat="0" applyProtection="0">
      <alignment horizontal="left" vertical="center" indent="1"/>
    </xf>
    <xf numFmtId="4" fontId="171" fillId="95" borderId="139" applyNumberFormat="0" applyProtection="0">
      <alignment horizontal="left" vertical="center" indent="1"/>
    </xf>
    <xf numFmtId="4" fontId="171" fillId="95" borderId="139" applyNumberFormat="0" applyProtection="0">
      <alignment horizontal="left" vertical="center" indent="1"/>
    </xf>
    <xf numFmtId="4" fontId="171" fillId="95" borderId="139" applyNumberFormat="0" applyProtection="0">
      <alignment horizontal="left" vertical="center" indent="1"/>
    </xf>
    <xf numFmtId="4" fontId="171" fillId="95" borderId="139" applyNumberFormat="0" applyProtection="0">
      <alignment horizontal="left" vertical="center" indent="1"/>
    </xf>
    <xf numFmtId="4" fontId="171" fillId="95" borderId="139" applyNumberFormat="0" applyProtection="0">
      <alignment horizontal="left" vertical="center" indent="1"/>
    </xf>
    <xf numFmtId="4" fontId="171" fillId="95" borderId="139" applyNumberFormat="0" applyProtection="0">
      <alignment horizontal="left" vertical="center" indent="1"/>
    </xf>
    <xf numFmtId="4" fontId="171" fillId="95" borderId="139" applyNumberFormat="0" applyProtection="0">
      <alignment horizontal="left" vertical="center" indent="1"/>
    </xf>
    <xf numFmtId="4" fontId="171" fillId="95" borderId="139" applyNumberFormat="0" applyProtection="0">
      <alignment horizontal="left" vertical="center" indent="1"/>
    </xf>
    <xf numFmtId="4" fontId="171" fillId="95" borderId="139" applyNumberFormat="0" applyProtection="0">
      <alignment horizontal="left" vertical="center" indent="1"/>
    </xf>
    <xf numFmtId="4" fontId="171" fillId="95" borderId="139" applyNumberFormat="0" applyProtection="0">
      <alignment horizontal="left" vertical="center" indent="1"/>
    </xf>
    <xf numFmtId="4" fontId="171" fillId="95" borderId="139" applyNumberFormat="0" applyProtection="0">
      <alignment horizontal="left" vertical="center" indent="1"/>
    </xf>
    <xf numFmtId="4" fontId="171" fillId="95" borderId="139" applyNumberFormat="0" applyProtection="0">
      <alignment horizontal="left" vertical="center" indent="1"/>
    </xf>
    <xf numFmtId="4" fontId="171" fillId="95" borderId="139" applyNumberFormat="0" applyProtection="0">
      <alignment horizontal="left" vertical="center" indent="1"/>
    </xf>
    <xf numFmtId="4" fontId="171" fillId="95" borderId="139" applyNumberFormat="0" applyProtection="0">
      <alignment horizontal="left" vertical="center" indent="1"/>
    </xf>
    <xf numFmtId="4" fontId="171" fillId="95" borderId="139" applyNumberFormat="0" applyProtection="0">
      <alignment horizontal="left" vertical="center" indent="1"/>
    </xf>
    <xf numFmtId="4" fontId="171" fillId="95" borderId="139" applyNumberFormat="0" applyProtection="0">
      <alignment horizontal="left" vertical="center" indent="1"/>
    </xf>
    <xf numFmtId="4" fontId="171" fillId="95" borderId="139" applyNumberFormat="0" applyProtection="0">
      <alignment horizontal="left" vertical="center" indent="1"/>
    </xf>
    <xf numFmtId="4" fontId="171" fillId="95" borderId="139" applyNumberFormat="0" applyProtection="0">
      <alignment horizontal="left" vertical="center" indent="1"/>
    </xf>
    <xf numFmtId="4" fontId="171" fillId="95" borderId="139" applyNumberFormat="0" applyProtection="0">
      <alignment horizontal="left" vertical="center" indent="1"/>
    </xf>
    <xf numFmtId="4" fontId="171" fillId="95" borderId="139" applyNumberFormat="0" applyProtection="0">
      <alignment horizontal="left" vertical="center" indent="1"/>
    </xf>
    <xf numFmtId="4" fontId="171" fillId="95" borderId="139" applyNumberFormat="0" applyProtection="0">
      <alignment horizontal="left" vertical="center" indent="1"/>
    </xf>
    <xf numFmtId="4" fontId="171" fillId="95" borderId="139" applyNumberFormat="0" applyProtection="0">
      <alignment horizontal="left" vertical="center" indent="1"/>
    </xf>
    <xf numFmtId="4" fontId="171" fillId="95" borderId="139" applyNumberFormat="0" applyProtection="0">
      <alignment horizontal="left" vertical="center" indent="1"/>
    </xf>
    <xf numFmtId="4" fontId="171" fillId="95" borderId="139" applyNumberFormat="0" applyProtection="0">
      <alignment horizontal="left" vertical="center" indent="1"/>
    </xf>
    <xf numFmtId="4" fontId="171" fillId="95" borderId="139" applyNumberFormat="0" applyProtection="0">
      <alignment horizontal="left" vertical="center" indent="1"/>
    </xf>
    <xf numFmtId="4" fontId="171" fillId="95" borderId="139" applyNumberFormat="0" applyProtection="0">
      <alignment horizontal="left" vertical="center" indent="1"/>
    </xf>
    <xf numFmtId="4" fontId="171" fillId="95" borderId="139" applyNumberFormat="0" applyProtection="0">
      <alignment horizontal="left" vertical="center" indent="1"/>
    </xf>
    <xf numFmtId="4" fontId="171" fillId="95" borderId="139" applyNumberFormat="0" applyProtection="0">
      <alignment horizontal="left" vertical="center" indent="1"/>
    </xf>
    <xf numFmtId="4" fontId="171" fillId="95" borderId="139" applyNumberFormat="0" applyProtection="0">
      <alignment horizontal="left" vertical="center" indent="1"/>
    </xf>
    <xf numFmtId="4" fontId="171" fillId="95" borderId="139" applyNumberFormat="0" applyProtection="0">
      <alignment horizontal="left" vertical="center" indent="1"/>
    </xf>
    <xf numFmtId="4" fontId="171" fillId="95" borderId="139" applyNumberFormat="0" applyProtection="0">
      <alignment horizontal="left" vertical="center" indent="1"/>
    </xf>
    <xf numFmtId="4" fontId="171" fillId="95" borderId="139" applyNumberFormat="0" applyProtection="0">
      <alignment horizontal="left" vertical="center" indent="1"/>
    </xf>
    <xf numFmtId="4" fontId="171" fillId="95" borderId="139" applyNumberFormat="0" applyProtection="0">
      <alignment horizontal="left" vertical="center" indent="1"/>
    </xf>
    <xf numFmtId="4" fontId="171" fillId="95" borderId="139" applyNumberFormat="0" applyProtection="0">
      <alignment horizontal="left" vertical="center" indent="1"/>
    </xf>
    <xf numFmtId="4" fontId="171" fillId="95" borderId="139" applyNumberFormat="0" applyProtection="0">
      <alignment horizontal="left" vertical="center" indent="1"/>
    </xf>
    <xf numFmtId="4" fontId="171" fillId="95" borderId="139" applyNumberFormat="0" applyProtection="0">
      <alignment horizontal="left" vertical="center" indent="1"/>
    </xf>
    <xf numFmtId="4" fontId="171" fillId="95" borderId="139" applyNumberFormat="0" applyProtection="0">
      <alignment horizontal="left" vertical="center" indent="1"/>
    </xf>
    <xf numFmtId="4" fontId="171" fillId="95" borderId="139" applyNumberFormat="0" applyProtection="0">
      <alignment horizontal="left" vertical="center" indent="1"/>
    </xf>
    <xf numFmtId="4" fontId="171" fillId="95" borderId="139" applyNumberFormat="0" applyProtection="0">
      <alignment horizontal="left" vertical="center" indent="1"/>
    </xf>
    <xf numFmtId="4" fontId="171" fillId="95" borderId="139" applyNumberFormat="0" applyProtection="0">
      <alignment horizontal="left" vertical="center" indent="1"/>
    </xf>
    <xf numFmtId="4" fontId="171" fillId="95" borderId="139" applyNumberFormat="0" applyProtection="0">
      <alignment horizontal="left" vertical="center" indent="1"/>
    </xf>
    <xf numFmtId="0" fontId="171" fillId="95" borderId="139" applyNumberFormat="0" applyProtection="0">
      <alignment horizontal="left" vertical="top" indent="1"/>
    </xf>
    <xf numFmtId="0" fontId="171" fillId="96" borderId="139" applyNumberFormat="0" applyProtection="0">
      <alignment horizontal="left" vertical="top" indent="1"/>
    </xf>
    <xf numFmtId="0" fontId="171" fillId="96" borderId="139" applyNumberFormat="0" applyProtection="0">
      <alignment horizontal="left" vertical="top" indent="1"/>
    </xf>
    <xf numFmtId="0" fontId="171" fillId="96" borderId="139" applyNumberFormat="0" applyProtection="0">
      <alignment horizontal="left" vertical="top" indent="1"/>
    </xf>
    <xf numFmtId="0" fontId="171" fillId="96" borderId="139" applyNumberFormat="0" applyProtection="0">
      <alignment horizontal="left" vertical="top" indent="1"/>
    </xf>
    <xf numFmtId="0" fontId="171" fillId="96" borderId="139" applyNumberFormat="0" applyProtection="0">
      <alignment horizontal="left" vertical="top" indent="1"/>
    </xf>
    <xf numFmtId="0" fontId="171" fillId="96" borderId="139" applyNumberFormat="0" applyProtection="0">
      <alignment horizontal="left" vertical="top" indent="1"/>
    </xf>
    <xf numFmtId="0" fontId="171" fillId="96" borderId="139" applyNumberFormat="0" applyProtection="0">
      <alignment horizontal="left" vertical="top" indent="1"/>
    </xf>
    <xf numFmtId="0" fontId="171" fillId="96" borderId="139" applyNumberFormat="0" applyProtection="0">
      <alignment horizontal="left" vertical="top" indent="1"/>
    </xf>
    <xf numFmtId="0" fontId="171" fillId="96" borderId="139" applyNumberFormat="0" applyProtection="0">
      <alignment horizontal="left" vertical="top" indent="1"/>
    </xf>
    <xf numFmtId="0" fontId="171" fillId="96" borderId="139" applyNumberFormat="0" applyProtection="0">
      <alignment horizontal="left" vertical="top" indent="1"/>
    </xf>
    <xf numFmtId="0" fontId="171" fillId="95" borderId="139" applyNumberFormat="0" applyProtection="0">
      <alignment horizontal="left" vertical="top" indent="1"/>
    </xf>
    <xf numFmtId="0" fontId="171" fillId="95" borderId="139" applyNumberFormat="0" applyProtection="0">
      <alignment horizontal="left" vertical="top" indent="1"/>
    </xf>
    <xf numFmtId="0" fontId="171" fillId="95" borderId="139" applyNumberFormat="0" applyProtection="0">
      <alignment horizontal="left" vertical="top" indent="1"/>
    </xf>
    <xf numFmtId="0" fontId="171" fillId="95" borderId="139" applyNumberFormat="0" applyProtection="0">
      <alignment horizontal="left" vertical="top" indent="1"/>
    </xf>
    <xf numFmtId="0" fontId="171" fillId="95" borderId="139" applyNumberFormat="0" applyProtection="0">
      <alignment horizontal="left" vertical="top" indent="1"/>
    </xf>
    <xf numFmtId="0" fontId="171" fillId="95" borderId="139" applyNumberFormat="0" applyProtection="0">
      <alignment horizontal="left" vertical="top" indent="1"/>
    </xf>
    <xf numFmtId="0" fontId="171" fillId="95" borderId="139" applyNumberFormat="0" applyProtection="0">
      <alignment horizontal="left" vertical="top" indent="1"/>
    </xf>
    <xf numFmtId="0" fontId="171" fillId="95" borderId="139" applyNumberFormat="0" applyProtection="0">
      <alignment horizontal="left" vertical="top" indent="1"/>
    </xf>
    <xf numFmtId="0" fontId="171" fillId="95" borderId="139" applyNumberFormat="0" applyProtection="0">
      <alignment horizontal="left" vertical="top" indent="1"/>
    </xf>
    <xf numFmtId="0" fontId="171" fillId="95" borderId="139" applyNumberFormat="0" applyProtection="0">
      <alignment horizontal="left" vertical="top" indent="1"/>
    </xf>
    <xf numFmtId="0" fontId="171" fillId="95" borderId="139" applyNumberFormat="0" applyProtection="0">
      <alignment horizontal="left" vertical="top" indent="1"/>
    </xf>
    <xf numFmtId="0" fontId="171" fillId="95" borderId="139" applyNumberFormat="0" applyProtection="0">
      <alignment horizontal="left" vertical="top" indent="1"/>
    </xf>
    <xf numFmtId="0" fontId="171" fillId="95" borderId="139" applyNumberFormat="0" applyProtection="0">
      <alignment horizontal="left" vertical="top" indent="1"/>
    </xf>
    <xf numFmtId="0" fontId="171" fillId="95" borderId="139" applyNumberFormat="0" applyProtection="0">
      <alignment horizontal="left" vertical="top" indent="1"/>
    </xf>
    <xf numFmtId="0" fontId="171" fillId="95" borderId="139" applyNumberFormat="0" applyProtection="0">
      <alignment horizontal="left" vertical="top" indent="1"/>
    </xf>
    <xf numFmtId="0" fontId="171" fillId="95" borderId="139" applyNumberFormat="0" applyProtection="0">
      <alignment horizontal="left" vertical="top" indent="1"/>
    </xf>
    <xf numFmtId="0" fontId="171" fillId="95" borderId="139" applyNumberFormat="0" applyProtection="0">
      <alignment horizontal="left" vertical="top" indent="1"/>
    </xf>
    <xf numFmtId="0" fontId="171" fillId="95" borderId="139" applyNumberFormat="0" applyProtection="0">
      <alignment horizontal="left" vertical="top" indent="1"/>
    </xf>
    <xf numFmtId="0" fontId="171" fillId="95" borderId="139" applyNumberFormat="0" applyProtection="0">
      <alignment horizontal="left" vertical="top" indent="1"/>
    </xf>
    <xf numFmtId="0" fontId="171" fillId="95" borderId="139" applyNumberFormat="0" applyProtection="0">
      <alignment horizontal="left" vertical="top" indent="1"/>
    </xf>
    <xf numFmtId="0" fontId="171" fillId="95" borderId="139" applyNumberFormat="0" applyProtection="0">
      <alignment horizontal="left" vertical="top" indent="1"/>
    </xf>
    <xf numFmtId="0" fontId="171" fillId="95" borderId="139" applyNumberFormat="0" applyProtection="0">
      <alignment horizontal="left" vertical="top" indent="1"/>
    </xf>
    <xf numFmtId="0" fontId="171" fillId="95" borderId="139" applyNumberFormat="0" applyProtection="0">
      <alignment horizontal="left" vertical="top" indent="1"/>
    </xf>
    <xf numFmtId="0" fontId="171" fillId="95" borderId="139" applyNumberFormat="0" applyProtection="0">
      <alignment horizontal="left" vertical="top" indent="1"/>
    </xf>
    <xf numFmtId="0" fontId="171" fillId="95" borderId="139" applyNumberFormat="0" applyProtection="0">
      <alignment horizontal="left" vertical="top" indent="1"/>
    </xf>
    <xf numFmtId="0" fontId="171" fillId="95" borderId="139" applyNumberFormat="0" applyProtection="0">
      <alignment horizontal="left" vertical="top" indent="1"/>
    </xf>
    <xf numFmtId="0" fontId="171" fillId="95" borderId="139" applyNumberFormat="0" applyProtection="0">
      <alignment horizontal="left" vertical="top" indent="1"/>
    </xf>
    <xf numFmtId="0" fontId="171" fillId="95" borderId="139" applyNumberFormat="0" applyProtection="0">
      <alignment horizontal="left" vertical="top" indent="1"/>
    </xf>
    <xf numFmtId="0" fontId="171" fillId="95" borderId="139" applyNumberFormat="0" applyProtection="0">
      <alignment horizontal="left" vertical="top" indent="1"/>
    </xf>
    <xf numFmtId="0" fontId="171" fillId="95" borderId="139" applyNumberFormat="0" applyProtection="0">
      <alignment horizontal="left" vertical="top" indent="1"/>
    </xf>
    <xf numFmtId="0" fontId="171" fillId="95" borderId="139" applyNumberFormat="0" applyProtection="0">
      <alignment horizontal="left" vertical="top" indent="1"/>
    </xf>
    <xf numFmtId="0" fontId="171" fillId="95" borderId="139" applyNumberFormat="0" applyProtection="0">
      <alignment horizontal="left" vertical="top" indent="1"/>
    </xf>
    <xf numFmtId="0" fontId="171" fillId="95" borderId="139" applyNumberFormat="0" applyProtection="0">
      <alignment horizontal="left" vertical="top" indent="1"/>
    </xf>
    <xf numFmtId="0" fontId="171" fillId="95" borderId="139" applyNumberFormat="0" applyProtection="0">
      <alignment horizontal="left" vertical="top" indent="1"/>
    </xf>
    <xf numFmtId="0" fontId="171" fillId="95" borderId="139" applyNumberFormat="0" applyProtection="0">
      <alignment horizontal="left" vertical="top" indent="1"/>
    </xf>
    <xf numFmtId="0" fontId="171" fillId="95" borderId="139" applyNumberFormat="0" applyProtection="0">
      <alignment horizontal="left" vertical="top" indent="1"/>
    </xf>
    <xf numFmtId="0" fontId="171" fillId="95" borderId="139" applyNumberFormat="0" applyProtection="0">
      <alignment horizontal="left" vertical="top" indent="1"/>
    </xf>
    <xf numFmtId="0" fontId="171" fillId="95" borderId="139" applyNumberFormat="0" applyProtection="0">
      <alignment horizontal="left" vertical="top" indent="1"/>
    </xf>
    <xf numFmtId="0" fontId="171" fillId="95" borderId="139" applyNumberFormat="0" applyProtection="0">
      <alignment horizontal="left" vertical="top" indent="1"/>
    </xf>
    <xf numFmtId="0" fontId="171" fillId="95" borderId="139" applyNumberFormat="0" applyProtection="0">
      <alignment horizontal="left" vertical="top" indent="1"/>
    </xf>
    <xf numFmtId="0" fontId="171" fillId="95" borderId="139" applyNumberFormat="0" applyProtection="0">
      <alignment horizontal="left" vertical="top" indent="1"/>
    </xf>
    <xf numFmtId="0" fontId="171" fillId="95" borderId="139" applyNumberFormat="0" applyProtection="0">
      <alignment horizontal="left" vertical="top" indent="1"/>
    </xf>
    <xf numFmtId="0" fontId="171" fillId="95" borderId="139" applyNumberFormat="0" applyProtection="0">
      <alignment horizontal="left" vertical="top" indent="1"/>
    </xf>
    <xf numFmtId="0" fontId="171" fillId="95" borderId="139" applyNumberFormat="0" applyProtection="0">
      <alignment horizontal="left" vertical="top" indent="1"/>
    </xf>
    <xf numFmtId="0" fontId="171" fillId="95" borderId="139" applyNumberFormat="0" applyProtection="0">
      <alignment horizontal="left" vertical="top" indent="1"/>
    </xf>
    <xf numFmtId="0" fontId="171" fillId="95" borderId="139" applyNumberFormat="0" applyProtection="0">
      <alignment horizontal="left" vertical="top" indent="1"/>
    </xf>
    <xf numFmtId="0" fontId="171" fillId="95" borderId="139" applyNumberFormat="0" applyProtection="0">
      <alignment horizontal="left" vertical="top" indent="1"/>
    </xf>
    <xf numFmtId="0" fontId="171" fillId="95" borderId="139" applyNumberFormat="0" applyProtection="0">
      <alignment horizontal="left" vertical="top" indent="1"/>
    </xf>
    <xf numFmtId="0" fontId="171" fillId="95" borderId="139" applyNumberFormat="0" applyProtection="0">
      <alignment horizontal="left" vertical="top" indent="1"/>
    </xf>
    <xf numFmtId="0" fontId="171" fillId="95" borderId="139" applyNumberFormat="0" applyProtection="0">
      <alignment horizontal="left" vertical="top" indent="1"/>
    </xf>
    <xf numFmtId="0" fontId="171" fillId="95" borderId="139" applyNumberFormat="0" applyProtection="0">
      <alignment horizontal="left" vertical="top" indent="1"/>
    </xf>
    <xf numFmtId="0" fontId="171" fillId="95" borderId="139" applyNumberFormat="0" applyProtection="0">
      <alignment horizontal="left" vertical="top" indent="1"/>
    </xf>
    <xf numFmtId="0" fontId="171" fillId="95" borderId="139" applyNumberFormat="0" applyProtection="0">
      <alignment horizontal="left" vertical="top" indent="1"/>
    </xf>
    <xf numFmtId="0" fontId="171" fillId="95" borderId="139" applyNumberFormat="0" applyProtection="0">
      <alignment horizontal="left" vertical="top" indent="1"/>
    </xf>
    <xf numFmtId="0" fontId="171" fillId="95" borderId="139" applyNumberFormat="0" applyProtection="0">
      <alignment horizontal="left" vertical="top" indent="1"/>
    </xf>
    <xf numFmtId="0" fontId="171" fillId="95" borderId="139" applyNumberFormat="0" applyProtection="0">
      <alignment horizontal="left" vertical="top" indent="1"/>
    </xf>
    <xf numFmtId="0" fontId="171" fillId="95" borderId="139" applyNumberFormat="0" applyProtection="0">
      <alignment horizontal="left" vertical="top" indent="1"/>
    </xf>
    <xf numFmtId="0" fontId="171" fillId="95" borderId="139" applyNumberFormat="0" applyProtection="0">
      <alignment horizontal="left" vertical="top" indent="1"/>
    </xf>
    <xf numFmtId="0" fontId="171" fillId="95" borderId="139" applyNumberFormat="0" applyProtection="0">
      <alignment horizontal="left" vertical="top" indent="1"/>
    </xf>
    <xf numFmtId="0" fontId="171" fillId="95" borderId="139" applyNumberFormat="0" applyProtection="0">
      <alignment horizontal="left" vertical="top" indent="1"/>
    </xf>
    <xf numFmtId="0" fontId="171" fillId="95" borderId="139" applyNumberFormat="0" applyProtection="0">
      <alignment horizontal="left" vertical="top" indent="1"/>
    </xf>
    <xf numFmtId="0" fontId="171" fillId="95" borderId="139" applyNumberFormat="0" applyProtection="0">
      <alignment horizontal="left" vertical="top" indent="1"/>
    </xf>
    <xf numFmtId="0" fontId="171" fillId="96" borderId="139" applyNumberFormat="0" applyProtection="0">
      <alignment horizontal="left" vertical="top" indent="1"/>
    </xf>
    <xf numFmtId="0" fontId="171" fillId="96" borderId="139" applyNumberFormat="0" applyProtection="0">
      <alignment horizontal="left" vertical="top" indent="1"/>
    </xf>
    <xf numFmtId="0" fontId="171" fillId="96" borderId="139" applyNumberFormat="0" applyProtection="0">
      <alignment horizontal="left" vertical="top" indent="1"/>
    </xf>
    <xf numFmtId="0" fontId="171" fillId="96" borderId="139" applyNumberFormat="0" applyProtection="0">
      <alignment horizontal="left" vertical="top" indent="1"/>
    </xf>
    <xf numFmtId="0" fontId="171" fillId="96" borderId="139" applyNumberFormat="0" applyProtection="0">
      <alignment horizontal="left" vertical="top" indent="1"/>
    </xf>
    <xf numFmtId="0" fontId="171" fillId="96" borderId="139" applyNumberFormat="0" applyProtection="0">
      <alignment horizontal="left" vertical="top" indent="1"/>
    </xf>
    <xf numFmtId="0" fontId="171" fillId="96" borderId="139" applyNumberFormat="0" applyProtection="0">
      <alignment horizontal="left" vertical="top" indent="1"/>
    </xf>
    <xf numFmtId="0" fontId="171" fillId="96" borderId="139" applyNumberFormat="0" applyProtection="0">
      <alignment horizontal="left" vertical="top" indent="1"/>
    </xf>
    <xf numFmtId="0" fontId="171" fillId="96" borderId="139" applyNumberFormat="0" applyProtection="0">
      <alignment horizontal="left" vertical="top" indent="1"/>
    </xf>
    <xf numFmtId="0" fontId="171" fillId="96" borderId="139" applyNumberFormat="0" applyProtection="0">
      <alignment horizontal="left" vertical="top" indent="1"/>
    </xf>
    <xf numFmtId="0" fontId="171" fillId="96" borderId="139" applyNumberFormat="0" applyProtection="0">
      <alignment horizontal="left" vertical="top" indent="1"/>
    </xf>
    <xf numFmtId="0" fontId="171" fillId="96" borderId="139" applyNumberFormat="0" applyProtection="0">
      <alignment horizontal="left" vertical="top" indent="1"/>
    </xf>
    <xf numFmtId="0" fontId="171" fillId="96" borderId="139" applyNumberFormat="0" applyProtection="0">
      <alignment horizontal="left" vertical="top" indent="1"/>
    </xf>
    <xf numFmtId="0" fontId="171" fillId="96" borderId="139" applyNumberFormat="0" applyProtection="0">
      <alignment horizontal="left" vertical="top" indent="1"/>
    </xf>
    <xf numFmtId="0" fontId="171" fillId="96" borderId="139" applyNumberFormat="0" applyProtection="0">
      <alignment horizontal="left" vertical="top" indent="1"/>
    </xf>
    <xf numFmtId="0" fontId="171" fillId="96" borderId="139" applyNumberFormat="0" applyProtection="0">
      <alignment horizontal="left" vertical="top" indent="1"/>
    </xf>
    <xf numFmtId="0" fontId="171" fillId="96" borderId="139" applyNumberFormat="0" applyProtection="0">
      <alignment horizontal="left" vertical="top" indent="1"/>
    </xf>
    <xf numFmtId="0" fontId="171" fillId="96" borderId="139" applyNumberFormat="0" applyProtection="0">
      <alignment horizontal="left" vertical="top" indent="1"/>
    </xf>
    <xf numFmtId="0" fontId="171" fillId="96" borderId="139" applyNumberFormat="0" applyProtection="0">
      <alignment horizontal="left" vertical="top" indent="1"/>
    </xf>
    <xf numFmtId="0" fontId="171" fillId="96" borderId="139" applyNumberFormat="0" applyProtection="0">
      <alignment horizontal="left" vertical="top" indent="1"/>
    </xf>
    <xf numFmtId="0" fontId="171" fillId="96" borderId="139" applyNumberFormat="0" applyProtection="0">
      <alignment horizontal="left" vertical="top" indent="1"/>
    </xf>
    <xf numFmtId="0" fontId="171" fillId="96" borderId="139" applyNumberFormat="0" applyProtection="0">
      <alignment horizontal="left" vertical="top" indent="1"/>
    </xf>
    <xf numFmtId="0" fontId="171" fillId="96" borderId="139" applyNumberFormat="0" applyProtection="0">
      <alignment horizontal="left" vertical="top" indent="1"/>
    </xf>
    <xf numFmtId="0" fontId="171" fillId="96" borderId="139" applyNumberFormat="0" applyProtection="0">
      <alignment horizontal="left" vertical="top" indent="1"/>
    </xf>
    <xf numFmtId="0" fontId="171" fillId="96" borderId="139" applyNumberFormat="0" applyProtection="0">
      <alignment horizontal="left" vertical="top" indent="1"/>
    </xf>
    <xf numFmtId="0" fontId="171" fillId="96" borderId="139" applyNumberFormat="0" applyProtection="0">
      <alignment horizontal="left" vertical="top" indent="1"/>
    </xf>
    <xf numFmtId="0" fontId="171" fillId="96" borderId="139" applyNumberFormat="0" applyProtection="0">
      <alignment horizontal="left" vertical="top" indent="1"/>
    </xf>
    <xf numFmtId="0" fontId="171" fillId="96" borderId="139" applyNumberFormat="0" applyProtection="0">
      <alignment horizontal="left" vertical="top" indent="1"/>
    </xf>
    <xf numFmtId="0" fontId="171" fillId="96" borderId="139" applyNumberFormat="0" applyProtection="0">
      <alignment horizontal="left" vertical="top" indent="1"/>
    </xf>
    <xf numFmtId="0" fontId="171" fillId="96" borderId="139" applyNumberFormat="0" applyProtection="0">
      <alignment horizontal="left" vertical="top" indent="1"/>
    </xf>
    <xf numFmtId="0" fontId="171" fillId="96" borderId="139" applyNumberFormat="0" applyProtection="0">
      <alignment horizontal="left" vertical="top" indent="1"/>
    </xf>
    <xf numFmtId="0" fontId="171" fillId="96" borderId="139" applyNumberFormat="0" applyProtection="0">
      <alignment horizontal="left" vertical="top" indent="1"/>
    </xf>
    <xf numFmtId="0" fontId="171" fillId="96" borderId="139" applyNumberFormat="0" applyProtection="0">
      <alignment horizontal="left" vertical="top" indent="1"/>
    </xf>
    <xf numFmtId="0" fontId="171" fillId="96" borderId="139" applyNumberFormat="0" applyProtection="0">
      <alignment horizontal="left" vertical="top" indent="1"/>
    </xf>
    <xf numFmtId="0" fontId="171" fillId="96" borderId="139" applyNumberFormat="0" applyProtection="0">
      <alignment horizontal="left" vertical="top" indent="1"/>
    </xf>
    <xf numFmtId="0" fontId="171" fillId="96" borderId="139" applyNumberFormat="0" applyProtection="0">
      <alignment horizontal="left" vertical="top" indent="1"/>
    </xf>
    <xf numFmtId="0" fontId="171" fillId="96" borderId="139" applyNumberFormat="0" applyProtection="0">
      <alignment horizontal="left" vertical="top" indent="1"/>
    </xf>
    <xf numFmtId="0" fontId="171" fillId="96" borderId="139" applyNumberFormat="0" applyProtection="0">
      <alignment horizontal="left" vertical="top" indent="1"/>
    </xf>
    <xf numFmtId="0" fontId="171" fillId="96" borderId="139" applyNumberFormat="0" applyProtection="0">
      <alignment horizontal="left" vertical="top" indent="1"/>
    </xf>
    <xf numFmtId="0" fontId="171" fillId="96" borderId="139" applyNumberFormat="0" applyProtection="0">
      <alignment horizontal="left" vertical="top" indent="1"/>
    </xf>
    <xf numFmtId="0" fontId="171" fillId="96" borderId="139" applyNumberFormat="0" applyProtection="0">
      <alignment horizontal="left" vertical="top" indent="1"/>
    </xf>
    <xf numFmtId="0" fontId="171" fillId="96" borderId="139" applyNumberFormat="0" applyProtection="0">
      <alignment horizontal="left" vertical="top" indent="1"/>
    </xf>
    <xf numFmtId="0" fontId="171" fillId="96" borderId="139" applyNumberFormat="0" applyProtection="0">
      <alignment horizontal="left" vertical="top" indent="1"/>
    </xf>
    <xf numFmtId="0" fontId="171" fillId="96" borderId="139" applyNumberFormat="0" applyProtection="0">
      <alignment horizontal="left" vertical="top" indent="1"/>
    </xf>
    <xf numFmtId="0" fontId="171" fillId="96" borderId="139" applyNumberFormat="0" applyProtection="0">
      <alignment horizontal="left" vertical="top" indent="1"/>
    </xf>
    <xf numFmtId="0" fontId="171" fillId="96" borderId="139" applyNumberFormat="0" applyProtection="0">
      <alignment horizontal="left" vertical="top" indent="1"/>
    </xf>
    <xf numFmtId="0" fontId="171" fillId="96" borderId="139" applyNumberFormat="0" applyProtection="0">
      <alignment horizontal="left" vertical="top" indent="1"/>
    </xf>
    <xf numFmtId="0" fontId="171" fillId="96" borderId="139" applyNumberFormat="0" applyProtection="0">
      <alignment horizontal="left" vertical="top" indent="1"/>
    </xf>
    <xf numFmtId="0" fontId="171" fillId="96" borderId="139" applyNumberFormat="0" applyProtection="0">
      <alignment horizontal="left" vertical="top" indent="1"/>
    </xf>
    <xf numFmtId="0" fontId="171" fillId="96" borderId="139" applyNumberFormat="0" applyProtection="0">
      <alignment horizontal="left" vertical="top" indent="1"/>
    </xf>
    <xf numFmtId="0" fontId="171" fillId="96" borderId="139" applyNumberFormat="0" applyProtection="0">
      <alignment horizontal="left" vertical="top" indent="1"/>
    </xf>
    <xf numFmtId="4" fontId="491" fillId="102" borderId="139" applyNumberFormat="0" applyProtection="0">
      <alignment horizontal="right" vertical="center"/>
    </xf>
    <xf numFmtId="4" fontId="491" fillId="102" borderId="139" applyNumberFormat="0" applyProtection="0">
      <alignment horizontal="right" vertical="center"/>
    </xf>
    <xf numFmtId="4" fontId="491" fillId="102" borderId="139" applyNumberFormat="0" applyProtection="0">
      <alignment horizontal="right" vertical="center"/>
    </xf>
    <xf numFmtId="4" fontId="491" fillId="102" borderId="139" applyNumberFormat="0" applyProtection="0">
      <alignment horizontal="right" vertical="center"/>
    </xf>
    <xf numFmtId="4" fontId="491" fillId="102" borderId="139" applyNumberFormat="0" applyProtection="0">
      <alignment horizontal="right" vertical="center"/>
    </xf>
    <xf numFmtId="4" fontId="491" fillId="102" borderId="139" applyNumberFormat="0" applyProtection="0">
      <alignment horizontal="right" vertical="center"/>
    </xf>
    <xf numFmtId="4" fontId="491" fillId="102" borderId="139" applyNumberFormat="0" applyProtection="0">
      <alignment horizontal="right" vertical="center"/>
    </xf>
    <xf numFmtId="4" fontId="491" fillId="102" borderId="139" applyNumberFormat="0" applyProtection="0">
      <alignment horizontal="right" vertical="center"/>
    </xf>
    <xf numFmtId="4" fontId="491" fillId="102" borderId="139" applyNumberFormat="0" applyProtection="0">
      <alignment horizontal="right" vertical="center"/>
    </xf>
    <xf numFmtId="4" fontId="491" fillId="102" borderId="139" applyNumberFormat="0" applyProtection="0">
      <alignment horizontal="right" vertical="center"/>
    </xf>
    <xf numFmtId="4" fontId="491" fillId="102" borderId="139" applyNumberFormat="0" applyProtection="0">
      <alignment horizontal="right" vertical="center"/>
    </xf>
    <xf numFmtId="4" fontId="491" fillId="102" borderId="139" applyNumberFormat="0" applyProtection="0">
      <alignment horizontal="right" vertical="center"/>
    </xf>
    <xf numFmtId="4" fontId="491" fillId="102" borderId="139" applyNumberFormat="0" applyProtection="0">
      <alignment horizontal="right" vertical="center"/>
    </xf>
    <xf numFmtId="4" fontId="491" fillId="102" borderId="139" applyNumberFormat="0" applyProtection="0">
      <alignment horizontal="right" vertical="center"/>
    </xf>
    <xf numFmtId="4" fontId="491" fillId="102" borderId="139" applyNumberFormat="0" applyProtection="0">
      <alignment horizontal="right" vertical="center"/>
    </xf>
    <xf numFmtId="4" fontId="491" fillId="102" borderId="139" applyNumberFormat="0" applyProtection="0">
      <alignment horizontal="right" vertical="center"/>
    </xf>
    <xf numFmtId="4" fontId="491" fillId="102" borderId="139" applyNumberFormat="0" applyProtection="0">
      <alignment horizontal="right" vertical="center"/>
    </xf>
    <xf numFmtId="4" fontId="491" fillId="102" borderId="139" applyNumberFormat="0" applyProtection="0">
      <alignment horizontal="right" vertical="center"/>
    </xf>
    <xf numFmtId="4" fontId="491" fillId="102" borderId="139" applyNumberFormat="0" applyProtection="0">
      <alignment horizontal="right" vertical="center"/>
    </xf>
    <xf numFmtId="4" fontId="491" fillId="102" borderId="139" applyNumberFormat="0" applyProtection="0">
      <alignment horizontal="right" vertical="center"/>
    </xf>
    <xf numFmtId="4" fontId="491" fillId="102" borderId="139" applyNumberFormat="0" applyProtection="0">
      <alignment horizontal="right" vertical="center"/>
    </xf>
    <xf numFmtId="4" fontId="491" fillId="102" borderId="139" applyNumberFormat="0" applyProtection="0">
      <alignment horizontal="right" vertical="center"/>
    </xf>
    <xf numFmtId="4" fontId="491" fillId="102" borderId="139" applyNumberFormat="0" applyProtection="0">
      <alignment horizontal="right" vertical="center"/>
    </xf>
    <xf numFmtId="4" fontId="491" fillId="102" borderId="139" applyNumberFormat="0" applyProtection="0">
      <alignment horizontal="right" vertical="center"/>
    </xf>
    <xf numFmtId="4" fontId="491" fillId="102" borderId="139" applyNumberFormat="0" applyProtection="0">
      <alignment horizontal="right" vertical="center"/>
    </xf>
    <xf numFmtId="4" fontId="491" fillId="102" borderId="139" applyNumberFormat="0" applyProtection="0">
      <alignment horizontal="right" vertical="center"/>
    </xf>
    <xf numFmtId="4" fontId="491" fillId="102" borderId="139" applyNumberFormat="0" applyProtection="0">
      <alignment horizontal="right" vertical="center"/>
    </xf>
    <xf numFmtId="4" fontId="491" fillId="102" borderId="139" applyNumberFormat="0" applyProtection="0">
      <alignment horizontal="right" vertical="center"/>
    </xf>
    <xf numFmtId="4" fontId="491" fillId="102" borderId="139" applyNumberFormat="0" applyProtection="0">
      <alignment horizontal="right" vertical="center"/>
    </xf>
    <xf numFmtId="4" fontId="491" fillId="102" borderId="139" applyNumberFormat="0" applyProtection="0">
      <alignment horizontal="right" vertical="center"/>
    </xf>
    <xf numFmtId="4" fontId="491" fillId="102" borderId="139" applyNumberFormat="0" applyProtection="0">
      <alignment horizontal="right" vertical="center"/>
    </xf>
    <xf numFmtId="4" fontId="491" fillId="102" borderId="139" applyNumberFormat="0" applyProtection="0">
      <alignment horizontal="right" vertical="center"/>
    </xf>
    <xf numFmtId="4" fontId="491" fillId="102" borderId="139" applyNumberFormat="0" applyProtection="0">
      <alignment horizontal="right" vertical="center"/>
    </xf>
    <xf numFmtId="4" fontId="491" fillId="102" borderId="139" applyNumberFormat="0" applyProtection="0">
      <alignment horizontal="right" vertical="center"/>
    </xf>
    <xf numFmtId="4" fontId="491" fillId="102" borderId="139" applyNumberFormat="0" applyProtection="0">
      <alignment horizontal="right" vertical="center"/>
    </xf>
    <xf numFmtId="4" fontId="491" fillId="102" borderId="139" applyNumberFormat="0" applyProtection="0">
      <alignment horizontal="right" vertical="center"/>
    </xf>
    <xf numFmtId="4" fontId="491" fillId="102" borderId="139" applyNumberFormat="0" applyProtection="0">
      <alignment horizontal="right" vertical="center"/>
    </xf>
    <xf numFmtId="4" fontId="491" fillId="102" borderId="139" applyNumberFormat="0" applyProtection="0">
      <alignment horizontal="right" vertical="center"/>
    </xf>
    <xf numFmtId="4" fontId="491" fillId="102" borderId="139" applyNumberFormat="0" applyProtection="0">
      <alignment horizontal="right" vertical="center"/>
    </xf>
    <xf numFmtId="4" fontId="491" fillId="102" borderId="139" applyNumberFormat="0" applyProtection="0">
      <alignment horizontal="right" vertical="center"/>
    </xf>
    <xf numFmtId="4" fontId="491" fillId="102" borderId="139" applyNumberFormat="0" applyProtection="0">
      <alignment horizontal="right" vertical="center"/>
    </xf>
    <xf numFmtId="4" fontId="491" fillId="102" borderId="139" applyNumberFormat="0" applyProtection="0">
      <alignment horizontal="right" vertical="center"/>
    </xf>
    <xf numFmtId="4" fontId="491" fillId="102" borderId="139" applyNumberFormat="0" applyProtection="0">
      <alignment horizontal="right" vertical="center"/>
    </xf>
    <xf numFmtId="4" fontId="491" fillId="102" borderId="139" applyNumberFormat="0" applyProtection="0">
      <alignment horizontal="right" vertical="center"/>
    </xf>
    <xf numFmtId="4" fontId="491" fillId="102" borderId="139" applyNumberFormat="0" applyProtection="0">
      <alignment horizontal="right" vertical="center"/>
    </xf>
    <xf numFmtId="4" fontId="491" fillId="102" borderId="139" applyNumberFormat="0" applyProtection="0">
      <alignment horizontal="right" vertical="center"/>
    </xf>
    <xf numFmtId="4" fontId="491" fillId="102" borderId="139" applyNumberFormat="0" applyProtection="0">
      <alignment horizontal="right" vertical="center"/>
    </xf>
    <xf numFmtId="4" fontId="491" fillId="102" borderId="139" applyNumberFormat="0" applyProtection="0">
      <alignment horizontal="right" vertical="center"/>
    </xf>
    <xf numFmtId="4" fontId="491" fillId="102" borderId="139" applyNumberFormat="0" applyProtection="0">
      <alignment horizontal="right" vertical="center"/>
    </xf>
    <xf numFmtId="4" fontId="491" fillId="102" borderId="139" applyNumberFormat="0" applyProtection="0">
      <alignment horizontal="right" vertical="center"/>
    </xf>
    <xf numFmtId="4" fontId="491" fillId="102" borderId="139" applyNumberFormat="0" applyProtection="0">
      <alignment horizontal="right" vertical="center"/>
    </xf>
    <xf numFmtId="4" fontId="491" fillId="102" borderId="139" applyNumberFormat="0" applyProtection="0">
      <alignment horizontal="right" vertical="center"/>
    </xf>
    <xf numFmtId="4" fontId="491" fillId="102" borderId="139" applyNumberFormat="0" applyProtection="0">
      <alignment horizontal="right" vertical="center"/>
    </xf>
    <xf numFmtId="4" fontId="491" fillId="102" borderId="139" applyNumberFormat="0" applyProtection="0">
      <alignment horizontal="right" vertical="center"/>
    </xf>
    <xf numFmtId="4" fontId="491" fillId="102" borderId="139" applyNumberFormat="0" applyProtection="0">
      <alignment horizontal="right" vertical="center"/>
    </xf>
    <xf numFmtId="4" fontId="491" fillId="102" borderId="139" applyNumberFormat="0" applyProtection="0">
      <alignment horizontal="right" vertical="center"/>
    </xf>
    <xf numFmtId="4" fontId="491" fillId="102" borderId="139" applyNumberFormat="0" applyProtection="0">
      <alignment horizontal="right" vertical="center"/>
    </xf>
    <xf numFmtId="4" fontId="491" fillId="102" borderId="139" applyNumberFormat="0" applyProtection="0">
      <alignment horizontal="right" vertical="center"/>
    </xf>
    <xf numFmtId="4" fontId="491" fillId="102" borderId="139" applyNumberFormat="0" applyProtection="0">
      <alignment horizontal="right" vertical="center"/>
    </xf>
    <xf numFmtId="4" fontId="491" fillId="102" borderId="139" applyNumberFormat="0" applyProtection="0">
      <alignment horizontal="right" vertical="center"/>
    </xf>
    <xf numFmtId="4" fontId="491" fillId="102" borderId="139" applyNumberFormat="0" applyProtection="0">
      <alignment horizontal="right" vertical="center"/>
    </xf>
    <xf numFmtId="4" fontId="491" fillId="102" borderId="139" applyNumberFormat="0" applyProtection="0">
      <alignment horizontal="right" vertical="center"/>
    </xf>
    <xf numFmtId="4" fontId="491" fillId="102" borderId="139" applyNumberFormat="0" applyProtection="0">
      <alignment horizontal="right" vertical="center"/>
    </xf>
    <xf numFmtId="4" fontId="491" fillId="102" borderId="139" applyNumberFormat="0" applyProtection="0">
      <alignment horizontal="right" vertical="center"/>
    </xf>
    <xf numFmtId="4" fontId="491" fillId="102" borderId="139" applyNumberFormat="0" applyProtection="0">
      <alignment horizontal="right" vertical="center"/>
    </xf>
    <xf numFmtId="4" fontId="491" fillId="102" borderId="139" applyNumberFormat="0" applyProtection="0">
      <alignment horizontal="right" vertical="center"/>
    </xf>
    <xf numFmtId="4" fontId="491" fillId="102" borderId="139" applyNumberFormat="0" applyProtection="0">
      <alignment horizontal="right" vertical="center"/>
    </xf>
    <xf numFmtId="4" fontId="491" fillId="102" borderId="139" applyNumberFormat="0" applyProtection="0">
      <alignment horizontal="right" vertical="center"/>
    </xf>
    <xf numFmtId="4" fontId="491" fillId="102" borderId="139" applyNumberFormat="0" applyProtection="0">
      <alignment horizontal="right" vertical="center"/>
    </xf>
    <xf numFmtId="4" fontId="491" fillId="102" borderId="139" applyNumberFormat="0" applyProtection="0">
      <alignment horizontal="right" vertical="center"/>
    </xf>
    <xf numFmtId="4" fontId="491" fillId="102" borderId="139" applyNumberFormat="0" applyProtection="0">
      <alignment horizontal="right" vertical="center"/>
    </xf>
    <xf numFmtId="4" fontId="491" fillId="102" borderId="139" applyNumberFormat="0" applyProtection="0">
      <alignment horizontal="right" vertical="center"/>
    </xf>
    <xf numFmtId="4" fontId="491" fillId="102" borderId="139" applyNumberFormat="0" applyProtection="0">
      <alignment horizontal="right" vertical="center"/>
    </xf>
    <xf numFmtId="4" fontId="491" fillId="102" borderId="139" applyNumberFormat="0" applyProtection="0">
      <alignment horizontal="right" vertical="center"/>
    </xf>
    <xf numFmtId="4" fontId="491" fillId="102" borderId="139" applyNumberFormat="0" applyProtection="0">
      <alignment horizontal="right" vertical="center"/>
    </xf>
    <xf numFmtId="4" fontId="491" fillId="102" borderId="139" applyNumberFormat="0" applyProtection="0">
      <alignment horizontal="right" vertical="center"/>
    </xf>
    <xf numFmtId="4" fontId="491" fillId="102" borderId="139" applyNumberFormat="0" applyProtection="0">
      <alignment horizontal="right" vertical="center"/>
    </xf>
    <xf numFmtId="4" fontId="491" fillId="102" borderId="139" applyNumberFormat="0" applyProtection="0">
      <alignment horizontal="right" vertical="center"/>
    </xf>
    <xf numFmtId="4" fontId="491" fillId="102" borderId="139" applyNumberFormat="0" applyProtection="0">
      <alignment horizontal="right" vertical="center"/>
    </xf>
    <xf numFmtId="4" fontId="491" fillId="102" borderId="139" applyNumberFormat="0" applyProtection="0">
      <alignment horizontal="right" vertical="center"/>
    </xf>
    <xf numFmtId="4" fontId="491" fillId="102" borderId="139" applyNumberFormat="0" applyProtection="0">
      <alignment horizontal="right" vertical="center"/>
    </xf>
    <xf numFmtId="4" fontId="491" fillId="102" borderId="139" applyNumberFormat="0" applyProtection="0">
      <alignment horizontal="right" vertical="center"/>
    </xf>
    <xf numFmtId="4" fontId="491" fillId="102" borderId="139" applyNumberFormat="0" applyProtection="0">
      <alignment horizontal="right" vertical="center"/>
    </xf>
    <xf numFmtId="4" fontId="491" fillId="102" borderId="139" applyNumberFormat="0" applyProtection="0">
      <alignment horizontal="right" vertical="center"/>
    </xf>
    <xf numFmtId="4" fontId="491" fillId="102" borderId="139" applyNumberFormat="0" applyProtection="0">
      <alignment horizontal="right" vertical="center"/>
    </xf>
    <xf numFmtId="4" fontId="491" fillId="102" borderId="139" applyNumberFormat="0" applyProtection="0">
      <alignment horizontal="right" vertical="center"/>
    </xf>
    <xf numFmtId="4" fontId="491" fillId="102" borderId="139" applyNumberFormat="0" applyProtection="0">
      <alignment horizontal="right" vertical="center"/>
    </xf>
    <xf numFmtId="4" fontId="491" fillId="102" borderId="139" applyNumberFormat="0" applyProtection="0">
      <alignment horizontal="right" vertical="center"/>
    </xf>
    <xf numFmtId="4" fontId="491" fillId="102" borderId="139" applyNumberFormat="0" applyProtection="0">
      <alignment horizontal="right" vertical="center"/>
    </xf>
    <xf numFmtId="4" fontId="491" fillId="102" borderId="139" applyNumberFormat="0" applyProtection="0">
      <alignment horizontal="right" vertical="center"/>
    </xf>
    <xf numFmtId="4" fontId="491" fillId="102" borderId="139" applyNumberFormat="0" applyProtection="0">
      <alignment horizontal="right" vertical="center"/>
    </xf>
    <xf numFmtId="4" fontId="491" fillId="102" borderId="139" applyNumberFormat="0" applyProtection="0">
      <alignment horizontal="right" vertical="center"/>
    </xf>
    <xf numFmtId="4" fontId="491" fillId="102" borderId="139" applyNumberFormat="0" applyProtection="0">
      <alignment horizontal="right" vertical="center"/>
    </xf>
    <xf numFmtId="4" fontId="491" fillId="102" borderId="139" applyNumberFormat="0" applyProtection="0">
      <alignment horizontal="right" vertical="center"/>
    </xf>
    <xf numFmtId="4" fontId="491" fillId="102" borderId="139" applyNumberFormat="0" applyProtection="0">
      <alignment horizontal="right" vertical="center"/>
    </xf>
    <xf numFmtId="4" fontId="491" fillId="102" borderId="139" applyNumberFormat="0" applyProtection="0">
      <alignment horizontal="right" vertical="center"/>
    </xf>
    <xf numFmtId="4" fontId="491" fillId="102" borderId="139" applyNumberFormat="0" applyProtection="0">
      <alignment horizontal="right" vertical="center"/>
    </xf>
    <xf numFmtId="4" fontId="491" fillId="102" borderId="139" applyNumberFormat="0" applyProtection="0">
      <alignment horizontal="right" vertical="center"/>
    </xf>
    <xf numFmtId="4" fontId="491" fillId="102" borderId="139" applyNumberFormat="0" applyProtection="0">
      <alignment horizontal="right" vertical="center"/>
    </xf>
    <xf numFmtId="4" fontId="491" fillId="102" borderId="139" applyNumberFormat="0" applyProtection="0">
      <alignment horizontal="right" vertical="center"/>
    </xf>
    <xf numFmtId="4" fontId="491" fillId="102" borderId="139" applyNumberFormat="0" applyProtection="0">
      <alignment horizontal="right" vertical="center"/>
    </xf>
    <xf numFmtId="4" fontId="491" fillId="102" borderId="139" applyNumberFormat="0" applyProtection="0">
      <alignment horizontal="right" vertical="center"/>
    </xf>
    <xf numFmtId="4" fontId="491" fillId="102" borderId="139" applyNumberFormat="0" applyProtection="0">
      <alignment horizontal="right" vertical="center"/>
    </xf>
    <xf numFmtId="4" fontId="491" fillId="102" borderId="139" applyNumberFormat="0" applyProtection="0">
      <alignment horizontal="right" vertical="center"/>
    </xf>
    <xf numFmtId="4" fontId="491" fillId="102" borderId="139" applyNumberFormat="0" applyProtection="0">
      <alignment horizontal="right" vertical="center"/>
    </xf>
    <xf numFmtId="4" fontId="491" fillId="102" borderId="139" applyNumberFormat="0" applyProtection="0">
      <alignment horizontal="right" vertical="center"/>
    </xf>
    <xf numFmtId="4" fontId="491" fillId="102" borderId="139" applyNumberFormat="0" applyProtection="0">
      <alignment horizontal="right" vertical="center"/>
    </xf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509" fillId="0" borderId="141">
      <alignment horizontal="left"/>
    </xf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3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3" applyNumberFormat="0" applyFill="0" applyAlignment="0" applyProtection="0"/>
    <xf numFmtId="0" fontId="335" fillId="0" borderId="143" applyNumberFormat="0" applyFill="0" applyAlignment="0" applyProtection="0"/>
    <xf numFmtId="0" fontId="335" fillId="0" borderId="143" applyNumberFormat="0" applyFill="0" applyAlignment="0" applyProtection="0"/>
    <xf numFmtId="0" fontId="335" fillId="0" borderId="143" applyNumberFormat="0" applyFill="0" applyAlignment="0" applyProtection="0"/>
    <xf numFmtId="0" fontId="335" fillId="0" borderId="143" applyNumberFormat="0" applyFill="0" applyAlignment="0" applyProtection="0"/>
    <xf numFmtId="0" fontId="335" fillId="0" borderId="143" applyNumberFormat="0" applyFill="0" applyAlignment="0" applyProtection="0"/>
    <xf numFmtId="0" fontId="335" fillId="0" borderId="143" applyNumberFormat="0" applyFill="0" applyAlignment="0" applyProtection="0"/>
    <xf numFmtId="0" fontId="335" fillId="0" borderId="143" applyNumberFormat="0" applyFill="0" applyAlignment="0" applyProtection="0"/>
    <xf numFmtId="0" fontId="335" fillId="0" borderId="143" applyNumberFormat="0" applyFill="0" applyAlignment="0" applyProtection="0"/>
    <xf numFmtId="0" fontId="335" fillId="0" borderId="143" applyNumberFormat="0" applyFill="0" applyAlignment="0" applyProtection="0"/>
    <xf numFmtId="0" fontId="335" fillId="0" borderId="143" applyNumberFormat="0" applyFill="0" applyAlignment="0" applyProtection="0"/>
    <xf numFmtId="0" fontId="335" fillId="0" borderId="143" applyNumberFormat="0" applyFill="0" applyAlignment="0" applyProtection="0"/>
    <xf numFmtId="0" fontId="335" fillId="0" borderId="143" applyNumberFormat="0" applyFill="0" applyAlignment="0" applyProtection="0"/>
    <xf numFmtId="0" fontId="335" fillId="0" borderId="143" applyNumberFormat="0" applyFill="0" applyAlignment="0" applyProtection="0"/>
    <xf numFmtId="0" fontId="335" fillId="0" borderId="143" applyNumberFormat="0" applyFill="0" applyAlignment="0" applyProtection="0"/>
    <xf numFmtId="0" fontId="335" fillId="0" borderId="143" applyNumberFormat="0" applyFill="0" applyAlignment="0" applyProtection="0"/>
    <xf numFmtId="0" fontId="335" fillId="0" borderId="143" applyNumberFormat="0" applyFill="0" applyAlignment="0" applyProtection="0"/>
    <xf numFmtId="0" fontId="335" fillId="0" borderId="143" applyNumberFormat="0" applyFill="0" applyAlignment="0" applyProtection="0"/>
    <xf numFmtId="0" fontId="335" fillId="0" borderId="143" applyNumberFormat="0" applyFill="0" applyAlignment="0" applyProtection="0"/>
    <xf numFmtId="0" fontId="335" fillId="0" borderId="143" applyNumberFormat="0" applyFill="0" applyAlignment="0" applyProtection="0"/>
    <xf numFmtId="0" fontId="335" fillId="0" borderId="143" applyNumberFormat="0" applyFill="0" applyAlignment="0" applyProtection="0"/>
    <xf numFmtId="0" fontId="335" fillId="0" borderId="143" applyNumberFormat="0" applyFill="0" applyAlignment="0" applyProtection="0"/>
    <xf numFmtId="0" fontId="335" fillId="0" borderId="143" applyNumberFormat="0" applyFill="0" applyAlignment="0" applyProtection="0"/>
    <xf numFmtId="0" fontId="335" fillId="0" borderId="143" applyNumberFormat="0" applyFill="0" applyAlignment="0" applyProtection="0"/>
    <xf numFmtId="0" fontId="335" fillId="0" borderId="143" applyNumberFormat="0" applyFill="0" applyAlignment="0" applyProtection="0"/>
    <xf numFmtId="0" fontId="335" fillId="0" borderId="143" applyNumberFormat="0" applyFill="0" applyAlignment="0" applyProtection="0"/>
    <xf numFmtId="0" fontId="335" fillId="0" borderId="143" applyNumberFormat="0" applyFill="0" applyAlignment="0" applyProtection="0"/>
    <xf numFmtId="0" fontId="335" fillId="0" borderId="143" applyNumberFormat="0" applyFill="0" applyAlignment="0" applyProtection="0"/>
    <xf numFmtId="0" fontId="335" fillId="0" borderId="143" applyNumberFormat="0" applyFill="0" applyAlignment="0" applyProtection="0"/>
    <xf numFmtId="0" fontId="335" fillId="0" borderId="143" applyNumberFormat="0" applyFill="0" applyAlignment="0" applyProtection="0"/>
    <xf numFmtId="0" fontId="335" fillId="0" borderId="143" applyNumberFormat="0" applyFill="0" applyAlignment="0" applyProtection="0"/>
    <xf numFmtId="0" fontId="335" fillId="0" borderId="143" applyNumberFormat="0" applyFill="0" applyAlignment="0" applyProtection="0"/>
    <xf numFmtId="0" fontId="335" fillId="0" borderId="143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3" applyNumberFormat="0" applyFill="0" applyAlignment="0" applyProtection="0"/>
    <xf numFmtId="0" fontId="335" fillId="0" borderId="143" applyNumberFormat="0" applyFill="0" applyAlignment="0" applyProtection="0"/>
    <xf numFmtId="0" fontId="335" fillId="0" borderId="143" applyNumberFormat="0" applyFill="0" applyAlignment="0" applyProtection="0"/>
    <xf numFmtId="0" fontId="335" fillId="0" borderId="143" applyNumberFormat="0" applyFill="0" applyAlignment="0" applyProtection="0"/>
    <xf numFmtId="0" fontId="335" fillId="0" borderId="143" applyNumberFormat="0" applyFill="0" applyAlignment="0" applyProtection="0"/>
    <xf numFmtId="0" fontId="335" fillId="0" borderId="143" applyNumberFormat="0" applyFill="0" applyAlignment="0" applyProtection="0"/>
    <xf numFmtId="0" fontId="335" fillId="0" borderId="143" applyNumberFormat="0" applyFill="0" applyAlignment="0" applyProtection="0"/>
    <xf numFmtId="0" fontId="335" fillId="0" borderId="143" applyNumberFormat="0" applyFill="0" applyAlignment="0" applyProtection="0"/>
    <xf numFmtId="0" fontId="335" fillId="0" borderId="143" applyNumberFormat="0" applyFill="0" applyAlignment="0" applyProtection="0"/>
    <xf numFmtId="0" fontId="335" fillId="0" borderId="143" applyNumberFormat="0" applyFill="0" applyAlignment="0" applyProtection="0"/>
    <xf numFmtId="0" fontId="335" fillId="0" borderId="143" applyNumberFormat="0" applyFill="0" applyAlignment="0" applyProtection="0"/>
    <xf numFmtId="0" fontId="335" fillId="0" borderId="143" applyNumberFormat="0" applyFill="0" applyAlignment="0" applyProtection="0"/>
    <xf numFmtId="0" fontId="335" fillId="0" borderId="143" applyNumberFormat="0" applyFill="0" applyAlignment="0" applyProtection="0"/>
    <xf numFmtId="0" fontId="335" fillId="0" borderId="143" applyNumberFormat="0" applyFill="0" applyAlignment="0" applyProtection="0"/>
    <xf numFmtId="0" fontId="335" fillId="0" borderId="143" applyNumberFormat="0" applyFill="0" applyAlignment="0" applyProtection="0"/>
    <xf numFmtId="0" fontId="335" fillId="0" borderId="143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56" fillId="0" borderId="120" applyBorder="0" applyAlignment="0" applyProtection="0">
      <alignment horizontal="center" vertical="top"/>
    </xf>
    <xf numFmtId="0" fontId="56" fillId="0" borderId="120" applyBorder="0" applyAlignment="0" applyProtection="0">
      <alignment horizontal="center" vertical="top"/>
    </xf>
    <xf numFmtId="0" fontId="56" fillId="0" borderId="120" applyBorder="0" applyAlignment="0" applyProtection="0">
      <alignment horizontal="center" vertical="top"/>
    </xf>
    <xf numFmtId="0" fontId="56" fillId="0" borderId="120" applyBorder="0" applyAlignment="0" applyProtection="0">
      <alignment horizontal="center" vertical="top"/>
    </xf>
    <xf numFmtId="0" fontId="56" fillId="0" borderId="120" applyBorder="0" applyAlignment="0" applyProtection="0">
      <alignment horizontal="center" vertical="top"/>
    </xf>
    <xf numFmtId="0" fontId="56" fillId="0" borderId="120" applyBorder="0" applyAlignment="0" applyProtection="0">
      <alignment horizontal="center" vertical="top"/>
    </xf>
    <xf numFmtId="0" fontId="56" fillId="0" borderId="120" applyBorder="0" applyAlignment="0" applyProtection="0">
      <alignment horizontal="center" vertical="top"/>
    </xf>
    <xf numFmtId="0" fontId="56" fillId="0" borderId="120" applyBorder="0" applyAlignment="0" applyProtection="0">
      <alignment horizontal="center" vertical="top"/>
    </xf>
    <xf numFmtId="0" fontId="56" fillId="0" borderId="120" applyBorder="0" applyAlignment="0" applyProtection="0">
      <alignment horizontal="center" vertical="top"/>
    </xf>
    <xf numFmtId="0" fontId="56" fillId="0" borderId="120" applyBorder="0" applyAlignment="0" applyProtection="0">
      <alignment horizontal="center" vertical="top"/>
    </xf>
    <xf numFmtId="0" fontId="56" fillId="0" borderId="120" applyBorder="0" applyAlignment="0" applyProtection="0">
      <alignment horizontal="center" vertical="top"/>
    </xf>
    <xf numFmtId="0" fontId="56" fillId="0" borderId="120" applyBorder="0" applyAlignment="0" applyProtection="0">
      <alignment horizontal="center" vertical="top"/>
    </xf>
    <xf numFmtId="0" fontId="56" fillId="0" borderId="120" applyBorder="0" applyAlignment="0" applyProtection="0">
      <alignment horizontal="center" vertical="top"/>
    </xf>
    <xf numFmtId="0" fontId="56" fillId="0" borderId="120" applyBorder="0" applyAlignment="0" applyProtection="0">
      <alignment horizontal="center" vertical="top"/>
    </xf>
    <xf numFmtId="0" fontId="56" fillId="0" borderId="120" applyBorder="0" applyAlignment="0" applyProtection="0">
      <alignment horizontal="center" vertical="top"/>
    </xf>
    <xf numFmtId="0" fontId="56" fillId="0" borderId="120" applyBorder="0" applyAlignment="0" applyProtection="0">
      <alignment horizontal="center" vertical="top"/>
    </xf>
    <xf numFmtId="0" fontId="56" fillId="0" borderId="120" applyBorder="0" applyAlignment="0" applyProtection="0">
      <alignment horizontal="center" vertical="top"/>
    </xf>
    <xf numFmtId="0" fontId="56" fillId="0" borderId="120" applyBorder="0" applyAlignment="0" applyProtection="0">
      <alignment horizontal="center" vertical="top"/>
    </xf>
    <xf numFmtId="0" fontId="56" fillId="0" borderId="120" applyBorder="0" applyAlignment="0" applyProtection="0">
      <alignment horizontal="center" vertical="top"/>
    </xf>
    <xf numFmtId="0" fontId="56" fillId="0" borderId="120" applyBorder="0" applyAlignment="0" applyProtection="0">
      <alignment horizontal="center" vertical="top"/>
    </xf>
    <xf numFmtId="0" fontId="56" fillId="0" borderId="120" applyBorder="0" applyAlignment="0" applyProtection="0">
      <alignment horizontal="center" vertical="top"/>
    </xf>
    <xf numFmtId="0" fontId="56" fillId="0" borderId="120" applyBorder="0" applyAlignment="0" applyProtection="0">
      <alignment horizontal="center" vertical="top"/>
    </xf>
    <xf numFmtId="0" fontId="56" fillId="0" borderId="120" applyBorder="0" applyAlignment="0" applyProtection="0">
      <alignment horizontal="center" vertical="top"/>
    </xf>
    <xf numFmtId="0" fontId="56" fillId="0" borderId="120" applyBorder="0" applyAlignment="0" applyProtection="0">
      <alignment horizontal="center" vertical="top"/>
    </xf>
    <xf numFmtId="0" fontId="56" fillId="0" borderId="120" applyBorder="0" applyAlignment="0" applyProtection="0">
      <alignment horizontal="center" vertical="top"/>
    </xf>
    <xf numFmtId="0" fontId="56" fillId="0" borderId="120" applyBorder="0" applyAlignment="0" applyProtection="0">
      <alignment horizontal="center" vertical="top"/>
    </xf>
    <xf numFmtId="0" fontId="56" fillId="0" borderId="120" applyBorder="0" applyAlignment="0" applyProtection="0">
      <alignment horizontal="center" vertical="top"/>
    </xf>
    <xf numFmtId="0" fontId="56" fillId="0" borderId="120" applyBorder="0" applyAlignment="0" applyProtection="0">
      <alignment horizontal="center" vertical="top"/>
    </xf>
    <xf numFmtId="0" fontId="56" fillId="0" borderId="120" applyBorder="0" applyAlignment="0" applyProtection="0">
      <alignment horizontal="center" vertical="top"/>
    </xf>
    <xf numFmtId="0" fontId="56" fillId="0" borderId="120" applyBorder="0" applyAlignment="0" applyProtection="0">
      <alignment horizontal="center" vertical="top"/>
    </xf>
    <xf numFmtId="0" fontId="56" fillId="0" borderId="120" applyBorder="0" applyAlignment="0" applyProtection="0">
      <alignment horizontal="center" vertical="top"/>
    </xf>
    <xf numFmtId="0" fontId="56" fillId="0" borderId="120" applyBorder="0" applyAlignment="0" applyProtection="0">
      <alignment horizontal="center" vertical="top"/>
    </xf>
    <xf numFmtId="0" fontId="56" fillId="0" borderId="120" applyBorder="0" applyAlignment="0" applyProtection="0">
      <alignment horizontal="center" vertical="top"/>
    </xf>
    <xf numFmtId="0" fontId="56" fillId="0" borderId="120" applyBorder="0" applyAlignment="0" applyProtection="0">
      <alignment horizontal="center" vertical="top"/>
    </xf>
    <xf numFmtId="0" fontId="56" fillId="0" borderId="120" applyBorder="0" applyAlignment="0" applyProtection="0">
      <alignment horizontal="center" vertical="top"/>
    </xf>
    <xf numFmtId="0" fontId="56" fillId="0" borderId="120" applyBorder="0" applyAlignment="0" applyProtection="0">
      <alignment horizontal="center" vertical="top"/>
    </xf>
    <xf numFmtId="0" fontId="335" fillId="0" borderId="143" applyNumberFormat="0" applyFill="0" applyAlignment="0" applyProtection="0"/>
    <xf numFmtId="0" fontId="335" fillId="0" borderId="143" applyNumberFormat="0" applyFill="0" applyAlignment="0" applyProtection="0"/>
    <xf numFmtId="0" fontId="335" fillId="0" borderId="143" applyNumberFormat="0" applyFill="0" applyAlignment="0" applyProtection="0"/>
    <xf numFmtId="0" fontId="335" fillId="0" borderId="143" applyNumberFormat="0" applyFill="0" applyAlignment="0" applyProtection="0"/>
    <xf numFmtId="0" fontId="335" fillId="0" borderId="143" applyNumberFormat="0" applyFill="0" applyAlignment="0" applyProtection="0"/>
    <xf numFmtId="0" fontId="335" fillId="0" borderId="143" applyNumberFormat="0" applyFill="0" applyAlignment="0" applyProtection="0"/>
    <xf numFmtId="0" fontId="335" fillId="0" borderId="143" applyNumberFormat="0" applyFill="0" applyAlignment="0" applyProtection="0"/>
    <xf numFmtId="0" fontId="335" fillId="0" borderId="143" applyNumberFormat="0" applyFill="0" applyAlignment="0" applyProtection="0"/>
    <xf numFmtId="0" fontId="335" fillId="0" borderId="143" applyNumberFormat="0" applyFill="0" applyAlignment="0" applyProtection="0"/>
    <xf numFmtId="0" fontId="335" fillId="0" borderId="143" applyNumberFormat="0" applyFill="0" applyAlignment="0" applyProtection="0"/>
    <xf numFmtId="0" fontId="335" fillId="0" borderId="143" applyNumberFormat="0" applyFill="0" applyAlignment="0" applyProtection="0"/>
    <xf numFmtId="0" fontId="335" fillId="0" borderId="143" applyNumberFormat="0" applyFill="0" applyAlignment="0" applyProtection="0"/>
    <xf numFmtId="0" fontId="335" fillId="0" borderId="143" applyNumberFormat="0" applyFill="0" applyAlignment="0" applyProtection="0"/>
    <xf numFmtId="0" fontId="335" fillId="0" borderId="143" applyNumberFormat="0" applyFill="0" applyAlignment="0" applyProtection="0"/>
    <xf numFmtId="0" fontId="335" fillId="0" borderId="143" applyNumberFormat="0" applyFill="0" applyAlignment="0" applyProtection="0"/>
    <xf numFmtId="0" fontId="335" fillId="0" borderId="143" applyNumberFormat="0" applyFill="0" applyAlignment="0" applyProtection="0"/>
    <xf numFmtId="0" fontId="335" fillId="0" borderId="143" applyNumberFormat="0" applyFill="0" applyAlignment="0" applyProtection="0"/>
    <xf numFmtId="0" fontId="335" fillId="0" borderId="143" applyNumberFormat="0" applyFill="0" applyAlignment="0" applyProtection="0"/>
    <xf numFmtId="0" fontId="335" fillId="0" borderId="143" applyNumberFormat="0" applyFill="0" applyAlignment="0" applyProtection="0"/>
    <xf numFmtId="0" fontId="335" fillId="0" borderId="143" applyNumberFormat="0" applyFill="0" applyAlignment="0" applyProtection="0"/>
    <xf numFmtId="0" fontId="335" fillId="0" borderId="143" applyNumberFormat="0" applyFill="0" applyAlignment="0" applyProtection="0"/>
    <xf numFmtId="0" fontId="335" fillId="0" borderId="143" applyNumberFormat="0" applyFill="0" applyAlignment="0" applyProtection="0"/>
    <xf numFmtId="0" fontId="335" fillId="0" borderId="143" applyNumberFormat="0" applyFill="0" applyAlignment="0" applyProtection="0"/>
    <xf numFmtId="0" fontId="335" fillId="0" borderId="143" applyNumberFormat="0" applyFill="0" applyAlignment="0" applyProtection="0"/>
    <xf numFmtId="0" fontId="335" fillId="0" borderId="143" applyNumberFormat="0" applyFill="0" applyAlignment="0" applyProtection="0"/>
    <xf numFmtId="0" fontId="335" fillId="0" borderId="143" applyNumberFormat="0" applyFill="0" applyAlignment="0" applyProtection="0"/>
    <xf numFmtId="0" fontId="335" fillId="0" borderId="143" applyNumberFormat="0" applyFill="0" applyAlignment="0" applyProtection="0"/>
    <xf numFmtId="0" fontId="335" fillId="0" borderId="143" applyNumberFormat="0" applyFill="0" applyAlignment="0" applyProtection="0"/>
    <xf numFmtId="0" fontId="335" fillId="0" borderId="143" applyNumberFormat="0" applyFill="0" applyAlignment="0" applyProtection="0"/>
    <xf numFmtId="0" fontId="335" fillId="0" borderId="143" applyNumberFormat="0" applyFill="0" applyAlignment="0" applyProtection="0"/>
    <xf numFmtId="0" fontId="335" fillId="0" borderId="143" applyNumberFormat="0" applyFill="0" applyAlignment="0" applyProtection="0"/>
    <xf numFmtId="0" fontId="335" fillId="0" borderId="143" applyNumberFormat="0" applyFill="0" applyAlignment="0" applyProtection="0"/>
    <xf numFmtId="0" fontId="335" fillId="0" borderId="142" applyNumberFormat="0" applyFill="0" applyAlignment="0" applyProtection="0"/>
    <xf numFmtId="0" fontId="471" fillId="0" borderId="142" applyNumberFormat="0" applyFill="0" applyAlignment="0" applyProtection="0"/>
    <xf numFmtId="0" fontId="520" fillId="112" borderId="144"/>
    <xf numFmtId="0" fontId="524" fillId="82" borderId="145">
      <alignment horizontal="center" vertical="center"/>
      <protection locked="0"/>
    </xf>
    <xf numFmtId="0" fontId="524" fillId="82" borderId="145">
      <alignment horizontal="center" vertical="center"/>
      <protection locked="0"/>
    </xf>
    <xf numFmtId="0" fontId="164" fillId="12" borderId="118">
      <alignment horizontal="center" vertical="center" wrapText="1"/>
    </xf>
    <xf numFmtId="0" fontId="520" fillId="112" borderId="123"/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>
      <alignment vertical="center"/>
    </xf>
    <xf numFmtId="0" fontId="2" fillId="51" borderId="134" applyNumberFormat="0" applyFont="0" applyAlignment="0" applyProtection="0"/>
    <xf numFmtId="0" fontId="2" fillId="51" borderId="134" applyNumberFormat="0" applyFont="0" applyAlignment="0" applyProtection="0">
      <alignment vertical="center"/>
    </xf>
    <xf numFmtId="0" fontId="2" fillId="51" borderId="134" applyNumberFormat="0" applyFont="0" applyAlignment="0" applyProtection="0">
      <alignment vertical="center"/>
    </xf>
    <xf numFmtId="0" fontId="2" fillId="51" borderId="134" applyNumberFormat="0" applyFont="0" applyAlignment="0" applyProtection="0">
      <alignment vertical="center"/>
    </xf>
    <xf numFmtId="0" fontId="2" fillId="51" borderId="134" applyNumberFormat="0" applyFont="0" applyAlignment="0" applyProtection="0">
      <alignment vertical="center"/>
    </xf>
    <xf numFmtId="0" fontId="2" fillId="51" borderId="134" applyNumberFormat="0" applyFont="0" applyAlignment="0" applyProtection="0">
      <alignment vertical="center"/>
    </xf>
    <xf numFmtId="0" fontId="2" fillId="51" borderId="134" applyNumberFormat="0" applyFont="0" applyAlignment="0" applyProtection="0">
      <alignment vertical="center"/>
    </xf>
    <xf numFmtId="0" fontId="2" fillId="51" borderId="134" applyNumberFormat="0" applyFont="0" applyAlignment="0" applyProtection="0">
      <alignment vertical="center"/>
    </xf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>
      <alignment vertical="center"/>
    </xf>
    <xf numFmtId="0" fontId="2" fillId="51" borderId="134" applyNumberFormat="0" applyFont="0" applyAlignment="0" applyProtection="0">
      <alignment vertical="center"/>
    </xf>
    <xf numFmtId="0" fontId="2" fillId="51" borderId="134" applyNumberFormat="0" applyFont="0" applyAlignment="0" applyProtection="0"/>
    <xf numFmtId="0" fontId="2" fillId="51" borderId="134" applyNumberFormat="0" applyFont="0" applyAlignment="0" applyProtection="0">
      <alignment vertical="center"/>
    </xf>
    <xf numFmtId="0" fontId="2" fillId="51" borderId="134" applyNumberFormat="0" applyFont="0" applyAlignment="0" applyProtection="0">
      <alignment vertical="center"/>
    </xf>
    <xf numFmtId="0" fontId="2" fillId="51" borderId="134" applyNumberFormat="0" applyFont="0" applyAlignment="0" applyProtection="0">
      <alignment vertical="center"/>
    </xf>
    <xf numFmtId="0" fontId="2" fillId="51" borderId="134" applyNumberFormat="0" applyFont="0" applyAlignment="0" applyProtection="0">
      <alignment vertical="center"/>
    </xf>
    <xf numFmtId="0" fontId="2" fillId="51" borderId="134" applyNumberFormat="0" applyFont="0" applyAlignment="0" applyProtection="0">
      <alignment vertical="center"/>
    </xf>
    <xf numFmtId="0" fontId="2" fillId="51" borderId="134" applyNumberFormat="0" applyFont="0" applyAlignment="0" applyProtection="0">
      <alignment vertical="center"/>
    </xf>
    <xf numFmtId="0" fontId="2" fillId="51" borderId="134" applyNumberFormat="0" applyFont="0" applyAlignment="0" applyProtection="0">
      <alignment vertical="center"/>
    </xf>
    <xf numFmtId="0" fontId="2" fillId="51" borderId="134" applyNumberFormat="0" applyFont="0" applyAlignment="0" applyProtection="0"/>
    <xf numFmtId="0" fontId="24" fillId="51" borderId="134" applyNumberFormat="0" applyFont="0" applyAlignment="0" applyProtection="0">
      <alignment vertical="center"/>
    </xf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189" fillId="0" borderId="125" applyNumberFormat="0" applyFill="0" applyAlignment="0" applyProtection="0"/>
    <xf numFmtId="0" fontId="189" fillId="0" borderId="125" applyNumberFormat="0" applyFill="0" applyAlignment="0" applyProtection="0"/>
    <xf numFmtId="0" fontId="189" fillId="0" borderId="125" applyNumberFormat="0" applyFill="0" applyAlignment="0" applyProtection="0"/>
    <xf numFmtId="0" fontId="189" fillId="0" borderId="125" applyNumberFormat="0" applyFill="0" applyAlignment="0" applyProtection="0"/>
    <xf numFmtId="0" fontId="189" fillId="0" borderId="125" applyNumberFormat="0" applyFill="0" applyAlignment="0" applyProtection="0"/>
    <xf numFmtId="0" fontId="189" fillId="0" borderId="125" applyNumberFormat="0" applyFill="0" applyAlignment="0" applyProtection="0"/>
    <xf numFmtId="0" fontId="189" fillId="0" borderId="125" applyNumberFormat="0" applyFill="0" applyAlignment="0" applyProtection="0"/>
    <xf numFmtId="0" fontId="189" fillId="0" borderId="125" applyNumberFormat="0" applyFill="0" applyAlignment="0" applyProtection="0"/>
    <xf numFmtId="0" fontId="189" fillId="0" borderId="125" applyNumberFormat="0" applyFill="0" applyAlignment="0" applyProtection="0"/>
    <xf numFmtId="0" fontId="189" fillId="0" borderId="125" applyNumberFormat="0" applyFill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40" fillId="51" borderId="134" applyNumberFormat="0" applyFont="0" applyAlignment="0" applyProtection="0">
      <alignment vertical="center"/>
    </xf>
    <xf numFmtId="0" fontId="240" fillId="51" borderId="134" applyNumberFormat="0" applyFont="0" applyAlignment="0" applyProtection="0">
      <alignment vertical="center"/>
    </xf>
    <xf numFmtId="0" fontId="240" fillId="51" borderId="134" applyNumberFormat="0" applyFont="0" applyAlignment="0" applyProtection="0">
      <alignment vertical="center"/>
    </xf>
    <xf numFmtId="0" fontId="240" fillId="51" borderId="134" applyNumberFormat="0" applyFont="0" applyAlignment="0" applyProtection="0">
      <alignment vertical="center"/>
    </xf>
    <xf numFmtId="0" fontId="240" fillId="51" borderId="134" applyNumberFormat="0" applyFont="0" applyAlignment="0" applyProtection="0">
      <alignment vertical="center"/>
    </xf>
    <xf numFmtId="0" fontId="240" fillId="51" borderId="134" applyNumberFormat="0" applyFont="0" applyAlignment="0" applyProtection="0">
      <alignment vertical="center"/>
    </xf>
    <xf numFmtId="0" fontId="240" fillId="51" borderId="134" applyNumberFormat="0" applyFont="0" applyAlignment="0" applyProtection="0">
      <alignment vertical="center"/>
    </xf>
    <xf numFmtId="0" fontId="24" fillId="51" borderId="134" applyNumberFormat="0" applyFont="0" applyAlignment="0" applyProtection="0">
      <alignment vertical="center"/>
    </xf>
    <xf numFmtId="0" fontId="240" fillId="51" borderId="134" applyNumberFormat="0" applyFont="0" applyAlignment="0" applyProtection="0">
      <alignment vertical="center"/>
    </xf>
    <xf numFmtId="0" fontId="240" fillId="51" borderId="134" applyNumberFormat="0" applyFont="0" applyAlignment="0" applyProtection="0">
      <alignment vertical="center"/>
    </xf>
    <xf numFmtId="0" fontId="240" fillId="51" borderId="134" applyNumberFormat="0" applyFont="0" applyAlignment="0" applyProtection="0">
      <alignment vertical="center"/>
    </xf>
    <xf numFmtId="0" fontId="240" fillId="51" borderId="134" applyNumberFormat="0" applyFont="0" applyAlignment="0" applyProtection="0">
      <alignment vertical="center"/>
    </xf>
    <xf numFmtId="0" fontId="240" fillId="51" borderId="134" applyNumberFormat="0" applyFont="0" applyAlignment="0" applyProtection="0">
      <alignment vertical="center"/>
    </xf>
    <xf numFmtId="0" fontId="240" fillId="51" borderId="134" applyNumberFormat="0" applyFont="0" applyAlignment="0" applyProtection="0">
      <alignment vertical="center"/>
    </xf>
    <xf numFmtId="0" fontId="240" fillId="51" borderId="134" applyNumberFormat="0" applyFont="0" applyAlignment="0" applyProtection="0">
      <alignment vertical="center"/>
    </xf>
    <xf numFmtId="0" fontId="240" fillId="51" borderId="134" applyNumberFormat="0" applyFont="0" applyAlignment="0" applyProtection="0">
      <alignment vertical="center"/>
    </xf>
    <xf numFmtId="0" fontId="240" fillId="51" borderId="134" applyNumberFormat="0" applyFont="0" applyAlignment="0" applyProtection="0">
      <alignment vertical="center"/>
    </xf>
    <xf numFmtId="0" fontId="240" fillId="51" borderId="134" applyNumberFormat="0" applyFont="0" applyAlignment="0" applyProtection="0">
      <alignment vertical="center"/>
    </xf>
    <xf numFmtId="0" fontId="240" fillId="51" borderId="134" applyNumberFormat="0" applyFont="0" applyAlignment="0" applyProtection="0">
      <alignment vertical="center"/>
    </xf>
    <xf numFmtId="0" fontId="240" fillId="51" borderId="134" applyNumberFormat="0" applyFont="0" applyAlignment="0" applyProtection="0">
      <alignment vertical="center"/>
    </xf>
    <xf numFmtId="0" fontId="240" fillId="51" borderId="134" applyNumberFormat="0" applyFont="0" applyAlignment="0" applyProtection="0">
      <alignment vertical="center"/>
    </xf>
    <xf numFmtId="0" fontId="240" fillId="51" borderId="134" applyNumberFormat="0" applyFont="0" applyAlignment="0" applyProtection="0">
      <alignment vertical="center"/>
    </xf>
    <xf numFmtId="0" fontId="240" fillId="51" borderId="134" applyNumberFormat="0" applyFont="0" applyAlignment="0" applyProtection="0">
      <alignment vertical="center"/>
    </xf>
    <xf numFmtId="0" fontId="240" fillId="51" borderId="134" applyNumberFormat="0" applyFont="0" applyAlignment="0" applyProtection="0">
      <alignment vertical="center"/>
    </xf>
    <xf numFmtId="0" fontId="240" fillId="51" borderId="134" applyNumberFormat="0" applyFont="0" applyAlignment="0" applyProtection="0">
      <alignment vertical="center"/>
    </xf>
    <xf numFmtId="0" fontId="240" fillId="51" borderId="134" applyNumberFormat="0" applyFont="0" applyAlignment="0" applyProtection="0">
      <alignment vertical="center"/>
    </xf>
    <xf numFmtId="0" fontId="240" fillId="51" borderId="134" applyNumberFormat="0" applyFont="0" applyAlignment="0" applyProtection="0">
      <alignment vertical="center"/>
    </xf>
    <xf numFmtId="0" fontId="24" fillId="51" borderId="134" applyNumberFormat="0" applyFont="0" applyAlignment="0" applyProtection="0">
      <alignment vertical="center"/>
    </xf>
    <xf numFmtId="0" fontId="24" fillId="51" borderId="134" applyNumberFormat="0" applyFont="0" applyAlignment="0" applyProtection="0">
      <alignment vertical="center"/>
    </xf>
    <xf numFmtId="0" fontId="24" fillId="51" borderId="134" applyNumberFormat="0" applyFont="0" applyAlignment="0" applyProtection="0">
      <alignment vertical="center"/>
    </xf>
    <xf numFmtId="0" fontId="24" fillId="51" borderId="134" applyNumberFormat="0" applyFont="0" applyAlignment="0" applyProtection="0">
      <alignment vertical="center"/>
    </xf>
    <xf numFmtId="0" fontId="24" fillId="51" borderId="134" applyNumberFormat="0" applyFont="0" applyAlignment="0" applyProtection="0">
      <alignment vertical="center"/>
    </xf>
    <xf numFmtId="0" fontId="240" fillId="51" borderId="134" applyNumberFormat="0" applyFont="0" applyAlignment="0" applyProtection="0">
      <alignment vertical="center"/>
    </xf>
    <xf numFmtId="0" fontId="240" fillId="51" borderId="134" applyNumberFormat="0" applyFont="0" applyAlignment="0" applyProtection="0">
      <alignment vertical="center"/>
    </xf>
    <xf numFmtId="0" fontId="240" fillId="51" borderId="134" applyNumberFormat="0" applyFont="0" applyAlignment="0" applyProtection="0">
      <alignment vertical="center"/>
    </xf>
    <xf numFmtId="0" fontId="240" fillId="51" borderId="134" applyNumberFormat="0" applyFont="0" applyAlignment="0" applyProtection="0">
      <alignment vertical="center"/>
    </xf>
    <xf numFmtId="0" fontId="240" fillId="51" borderId="134" applyNumberFormat="0" applyFont="0" applyAlignment="0" applyProtection="0">
      <alignment vertical="center"/>
    </xf>
    <xf numFmtId="0" fontId="240" fillId="51" borderId="134" applyNumberFormat="0" applyFont="0" applyAlignment="0" applyProtection="0">
      <alignment vertical="center"/>
    </xf>
    <xf numFmtId="0" fontId="240" fillId="51" borderId="134" applyNumberFormat="0" applyFont="0" applyAlignment="0" applyProtection="0">
      <alignment vertical="center"/>
    </xf>
    <xf numFmtId="0" fontId="240" fillId="51" borderId="134" applyNumberFormat="0" applyFont="0" applyAlignment="0" applyProtection="0">
      <alignment vertical="center"/>
    </xf>
    <xf numFmtId="0" fontId="240" fillId="51" borderId="134" applyNumberFormat="0" applyFont="0" applyAlignment="0" applyProtection="0">
      <alignment vertical="center"/>
    </xf>
    <xf numFmtId="0" fontId="240" fillId="51" borderId="134" applyNumberFormat="0" applyFont="0" applyAlignment="0" applyProtection="0">
      <alignment vertical="center"/>
    </xf>
    <xf numFmtId="0" fontId="240" fillId="51" borderId="134" applyNumberFormat="0" applyFont="0" applyAlignment="0" applyProtection="0">
      <alignment vertical="center"/>
    </xf>
    <xf numFmtId="0" fontId="240" fillId="51" borderId="134" applyNumberFormat="0" applyFont="0" applyAlignment="0" applyProtection="0">
      <alignment vertical="center"/>
    </xf>
    <xf numFmtId="0" fontId="240" fillId="51" borderId="134" applyNumberFormat="0" applyFont="0" applyAlignment="0" applyProtection="0">
      <alignment vertical="center"/>
    </xf>
    <xf numFmtId="0" fontId="240" fillId="51" borderId="134" applyNumberFormat="0" applyFont="0" applyAlignment="0" applyProtection="0">
      <alignment vertical="center"/>
    </xf>
    <xf numFmtId="0" fontId="240" fillId="51" borderId="134" applyNumberFormat="0" applyFont="0" applyAlignment="0" applyProtection="0">
      <alignment vertical="center"/>
    </xf>
    <xf numFmtId="0" fontId="240" fillId="51" borderId="134" applyNumberFormat="0" applyFont="0" applyAlignment="0" applyProtection="0">
      <alignment vertical="center"/>
    </xf>
    <xf numFmtId="0" fontId="240" fillId="51" borderId="134" applyNumberFormat="0" applyFont="0" applyAlignment="0" applyProtection="0">
      <alignment vertical="center"/>
    </xf>
    <xf numFmtId="0" fontId="240" fillId="51" borderId="134" applyNumberFormat="0" applyFont="0" applyAlignment="0" applyProtection="0">
      <alignment vertical="center"/>
    </xf>
    <xf numFmtId="0" fontId="240" fillId="51" borderId="134" applyNumberFormat="0" applyFont="0" applyAlignment="0" applyProtection="0">
      <alignment vertical="center"/>
    </xf>
    <xf numFmtId="0" fontId="240" fillId="51" borderId="134" applyNumberFormat="0" applyFont="0" applyAlignment="0" applyProtection="0">
      <alignment vertical="center"/>
    </xf>
    <xf numFmtId="0" fontId="240" fillId="51" borderId="134" applyNumberFormat="0" applyFont="0" applyAlignment="0" applyProtection="0">
      <alignment vertical="center"/>
    </xf>
    <xf numFmtId="0" fontId="24" fillId="51" borderId="134" applyNumberFormat="0" applyFont="0" applyAlignment="0" applyProtection="0">
      <alignment vertical="center"/>
    </xf>
    <xf numFmtId="0" fontId="24" fillId="51" borderId="134" applyNumberFormat="0" applyFont="0" applyAlignment="0" applyProtection="0">
      <alignment vertical="center"/>
    </xf>
    <xf numFmtId="0" fontId="24" fillId="51" borderId="134" applyNumberFormat="0" applyFont="0" applyAlignment="0" applyProtection="0">
      <alignment vertical="center"/>
    </xf>
    <xf numFmtId="0" fontId="24" fillId="51" borderId="134" applyNumberFormat="0" applyFont="0" applyAlignment="0" applyProtection="0">
      <alignment vertical="center"/>
    </xf>
    <xf numFmtId="0" fontId="24" fillId="51" borderId="134" applyNumberFormat="0" applyFont="0" applyAlignment="0" applyProtection="0">
      <alignment vertical="center"/>
    </xf>
    <xf numFmtId="0" fontId="24" fillId="51" borderId="134" applyNumberFormat="0" applyFont="0" applyAlignment="0" applyProtection="0">
      <alignment vertical="center"/>
    </xf>
    <xf numFmtId="0" fontId="24" fillId="51" borderId="134" applyNumberFormat="0" applyFont="0" applyAlignment="0" applyProtection="0">
      <alignment vertical="center"/>
    </xf>
    <xf numFmtId="0" fontId="24" fillId="51" borderId="134" applyNumberFormat="0" applyFont="0" applyAlignment="0" applyProtection="0">
      <alignment vertical="center"/>
    </xf>
    <xf numFmtId="0" fontId="24" fillId="51" borderId="134" applyNumberFormat="0" applyFont="0" applyAlignment="0" applyProtection="0">
      <alignment vertical="center"/>
    </xf>
    <xf numFmtId="0" fontId="24" fillId="51" borderId="134" applyNumberFormat="0" applyFont="0" applyAlignment="0" applyProtection="0">
      <alignment vertical="center"/>
    </xf>
    <xf numFmtId="0" fontId="24" fillId="51" borderId="134" applyNumberFormat="0" applyFont="0" applyAlignment="0" applyProtection="0">
      <alignment vertical="center"/>
    </xf>
    <xf numFmtId="0" fontId="24" fillId="51" borderId="134" applyNumberFormat="0" applyFont="0" applyAlignment="0" applyProtection="0">
      <alignment vertical="center"/>
    </xf>
    <xf numFmtId="0" fontId="24" fillId="51" borderId="134" applyNumberFormat="0" applyFont="0" applyAlignment="0" applyProtection="0">
      <alignment vertical="center"/>
    </xf>
    <xf numFmtId="0" fontId="24" fillId="51" borderId="134" applyNumberFormat="0" applyFont="0" applyAlignment="0" applyProtection="0">
      <alignment vertical="center"/>
    </xf>
    <xf numFmtId="0" fontId="24" fillId="51" borderId="134" applyNumberFormat="0" applyFont="0" applyAlignment="0" applyProtection="0">
      <alignment vertical="center"/>
    </xf>
    <xf numFmtId="0" fontId="24" fillId="51" borderId="134" applyNumberFormat="0" applyFont="0" applyAlignment="0" applyProtection="0">
      <alignment vertical="center"/>
    </xf>
    <xf numFmtId="0" fontId="24" fillId="51" borderId="134" applyNumberFormat="0" applyFont="0" applyAlignment="0" applyProtection="0">
      <alignment vertical="center"/>
    </xf>
    <xf numFmtId="0" fontId="240" fillId="51" borderId="134" applyNumberFormat="0" applyFont="0" applyAlignment="0" applyProtection="0">
      <alignment vertical="center"/>
    </xf>
    <xf numFmtId="0" fontId="240" fillId="51" borderId="134" applyNumberFormat="0" applyFont="0" applyAlignment="0" applyProtection="0">
      <alignment vertical="center"/>
    </xf>
    <xf numFmtId="0" fontId="240" fillId="51" borderId="134" applyNumberFormat="0" applyFont="0" applyAlignment="0" applyProtection="0">
      <alignment vertical="center"/>
    </xf>
    <xf numFmtId="0" fontId="240" fillId="51" borderId="134" applyNumberFormat="0" applyFont="0" applyAlignment="0" applyProtection="0">
      <alignment vertical="center"/>
    </xf>
    <xf numFmtId="0" fontId="240" fillId="51" borderId="134" applyNumberFormat="0" applyFont="0" applyAlignment="0" applyProtection="0">
      <alignment vertical="center"/>
    </xf>
    <xf numFmtId="0" fontId="24" fillId="51" borderId="134" applyNumberFormat="0" applyFont="0" applyAlignment="0" applyProtection="0">
      <alignment vertical="center"/>
    </xf>
    <xf numFmtId="0" fontId="24" fillId="51" borderId="134" applyNumberFormat="0" applyFont="0" applyAlignment="0" applyProtection="0">
      <alignment vertical="center"/>
    </xf>
    <xf numFmtId="0" fontId="24" fillId="51" borderId="134" applyNumberFormat="0" applyFont="0" applyAlignment="0" applyProtection="0">
      <alignment vertical="center"/>
    </xf>
    <xf numFmtId="0" fontId="24" fillId="51" borderId="134" applyNumberFormat="0" applyFont="0" applyAlignment="0" applyProtection="0">
      <alignment vertical="center"/>
    </xf>
    <xf numFmtId="0" fontId="240" fillId="51" borderId="134" applyNumberFormat="0" applyFont="0" applyAlignment="0" applyProtection="0">
      <alignment vertical="center"/>
    </xf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572" fillId="54" borderId="132" applyNumberFormat="0" applyAlignment="0" applyProtection="0">
      <alignment vertical="center"/>
    </xf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291" fillId="54" borderId="132" applyNumberFormat="0" applyAlignment="0" applyProtection="0"/>
    <xf numFmtId="0" fontId="572" fillId="54" borderId="132" applyNumberFormat="0" applyAlignment="0" applyProtection="0">
      <alignment vertical="center"/>
    </xf>
    <xf numFmtId="0" fontId="572" fillId="54" borderId="132" applyNumberFormat="0" applyAlignment="0" applyProtection="0">
      <alignment vertical="center"/>
    </xf>
    <xf numFmtId="0" fontId="572" fillId="54" borderId="132" applyNumberFormat="0" applyAlignment="0" applyProtection="0">
      <alignment vertical="center"/>
    </xf>
    <xf numFmtId="0" fontId="572" fillId="54" borderId="132" applyNumberFormat="0" applyAlignment="0" applyProtection="0">
      <alignment vertical="center"/>
    </xf>
    <xf numFmtId="0" fontId="572" fillId="54" borderId="132" applyNumberFormat="0" applyAlignment="0" applyProtection="0">
      <alignment vertical="center"/>
    </xf>
    <xf numFmtId="0" fontId="572" fillId="54" borderId="132" applyNumberFormat="0" applyAlignment="0" applyProtection="0">
      <alignment vertical="center"/>
    </xf>
    <xf numFmtId="0" fontId="572" fillId="54" borderId="132" applyNumberFormat="0" applyAlignment="0" applyProtection="0">
      <alignment vertical="center"/>
    </xf>
    <xf numFmtId="0" fontId="572" fillId="54" borderId="132" applyNumberFormat="0" applyAlignment="0" applyProtection="0">
      <alignment vertical="center"/>
    </xf>
    <xf numFmtId="0" fontId="572" fillId="54" borderId="132" applyNumberFormat="0" applyAlignment="0" applyProtection="0">
      <alignment vertical="center"/>
    </xf>
    <xf numFmtId="0" fontId="572" fillId="54" borderId="132" applyNumberFormat="0" applyAlignment="0" applyProtection="0">
      <alignment vertical="center"/>
    </xf>
    <xf numFmtId="0" fontId="572" fillId="54" borderId="132" applyNumberFormat="0" applyAlignment="0" applyProtection="0">
      <alignment vertical="center"/>
    </xf>
    <xf numFmtId="0" fontId="572" fillId="54" borderId="132" applyNumberFormat="0" applyAlignment="0" applyProtection="0">
      <alignment vertical="center"/>
    </xf>
    <xf numFmtId="0" fontId="572" fillId="54" borderId="132" applyNumberFormat="0" applyAlignment="0" applyProtection="0">
      <alignment vertical="center"/>
    </xf>
    <xf numFmtId="0" fontId="572" fillId="54" borderId="132" applyNumberFormat="0" applyAlignment="0" applyProtection="0">
      <alignment vertical="center"/>
    </xf>
    <xf numFmtId="0" fontId="572" fillId="54" borderId="132" applyNumberFormat="0" applyAlignment="0" applyProtection="0">
      <alignment vertical="center"/>
    </xf>
    <xf numFmtId="0" fontId="572" fillId="54" borderId="132" applyNumberFormat="0" applyAlignment="0" applyProtection="0">
      <alignment vertical="center"/>
    </xf>
    <xf numFmtId="0" fontId="572" fillId="54" borderId="132" applyNumberFormat="0" applyAlignment="0" applyProtection="0">
      <alignment vertical="center"/>
    </xf>
    <xf numFmtId="0" fontId="572" fillId="54" borderId="132" applyNumberFormat="0" applyAlignment="0" applyProtection="0">
      <alignment vertical="center"/>
    </xf>
    <xf numFmtId="0" fontId="572" fillId="54" borderId="132" applyNumberFormat="0" applyAlignment="0" applyProtection="0">
      <alignment vertical="center"/>
    </xf>
    <xf numFmtId="0" fontId="572" fillId="54" borderId="132" applyNumberFormat="0" applyAlignment="0" applyProtection="0">
      <alignment vertical="center"/>
    </xf>
    <xf numFmtId="0" fontId="572" fillId="54" borderId="132" applyNumberFormat="0" applyAlignment="0" applyProtection="0">
      <alignment vertical="center"/>
    </xf>
    <xf numFmtId="0" fontId="572" fillId="54" borderId="132" applyNumberFormat="0" applyAlignment="0" applyProtection="0">
      <alignment vertical="center"/>
    </xf>
    <xf numFmtId="0" fontId="572" fillId="54" borderId="132" applyNumberFormat="0" applyAlignment="0" applyProtection="0">
      <alignment vertical="center"/>
    </xf>
    <xf numFmtId="0" fontId="572" fillId="54" borderId="132" applyNumberFormat="0" applyAlignment="0" applyProtection="0">
      <alignment vertical="center"/>
    </xf>
    <xf numFmtId="0" fontId="572" fillId="54" borderId="132" applyNumberFormat="0" applyAlignment="0" applyProtection="0">
      <alignment vertical="center"/>
    </xf>
    <xf numFmtId="0" fontId="572" fillId="54" borderId="132" applyNumberFormat="0" applyAlignment="0" applyProtection="0">
      <alignment vertical="center"/>
    </xf>
    <xf numFmtId="0" fontId="572" fillId="54" borderId="132" applyNumberFormat="0" applyAlignment="0" applyProtection="0">
      <alignment vertical="center"/>
    </xf>
    <xf numFmtId="0" fontId="572" fillId="54" borderId="132" applyNumberFormat="0" applyAlignment="0" applyProtection="0">
      <alignment vertical="center"/>
    </xf>
    <xf numFmtId="0" fontId="572" fillId="54" borderId="132" applyNumberFormat="0" applyAlignment="0" applyProtection="0">
      <alignment vertical="center"/>
    </xf>
    <xf numFmtId="0" fontId="572" fillId="54" borderId="132" applyNumberFormat="0" applyAlignment="0" applyProtection="0">
      <alignment vertical="center"/>
    </xf>
    <xf numFmtId="0" fontId="572" fillId="54" borderId="132" applyNumberFormat="0" applyAlignment="0" applyProtection="0">
      <alignment vertical="center"/>
    </xf>
    <xf numFmtId="0" fontId="572" fillId="54" borderId="132" applyNumberFormat="0" applyAlignment="0" applyProtection="0">
      <alignment vertical="center"/>
    </xf>
    <xf numFmtId="0" fontId="572" fillId="54" borderId="132" applyNumberFormat="0" applyAlignment="0" applyProtection="0">
      <alignment vertical="center"/>
    </xf>
    <xf numFmtId="0" fontId="572" fillId="54" borderId="132" applyNumberFormat="0" applyAlignment="0" applyProtection="0">
      <alignment vertical="center"/>
    </xf>
    <xf numFmtId="0" fontId="572" fillId="54" borderId="132" applyNumberFormat="0" applyAlignment="0" applyProtection="0">
      <alignment vertical="center"/>
    </xf>
    <xf numFmtId="0" fontId="572" fillId="54" borderId="132" applyNumberFormat="0" applyAlignment="0" applyProtection="0">
      <alignment vertical="center"/>
    </xf>
    <xf numFmtId="0" fontId="572" fillId="54" borderId="132" applyNumberFormat="0" applyAlignment="0" applyProtection="0">
      <alignment vertical="center"/>
    </xf>
    <xf numFmtId="0" fontId="572" fillId="54" borderId="132" applyNumberFormat="0" applyAlignment="0" applyProtection="0">
      <alignment vertical="center"/>
    </xf>
    <xf numFmtId="0" fontId="572" fillId="54" borderId="132" applyNumberFormat="0" applyAlignment="0" applyProtection="0">
      <alignment vertical="center"/>
    </xf>
    <xf numFmtId="0" fontId="572" fillId="54" borderId="132" applyNumberFormat="0" applyAlignment="0" applyProtection="0">
      <alignment vertical="center"/>
    </xf>
    <xf numFmtId="0" fontId="572" fillId="54" borderId="132" applyNumberFormat="0" applyAlignment="0" applyProtection="0">
      <alignment vertical="center"/>
    </xf>
    <xf numFmtId="0" fontId="572" fillId="54" borderId="132" applyNumberFormat="0" applyAlignment="0" applyProtection="0">
      <alignment vertical="center"/>
    </xf>
    <xf numFmtId="0" fontId="572" fillId="54" borderId="132" applyNumberFormat="0" applyAlignment="0" applyProtection="0">
      <alignment vertical="center"/>
    </xf>
    <xf numFmtId="0" fontId="572" fillId="54" borderId="132" applyNumberFormat="0" applyAlignment="0" applyProtection="0">
      <alignment vertical="center"/>
    </xf>
    <xf numFmtId="0" fontId="572" fillId="54" borderId="132" applyNumberFormat="0" applyAlignment="0" applyProtection="0">
      <alignment vertical="center"/>
    </xf>
    <xf numFmtId="0" fontId="572" fillId="54" borderId="132" applyNumberFormat="0" applyAlignment="0" applyProtection="0">
      <alignment vertical="center"/>
    </xf>
    <xf numFmtId="0" fontId="572" fillId="54" borderId="132" applyNumberFormat="0" applyAlignment="0" applyProtection="0">
      <alignment vertical="center"/>
    </xf>
    <xf numFmtId="0" fontId="572" fillId="54" borderId="132" applyNumberFormat="0" applyAlignment="0" applyProtection="0">
      <alignment vertical="center"/>
    </xf>
    <xf numFmtId="0" fontId="572" fillId="54" borderId="132" applyNumberFormat="0" applyAlignment="0" applyProtection="0">
      <alignment vertical="center"/>
    </xf>
    <xf numFmtId="0" fontId="572" fillId="54" borderId="132" applyNumberFormat="0" applyAlignment="0" applyProtection="0">
      <alignment vertical="center"/>
    </xf>
    <xf numFmtId="0" fontId="572" fillId="54" borderId="132" applyNumberFormat="0" applyAlignment="0" applyProtection="0">
      <alignment vertical="center"/>
    </xf>
    <xf numFmtId="0" fontId="572" fillId="54" borderId="132" applyNumberFormat="0" applyAlignment="0" applyProtection="0">
      <alignment vertical="center"/>
    </xf>
    <xf numFmtId="0" fontId="572" fillId="54" borderId="132" applyNumberFormat="0" applyAlignment="0" applyProtection="0">
      <alignment vertical="center"/>
    </xf>
    <xf numFmtId="0" fontId="572" fillId="54" borderId="132" applyNumberFormat="0" applyAlignment="0" applyProtection="0">
      <alignment vertical="center"/>
    </xf>
    <xf numFmtId="0" fontId="572" fillId="54" borderId="132" applyNumberFormat="0" applyAlignment="0" applyProtection="0">
      <alignment vertical="center"/>
    </xf>
    <xf numFmtId="0" fontId="572" fillId="54" borderId="132" applyNumberFormat="0" applyAlignment="0" applyProtection="0">
      <alignment vertical="center"/>
    </xf>
    <xf numFmtId="0" fontId="572" fillId="54" borderId="132" applyNumberFormat="0" applyAlignment="0" applyProtection="0">
      <alignment vertical="center"/>
    </xf>
    <xf numFmtId="0" fontId="572" fillId="54" borderId="132" applyNumberFormat="0" applyAlignment="0" applyProtection="0">
      <alignment vertical="center"/>
    </xf>
    <xf numFmtId="0" fontId="572" fillId="54" borderId="132" applyNumberFormat="0" applyAlignment="0" applyProtection="0">
      <alignment vertical="center"/>
    </xf>
    <xf numFmtId="0" fontId="572" fillId="54" borderId="132" applyNumberFormat="0" applyAlignment="0" applyProtection="0">
      <alignment vertical="center"/>
    </xf>
    <xf numFmtId="0" fontId="572" fillId="54" borderId="132" applyNumberFormat="0" applyAlignment="0" applyProtection="0">
      <alignment vertical="center"/>
    </xf>
    <xf numFmtId="0" fontId="572" fillId="54" borderId="132" applyNumberFormat="0" applyAlignment="0" applyProtection="0">
      <alignment vertical="center"/>
    </xf>
    <xf numFmtId="0" fontId="572" fillId="54" borderId="132" applyNumberFormat="0" applyAlignment="0" applyProtection="0">
      <alignment vertical="center"/>
    </xf>
    <xf numFmtId="0" fontId="572" fillId="54" borderId="132" applyNumberFormat="0" applyAlignment="0" applyProtection="0">
      <alignment vertical="center"/>
    </xf>
    <xf numFmtId="0" fontId="572" fillId="54" borderId="132" applyNumberFormat="0" applyAlignment="0" applyProtection="0">
      <alignment vertical="center"/>
    </xf>
    <xf numFmtId="0" fontId="572" fillId="54" borderId="132" applyNumberFormat="0" applyAlignment="0" applyProtection="0">
      <alignment vertical="center"/>
    </xf>
    <xf numFmtId="0" fontId="572" fillId="54" borderId="132" applyNumberFormat="0" applyAlignment="0" applyProtection="0">
      <alignment vertical="center"/>
    </xf>
    <xf numFmtId="0" fontId="572" fillId="54" borderId="132" applyNumberFormat="0" applyAlignment="0" applyProtection="0">
      <alignment vertical="center"/>
    </xf>
    <xf numFmtId="0" fontId="572" fillId="54" borderId="132" applyNumberFormat="0" applyAlignment="0" applyProtection="0">
      <alignment vertical="center"/>
    </xf>
    <xf numFmtId="0" fontId="572" fillId="54" borderId="132" applyNumberFormat="0" applyAlignment="0" applyProtection="0">
      <alignment vertical="center"/>
    </xf>
    <xf numFmtId="0" fontId="572" fillId="54" borderId="132" applyNumberFormat="0" applyAlignment="0" applyProtection="0">
      <alignment vertical="center"/>
    </xf>
    <xf numFmtId="0" fontId="572" fillId="54" borderId="132" applyNumberFormat="0" applyAlignment="0" applyProtection="0">
      <alignment vertical="center"/>
    </xf>
    <xf numFmtId="0" fontId="572" fillId="54" borderId="132" applyNumberFormat="0" applyAlignment="0" applyProtection="0">
      <alignment vertical="center"/>
    </xf>
    <xf numFmtId="0" fontId="291" fillId="54" borderId="132" applyNumberFormat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592" fillId="0" borderId="142" applyNumberFormat="0" applyFill="0" applyAlignment="0" applyProtection="0">
      <alignment vertical="center"/>
    </xf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335" fillId="0" borderId="142" applyNumberFormat="0" applyFill="0" applyAlignment="0" applyProtection="0"/>
    <xf numFmtId="0" fontId="592" fillId="0" borderId="142" applyNumberFormat="0" applyFill="0" applyAlignment="0" applyProtection="0">
      <alignment vertical="center"/>
    </xf>
    <xf numFmtId="0" fontId="592" fillId="0" borderId="142" applyNumberFormat="0" applyFill="0" applyAlignment="0" applyProtection="0">
      <alignment vertical="center"/>
    </xf>
    <xf numFmtId="0" fontId="592" fillId="0" borderId="142" applyNumberFormat="0" applyFill="0" applyAlignment="0" applyProtection="0">
      <alignment vertical="center"/>
    </xf>
    <xf numFmtId="0" fontId="592" fillId="0" borderId="142" applyNumberFormat="0" applyFill="0" applyAlignment="0" applyProtection="0">
      <alignment vertical="center"/>
    </xf>
    <xf numFmtId="0" fontId="592" fillId="0" borderId="142" applyNumberFormat="0" applyFill="0" applyAlignment="0" applyProtection="0">
      <alignment vertical="center"/>
    </xf>
    <xf numFmtId="0" fontId="592" fillId="0" borderId="142" applyNumberFormat="0" applyFill="0" applyAlignment="0" applyProtection="0">
      <alignment vertical="center"/>
    </xf>
    <xf numFmtId="0" fontId="592" fillId="0" borderId="142" applyNumberFormat="0" applyFill="0" applyAlignment="0" applyProtection="0">
      <alignment vertical="center"/>
    </xf>
    <xf numFmtId="0" fontId="592" fillId="0" borderId="142" applyNumberFormat="0" applyFill="0" applyAlignment="0" applyProtection="0">
      <alignment vertical="center"/>
    </xf>
    <xf numFmtId="0" fontId="592" fillId="0" borderId="142" applyNumberFormat="0" applyFill="0" applyAlignment="0" applyProtection="0">
      <alignment vertical="center"/>
    </xf>
    <xf numFmtId="0" fontId="592" fillId="0" borderId="142" applyNumberFormat="0" applyFill="0" applyAlignment="0" applyProtection="0">
      <alignment vertical="center"/>
    </xf>
    <xf numFmtId="0" fontId="592" fillId="0" borderId="142" applyNumberFormat="0" applyFill="0" applyAlignment="0" applyProtection="0">
      <alignment vertical="center"/>
    </xf>
    <xf numFmtId="0" fontId="592" fillId="0" borderId="142" applyNumberFormat="0" applyFill="0" applyAlignment="0" applyProtection="0">
      <alignment vertical="center"/>
    </xf>
    <xf numFmtId="0" fontId="592" fillId="0" borderId="142" applyNumberFormat="0" applyFill="0" applyAlignment="0" applyProtection="0">
      <alignment vertical="center"/>
    </xf>
    <xf numFmtId="0" fontId="592" fillId="0" borderId="142" applyNumberFormat="0" applyFill="0" applyAlignment="0" applyProtection="0">
      <alignment vertical="center"/>
    </xf>
    <xf numFmtId="0" fontId="592" fillId="0" borderId="142" applyNumberFormat="0" applyFill="0" applyAlignment="0" applyProtection="0">
      <alignment vertical="center"/>
    </xf>
    <xf numFmtId="0" fontId="592" fillId="0" borderId="142" applyNumberFormat="0" applyFill="0" applyAlignment="0" applyProtection="0">
      <alignment vertical="center"/>
    </xf>
    <xf numFmtId="0" fontId="592" fillId="0" borderId="142" applyNumberFormat="0" applyFill="0" applyAlignment="0" applyProtection="0">
      <alignment vertical="center"/>
    </xf>
    <xf numFmtId="0" fontId="592" fillId="0" borderId="142" applyNumberFormat="0" applyFill="0" applyAlignment="0" applyProtection="0">
      <alignment vertical="center"/>
    </xf>
    <xf numFmtId="0" fontId="592" fillId="0" borderId="142" applyNumberFormat="0" applyFill="0" applyAlignment="0" applyProtection="0">
      <alignment vertical="center"/>
    </xf>
    <xf numFmtId="0" fontId="592" fillId="0" borderId="142" applyNumberFormat="0" applyFill="0" applyAlignment="0" applyProtection="0">
      <alignment vertical="center"/>
    </xf>
    <xf numFmtId="0" fontId="592" fillId="0" borderId="142" applyNumberFormat="0" applyFill="0" applyAlignment="0" applyProtection="0">
      <alignment vertical="center"/>
    </xf>
    <xf numFmtId="0" fontId="592" fillId="0" borderId="142" applyNumberFormat="0" applyFill="0" applyAlignment="0" applyProtection="0">
      <alignment vertical="center"/>
    </xf>
    <xf numFmtId="0" fontId="592" fillId="0" borderId="142" applyNumberFormat="0" applyFill="0" applyAlignment="0" applyProtection="0">
      <alignment vertical="center"/>
    </xf>
    <xf numFmtId="0" fontId="592" fillId="0" borderId="142" applyNumberFormat="0" applyFill="0" applyAlignment="0" applyProtection="0">
      <alignment vertical="center"/>
    </xf>
    <xf numFmtId="0" fontId="592" fillId="0" borderId="142" applyNumberFormat="0" applyFill="0" applyAlignment="0" applyProtection="0">
      <alignment vertical="center"/>
    </xf>
    <xf numFmtId="0" fontId="592" fillId="0" borderId="142" applyNumberFormat="0" applyFill="0" applyAlignment="0" applyProtection="0">
      <alignment vertical="center"/>
    </xf>
    <xf numFmtId="0" fontId="592" fillId="0" borderId="142" applyNumberFormat="0" applyFill="0" applyAlignment="0" applyProtection="0">
      <alignment vertical="center"/>
    </xf>
    <xf numFmtId="0" fontId="592" fillId="0" borderId="142" applyNumberFormat="0" applyFill="0" applyAlignment="0" applyProtection="0">
      <alignment vertical="center"/>
    </xf>
    <xf numFmtId="0" fontId="592" fillId="0" borderId="142" applyNumberFormat="0" applyFill="0" applyAlignment="0" applyProtection="0">
      <alignment vertical="center"/>
    </xf>
    <xf numFmtId="0" fontId="592" fillId="0" borderId="142" applyNumberFormat="0" applyFill="0" applyAlignment="0" applyProtection="0">
      <alignment vertical="center"/>
    </xf>
    <xf numFmtId="0" fontId="592" fillId="0" borderId="142" applyNumberFormat="0" applyFill="0" applyAlignment="0" applyProtection="0">
      <alignment vertical="center"/>
    </xf>
    <xf numFmtId="0" fontId="592" fillId="0" borderId="142" applyNumberFormat="0" applyFill="0" applyAlignment="0" applyProtection="0">
      <alignment vertical="center"/>
    </xf>
    <xf numFmtId="0" fontId="592" fillId="0" borderId="142" applyNumberFormat="0" applyFill="0" applyAlignment="0" applyProtection="0">
      <alignment vertical="center"/>
    </xf>
    <xf numFmtId="0" fontId="592" fillId="0" borderId="142" applyNumberFormat="0" applyFill="0" applyAlignment="0" applyProtection="0">
      <alignment vertical="center"/>
    </xf>
    <xf numFmtId="0" fontId="592" fillId="0" borderId="142" applyNumberFormat="0" applyFill="0" applyAlignment="0" applyProtection="0">
      <alignment vertical="center"/>
    </xf>
    <xf numFmtId="0" fontId="592" fillId="0" borderId="142" applyNumberFormat="0" applyFill="0" applyAlignment="0" applyProtection="0">
      <alignment vertical="center"/>
    </xf>
    <xf numFmtId="0" fontId="592" fillId="0" borderId="142" applyNumberFormat="0" applyFill="0" applyAlignment="0" applyProtection="0">
      <alignment vertical="center"/>
    </xf>
    <xf numFmtId="0" fontId="592" fillId="0" borderId="142" applyNumberFormat="0" applyFill="0" applyAlignment="0" applyProtection="0">
      <alignment vertical="center"/>
    </xf>
    <xf numFmtId="0" fontId="592" fillId="0" borderId="142" applyNumberFormat="0" applyFill="0" applyAlignment="0" applyProtection="0">
      <alignment vertical="center"/>
    </xf>
    <xf numFmtId="0" fontId="592" fillId="0" borderId="142" applyNumberFormat="0" applyFill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592" fillId="0" borderId="142" applyNumberFormat="0" applyFill="0" applyAlignment="0" applyProtection="0">
      <alignment vertical="center"/>
    </xf>
    <xf numFmtId="0" fontId="592" fillId="0" borderId="142" applyNumberFormat="0" applyFill="0" applyAlignment="0" applyProtection="0">
      <alignment vertical="center"/>
    </xf>
    <xf numFmtId="0" fontId="592" fillId="0" borderId="142" applyNumberFormat="0" applyFill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6" fillId="48" borderId="132" applyNumberFormat="0" applyAlignment="0" applyProtection="0">
      <alignment vertical="center"/>
    </xf>
    <xf numFmtId="0" fontId="646" fillId="48" borderId="132" applyNumberFormat="0" applyAlignment="0" applyProtection="0">
      <alignment vertical="center"/>
    </xf>
    <xf numFmtId="0" fontId="646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6" fillId="48" borderId="132" applyNumberFormat="0" applyAlignment="0" applyProtection="0">
      <alignment vertical="center"/>
    </xf>
    <xf numFmtId="0" fontId="646" fillId="48" borderId="132" applyNumberFormat="0" applyAlignment="0" applyProtection="0">
      <alignment vertical="center"/>
    </xf>
    <xf numFmtId="0" fontId="646" fillId="48" borderId="132" applyNumberFormat="0" applyAlignment="0" applyProtection="0">
      <alignment vertical="center"/>
    </xf>
    <xf numFmtId="0" fontId="646" fillId="48" borderId="132" applyNumberFormat="0" applyAlignment="0" applyProtection="0">
      <alignment vertical="center"/>
    </xf>
    <xf numFmtId="0" fontId="646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597" fillId="48" borderId="132" applyNumberFormat="0" applyAlignment="0" applyProtection="0">
      <alignment vertical="center"/>
    </xf>
    <xf numFmtId="0" fontId="597" fillId="48" borderId="132" applyNumberForma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69" fillId="51" borderId="134" applyNumberFormat="0" applyFont="0" applyAlignment="0" applyProtection="0">
      <alignment vertical="center"/>
    </xf>
    <xf numFmtId="0" fontId="169" fillId="51" borderId="134" applyNumberFormat="0" applyFont="0" applyAlignment="0" applyProtection="0">
      <alignment vertical="center"/>
    </xf>
    <xf numFmtId="0" fontId="169" fillId="51" borderId="134" applyNumberFormat="0" applyFont="0" applyAlignment="0" applyProtection="0">
      <alignment vertical="center"/>
    </xf>
    <xf numFmtId="0" fontId="169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69" fillId="51" borderId="134" applyNumberFormat="0" applyFont="0" applyAlignment="0" applyProtection="0">
      <alignment vertical="center"/>
    </xf>
    <xf numFmtId="0" fontId="169" fillId="51" borderId="134" applyNumberFormat="0" applyFont="0" applyAlignment="0" applyProtection="0">
      <alignment vertical="center"/>
    </xf>
    <xf numFmtId="0" fontId="169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597" fillId="48" borderId="132" applyNumberFormat="0" applyAlignment="0" applyProtection="0">
      <alignment vertical="center"/>
    </xf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338" fillId="48" borderId="132" applyNumberFormat="0" applyAlignment="0" applyProtection="0"/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592" fillId="0" borderId="142" applyNumberFormat="0" applyFill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2" fillId="51" borderId="134" applyNumberFormat="0" applyFont="0" applyAlignment="0" applyProtection="0"/>
    <xf numFmtId="0" fontId="295" fillId="54" borderId="132" applyNumberFormat="0" applyAlignment="0" applyProtection="0"/>
    <xf numFmtId="0" fontId="593" fillId="54" borderId="137" applyNumberFormat="0" applyAlignment="0" applyProtection="0">
      <alignment vertical="center"/>
    </xf>
    <xf numFmtId="0" fontId="593" fillId="54" borderId="137" applyNumberFormat="0" applyAlignment="0" applyProtection="0">
      <alignment vertical="center"/>
    </xf>
    <xf numFmtId="0" fontId="593" fillId="54" borderId="137" applyNumberFormat="0" applyAlignment="0" applyProtection="0">
      <alignment vertical="center"/>
    </xf>
    <xf numFmtId="0" fontId="593" fillId="54" borderId="137" applyNumberFormat="0" applyAlignment="0" applyProtection="0">
      <alignment vertical="center"/>
    </xf>
    <xf numFmtId="0" fontId="593" fillId="54" borderId="137" applyNumberFormat="0" applyAlignment="0" applyProtection="0">
      <alignment vertical="center"/>
    </xf>
    <xf numFmtId="0" fontId="593" fillId="54" borderId="137" applyNumberFormat="0" applyAlignment="0" applyProtection="0">
      <alignment vertical="center"/>
    </xf>
    <xf numFmtId="0" fontId="593" fillId="54" borderId="137" applyNumberFormat="0" applyAlignment="0" applyProtection="0">
      <alignment vertical="center"/>
    </xf>
    <xf numFmtId="0" fontId="593" fillId="54" borderId="137" applyNumberFormat="0" applyAlignment="0" applyProtection="0">
      <alignment vertical="center"/>
    </xf>
    <xf numFmtId="0" fontId="593" fillId="54" borderId="137" applyNumberFormat="0" applyAlignment="0" applyProtection="0">
      <alignment vertical="center"/>
    </xf>
    <xf numFmtId="0" fontId="593" fillId="54" borderId="137" applyNumberFormat="0" applyAlignment="0" applyProtection="0">
      <alignment vertical="center"/>
    </xf>
    <xf numFmtId="0" fontId="593" fillId="54" borderId="137" applyNumberFormat="0" applyAlignment="0" applyProtection="0">
      <alignment vertical="center"/>
    </xf>
    <xf numFmtId="0" fontId="593" fillId="54" borderId="137" applyNumberFormat="0" applyAlignment="0" applyProtection="0">
      <alignment vertical="center"/>
    </xf>
    <xf numFmtId="0" fontId="593" fillId="54" borderId="137" applyNumberFormat="0" applyAlignment="0" applyProtection="0">
      <alignment vertical="center"/>
    </xf>
    <xf numFmtId="0" fontId="593" fillId="54" borderId="137" applyNumberFormat="0" applyAlignment="0" applyProtection="0">
      <alignment vertical="center"/>
    </xf>
    <xf numFmtId="0" fontId="593" fillId="54" borderId="137" applyNumberFormat="0" applyAlignment="0" applyProtection="0">
      <alignment vertical="center"/>
    </xf>
    <xf numFmtId="0" fontId="593" fillId="54" borderId="137" applyNumberFormat="0" applyAlignment="0" applyProtection="0">
      <alignment vertical="center"/>
    </xf>
    <xf numFmtId="0" fontId="593" fillId="54" borderId="137" applyNumberFormat="0" applyAlignment="0" applyProtection="0">
      <alignment vertical="center"/>
    </xf>
    <xf numFmtId="0" fontId="593" fillId="54" borderId="137" applyNumberFormat="0" applyAlignment="0" applyProtection="0">
      <alignment vertical="center"/>
    </xf>
    <xf numFmtId="0" fontId="593" fillId="54" borderId="137" applyNumberFormat="0" applyAlignment="0" applyProtection="0">
      <alignment vertical="center"/>
    </xf>
    <xf numFmtId="0" fontId="593" fillId="54" borderId="137" applyNumberFormat="0" applyAlignment="0" applyProtection="0">
      <alignment vertical="center"/>
    </xf>
    <xf numFmtId="0" fontId="593" fillId="54" borderId="137" applyNumberFormat="0" applyAlignment="0" applyProtection="0">
      <alignment vertical="center"/>
    </xf>
    <xf numFmtId="0" fontId="593" fillId="54" borderId="137" applyNumberFormat="0" applyAlignment="0" applyProtection="0">
      <alignment vertical="center"/>
    </xf>
    <xf numFmtId="0" fontId="593" fillId="54" borderId="137" applyNumberFormat="0" applyAlignment="0" applyProtection="0">
      <alignment vertical="center"/>
    </xf>
    <xf numFmtId="0" fontId="593" fillId="54" borderId="137" applyNumberFormat="0" applyAlignment="0" applyProtection="0">
      <alignment vertical="center"/>
    </xf>
    <xf numFmtId="0" fontId="593" fillId="54" borderId="137" applyNumberFormat="0" applyAlignment="0" applyProtection="0">
      <alignment vertical="center"/>
    </xf>
    <xf numFmtId="0" fontId="593" fillId="54" borderId="137" applyNumberFormat="0" applyAlignment="0" applyProtection="0">
      <alignment vertical="center"/>
    </xf>
    <xf numFmtId="0" fontId="593" fillId="54" borderId="137" applyNumberFormat="0" applyAlignment="0" applyProtection="0">
      <alignment vertical="center"/>
    </xf>
    <xf numFmtId="0" fontId="593" fillId="54" borderId="137" applyNumberFormat="0" applyAlignment="0" applyProtection="0">
      <alignment vertical="center"/>
    </xf>
    <xf numFmtId="0" fontId="593" fillId="54" borderId="137" applyNumberFormat="0" applyAlignment="0" applyProtection="0">
      <alignment vertical="center"/>
    </xf>
    <xf numFmtId="0" fontId="593" fillId="54" borderId="137" applyNumberFormat="0" applyAlignment="0" applyProtection="0">
      <alignment vertical="center"/>
    </xf>
    <xf numFmtId="0" fontId="593" fillId="54" borderId="137" applyNumberFormat="0" applyAlignment="0" applyProtection="0">
      <alignment vertical="center"/>
    </xf>
    <xf numFmtId="0" fontId="593" fillId="54" borderId="137" applyNumberFormat="0" applyAlignment="0" applyProtection="0">
      <alignment vertical="center"/>
    </xf>
    <xf numFmtId="0" fontId="593" fillId="54" borderId="137" applyNumberFormat="0" applyAlignment="0" applyProtection="0">
      <alignment vertical="center"/>
    </xf>
    <xf numFmtId="0" fontId="593" fillId="54" borderId="137" applyNumberFormat="0" applyAlignment="0" applyProtection="0">
      <alignment vertical="center"/>
    </xf>
    <xf numFmtId="0" fontId="593" fillId="54" borderId="137" applyNumberFormat="0" applyAlignment="0" applyProtection="0">
      <alignment vertical="center"/>
    </xf>
    <xf numFmtId="0" fontId="593" fillId="54" borderId="137" applyNumberFormat="0" applyAlignment="0" applyProtection="0">
      <alignment vertical="center"/>
    </xf>
    <xf numFmtId="0" fontId="593" fillId="54" borderId="137" applyNumberFormat="0" applyAlignment="0" applyProtection="0">
      <alignment vertical="center"/>
    </xf>
    <xf numFmtId="0" fontId="593" fillId="54" borderId="137" applyNumberFormat="0" applyAlignment="0" applyProtection="0">
      <alignment vertical="center"/>
    </xf>
    <xf numFmtId="0" fontId="593" fillId="54" borderId="137" applyNumberFormat="0" applyAlignment="0" applyProtection="0">
      <alignment vertical="center"/>
    </xf>
    <xf numFmtId="0" fontId="593" fillId="54" borderId="137" applyNumberFormat="0" applyAlignment="0" applyProtection="0">
      <alignment vertical="center"/>
    </xf>
    <xf numFmtId="0" fontId="593" fillId="54" borderId="137" applyNumberFormat="0" applyAlignment="0" applyProtection="0">
      <alignment vertical="center"/>
    </xf>
    <xf numFmtId="0" fontId="593" fillId="54" borderId="137" applyNumberFormat="0" applyAlignment="0" applyProtection="0">
      <alignment vertical="center"/>
    </xf>
    <xf numFmtId="0" fontId="593" fillId="54" borderId="137" applyNumberFormat="0" applyAlignment="0" applyProtection="0">
      <alignment vertical="center"/>
    </xf>
    <xf numFmtId="0" fontId="593" fillId="54" borderId="137" applyNumberFormat="0" applyAlignment="0" applyProtection="0">
      <alignment vertical="center"/>
    </xf>
    <xf numFmtId="0" fontId="593" fillId="54" borderId="137" applyNumberFormat="0" applyAlignment="0" applyProtection="0">
      <alignment vertical="center"/>
    </xf>
    <xf numFmtId="0" fontId="593" fillId="54" borderId="137" applyNumberFormat="0" applyAlignment="0" applyProtection="0">
      <alignment vertical="center"/>
    </xf>
    <xf numFmtId="0" fontId="452" fillId="54" borderId="137" applyNumberFormat="0" applyAlignment="0" applyProtection="0"/>
    <xf numFmtId="0" fontId="169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69" fillId="51" borderId="134" applyNumberFormat="0" applyFont="0" applyAlignment="0" applyProtection="0">
      <alignment vertical="center"/>
    </xf>
    <xf numFmtId="0" fontId="169" fillId="51" borderId="134" applyNumberFormat="0" applyFont="0" applyAlignment="0" applyProtection="0">
      <alignment vertical="center"/>
    </xf>
    <xf numFmtId="0" fontId="169" fillId="51" borderId="134" applyNumberFormat="0" applyFont="0" applyAlignment="0" applyProtection="0">
      <alignment vertical="center"/>
    </xf>
    <xf numFmtId="0" fontId="169" fillId="51" borderId="134" applyNumberFormat="0" applyFont="0" applyAlignment="0" applyProtection="0">
      <alignment vertical="center"/>
    </xf>
    <xf numFmtId="0" fontId="169" fillId="51" borderId="134" applyNumberFormat="0" applyFont="0" applyAlignment="0" applyProtection="0">
      <alignment vertical="center"/>
    </xf>
    <xf numFmtId="0" fontId="169" fillId="51" borderId="134" applyNumberFormat="0" applyFont="0" applyAlignment="0" applyProtection="0">
      <alignment vertical="center"/>
    </xf>
    <xf numFmtId="0" fontId="169" fillId="51" borderId="134" applyNumberFormat="0" applyFont="0" applyAlignment="0" applyProtection="0">
      <alignment vertical="center"/>
    </xf>
    <xf numFmtId="0" fontId="169" fillId="51" borderId="134" applyNumberFormat="0" applyFont="0" applyAlignment="0" applyProtection="0">
      <alignment vertical="center"/>
    </xf>
    <xf numFmtId="0" fontId="169" fillId="51" borderId="134" applyNumberFormat="0" applyFont="0" applyAlignment="0" applyProtection="0">
      <alignment vertical="center"/>
    </xf>
    <xf numFmtId="0" fontId="169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592" fillId="0" borderId="142" applyNumberFormat="0" applyFill="0" applyAlignment="0" applyProtection="0">
      <alignment vertical="center"/>
    </xf>
    <xf numFmtId="0" fontId="592" fillId="0" borderId="142" applyNumberFormat="0" applyFill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0" fillId="0" borderId="142" applyNumberFormat="0" applyFill="0" applyAlignment="0" applyProtection="0">
      <alignment vertical="center"/>
    </xf>
    <xf numFmtId="0" fontId="640" fillId="0" borderId="142" applyNumberFormat="0" applyFill="0" applyAlignment="0" applyProtection="0">
      <alignment vertical="center"/>
    </xf>
    <xf numFmtId="0" fontId="640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40" fillId="0" borderId="142" applyNumberFormat="0" applyFill="0" applyAlignment="0" applyProtection="0">
      <alignment vertical="center"/>
    </xf>
    <xf numFmtId="0" fontId="640" fillId="0" borderId="142" applyNumberFormat="0" applyFill="0" applyAlignment="0" applyProtection="0">
      <alignment vertical="center"/>
    </xf>
    <xf numFmtId="0" fontId="640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2" fillId="54" borderId="132" applyNumberFormat="0" applyAlignment="0" applyProtection="0">
      <alignment vertical="center"/>
    </xf>
    <xf numFmtId="0" fontId="642" fillId="54" borderId="132" applyNumberFormat="0" applyAlignment="0" applyProtection="0">
      <alignment vertical="center"/>
    </xf>
    <xf numFmtId="0" fontId="642" fillId="54" borderId="132" applyNumberFormat="0" applyAlignment="0" applyProtection="0">
      <alignment vertical="center"/>
    </xf>
    <xf numFmtId="0" fontId="642" fillId="54" borderId="132" applyNumberFormat="0" applyAlignment="0" applyProtection="0">
      <alignment vertical="center"/>
    </xf>
    <xf numFmtId="0" fontId="642" fillId="54" borderId="132" applyNumberFormat="0" applyAlignment="0" applyProtection="0">
      <alignment vertical="center"/>
    </xf>
    <xf numFmtId="0" fontId="642" fillId="54" borderId="132" applyNumberFormat="0" applyAlignment="0" applyProtection="0">
      <alignment vertical="center"/>
    </xf>
    <xf numFmtId="0" fontId="642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2" fillId="54" borderId="132" applyNumberFormat="0" applyAlignment="0" applyProtection="0">
      <alignment vertical="center"/>
    </xf>
    <xf numFmtId="0" fontId="642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2" fillId="54" borderId="132" applyNumberFormat="0" applyAlignment="0" applyProtection="0">
      <alignment vertical="center"/>
    </xf>
    <xf numFmtId="0" fontId="642" fillId="54" borderId="132" applyNumberFormat="0" applyAlignment="0" applyProtection="0">
      <alignment vertical="center"/>
    </xf>
    <xf numFmtId="0" fontId="642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4" fillId="54" borderId="137" applyNumberFormat="0" applyAlignment="0" applyProtection="0">
      <alignment vertical="center"/>
    </xf>
    <xf numFmtId="0" fontId="644" fillId="54" borderId="137" applyNumberFormat="0" applyAlignment="0" applyProtection="0">
      <alignment vertical="center"/>
    </xf>
    <xf numFmtId="0" fontId="644" fillId="54" borderId="137" applyNumberFormat="0" applyAlignment="0" applyProtection="0">
      <alignment vertical="center"/>
    </xf>
    <xf numFmtId="0" fontId="644" fillId="54" borderId="137" applyNumberFormat="0" applyAlignment="0" applyProtection="0">
      <alignment vertical="center"/>
    </xf>
    <xf numFmtId="0" fontId="644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4" fillId="54" borderId="137" applyNumberFormat="0" applyAlignment="0" applyProtection="0">
      <alignment vertical="center"/>
    </xf>
    <xf numFmtId="0" fontId="644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4" fillId="54" borderId="137" applyNumberFormat="0" applyAlignment="0" applyProtection="0">
      <alignment vertical="center"/>
    </xf>
    <xf numFmtId="0" fontId="644" fillId="54" borderId="137" applyNumberFormat="0" applyAlignment="0" applyProtection="0">
      <alignment vertical="center"/>
    </xf>
    <xf numFmtId="0" fontId="644" fillId="54" borderId="137" applyNumberFormat="0" applyAlignment="0" applyProtection="0">
      <alignment vertical="center"/>
    </xf>
    <xf numFmtId="0" fontId="644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592" fillId="0" borderId="142" applyNumberFormat="0" applyFill="0" applyAlignment="0" applyProtection="0">
      <alignment vertical="center"/>
    </xf>
    <xf numFmtId="0" fontId="592" fillId="0" borderId="142" applyNumberFormat="0" applyFill="0" applyAlignment="0" applyProtection="0">
      <alignment vertical="center"/>
    </xf>
    <xf numFmtId="0" fontId="592" fillId="0" borderId="142" applyNumberFormat="0" applyFill="0" applyAlignment="0" applyProtection="0">
      <alignment vertical="center"/>
    </xf>
    <xf numFmtId="0" fontId="592" fillId="0" borderId="142" applyNumberFormat="0" applyFill="0" applyAlignment="0" applyProtection="0">
      <alignment vertical="center"/>
    </xf>
    <xf numFmtId="0" fontId="592" fillId="0" borderId="142" applyNumberFormat="0" applyFill="0" applyAlignment="0" applyProtection="0">
      <alignment vertical="center"/>
    </xf>
    <xf numFmtId="0" fontId="592" fillId="0" borderId="142" applyNumberFormat="0" applyFill="0" applyAlignment="0" applyProtection="0">
      <alignment vertical="center"/>
    </xf>
    <xf numFmtId="0" fontId="592" fillId="0" borderId="142" applyNumberFormat="0" applyFill="0" applyAlignment="0" applyProtection="0">
      <alignment vertical="center"/>
    </xf>
    <xf numFmtId="0" fontId="592" fillId="0" borderId="142" applyNumberFormat="0" applyFill="0" applyAlignment="0" applyProtection="0">
      <alignment vertical="center"/>
    </xf>
    <xf numFmtId="0" fontId="592" fillId="0" borderId="142" applyNumberFormat="0" applyFill="0" applyAlignment="0" applyProtection="0">
      <alignment vertical="center"/>
    </xf>
    <xf numFmtId="0" fontId="592" fillId="0" borderId="142" applyNumberFormat="0" applyFill="0" applyAlignment="0" applyProtection="0">
      <alignment vertical="center"/>
    </xf>
    <xf numFmtId="0" fontId="592" fillId="0" borderId="142" applyNumberFormat="0" applyFill="0" applyAlignment="0" applyProtection="0">
      <alignment vertical="center"/>
    </xf>
    <xf numFmtId="0" fontId="592" fillId="0" borderId="142" applyNumberFormat="0" applyFill="0" applyAlignment="0" applyProtection="0">
      <alignment vertical="center"/>
    </xf>
    <xf numFmtId="0" fontId="592" fillId="0" borderId="142" applyNumberFormat="0" applyFill="0" applyAlignment="0" applyProtection="0">
      <alignment vertical="center"/>
    </xf>
    <xf numFmtId="0" fontId="592" fillId="0" borderId="142" applyNumberFormat="0" applyFill="0" applyAlignment="0" applyProtection="0">
      <alignment vertical="center"/>
    </xf>
    <xf numFmtId="0" fontId="592" fillId="0" borderId="142" applyNumberFormat="0" applyFill="0" applyAlignment="0" applyProtection="0">
      <alignment vertical="center"/>
    </xf>
    <xf numFmtId="0" fontId="592" fillId="0" borderId="142" applyNumberFormat="0" applyFill="0" applyAlignment="0" applyProtection="0">
      <alignment vertical="center"/>
    </xf>
    <xf numFmtId="0" fontId="592" fillId="0" borderId="142" applyNumberFormat="0" applyFill="0" applyAlignment="0" applyProtection="0">
      <alignment vertical="center"/>
    </xf>
    <xf numFmtId="0" fontId="592" fillId="0" borderId="142" applyNumberFormat="0" applyFill="0" applyAlignment="0" applyProtection="0">
      <alignment vertical="center"/>
    </xf>
    <xf numFmtId="0" fontId="592" fillId="0" borderId="142" applyNumberFormat="0" applyFill="0" applyAlignment="0" applyProtection="0">
      <alignment vertical="center"/>
    </xf>
    <xf numFmtId="0" fontId="592" fillId="0" borderId="142" applyNumberFormat="0" applyFill="0" applyAlignment="0" applyProtection="0">
      <alignment vertical="center"/>
    </xf>
    <xf numFmtId="0" fontId="592" fillId="0" borderId="142" applyNumberFormat="0" applyFill="0" applyAlignment="0" applyProtection="0">
      <alignment vertical="center"/>
    </xf>
    <xf numFmtId="0" fontId="592" fillId="0" borderId="142" applyNumberFormat="0" applyFill="0" applyAlignment="0" applyProtection="0">
      <alignment vertical="center"/>
    </xf>
    <xf numFmtId="0" fontId="592" fillId="0" borderId="142" applyNumberFormat="0" applyFill="0" applyAlignment="0" applyProtection="0">
      <alignment vertical="center"/>
    </xf>
    <xf numFmtId="0" fontId="592" fillId="0" borderId="142" applyNumberFormat="0" applyFill="0" applyAlignment="0" applyProtection="0">
      <alignment vertical="center"/>
    </xf>
    <xf numFmtId="0" fontId="592" fillId="0" borderId="142" applyNumberFormat="0" applyFill="0" applyAlignment="0" applyProtection="0">
      <alignment vertical="center"/>
    </xf>
    <xf numFmtId="0" fontId="592" fillId="0" borderId="142" applyNumberFormat="0" applyFill="0" applyAlignment="0" applyProtection="0">
      <alignment vertical="center"/>
    </xf>
    <xf numFmtId="0" fontId="592" fillId="0" borderId="142" applyNumberFormat="0" applyFill="0" applyAlignment="0" applyProtection="0">
      <alignment vertical="center"/>
    </xf>
    <xf numFmtId="0" fontId="592" fillId="0" borderId="142" applyNumberFormat="0" applyFill="0" applyAlignment="0" applyProtection="0">
      <alignment vertical="center"/>
    </xf>
    <xf numFmtId="0" fontId="592" fillId="0" borderId="142" applyNumberFormat="0" applyFill="0" applyAlignment="0" applyProtection="0">
      <alignment vertical="center"/>
    </xf>
    <xf numFmtId="0" fontId="592" fillId="0" borderId="142" applyNumberFormat="0" applyFill="0" applyAlignment="0" applyProtection="0">
      <alignment vertical="center"/>
    </xf>
    <xf numFmtId="0" fontId="592" fillId="0" borderId="142" applyNumberFormat="0" applyFill="0" applyAlignment="0" applyProtection="0">
      <alignment vertical="center"/>
    </xf>
    <xf numFmtId="0" fontId="592" fillId="0" borderId="142" applyNumberFormat="0" applyFill="0" applyAlignment="0" applyProtection="0">
      <alignment vertical="center"/>
    </xf>
    <xf numFmtId="0" fontId="592" fillId="0" borderId="142" applyNumberFormat="0" applyFill="0" applyAlignment="0" applyProtection="0">
      <alignment vertical="center"/>
    </xf>
    <xf numFmtId="0" fontId="592" fillId="0" borderId="142" applyNumberFormat="0" applyFill="0" applyAlignment="0" applyProtection="0">
      <alignment vertical="center"/>
    </xf>
    <xf numFmtId="0" fontId="592" fillId="0" borderId="142" applyNumberFormat="0" applyFill="0" applyAlignment="0" applyProtection="0">
      <alignment vertical="center"/>
    </xf>
    <xf numFmtId="0" fontId="592" fillId="0" borderId="142" applyNumberFormat="0" applyFill="0" applyAlignment="0" applyProtection="0">
      <alignment vertical="center"/>
    </xf>
    <xf numFmtId="0" fontId="335" fillId="0" borderId="142" applyNumberFormat="0" applyFill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593" fillId="54" borderId="137" applyNumberFormat="0" applyAlignment="0" applyProtection="0">
      <alignment vertical="center"/>
    </xf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452" fillId="54" borderId="137" applyNumberFormat="0" applyAlignment="0" applyProtection="0"/>
    <xf numFmtId="0" fontId="593" fillId="54" borderId="137" applyNumberFormat="0" applyAlignment="0" applyProtection="0">
      <alignment vertical="center"/>
    </xf>
    <xf numFmtId="0" fontId="593" fillId="54" borderId="137" applyNumberFormat="0" applyAlignment="0" applyProtection="0">
      <alignment vertical="center"/>
    </xf>
    <xf numFmtId="0" fontId="593" fillId="54" borderId="137" applyNumberFormat="0" applyAlignment="0" applyProtection="0">
      <alignment vertical="center"/>
    </xf>
    <xf numFmtId="0" fontId="593" fillId="54" borderId="137" applyNumberFormat="0" applyAlignment="0" applyProtection="0">
      <alignment vertical="center"/>
    </xf>
    <xf numFmtId="0" fontId="593" fillId="54" borderId="137" applyNumberFormat="0" applyAlignment="0" applyProtection="0">
      <alignment vertical="center"/>
    </xf>
    <xf numFmtId="0" fontId="593" fillId="54" borderId="137" applyNumberFormat="0" applyAlignment="0" applyProtection="0">
      <alignment vertical="center"/>
    </xf>
    <xf numFmtId="0" fontId="593" fillId="54" borderId="137" applyNumberFormat="0" applyAlignment="0" applyProtection="0">
      <alignment vertical="center"/>
    </xf>
    <xf numFmtId="0" fontId="593" fillId="54" borderId="137" applyNumberFormat="0" applyAlignment="0" applyProtection="0">
      <alignment vertical="center"/>
    </xf>
    <xf numFmtId="0" fontId="593" fillId="54" borderId="137" applyNumberFormat="0" applyAlignment="0" applyProtection="0">
      <alignment vertical="center"/>
    </xf>
    <xf numFmtId="0" fontId="593" fillId="54" borderId="137" applyNumberFormat="0" applyAlignment="0" applyProtection="0">
      <alignment vertical="center"/>
    </xf>
    <xf numFmtId="0" fontId="593" fillId="54" borderId="137" applyNumberFormat="0" applyAlignment="0" applyProtection="0">
      <alignment vertical="center"/>
    </xf>
    <xf numFmtId="0" fontId="593" fillId="54" borderId="137" applyNumberFormat="0" applyAlignment="0" applyProtection="0">
      <alignment vertical="center"/>
    </xf>
    <xf numFmtId="0" fontId="593" fillId="54" borderId="137" applyNumberFormat="0" applyAlignment="0" applyProtection="0">
      <alignment vertical="center"/>
    </xf>
    <xf numFmtId="0" fontId="593" fillId="54" borderId="137" applyNumberFormat="0" applyAlignment="0" applyProtection="0">
      <alignment vertical="center"/>
    </xf>
    <xf numFmtId="0" fontId="593" fillId="54" borderId="137" applyNumberFormat="0" applyAlignment="0" applyProtection="0">
      <alignment vertical="center"/>
    </xf>
    <xf numFmtId="0" fontId="593" fillId="54" borderId="137" applyNumberFormat="0" applyAlignment="0" applyProtection="0">
      <alignment vertical="center"/>
    </xf>
    <xf numFmtId="0" fontId="593" fillId="54" borderId="137" applyNumberFormat="0" applyAlignment="0" applyProtection="0">
      <alignment vertical="center"/>
    </xf>
    <xf numFmtId="0" fontId="593" fillId="54" borderId="137" applyNumberFormat="0" applyAlignment="0" applyProtection="0">
      <alignment vertical="center"/>
    </xf>
    <xf numFmtId="0" fontId="593" fillId="54" borderId="137" applyNumberFormat="0" applyAlignment="0" applyProtection="0">
      <alignment vertical="center"/>
    </xf>
    <xf numFmtId="0" fontId="593" fillId="54" borderId="137" applyNumberFormat="0" applyAlignment="0" applyProtection="0">
      <alignment vertical="center"/>
    </xf>
    <xf numFmtId="0" fontId="593" fillId="54" borderId="137" applyNumberFormat="0" applyAlignment="0" applyProtection="0">
      <alignment vertical="center"/>
    </xf>
    <xf numFmtId="0" fontId="593" fillId="54" borderId="137" applyNumberFormat="0" applyAlignment="0" applyProtection="0">
      <alignment vertical="center"/>
    </xf>
    <xf numFmtId="0" fontId="593" fillId="54" borderId="137" applyNumberFormat="0" applyAlignment="0" applyProtection="0">
      <alignment vertical="center"/>
    </xf>
    <xf numFmtId="0" fontId="593" fillId="54" borderId="137" applyNumberFormat="0" applyAlignment="0" applyProtection="0">
      <alignment vertical="center"/>
    </xf>
    <xf numFmtId="0" fontId="593" fillId="54" borderId="137" applyNumberFormat="0" applyAlignment="0" applyProtection="0">
      <alignment vertical="center"/>
    </xf>
    <xf numFmtId="0" fontId="593" fillId="54" borderId="137" applyNumberFormat="0" applyAlignment="0" applyProtection="0">
      <alignment vertical="center"/>
    </xf>
    <xf numFmtId="0" fontId="593" fillId="54" borderId="137" applyNumberFormat="0" applyAlignment="0" applyProtection="0">
      <alignment vertical="center"/>
    </xf>
    <xf numFmtId="0" fontId="593" fillId="54" borderId="137" applyNumberFormat="0" applyAlignment="0" applyProtection="0">
      <alignment vertical="center"/>
    </xf>
    <xf numFmtId="0" fontId="593" fillId="54" borderId="137" applyNumberFormat="0" applyAlignment="0" applyProtection="0">
      <alignment vertical="center"/>
    </xf>
    <xf numFmtId="0" fontId="593" fillId="54" borderId="137" applyNumberFormat="0" applyAlignment="0" applyProtection="0">
      <alignment vertical="center"/>
    </xf>
    <xf numFmtId="0" fontId="593" fillId="54" borderId="137" applyNumberFormat="0" applyAlignment="0" applyProtection="0">
      <alignment vertical="center"/>
    </xf>
    <xf numFmtId="0" fontId="593" fillId="54" borderId="137" applyNumberFormat="0" applyAlignment="0" applyProtection="0">
      <alignment vertical="center"/>
    </xf>
    <xf numFmtId="0" fontId="593" fillId="54" borderId="137" applyNumberFormat="0" applyAlignment="0" applyProtection="0">
      <alignment vertical="center"/>
    </xf>
    <xf numFmtId="0" fontId="593" fillId="54" borderId="137" applyNumberFormat="0" applyAlignment="0" applyProtection="0">
      <alignment vertical="center"/>
    </xf>
    <xf numFmtId="0" fontId="593" fillId="54" borderId="137" applyNumberFormat="0" applyAlignment="0" applyProtection="0">
      <alignment vertical="center"/>
    </xf>
    <xf numFmtId="0" fontId="593" fillId="54" borderId="137" applyNumberFormat="0" applyAlignment="0" applyProtection="0">
      <alignment vertical="center"/>
    </xf>
    <xf numFmtId="0" fontId="593" fillId="54" borderId="137" applyNumberFormat="0" applyAlignment="0" applyProtection="0">
      <alignment vertical="center"/>
    </xf>
    <xf numFmtId="0" fontId="593" fillId="54" borderId="137" applyNumberFormat="0" applyAlignment="0" applyProtection="0">
      <alignment vertical="center"/>
    </xf>
    <xf numFmtId="0" fontId="593" fillId="54" borderId="137" applyNumberFormat="0" applyAlignment="0" applyProtection="0">
      <alignment vertical="center"/>
    </xf>
    <xf numFmtId="0" fontId="593" fillId="54" borderId="137" applyNumberFormat="0" applyAlignment="0" applyProtection="0">
      <alignment vertical="center"/>
    </xf>
    <xf numFmtId="0" fontId="593" fillId="54" borderId="137" applyNumberFormat="0" applyAlignment="0" applyProtection="0">
      <alignment vertical="center"/>
    </xf>
    <xf numFmtId="0" fontId="593" fillId="54" borderId="137" applyNumberFormat="0" applyAlignment="0" applyProtection="0">
      <alignment vertical="center"/>
    </xf>
    <xf numFmtId="0" fontId="593" fillId="54" borderId="137" applyNumberFormat="0" applyAlignment="0" applyProtection="0">
      <alignment vertical="center"/>
    </xf>
    <xf numFmtId="0" fontId="593" fillId="54" borderId="137" applyNumberFormat="0" applyAlignment="0" applyProtection="0">
      <alignment vertical="center"/>
    </xf>
    <xf numFmtId="0" fontId="593" fillId="54" borderId="137" applyNumberFormat="0" applyAlignment="0" applyProtection="0">
      <alignment vertical="center"/>
    </xf>
    <xf numFmtId="0" fontId="593" fillId="54" borderId="137" applyNumberFormat="0" applyAlignment="0" applyProtection="0">
      <alignment vertical="center"/>
    </xf>
    <xf numFmtId="0" fontId="593" fillId="54" borderId="137" applyNumberFormat="0" applyAlignment="0" applyProtection="0">
      <alignment vertical="center"/>
    </xf>
    <xf numFmtId="0" fontId="593" fillId="54" borderId="137" applyNumberForma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69" fillId="51" borderId="134" applyNumberFormat="0" applyFont="0" applyAlignment="0" applyProtection="0">
      <alignment vertical="center"/>
    </xf>
    <xf numFmtId="0" fontId="169" fillId="51" borderId="134" applyNumberFormat="0" applyFont="0" applyAlignment="0" applyProtection="0">
      <alignment vertical="center"/>
    </xf>
    <xf numFmtId="0" fontId="169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69" fillId="51" borderId="134" applyNumberFormat="0" applyFont="0" applyAlignment="0" applyProtection="0">
      <alignment vertical="center"/>
    </xf>
    <xf numFmtId="0" fontId="169" fillId="51" borderId="134" applyNumberFormat="0" applyFont="0" applyAlignment="0" applyProtection="0">
      <alignment vertical="center"/>
    </xf>
    <xf numFmtId="0" fontId="169" fillId="51" borderId="134" applyNumberFormat="0" applyFont="0" applyAlignment="0" applyProtection="0">
      <alignment vertical="center"/>
    </xf>
    <xf numFmtId="0" fontId="169" fillId="51" borderId="134" applyNumberFormat="0" applyFont="0" applyAlignment="0" applyProtection="0">
      <alignment vertical="center"/>
    </xf>
    <xf numFmtId="0" fontId="169" fillId="51" borderId="134" applyNumberFormat="0" applyFont="0" applyAlignment="0" applyProtection="0">
      <alignment vertical="center"/>
    </xf>
    <xf numFmtId="0" fontId="169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597" fillId="48" borderId="132" applyNumberFormat="0" applyAlignment="0" applyProtection="0">
      <alignment vertical="center"/>
    </xf>
    <xf numFmtId="0" fontId="597" fillId="48" borderId="132" applyNumberFormat="0" applyAlignment="0" applyProtection="0">
      <alignment vertical="center"/>
    </xf>
    <xf numFmtId="0" fontId="597" fillId="48" borderId="132" applyNumberFormat="0" applyAlignment="0" applyProtection="0">
      <alignment vertical="center"/>
    </xf>
    <xf numFmtId="0" fontId="597" fillId="48" borderId="132" applyNumberFormat="0" applyAlignment="0" applyProtection="0">
      <alignment vertical="center"/>
    </xf>
    <xf numFmtId="0" fontId="597" fillId="48" borderId="132" applyNumberFormat="0" applyAlignment="0" applyProtection="0">
      <alignment vertical="center"/>
    </xf>
    <xf numFmtId="0" fontId="597" fillId="48" borderId="132" applyNumberFormat="0" applyAlignment="0" applyProtection="0">
      <alignment vertical="center"/>
    </xf>
    <xf numFmtId="0" fontId="597" fillId="48" borderId="132" applyNumberFormat="0" applyAlignment="0" applyProtection="0">
      <alignment vertical="center"/>
    </xf>
    <xf numFmtId="0" fontId="597" fillId="48" borderId="132" applyNumberFormat="0" applyAlignment="0" applyProtection="0">
      <alignment vertical="center"/>
    </xf>
    <xf numFmtId="0" fontId="597" fillId="48" borderId="132" applyNumberFormat="0" applyAlignment="0" applyProtection="0">
      <alignment vertical="center"/>
    </xf>
    <xf numFmtId="0" fontId="597" fillId="48" borderId="132" applyNumberFormat="0" applyAlignment="0" applyProtection="0">
      <alignment vertical="center"/>
    </xf>
    <xf numFmtId="0" fontId="597" fillId="48" borderId="132" applyNumberFormat="0" applyAlignment="0" applyProtection="0">
      <alignment vertical="center"/>
    </xf>
    <xf numFmtId="0" fontId="597" fillId="48" borderId="132" applyNumberFormat="0" applyAlignment="0" applyProtection="0">
      <alignment vertical="center"/>
    </xf>
    <xf numFmtId="0" fontId="597" fillId="48" borderId="132" applyNumberFormat="0" applyAlignment="0" applyProtection="0">
      <alignment vertical="center"/>
    </xf>
    <xf numFmtId="0" fontId="597" fillId="48" borderId="132" applyNumberFormat="0" applyAlignment="0" applyProtection="0">
      <alignment vertical="center"/>
    </xf>
    <xf numFmtId="0" fontId="597" fillId="48" borderId="132" applyNumberFormat="0" applyAlignment="0" applyProtection="0">
      <alignment vertical="center"/>
    </xf>
    <xf numFmtId="0" fontId="597" fillId="48" borderId="132" applyNumberFormat="0" applyAlignment="0" applyProtection="0">
      <alignment vertical="center"/>
    </xf>
    <xf numFmtId="0" fontId="597" fillId="48" borderId="132" applyNumberFormat="0" applyAlignment="0" applyProtection="0">
      <alignment vertical="center"/>
    </xf>
    <xf numFmtId="0" fontId="597" fillId="48" borderId="132" applyNumberFormat="0" applyAlignment="0" applyProtection="0">
      <alignment vertical="center"/>
    </xf>
    <xf numFmtId="0" fontId="597" fillId="48" borderId="132" applyNumberFormat="0" applyAlignment="0" applyProtection="0">
      <alignment vertical="center"/>
    </xf>
    <xf numFmtId="0" fontId="597" fillId="48" borderId="132" applyNumberFormat="0" applyAlignment="0" applyProtection="0">
      <alignment vertical="center"/>
    </xf>
    <xf numFmtId="0" fontId="597" fillId="48" borderId="132" applyNumberFormat="0" applyAlignment="0" applyProtection="0">
      <alignment vertical="center"/>
    </xf>
    <xf numFmtId="0" fontId="597" fillId="48" borderId="132" applyNumberFormat="0" applyAlignment="0" applyProtection="0">
      <alignment vertical="center"/>
    </xf>
    <xf numFmtId="0" fontId="597" fillId="48" borderId="132" applyNumberFormat="0" applyAlignment="0" applyProtection="0">
      <alignment vertical="center"/>
    </xf>
    <xf numFmtId="0" fontId="597" fillId="48" borderId="132" applyNumberFormat="0" applyAlignment="0" applyProtection="0">
      <alignment vertical="center"/>
    </xf>
    <xf numFmtId="0" fontId="597" fillId="48" borderId="132" applyNumberFormat="0" applyAlignment="0" applyProtection="0">
      <alignment vertical="center"/>
    </xf>
    <xf numFmtId="0" fontId="597" fillId="48" borderId="132" applyNumberFormat="0" applyAlignment="0" applyProtection="0">
      <alignment vertical="center"/>
    </xf>
    <xf numFmtId="0" fontId="597" fillId="48" borderId="132" applyNumberFormat="0" applyAlignment="0" applyProtection="0">
      <alignment vertical="center"/>
    </xf>
    <xf numFmtId="0" fontId="597" fillId="48" borderId="132" applyNumberFormat="0" applyAlignment="0" applyProtection="0">
      <alignment vertical="center"/>
    </xf>
    <xf numFmtId="0" fontId="597" fillId="48" borderId="132" applyNumberFormat="0" applyAlignment="0" applyProtection="0">
      <alignment vertical="center"/>
    </xf>
    <xf numFmtId="0" fontId="597" fillId="48" borderId="132" applyNumberFormat="0" applyAlignment="0" applyProtection="0">
      <alignment vertical="center"/>
    </xf>
    <xf numFmtId="0" fontId="597" fillId="48" borderId="132" applyNumberFormat="0" applyAlignment="0" applyProtection="0">
      <alignment vertical="center"/>
    </xf>
    <xf numFmtId="0" fontId="597" fillId="48" borderId="132" applyNumberFormat="0" applyAlignment="0" applyProtection="0">
      <alignment vertical="center"/>
    </xf>
    <xf numFmtId="0" fontId="597" fillId="48" borderId="132" applyNumberFormat="0" applyAlignment="0" applyProtection="0">
      <alignment vertical="center"/>
    </xf>
    <xf numFmtId="0" fontId="597" fillId="48" borderId="132" applyNumberFormat="0" applyAlignment="0" applyProtection="0">
      <alignment vertical="center"/>
    </xf>
    <xf numFmtId="0" fontId="597" fillId="48" borderId="132" applyNumberFormat="0" applyAlignment="0" applyProtection="0">
      <alignment vertical="center"/>
    </xf>
    <xf numFmtId="0" fontId="597" fillId="48" borderId="132" applyNumberFormat="0" applyAlignment="0" applyProtection="0">
      <alignment vertical="center"/>
    </xf>
    <xf numFmtId="0" fontId="597" fillId="48" borderId="132" applyNumberFormat="0" applyAlignment="0" applyProtection="0">
      <alignment vertical="center"/>
    </xf>
    <xf numFmtId="0" fontId="597" fillId="48" borderId="132" applyNumberFormat="0" applyAlignment="0" applyProtection="0">
      <alignment vertical="center"/>
    </xf>
    <xf numFmtId="0" fontId="597" fillId="48" borderId="132" applyNumberFormat="0" applyAlignment="0" applyProtection="0">
      <alignment vertical="center"/>
    </xf>
    <xf numFmtId="0" fontId="597" fillId="48" borderId="132" applyNumberFormat="0" applyAlignment="0" applyProtection="0">
      <alignment vertical="center"/>
    </xf>
    <xf numFmtId="0" fontId="597" fillId="48" borderId="132" applyNumberFormat="0" applyAlignment="0" applyProtection="0">
      <alignment vertical="center"/>
    </xf>
    <xf numFmtId="0" fontId="597" fillId="48" borderId="132" applyNumberFormat="0" applyAlignment="0" applyProtection="0">
      <alignment vertical="center"/>
    </xf>
    <xf numFmtId="0" fontId="597" fillId="48" borderId="132" applyNumberFormat="0" applyAlignment="0" applyProtection="0">
      <alignment vertical="center"/>
    </xf>
    <xf numFmtId="0" fontId="597" fillId="48" borderId="132" applyNumberFormat="0" applyAlignment="0" applyProtection="0">
      <alignment vertical="center"/>
    </xf>
    <xf numFmtId="0" fontId="597" fillId="48" borderId="132" applyNumberFormat="0" applyAlignment="0" applyProtection="0">
      <alignment vertical="center"/>
    </xf>
    <xf numFmtId="0" fontId="597" fillId="48" borderId="132" applyNumberFormat="0" applyAlignment="0" applyProtection="0">
      <alignment vertical="center"/>
    </xf>
    <xf numFmtId="0" fontId="597" fillId="48" borderId="132" applyNumberFormat="0" applyAlignment="0" applyProtection="0">
      <alignment vertical="center"/>
    </xf>
    <xf numFmtId="0" fontId="597" fillId="48" borderId="132" applyNumberFormat="0" applyAlignment="0" applyProtection="0">
      <alignment vertical="center"/>
    </xf>
    <xf numFmtId="0" fontId="597" fillId="48" borderId="132" applyNumberFormat="0" applyAlignment="0" applyProtection="0">
      <alignment vertical="center"/>
    </xf>
    <xf numFmtId="0" fontId="597" fillId="48" borderId="132" applyNumberFormat="0" applyAlignment="0" applyProtection="0">
      <alignment vertical="center"/>
    </xf>
    <xf numFmtId="0" fontId="597" fillId="48" borderId="132" applyNumberFormat="0" applyAlignment="0" applyProtection="0">
      <alignment vertical="center"/>
    </xf>
    <xf numFmtId="0" fontId="597" fillId="48" borderId="132" applyNumberFormat="0" applyAlignment="0" applyProtection="0">
      <alignment vertical="center"/>
    </xf>
    <xf numFmtId="0" fontId="597" fillId="48" borderId="132" applyNumberFormat="0" applyAlignment="0" applyProtection="0">
      <alignment vertical="center"/>
    </xf>
    <xf numFmtId="0" fontId="597" fillId="48" borderId="132" applyNumberFormat="0" applyAlignment="0" applyProtection="0">
      <alignment vertical="center"/>
    </xf>
    <xf numFmtId="0" fontId="597" fillId="48" borderId="132" applyNumberFormat="0" applyAlignment="0" applyProtection="0">
      <alignment vertical="center"/>
    </xf>
    <xf numFmtId="0" fontId="597" fillId="48" borderId="132" applyNumberFormat="0" applyAlignment="0" applyProtection="0">
      <alignment vertical="center"/>
    </xf>
    <xf numFmtId="0" fontId="597" fillId="48" borderId="132" applyNumberFormat="0" applyAlignment="0" applyProtection="0">
      <alignment vertical="center"/>
    </xf>
    <xf numFmtId="0" fontId="597" fillId="48" borderId="132" applyNumberFormat="0" applyAlignment="0" applyProtection="0">
      <alignment vertical="center"/>
    </xf>
    <xf numFmtId="0" fontId="597" fillId="48" borderId="132" applyNumberFormat="0" applyAlignment="0" applyProtection="0">
      <alignment vertical="center"/>
    </xf>
    <xf numFmtId="0" fontId="597" fillId="48" borderId="132" applyNumberFormat="0" applyAlignment="0" applyProtection="0">
      <alignment vertical="center"/>
    </xf>
    <xf numFmtId="0" fontId="597" fillId="48" borderId="132" applyNumberFormat="0" applyAlignment="0" applyProtection="0">
      <alignment vertical="center"/>
    </xf>
    <xf numFmtId="0" fontId="597" fillId="48" borderId="132" applyNumberFormat="0" applyAlignment="0" applyProtection="0">
      <alignment vertical="center"/>
    </xf>
    <xf numFmtId="0" fontId="597" fillId="48" borderId="132" applyNumberFormat="0" applyAlignment="0" applyProtection="0">
      <alignment vertical="center"/>
    </xf>
    <xf numFmtId="0" fontId="597" fillId="48" borderId="132" applyNumberFormat="0" applyAlignment="0" applyProtection="0">
      <alignment vertical="center"/>
    </xf>
    <xf numFmtId="0" fontId="597" fillId="48" borderId="132" applyNumberFormat="0" applyAlignment="0" applyProtection="0">
      <alignment vertical="center"/>
    </xf>
    <xf numFmtId="0" fontId="597" fillId="48" borderId="132" applyNumberFormat="0" applyAlignment="0" applyProtection="0">
      <alignment vertical="center"/>
    </xf>
    <xf numFmtId="0" fontId="597" fillId="48" borderId="132" applyNumberFormat="0" applyAlignment="0" applyProtection="0">
      <alignment vertical="center"/>
    </xf>
    <xf numFmtId="0" fontId="597" fillId="48" borderId="132" applyNumberFormat="0" applyAlignment="0" applyProtection="0">
      <alignment vertical="center"/>
    </xf>
    <xf numFmtId="0" fontId="338" fillId="48" borderId="132" applyNumberFormat="0" applyAlignment="0" applyProtection="0"/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6" fillId="48" borderId="132" applyNumberFormat="0" applyAlignment="0" applyProtection="0">
      <alignment vertical="center"/>
    </xf>
    <xf numFmtId="0" fontId="646" fillId="48" borderId="132" applyNumberFormat="0" applyAlignment="0" applyProtection="0">
      <alignment vertical="center"/>
    </xf>
    <xf numFmtId="0" fontId="646" fillId="48" borderId="132" applyNumberFormat="0" applyAlignment="0" applyProtection="0">
      <alignment vertical="center"/>
    </xf>
    <xf numFmtId="0" fontId="646" fillId="48" borderId="132" applyNumberFormat="0" applyAlignment="0" applyProtection="0">
      <alignment vertical="center"/>
    </xf>
    <xf numFmtId="0" fontId="646" fillId="48" borderId="132" applyNumberFormat="0" applyAlignment="0" applyProtection="0">
      <alignment vertical="center"/>
    </xf>
    <xf numFmtId="0" fontId="646" fillId="48" borderId="132" applyNumberFormat="0" applyAlignment="0" applyProtection="0">
      <alignment vertical="center"/>
    </xf>
    <xf numFmtId="0" fontId="646" fillId="48" borderId="132" applyNumberFormat="0" applyAlignment="0" applyProtection="0">
      <alignment vertical="center"/>
    </xf>
    <xf numFmtId="0" fontId="646" fillId="48" borderId="132" applyNumberFormat="0" applyAlignment="0" applyProtection="0">
      <alignment vertical="center"/>
    </xf>
    <xf numFmtId="0" fontId="646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592" fillId="0" borderId="142" applyNumberFormat="0" applyFill="0" applyAlignment="0" applyProtection="0">
      <alignment vertical="center"/>
    </xf>
    <xf numFmtId="0" fontId="592" fillId="0" borderId="142" applyNumberFormat="0" applyFill="0" applyAlignment="0" applyProtection="0">
      <alignment vertical="center"/>
    </xf>
    <xf numFmtId="0" fontId="592" fillId="0" borderId="142" applyNumberFormat="0" applyFill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592" fillId="0" borderId="142" applyNumberFormat="0" applyFill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592" fillId="0" borderId="142" applyNumberFormat="0" applyFill="0" applyAlignment="0" applyProtection="0">
      <alignment vertical="center"/>
    </xf>
    <xf numFmtId="0" fontId="592" fillId="0" borderId="142" applyNumberFormat="0" applyFill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236" fillId="51" borderId="134" applyNumberFormat="0" applyFont="0" applyAlignment="0" applyProtection="0"/>
    <xf numFmtId="0" fontId="2" fillId="51" borderId="134" applyNumberFormat="0" applyFont="0" applyAlignment="0" applyProtection="0"/>
    <xf numFmtId="0" fontId="592" fillId="0" borderId="142" applyNumberFormat="0" applyFill="0" applyAlignment="0" applyProtection="0">
      <alignment vertical="center"/>
    </xf>
    <xf numFmtId="0" fontId="592" fillId="0" borderId="142" applyNumberFormat="0" applyFill="0" applyAlignment="0" applyProtection="0">
      <alignment vertical="center"/>
    </xf>
    <xf numFmtId="0" fontId="592" fillId="0" borderId="142" applyNumberFormat="0" applyFill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592" fillId="0" borderId="142" applyNumberFormat="0" applyFill="0" applyAlignment="0" applyProtection="0">
      <alignment vertical="center"/>
    </xf>
    <xf numFmtId="0" fontId="592" fillId="0" borderId="142" applyNumberFormat="0" applyFill="0" applyAlignment="0" applyProtection="0">
      <alignment vertical="center"/>
    </xf>
    <xf numFmtId="0" fontId="592" fillId="0" borderId="142" applyNumberFormat="0" applyFill="0" applyAlignment="0" applyProtection="0">
      <alignment vertical="center"/>
    </xf>
    <xf numFmtId="0" fontId="592" fillId="0" borderId="142" applyNumberFormat="0" applyFill="0" applyAlignment="0" applyProtection="0">
      <alignment vertical="center"/>
    </xf>
    <xf numFmtId="0" fontId="592" fillId="0" borderId="142" applyNumberFormat="0" applyFill="0" applyAlignment="0" applyProtection="0">
      <alignment vertical="center"/>
    </xf>
    <xf numFmtId="0" fontId="592" fillId="0" borderId="142" applyNumberFormat="0" applyFill="0" applyAlignment="0" applyProtection="0">
      <alignment vertical="center"/>
    </xf>
    <xf numFmtId="0" fontId="592" fillId="0" borderId="142" applyNumberFormat="0" applyFill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69" fillId="51" borderId="134" applyNumberFormat="0" applyFont="0" applyAlignment="0" applyProtection="0">
      <alignment vertical="center"/>
    </xf>
    <xf numFmtId="0" fontId="169" fillId="51" borderId="134" applyNumberFormat="0" applyFont="0" applyAlignment="0" applyProtection="0">
      <alignment vertical="center"/>
    </xf>
    <xf numFmtId="0" fontId="169" fillId="51" borderId="134" applyNumberFormat="0" applyFont="0" applyAlignment="0" applyProtection="0">
      <alignment vertical="center"/>
    </xf>
    <xf numFmtId="0" fontId="169" fillId="51" borderId="134" applyNumberFormat="0" applyFont="0" applyAlignment="0" applyProtection="0">
      <alignment vertical="center"/>
    </xf>
    <xf numFmtId="0" fontId="169" fillId="51" borderId="134" applyNumberFormat="0" applyFont="0" applyAlignment="0" applyProtection="0">
      <alignment vertical="center"/>
    </xf>
    <xf numFmtId="0" fontId="169" fillId="51" borderId="134" applyNumberFormat="0" applyFont="0" applyAlignment="0" applyProtection="0">
      <alignment vertical="center"/>
    </xf>
    <xf numFmtId="0" fontId="169" fillId="51" borderId="134" applyNumberFormat="0" applyFont="0" applyAlignment="0" applyProtection="0">
      <alignment vertical="center"/>
    </xf>
    <xf numFmtId="0" fontId="169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69" fillId="51" borderId="134" applyNumberFormat="0" applyFont="0" applyAlignment="0" applyProtection="0">
      <alignment vertical="center"/>
    </xf>
    <xf numFmtId="0" fontId="169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597" fillId="48" borderId="132" applyNumberFormat="0" applyAlignment="0" applyProtection="0">
      <alignment vertical="center"/>
    </xf>
    <xf numFmtId="0" fontId="597" fillId="48" borderId="132" applyNumberFormat="0" applyAlignment="0" applyProtection="0">
      <alignment vertical="center"/>
    </xf>
    <xf numFmtId="0" fontId="597" fillId="48" borderId="132" applyNumberFormat="0" applyAlignment="0" applyProtection="0">
      <alignment vertical="center"/>
    </xf>
    <xf numFmtId="0" fontId="597" fillId="48" borderId="132" applyNumberFormat="0" applyAlignment="0" applyProtection="0">
      <alignment vertical="center"/>
    </xf>
    <xf numFmtId="0" fontId="597" fillId="48" borderId="132" applyNumberFormat="0" applyAlignment="0" applyProtection="0">
      <alignment vertical="center"/>
    </xf>
    <xf numFmtId="0" fontId="597" fillId="48" borderId="132" applyNumberFormat="0" applyAlignment="0" applyProtection="0">
      <alignment vertical="center"/>
    </xf>
    <xf numFmtId="0" fontId="597" fillId="48" borderId="132" applyNumberFormat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40" fillId="0" borderId="142" applyNumberFormat="0" applyFill="0" applyAlignment="0" applyProtection="0">
      <alignment vertical="center"/>
    </xf>
    <xf numFmtId="0" fontId="640" fillId="0" borderId="142" applyNumberFormat="0" applyFill="0" applyAlignment="0" applyProtection="0">
      <alignment vertical="center"/>
    </xf>
    <xf numFmtId="0" fontId="640" fillId="0" borderId="142" applyNumberFormat="0" applyFill="0" applyAlignment="0" applyProtection="0">
      <alignment vertical="center"/>
    </xf>
    <xf numFmtId="0" fontId="640" fillId="0" borderId="142" applyNumberFormat="0" applyFill="0" applyAlignment="0" applyProtection="0">
      <alignment vertical="center"/>
    </xf>
    <xf numFmtId="0" fontId="640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2" fillId="51" borderId="134" applyNumberFormat="0" applyFont="0" applyAlignment="0" applyProtection="0"/>
    <xf numFmtId="43" fontId="1" fillId="0" borderId="0" applyFont="0" applyFill="0" applyBorder="0" applyAlignment="0" applyProtection="0"/>
    <xf numFmtId="0" fontId="338" fillId="48" borderId="132" applyNumberFormat="0" applyAlignment="0" applyProtection="0"/>
    <xf numFmtId="0" fontId="324" fillId="51" borderId="134" applyNumberFormat="0" applyFont="0" applyAlignment="0" applyProtection="0"/>
    <xf numFmtId="1" fontId="264" fillId="0" borderId="136">
      <protection hidden="1"/>
    </xf>
    <xf numFmtId="0" fontId="65" fillId="51" borderId="134" applyNumberFormat="0" applyFont="0" applyAlignment="0" applyProtection="0"/>
    <xf numFmtId="0" fontId="17" fillId="51" borderId="134" applyNumberFormat="0" applyFont="0" applyAlignment="0" applyProtection="0"/>
    <xf numFmtId="0" fontId="65" fillId="51" borderId="134" applyNumberFormat="0" applyFont="0" applyAlignment="0" applyProtection="0"/>
    <xf numFmtId="1" fontId="264" fillId="0" borderId="136">
      <protection hidden="1"/>
    </xf>
    <xf numFmtId="1" fontId="264" fillId="0" borderId="136">
      <protection hidden="1"/>
    </xf>
    <xf numFmtId="0" fontId="65" fillId="51" borderId="134" applyNumberFormat="0" applyFont="0" applyAlignment="0" applyProtection="0"/>
    <xf numFmtId="1" fontId="264" fillId="0" borderId="136">
      <protection hidden="1"/>
    </xf>
    <xf numFmtId="0" fontId="65" fillId="51" borderId="134" applyNumberFormat="0" applyFont="0" applyAlignment="0" applyProtection="0"/>
    <xf numFmtId="0" fontId="65" fillId="51" borderId="134" applyNumberFormat="0" applyFont="0" applyAlignment="0" applyProtection="0"/>
    <xf numFmtId="0" fontId="338" fillId="48" borderId="132" applyNumberFormat="0" applyAlignment="0" applyProtection="0"/>
    <xf numFmtId="0" fontId="597" fillId="48" borderId="132" applyNumberFormat="0" applyAlignment="0" applyProtection="0">
      <alignment vertical="center"/>
    </xf>
    <xf numFmtId="0" fontId="324" fillId="51" borderId="134" applyNumberFormat="0" applyFont="0" applyAlignment="0" applyProtection="0"/>
    <xf numFmtId="0" fontId="597" fillId="48" borderId="132" applyNumberFormat="0" applyAlignment="0" applyProtection="0">
      <alignment vertical="center"/>
    </xf>
    <xf numFmtId="0" fontId="597" fillId="48" borderId="132" applyNumberFormat="0" applyAlignment="0" applyProtection="0">
      <alignment vertical="center"/>
    </xf>
    <xf numFmtId="0" fontId="338" fillId="48" borderId="132" applyNumberFormat="0" applyAlignment="0" applyProtection="0"/>
    <xf numFmtId="0" fontId="17" fillId="89" borderId="139" applyNumberFormat="0" applyProtection="0">
      <alignment horizontal="left" vertical="top" indent="1"/>
    </xf>
    <xf numFmtId="0" fontId="17" fillId="89" borderId="139" applyNumberFormat="0" applyProtection="0">
      <alignment horizontal="left" vertical="top" indent="1"/>
    </xf>
    <xf numFmtId="0" fontId="17" fillId="89" borderId="139" applyNumberFormat="0" applyProtection="0">
      <alignment horizontal="left" vertical="top" indent="1"/>
    </xf>
    <xf numFmtId="0" fontId="17" fillId="74" borderId="139" applyNumberFormat="0" applyProtection="0">
      <alignment horizontal="left" vertical="top" indent="1"/>
    </xf>
    <xf numFmtId="0" fontId="17" fillId="96" borderId="139" applyNumberFormat="0" applyProtection="0">
      <alignment horizontal="left" vertical="center" indent="1"/>
    </xf>
    <xf numFmtId="0" fontId="17" fillId="96" borderId="139" applyNumberFormat="0" applyProtection="0">
      <alignment horizontal="left" vertical="center" indent="1"/>
    </xf>
    <xf numFmtId="0" fontId="17" fillId="96" borderId="139" applyNumberFormat="0" applyProtection="0">
      <alignment horizontal="left" vertical="center" indent="1"/>
    </xf>
    <xf numFmtId="0" fontId="17" fillId="96" borderId="139" applyNumberFormat="0" applyProtection="0">
      <alignment horizontal="left" vertical="center" indent="1"/>
    </xf>
    <xf numFmtId="0" fontId="17" fillId="96" borderId="139" applyNumberFormat="0" applyProtection="0">
      <alignment horizontal="left" vertical="center" indent="1"/>
    </xf>
    <xf numFmtId="0" fontId="17" fillId="95" borderId="139" applyNumberFormat="0" applyProtection="0">
      <alignment horizontal="left" vertical="top" indent="1"/>
    </xf>
    <xf numFmtId="0" fontId="17" fillId="42" borderId="139" applyNumberFormat="0" applyProtection="0">
      <alignment horizontal="left" vertical="top" indent="1"/>
    </xf>
    <xf numFmtId="0" fontId="17" fillId="96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49" borderId="139" applyNumberFormat="0" applyProtection="0">
      <alignment horizontal="left" vertical="top" indent="1"/>
    </xf>
    <xf numFmtId="0" fontId="17" fillId="8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17" fillId="102" borderId="139" applyNumberFormat="0" applyProtection="0">
      <alignment horizontal="left" vertical="center" indent="1"/>
    </xf>
    <xf numFmtId="0" fontId="2" fillId="51" borderId="134" applyNumberFormat="0" applyFont="0" applyAlignment="0" applyProtection="0"/>
    <xf numFmtId="0" fontId="2" fillId="51" borderId="134" applyNumberFormat="0" applyFont="0" applyAlignment="0" applyProtection="0">
      <alignment vertical="center"/>
    </xf>
    <xf numFmtId="0" fontId="240" fillId="51" borderId="134" applyNumberFormat="0" applyFont="0" applyAlignment="0" applyProtection="0">
      <alignment vertical="center"/>
    </xf>
    <xf numFmtId="0" fontId="240" fillId="51" borderId="134" applyNumberFormat="0" applyFont="0" applyAlignment="0" applyProtection="0">
      <alignment vertical="center"/>
    </xf>
    <xf numFmtId="0" fontId="572" fillId="54" borderId="132" applyNumberFormat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2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6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445" fillId="51" borderId="134" applyNumberFormat="0" applyFont="0" applyAlignment="0" applyProtection="0"/>
    <xf numFmtId="0" fontId="651" fillId="0" borderId="126" applyNumberFormat="0" applyFill="0" applyAlignment="0" applyProtection="0">
      <alignment vertical="center"/>
    </xf>
    <xf numFmtId="0" fontId="651" fillId="0" borderId="126" applyNumberFormat="0" applyFill="0" applyAlignment="0" applyProtection="0">
      <alignment vertical="center"/>
    </xf>
    <xf numFmtId="0" fontId="651" fillId="0" borderId="126" applyNumberFormat="0" applyFill="0" applyAlignment="0" applyProtection="0">
      <alignment vertical="center"/>
    </xf>
    <xf numFmtId="0" fontId="189" fillId="0" borderId="131" applyNumberFormat="0" applyFill="0" applyAlignment="0" applyProtection="0"/>
    <xf numFmtId="0" fontId="189" fillId="0" borderId="131" applyNumberFormat="0" applyFill="0" applyAlignment="0" applyProtection="0"/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3" fontId="231" fillId="0" borderId="121">
      <alignment horizontal="center"/>
    </xf>
    <xf numFmtId="253" fontId="231" fillId="0" borderId="121">
      <alignment horizontal="center"/>
    </xf>
    <xf numFmtId="253" fontId="231" fillId="0" borderId="121">
      <alignment horizontal="center"/>
    </xf>
    <xf numFmtId="253" fontId="231" fillId="0" borderId="121">
      <alignment horizontal="center"/>
    </xf>
    <xf numFmtId="253" fontId="231" fillId="0" borderId="121">
      <alignment horizontal="center"/>
    </xf>
    <xf numFmtId="253" fontId="231" fillId="0" borderId="121">
      <alignment horizontal="center"/>
    </xf>
    <xf numFmtId="253" fontId="231" fillId="0" borderId="121">
      <alignment horizontal="center"/>
    </xf>
    <xf numFmtId="253" fontId="231" fillId="0" borderId="121">
      <alignment horizontal="center"/>
    </xf>
    <xf numFmtId="253" fontId="231" fillId="0" borderId="121">
      <alignment horizontal="center"/>
    </xf>
    <xf numFmtId="253" fontId="231" fillId="0" borderId="121">
      <alignment horizontal="center"/>
    </xf>
    <xf numFmtId="253" fontId="231" fillId="0" borderId="121">
      <alignment horizontal="center"/>
    </xf>
    <xf numFmtId="253" fontId="231" fillId="0" borderId="121">
      <alignment horizontal="center"/>
    </xf>
    <xf numFmtId="253" fontId="231" fillId="0" borderId="121">
      <alignment horizontal="center"/>
    </xf>
    <xf numFmtId="253" fontId="231" fillId="0" borderId="121">
      <alignment horizontal="center"/>
    </xf>
    <xf numFmtId="253" fontId="231" fillId="0" borderId="121">
      <alignment horizontal="center"/>
    </xf>
    <xf numFmtId="253" fontId="231" fillId="0" borderId="121">
      <alignment horizontal="center"/>
    </xf>
    <xf numFmtId="253" fontId="231" fillId="0" borderId="121">
      <alignment horizontal="center"/>
    </xf>
    <xf numFmtId="253" fontId="231" fillId="0" borderId="121">
      <alignment horizontal="center"/>
    </xf>
    <xf numFmtId="253" fontId="231" fillId="0" borderId="121">
      <alignment horizontal="center"/>
    </xf>
    <xf numFmtId="253" fontId="231" fillId="0" borderId="121">
      <alignment horizontal="center"/>
    </xf>
    <xf numFmtId="253" fontId="231" fillId="0" borderId="121">
      <alignment horizontal="center"/>
    </xf>
    <xf numFmtId="253" fontId="231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3" fontId="231" fillId="0" borderId="121">
      <alignment horizontal="center"/>
    </xf>
    <xf numFmtId="253" fontId="231" fillId="0" borderId="121">
      <alignment horizontal="center"/>
    </xf>
    <xf numFmtId="253" fontId="231" fillId="0" borderId="121">
      <alignment horizontal="center"/>
    </xf>
    <xf numFmtId="253" fontId="231" fillId="0" borderId="121">
      <alignment horizontal="center"/>
    </xf>
    <xf numFmtId="253" fontId="231" fillId="0" borderId="121">
      <alignment horizontal="center"/>
    </xf>
    <xf numFmtId="253" fontId="231" fillId="0" borderId="121">
      <alignment horizontal="center"/>
    </xf>
    <xf numFmtId="253" fontId="231" fillId="0" borderId="121">
      <alignment horizontal="center"/>
    </xf>
    <xf numFmtId="253" fontId="231" fillId="0" borderId="121">
      <alignment horizontal="center"/>
    </xf>
    <xf numFmtId="253" fontId="231" fillId="0" borderId="121">
      <alignment horizontal="center"/>
    </xf>
    <xf numFmtId="253" fontId="231" fillId="0" borderId="121">
      <alignment horizontal="center"/>
    </xf>
    <xf numFmtId="253" fontId="231" fillId="0" borderId="121">
      <alignment horizontal="center"/>
    </xf>
    <xf numFmtId="253" fontId="231" fillId="0" borderId="121">
      <alignment horizontal="center"/>
    </xf>
    <xf numFmtId="253" fontId="231" fillId="0" borderId="121">
      <alignment horizontal="center"/>
    </xf>
    <xf numFmtId="253" fontId="231" fillId="0" borderId="121">
      <alignment horizontal="center"/>
    </xf>
    <xf numFmtId="253" fontId="231" fillId="0" borderId="121">
      <alignment horizontal="center"/>
    </xf>
    <xf numFmtId="253" fontId="231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2" fontId="2" fillId="0" borderId="121">
      <alignment horizontal="center"/>
    </xf>
    <xf numFmtId="253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31" fillId="0" borderId="121">
      <alignment horizontal="center"/>
    </xf>
    <xf numFmtId="0" fontId="259" fillId="0" borderId="115" applyFont="0" applyBorder="0" applyAlignment="0">
      <alignment horizontal="center" vertical="top" wrapText="1"/>
    </xf>
    <xf numFmtId="0" fontId="259" fillId="0" borderId="115" applyFont="0" applyBorder="0" applyAlignment="0">
      <alignment horizontal="center" vertical="top" wrapText="1"/>
    </xf>
    <xf numFmtId="0" fontId="259" fillId="0" borderId="115" applyFont="0" applyBorder="0" applyAlignment="0">
      <alignment horizontal="center" vertical="top" wrapText="1"/>
    </xf>
    <xf numFmtId="0" fontId="259" fillId="0" borderId="115" applyFont="0" applyBorder="0" applyAlignment="0">
      <alignment horizontal="center" vertical="top" wrapText="1"/>
    </xf>
    <xf numFmtId="0" fontId="259" fillId="0" borderId="115" applyFont="0" applyBorder="0" applyAlignment="0">
      <alignment horizontal="center" vertical="top" wrapText="1"/>
    </xf>
    <xf numFmtId="0" fontId="259" fillId="0" borderId="115" applyFont="0" applyBorder="0" applyAlignment="0">
      <alignment horizontal="center" vertical="top" wrapText="1"/>
    </xf>
    <xf numFmtId="0" fontId="259" fillId="0" borderId="115" applyFont="0" applyBorder="0" applyAlignment="0">
      <alignment horizontal="center" vertical="top" wrapText="1"/>
    </xf>
    <xf numFmtId="0" fontId="259" fillId="0" borderId="115" applyFont="0" applyBorder="0" applyAlignment="0">
      <alignment horizontal="center" vertical="top" wrapText="1"/>
    </xf>
    <xf numFmtId="0" fontId="259" fillId="0" borderId="115" applyFont="0" applyBorder="0" applyAlignment="0">
      <alignment horizontal="center" vertical="top" wrapText="1"/>
    </xf>
    <xf numFmtId="0" fontId="259" fillId="0" borderId="115" applyFont="0" applyBorder="0" applyAlignment="0">
      <alignment horizontal="center" vertical="top" wrapText="1"/>
    </xf>
    <xf numFmtId="0" fontId="259" fillId="0" borderId="115" applyFont="0" applyBorder="0" applyAlignment="0">
      <alignment horizontal="center" vertical="top" wrapText="1"/>
    </xf>
    <xf numFmtId="0" fontId="259" fillId="0" borderId="115" applyFont="0" applyBorder="0" applyAlignment="0">
      <alignment horizontal="center" vertical="top" wrapText="1"/>
    </xf>
    <xf numFmtId="0" fontId="259" fillId="0" borderId="115" applyFont="0" applyBorder="0" applyAlignment="0">
      <alignment horizontal="center" vertical="top" wrapText="1"/>
    </xf>
    <xf numFmtId="0" fontId="259" fillId="0" borderId="115" applyFont="0" applyBorder="0" applyAlignment="0">
      <alignment horizontal="center" vertical="top" wrapText="1"/>
    </xf>
    <xf numFmtId="0" fontId="259" fillId="0" borderId="115" applyFont="0" applyBorder="0" applyAlignment="0">
      <alignment horizontal="center" vertical="top" wrapText="1"/>
    </xf>
    <xf numFmtId="0" fontId="259" fillId="0" borderId="115" applyFont="0" applyBorder="0" applyAlignment="0">
      <alignment horizontal="center" vertical="top" wrapText="1"/>
    </xf>
    <xf numFmtId="0" fontId="259" fillId="0" borderId="115" applyFont="0" applyBorder="0" applyAlignment="0">
      <alignment horizontal="center" vertical="top" wrapText="1"/>
    </xf>
    <xf numFmtId="0" fontId="259" fillId="0" borderId="115" applyFont="0" applyBorder="0" applyAlignment="0">
      <alignment horizontal="center" vertical="top" wrapText="1"/>
    </xf>
    <xf numFmtId="0" fontId="259" fillId="0" borderId="115" applyFont="0" applyBorder="0" applyAlignment="0">
      <alignment horizontal="center" vertical="top" wrapText="1"/>
    </xf>
    <xf numFmtId="0" fontId="259" fillId="0" borderId="115" applyFont="0" applyBorder="0" applyAlignment="0">
      <alignment horizontal="center" vertical="top" wrapText="1"/>
    </xf>
    <xf numFmtId="0" fontId="259" fillId="0" borderId="115" applyFont="0" applyBorder="0" applyAlignment="0">
      <alignment horizontal="center" vertical="top" wrapText="1"/>
    </xf>
    <xf numFmtId="0" fontId="259" fillId="0" borderId="115" applyFont="0" applyBorder="0" applyAlignment="0">
      <alignment horizontal="center" vertical="top" wrapText="1"/>
    </xf>
    <xf numFmtId="0" fontId="259" fillId="0" borderId="115" applyFont="0" applyBorder="0" applyAlignment="0">
      <alignment horizontal="center" vertical="top" wrapText="1"/>
    </xf>
    <xf numFmtId="0" fontId="259" fillId="0" borderId="115" applyFont="0" applyBorder="0" applyAlignment="0">
      <alignment horizontal="center" vertical="top" wrapText="1"/>
    </xf>
    <xf numFmtId="0" fontId="17" fillId="51" borderId="134" applyNumberFormat="0" applyFont="0" applyAlignment="0" applyProtection="0"/>
    <xf numFmtId="0" fontId="221" fillId="51" borderId="134" applyNumberFormat="0" applyFont="0" applyAlignment="0" applyProtection="0"/>
    <xf numFmtId="0" fontId="17" fillId="51" borderId="134" applyNumberFormat="0" applyFont="0" applyAlignment="0" applyProtection="0"/>
    <xf numFmtId="0" fontId="17" fillId="51" borderId="134" applyNumberFormat="0" applyFont="0" applyAlignment="0" applyProtection="0"/>
    <xf numFmtId="0" fontId="17" fillId="51" borderId="134" applyNumberFormat="0" applyFont="0" applyAlignment="0" applyProtection="0"/>
    <xf numFmtId="0" fontId="17" fillId="51" borderId="134" applyNumberFormat="0" applyFont="0" applyAlignment="0" applyProtection="0"/>
    <xf numFmtId="0" fontId="324" fillId="51" borderId="134" applyNumberFormat="0" applyFont="0" applyAlignment="0" applyProtection="0"/>
    <xf numFmtId="0" fontId="324" fillId="51" borderId="134" applyNumberFormat="0" applyFont="0" applyAlignment="0" applyProtection="0"/>
    <xf numFmtId="0" fontId="324" fillId="51" borderId="134" applyNumberFormat="0" applyFont="0" applyAlignment="0" applyProtection="0"/>
    <xf numFmtId="0" fontId="324" fillId="51" borderId="134" applyNumberFormat="0" applyFont="0" applyAlignment="0" applyProtection="0"/>
    <xf numFmtId="0" fontId="65" fillId="51" borderId="134" applyNumberFormat="0" applyFont="0" applyAlignment="0" applyProtection="0"/>
    <xf numFmtId="4" fontId="471" fillId="55" borderId="139" applyNumberFormat="0" applyProtection="0">
      <alignment vertical="center"/>
    </xf>
    <xf numFmtId="0" fontId="335" fillId="0" borderId="142" applyNumberFormat="0" applyFill="0" applyAlignment="0" applyProtection="0"/>
    <xf numFmtId="0" fontId="56" fillId="0" borderId="120" applyBorder="0" applyAlignment="0" applyProtection="0">
      <alignment horizontal="center" vertical="top"/>
    </xf>
    <xf numFmtId="0" fontId="56" fillId="0" borderId="120" applyBorder="0" applyAlignment="0" applyProtection="0">
      <alignment horizontal="center" vertical="top"/>
    </xf>
    <xf numFmtId="0" fontId="56" fillId="0" borderId="120" applyBorder="0" applyAlignment="0" applyProtection="0">
      <alignment horizontal="center" vertical="top"/>
    </xf>
    <xf numFmtId="0" fontId="56" fillId="0" borderId="120" applyBorder="0" applyAlignment="0" applyProtection="0">
      <alignment horizontal="center" vertical="top"/>
    </xf>
    <xf numFmtId="0" fontId="56" fillId="0" borderId="120" applyBorder="0" applyAlignment="0" applyProtection="0">
      <alignment horizontal="center" vertical="top"/>
    </xf>
    <xf numFmtId="0" fontId="56" fillId="0" borderId="120" applyBorder="0" applyAlignment="0" applyProtection="0">
      <alignment horizontal="center" vertical="top"/>
    </xf>
    <xf numFmtId="0" fontId="56" fillId="0" borderId="120" applyBorder="0" applyAlignment="0" applyProtection="0">
      <alignment horizontal="center" vertical="top"/>
    </xf>
    <xf numFmtId="0" fontId="56" fillId="0" borderId="120" applyBorder="0" applyAlignment="0" applyProtection="0">
      <alignment horizontal="center" vertical="top"/>
    </xf>
    <xf numFmtId="0" fontId="56" fillId="0" borderId="120" applyBorder="0" applyAlignment="0" applyProtection="0">
      <alignment horizontal="center" vertical="top"/>
    </xf>
    <xf numFmtId="0" fontId="56" fillId="0" borderId="120" applyBorder="0" applyAlignment="0" applyProtection="0">
      <alignment horizontal="center" vertical="top"/>
    </xf>
    <xf numFmtId="0" fontId="56" fillId="0" borderId="120" applyBorder="0" applyAlignment="0" applyProtection="0">
      <alignment horizontal="center" vertical="top"/>
    </xf>
    <xf numFmtId="0" fontId="56" fillId="0" borderId="120" applyBorder="0" applyAlignment="0" applyProtection="0">
      <alignment horizontal="center" vertical="top"/>
    </xf>
    <xf numFmtId="0" fontId="56" fillId="0" borderId="120" applyBorder="0" applyAlignment="0" applyProtection="0">
      <alignment horizontal="center" vertical="top"/>
    </xf>
    <xf numFmtId="0" fontId="56" fillId="0" borderId="120" applyBorder="0" applyAlignment="0" applyProtection="0">
      <alignment horizontal="center" vertical="top"/>
    </xf>
    <xf numFmtId="0" fontId="56" fillId="0" borderId="120" applyBorder="0" applyAlignment="0" applyProtection="0">
      <alignment horizontal="center" vertical="top"/>
    </xf>
    <xf numFmtId="0" fontId="56" fillId="0" borderId="120" applyBorder="0" applyAlignment="0" applyProtection="0">
      <alignment horizontal="center" vertical="top"/>
    </xf>
    <xf numFmtId="0" fontId="56" fillId="0" borderId="120" applyBorder="0" applyAlignment="0" applyProtection="0">
      <alignment horizontal="center" vertical="top"/>
    </xf>
    <xf numFmtId="0" fontId="56" fillId="0" borderId="120" applyBorder="0" applyAlignment="0" applyProtection="0">
      <alignment horizontal="center" vertical="top"/>
    </xf>
    <xf numFmtId="0" fontId="56" fillId="0" borderId="120" applyBorder="0" applyAlignment="0" applyProtection="0">
      <alignment horizontal="center" vertical="top"/>
    </xf>
    <xf numFmtId="0" fontId="56" fillId="0" borderId="120" applyBorder="0" applyAlignment="0" applyProtection="0">
      <alignment horizontal="center" vertical="top"/>
    </xf>
    <xf numFmtId="0" fontId="56" fillId="0" borderId="120" applyBorder="0" applyAlignment="0" applyProtection="0">
      <alignment horizontal="center" vertical="top"/>
    </xf>
    <xf numFmtId="0" fontId="56" fillId="0" borderId="120" applyBorder="0" applyAlignment="0" applyProtection="0">
      <alignment horizontal="center" vertical="top"/>
    </xf>
    <xf numFmtId="0" fontId="56" fillId="0" borderId="120" applyBorder="0" applyAlignment="0" applyProtection="0">
      <alignment horizontal="center" vertical="top"/>
    </xf>
    <xf numFmtId="0" fontId="56" fillId="0" borderId="120" applyBorder="0" applyAlignment="0" applyProtection="0">
      <alignment horizontal="center" vertical="top"/>
    </xf>
    <xf numFmtId="0" fontId="56" fillId="0" borderId="120" applyBorder="0" applyAlignment="0" applyProtection="0">
      <alignment horizontal="center" vertical="top"/>
    </xf>
    <xf numFmtId="0" fontId="56" fillId="0" borderId="120" applyBorder="0" applyAlignment="0" applyProtection="0">
      <alignment horizontal="center" vertical="top"/>
    </xf>
    <xf numFmtId="0" fontId="56" fillId="0" borderId="120" applyBorder="0" applyAlignment="0" applyProtection="0">
      <alignment horizontal="center" vertical="top"/>
    </xf>
    <xf numFmtId="0" fontId="56" fillId="0" borderId="120" applyBorder="0" applyAlignment="0" applyProtection="0">
      <alignment horizontal="center" vertical="top"/>
    </xf>
    <xf numFmtId="0" fontId="56" fillId="0" borderId="120" applyBorder="0" applyAlignment="0" applyProtection="0">
      <alignment horizontal="center" vertical="top"/>
    </xf>
    <xf numFmtId="0" fontId="56" fillId="0" borderId="120" applyBorder="0" applyAlignment="0" applyProtection="0">
      <alignment horizontal="center" vertical="top"/>
    </xf>
    <xf numFmtId="0" fontId="56" fillId="0" borderId="120" applyBorder="0" applyAlignment="0" applyProtection="0">
      <alignment horizontal="center" vertical="top"/>
    </xf>
    <xf numFmtId="0" fontId="56" fillId="0" borderId="120" applyBorder="0" applyAlignment="0" applyProtection="0">
      <alignment horizontal="center" vertical="top"/>
    </xf>
    <xf numFmtId="0" fontId="56" fillId="0" borderId="120" applyBorder="0" applyAlignment="0" applyProtection="0">
      <alignment horizontal="center" vertical="top"/>
    </xf>
    <xf numFmtId="0" fontId="56" fillId="0" borderId="120" applyBorder="0" applyAlignment="0" applyProtection="0">
      <alignment horizontal="center" vertical="top"/>
    </xf>
    <xf numFmtId="0" fontId="56" fillId="0" borderId="120" applyBorder="0" applyAlignment="0" applyProtection="0">
      <alignment horizontal="center" vertical="top"/>
    </xf>
    <xf numFmtId="0" fontId="56" fillId="0" borderId="120" applyBorder="0" applyAlignment="0" applyProtection="0">
      <alignment horizontal="center" vertical="top"/>
    </xf>
    <xf numFmtId="0" fontId="335" fillId="0" borderId="143" applyNumberFormat="0" applyFill="0" applyAlignment="0" applyProtection="0"/>
    <xf numFmtId="0" fontId="592" fillId="0" borderId="142" applyNumberFormat="0" applyFill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69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69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0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40" fillId="0" borderId="142" applyNumberFormat="0" applyFill="0" applyAlignment="0" applyProtection="0">
      <alignment vertical="center"/>
    </xf>
    <xf numFmtId="0" fontId="640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2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2" fillId="54" borderId="132" applyNumberFormat="0" applyAlignment="0" applyProtection="0">
      <alignment vertical="center"/>
    </xf>
    <xf numFmtId="0" fontId="642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4" fillId="54" borderId="137" applyNumberFormat="0" applyAlignment="0" applyProtection="0">
      <alignment vertical="center"/>
    </xf>
    <xf numFmtId="0" fontId="644" fillId="54" borderId="137" applyNumberFormat="0" applyAlignment="0" applyProtection="0">
      <alignment vertical="center"/>
    </xf>
    <xf numFmtId="0" fontId="644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4" fillId="54" borderId="137" applyNumberFormat="0" applyAlignment="0" applyProtection="0">
      <alignment vertical="center"/>
    </xf>
    <xf numFmtId="0" fontId="644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4" fillId="54" borderId="137" applyNumberFormat="0" applyAlignment="0" applyProtection="0">
      <alignment vertical="center"/>
    </xf>
    <xf numFmtId="0" fontId="644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597" fillId="48" borderId="132" applyNumberFormat="0" applyAlignment="0" applyProtection="0">
      <alignment vertical="center"/>
    </xf>
    <xf numFmtId="0" fontId="592" fillId="0" borderId="142" applyNumberFormat="0" applyFill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69" fillId="51" borderId="134" applyNumberFormat="0" applyFont="0" applyAlignment="0" applyProtection="0">
      <alignment vertical="center"/>
    </xf>
    <xf numFmtId="0" fontId="169" fillId="51" borderId="134" applyNumberFormat="0" applyFont="0" applyAlignment="0" applyProtection="0">
      <alignment vertical="center"/>
    </xf>
    <xf numFmtId="0" fontId="169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69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597" fillId="48" borderId="132" applyNumberFormat="0" applyAlignment="0" applyProtection="0">
      <alignment vertical="center"/>
    </xf>
    <xf numFmtId="0" fontId="597" fillId="48" borderId="132" applyNumberFormat="0" applyAlignment="0" applyProtection="0">
      <alignment vertical="center"/>
    </xf>
    <xf numFmtId="0" fontId="597" fillId="48" borderId="132" applyNumberFormat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40" fillId="0" borderId="142" applyNumberFormat="0" applyFill="0" applyAlignment="0" applyProtection="0">
      <alignment vertical="center"/>
    </xf>
    <xf numFmtId="0" fontId="640" fillId="0" borderId="142" applyNumberFormat="0" applyFill="0" applyAlignment="0" applyProtection="0">
      <alignment vertical="center"/>
    </xf>
    <xf numFmtId="0" fontId="640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40" fillId="0" borderId="142" applyNumberFormat="0" applyFill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39" fillId="0" borderId="142" applyNumberFormat="0" applyFill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1" fillId="54" borderId="132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170" fillId="51" borderId="134" applyNumberFormat="0" applyFon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643" fillId="54" borderId="137" applyNumberFormat="0" applyAlignment="0" applyProtection="0">
      <alignment vertical="center"/>
    </xf>
    <xf numFmtId="0" fontId="17" fillId="51" borderId="134" applyNumberFormat="0" applyFont="0" applyAlignment="0" applyProtection="0"/>
    <xf numFmtId="0" fontId="17" fillId="51" borderId="134" applyNumberFormat="0" applyFont="0" applyAlignment="0" applyProtection="0"/>
    <xf numFmtId="0" fontId="17" fillId="51" borderId="134" applyNumberFormat="0" applyFont="0" applyAlignment="0" applyProtection="0"/>
    <xf numFmtId="0" fontId="65" fillId="51" borderId="134" applyNumberFormat="0" applyFont="0" applyAlignment="0" applyProtection="0"/>
    <xf numFmtId="0" fontId="17" fillId="51" borderId="134" applyNumberFormat="0" applyFont="0" applyAlignment="0" applyProtection="0"/>
    <xf numFmtId="0" fontId="221" fillId="51" borderId="134" applyNumberFormat="0" applyFont="0" applyAlignment="0" applyProtection="0"/>
    <xf numFmtId="0" fontId="65" fillId="51" borderId="134" applyNumberFormat="0" applyFont="0" applyAlignment="0" applyProtection="0"/>
    <xf numFmtId="0" fontId="338" fillId="48" borderId="132" applyNumberFormat="0" applyAlignment="0" applyProtection="0"/>
    <xf numFmtId="0" fontId="17" fillId="51" borderId="134" applyNumberFormat="0" applyFont="0" applyAlignment="0" applyProtection="0"/>
    <xf numFmtId="0" fontId="17" fillId="51" borderId="134" applyNumberFormat="0" applyFont="0" applyAlignment="0" applyProtection="0"/>
    <xf numFmtId="0" fontId="651" fillId="0" borderId="126" applyNumberFormat="0" applyFill="0" applyAlignment="0" applyProtection="0">
      <alignment vertical="center"/>
    </xf>
    <xf numFmtId="0" fontId="651" fillId="0" borderId="126" applyNumberFormat="0" applyFill="0" applyAlignment="0" applyProtection="0">
      <alignment vertical="center"/>
    </xf>
    <xf numFmtId="0" fontId="651" fillId="0" borderId="126" applyNumberFormat="0" applyFill="0" applyAlignment="0" applyProtection="0">
      <alignment vertical="center"/>
    </xf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36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2" fillId="51" borderId="134" applyNumberFormat="0" applyFont="0" applyAlignment="0" applyProtection="0"/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  <xf numFmtId="0" fontId="645" fillId="48" borderId="132" applyNumberFormat="0" applyAlignment="0" applyProtection="0">
      <alignment vertical="center"/>
    </xf>
  </cellStyleXfs>
  <cellXfs count="1044">
    <xf numFmtId="0" fontId="0" fillId="0" borderId="0" xfId="0"/>
    <xf numFmtId="3" fontId="3" fillId="2" borderId="0" xfId="4" applyNumberFormat="1" applyFont="1" applyFill="1">
      <alignment vertical="center"/>
    </xf>
    <xf numFmtId="3" fontId="5" fillId="2" borderId="0" xfId="5" applyNumberFormat="1" applyFont="1" applyFill="1">
      <alignment vertical="center"/>
    </xf>
    <xf numFmtId="3" fontId="3" fillId="2" borderId="0" xfId="4" applyNumberFormat="1" applyFont="1" applyFill="1" applyAlignment="1">
      <alignment horizontal="left" vertical="center"/>
    </xf>
    <xf numFmtId="3" fontId="6" fillId="2" borderId="0" xfId="4" applyNumberFormat="1" applyFont="1" applyFill="1" applyAlignment="1">
      <alignment horizontal="left" vertical="center"/>
    </xf>
    <xf numFmtId="3" fontId="6" fillId="2" borderId="0" xfId="4" applyNumberFormat="1" applyFont="1" applyFill="1" applyAlignment="1">
      <alignment horizontal="center" vertical="center"/>
    </xf>
    <xf numFmtId="3" fontId="8" fillId="2" borderId="3" xfId="6" applyNumberFormat="1" applyFont="1" applyFill="1" applyBorder="1"/>
    <xf numFmtId="3" fontId="8" fillId="2" borderId="4" xfId="7" applyNumberFormat="1" applyFont="1" applyFill="1" applyBorder="1" applyAlignment="1">
      <alignment vertical="center"/>
    </xf>
    <xf numFmtId="3" fontId="8" fillId="2" borderId="4" xfId="6" applyNumberFormat="1" applyFont="1" applyFill="1" applyBorder="1"/>
    <xf numFmtId="167" fontId="7" fillId="3" borderId="5" xfId="4" quotePrefix="1" applyNumberFormat="1" applyFont="1" applyFill="1" applyBorder="1" applyAlignment="1">
      <alignment horizontal="right" vertical="center"/>
    </xf>
    <xf numFmtId="167" fontId="7" fillId="3" borderId="6" xfId="4" quotePrefix="1" applyNumberFormat="1" applyFont="1" applyFill="1" applyBorder="1" applyAlignment="1">
      <alignment horizontal="right" vertical="center"/>
    </xf>
    <xf numFmtId="167" fontId="7" fillId="3" borderId="1" xfId="4" quotePrefix="1" applyNumberFormat="1" applyFont="1" applyFill="1" applyBorder="1" applyAlignment="1">
      <alignment horizontal="right" vertical="center"/>
    </xf>
    <xf numFmtId="167" fontId="7" fillId="3" borderId="2" xfId="4" quotePrefix="1" applyNumberFormat="1" applyFont="1" applyFill="1" applyBorder="1" applyAlignment="1">
      <alignment horizontal="right" vertical="center"/>
    </xf>
    <xf numFmtId="3" fontId="8" fillId="2" borderId="0" xfId="6" applyNumberFormat="1" applyFont="1" applyFill="1"/>
    <xf numFmtId="3" fontId="8" fillId="2" borderId="0" xfId="7" applyNumberFormat="1" applyFont="1" applyFill="1" applyAlignment="1">
      <alignment vertical="center"/>
    </xf>
    <xf numFmtId="3" fontId="5" fillId="2" borderId="7" xfId="5" applyNumberFormat="1" applyFont="1" applyFill="1" applyBorder="1">
      <alignment vertical="center"/>
    </xf>
    <xf numFmtId="3" fontId="5" fillId="2" borderId="8" xfId="4" applyNumberFormat="1" applyFont="1" applyFill="1" applyBorder="1">
      <alignment vertical="center"/>
    </xf>
    <xf numFmtId="3" fontId="5" fillId="2" borderId="9" xfId="4" applyNumberFormat="1" applyFont="1" applyFill="1" applyBorder="1">
      <alignment vertical="center"/>
    </xf>
    <xf numFmtId="167" fontId="8" fillId="3" borderId="5" xfId="8" applyNumberFormat="1" applyFont="1" applyFill="1" applyBorder="1" applyAlignment="1">
      <alignment horizontal="right" vertical="center"/>
    </xf>
    <xf numFmtId="167" fontId="8" fillId="3" borderId="6" xfId="8" applyNumberFormat="1" applyFont="1" applyFill="1" applyBorder="1" applyAlignment="1">
      <alignment horizontal="right" vertical="center"/>
    </xf>
    <xf numFmtId="3" fontId="5" fillId="2" borderId="10" xfId="4" applyNumberFormat="1" applyFont="1" applyFill="1" applyBorder="1">
      <alignment vertical="center"/>
    </xf>
    <xf numFmtId="3" fontId="5" fillId="2" borderId="0" xfId="4" applyNumberFormat="1" applyFont="1" applyFill="1">
      <alignment vertical="center"/>
    </xf>
    <xf numFmtId="167" fontId="8" fillId="3" borderId="11" xfId="8" applyNumberFormat="1" applyFont="1" applyFill="1" applyBorder="1" applyAlignment="1">
      <alignment horizontal="right" vertical="center"/>
    </xf>
    <xf numFmtId="167" fontId="8" fillId="3" borderId="12" xfId="8" applyNumberFormat="1" applyFont="1" applyFill="1" applyBorder="1" applyAlignment="1">
      <alignment horizontal="right" vertical="center"/>
    </xf>
    <xf numFmtId="3" fontId="5" fillId="2" borderId="13" xfId="4" applyNumberFormat="1" applyFont="1" applyFill="1" applyBorder="1">
      <alignment vertical="center"/>
    </xf>
    <xf numFmtId="3" fontId="5" fillId="2" borderId="3" xfId="4" applyNumberFormat="1" applyFont="1" applyFill="1" applyBorder="1">
      <alignment vertical="center"/>
    </xf>
    <xf numFmtId="3" fontId="5" fillId="2" borderId="4" xfId="4" applyNumberFormat="1" applyFont="1" applyFill="1" applyBorder="1">
      <alignment vertical="center"/>
    </xf>
    <xf numFmtId="167" fontId="8" fillId="2" borderId="5" xfId="2" applyNumberFormat="1" applyFont="1" applyFill="1" applyBorder="1" applyAlignment="1">
      <alignment horizontal="right" vertical="center"/>
    </xf>
    <xf numFmtId="167" fontId="8" fillId="2" borderId="6" xfId="2" applyNumberFormat="1" applyFont="1" applyFill="1" applyBorder="1" applyAlignment="1">
      <alignment horizontal="right" vertical="center"/>
    </xf>
    <xf numFmtId="167" fontId="8" fillId="0" borderId="6" xfId="2" applyNumberFormat="1" applyFont="1" applyFill="1" applyBorder="1" applyAlignment="1">
      <alignment horizontal="right" vertical="center"/>
    </xf>
    <xf numFmtId="3" fontId="5" fillId="2" borderId="14" xfId="4" applyNumberFormat="1" applyFont="1" applyFill="1" applyBorder="1">
      <alignment vertical="center"/>
    </xf>
    <xf numFmtId="3" fontId="5" fillId="2" borderId="15" xfId="4" applyNumberFormat="1" applyFont="1" applyFill="1" applyBorder="1">
      <alignment vertical="center"/>
    </xf>
    <xf numFmtId="3" fontId="5" fillId="2" borderId="14" xfId="4" quotePrefix="1" applyNumberFormat="1" applyFont="1" applyFill="1" applyBorder="1">
      <alignment vertical="center"/>
    </xf>
    <xf numFmtId="167" fontId="8" fillId="2" borderId="1" xfId="8" applyNumberFormat="1" applyFont="1" applyFill="1" applyBorder="1" applyAlignment="1">
      <alignment horizontal="right" vertical="center"/>
    </xf>
    <xf numFmtId="167" fontId="8" fillId="2" borderId="2" xfId="8" applyNumberFormat="1" applyFont="1" applyFill="1" applyBorder="1" applyAlignment="1">
      <alignment horizontal="right" vertical="center"/>
    </xf>
    <xf numFmtId="167" fontId="8" fillId="0" borderId="2" xfId="8" applyNumberFormat="1" applyFont="1" applyFill="1" applyBorder="1" applyAlignment="1">
      <alignment horizontal="right" vertical="center"/>
    </xf>
    <xf numFmtId="3" fontId="3" fillId="2" borderId="10" xfId="4" applyNumberFormat="1" applyFont="1" applyFill="1" applyBorder="1">
      <alignment vertical="center"/>
    </xf>
    <xf numFmtId="3" fontId="3" fillId="2" borderId="9" xfId="4" applyNumberFormat="1" applyFont="1" applyFill="1" applyBorder="1">
      <alignment vertical="center"/>
    </xf>
    <xf numFmtId="167" fontId="9" fillId="2" borderId="5" xfId="8" applyNumberFormat="1" applyFont="1" applyFill="1" applyBorder="1" applyAlignment="1">
      <alignment horizontal="right" vertical="center"/>
    </xf>
    <xf numFmtId="167" fontId="9" fillId="2" borderId="6" xfId="8" applyNumberFormat="1" applyFont="1" applyFill="1" applyBorder="1" applyAlignment="1">
      <alignment horizontal="right" vertical="center"/>
    </xf>
    <xf numFmtId="167" fontId="9" fillId="0" borderId="6" xfId="8" applyNumberFormat="1" applyFont="1" applyFill="1" applyBorder="1" applyAlignment="1">
      <alignment horizontal="right" vertical="center"/>
    </xf>
    <xf numFmtId="3" fontId="10" fillId="2" borderId="9" xfId="4" quotePrefix="1" applyNumberFormat="1" applyFont="1" applyFill="1" applyBorder="1">
      <alignment vertical="center"/>
    </xf>
    <xf numFmtId="3" fontId="11" fillId="2" borderId="9" xfId="4" applyNumberFormat="1" applyFont="1" applyFill="1" applyBorder="1">
      <alignment vertical="center"/>
    </xf>
    <xf numFmtId="3" fontId="12" fillId="2" borderId="15" xfId="4" applyNumberFormat="1" applyFont="1" applyFill="1" applyBorder="1">
      <alignment vertical="center"/>
    </xf>
    <xf numFmtId="3" fontId="11" fillId="2" borderId="15" xfId="4" applyNumberFormat="1" applyFont="1" applyFill="1" applyBorder="1">
      <alignment vertical="center"/>
    </xf>
    <xf numFmtId="167" fontId="8" fillId="3" borderId="16" xfId="8" applyNumberFormat="1" applyFont="1" applyFill="1" applyBorder="1" applyAlignment="1">
      <alignment horizontal="right" vertical="center"/>
    </xf>
    <xf numFmtId="167" fontId="8" fillId="3" borderId="13" xfId="8" applyNumberFormat="1" applyFont="1" applyFill="1" applyBorder="1" applyAlignment="1">
      <alignment horizontal="right" vertical="center"/>
    </xf>
    <xf numFmtId="167" fontId="8" fillId="2" borderId="11" xfId="8" applyNumberFormat="1" applyFont="1" applyFill="1" applyBorder="1" applyAlignment="1">
      <alignment horizontal="right" vertical="center"/>
    </xf>
    <xf numFmtId="167" fontId="8" fillId="2" borderId="12" xfId="8" applyNumberFormat="1" applyFont="1" applyFill="1" applyBorder="1" applyAlignment="1">
      <alignment horizontal="right" vertical="center"/>
    </xf>
    <xf numFmtId="167" fontId="8" fillId="0" borderId="12" xfId="8" applyNumberFormat="1" applyFont="1" applyFill="1" applyBorder="1" applyAlignment="1">
      <alignment horizontal="right" vertical="center"/>
    </xf>
    <xf numFmtId="3" fontId="3" fillId="2" borderId="8" xfId="4" applyNumberFormat="1" applyFont="1" applyFill="1" applyBorder="1">
      <alignment vertical="center"/>
    </xf>
    <xf numFmtId="167" fontId="9" fillId="2" borderId="17" xfId="8" applyNumberFormat="1" applyFont="1" applyFill="1" applyBorder="1" applyAlignment="1">
      <alignment horizontal="right" vertical="center"/>
    </xf>
    <xf numFmtId="167" fontId="9" fillId="2" borderId="8" xfId="8" applyNumberFormat="1" applyFont="1" applyFill="1" applyBorder="1" applyAlignment="1">
      <alignment horizontal="right" vertical="center"/>
    </xf>
    <xf numFmtId="167" fontId="9" fillId="0" borderId="8" xfId="8" applyNumberFormat="1" applyFont="1" applyFill="1" applyBorder="1" applyAlignment="1">
      <alignment horizontal="right" vertical="center"/>
    </xf>
    <xf numFmtId="3" fontId="5" fillId="2" borderId="18" xfId="4" applyNumberFormat="1" applyFont="1" applyFill="1" applyBorder="1">
      <alignment vertical="center"/>
    </xf>
    <xf numFmtId="3" fontId="13" fillId="2" borderId="19" xfId="4" applyNumberFormat="1" applyFont="1" applyFill="1" applyBorder="1">
      <alignment vertical="center"/>
    </xf>
    <xf numFmtId="3" fontId="5" fillId="2" borderId="20" xfId="4" applyNumberFormat="1" applyFont="1" applyFill="1" applyBorder="1">
      <alignment vertical="center"/>
    </xf>
    <xf numFmtId="168" fontId="14" fillId="2" borderId="21" xfId="3" applyNumberFormat="1" applyFont="1" applyFill="1" applyBorder="1" applyAlignment="1">
      <alignment horizontal="right" vertical="center"/>
    </xf>
    <xf numFmtId="168" fontId="14" fillId="2" borderId="22" xfId="3" applyNumberFormat="1" applyFont="1" applyFill="1" applyBorder="1" applyAlignment="1">
      <alignment horizontal="right" vertical="center"/>
    </xf>
    <xf numFmtId="168" fontId="14" fillId="0" borderId="22" xfId="3" applyNumberFormat="1" applyFont="1" applyFill="1" applyBorder="1" applyAlignment="1">
      <alignment horizontal="right" vertical="center"/>
    </xf>
    <xf numFmtId="3" fontId="15" fillId="2" borderId="0" xfId="4" applyNumberFormat="1" applyFont="1" applyFill="1">
      <alignment vertical="center"/>
    </xf>
    <xf numFmtId="167" fontId="8" fillId="4" borderId="11" xfId="8" applyNumberFormat="1" applyFont="1" applyFill="1" applyBorder="1" applyAlignment="1">
      <alignment horizontal="right" vertical="center"/>
    </xf>
    <xf numFmtId="167" fontId="8" fillId="4" borderId="12" xfId="8" applyNumberFormat="1" applyFont="1" applyFill="1" applyBorder="1" applyAlignment="1">
      <alignment horizontal="right" vertical="center"/>
    </xf>
    <xf numFmtId="3" fontId="15" fillId="2" borderId="15" xfId="4" applyNumberFormat="1" applyFont="1" applyFill="1" applyBorder="1">
      <alignment vertical="center"/>
    </xf>
    <xf numFmtId="167" fontId="9" fillId="2" borderId="11" xfId="8" applyNumberFormat="1" applyFont="1" applyFill="1" applyBorder="1" applyAlignment="1">
      <alignment horizontal="right" vertical="center"/>
    </xf>
    <xf numFmtId="167" fontId="9" fillId="2" borderId="12" xfId="8" applyNumberFormat="1" applyFont="1" applyFill="1" applyBorder="1" applyAlignment="1">
      <alignment horizontal="right" vertical="center"/>
    </xf>
    <xf numFmtId="167" fontId="9" fillId="0" borderId="12" xfId="8" applyNumberFormat="1" applyFont="1" applyFill="1" applyBorder="1" applyAlignment="1">
      <alignment horizontal="right" vertical="center"/>
    </xf>
    <xf numFmtId="166" fontId="15" fillId="2" borderId="9" xfId="4" applyNumberFormat="1" applyFont="1" applyFill="1" applyBorder="1">
      <alignment vertical="center"/>
    </xf>
    <xf numFmtId="167" fontId="9" fillId="2" borderId="1" xfId="8" applyNumberFormat="1" applyFont="1" applyFill="1" applyBorder="1" applyAlignment="1">
      <alignment horizontal="right" vertical="center"/>
    </xf>
    <xf numFmtId="167" fontId="9" fillId="2" borderId="2" xfId="8" applyNumberFormat="1" applyFont="1" applyFill="1" applyBorder="1" applyAlignment="1">
      <alignment horizontal="right" vertical="center"/>
    </xf>
    <xf numFmtId="167" fontId="9" fillId="0" borderId="2" xfId="8" applyNumberFormat="1" applyFont="1" applyFill="1" applyBorder="1" applyAlignment="1">
      <alignment horizontal="right" vertical="center"/>
    </xf>
    <xf numFmtId="3" fontId="5" fillId="2" borderId="10" xfId="4" quotePrefix="1" applyNumberFormat="1" applyFont="1" applyFill="1" applyBorder="1" applyAlignment="1">
      <alignment horizontal="center" vertical="center"/>
    </xf>
    <xf numFmtId="3" fontId="5" fillId="2" borderId="8" xfId="4" quotePrefix="1" applyNumberFormat="1" applyFont="1" applyFill="1" applyBorder="1" applyAlignment="1">
      <alignment horizontal="center" vertical="center"/>
    </xf>
    <xf numFmtId="3" fontId="15" fillId="2" borderId="9" xfId="4" applyNumberFormat="1" applyFont="1" applyFill="1" applyBorder="1">
      <alignment vertical="center"/>
    </xf>
    <xf numFmtId="3" fontId="5" fillId="2" borderId="12" xfId="4" quotePrefix="1" applyNumberFormat="1" applyFont="1" applyFill="1" applyBorder="1" applyAlignment="1">
      <alignment horizontal="center" vertical="center"/>
    </xf>
    <xf numFmtId="166" fontId="13" fillId="2" borderId="0" xfId="4" applyNumberFormat="1" applyFont="1" applyFill="1">
      <alignment vertical="center"/>
    </xf>
    <xf numFmtId="3" fontId="13" fillId="2" borderId="0" xfId="4" applyNumberFormat="1" applyFont="1" applyFill="1">
      <alignment vertical="center"/>
    </xf>
    <xf numFmtId="3" fontId="5" fillId="2" borderId="10" xfId="4" quotePrefix="1" applyNumberFormat="1" applyFont="1" applyFill="1" applyBorder="1" applyAlignment="1">
      <alignment horizontal="left" vertical="center"/>
    </xf>
    <xf numFmtId="3" fontId="3" fillId="2" borderId="3" xfId="4" quotePrefix="1" applyNumberFormat="1" applyFont="1" applyFill="1" applyBorder="1" applyAlignment="1">
      <alignment horizontal="left" vertical="center"/>
    </xf>
    <xf numFmtId="3" fontId="3" fillId="2" borderId="6" xfId="5" applyNumberFormat="1" applyFont="1" applyFill="1" applyBorder="1">
      <alignment vertical="center"/>
    </xf>
    <xf numFmtId="3" fontId="3" fillId="2" borderId="3" xfId="5" applyNumberFormat="1" applyFont="1" applyFill="1" applyBorder="1">
      <alignment vertical="center"/>
    </xf>
    <xf numFmtId="3" fontId="3" fillId="2" borderId="4" xfId="5" applyNumberFormat="1" applyFont="1" applyFill="1" applyBorder="1">
      <alignment vertical="center"/>
    </xf>
    <xf numFmtId="3" fontId="9" fillId="3" borderId="1" xfId="8" applyNumberFormat="1" applyFont="1" applyFill="1" applyBorder="1" applyAlignment="1">
      <alignment horizontal="right" vertical="center"/>
    </xf>
    <xf numFmtId="3" fontId="9" fillId="3" borderId="2" xfId="8" applyNumberFormat="1" applyFont="1" applyFill="1" applyBorder="1" applyAlignment="1">
      <alignment horizontal="right" vertical="center"/>
    </xf>
    <xf numFmtId="3" fontId="3" fillId="2" borderId="10" xfId="5" applyNumberFormat="1" applyFont="1" applyFill="1" applyBorder="1">
      <alignment vertical="center"/>
    </xf>
    <xf numFmtId="3" fontId="3" fillId="2" borderId="14" xfId="4" applyNumberFormat="1" applyFont="1" applyFill="1" applyBorder="1">
      <alignment vertical="center"/>
    </xf>
    <xf numFmtId="3" fontId="3" fillId="2" borderId="4" xfId="4" applyNumberFormat="1" applyFont="1" applyFill="1" applyBorder="1">
      <alignment vertical="center"/>
    </xf>
    <xf numFmtId="3" fontId="3" fillId="2" borderId="2" xfId="4" applyNumberFormat="1" applyFont="1" applyFill="1" applyBorder="1">
      <alignment vertical="center"/>
    </xf>
    <xf numFmtId="3" fontId="3" fillId="2" borderId="3" xfId="4" applyNumberFormat="1" applyFont="1" applyFill="1" applyBorder="1">
      <alignment vertical="center"/>
    </xf>
    <xf numFmtId="169" fontId="9" fillId="3" borderId="1" xfId="8" applyNumberFormat="1" applyFont="1" applyFill="1" applyBorder="1" applyAlignment="1">
      <alignment horizontal="right" vertical="center"/>
    </xf>
    <xf numFmtId="169" fontId="9" fillId="3" borderId="2" xfId="8" applyNumberFormat="1" applyFont="1" applyFill="1" applyBorder="1" applyAlignment="1">
      <alignment horizontal="right" vertical="center"/>
    </xf>
    <xf numFmtId="3" fontId="5" fillId="2" borderId="4" xfId="5" applyNumberFormat="1" applyFont="1" applyFill="1" applyBorder="1">
      <alignment vertical="center"/>
    </xf>
    <xf numFmtId="167" fontId="9" fillId="3" borderId="23" xfId="8" applyNumberFormat="1" applyFont="1" applyFill="1" applyBorder="1" applyAlignment="1">
      <alignment horizontal="right" vertical="center"/>
    </xf>
    <xf numFmtId="167" fontId="9" fillId="3" borderId="24" xfId="8" applyNumberFormat="1" applyFont="1" applyFill="1" applyBorder="1" applyAlignment="1">
      <alignment horizontal="right" vertical="center"/>
    </xf>
    <xf numFmtId="3" fontId="4" fillId="2" borderId="0" xfId="5" applyNumberFormat="1" applyFill="1">
      <alignment vertical="center"/>
    </xf>
    <xf numFmtId="3" fontId="9" fillId="2" borderId="2" xfId="8" applyNumberFormat="1" applyFont="1" applyFill="1" applyBorder="1" applyAlignment="1">
      <alignment horizontal="right" vertical="center"/>
    </xf>
    <xf numFmtId="3" fontId="15" fillId="2" borderId="4" xfId="4" applyNumberFormat="1" applyFont="1" applyFill="1" applyBorder="1">
      <alignment vertical="center"/>
    </xf>
    <xf numFmtId="3" fontId="15" fillId="2" borderId="25" xfId="4" applyNumberFormat="1" applyFont="1" applyFill="1" applyBorder="1">
      <alignment vertical="center"/>
    </xf>
    <xf numFmtId="165" fontId="4" fillId="2" borderId="0" xfId="1" applyFont="1" applyFill="1" applyAlignment="1">
      <alignment vertical="center"/>
    </xf>
    <xf numFmtId="165" fontId="5" fillId="2" borderId="0" xfId="1" applyFont="1" applyFill="1" applyAlignment="1">
      <alignment vertical="center"/>
    </xf>
    <xf numFmtId="166" fontId="7" fillId="2" borderId="26" xfId="4" quotePrefix="1" applyNumberFormat="1" applyFont="1" applyFill="1" applyBorder="1" applyAlignment="1">
      <alignment horizontal="center" vertical="center" wrapText="1"/>
    </xf>
    <xf numFmtId="166" fontId="7" fillId="2" borderId="27" xfId="4" quotePrefix="1" applyNumberFormat="1" applyFont="1" applyFill="1" applyBorder="1" applyAlignment="1">
      <alignment horizontal="center" vertical="center" wrapText="1"/>
    </xf>
    <xf numFmtId="166" fontId="7" fillId="2" borderId="28" xfId="4" quotePrefix="1" applyNumberFormat="1" applyFont="1" applyFill="1" applyBorder="1" applyAlignment="1">
      <alignment horizontal="center" vertical="center" wrapText="1"/>
    </xf>
    <xf numFmtId="3" fontId="4" fillId="2" borderId="0" xfId="5" applyNumberFormat="1" applyFill="1" applyAlignment="1">
      <alignment horizontal="right" vertical="center"/>
    </xf>
    <xf numFmtId="3" fontId="5" fillId="2" borderId="0" xfId="5" applyNumberFormat="1" applyFont="1" applyFill="1" applyAlignment="1">
      <alignment horizontal="right" vertical="center"/>
    </xf>
    <xf numFmtId="167" fontId="7" fillId="5" borderId="6" xfId="4" quotePrefix="1" applyNumberFormat="1" applyFont="1" applyFill="1" applyBorder="1" applyAlignment="1">
      <alignment horizontal="right" vertical="center"/>
    </xf>
    <xf numFmtId="167" fontId="7" fillId="5" borderId="2" xfId="4" quotePrefix="1" applyNumberFormat="1" applyFont="1" applyFill="1" applyBorder="1" applyAlignment="1">
      <alignment horizontal="right" vertical="center"/>
    </xf>
    <xf numFmtId="167" fontId="7" fillId="5" borderId="6" xfId="4" quotePrefix="1" applyNumberFormat="1" applyFont="1" applyFill="1" applyBorder="1" applyAlignment="1">
      <alignment horizontal="center" vertical="center"/>
    </xf>
    <xf numFmtId="167" fontId="8" fillId="5" borderId="6" xfId="8" applyNumberFormat="1" applyFont="1" applyFill="1" applyBorder="1" applyAlignment="1">
      <alignment horizontal="right" vertical="center"/>
    </xf>
    <xf numFmtId="167" fontId="8" fillId="5" borderId="12" xfId="8" applyNumberFormat="1" applyFont="1" applyFill="1" applyBorder="1" applyAlignment="1">
      <alignment horizontal="right" vertical="center"/>
    </xf>
    <xf numFmtId="167" fontId="9" fillId="5" borderId="6" xfId="8" applyNumberFormat="1" applyFont="1" applyFill="1" applyBorder="1" applyAlignment="1">
      <alignment horizontal="right" vertical="center"/>
    </xf>
    <xf numFmtId="167" fontId="8" fillId="5" borderId="13" xfId="8" applyNumberFormat="1" applyFont="1" applyFill="1" applyBorder="1" applyAlignment="1">
      <alignment horizontal="right" vertical="center"/>
    </xf>
    <xf numFmtId="167" fontId="9" fillId="5" borderId="8" xfId="8" applyNumberFormat="1" applyFont="1" applyFill="1" applyBorder="1" applyAlignment="1">
      <alignment horizontal="right" vertical="center"/>
    </xf>
    <xf numFmtId="168" fontId="14" fillId="5" borderId="22" xfId="9" applyNumberFormat="1" applyFont="1" applyFill="1" applyBorder="1" applyAlignment="1">
      <alignment horizontal="right" vertical="center"/>
    </xf>
    <xf numFmtId="167" fontId="9" fillId="5" borderId="12" xfId="8" applyNumberFormat="1" applyFont="1" applyFill="1" applyBorder="1" applyAlignment="1">
      <alignment horizontal="right" vertical="center"/>
    </xf>
    <xf numFmtId="167" fontId="8" fillId="4" borderId="6" xfId="8" applyNumberFormat="1" applyFont="1" applyFill="1" applyBorder="1" applyAlignment="1">
      <alignment horizontal="right" vertical="center"/>
    </xf>
    <xf numFmtId="168" fontId="14" fillId="5" borderId="22" xfId="3" applyNumberFormat="1" applyFont="1" applyFill="1" applyBorder="1" applyAlignment="1">
      <alignment horizontal="right" vertical="center"/>
    </xf>
    <xf numFmtId="167" fontId="5" fillId="2" borderId="0" xfId="5" applyNumberFormat="1" applyFont="1" applyFill="1">
      <alignment vertical="center"/>
    </xf>
    <xf numFmtId="167" fontId="3" fillId="5" borderId="2" xfId="5" applyNumberFormat="1" applyFont="1" applyFill="1" applyBorder="1">
      <alignment vertical="center"/>
    </xf>
    <xf numFmtId="167" fontId="9" fillId="5" borderId="2" xfId="8" applyNumberFormat="1" applyFont="1" applyFill="1" applyBorder="1" applyAlignment="1">
      <alignment horizontal="right" vertical="center"/>
    </xf>
    <xf numFmtId="167" fontId="5" fillId="5" borderId="2" xfId="5" applyNumberFormat="1" applyFont="1" applyFill="1" applyBorder="1">
      <alignment vertical="center"/>
    </xf>
    <xf numFmtId="165" fontId="0" fillId="0" borderId="0" xfId="0" applyNumberFormat="1"/>
    <xf numFmtId="166" fontId="0" fillId="0" borderId="0" xfId="0" applyNumberFormat="1"/>
    <xf numFmtId="0" fontId="17" fillId="0" borderId="0" xfId="0" applyFont="1"/>
    <xf numFmtId="0" fontId="17" fillId="0" borderId="8" xfId="0" applyFont="1" applyBorder="1"/>
    <xf numFmtId="0" fontId="0" fillId="6" borderId="9" xfId="0" applyFill="1" applyBorder="1"/>
    <xf numFmtId="0" fontId="0" fillId="0" borderId="9" xfId="0" applyBorder="1"/>
    <xf numFmtId="0" fontId="0" fillId="0" borderId="29" xfId="0" applyBorder="1"/>
    <xf numFmtId="0" fontId="17" fillId="0" borderId="10" xfId="0" applyFont="1" applyBorder="1"/>
    <xf numFmtId="0" fontId="0" fillId="6" borderId="0" xfId="0" applyFill="1"/>
    <xf numFmtId="0" fontId="0" fillId="0" borderId="31" xfId="0" applyBorder="1"/>
    <xf numFmtId="0" fontId="17" fillId="0" borderId="14" xfId="0" applyFont="1" applyBorder="1"/>
    <xf numFmtId="0" fontId="0" fillId="6" borderId="15" xfId="0" applyFill="1" applyBorder="1"/>
    <xf numFmtId="0" fontId="0" fillId="6" borderId="30" xfId="0" applyFill="1" applyBorder="1"/>
    <xf numFmtId="0" fontId="0" fillId="0" borderId="15" xfId="0" applyBorder="1"/>
    <xf numFmtId="0" fontId="18" fillId="0" borderId="0" xfId="0" applyFont="1"/>
    <xf numFmtId="3" fontId="3" fillId="2" borderId="0" xfId="4" applyNumberFormat="1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166" fontId="7" fillId="2" borderId="1" xfId="4" quotePrefix="1" applyNumberFormat="1" applyFont="1" applyFill="1" applyBorder="1" applyAlignment="1">
      <alignment horizontal="center" vertical="center" wrapText="1"/>
    </xf>
    <xf numFmtId="166" fontId="7" fillId="2" borderId="2" xfId="4" quotePrefix="1" applyNumberFormat="1" applyFont="1" applyFill="1" applyBorder="1" applyAlignment="1">
      <alignment horizontal="center" vertical="center" wrapText="1"/>
    </xf>
    <xf numFmtId="166" fontId="7" fillId="7" borderId="35" xfId="4" quotePrefix="1" applyNumberFormat="1" applyFont="1" applyFill="1" applyBorder="1" applyAlignment="1">
      <alignment horizontal="center" vertical="center" wrapText="1"/>
    </xf>
    <xf numFmtId="166" fontId="7" fillId="5" borderId="13" xfId="4" quotePrefix="1" applyNumberFormat="1" applyFont="1" applyFill="1" applyBorder="1" applyAlignment="1">
      <alignment horizontal="center" vertical="center" wrapText="1"/>
    </xf>
    <xf numFmtId="166" fontId="7" fillId="8" borderId="30" xfId="4" quotePrefix="1" applyNumberFormat="1" applyFont="1" applyFill="1" applyBorder="1" applyAlignment="1">
      <alignment horizontal="center" vertical="center"/>
    </xf>
    <xf numFmtId="166" fontId="7" fillId="9" borderId="13" xfId="4" quotePrefix="1" applyNumberFormat="1" applyFont="1" applyFill="1" applyBorder="1" applyAlignment="1">
      <alignment horizontal="center" vertical="center" wrapText="1"/>
    </xf>
    <xf numFmtId="166" fontId="7" fillId="10" borderId="13" xfId="4" quotePrefix="1" applyNumberFormat="1" applyFont="1" applyFill="1" applyBorder="1" applyAlignment="1">
      <alignment horizontal="center" vertical="center" wrapText="1"/>
    </xf>
    <xf numFmtId="167" fontId="7" fillId="7" borderId="36" xfId="4" quotePrefix="1" applyNumberFormat="1" applyFont="1" applyFill="1" applyBorder="1" applyAlignment="1">
      <alignment horizontal="right" vertical="center"/>
    </xf>
    <xf numFmtId="167" fontId="5" fillId="2" borderId="0" xfId="5" applyNumberFormat="1" applyFont="1" applyFill="1" applyAlignment="1">
      <alignment horizontal="right" vertical="center"/>
    </xf>
    <xf numFmtId="167" fontId="5" fillId="2" borderId="2" xfId="5" applyNumberFormat="1" applyFont="1" applyFill="1" applyBorder="1">
      <alignment vertical="center"/>
    </xf>
    <xf numFmtId="167" fontId="8" fillId="8" borderId="6" xfId="4" quotePrefix="1" applyNumberFormat="1" applyFont="1" applyFill="1" applyBorder="1" applyAlignment="1">
      <alignment horizontal="right" vertical="center"/>
    </xf>
    <xf numFmtId="167" fontId="7" fillId="9" borderId="6" xfId="4" quotePrefix="1" applyNumberFormat="1" applyFont="1" applyFill="1" applyBorder="1" applyAlignment="1">
      <alignment horizontal="right" vertical="center"/>
    </xf>
    <xf numFmtId="167" fontId="7" fillId="10" borderId="6" xfId="4" quotePrefix="1" applyNumberFormat="1" applyFont="1" applyFill="1" applyBorder="1" applyAlignment="1">
      <alignment horizontal="right" vertical="center"/>
    </xf>
    <xf numFmtId="167" fontId="7" fillId="7" borderId="37" xfId="4" quotePrefix="1" applyNumberFormat="1" applyFont="1" applyFill="1" applyBorder="1" applyAlignment="1">
      <alignment horizontal="right" vertical="center"/>
    </xf>
    <xf numFmtId="167" fontId="8" fillId="8" borderId="2" xfId="4" quotePrefix="1" applyNumberFormat="1" applyFont="1" applyFill="1" applyBorder="1" applyAlignment="1">
      <alignment horizontal="right" vertical="center"/>
    </xf>
    <xf numFmtId="167" fontId="7" fillId="9" borderId="2" xfId="4" quotePrefix="1" applyNumberFormat="1" applyFont="1" applyFill="1" applyBorder="1" applyAlignment="1">
      <alignment horizontal="right" vertical="center"/>
    </xf>
    <xf numFmtId="167" fontId="7" fillId="10" borderId="2" xfId="4" quotePrefix="1" applyNumberFormat="1" applyFont="1" applyFill="1" applyBorder="1" applyAlignment="1">
      <alignment horizontal="right" vertical="center"/>
    </xf>
    <xf numFmtId="3" fontId="5" fillId="2" borderId="38" xfId="5" applyNumberFormat="1" applyFont="1" applyFill="1" applyBorder="1">
      <alignment vertical="center"/>
    </xf>
    <xf numFmtId="167" fontId="8" fillId="7" borderId="36" xfId="8" applyNumberFormat="1" applyFont="1" applyFill="1" applyBorder="1" applyAlignment="1">
      <alignment horizontal="right" vertical="center"/>
    </xf>
    <xf numFmtId="167" fontId="8" fillId="2" borderId="6" xfId="8" applyNumberFormat="1" applyFont="1" applyFill="1" applyBorder="1" applyAlignment="1">
      <alignment horizontal="right" vertical="center"/>
    </xf>
    <xf numFmtId="167" fontId="8" fillId="8" borderId="6" xfId="8" applyNumberFormat="1" applyFont="1" applyFill="1" applyBorder="1" applyAlignment="1">
      <alignment horizontal="right" vertical="center"/>
    </xf>
    <xf numFmtId="167" fontId="8" fillId="9" borderId="6" xfId="8" applyNumberFormat="1" applyFont="1" applyFill="1" applyBorder="1" applyAlignment="1">
      <alignment horizontal="right" vertical="center"/>
    </xf>
    <xf numFmtId="167" fontId="8" fillId="10" borderId="6" xfId="8" applyNumberFormat="1" applyFont="1" applyFill="1" applyBorder="1" applyAlignment="1">
      <alignment horizontal="right" vertical="center"/>
    </xf>
    <xf numFmtId="167" fontId="8" fillId="7" borderId="39" xfId="8" applyNumberFormat="1" applyFont="1" applyFill="1" applyBorder="1" applyAlignment="1">
      <alignment horizontal="right" vertical="center"/>
    </xf>
    <xf numFmtId="167" fontId="8" fillId="8" borderId="12" xfId="8" applyNumberFormat="1" applyFont="1" applyFill="1" applyBorder="1" applyAlignment="1">
      <alignment horizontal="right" vertical="center"/>
    </xf>
    <xf numFmtId="167" fontId="8" fillId="9" borderId="12" xfId="8" applyNumberFormat="1" applyFont="1" applyFill="1" applyBorder="1" applyAlignment="1">
      <alignment horizontal="right" vertical="center"/>
    </xf>
    <xf numFmtId="167" fontId="8" fillId="10" borderId="12" xfId="8" applyNumberFormat="1" applyFont="1" applyFill="1" applyBorder="1" applyAlignment="1">
      <alignment horizontal="right" vertical="center"/>
    </xf>
    <xf numFmtId="167" fontId="8" fillId="7" borderId="37" xfId="8" applyNumberFormat="1" applyFont="1" applyFill="1" applyBorder="1" applyAlignment="1">
      <alignment horizontal="right" vertical="center"/>
    </xf>
    <xf numFmtId="167" fontId="8" fillId="8" borderId="2" xfId="8" applyNumberFormat="1" applyFont="1" applyFill="1" applyBorder="1" applyAlignment="1">
      <alignment horizontal="right" vertical="center"/>
    </xf>
    <xf numFmtId="167" fontId="9" fillId="7" borderId="36" xfId="8" applyNumberFormat="1" applyFont="1" applyFill="1" applyBorder="1" applyAlignment="1">
      <alignment horizontal="right" vertical="center"/>
    </xf>
    <xf numFmtId="167" fontId="9" fillId="8" borderId="6" xfId="8" applyNumberFormat="1" applyFont="1" applyFill="1" applyBorder="1" applyAlignment="1">
      <alignment horizontal="right" vertical="center"/>
    </xf>
    <xf numFmtId="167" fontId="9" fillId="9" borderId="6" xfId="8" applyNumberFormat="1" applyFont="1" applyFill="1" applyBorder="1" applyAlignment="1">
      <alignment horizontal="right" vertical="center"/>
    </xf>
    <xf numFmtId="167" fontId="9" fillId="10" borderId="6" xfId="8" applyNumberFormat="1" applyFont="1" applyFill="1" applyBorder="1" applyAlignment="1">
      <alignment horizontal="right" vertical="center"/>
    </xf>
    <xf numFmtId="167" fontId="8" fillId="7" borderId="35" xfId="8" applyNumberFormat="1" applyFont="1" applyFill="1" applyBorder="1" applyAlignment="1">
      <alignment horizontal="right" vertical="center"/>
    </xf>
    <xf numFmtId="167" fontId="8" fillId="2" borderId="13" xfId="8" applyNumberFormat="1" applyFont="1" applyFill="1" applyBorder="1" applyAlignment="1">
      <alignment horizontal="right" vertical="center"/>
    </xf>
    <xf numFmtId="167" fontId="8" fillId="8" borderId="13" xfId="8" applyNumberFormat="1" applyFont="1" applyFill="1" applyBorder="1" applyAlignment="1">
      <alignment horizontal="right" vertical="center"/>
    </xf>
    <xf numFmtId="167" fontId="8" fillId="9" borderId="13" xfId="8" applyNumberFormat="1" applyFont="1" applyFill="1" applyBorder="1" applyAlignment="1">
      <alignment horizontal="right" vertical="center"/>
    </xf>
    <xf numFmtId="167" fontId="8" fillId="10" borderId="13" xfId="8" applyNumberFormat="1" applyFont="1" applyFill="1" applyBorder="1" applyAlignment="1">
      <alignment horizontal="right" vertical="center"/>
    </xf>
    <xf numFmtId="167" fontId="5" fillId="2" borderId="12" xfId="5" applyNumberFormat="1" applyFont="1" applyFill="1" applyBorder="1">
      <alignment vertical="center"/>
    </xf>
    <xf numFmtId="167" fontId="9" fillId="9" borderId="8" xfId="8" applyNumberFormat="1" applyFont="1" applyFill="1" applyBorder="1" applyAlignment="1">
      <alignment horizontal="right" vertical="center"/>
    </xf>
    <xf numFmtId="167" fontId="9" fillId="10" borderId="8" xfId="8" applyNumberFormat="1" applyFont="1" applyFill="1" applyBorder="1" applyAlignment="1">
      <alignment horizontal="right" vertical="center"/>
    </xf>
    <xf numFmtId="168" fontId="14" fillId="2" borderId="22" xfId="9" applyNumberFormat="1" applyFont="1" applyFill="1" applyBorder="1" applyAlignment="1">
      <alignment horizontal="right" vertical="center"/>
    </xf>
    <xf numFmtId="168" fontId="14" fillId="8" borderId="22" xfId="3" applyNumberFormat="1" applyFont="1" applyFill="1" applyBorder="1" applyAlignment="1">
      <alignment horizontal="right" vertical="center"/>
    </xf>
    <xf numFmtId="168" fontId="14" fillId="9" borderId="22" xfId="9" applyNumberFormat="1" applyFont="1" applyFill="1" applyBorder="1" applyAlignment="1">
      <alignment horizontal="right" vertical="center"/>
    </xf>
    <xf numFmtId="168" fontId="14" fillId="10" borderId="22" xfId="9" applyNumberFormat="1" applyFont="1" applyFill="1" applyBorder="1" applyAlignment="1">
      <alignment horizontal="right" vertical="center"/>
    </xf>
    <xf numFmtId="167" fontId="8" fillId="4" borderId="39" xfId="8" applyNumberFormat="1" applyFont="1" applyFill="1" applyBorder="1" applyAlignment="1">
      <alignment horizontal="right" vertical="center"/>
    </xf>
    <xf numFmtId="167" fontId="9" fillId="7" borderId="39" xfId="8" applyNumberFormat="1" applyFont="1" applyFill="1" applyBorder="1" applyAlignment="1">
      <alignment horizontal="right" vertical="center"/>
    </xf>
    <xf numFmtId="167" fontId="9" fillId="8" borderId="12" xfId="8" applyNumberFormat="1" applyFont="1" applyFill="1" applyBorder="1" applyAlignment="1">
      <alignment horizontal="right" vertical="center"/>
    </xf>
    <xf numFmtId="167" fontId="9" fillId="9" borderId="12" xfId="8" applyNumberFormat="1" applyFont="1" applyFill="1" applyBorder="1" applyAlignment="1">
      <alignment horizontal="right" vertical="center"/>
    </xf>
    <xf numFmtId="167" fontId="9" fillId="10" borderId="12" xfId="8" applyNumberFormat="1" applyFont="1" applyFill="1" applyBorder="1" applyAlignment="1">
      <alignment horizontal="right" vertical="center"/>
    </xf>
    <xf numFmtId="167" fontId="9" fillId="7" borderId="37" xfId="8" applyNumberFormat="1" applyFont="1" applyFill="1" applyBorder="1" applyAlignment="1">
      <alignment horizontal="right" vertical="center"/>
    </xf>
    <xf numFmtId="168" fontId="14" fillId="7" borderId="40" xfId="3" applyNumberFormat="1" applyFont="1" applyFill="1" applyBorder="1" applyAlignment="1">
      <alignment horizontal="right" vertical="center"/>
    </xf>
    <xf numFmtId="168" fontId="5" fillId="2" borderId="0" xfId="3" applyNumberFormat="1" applyFont="1" applyFill="1" applyBorder="1" applyAlignment="1">
      <alignment vertical="center"/>
    </xf>
    <xf numFmtId="168" fontId="5" fillId="2" borderId="0" xfId="3" applyNumberFormat="1" applyFont="1" applyFill="1" applyAlignment="1">
      <alignment vertical="center"/>
    </xf>
    <xf numFmtId="168" fontId="14" fillId="9" borderId="22" xfId="3" applyNumberFormat="1" applyFont="1" applyFill="1" applyBorder="1" applyAlignment="1">
      <alignment horizontal="right" vertical="center"/>
    </xf>
    <xf numFmtId="168" fontId="14" fillId="10" borderId="22" xfId="3" applyNumberFormat="1" applyFont="1" applyFill="1" applyBorder="1" applyAlignment="1">
      <alignment horizontal="right" vertical="center"/>
    </xf>
    <xf numFmtId="167" fontId="5" fillId="2" borderId="38" xfId="5" applyNumberFormat="1" applyFont="1" applyFill="1" applyBorder="1">
      <alignment vertical="center"/>
    </xf>
    <xf numFmtId="167" fontId="9" fillId="3" borderId="2" xfId="8" applyNumberFormat="1" applyFont="1" applyFill="1" applyBorder="1" applyAlignment="1">
      <alignment horizontal="right" vertical="center"/>
    </xf>
    <xf numFmtId="167" fontId="3" fillId="3" borderId="2" xfId="5" applyNumberFormat="1" applyFont="1" applyFill="1" applyBorder="1">
      <alignment vertical="center"/>
    </xf>
    <xf numFmtId="167" fontId="3" fillId="10" borderId="2" xfId="5" applyNumberFormat="1" applyFont="1" applyFill="1" applyBorder="1">
      <alignment vertical="center"/>
    </xf>
    <xf numFmtId="167" fontId="9" fillId="10" borderId="2" xfId="8" applyNumberFormat="1" applyFont="1" applyFill="1" applyBorder="1" applyAlignment="1">
      <alignment horizontal="right" vertical="center"/>
    </xf>
    <xf numFmtId="170" fontId="9" fillId="2" borderId="2" xfId="2" applyNumberFormat="1" applyFont="1" applyFill="1" applyBorder="1" applyAlignment="1">
      <alignment horizontal="right" vertical="center"/>
    </xf>
    <xf numFmtId="167" fontId="9" fillId="8" borderId="2" xfId="8" applyNumberFormat="1" applyFont="1" applyFill="1" applyBorder="1" applyAlignment="1">
      <alignment horizontal="right" vertical="center"/>
    </xf>
    <xf numFmtId="167" fontId="9" fillId="9" borderId="2" xfId="8" applyNumberFormat="1" applyFont="1" applyFill="1" applyBorder="1" applyAlignment="1">
      <alignment horizontal="right" vertical="center"/>
    </xf>
    <xf numFmtId="164" fontId="5" fillId="2" borderId="0" xfId="2" applyFont="1" applyFill="1" applyAlignment="1">
      <alignment vertical="center"/>
    </xf>
    <xf numFmtId="167" fontId="9" fillId="7" borderId="41" xfId="8" applyNumberFormat="1" applyFont="1" applyFill="1" applyBorder="1" applyAlignment="1">
      <alignment horizontal="right" vertical="center"/>
    </xf>
    <xf numFmtId="167" fontId="5" fillId="3" borderId="2" xfId="5" applyNumberFormat="1" applyFont="1" applyFill="1" applyBorder="1">
      <alignment vertical="center"/>
    </xf>
    <xf numFmtId="167" fontId="5" fillId="9" borderId="2" xfId="5" applyNumberFormat="1" applyFont="1" applyFill="1" applyBorder="1">
      <alignment vertical="center"/>
    </xf>
    <xf numFmtId="167" fontId="5" fillId="10" borderId="2" xfId="5" applyNumberFormat="1" applyFont="1" applyFill="1" applyBorder="1">
      <alignment vertical="center"/>
    </xf>
    <xf numFmtId="167" fontId="3" fillId="8" borderId="2" xfId="5" applyNumberFormat="1" applyFont="1" applyFill="1" applyBorder="1">
      <alignment vertical="center"/>
    </xf>
    <xf numFmtId="167" fontId="3" fillId="9" borderId="2" xfId="5" applyNumberFormat="1" applyFont="1" applyFill="1" applyBorder="1">
      <alignment vertical="center"/>
    </xf>
    <xf numFmtId="4" fontId="5" fillId="3" borderId="2" xfId="5" applyNumberFormat="1" applyFont="1" applyFill="1" applyBorder="1">
      <alignment vertical="center"/>
    </xf>
    <xf numFmtId="170" fontId="8" fillId="2" borderId="2" xfId="2" applyNumberFormat="1" applyFont="1" applyFill="1" applyBorder="1" applyAlignment="1">
      <alignment horizontal="right" vertical="center"/>
    </xf>
    <xf numFmtId="3" fontId="21" fillId="2" borderId="0" xfId="5" applyNumberFormat="1" applyFont="1" applyFill="1">
      <alignment vertical="center"/>
    </xf>
    <xf numFmtId="3" fontId="9" fillId="6" borderId="0" xfId="5" applyNumberFormat="1" applyFont="1" applyFill="1">
      <alignment vertical="center"/>
    </xf>
    <xf numFmtId="0" fontId="19" fillId="0" borderId="2" xfId="0" applyFont="1" applyBorder="1" applyAlignment="1">
      <alignment horizontal="right"/>
    </xf>
    <xf numFmtId="0" fontId="22" fillId="0" borderId="2" xfId="0" applyFont="1" applyBorder="1"/>
    <xf numFmtId="0" fontId="23" fillId="0" borderId="0" xfId="11" quotePrefix="1" applyFont="1" applyAlignment="1">
      <alignment horizontal="center" vertical="center"/>
    </xf>
    <xf numFmtId="0" fontId="24" fillId="0" borderId="0" xfId="11" applyFont="1" applyAlignment="1">
      <alignment vertical="center"/>
    </xf>
    <xf numFmtId="0" fontId="23" fillId="0" borderId="0" xfId="11" quotePrefix="1" applyFont="1" applyAlignment="1">
      <alignment horizontal="right" vertical="center"/>
    </xf>
    <xf numFmtId="0" fontId="25" fillId="0" borderId="8" xfId="11" applyFont="1" applyBorder="1" applyAlignment="1">
      <alignment horizontal="center" vertical="center" wrapText="1"/>
    </xf>
    <xf numFmtId="0" fontId="24" fillId="0" borderId="4" xfId="11" applyFont="1" applyBorder="1" applyAlignment="1">
      <alignment vertical="center"/>
    </xf>
    <xf numFmtId="0" fontId="24" fillId="0" borderId="25" xfId="11" applyFont="1" applyBorder="1" applyAlignment="1">
      <alignment vertical="center"/>
    </xf>
    <xf numFmtId="0" fontId="24" fillId="0" borderId="0" xfId="11" applyFont="1"/>
    <xf numFmtId="0" fontId="25" fillId="0" borderId="14" xfId="11" applyFont="1" applyBorder="1" applyAlignment="1">
      <alignment horizontal="center" vertical="center" wrapText="1"/>
    </xf>
    <xf numFmtId="0" fontId="25" fillId="11" borderId="6" xfId="11" applyFont="1" applyFill="1" applyBorder="1" applyAlignment="1">
      <alignment horizontal="center" vertical="center" wrapText="1"/>
    </xf>
    <xf numFmtId="0" fontId="25" fillId="12" borderId="6" xfId="11" applyFont="1" applyFill="1" applyBorder="1" applyAlignment="1">
      <alignment horizontal="center" vertical="center" wrapText="1"/>
    </xf>
    <xf numFmtId="0" fontId="25" fillId="13" borderId="6" xfId="11" applyFont="1" applyFill="1" applyBorder="1" applyAlignment="1">
      <alignment horizontal="center" vertical="center" wrapText="1"/>
    </xf>
    <xf numFmtId="171" fontId="26" fillId="2" borderId="2" xfId="11" applyNumberFormat="1" applyFont="1" applyFill="1" applyBorder="1" applyAlignment="1">
      <alignment horizontal="center" vertical="center"/>
    </xf>
    <xf numFmtId="171" fontId="26" fillId="0" borderId="3" xfId="11" applyNumberFormat="1" applyFont="1" applyBorder="1" applyAlignment="1">
      <alignment horizontal="center" vertical="center"/>
    </xf>
    <xf numFmtId="171" fontId="26" fillId="14" borderId="3" xfId="11" applyNumberFormat="1" applyFont="1" applyFill="1" applyBorder="1" applyAlignment="1">
      <alignment horizontal="center" vertical="center"/>
    </xf>
    <xf numFmtId="171" fontId="26" fillId="14" borderId="2" xfId="11" applyNumberFormat="1" applyFont="1" applyFill="1" applyBorder="1" applyAlignment="1">
      <alignment horizontal="center" vertical="center"/>
    </xf>
    <xf numFmtId="0" fontId="23" fillId="0" borderId="0" xfId="11" applyFont="1" applyAlignment="1">
      <alignment vertical="center"/>
    </xf>
    <xf numFmtId="0" fontId="27" fillId="0" borderId="0" xfId="11" quotePrefix="1" applyFont="1"/>
    <xf numFmtId="0" fontId="24" fillId="0" borderId="0" xfId="11" applyFont="1" applyAlignment="1">
      <alignment horizontal="left" vertical="center"/>
    </xf>
    <xf numFmtId="171" fontId="25" fillId="12" borderId="43" xfId="11" applyNumberFormat="1" applyFont="1" applyFill="1" applyBorder="1" applyAlignment="1">
      <alignment horizontal="centerContinuous" vertical="center"/>
    </xf>
    <xf numFmtId="171" fontId="25" fillId="12" borderId="44" xfId="11" applyNumberFormat="1" applyFont="1" applyFill="1" applyBorder="1" applyAlignment="1">
      <alignment horizontal="centerContinuous" vertical="center"/>
    </xf>
    <xf numFmtId="171" fontId="25" fillId="12" borderId="45" xfId="11" applyNumberFormat="1" applyFont="1" applyFill="1" applyBorder="1" applyAlignment="1">
      <alignment horizontal="centerContinuous" vertical="center"/>
    </xf>
    <xf numFmtId="0" fontId="25" fillId="13" borderId="43" xfId="11" applyFont="1" applyFill="1" applyBorder="1" applyAlignment="1">
      <alignment horizontal="centerContinuous" vertical="center"/>
    </xf>
    <xf numFmtId="0" fontId="25" fillId="13" borderId="44" xfId="11" applyFont="1" applyFill="1" applyBorder="1" applyAlignment="1">
      <alignment horizontal="centerContinuous" vertical="center"/>
    </xf>
    <xf numFmtId="0" fontId="25" fillId="13" borderId="45" xfId="11" applyFont="1" applyFill="1" applyBorder="1" applyAlignment="1">
      <alignment horizontal="centerContinuous" vertical="center"/>
    </xf>
    <xf numFmtId="0" fontId="26" fillId="15" borderId="47" xfId="12" applyFont="1" applyFill="1" applyBorder="1" applyAlignment="1">
      <alignment horizontal="centerContinuous" vertical="center" wrapText="1"/>
    </xf>
    <xf numFmtId="0" fontId="26" fillId="15" borderId="15" xfId="12" applyFont="1" applyFill="1" applyBorder="1" applyAlignment="1">
      <alignment horizontal="centerContinuous" vertical="center" wrapText="1"/>
    </xf>
    <xf numFmtId="0" fontId="26" fillId="15" borderId="30" xfId="12" applyFont="1" applyFill="1" applyBorder="1" applyAlignment="1">
      <alignment horizontal="centerContinuous" vertical="center" wrapText="1"/>
    </xf>
    <xf numFmtId="0" fontId="26" fillId="15" borderId="10" xfId="12" applyFont="1" applyFill="1" applyBorder="1" applyAlignment="1">
      <alignment horizontal="centerContinuous" vertical="center" wrapText="1"/>
    </xf>
    <xf numFmtId="0" fontId="26" fillId="15" borderId="0" xfId="12" applyFont="1" applyFill="1" applyAlignment="1">
      <alignment horizontal="centerContinuous" vertical="center" wrapText="1"/>
    </xf>
    <xf numFmtId="0" fontId="26" fillId="15" borderId="31" xfId="12" applyFont="1" applyFill="1" applyBorder="1" applyAlignment="1">
      <alignment horizontal="centerContinuous" vertical="center" wrapText="1"/>
    </xf>
    <xf numFmtId="0" fontId="26" fillId="15" borderId="49" xfId="12" applyFont="1" applyFill="1" applyBorder="1" applyAlignment="1">
      <alignment horizontal="centerContinuous" vertical="center" wrapText="1"/>
    </xf>
    <xf numFmtId="0" fontId="26" fillId="15" borderId="50" xfId="12" applyFont="1" applyFill="1" applyBorder="1" applyAlignment="1">
      <alignment horizontal="centerContinuous" vertical="center" wrapText="1"/>
    </xf>
    <xf numFmtId="0" fontId="26" fillId="15" borderId="51" xfId="12" applyFont="1" applyFill="1" applyBorder="1" applyAlignment="1">
      <alignment horizontal="centerContinuous" vertical="center" wrapText="1"/>
    </xf>
    <xf numFmtId="0" fontId="26" fillId="15" borderId="52" xfId="12" applyFont="1" applyFill="1" applyBorder="1" applyAlignment="1">
      <alignment horizontal="centerContinuous" vertical="center" wrapText="1"/>
    </xf>
    <xf numFmtId="0" fontId="26" fillId="0" borderId="55" xfId="12" applyFont="1" applyBorder="1" applyAlignment="1">
      <alignment horizontal="center" vertical="center" wrapText="1"/>
    </xf>
    <xf numFmtId="0" fontId="26" fillId="0" borderId="2" xfId="12" applyFont="1" applyBorder="1" applyAlignment="1">
      <alignment horizontal="center" vertical="center" wrapText="1"/>
    </xf>
    <xf numFmtId="0" fontId="26" fillId="0" borderId="3" xfId="12" applyFont="1" applyBorder="1" applyAlignment="1">
      <alignment horizontal="center" vertical="center" wrapText="1"/>
    </xf>
    <xf numFmtId="171" fontId="26" fillId="2" borderId="58" xfId="11" applyNumberFormat="1" applyFont="1" applyFill="1" applyBorder="1" applyAlignment="1">
      <alignment horizontal="center" vertical="center"/>
    </xf>
    <xf numFmtId="171" fontId="26" fillId="14" borderId="58" xfId="11" applyNumberFormat="1" applyFont="1" applyFill="1" applyBorder="1" applyAlignment="1">
      <alignment horizontal="center" vertical="center"/>
    </xf>
    <xf numFmtId="171" fontId="26" fillId="14" borderId="59" xfId="11" applyNumberFormat="1" applyFont="1" applyFill="1" applyBorder="1" applyAlignment="1">
      <alignment horizontal="center" vertical="center"/>
    </xf>
    <xf numFmtId="171" fontId="26" fillId="14" borderId="60" xfId="11" applyNumberFormat="1" applyFont="1" applyFill="1" applyBorder="1" applyAlignment="1">
      <alignment horizontal="center" vertical="center"/>
    </xf>
    <xf numFmtId="171" fontId="26" fillId="16" borderId="59" xfId="11" applyNumberFormat="1" applyFont="1" applyFill="1" applyBorder="1" applyAlignment="1">
      <alignment horizontal="center" vertical="center"/>
    </xf>
    <xf numFmtId="170" fontId="26" fillId="0" borderId="60" xfId="2" applyNumberFormat="1" applyFont="1" applyFill="1" applyBorder="1" applyAlignment="1">
      <alignment horizontal="center" vertical="center"/>
    </xf>
    <xf numFmtId="171" fontId="26" fillId="14" borderId="61" xfId="11" applyNumberFormat="1" applyFont="1" applyFill="1" applyBorder="1" applyAlignment="1">
      <alignment horizontal="center" vertical="center"/>
    </xf>
    <xf numFmtId="171" fontId="26" fillId="16" borderId="62" xfId="11" applyNumberFormat="1" applyFont="1" applyFill="1" applyBorder="1" applyAlignment="1">
      <alignment horizontal="center" vertical="center"/>
    </xf>
    <xf numFmtId="171" fontId="26" fillId="2" borderId="63" xfId="11" applyNumberFormat="1" applyFont="1" applyFill="1" applyBorder="1" applyAlignment="1">
      <alignment horizontal="center" vertical="center"/>
    </xf>
    <xf numFmtId="170" fontId="23" fillId="0" borderId="0" xfId="2" applyNumberFormat="1" applyFont="1" applyAlignment="1">
      <alignment horizontal="right" vertical="center"/>
    </xf>
    <xf numFmtId="164" fontId="23" fillId="0" borderId="0" xfId="2" applyFont="1" applyAlignment="1"/>
    <xf numFmtId="0" fontId="25" fillId="13" borderId="8" xfId="11" applyFont="1" applyFill="1" applyBorder="1" applyAlignment="1">
      <alignment horizontal="left" vertical="center"/>
    </xf>
    <xf numFmtId="0" fontId="23" fillId="13" borderId="9" xfId="11" applyFont="1" applyFill="1" applyBorder="1" applyAlignment="1">
      <alignment vertical="center"/>
    </xf>
    <xf numFmtId="171" fontId="23" fillId="13" borderId="29" xfId="11" applyNumberFormat="1" applyFont="1" applyFill="1" applyBorder="1" applyAlignment="1">
      <alignment vertical="center"/>
    </xf>
    <xf numFmtId="164" fontId="23" fillId="0" borderId="0" xfId="2" applyFont="1" applyAlignment="1">
      <alignment horizontal="right" vertical="center"/>
    </xf>
    <xf numFmtId="164" fontId="23" fillId="0" borderId="0" xfId="2" applyFont="1" applyAlignment="1">
      <alignment vertical="center"/>
    </xf>
    <xf numFmtId="0" fontId="23" fillId="13" borderId="10" xfId="11" applyFont="1" applyFill="1" applyBorder="1" applyAlignment="1">
      <alignment vertical="center"/>
    </xf>
    <xf numFmtId="0" fontId="29" fillId="14" borderId="8" xfId="11" applyFont="1" applyFill="1" applyBorder="1" applyAlignment="1">
      <alignment vertical="center"/>
    </xf>
    <xf numFmtId="0" fontId="23" fillId="14" borderId="9" xfId="11" applyFont="1" applyFill="1" applyBorder="1" applyAlignment="1">
      <alignment vertical="center"/>
    </xf>
    <xf numFmtId="171" fontId="23" fillId="14" borderId="29" xfId="11" applyNumberFormat="1" applyFont="1" applyFill="1" applyBorder="1" applyAlignment="1">
      <alignment vertical="center"/>
    </xf>
    <xf numFmtId="0" fontId="23" fillId="0" borderId="0" xfId="11" applyFont="1" applyAlignment="1">
      <alignment horizontal="left" vertical="center"/>
    </xf>
    <xf numFmtId="0" fontId="25" fillId="17" borderId="8" xfId="11" applyFont="1" applyFill="1" applyBorder="1" applyAlignment="1">
      <alignment horizontal="left" vertical="center"/>
    </xf>
    <xf numFmtId="0" fontId="23" fillId="17" borderId="9" xfId="11" applyFont="1" applyFill="1" applyBorder="1" applyAlignment="1">
      <alignment vertical="center"/>
    </xf>
    <xf numFmtId="171" fontId="23" fillId="17" borderId="29" xfId="11" applyNumberFormat="1" applyFont="1" applyFill="1" applyBorder="1" applyAlignment="1">
      <alignment horizontal="right" vertical="center"/>
    </xf>
    <xf numFmtId="0" fontId="29" fillId="14" borderId="10" xfId="11" applyFont="1" applyFill="1" applyBorder="1" applyAlignment="1">
      <alignment vertical="center"/>
    </xf>
    <xf numFmtId="0" fontId="23" fillId="14" borderId="0" xfId="11" applyFont="1" applyFill="1" applyAlignment="1">
      <alignment vertical="center"/>
    </xf>
    <xf numFmtId="171" fontId="23" fillId="14" borderId="31" xfId="11" applyNumberFormat="1" applyFont="1" applyFill="1" applyBorder="1" applyAlignment="1">
      <alignment vertical="center"/>
    </xf>
    <xf numFmtId="0" fontId="23" fillId="17" borderId="10" xfId="11" applyFont="1" applyFill="1" applyBorder="1" applyAlignment="1">
      <alignment vertical="center"/>
    </xf>
    <xf numFmtId="171" fontId="23" fillId="14" borderId="29" xfId="11" applyNumberFormat="1" applyFont="1" applyFill="1" applyBorder="1" applyAlignment="1">
      <alignment horizontal="right" vertical="center"/>
    </xf>
    <xf numFmtId="171" fontId="23" fillId="14" borderId="31" xfId="11" applyNumberFormat="1" applyFont="1" applyFill="1" applyBorder="1" applyAlignment="1">
      <alignment horizontal="right" vertical="center"/>
    </xf>
    <xf numFmtId="0" fontId="23" fillId="13" borderId="13" xfId="11" applyFont="1" applyFill="1" applyBorder="1" applyAlignment="1">
      <alignment vertical="center"/>
    </xf>
    <xf numFmtId="0" fontId="23" fillId="14" borderId="14" xfId="11" applyFont="1" applyFill="1" applyBorder="1" applyAlignment="1">
      <alignment vertical="center"/>
    </xf>
    <xf numFmtId="0" fontId="23" fillId="14" borderId="15" xfId="11" applyFont="1" applyFill="1" applyBorder="1" applyAlignment="1">
      <alignment vertical="center"/>
    </xf>
    <xf numFmtId="171" fontId="23" fillId="14" borderId="30" xfId="11" applyNumberFormat="1" applyFont="1" applyFill="1" applyBorder="1" applyAlignment="1">
      <alignment vertical="center"/>
    </xf>
    <xf numFmtId="165" fontId="24" fillId="0" borderId="0" xfId="1" applyFont="1" applyAlignment="1">
      <alignment vertical="center"/>
    </xf>
    <xf numFmtId="0" fontId="24" fillId="0" borderId="0" xfId="11" applyFont="1" applyAlignment="1">
      <alignment horizontal="right"/>
    </xf>
    <xf numFmtId="0" fontId="23" fillId="17" borderId="14" xfId="11" applyFont="1" applyFill="1" applyBorder="1" applyAlignment="1">
      <alignment vertical="center"/>
    </xf>
    <xf numFmtId="0" fontId="29" fillId="14" borderId="14" xfId="11" applyFont="1" applyFill="1" applyBorder="1" applyAlignment="1">
      <alignment vertical="center"/>
    </xf>
    <xf numFmtId="171" fontId="23" fillId="14" borderId="30" xfId="11" applyNumberFormat="1" applyFont="1" applyFill="1" applyBorder="1" applyAlignment="1">
      <alignment horizontal="right" vertical="center"/>
    </xf>
    <xf numFmtId="0" fontId="30" fillId="0" borderId="0" xfId="11" applyFont="1" applyAlignment="1">
      <alignment vertical="center"/>
    </xf>
    <xf numFmtId="0" fontId="24" fillId="0" borderId="0" xfId="11" applyFont="1" applyAlignment="1">
      <alignment horizontal="right" vertical="center"/>
    </xf>
    <xf numFmtId="0" fontId="23" fillId="6" borderId="2" xfId="11" applyFont="1" applyFill="1" applyBorder="1" applyAlignment="1">
      <alignment horizontal="center" vertical="center"/>
    </xf>
    <xf numFmtId="171" fontId="23" fillId="17" borderId="29" xfId="11" applyNumberFormat="1" applyFont="1" applyFill="1" applyBorder="1" applyAlignment="1">
      <alignment vertical="center"/>
    </xf>
    <xf numFmtId="0" fontId="26" fillId="0" borderId="2" xfId="11" applyFont="1" applyBorder="1" applyAlignment="1">
      <alignment vertical="center"/>
    </xf>
    <xf numFmtId="164" fontId="26" fillId="0" borderId="2" xfId="2" applyFont="1" applyBorder="1" applyAlignment="1">
      <alignment vertical="center"/>
    </xf>
    <xf numFmtId="0" fontId="29" fillId="0" borderId="0" xfId="11" applyFont="1"/>
    <xf numFmtId="38" fontId="24" fillId="0" borderId="0" xfId="11" applyNumberFormat="1" applyFont="1" applyAlignment="1">
      <alignment vertical="center"/>
    </xf>
    <xf numFmtId="0" fontId="31" fillId="0" borderId="0" xfId="11" applyFont="1" applyAlignment="1">
      <alignment vertical="center"/>
    </xf>
    <xf numFmtId="0" fontId="26" fillId="4" borderId="2" xfId="12" applyFont="1" applyFill="1" applyBorder="1" applyAlignment="1">
      <alignment horizontal="center" vertical="center" wrapText="1"/>
    </xf>
    <xf numFmtId="171" fontId="26" fillId="4" borderId="61" xfId="11" applyNumberFormat="1" applyFont="1" applyFill="1" applyBorder="1" applyAlignment="1">
      <alignment horizontal="center" vertical="center"/>
    </xf>
    <xf numFmtId="171" fontId="26" fillId="4" borderId="59" xfId="11" applyNumberFormat="1" applyFont="1" applyFill="1" applyBorder="1" applyAlignment="1">
      <alignment horizontal="center" vertical="center"/>
    </xf>
    <xf numFmtId="171" fontId="26" fillId="2" borderId="60" xfId="11" applyNumberFormat="1" applyFont="1" applyFill="1" applyBorder="1" applyAlignment="1">
      <alignment horizontal="center" vertical="center"/>
    </xf>
    <xf numFmtId="0" fontId="32" fillId="0" borderId="2" xfId="0" applyFont="1" applyBorder="1"/>
    <xf numFmtId="0" fontId="24" fillId="0" borderId="25" xfId="12" applyFont="1" applyBorder="1" applyAlignment="1">
      <alignment horizontal="center" vertical="center" wrapText="1"/>
    </xf>
    <xf numFmtId="0" fontId="24" fillId="0" borderId="2" xfId="12" applyFont="1" applyBorder="1" applyAlignment="1">
      <alignment horizontal="center" vertical="center" wrapText="1"/>
    </xf>
    <xf numFmtId="0" fontId="24" fillId="15" borderId="56" xfId="12" applyFont="1" applyFill="1" applyBorder="1" applyAlignment="1">
      <alignment horizontal="center" vertical="center" wrapText="1"/>
    </xf>
    <xf numFmtId="0" fontId="24" fillId="15" borderId="14" xfId="12" applyFont="1" applyFill="1" applyBorder="1" applyAlignment="1">
      <alignment horizontal="center" vertical="center" wrapText="1"/>
    </xf>
    <xf numFmtId="0" fontId="24" fillId="0" borderId="14" xfId="12" applyFont="1" applyBorder="1" applyAlignment="1">
      <alignment horizontal="center" vertical="center" wrapText="1"/>
    </xf>
    <xf numFmtId="0" fontId="24" fillId="15" borderId="13" xfId="12" applyFont="1" applyFill="1" applyBorder="1" applyAlignment="1">
      <alignment horizontal="center" vertical="center" wrapText="1"/>
    </xf>
    <xf numFmtId="0" fontId="26" fillId="15" borderId="48" xfId="12" applyFont="1" applyFill="1" applyBorder="1" applyAlignment="1">
      <alignment vertical="center" wrapText="1"/>
    </xf>
    <xf numFmtId="0" fontId="26" fillId="15" borderId="13" xfId="12" applyFont="1" applyFill="1" applyBorder="1" applyAlignment="1">
      <alignment vertical="center" wrapText="1"/>
    </xf>
    <xf numFmtId="165" fontId="24" fillId="0" borderId="0" xfId="1" applyFont="1" applyAlignment="1">
      <alignment horizontal="left" vertical="center"/>
    </xf>
    <xf numFmtId="172" fontId="0" fillId="0" borderId="0" xfId="0" applyNumberFormat="1"/>
    <xf numFmtId="173" fontId="24" fillId="0" borderId="0" xfId="1" applyNumberFormat="1" applyFont="1" applyAlignment="1">
      <alignment vertical="center"/>
    </xf>
    <xf numFmtId="173" fontId="24" fillId="0" borderId="0" xfId="1" applyNumberFormat="1" applyFont="1" applyAlignment="1">
      <alignment horizontal="left" vertical="center"/>
    </xf>
    <xf numFmtId="173" fontId="0" fillId="0" borderId="0" xfId="1" applyNumberFormat="1" applyFont="1"/>
    <xf numFmtId="165" fontId="0" fillId="0" borderId="0" xfId="1" applyFont="1"/>
    <xf numFmtId="171" fontId="23" fillId="0" borderId="0" xfId="11" applyNumberFormat="1" applyFont="1" applyAlignment="1">
      <alignment horizontal="left" vertical="center"/>
    </xf>
    <xf numFmtId="165" fontId="24" fillId="0" borderId="0" xfId="1" applyFont="1" applyFill="1" applyAlignment="1">
      <alignment vertical="center"/>
    </xf>
    <xf numFmtId="10" fontId="5" fillId="2" borderId="0" xfId="3" applyNumberFormat="1" applyFont="1" applyFill="1" applyAlignment="1">
      <alignment vertical="center"/>
    </xf>
    <xf numFmtId="175" fontId="24" fillId="0" borderId="0" xfId="11" applyNumberFormat="1" applyFont="1" applyAlignment="1">
      <alignment vertical="center"/>
    </xf>
    <xf numFmtId="0" fontId="24" fillId="0" borderId="0" xfId="11" quotePrefix="1" applyFont="1" applyAlignment="1">
      <alignment vertical="center"/>
    </xf>
    <xf numFmtId="165" fontId="23" fillId="0" borderId="0" xfId="1" applyFont="1" applyAlignment="1">
      <alignment vertical="center"/>
    </xf>
    <xf numFmtId="172" fontId="26" fillId="14" borderId="58" xfId="11" applyNumberFormat="1" applyFont="1" applyFill="1" applyBorder="1" applyAlignment="1">
      <alignment horizontal="center" vertical="center"/>
    </xf>
    <xf numFmtId="176" fontId="23" fillId="0" borderId="0" xfId="2" applyNumberFormat="1" applyFont="1" applyAlignment="1"/>
    <xf numFmtId="167" fontId="0" fillId="0" borderId="0" xfId="0" applyNumberFormat="1"/>
    <xf numFmtId="177" fontId="24" fillId="0" borderId="0" xfId="11" applyNumberFormat="1" applyFont="1" applyAlignment="1">
      <alignment vertical="center"/>
    </xf>
    <xf numFmtId="165" fontId="23" fillId="0" borderId="0" xfId="11" applyNumberFormat="1" applyFont="1" applyAlignment="1">
      <alignment horizontal="left" vertical="center"/>
    </xf>
    <xf numFmtId="172" fontId="24" fillId="0" borderId="0" xfId="11" applyNumberFormat="1" applyFont="1" applyAlignment="1">
      <alignment vertical="center"/>
    </xf>
    <xf numFmtId="178" fontId="23" fillId="14" borderId="29" xfId="11" applyNumberFormat="1" applyFont="1" applyFill="1" applyBorder="1" applyAlignment="1">
      <alignment vertical="center"/>
    </xf>
    <xf numFmtId="171" fontId="24" fillId="0" borderId="0" xfId="11" applyNumberFormat="1" applyFont="1" applyAlignment="1">
      <alignment vertical="center"/>
    </xf>
    <xf numFmtId="171" fontId="0" fillId="0" borderId="0" xfId="0" applyNumberFormat="1"/>
    <xf numFmtId="165" fontId="24" fillId="0" borderId="0" xfId="11" applyNumberFormat="1" applyFont="1" applyAlignment="1">
      <alignment vertical="center"/>
    </xf>
    <xf numFmtId="0" fontId="0" fillId="0" borderId="0" xfId="0" quotePrefix="1"/>
    <xf numFmtId="164" fontId="23" fillId="0" borderId="0" xfId="2" quotePrefix="1" applyFont="1" applyAlignment="1">
      <alignment vertical="center"/>
    </xf>
    <xf numFmtId="165" fontId="24" fillId="0" borderId="0" xfId="1" quotePrefix="1" applyFont="1" applyAlignment="1">
      <alignment vertical="center"/>
    </xf>
    <xf numFmtId="166" fontId="7" fillId="18" borderId="13" xfId="4" quotePrefix="1" applyNumberFormat="1" applyFont="1" applyFill="1" applyBorder="1" applyAlignment="1">
      <alignment horizontal="center" vertical="center" wrapText="1"/>
    </xf>
    <xf numFmtId="166" fontId="7" fillId="19" borderId="13" xfId="4" quotePrefix="1" applyNumberFormat="1" applyFont="1" applyFill="1" applyBorder="1" applyAlignment="1">
      <alignment horizontal="center" vertical="center" wrapText="1"/>
    </xf>
    <xf numFmtId="167" fontId="8" fillId="19" borderId="6" xfId="8" applyNumberFormat="1" applyFont="1" applyFill="1" applyBorder="1" applyAlignment="1">
      <alignment horizontal="right" vertical="center"/>
    </xf>
    <xf numFmtId="167" fontId="8" fillId="19" borderId="12" xfId="8" applyNumberFormat="1" applyFont="1" applyFill="1" applyBorder="1" applyAlignment="1">
      <alignment horizontal="right" vertical="center"/>
    </xf>
    <xf numFmtId="167" fontId="9" fillId="19" borderId="6" xfId="8" applyNumberFormat="1" applyFont="1" applyFill="1" applyBorder="1" applyAlignment="1">
      <alignment horizontal="right" vertical="center"/>
    </xf>
    <xf numFmtId="167" fontId="8" fillId="19" borderId="13" xfId="8" applyNumberFormat="1" applyFont="1" applyFill="1" applyBorder="1" applyAlignment="1">
      <alignment horizontal="right" vertical="center"/>
    </xf>
    <xf numFmtId="167" fontId="9" fillId="19" borderId="8" xfId="8" applyNumberFormat="1" applyFont="1" applyFill="1" applyBorder="1" applyAlignment="1">
      <alignment horizontal="right" vertical="center"/>
    </xf>
    <xf numFmtId="168" fontId="14" fillId="19" borderId="22" xfId="9" applyNumberFormat="1" applyFont="1" applyFill="1" applyBorder="1" applyAlignment="1">
      <alignment horizontal="right" vertical="center"/>
    </xf>
    <xf numFmtId="167" fontId="9" fillId="19" borderId="12" xfId="8" applyNumberFormat="1" applyFont="1" applyFill="1" applyBorder="1" applyAlignment="1">
      <alignment horizontal="right" vertical="center"/>
    </xf>
    <xf numFmtId="168" fontId="14" fillId="19" borderId="22" xfId="3" applyNumberFormat="1" applyFont="1" applyFill="1" applyBorder="1" applyAlignment="1">
      <alignment horizontal="right" vertical="center"/>
    </xf>
    <xf numFmtId="167" fontId="9" fillId="19" borderId="2" xfId="8" applyNumberFormat="1" applyFont="1" applyFill="1" applyBorder="1" applyAlignment="1">
      <alignment horizontal="right" vertical="center"/>
    </xf>
    <xf numFmtId="167" fontId="5" fillId="19" borderId="2" xfId="5" applyNumberFormat="1" applyFont="1" applyFill="1" applyBorder="1">
      <alignment vertical="center"/>
    </xf>
    <xf numFmtId="167" fontId="3" fillId="19" borderId="2" xfId="5" applyNumberFormat="1" applyFont="1" applyFill="1" applyBorder="1">
      <alignment vertical="center"/>
    </xf>
    <xf numFmtId="167" fontId="8" fillId="18" borderId="6" xfId="8" applyNumberFormat="1" applyFont="1" applyFill="1" applyBorder="1" applyAlignment="1">
      <alignment horizontal="right" vertical="center"/>
    </xf>
    <xf numFmtId="167" fontId="8" fillId="18" borderId="12" xfId="8" applyNumberFormat="1" applyFont="1" applyFill="1" applyBorder="1" applyAlignment="1">
      <alignment horizontal="right" vertical="center"/>
    </xf>
    <xf numFmtId="167" fontId="9" fillId="18" borderId="6" xfId="8" applyNumberFormat="1" applyFont="1" applyFill="1" applyBorder="1" applyAlignment="1">
      <alignment horizontal="right" vertical="center"/>
    </xf>
    <xf numFmtId="167" fontId="8" fillId="18" borderId="13" xfId="8" applyNumberFormat="1" applyFont="1" applyFill="1" applyBorder="1" applyAlignment="1">
      <alignment horizontal="right" vertical="center"/>
    </xf>
    <xf numFmtId="167" fontId="9" fillId="18" borderId="8" xfId="8" applyNumberFormat="1" applyFont="1" applyFill="1" applyBorder="1" applyAlignment="1">
      <alignment horizontal="right" vertical="center"/>
    </xf>
    <xf numFmtId="168" fontId="14" fillId="18" borderId="22" xfId="9" applyNumberFormat="1" applyFont="1" applyFill="1" applyBorder="1" applyAlignment="1">
      <alignment horizontal="right" vertical="center"/>
    </xf>
    <xf numFmtId="167" fontId="9" fillId="18" borderId="12" xfId="8" applyNumberFormat="1" applyFont="1" applyFill="1" applyBorder="1" applyAlignment="1">
      <alignment horizontal="right" vertical="center"/>
    </xf>
    <xf numFmtId="168" fontId="14" fillId="18" borderId="22" xfId="3" applyNumberFormat="1" applyFont="1" applyFill="1" applyBorder="1" applyAlignment="1">
      <alignment horizontal="right" vertical="center"/>
    </xf>
    <xf numFmtId="167" fontId="9" fillId="18" borderId="2" xfId="8" applyNumberFormat="1" applyFont="1" applyFill="1" applyBorder="1" applyAlignment="1">
      <alignment horizontal="right" vertical="center"/>
    </xf>
    <xf numFmtId="167" fontId="5" fillId="18" borderId="2" xfId="5" applyNumberFormat="1" applyFont="1" applyFill="1" applyBorder="1">
      <alignment vertical="center"/>
    </xf>
    <xf numFmtId="167" fontId="3" fillId="18" borderId="2" xfId="5" applyNumberFormat="1" applyFont="1" applyFill="1" applyBorder="1">
      <alignment vertical="center"/>
    </xf>
    <xf numFmtId="0" fontId="22" fillId="0" borderId="0" xfId="0" applyFont="1"/>
    <xf numFmtId="173" fontId="22" fillId="0" borderId="0" xfId="1" applyNumberFormat="1" applyFont="1"/>
    <xf numFmtId="179" fontId="0" fillId="0" borderId="0" xfId="1" applyNumberFormat="1" applyFont="1"/>
    <xf numFmtId="179" fontId="0" fillId="0" borderId="0" xfId="0" applyNumberFormat="1"/>
    <xf numFmtId="180" fontId="0" fillId="0" borderId="0" xfId="0" applyNumberFormat="1"/>
    <xf numFmtId="167" fontId="24" fillId="0" borderId="0" xfId="11" applyNumberFormat="1" applyFont="1" applyAlignment="1">
      <alignment vertical="center"/>
    </xf>
    <xf numFmtId="164" fontId="26" fillId="0" borderId="2" xfId="2" applyFont="1" applyFill="1" applyBorder="1" applyAlignment="1">
      <alignment vertical="center"/>
    </xf>
    <xf numFmtId="173" fontId="0" fillId="0" borderId="0" xfId="0" applyNumberFormat="1"/>
    <xf numFmtId="179" fontId="24" fillId="0" borderId="0" xfId="1" applyNumberFormat="1" applyFont="1" applyAlignment="1">
      <alignment vertical="center"/>
    </xf>
    <xf numFmtId="179" fontId="18" fillId="0" borderId="0" xfId="1" applyNumberFormat="1" applyFont="1"/>
    <xf numFmtId="0" fontId="35" fillId="0" borderId="0" xfId="11" applyFont="1" applyAlignment="1">
      <alignment vertical="center"/>
    </xf>
    <xf numFmtId="173" fontId="18" fillId="0" borderId="0" xfId="1" applyNumberFormat="1" applyFont="1"/>
    <xf numFmtId="0" fontId="24" fillId="0" borderId="0" xfId="13" applyFont="1" applyAlignment="1">
      <alignment vertical="center"/>
    </xf>
    <xf numFmtId="0" fontId="29" fillId="0" borderId="0" xfId="13" applyFont="1"/>
    <xf numFmtId="3" fontId="3" fillId="2" borderId="0" xfId="4" quotePrefix="1" applyNumberFormat="1" applyFont="1" applyFill="1" applyAlignment="1">
      <alignment horizontal="left" vertical="center"/>
    </xf>
    <xf numFmtId="167" fontId="9" fillId="0" borderId="0" xfId="8" applyNumberFormat="1" applyFont="1" applyFill="1" applyBorder="1" applyAlignment="1">
      <alignment horizontal="right" vertical="center"/>
    </xf>
    <xf numFmtId="167" fontId="9" fillId="2" borderId="0" xfId="8" applyNumberFormat="1" applyFont="1" applyFill="1" applyBorder="1" applyAlignment="1">
      <alignment horizontal="right" vertical="center"/>
    </xf>
    <xf numFmtId="165" fontId="18" fillId="0" borderId="0" xfId="0" applyNumberFormat="1" applyFont="1"/>
    <xf numFmtId="167" fontId="3" fillId="20" borderId="2" xfId="5" applyNumberFormat="1" applyFont="1" applyFill="1" applyBorder="1">
      <alignment vertical="center"/>
    </xf>
    <xf numFmtId="167" fontId="5" fillId="20" borderId="2" xfId="5" applyNumberFormat="1" applyFont="1" applyFill="1" applyBorder="1">
      <alignment vertical="center"/>
    </xf>
    <xf numFmtId="167" fontId="9" fillId="20" borderId="2" xfId="8" applyNumberFormat="1" applyFont="1" applyFill="1" applyBorder="1" applyAlignment="1">
      <alignment horizontal="right" vertical="center"/>
    </xf>
    <xf numFmtId="167" fontId="8" fillId="20" borderId="6" xfId="8" applyNumberFormat="1" applyFont="1" applyFill="1" applyBorder="1" applyAlignment="1">
      <alignment horizontal="right" vertical="center"/>
    </xf>
    <xf numFmtId="167" fontId="8" fillId="20" borderId="12" xfId="8" applyNumberFormat="1" applyFont="1" applyFill="1" applyBorder="1" applyAlignment="1">
      <alignment horizontal="right" vertical="center"/>
    </xf>
    <xf numFmtId="167" fontId="9" fillId="20" borderId="6" xfId="8" applyNumberFormat="1" applyFont="1" applyFill="1" applyBorder="1" applyAlignment="1">
      <alignment horizontal="right" vertical="center"/>
    </xf>
    <xf numFmtId="167" fontId="8" fillId="20" borderId="13" xfId="8" applyNumberFormat="1" applyFont="1" applyFill="1" applyBorder="1" applyAlignment="1">
      <alignment horizontal="right" vertical="center"/>
    </xf>
    <xf numFmtId="167" fontId="9" fillId="20" borderId="8" xfId="8" applyNumberFormat="1" applyFont="1" applyFill="1" applyBorder="1" applyAlignment="1">
      <alignment horizontal="right" vertical="center"/>
    </xf>
    <xf numFmtId="168" fontId="14" fillId="20" borderId="22" xfId="9" applyNumberFormat="1" applyFont="1" applyFill="1" applyBorder="1" applyAlignment="1">
      <alignment horizontal="right" vertical="center"/>
    </xf>
    <xf numFmtId="167" fontId="9" fillId="20" borderId="12" xfId="8" applyNumberFormat="1" applyFont="1" applyFill="1" applyBorder="1" applyAlignment="1">
      <alignment horizontal="right" vertical="center"/>
    </xf>
    <xf numFmtId="168" fontId="14" fillId="20" borderId="22" xfId="3" applyNumberFormat="1" applyFont="1" applyFill="1" applyBorder="1" applyAlignment="1">
      <alignment horizontal="right" vertical="center"/>
    </xf>
    <xf numFmtId="166" fontId="7" fillId="20" borderId="13" xfId="4" quotePrefix="1" applyNumberFormat="1" applyFont="1" applyFill="1" applyBorder="1" applyAlignment="1">
      <alignment horizontal="center" vertical="center" wrapText="1"/>
    </xf>
    <xf numFmtId="166" fontId="7" fillId="21" borderId="13" xfId="4" quotePrefix="1" applyNumberFormat="1" applyFont="1" applyFill="1" applyBorder="1" applyAlignment="1">
      <alignment horizontal="center" vertical="center" wrapText="1"/>
    </xf>
    <xf numFmtId="167" fontId="8" fillId="21" borderId="6" xfId="8" applyNumberFormat="1" applyFont="1" applyFill="1" applyBorder="1" applyAlignment="1">
      <alignment horizontal="right" vertical="center"/>
    </xf>
    <xf numFmtId="167" fontId="8" fillId="21" borderId="12" xfId="8" applyNumberFormat="1" applyFont="1" applyFill="1" applyBorder="1" applyAlignment="1">
      <alignment horizontal="right" vertical="center"/>
    </xf>
    <xf numFmtId="167" fontId="9" fillId="21" borderId="6" xfId="8" applyNumberFormat="1" applyFont="1" applyFill="1" applyBorder="1" applyAlignment="1">
      <alignment horizontal="right" vertical="center"/>
    </xf>
    <xf numFmtId="167" fontId="8" fillId="21" borderId="13" xfId="8" applyNumberFormat="1" applyFont="1" applyFill="1" applyBorder="1" applyAlignment="1">
      <alignment horizontal="right" vertical="center"/>
    </xf>
    <xf numFmtId="167" fontId="9" fillId="21" borderId="8" xfId="8" applyNumberFormat="1" applyFont="1" applyFill="1" applyBorder="1" applyAlignment="1">
      <alignment horizontal="right" vertical="center"/>
    </xf>
    <xf numFmtId="168" fontId="14" fillId="21" borderId="22" xfId="9" applyNumberFormat="1" applyFont="1" applyFill="1" applyBorder="1" applyAlignment="1">
      <alignment horizontal="right" vertical="center"/>
    </xf>
    <xf numFmtId="167" fontId="9" fillId="21" borderId="12" xfId="8" applyNumberFormat="1" applyFont="1" applyFill="1" applyBorder="1" applyAlignment="1">
      <alignment horizontal="right" vertical="center"/>
    </xf>
    <xf numFmtId="168" fontId="14" fillId="21" borderId="22" xfId="3" applyNumberFormat="1" applyFont="1" applyFill="1" applyBorder="1" applyAlignment="1">
      <alignment horizontal="right" vertical="center"/>
    </xf>
    <xf numFmtId="167" fontId="9" fillId="21" borderId="2" xfId="8" applyNumberFormat="1" applyFont="1" applyFill="1" applyBorder="1" applyAlignment="1">
      <alignment horizontal="right" vertical="center"/>
    </xf>
    <xf numFmtId="167" fontId="5" fillId="21" borderId="2" xfId="5" applyNumberFormat="1" applyFont="1" applyFill="1" applyBorder="1">
      <alignment vertical="center"/>
    </xf>
    <xf numFmtId="167" fontId="3" fillId="21" borderId="2" xfId="5" applyNumberFormat="1" applyFont="1" applyFill="1" applyBorder="1">
      <alignment vertical="center"/>
    </xf>
    <xf numFmtId="172" fontId="23" fillId="0" borderId="0" xfId="2" applyNumberFormat="1" applyFont="1" applyAlignment="1"/>
    <xf numFmtId="165" fontId="37" fillId="0" borderId="0" xfId="0" applyNumberFormat="1" applyFont="1"/>
    <xf numFmtId="165" fontId="24" fillId="0" borderId="0" xfId="11" applyNumberFormat="1" applyFont="1"/>
    <xf numFmtId="0" fontId="38" fillId="0" borderId="0" xfId="11" applyFont="1" applyAlignment="1">
      <alignment vertical="center"/>
    </xf>
    <xf numFmtId="173" fontId="38" fillId="0" borderId="0" xfId="1" applyNumberFormat="1" applyFont="1" applyAlignment="1">
      <alignment vertical="center"/>
    </xf>
    <xf numFmtId="0" fontId="39" fillId="0" borderId="0" xfId="11" applyFont="1" applyAlignment="1">
      <alignment vertical="center"/>
    </xf>
    <xf numFmtId="173" fontId="39" fillId="0" borderId="0" xfId="1" applyNumberFormat="1" applyFont="1" applyAlignment="1">
      <alignment vertical="center"/>
    </xf>
    <xf numFmtId="173" fontId="24" fillId="0" borderId="0" xfId="1" applyNumberFormat="1" applyFont="1" applyFill="1" applyAlignment="1">
      <alignment vertical="center"/>
    </xf>
    <xf numFmtId="173" fontId="0" fillId="0" borderId="0" xfId="1" applyNumberFormat="1" applyFont="1" applyFill="1"/>
    <xf numFmtId="0" fontId="40" fillId="0" borderId="0" xfId="11" applyFont="1" applyAlignment="1">
      <alignment vertical="center"/>
    </xf>
    <xf numFmtId="173" fontId="24" fillId="0" borderId="0" xfId="1" applyNumberFormat="1" applyFont="1" applyFill="1" applyBorder="1" applyAlignment="1">
      <alignment vertical="center"/>
    </xf>
    <xf numFmtId="173" fontId="35" fillId="0" borderId="0" xfId="1" applyNumberFormat="1" applyFont="1" applyAlignment="1">
      <alignment vertical="center"/>
    </xf>
    <xf numFmtId="164" fontId="24" fillId="0" borderId="0" xfId="11" applyNumberFormat="1" applyFont="1" applyAlignment="1">
      <alignment vertical="center"/>
    </xf>
    <xf numFmtId="165" fontId="37" fillId="0" borderId="0" xfId="1" applyFont="1"/>
    <xf numFmtId="4" fontId="3" fillId="10" borderId="2" xfId="5" applyNumberFormat="1" applyFont="1" applyFill="1" applyBorder="1">
      <alignment vertical="center"/>
    </xf>
    <xf numFmtId="0" fontId="24" fillId="2" borderId="0" xfId="11" applyFont="1" applyFill="1"/>
    <xf numFmtId="0" fontId="24" fillId="2" borderId="0" xfId="11" applyFont="1" applyFill="1" applyAlignment="1">
      <alignment vertical="center"/>
    </xf>
    <xf numFmtId="0" fontId="23" fillId="2" borderId="0" xfId="11" applyFont="1" applyFill="1" applyAlignment="1">
      <alignment vertical="center"/>
    </xf>
    <xf numFmtId="0" fontId="0" fillId="2" borderId="0" xfId="0" applyFill="1"/>
    <xf numFmtId="0" fontId="42" fillId="0" borderId="0" xfId="0" applyFont="1"/>
    <xf numFmtId="0" fontId="41" fillId="0" borderId="0" xfId="0" quotePrefix="1" applyFont="1"/>
    <xf numFmtId="173" fontId="39" fillId="2" borderId="0" xfId="1" applyNumberFormat="1" applyFont="1" applyFill="1" applyAlignment="1">
      <alignment vertical="center"/>
    </xf>
    <xf numFmtId="173" fontId="23" fillId="0" borderId="0" xfId="1" applyNumberFormat="1" applyFont="1" applyAlignment="1">
      <alignment horizontal="right" vertical="center"/>
    </xf>
    <xf numFmtId="173" fontId="23" fillId="0" borderId="0" xfId="1" applyNumberFormat="1" applyFont="1" applyAlignment="1">
      <alignment horizontal="left" vertical="center"/>
    </xf>
    <xf numFmtId="181" fontId="23" fillId="0" borderId="0" xfId="2" applyNumberFormat="1" applyFont="1" applyAlignment="1"/>
    <xf numFmtId="179" fontId="23" fillId="0" borderId="0" xfId="1" applyNumberFormat="1" applyFont="1" applyAlignment="1">
      <alignment horizontal="left" vertical="center"/>
    </xf>
    <xf numFmtId="165" fontId="42" fillId="0" borderId="0" xfId="1" applyFont="1"/>
    <xf numFmtId="174" fontId="24" fillId="0" borderId="0" xfId="11" applyNumberFormat="1" applyFont="1" applyAlignment="1">
      <alignment vertical="center"/>
    </xf>
    <xf numFmtId="165" fontId="18" fillId="0" borderId="0" xfId="1" applyFont="1"/>
    <xf numFmtId="170" fontId="29" fillId="0" borderId="0" xfId="2" applyNumberFormat="1" applyFont="1" applyAlignment="1">
      <alignment horizontal="right" vertical="center"/>
    </xf>
    <xf numFmtId="164" fontId="29" fillId="0" borderId="0" xfId="2" applyFont="1" applyAlignment="1"/>
    <xf numFmtId="173" fontId="0" fillId="6" borderId="0" xfId="1" applyNumberFormat="1" applyFont="1" applyFill="1"/>
    <xf numFmtId="173" fontId="24" fillId="6" borderId="0" xfId="1" applyNumberFormat="1" applyFont="1" applyFill="1" applyAlignment="1">
      <alignment vertical="center"/>
    </xf>
    <xf numFmtId="173" fontId="24" fillId="2" borderId="0" xfId="1" applyNumberFormat="1" applyFont="1" applyFill="1" applyAlignment="1">
      <alignment vertical="center"/>
    </xf>
    <xf numFmtId="173" fontId="23" fillId="0" borderId="0" xfId="1" applyNumberFormat="1" applyFont="1" applyFill="1" applyAlignment="1">
      <alignment horizontal="left" vertical="center"/>
    </xf>
    <xf numFmtId="165" fontId="23" fillId="0" borderId="0" xfId="1" applyFont="1" applyAlignment="1">
      <alignment horizontal="left" vertical="center"/>
    </xf>
    <xf numFmtId="173" fontId="24" fillId="0" borderId="0" xfId="1" applyNumberFormat="1" applyFont="1" applyFill="1" applyAlignment="1">
      <alignment horizontal="left" vertical="center"/>
    </xf>
    <xf numFmtId="165" fontId="0" fillId="0" borderId="0" xfId="1" applyFont="1" applyFill="1"/>
    <xf numFmtId="182" fontId="24" fillId="0" borderId="0" xfId="11" applyNumberFormat="1" applyFont="1" applyAlignment="1">
      <alignment vertical="center"/>
    </xf>
    <xf numFmtId="0" fontId="22" fillId="0" borderId="0" xfId="0" quotePrefix="1" applyFont="1"/>
    <xf numFmtId="0" fontId="3" fillId="2" borderId="8" xfId="0" applyFont="1" applyFill="1" applyBorder="1" applyAlignment="1">
      <alignment vertical="center"/>
    </xf>
    <xf numFmtId="0" fontId="5" fillId="2" borderId="8" xfId="0" applyFont="1" applyFill="1" applyBorder="1" applyAlignment="1">
      <alignment vertical="center"/>
    </xf>
    <xf numFmtId="0" fontId="5" fillId="2" borderId="9" xfId="0" applyFont="1" applyFill="1" applyBorder="1" applyAlignment="1">
      <alignment vertical="center"/>
    </xf>
    <xf numFmtId="0" fontId="3" fillId="2" borderId="10" xfId="0" applyFont="1" applyFill="1" applyBorder="1" applyAlignment="1">
      <alignment vertical="center"/>
    </xf>
    <xf numFmtId="0" fontId="5" fillId="2" borderId="14" xfId="0" applyFont="1" applyFill="1" applyBorder="1" applyAlignment="1">
      <alignment vertical="center"/>
    </xf>
    <xf numFmtId="0" fontId="5" fillId="2" borderId="15" xfId="0" applyFont="1" applyFill="1" applyBorder="1" applyAlignment="1">
      <alignment vertical="center"/>
    </xf>
    <xf numFmtId="0" fontId="3" fillId="2" borderId="14" xfId="0" applyFont="1" applyFill="1" applyBorder="1" applyAlignment="1">
      <alignment vertical="center"/>
    </xf>
    <xf numFmtId="0" fontId="43" fillId="2" borderId="4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5" fillId="2" borderId="29" xfId="0" applyFont="1" applyFill="1" applyBorder="1" applyAlignment="1">
      <alignment vertical="center"/>
    </xf>
    <xf numFmtId="0" fontId="5" fillId="2" borderId="30" xfId="0" applyFont="1" applyFill="1" applyBorder="1" applyAlignment="1">
      <alignment vertical="center"/>
    </xf>
    <xf numFmtId="0" fontId="3" fillId="2" borderId="25" xfId="0" applyFont="1" applyFill="1" applyBorder="1" applyAlignment="1">
      <alignment vertical="center"/>
    </xf>
    <xf numFmtId="167" fontId="8" fillId="3" borderId="8" xfId="8" applyNumberFormat="1" applyFont="1" applyFill="1" applyBorder="1" applyAlignment="1">
      <alignment horizontal="right" vertical="center"/>
    </xf>
    <xf numFmtId="167" fontId="8" fillId="3" borderId="9" xfId="8" applyNumberFormat="1" applyFont="1" applyFill="1" applyBorder="1" applyAlignment="1">
      <alignment horizontal="right" vertical="center"/>
    </xf>
    <xf numFmtId="167" fontId="8" fillId="3" borderId="29" xfId="8" applyNumberFormat="1" applyFont="1" applyFill="1" applyBorder="1" applyAlignment="1">
      <alignment horizontal="right" vertical="center"/>
    </xf>
    <xf numFmtId="167" fontId="8" fillId="3" borderId="14" xfId="8" applyNumberFormat="1" applyFont="1" applyFill="1" applyBorder="1" applyAlignment="1">
      <alignment horizontal="right" vertical="center"/>
    </xf>
    <xf numFmtId="167" fontId="8" fillId="3" borderId="15" xfId="8" applyNumberFormat="1" applyFont="1" applyFill="1" applyBorder="1" applyAlignment="1">
      <alignment horizontal="right" vertical="center"/>
    </xf>
    <xf numFmtId="167" fontId="8" fillId="3" borderId="30" xfId="8" applyNumberFormat="1" applyFont="1" applyFill="1" applyBorder="1" applyAlignment="1">
      <alignment horizontal="right" vertical="center"/>
    </xf>
    <xf numFmtId="166" fontId="14" fillId="2" borderId="0" xfId="4" applyNumberFormat="1" applyFont="1" applyFill="1">
      <alignment vertical="center"/>
    </xf>
    <xf numFmtId="166" fontId="45" fillId="2" borderId="15" xfId="4" applyNumberFormat="1" applyFont="1" applyFill="1" applyBorder="1">
      <alignment vertical="center"/>
    </xf>
    <xf numFmtId="167" fontId="9" fillId="7" borderId="6" xfId="8" applyNumberFormat="1" applyFont="1" applyFill="1" applyBorder="1" applyAlignment="1">
      <alignment horizontal="right" vertical="center"/>
    </xf>
    <xf numFmtId="167" fontId="9" fillId="7" borderId="13" xfId="8" applyNumberFormat="1" applyFont="1" applyFill="1" applyBorder="1" applyAlignment="1">
      <alignment horizontal="right" vertical="center"/>
    </xf>
    <xf numFmtId="167" fontId="9" fillId="5" borderId="13" xfId="8" applyNumberFormat="1" applyFont="1" applyFill="1" applyBorder="1" applyAlignment="1">
      <alignment horizontal="right" vertical="center"/>
    </xf>
    <xf numFmtId="167" fontId="9" fillId="8" borderId="13" xfId="8" applyNumberFormat="1" applyFont="1" applyFill="1" applyBorder="1" applyAlignment="1">
      <alignment horizontal="right" vertical="center"/>
    </xf>
    <xf numFmtId="167" fontId="9" fillId="9" borderId="13" xfId="8" applyNumberFormat="1" applyFont="1" applyFill="1" applyBorder="1" applyAlignment="1">
      <alignment horizontal="right" vertical="center"/>
    </xf>
    <xf numFmtId="4" fontId="5" fillId="3" borderId="6" xfId="5" applyNumberFormat="1" applyFont="1" applyFill="1" applyBorder="1">
      <alignment vertical="center"/>
    </xf>
    <xf numFmtId="167" fontId="5" fillId="3" borderId="6" xfId="5" applyNumberFormat="1" applyFont="1" applyFill="1" applyBorder="1">
      <alignment vertical="center"/>
    </xf>
    <xf numFmtId="4" fontId="5" fillId="3" borderId="13" xfId="5" applyNumberFormat="1" applyFont="1" applyFill="1" applyBorder="1">
      <alignment vertical="center"/>
    </xf>
    <xf numFmtId="167" fontId="5" fillId="3" borderId="13" xfId="5" applyNumberFormat="1" applyFont="1" applyFill="1" applyBorder="1">
      <alignment vertical="center"/>
    </xf>
    <xf numFmtId="167" fontId="9" fillId="10" borderId="13" xfId="8" applyNumberFormat="1" applyFont="1" applyFill="1" applyBorder="1" applyAlignment="1">
      <alignment horizontal="right" vertical="center"/>
    </xf>
    <xf numFmtId="167" fontId="9" fillId="20" borderId="13" xfId="8" applyNumberFormat="1" applyFont="1" applyFill="1" applyBorder="1" applyAlignment="1">
      <alignment horizontal="right" vertical="center"/>
    </xf>
    <xf numFmtId="167" fontId="5" fillId="18" borderId="6" xfId="5" applyNumberFormat="1" applyFont="1" applyFill="1" applyBorder="1">
      <alignment vertical="center"/>
    </xf>
    <xf numFmtId="167" fontId="5" fillId="18" borderId="13" xfId="5" applyNumberFormat="1" applyFont="1" applyFill="1" applyBorder="1">
      <alignment vertical="center"/>
    </xf>
    <xf numFmtId="167" fontId="9" fillId="19" borderId="13" xfId="8" applyNumberFormat="1" applyFont="1" applyFill="1" applyBorder="1" applyAlignment="1">
      <alignment horizontal="right" vertical="center"/>
    </xf>
    <xf numFmtId="173" fontId="24" fillId="0" borderId="0" xfId="11" applyNumberFormat="1" applyFont="1" applyAlignment="1">
      <alignment vertical="center"/>
    </xf>
    <xf numFmtId="0" fontId="24" fillId="6" borderId="0" xfId="11" applyFont="1" applyFill="1" applyAlignment="1">
      <alignment vertical="center"/>
    </xf>
    <xf numFmtId="3" fontId="3" fillId="22" borderId="2" xfId="5" applyNumberFormat="1" applyFont="1" applyFill="1" applyBorder="1" applyAlignment="1">
      <alignment vertical="center" wrapText="1"/>
    </xf>
    <xf numFmtId="4" fontId="0" fillId="0" borderId="0" xfId="0" applyNumberFormat="1"/>
    <xf numFmtId="165" fontId="24" fillId="6" borderId="0" xfId="11" applyNumberFormat="1" applyFont="1" applyFill="1" applyAlignment="1">
      <alignment vertical="center"/>
    </xf>
    <xf numFmtId="173" fontId="24" fillId="6" borderId="0" xfId="1" applyNumberFormat="1" applyFont="1" applyFill="1" applyAlignment="1">
      <alignment horizontal="left" vertical="center"/>
    </xf>
    <xf numFmtId="165" fontId="24" fillId="6" borderId="0" xfId="1" applyFont="1" applyFill="1" applyAlignment="1">
      <alignment vertical="center"/>
    </xf>
    <xf numFmtId="171" fontId="24" fillId="0" borderId="0" xfId="11" applyNumberFormat="1" applyFont="1"/>
    <xf numFmtId="180" fontId="9" fillId="2" borderId="8" xfId="8" applyNumberFormat="1" applyFont="1" applyFill="1" applyBorder="1" applyAlignment="1">
      <alignment horizontal="right" vertical="center"/>
    </xf>
    <xf numFmtId="166" fontId="7" fillId="0" borderId="28" xfId="4" quotePrefix="1" applyNumberFormat="1" applyFont="1" applyBorder="1" applyAlignment="1">
      <alignment horizontal="center" vertical="center" wrapText="1"/>
    </xf>
    <xf numFmtId="184" fontId="0" fillId="0" borderId="0" xfId="0" applyNumberFormat="1"/>
    <xf numFmtId="173" fontId="39" fillId="0" borderId="0" xfId="1" applyNumberFormat="1" applyFont="1" applyFill="1" applyAlignment="1">
      <alignment vertical="center"/>
    </xf>
    <xf numFmtId="173" fontId="37" fillId="0" borderId="0" xfId="1" applyNumberFormat="1" applyFont="1" applyFill="1"/>
    <xf numFmtId="165" fontId="24" fillId="0" borderId="0" xfId="1" applyFont="1"/>
    <xf numFmtId="170" fontId="8" fillId="0" borderId="2" xfId="2" applyNumberFormat="1" applyFont="1" applyFill="1" applyBorder="1" applyAlignment="1">
      <alignment horizontal="right" vertical="center"/>
    </xf>
    <xf numFmtId="3" fontId="4" fillId="6" borderId="0" xfId="5" applyNumberFormat="1" applyFill="1">
      <alignment vertical="center"/>
    </xf>
    <xf numFmtId="171" fontId="26" fillId="0" borderId="2" xfId="11" applyNumberFormat="1" applyFont="1" applyBorder="1" applyAlignment="1">
      <alignment horizontal="center" vertical="center"/>
    </xf>
    <xf numFmtId="173" fontId="24" fillId="0" borderId="0" xfId="1" applyNumberFormat="1" applyFont="1"/>
    <xf numFmtId="179" fontId="23" fillId="0" borderId="0" xfId="11" applyNumberFormat="1" applyFont="1" applyAlignment="1">
      <alignment horizontal="left" vertical="center"/>
    </xf>
    <xf numFmtId="175" fontId="0" fillId="0" borderId="0" xfId="0" applyNumberFormat="1"/>
    <xf numFmtId="0" fontId="24" fillId="6" borderId="0" xfId="11" applyFont="1" applyFill="1" applyAlignment="1">
      <alignment horizontal="left" vertical="center"/>
    </xf>
    <xf numFmtId="174" fontId="24" fillId="6" borderId="0" xfId="11" applyNumberFormat="1" applyFont="1" applyFill="1" applyAlignment="1">
      <alignment vertical="center"/>
    </xf>
    <xf numFmtId="166" fontId="7" fillId="0" borderId="27" xfId="4" quotePrefix="1" applyNumberFormat="1" applyFont="1" applyBorder="1" applyAlignment="1">
      <alignment horizontal="center" vertical="center" wrapText="1"/>
    </xf>
    <xf numFmtId="166" fontId="7" fillId="6" borderId="28" xfId="4" quotePrefix="1" applyNumberFormat="1" applyFont="1" applyFill="1" applyBorder="1" applyAlignment="1">
      <alignment horizontal="center" vertical="center" wrapText="1"/>
    </xf>
    <xf numFmtId="171" fontId="24" fillId="0" borderId="0" xfId="11" applyNumberFormat="1" applyFont="1" applyAlignment="1">
      <alignment horizontal="right" vertical="center"/>
    </xf>
    <xf numFmtId="4" fontId="5" fillId="2" borderId="0" xfId="5" applyNumberFormat="1" applyFont="1" applyFill="1">
      <alignment vertical="center"/>
    </xf>
    <xf numFmtId="2" fontId="0" fillId="0" borderId="0" xfId="0" applyNumberFormat="1"/>
    <xf numFmtId="173" fontId="1" fillId="0" borderId="0" xfId="1" applyNumberFormat="1" applyFont="1"/>
    <xf numFmtId="173" fontId="0" fillId="2" borderId="0" xfId="1" applyNumberFormat="1" applyFont="1" applyFill="1"/>
    <xf numFmtId="0" fontId="38" fillId="0" borderId="0" xfId="11" applyFont="1" applyAlignment="1">
      <alignment horizontal="left"/>
    </xf>
    <xf numFmtId="0" fontId="46" fillId="0" borderId="0" xfId="0" applyFont="1"/>
    <xf numFmtId="165" fontId="46" fillId="0" borderId="0" xfId="1" applyFont="1"/>
    <xf numFmtId="172" fontId="47" fillId="0" borderId="0" xfId="11" applyNumberFormat="1" applyFont="1" applyAlignment="1">
      <alignment vertical="center"/>
    </xf>
    <xf numFmtId="173" fontId="37" fillId="2" borderId="0" xfId="1" applyNumberFormat="1" applyFont="1" applyFill="1"/>
    <xf numFmtId="0" fontId="24" fillId="2" borderId="0" xfId="11" applyFont="1" applyFill="1" applyAlignment="1">
      <alignment horizontal="left" vertical="center"/>
    </xf>
    <xf numFmtId="173" fontId="24" fillId="2" borderId="0" xfId="1" applyNumberFormat="1" applyFont="1" applyFill="1" applyAlignment="1">
      <alignment horizontal="left" vertical="center"/>
    </xf>
    <xf numFmtId="1" fontId="24" fillId="0" borderId="0" xfId="11" applyNumberFormat="1" applyFont="1" applyAlignment="1">
      <alignment vertical="center"/>
    </xf>
    <xf numFmtId="0" fontId="24" fillId="6" borderId="0" xfId="13" quotePrefix="1" applyFont="1" applyFill="1" applyAlignment="1">
      <alignment vertical="center"/>
    </xf>
    <xf numFmtId="185" fontId="24" fillId="0" borderId="0" xfId="11" applyNumberFormat="1" applyFont="1" applyAlignment="1">
      <alignment vertical="center"/>
    </xf>
    <xf numFmtId="167" fontId="0" fillId="0" borderId="0" xfId="1" applyNumberFormat="1" applyFont="1"/>
    <xf numFmtId="0" fontId="24" fillId="23" borderId="0" xfId="11" applyFont="1" applyFill="1" applyAlignment="1">
      <alignment vertical="center"/>
    </xf>
    <xf numFmtId="173" fontId="24" fillId="23" borderId="0" xfId="1" applyNumberFormat="1" applyFont="1" applyFill="1" applyAlignment="1">
      <alignment vertical="center"/>
    </xf>
    <xf numFmtId="173" fontId="22" fillId="0" borderId="0" xfId="1" applyNumberFormat="1" applyFont="1" applyFill="1"/>
    <xf numFmtId="171" fontId="23" fillId="23" borderId="31" xfId="11" applyNumberFormat="1" applyFont="1" applyFill="1" applyBorder="1" applyAlignment="1">
      <alignment horizontal="right" vertical="center"/>
    </xf>
    <xf numFmtId="1" fontId="24" fillId="6" borderId="0" xfId="11" applyNumberFormat="1" applyFont="1" applyFill="1" applyAlignment="1">
      <alignment vertical="center"/>
    </xf>
    <xf numFmtId="0" fontId="24" fillId="0" borderId="0" xfId="13" quotePrefix="1" applyFont="1" applyAlignment="1">
      <alignment vertical="center"/>
    </xf>
    <xf numFmtId="0" fontId="22" fillId="6" borderId="0" xfId="0" applyFont="1" applyFill="1"/>
    <xf numFmtId="165" fontId="37" fillId="7" borderId="0" xfId="0" applyNumberFormat="1" applyFont="1" applyFill="1"/>
    <xf numFmtId="173" fontId="39" fillId="7" borderId="0" xfId="1" applyNumberFormat="1" applyFont="1" applyFill="1" applyAlignment="1">
      <alignment vertical="center"/>
    </xf>
    <xf numFmtId="171" fontId="24" fillId="6" borderId="0" xfId="11" applyNumberFormat="1" applyFont="1" applyFill="1" applyAlignment="1">
      <alignment vertical="center"/>
    </xf>
    <xf numFmtId="165" fontId="0" fillId="6" borderId="0" xfId="1" applyFont="1" applyFill="1"/>
    <xf numFmtId="43" fontId="0" fillId="0" borderId="0" xfId="0" applyNumberFormat="1"/>
    <xf numFmtId="0" fontId="0" fillId="0" borderId="0" xfId="11" applyFont="1" applyAlignment="1">
      <alignment vertical="center"/>
    </xf>
    <xf numFmtId="173" fontId="38" fillId="2" borderId="0" xfId="1" applyNumberFormat="1" applyFont="1" applyFill="1" applyAlignment="1">
      <alignment vertical="center"/>
    </xf>
    <xf numFmtId="43" fontId="24" fillId="0" borderId="0" xfId="11" applyNumberFormat="1" applyFont="1" applyAlignment="1">
      <alignment vertical="center"/>
    </xf>
    <xf numFmtId="185" fontId="0" fillId="0" borderId="0" xfId="0" applyNumberFormat="1"/>
    <xf numFmtId="173" fontId="0" fillId="24" borderId="0" xfId="0" applyNumberFormat="1" applyFill="1"/>
    <xf numFmtId="171" fontId="0" fillId="25" borderId="0" xfId="0" applyNumberFormat="1" applyFill="1"/>
    <xf numFmtId="178" fontId="0" fillId="25" borderId="0" xfId="0" applyNumberFormat="1" applyFill="1"/>
    <xf numFmtId="186" fontId="24" fillId="0" borderId="0" xfId="11" applyNumberFormat="1" applyFont="1" applyAlignment="1">
      <alignment vertical="center"/>
    </xf>
    <xf numFmtId="178" fontId="23" fillId="14" borderId="31" xfId="11" applyNumberFormat="1" applyFont="1" applyFill="1" applyBorder="1" applyAlignment="1">
      <alignment horizontal="right" vertical="center"/>
    </xf>
    <xf numFmtId="0" fontId="48" fillId="0" borderId="0" xfId="0" applyFont="1"/>
    <xf numFmtId="0" fontId="36" fillId="0" borderId="0" xfId="11" applyFont="1" applyAlignment="1">
      <alignment vertical="center"/>
    </xf>
    <xf numFmtId="173" fontId="0" fillId="23" borderId="0" xfId="1" applyNumberFormat="1" applyFont="1" applyFill="1"/>
    <xf numFmtId="187" fontId="23" fillId="0" borderId="0" xfId="11" applyNumberFormat="1" applyFont="1" applyAlignment="1">
      <alignment horizontal="left" vertical="center"/>
    </xf>
    <xf numFmtId="171" fontId="0" fillId="26" borderId="0" xfId="0" applyNumberFormat="1" applyFill="1"/>
    <xf numFmtId="172" fontId="0" fillId="25" borderId="0" xfId="0" applyNumberFormat="1" applyFill="1"/>
    <xf numFmtId="4" fontId="8" fillId="2" borderId="6" xfId="8" applyNumberFormat="1" applyFont="1" applyFill="1" applyBorder="1" applyAlignment="1">
      <alignment horizontal="right" vertical="center"/>
    </xf>
    <xf numFmtId="40" fontId="8" fillId="2" borderId="2" xfId="2" applyNumberFormat="1" applyFont="1" applyFill="1" applyBorder="1" applyAlignment="1">
      <alignment horizontal="right" vertical="center"/>
    </xf>
    <xf numFmtId="174" fontId="26" fillId="14" borderId="59" xfId="11" applyNumberFormat="1" applyFont="1" applyFill="1" applyBorder="1" applyAlignment="1">
      <alignment horizontal="center" vertical="center"/>
    </xf>
    <xf numFmtId="165" fontId="24" fillId="27" borderId="0" xfId="1" applyFont="1" applyFill="1" applyAlignment="1">
      <alignment vertical="center"/>
    </xf>
    <xf numFmtId="3" fontId="0" fillId="0" borderId="0" xfId="0" applyNumberFormat="1"/>
    <xf numFmtId="171" fontId="23" fillId="14" borderId="0" xfId="11" applyNumberFormat="1" applyFont="1" applyFill="1" applyAlignment="1">
      <alignment horizontal="right" vertical="center"/>
    </xf>
    <xf numFmtId="171" fontId="29" fillId="14" borderId="31" xfId="11" applyNumberFormat="1" applyFont="1" applyFill="1" applyBorder="1" applyAlignment="1">
      <alignment vertical="center"/>
    </xf>
    <xf numFmtId="184" fontId="24" fillId="0" borderId="0" xfId="11" applyNumberFormat="1" applyFont="1" applyAlignment="1">
      <alignment vertical="center"/>
    </xf>
    <xf numFmtId="0" fontId="49" fillId="0" borderId="0" xfId="0" applyFont="1" applyAlignment="1">
      <alignment vertical="center" wrapText="1"/>
    </xf>
    <xf numFmtId="0" fontId="50" fillId="0" borderId="0" xfId="0" applyFont="1" applyAlignment="1">
      <alignment vertical="center" wrapText="1"/>
    </xf>
    <xf numFmtId="0" fontId="50" fillId="0" borderId="0" xfId="0" applyFont="1" applyAlignment="1">
      <alignment horizontal="justify" vertical="center" wrapText="1"/>
    </xf>
    <xf numFmtId="0" fontId="0" fillId="0" borderId="0" xfId="0" applyAlignment="1">
      <alignment wrapText="1"/>
    </xf>
    <xf numFmtId="0" fontId="19" fillId="0" borderId="0" xfId="0" applyFont="1" applyAlignment="1">
      <alignment wrapText="1"/>
    </xf>
    <xf numFmtId="0" fontId="51" fillId="0" borderId="0" xfId="0" applyFont="1" applyAlignment="1">
      <alignment vertical="center" wrapText="1"/>
    </xf>
    <xf numFmtId="14" fontId="0" fillId="0" borderId="0" xfId="0" applyNumberFormat="1" applyAlignment="1">
      <alignment wrapText="1"/>
    </xf>
    <xf numFmtId="173" fontId="22" fillId="26" borderId="0" xfId="1" applyNumberFormat="1" applyFont="1" applyFill="1" applyAlignment="1">
      <alignment vertical="center"/>
    </xf>
    <xf numFmtId="171" fontId="22" fillId="26" borderId="31" xfId="11" applyNumberFormat="1" applyFont="1" applyFill="1" applyBorder="1" applyAlignment="1">
      <alignment horizontal="right" vertical="center"/>
    </xf>
    <xf numFmtId="179" fontId="0" fillId="26" borderId="0" xfId="1" applyNumberFormat="1" applyFont="1" applyFill="1"/>
    <xf numFmtId="173" fontId="0" fillId="26" borderId="0" xfId="1" applyNumberFormat="1" applyFont="1" applyFill="1"/>
    <xf numFmtId="179" fontId="19" fillId="26" borderId="0" xfId="1" applyNumberFormat="1" applyFont="1" applyFill="1"/>
    <xf numFmtId="178" fontId="19" fillId="26" borderId="0" xfId="0" applyNumberFormat="1" applyFont="1" applyFill="1"/>
    <xf numFmtId="174" fontId="26" fillId="14" borderId="3" xfId="11" applyNumberFormat="1" applyFont="1" applyFill="1" applyBorder="1" applyAlignment="1">
      <alignment horizontal="center" vertical="center"/>
    </xf>
    <xf numFmtId="4" fontId="9" fillId="2" borderId="8" xfId="8" applyNumberFormat="1" applyFont="1" applyFill="1" applyBorder="1" applyAlignment="1">
      <alignment horizontal="right" vertical="center"/>
    </xf>
    <xf numFmtId="174" fontId="26" fillId="2" borderId="2" xfId="11" applyNumberFormat="1" applyFont="1" applyFill="1" applyBorder="1" applyAlignment="1">
      <alignment horizontal="center" vertical="center"/>
    </xf>
    <xf numFmtId="174" fontId="26" fillId="14" borderId="2" xfId="11" applyNumberFormat="1" applyFont="1" applyFill="1" applyBorder="1" applyAlignment="1">
      <alignment horizontal="center" vertical="center"/>
    </xf>
    <xf numFmtId="171" fontId="23" fillId="0" borderId="0" xfId="11" applyNumberFormat="1" applyFont="1" applyAlignment="1">
      <alignment horizontal="right" vertical="center"/>
    </xf>
    <xf numFmtId="0" fontId="29" fillId="14" borderId="10" xfId="11" applyFont="1" applyFill="1" applyBorder="1" applyAlignment="1">
      <alignment vertical="center" wrapText="1"/>
    </xf>
    <xf numFmtId="173" fontId="23" fillId="0" borderId="0" xfId="11" applyNumberFormat="1" applyFont="1" applyAlignment="1">
      <alignment horizontal="left" vertical="center"/>
    </xf>
    <xf numFmtId="43" fontId="23" fillId="0" borderId="0" xfId="11" applyNumberFormat="1" applyFont="1" applyAlignment="1">
      <alignment horizontal="left" vertical="center"/>
    </xf>
    <xf numFmtId="188" fontId="0" fillId="0" borderId="0" xfId="0" applyNumberFormat="1"/>
    <xf numFmtId="186" fontId="0" fillId="0" borderId="0" xfId="0" applyNumberFormat="1"/>
    <xf numFmtId="167" fontId="40" fillId="0" borderId="0" xfId="0" quotePrefix="1" applyNumberFormat="1" applyFont="1" applyAlignment="1">
      <alignment vertical="center"/>
    </xf>
    <xf numFmtId="173" fontId="0" fillId="7" borderId="0" xfId="1" applyNumberFormat="1" applyFont="1" applyFill="1"/>
    <xf numFmtId="170" fontId="52" fillId="0" borderId="60" xfId="2" applyNumberFormat="1" applyFont="1" applyFill="1" applyBorder="1" applyAlignment="1">
      <alignment horizontal="center" vertical="center"/>
    </xf>
    <xf numFmtId="173" fontId="23" fillId="0" borderId="0" xfId="1" applyNumberFormat="1" applyFont="1" applyFill="1" applyAlignment="1">
      <alignment horizontal="right" vertical="center"/>
    </xf>
    <xf numFmtId="173" fontId="24" fillId="3" borderId="0" xfId="1" applyNumberFormat="1" applyFont="1" applyFill="1" applyAlignment="1">
      <alignment vertical="center"/>
    </xf>
    <xf numFmtId="173" fontId="24" fillId="3" borderId="0" xfId="11" applyNumberFormat="1" applyFont="1" applyFill="1" applyAlignment="1">
      <alignment vertical="center"/>
    </xf>
    <xf numFmtId="0" fontId="29" fillId="0" borderId="0" xfId="11" applyFont="1" applyAlignment="1">
      <alignment vertical="center"/>
    </xf>
    <xf numFmtId="173" fontId="24" fillId="7" borderId="0" xfId="11" applyNumberFormat="1" applyFont="1" applyFill="1" applyAlignment="1">
      <alignment vertical="center"/>
    </xf>
    <xf numFmtId="173" fontId="0" fillId="7" borderId="0" xfId="0" applyNumberFormat="1" applyFill="1"/>
    <xf numFmtId="173" fontId="0" fillId="3" borderId="0" xfId="0" applyNumberFormat="1" applyFill="1"/>
    <xf numFmtId="43" fontId="0" fillId="3" borderId="0" xfId="0" applyNumberFormat="1" applyFill="1"/>
    <xf numFmtId="0" fontId="36" fillId="6" borderId="0" xfId="11" applyFont="1" applyFill="1" applyAlignment="1">
      <alignment vertical="center"/>
    </xf>
    <xf numFmtId="0" fontId="24" fillId="3" borderId="0" xfId="11" applyFont="1" applyFill="1" applyAlignment="1">
      <alignment vertical="center"/>
    </xf>
    <xf numFmtId="173" fontId="23" fillId="3" borderId="0" xfId="1" applyNumberFormat="1" applyFont="1" applyFill="1" applyAlignment="1">
      <alignment horizontal="left" vertical="center"/>
    </xf>
    <xf numFmtId="171" fontId="0" fillId="3" borderId="0" xfId="0" applyNumberFormat="1" applyFill="1"/>
    <xf numFmtId="173" fontId="18" fillId="6" borderId="0" xfId="1" applyNumberFormat="1" applyFont="1" applyFill="1"/>
    <xf numFmtId="173" fontId="48" fillId="6" borderId="0" xfId="1" applyNumberFormat="1" applyFont="1" applyFill="1"/>
    <xf numFmtId="165" fontId="18" fillId="6" borderId="0" xfId="1" applyFont="1" applyFill="1"/>
    <xf numFmtId="173" fontId="24" fillId="7" borderId="0" xfId="1" applyNumberFormat="1" applyFont="1" applyFill="1" applyAlignment="1">
      <alignment vertical="center"/>
    </xf>
    <xf numFmtId="171" fontId="26" fillId="0" borderId="0" xfId="11" applyNumberFormat="1" applyFont="1" applyAlignment="1">
      <alignment horizontal="center" vertical="center"/>
    </xf>
    <xf numFmtId="2" fontId="24" fillId="0" borderId="0" xfId="11" applyNumberFormat="1" applyFont="1" applyAlignment="1">
      <alignment vertical="center"/>
    </xf>
    <xf numFmtId="2" fontId="24" fillId="0" borderId="0" xfId="11" applyNumberFormat="1" applyFont="1"/>
    <xf numFmtId="0" fontId="26" fillId="15" borderId="0" xfId="12" applyFont="1" applyFill="1" applyAlignment="1">
      <alignment horizontal="center" vertical="center" wrapText="1"/>
    </xf>
    <xf numFmtId="0" fontId="26" fillId="15" borderId="15" xfId="12" applyFont="1" applyFill="1" applyBorder="1" applyAlignment="1">
      <alignment horizontal="center" vertical="center" wrapText="1"/>
    </xf>
    <xf numFmtId="170" fontId="26" fillId="0" borderId="62" xfId="2" applyNumberFormat="1" applyFont="1" applyFill="1" applyBorder="1" applyAlignment="1">
      <alignment horizontal="center" vertical="center"/>
    </xf>
    <xf numFmtId="171" fontId="23" fillId="17" borderId="0" xfId="11" applyNumberFormat="1" applyFont="1" applyFill="1" applyAlignment="1">
      <alignment vertical="center"/>
    </xf>
    <xf numFmtId="171" fontId="23" fillId="14" borderId="0" xfId="11" applyNumberFormat="1" applyFont="1" applyFill="1" applyAlignment="1">
      <alignment vertical="center"/>
    </xf>
    <xf numFmtId="178" fontId="23" fillId="14" borderId="0" xfId="11" applyNumberFormat="1" applyFont="1" applyFill="1" applyAlignment="1">
      <alignment horizontal="right" vertical="center"/>
    </xf>
    <xf numFmtId="3" fontId="7" fillId="3" borderId="5" xfId="4" quotePrefix="1" applyNumberFormat="1" applyFont="1" applyFill="1" applyBorder="1" applyAlignment="1">
      <alignment horizontal="right" vertical="center"/>
    </xf>
    <xf numFmtId="3" fontId="7" fillId="3" borderId="6" xfId="4" quotePrefix="1" applyNumberFormat="1" applyFont="1" applyFill="1" applyBorder="1" applyAlignment="1">
      <alignment horizontal="right" vertical="center"/>
    </xf>
    <xf numFmtId="3" fontId="7" fillId="7" borderId="36" xfId="4" quotePrefix="1" applyNumberFormat="1" applyFont="1" applyFill="1" applyBorder="1" applyAlignment="1">
      <alignment horizontal="right" vertical="center"/>
    </xf>
    <xf numFmtId="3" fontId="7" fillId="5" borderId="6" xfId="4" quotePrefix="1" applyNumberFormat="1" applyFont="1" applyFill="1" applyBorder="1" applyAlignment="1">
      <alignment horizontal="right" vertical="center"/>
    </xf>
    <xf numFmtId="3" fontId="5" fillId="2" borderId="2" xfId="5" applyNumberFormat="1" applyFont="1" applyFill="1" applyBorder="1">
      <alignment vertical="center"/>
    </xf>
    <xf numFmtId="3" fontId="8" fillId="8" borderId="6" xfId="4" quotePrefix="1" applyNumberFormat="1" applyFont="1" applyFill="1" applyBorder="1" applyAlignment="1">
      <alignment horizontal="right" vertical="center"/>
    </xf>
    <xf numFmtId="3" fontId="7" fillId="9" borderId="6" xfId="4" quotePrefix="1" applyNumberFormat="1" applyFont="1" applyFill="1" applyBorder="1" applyAlignment="1">
      <alignment horizontal="right" vertical="center"/>
    </xf>
    <xf numFmtId="3" fontId="7" fillId="10" borderId="6" xfId="4" quotePrefix="1" applyNumberFormat="1" applyFont="1" applyFill="1" applyBorder="1" applyAlignment="1">
      <alignment horizontal="right" vertical="center"/>
    </xf>
    <xf numFmtId="3" fontId="7" fillId="18" borderId="6" xfId="4" quotePrefix="1" applyNumberFormat="1" applyFont="1" applyFill="1" applyBorder="1" applyAlignment="1">
      <alignment horizontal="right" vertical="center"/>
    </xf>
    <xf numFmtId="3" fontId="7" fillId="19" borderId="6" xfId="4" quotePrefix="1" applyNumberFormat="1" applyFont="1" applyFill="1" applyBorder="1" applyAlignment="1">
      <alignment horizontal="right" vertical="center"/>
    </xf>
    <xf numFmtId="3" fontId="7" fillId="20" borderId="6" xfId="4" quotePrefix="1" applyNumberFormat="1" applyFont="1" applyFill="1" applyBorder="1" applyAlignment="1">
      <alignment horizontal="right" vertical="center"/>
    </xf>
    <xf numFmtId="3" fontId="7" fillId="21" borderId="6" xfId="4" quotePrefix="1" applyNumberFormat="1" applyFont="1" applyFill="1" applyBorder="1" applyAlignment="1">
      <alignment horizontal="right" vertical="center"/>
    </xf>
    <xf numFmtId="3" fontId="7" fillId="7" borderId="37" xfId="4" quotePrefix="1" applyNumberFormat="1" applyFont="1" applyFill="1" applyBorder="1" applyAlignment="1">
      <alignment horizontal="right" vertical="center"/>
    </xf>
    <xf numFmtId="3" fontId="7" fillId="3" borderId="2" xfId="4" quotePrefix="1" applyNumberFormat="1" applyFont="1" applyFill="1" applyBorder="1" applyAlignment="1">
      <alignment horizontal="right" vertical="center"/>
    </xf>
    <xf numFmtId="3" fontId="7" fillId="5" borderId="2" xfId="4" quotePrefix="1" applyNumberFormat="1" applyFont="1" applyFill="1" applyBorder="1" applyAlignment="1">
      <alignment horizontal="right" vertical="center"/>
    </xf>
    <xf numFmtId="3" fontId="8" fillId="8" borderId="2" xfId="4" quotePrefix="1" applyNumberFormat="1" applyFont="1" applyFill="1" applyBorder="1" applyAlignment="1">
      <alignment horizontal="right" vertical="center"/>
    </xf>
    <xf numFmtId="3" fontId="7" fillId="9" borderId="2" xfId="4" quotePrefix="1" applyNumberFormat="1" applyFont="1" applyFill="1" applyBorder="1" applyAlignment="1">
      <alignment horizontal="right" vertical="center"/>
    </xf>
    <xf numFmtId="3" fontId="7" fillId="10" borderId="2" xfId="4" quotePrefix="1" applyNumberFormat="1" applyFont="1" applyFill="1" applyBorder="1" applyAlignment="1">
      <alignment horizontal="right" vertical="center"/>
    </xf>
    <xf numFmtId="3" fontId="7" fillId="18" borderId="2" xfId="4" quotePrefix="1" applyNumberFormat="1" applyFont="1" applyFill="1" applyBorder="1" applyAlignment="1">
      <alignment horizontal="right" vertical="center"/>
    </xf>
    <xf numFmtId="3" fontId="7" fillId="19" borderId="2" xfId="4" quotePrefix="1" applyNumberFormat="1" applyFont="1" applyFill="1" applyBorder="1" applyAlignment="1">
      <alignment horizontal="right" vertical="center"/>
    </xf>
    <xf numFmtId="3" fontId="7" fillId="20" borderId="2" xfId="4" quotePrefix="1" applyNumberFormat="1" applyFont="1" applyFill="1" applyBorder="1" applyAlignment="1">
      <alignment horizontal="right" vertical="center"/>
    </xf>
    <xf numFmtId="3" fontId="7" fillId="21" borderId="2" xfId="4" quotePrefix="1" applyNumberFormat="1" applyFont="1" applyFill="1" applyBorder="1" applyAlignment="1">
      <alignment horizontal="right" vertical="center"/>
    </xf>
    <xf numFmtId="189" fontId="24" fillId="0" borderId="0" xfId="11" applyNumberFormat="1" applyFont="1" applyAlignment="1">
      <alignment vertical="center"/>
    </xf>
    <xf numFmtId="165" fontId="24" fillId="19" borderId="0" xfId="11" applyNumberFormat="1" applyFont="1" applyFill="1" applyAlignment="1">
      <alignment vertical="center"/>
    </xf>
    <xf numFmtId="0" fontId="24" fillId="19" borderId="0" xfId="11" applyFont="1" applyFill="1" applyAlignment="1">
      <alignment vertical="center"/>
    </xf>
    <xf numFmtId="165" fontId="24" fillId="19" borderId="0" xfId="11" applyNumberFormat="1" applyFont="1" applyFill="1"/>
    <xf numFmtId="0" fontId="0" fillId="19" borderId="0" xfId="0" applyFill="1"/>
    <xf numFmtId="165" fontId="24" fillId="19" borderId="0" xfId="1" applyFont="1" applyFill="1" applyAlignment="1">
      <alignment vertical="center"/>
    </xf>
    <xf numFmtId="171" fontId="24" fillId="19" borderId="0" xfId="11" applyNumberFormat="1" applyFont="1" applyFill="1" applyAlignment="1">
      <alignment horizontal="right" vertical="center"/>
    </xf>
    <xf numFmtId="0" fontId="23" fillId="6" borderId="0" xfId="11" applyFont="1" applyFill="1" applyAlignment="1">
      <alignment vertical="center"/>
    </xf>
    <xf numFmtId="0" fontId="25" fillId="17" borderId="120" xfId="11" applyFont="1" applyFill="1" applyBorder="1" applyAlignment="1">
      <alignment horizontal="left" vertical="center"/>
    </xf>
    <xf numFmtId="0" fontId="29" fillId="14" borderId="120" xfId="11" applyFont="1" applyFill="1" applyBorder="1" applyAlignment="1">
      <alignment vertical="center"/>
    </xf>
    <xf numFmtId="353" fontId="24" fillId="0" borderId="0" xfId="1" applyNumberFormat="1" applyFont="1" applyAlignment="1">
      <alignment vertical="center"/>
    </xf>
    <xf numFmtId="0" fontId="23" fillId="17" borderId="4" xfId="11" applyFont="1" applyFill="1" applyBorder="1" applyAlignment="1">
      <alignment vertical="center"/>
    </xf>
    <xf numFmtId="167" fontId="9" fillId="5" borderId="0" xfId="8" applyNumberFormat="1" applyFont="1" applyFill="1" applyBorder="1" applyAlignment="1">
      <alignment horizontal="right" vertical="center"/>
    </xf>
    <xf numFmtId="3" fontId="24" fillId="0" borderId="0" xfId="11" applyNumberFormat="1" applyFont="1" applyAlignment="1">
      <alignment vertical="center"/>
    </xf>
    <xf numFmtId="166" fontId="7" fillId="9" borderId="29" xfId="4" quotePrefix="1" applyNumberFormat="1" applyFont="1" applyFill="1" applyBorder="1" applyAlignment="1">
      <alignment horizontal="center" vertical="center" wrapText="1"/>
    </xf>
    <xf numFmtId="173" fontId="25" fillId="13" borderId="44" xfId="1" applyNumberFormat="1" applyFont="1" applyFill="1" applyBorder="1" applyAlignment="1">
      <alignment horizontal="centerContinuous" vertical="center"/>
    </xf>
    <xf numFmtId="173" fontId="26" fillId="15" borderId="49" xfId="1" applyNumberFormat="1" applyFont="1" applyFill="1" applyBorder="1" applyAlignment="1">
      <alignment horizontal="centerContinuous" vertical="center" wrapText="1"/>
    </xf>
    <xf numFmtId="173" fontId="24" fillId="15" borderId="56" xfId="1" applyNumberFormat="1" applyFont="1" applyFill="1" applyBorder="1" applyAlignment="1">
      <alignment horizontal="center" vertical="center" wrapText="1"/>
    </xf>
    <xf numFmtId="173" fontId="26" fillId="14" borderId="58" xfId="1" applyNumberFormat="1" applyFont="1" applyFill="1" applyBorder="1" applyAlignment="1">
      <alignment horizontal="center" vertical="center"/>
    </xf>
    <xf numFmtId="173" fontId="42" fillId="0" borderId="0" xfId="1" applyNumberFormat="1" applyFont="1"/>
    <xf numFmtId="173" fontId="24" fillId="2" borderId="0" xfId="11" applyNumberFormat="1" applyFont="1" applyFill="1" applyAlignment="1">
      <alignment vertical="center"/>
    </xf>
    <xf numFmtId="173" fontId="24" fillId="2" borderId="0" xfId="11" applyNumberFormat="1" applyFont="1" applyFill="1"/>
    <xf numFmtId="354" fontId="24" fillId="0" borderId="0" xfId="11" applyNumberFormat="1" applyFont="1"/>
    <xf numFmtId="173" fontId="0" fillId="14" borderId="0" xfId="1" applyNumberFormat="1" applyFont="1" applyFill="1"/>
    <xf numFmtId="173" fontId="24" fillId="14" borderId="0" xfId="1" applyNumberFormat="1" applyFont="1" applyFill="1" applyAlignment="1">
      <alignment vertical="center"/>
    </xf>
    <xf numFmtId="165" fontId="23" fillId="14" borderId="0" xfId="11" applyNumberFormat="1" applyFont="1" applyFill="1" applyAlignment="1">
      <alignment horizontal="left" vertical="center"/>
    </xf>
    <xf numFmtId="173" fontId="23" fillId="14" borderId="0" xfId="1" applyNumberFormat="1" applyFont="1" applyFill="1" applyAlignment="1">
      <alignment horizontal="left" vertical="center"/>
    </xf>
    <xf numFmtId="165" fontId="23" fillId="14" borderId="0" xfId="1" applyFont="1" applyFill="1" applyAlignment="1">
      <alignment horizontal="left" vertical="center"/>
    </xf>
    <xf numFmtId="4" fontId="9" fillId="7" borderId="37" xfId="8" applyNumberFormat="1" applyFont="1" applyFill="1" applyBorder="1" applyAlignment="1">
      <alignment horizontal="right" vertical="center"/>
    </xf>
    <xf numFmtId="4" fontId="9" fillId="5" borderId="2" xfId="8" applyNumberFormat="1" applyFont="1" applyFill="1" applyBorder="1" applyAlignment="1">
      <alignment horizontal="right" vertical="center"/>
    </xf>
    <xf numFmtId="355" fontId="5" fillId="2" borderId="0" xfId="5" applyNumberFormat="1" applyFont="1" applyFill="1">
      <alignment vertical="center"/>
    </xf>
    <xf numFmtId="173" fontId="9" fillId="0" borderId="2" xfId="1" applyNumberFormat="1" applyFont="1" applyFill="1" applyBorder="1" applyAlignment="1">
      <alignment horizontal="right" vertical="center"/>
    </xf>
    <xf numFmtId="173" fontId="9" fillId="5" borderId="2" xfId="1" applyNumberFormat="1" applyFont="1" applyFill="1" applyBorder="1" applyAlignment="1">
      <alignment horizontal="right" vertical="center"/>
    </xf>
    <xf numFmtId="2" fontId="0" fillId="6" borderId="0" xfId="0" applyNumberFormat="1" applyFill="1"/>
    <xf numFmtId="0" fontId="29" fillId="0" borderId="10" xfId="11" applyFont="1" applyBorder="1" applyAlignment="1">
      <alignment vertical="center"/>
    </xf>
    <xf numFmtId="0" fontId="653" fillId="0" borderId="0" xfId="0" applyFont="1"/>
    <xf numFmtId="180" fontId="9" fillId="0" borderId="2" xfId="8" applyNumberFormat="1" applyFont="1" applyFill="1" applyBorder="1" applyAlignment="1">
      <alignment horizontal="right" vertical="center"/>
    </xf>
    <xf numFmtId="173" fontId="40" fillId="7" borderId="0" xfId="1" applyNumberFormat="1" applyFont="1" applyFill="1" applyAlignment="1">
      <alignment vertical="center"/>
    </xf>
    <xf numFmtId="0" fontId="654" fillId="0" borderId="0" xfId="11" applyFont="1" applyAlignment="1">
      <alignment vertical="center"/>
    </xf>
    <xf numFmtId="165" fontId="1" fillId="0" borderId="0" xfId="1" applyFont="1" applyFill="1"/>
    <xf numFmtId="173" fontId="40" fillId="0" borderId="0" xfId="1" applyNumberFormat="1" applyFont="1" applyFill="1" applyAlignment="1">
      <alignment vertical="center"/>
    </xf>
    <xf numFmtId="1" fontId="22" fillId="0" borderId="0" xfId="0" applyNumberFormat="1" applyFont="1"/>
    <xf numFmtId="173" fontId="19" fillId="0" borderId="0" xfId="1" applyNumberFormat="1" applyFont="1" applyFill="1"/>
    <xf numFmtId="43" fontId="24" fillId="0" borderId="0" xfId="11" applyNumberFormat="1" applyFont="1"/>
    <xf numFmtId="167" fontId="7" fillId="21" borderId="5" xfId="4" quotePrefix="1" applyNumberFormat="1" applyFont="1" applyFill="1" applyBorder="1" applyAlignment="1">
      <alignment horizontal="right" vertical="center"/>
    </xf>
    <xf numFmtId="40" fontId="9" fillId="2" borderId="2" xfId="2" applyNumberFormat="1" applyFont="1" applyFill="1" applyBorder="1" applyAlignment="1">
      <alignment horizontal="right" vertical="center"/>
    </xf>
    <xf numFmtId="0" fontId="29" fillId="14" borderId="0" xfId="11" applyFont="1" applyFill="1" applyAlignment="1">
      <alignment vertical="center"/>
    </xf>
    <xf numFmtId="356" fontId="0" fillId="0" borderId="0" xfId="0" applyNumberFormat="1"/>
    <xf numFmtId="177" fontId="0" fillId="0" borderId="0" xfId="0" applyNumberFormat="1"/>
    <xf numFmtId="171" fontId="24" fillId="7" borderId="0" xfId="1" applyNumberFormat="1" applyFont="1" applyFill="1" applyAlignment="1">
      <alignment vertical="center"/>
    </xf>
    <xf numFmtId="165" fontId="0" fillId="23" borderId="0" xfId="1" applyFont="1" applyFill="1"/>
    <xf numFmtId="172" fontId="0" fillId="23" borderId="0" xfId="0" applyNumberFormat="1" applyFill="1"/>
    <xf numFmtId="164" fontId="23" fillId="21" borderId="0" xfId="2" applyFont="1" applyFill="1" applyAlignment="1">
      <alignment horizontal="right" vertical="center"/>
    </xf>
    <xf numFmtId="164" fontId="497" fillId="21" borderId="0" xfId="2" applyFont="1" applyFill="1" applyAlignment="1">
      <alignment horizontal="right" vertical="center"/>
    </xf>
    <xf numFmtId="0" fontId="19" fillId="21" borderId="0" xfId="0" applyFont="1" applyFill="1"/>
    <xf numFmtId="0" fontId="0" fillId="21" borderId="0" xfId="0" applyFill="1"/>
    <xf numFmtId="173" fontId="0" fillId="114" borderId="0" xfId="1" applyNumberFormat="1" applyFont="1" applyFill="1"/>
    <xf numFmtId="171" fontId="497" fillId="17" borderId="29" xfId="11" applyNumberFormat="1" applyFont="1" applyFill="1" applyBorder="1" applyAlignment="1">
      <alignment horizontal="right" vertical="center"/>
    </xf>
    <xf numFmtId="171" fontId="497" fillId="17" borderId="29" xfId="11" applyNumberFormat="1" applyFont="1" applyFill="1" applyBorder="1" applyAlignment="1">
      <alignment vertical="center"/>
    </xf>
    <xf numFmtId="173" fontId="655" fillId="3" borderId="0" xfId="11" applyNumberFormat="1" applyFont="1" applyFill="1" applyAlignment="1">
      <alignment vertical="center"/>
    </xf>
    <xf numFmtId="173" fontId="19" fillId="3" borderId="0" xfId="0" applyNumberFormat="1" applyFont="1" applyFill="1"/>
    <xf numFmtId="173" fontId="0" fillId="8" borderId="0" xfId="1" applyNumberFormat="1" applyFont="1" applyFill="1"/>
    <xf numFmtId="43" fontId="0" fillId="8" borderId="0" xfId="0" applyNumberFormat="1" applyFill="1"/>
    <xf numFmtId="173" fontId="24" fillId="8" borderId="0" xfId="1" applyNumberFormat="1" applyFont="1" applyFill="1" applyAlignment="1">
      <alignment vertical="center"/>
    </xf>
    <xf numFmtId="252" fontId="0" fillId="6" borderId="0" xfId="0" applyNumberFormat="1" applyFill="1"/>
    <xf numFmtId="171" fontId="23" fillId="6" borderId="0" xfId="11" applyNumberFormat="1" applyFont="1" applyFill="1" applyAlignment="1">
      <alignment horizontal="right" vertical="center"/>
    </xf>
    <xf numFmtId="43" fontId="24" fillId="115" borderId="0" xfId="11" applyNumberFormat="1" applyFont="1" applyFill="1" applyAlignment="1">
      <alignment vertical="center"/>
    </xf>
    <xf numFmtId="0" fontId="24" fillId="115" borderId="0" xfId="11" applyFont="1" applyFill="1" applyAlignment="1">
      <alignment vertical="center"/>
    </xf>
    <xf numFmtId="0" fontId="0" fillId="27" borderId="0" xfId="0" applyFill="1"/>
    <xf numFmtId="0" fontId="24" fillId="27" borderId="0" xfId="11" applyFont="1" applyFill="1" applyAlignment="1">
      <alignment vertical="center"/>
    </xf>
    <xf numFmtId="0" fontId="0" fillId="116" borderId="0" xfId="0" applyFill="1"/>
    <xf numFmtId="165" fontId="0" fillId="116" borderId="0" xfId="1" applyFont="1" applyFill="1"/>
    <xf numFmtId="173" fontId="24" fillId="27" borderId="0" xfId="1" applyNumberFormat="1" applyFont="1" applyFill="1" applyAlignment="1">
      <alignment vertical="center"/>
    </xf>
    <xf numFmtId="0" fontId="0" fillId="8" borderId="0" xfId="0" applyFill="1"/>
    <xf numFmtId="172" fontId="0" fillId="6" borderId="0" xfId="0" applyNumberFormat="1" applyFill="1"/>
    <xf numFmtId="167" fontId="9" fillId="6" borderId="2" xfId="8" applyNumberFormat="1" applyFont="1" applyFill="1" applyBorder="1" applyAlignment="1">
      <alignment horizontal="right" vertical="center"/>
    </xf>
    <xf numFmtId="180" fontId="9" fillId="6" borderId="2" xfId="8" applyNumberFormat="1" applyFont="1" applyFill="1" applyBorder="1" applyAlignment="1">
      <alignment horizontal="right" vertical="center"/>
    </xf>
    <xf numFmtId="3" fontId="5" fillId="6" borderId="0" xfId="5" applyNumberFormat="1" applyFont="1" applyFill="1">
      <alignment vertical="center"/>
    </xf>
    <xf numFmtId="180" fontId="8" fillId="2" borderId="2" xfId="2" applyNumberFormat="1" applyFont="1" applyFill="1" applyBorder="1" applyAlignment="1">
      <alignment horizontal="right" vertical="center"/>
    </xf>
    <xf numFmtId="180" fontId="9" fillId="2" borderId="2" xfId="2" applyNumberFormat="1" applyFont="1" applyFill="1" applyBorder="1" applyAlignment="1">
      <alignment horizontal="right" vertical="center"/>
    </xf>
    <xf numFmtId="3" fontId="3" fillId="117" borderId="3" xfId="4" quotePrefix="1" applyNumberFormat="1" applyFont="1" applyFill="1" applyBorder="1" applyAlignment="1">
      <alignment horizontal="left" vertical="center"/>
    </xf>
    <xf numFmtId="3" fontId="15" fillId="117" borderId="4" xfId="4" applyNumberFormat="1" applyFont="1" applyFill="1" applyBorder="1">
      <alignment vertical="center"/>
    </xf>
    <xf numFmtId="3" fontId="15" fillId="117" borderId="25" xfId="4" applyNumberFormat="1" applyFont="1" applyFill="1" applyBorder="1">
      <alignment vertical="center"/>
    </xf>
    <xf numFmtId="165" fontId="655" fillId="0" borderId="0" xfId="1" applyFont="1" applyAlignment="1">
      <alignment vertical="center"/>
    </xf>
    <xf numFmtId="171" fontId="25" fillId="14" borderId="59" xfId="11" applyNumberFormat="1" applyFont="1" applyFill="1" applyBorder="1" applyAlignment="1">
      <alignment horizontal="center" vertical="center"/>
    </xf>
    <xf numFmtId="3" fontId="0" fillId="6" borderId="0" xfId="0" applyNumberFormat="1" applyFill="1"/>
    <xf numFmtId="171" fontId="25" fillId="2" borderId="58" xfId="11" applyNumberFormat="1" applyFont="1" applyFill="1" applyBorder="1" applyAlignment="1">
      <alignment horizontal="center" vertical="center"/>
    </xf>
    <xf numFmtId="171" fontId="25" fillId="14" borderId="58" xfId="11" applyNumberFormat="1" applyFont="1" applyFill="1" applyBorder="1" applyAlignment="1">
      <alignment horizontal="center" vertical="center"/>
    </xf>
    <xf numFmtId="170" fontId="25" fillId="0" borderId="60" xfId="2" applyNumberFormat="1" applyFont="1" applyFill="1" applyBorder="1" applyAlignment="1">
      <alignment horizontal="center" vertical="center"/>
    </xf>
    <xf numFmtId="171" fontId="25" fillId="14" borderId="61" xfId="11" applyNumberFormat="1" applyFont="1" applyFill="1" applyBorder="1" applyAlignment="1">
      <alignment horizontal="center" vertical="center"/>
    </xf>
    <xf numFmtId="171" fontId="25" fillId="16" borderId="59" xfId="11" applyNumberFormat="1" applyFont="1" applyFill="1" applyBorder="1" applyAlignment="1">
      <alignment horizontal="center" vertical="center"/>
    </xf>
    <xf numFmtId="171" fontId="25" fillId="16" borderId="62" xfId="11" applyNumberFormat="1" applyFont="1" applyFill="1" applyBorder="1" applyAlignment="1">
      <alignment horizontal="center" vertical="center"/>
    </xf>
    <xf numFmtId="171" fontId="25" fillId="2" borderId="63" xfId="11" applyNumberFormat="1" applyFont="1" applyFill="1" applyBorder="1" applyAlignment="1">
      <alignment horizontal="center" vertical="center"/>
    </xf>
    <xf numFmtId="171" fontId="25" fillId="14" borderId="60" xfId="11" applyNumberFormat="1" applyFont="1" applyFill="1" applyBorder="1" applyAlignment="1">
      <alignment horizontal="center" vertical="center"/>
    </xf>
    <xf numFmtId="0" fontId="655" fillId="0" borderId="0" xfId="11" applyFont="1" applyAlignment="1">
      <alignment vertical="center"/>
    </xf>
    <xf numFmtId="173" fontId="655" fillId="0" borderId="0" xfId="11" applyNumberFormat="1" applyFont="1" applyAlignment="1">
      <alignment vertical="center"/>
    </xf>
    <xf numFmtId="165" fontId="655" fillId="0" borderId="0" xfId="11" applyNumberFormat="1" applyFont="1" applyAlignment="1">
      <alignment vertical="center"/>
    </xf>
    <xf numFmtId="173" fontId="655" fillId="0" borderId="0" xfId="1" applyNumberFormat="1" applyFont="1" applyFill="1" applyAlignment="1">
      <alignment vertical="center"/>
    </xf>
    <xf numFmtId="165" fontId="655" fillId="0" borderId="0" xfId="1" applyFont="1" applyFill="1" applyAlignment="1">
      <alignment vertical="center"/>
    </xf>
    <xf numFmtId="0" fontId="655" fillId="0" borderId="0" xfId="11" applyFont="1" applyAlignment="1">
      <alignment horizontal="left" vertical="center"/>
    </xf>
    <xf numFmtId="173" fontId="655" fillId="0" borderId="0" xfId="1" applyNumberFormat="1" applyFont="1" applyFill="1" applyAlignment="1">
      <alignment horizontal="left" vertical="center"/>
    </xf>
    <xf numFmtId="0" fontId="497" fillId="0" borderId="0" xfId="11" applyFont="1" applyAlignment="1">
      <alignment vertical="center"/>
    </xf>
    <xf numFmtId="171" fontId="655" fillId="7" borderId="0" xfId="1" applyNumberFormat="1" applyFont="1" applyFill="1" applyAlignment="1">
      <alignment vertical="center"/>
    </xf>
    <xf numFmtId="0" fontId="19" fillId="0" borderId="0" xfId="0" applyFont="1"/>
    <xf numFmtId="171" fontId="25" fillId="118" borderId="59" xfId="11" applyNumberFormat="1" applyFont="1" applyFill="1" applyBorder="1" applyAlignment="1">
      <alignment horizontal="center" vertical="center"/>
    </xf>
    <xf numFmtId="164" fontId="17" fillId="0" borderId="0" xfId="2" applyFont="1" applyAlignment="1"/>
    <xf numFmtId="164" fontId="23" fillId="0" borderId="0" xfId="2" quotePrefix="1" applyFont="1" applyAlignment="1"/>
    <xf numFmtId="165" fontId="23" fillId="114" borderId="0" xfId="1" applyFont="1" applyFill="1" applyAlignment="1">
      <alignment horizontal="left" vertical="center"/>
    </xf>
    <xf numFmtId="0" fontId="23" fillId="114" borderId="0" xfId="13" quotePrefix="1" applyFont="1" applyFill="1" applyAlignment="1">
      <alignment vertical="center"/>
    </xf>
    <xf numFmtId="176" fontId="23" fillId="114" borderId="0" xfId="2" applyNumberFormat="1" applyFont="1" applyFill="1" applyAlignment="1"/>
    <xf numFmtId="171" fontId="497" fillId="14" borderId="31" xfId="11" applyNumberFormat="1" applyFont="1" applyFill="1" applyBorder="1" applyAlignment="1">
      <alignment horizontal="right" vertical="center"/>
    </xf>
    <xf numFmtId="171" fontId="25" fillId="4" borderId="59" xfId="11" applyNumberFormat="1" applyFont="1" applyFill="1" applyBorder="1" applyAlignment="1">
      <alignment horizontal="center" vertical="center"/>
    </xf>
    <xf numFmtId="173" fontId="25" fillId="14" borderId="58" xfId="1" applyNumberFormat="1" applyFont="1" applyFill="1" applyBorder="1" applyAlignment="1">
      <alignment horizontal="center" vertical="center"/>
    </xf>
    <xf numFmtId="171" fontId="25" fillId="4" borderId="61" xfId="11" applyNumberFormat="1" applyFont="1" applyFill="1" applyBorder="1" applyAlignment="1">
      <alignment horizontal="center" vertical="center"/>
    </xf>
    <xf numFmtId="165" fontId="19" fillId="0" borderId="0" xfId="0" applyNumberFormat="1" applyFont="1"/>
    <xf numFmtId="165" fontId="19" fillId="0" borderId="0" xfId="1" applyFont="1"/>
    <xf numFmtId="40" fontId="24" fillId="0" borderId="0" xfId="11" applyNumberFormat="1" applyFont="1" applyAlignment="1">
      <alignment vertical="center"/>
    </xf>
    <xf numFmtId="171" fontId="497" fillId="14" borderId="29" xfId="11" applyNumberFormat="1" applyFont="1" applyFill="1" applyBorder="1" applyAlignment="1">
      <alignment horizontal="right" vertical="center"/>
    </xf>
    <xf numFmtId="171" fontId="26" fillId="14" borderId="129" xfId="11" applyNumberFormat="1" applyFont="1" applyFill="1" applyBorder="1" applyAlignment="1">
      <alignment horizontal="center" vertical="center"/>
    </xf>
    <xf numFmtId="174" fontId="655" fillId="6" borderId="0" xfId="11" applyNumberFormat="1" applyFont="1" applyFill="1" applyAlignment="1">
      <alignment vertical="center"/>
    </xf>
    <xf numFmtId="0" fontId="655" fillId="6" borderId="0" xfId="11" applyFont="1" applyFill="1" applyAlignment="1">
      <alignment vertical="center"/>
    </xf>
    <xf numFmtId="165" fontId="655" fillId="6" borderId="0" xfId="11" applyNumberFormat="1" applyFont="1" applyFill="1" applyAlignment="1">
      <alignment vertical="center"/>
    </xf>
    <xf numFmtId="171" fontId="25" fillId="2" borderId="60" xfId="11" applyNumberFormat="1" applyFont="1" applyFill="1" applyBorder="1" applyAlignment="1">
      <alignment horizontal="center" vertical="center"/>
    </xf>
    <xf numFmtId="171" fontId="655" fillId="0" borderId="0" xfId="11" applyNumberFormat="1" applyFont="1" applyAlignment="1">
      <alignment vertical="center"/>
    </xf>
    <xf numFmtId="174" fontId="26" fillId="0" borderId="3" xfId="11" applyNumberFormat="1" applyFont="1" applyBorder="1" applyAlignment="1">
      <alignment horizontal="center" vertical="center"/>
    </xf>
    <xf numFmtId="0" fontId="24" fillId="119" borderId="0" xfId="11" applyFont="1" applyFill="1"/>
    <xf numFmtId="171" fontId="26" fillId="10" borderId="2" xfId="11" applyNumberFormat="1" applyFont="1" applyFill="1" applyBorder="1" applyAlignment="1">
      <alignment horizontal="center" vertical="center"/>
    </xf>
    <xf numFmtId="173" fontId="655" fillId="0" borderId="0" xfId="1" applyNumberFormat="1" applyFont="1" applyAlignment="1">
      <alignment vertical="center"/>
    </xf>
    <xf numFmtId="0" fontId="24" fillId="114" borderId="0" xfId="11" applyFont="1" applyFill="1" applyAlignment="1">
      <alignment vertical="center"/>
    </xf>
    <xf numFmtId="165" fontId="22" fillId="0" borderId="0" xfId="1" applyFont="1"/>
    <xf numFmtId="4" fontId="9" fillId="10" borderId="12" xfId="8" applyNumberFormat="1" applyFont="1" applyFill="1" applyBorder="1" applyAlignment="1">
      <alignment horizontal="right" vertical="center"/>
    </xf>
    <xf numFmtId="174" fontId="25" fillId="14" borderId="61" xfId="11" applyNumberFormat="1" applyFont="1" applyFill="1" applyBorder="1" applyAlignment="1">
      <alignment horizontal="center" vertical="center"/>
    </xf>
    <xf numFmtId="171" fontId="23" fillId="0" borderId="0" xfId="11" applyNumberFormat="1" applyFont="1" applyAlignment="1">
      <alignment vertical="center"/>
    </xf>
    <xf numFmtId="0" fontId="25" fillId="0" borderId="0" xfId="11" applyFont="1" applyAlignment="1">
      <alignment horizontal="left" vertical="center"/>
    </xf>
    <xf numFmtId="171" fontId="497" fillId="14" borderId="31" xfId="11" applyNumberFormat="1" applyFont="1" applyFill="1" applyBorder="1" applyAlignment="1">
      <alignment vertical="center"/>
    </xf>
    <xf numFmtId="171" fontId="497" fillId="14" borderId="30" xfId="11" applyNumberFormat="1" applyFont="1" applyFill="1" applyBorder="1" applyAlignment="1">
      <alignment horizontal="right" vertical="center"/>
    </xf>
    <xf numFmtId="4" fontId="5" fillId="2" borderId="12" xfId="4" quotePrefix="1" applyNumberFormat="1" applyFont="1" applyFill="1" applyBorder="1" applyAlignment="1">
      <alignment horizontal="center" vertical="center"/>
    </xf>
    <xf numFmtId="4" fontId="5" fillId="2" borderId="10" xfId="4" quotePrefix="1" applyNumberFormat="1" applyFont="1" applyFill="1" applyBorder="1" applyAlignment="1">
      <alignment horizontal="center" vertical="center"/>
    </xf>
    <xf numFmtId="4" fontId="15" fillId="2" borderId="0" xfId="4" applyNumberFormat="1" applyFont="1" applyFill="1">
      <alignment vertical="center"/>
    </xf>
    <xf numFmtId="4" fontId="5" fillId="2" borderId="0" xfId="4" applyNumberFormat="1" applyFont="1" applyFill="1">
      <alignment vertical="center"/>
    </xf>
    <xf numFmtId="4" fontId="8" fillId="3" borderId="11" xfId="8" applyNumberFormat="1" applyFont="1" applyFill="1" applyBorder="1" applyAlignment="1">
      <alignment horizontal="right" vertical="center"/>
    </xf>
    <xf numFmtId="4" fontId="8" fillId="7" borderId="39" xfId="8" applyNumberFormat="1" applyFont="1" applyFill="1" applyBorder="1" applyAlignment="1">
      <alignment horizontal="right" vertical="center"/>
    </xf>
    <xf numFmtId="4" fontId="8" fillId="3" borderId="12" xfId="8" applyNumberFormat="1" applyFont="1" applyFill="1" applyBorder="1" applyAlignment="1">
      <alignment horizontal="right" vertical="center"/>
    </xf>
    <xf numFmtId="4" fontId="8" fillId="5" borderId="12" xfId="8" applyNumberFormat="1" applyFont="1" applyFill="1" applyBorder="1" applyAlignment="1">
      <alignment horizontal="right" vertical="center"/>
    </xf>
    <xf numFmtId="4" fontId="8" fillId="2" borderId="12" xfId="8" applyNumberFormat="1" applyFont="1" applyFill="1" applyBorder="1" applyAlignment="1">
      <alignment horizontal="right" vertical="center"/>
    </xf>
    <xf numFmtId="4" fontId="8" fillId="8" borderId="12" xfId="8" applyNumberFormat="1" applyFont="1" applyFill="1" applyBorder="1" applyAlignment="1">
      <alignment horizontal="right" vertical="center"/>
    </xf>
    <xf numFmtId="4" fontId="8" fillId="9" borderId="12" xfId="8" applyNumberFormat="1" applyFont="1" applyFill="1" applyBorder="1" applyAlignment="1">
      <alignment horizontal="right" vertical="center"/>
    </xf>
    <xf numFmtId="4" fontId="8" fillId="10" borderId="12" xfId="8" applyNumberFormat="1" applyFont="1" applyFill="1" applyBorder="1" applyAlignment="1">
      <alignment horizontal="right" vertical="center"/>
    </xf>
    <xf numFmtId="4" fontId="8" fillId="18" borderId="12" xfId="8" applyNumberFormat="1" applyFont="1" applyFill="1" applyBorder="1" applyAlignment="1">
      <alignment horizontal="right" vertical="center"/>
    </xf>
    <xf numFmtId="4" fontId="8" fillId="19" borderId="12" xfId="8" applyNumberFormat="1" applyFont="1" applyFill="1" applyBorder="1" applyAlignment="1">
      <alignment horizontal="right" vertical="center"/>
    </xf>
    <xf numFmtId="4" fontId="8" fillId="20" borderId="12" xfId="8" applyNumberFormat="1" applyFont="1" applyFill="1" applyBorder="1" applyAlignment="1">
      <alignment horizontal="right" vertical="center"/>
    </xf>
    <xf numFmtId="4" fontId="8" fillId="21" borderId="12" xfId="8" applyNumberFormat="1" applyFont="1" applyFill="1" applyBorder="1" applyAlignment="1">
      <alignment horizontal="right" vertical="center"/>
    </xf>
    <xf numFmtId="167" fontId="5" fillId="2" borderId="10" xfId="4" applyNumberFormat="1" applyFont="1" applyFill="1" applyBorder="1">
      <alignment vertical="center"/>
    </xf>
    <xf numFmtId="167" fontId="5" fillId="2" borderId="14" xfId="4" applyNumberFormat="1" applyFont="1" applyFill="1" applyBorder="1">
      <alignment vertical="center"/>
    </xf>
    <xf numFmtId="167" fontId="45" fillId="2" borderId="15" xfId="4" applyNumberFormat="1" applyFont="1" applyFill="1" applyBorder="1">
      <alignment vertical="center"/>
    </xf>
    <xf numFmtId="167" fontId="5" fillId="2" borderId="15" xfId="4" applyNumberFormat="1" applyFont="1" applyFill="1" applyBorder="1">
      <alignment vertical="center"/>
    </xf>
    <xf numFmtId="4" fontId="8" fillId="3" borderId="16" xfId="8" applyNumberFormat="1" applyFont="1" applyFill="1" applyBorder="1" applyAlignment="1">
      <alignment horizontal="right" vertical="center"/>
    </xf>
    <xf numFmtId="4" fontId="8" fillId="7" borderId="35" xfId="8" applyNumberFormat="1" applyFont="1" applyFill="1" applyBorder="1" applyAlignment="1">
      <alignment horizontal="right" vertical="center"/>
    </xf>
    <xf numFmtId="4" fontId="8" fillId="3" borderId="13" xfId="8" applyNumberFormat="1" applyFont="1" applyFill="1" applyBorder="1" applyAlignment="1">
      <alignment horizontal="right" vertical="center"/>
    </xf>
    <xf numFmtId="4" fontId="8" fillId="5" borderId="13" xfId="8" applyNumberFormat="1" applyFont="1" applyFill="1" applyBorder="1" applyAlignment="1">
      <alignment horizontal="right" vertical="center"/>
    </xf>
    <xf numFmtId="4" fontId="8" fillId="2" borderId="13" xfId="8" applyNumberFormat="1" applyFont="1" applyFill="1" applyBorder="1" applyAlignment="1">
      <alignment horizontal="right" vertical="center"/>
    </xf>
    <xf numFmtId="4" fontId="8" fillId="8" borderId="13" xfId="8" applyNumberFormat="1" applyFont="1" applyFill="1" applyBorder="1" applyAlignment="1">
      <alignment horizontal="right" vertical="center"/>
    </xf>
    <xf numFmtId="4" fontId="8" fillId="9" borderId="13" xfId="8" applyNumberFormat="1" applyFont="1" applyFill="1" applyBorder="1" applyAlignment="1">
      <alignment horizontal="right" vertical="center"/>
    </xf>
    <xf numFmtId="4" fontId="8" fillId="10" borderId="13" xfId="8" applyNumberFormat="1" applyFont="1" applyFill="1" applyBorder="1" applyAlignment="1">
      <alignment horizontal="right" vertical="center"/>
    </xf>
    <xf numFmtId="4" fontId="8" fillId="18" borderId="13" xfId="8" applyNumberFormat="1" applyFont="1" applyFill="1" applyBorder="1" applyAlignment="1">
      <alignment horizontal="right" vertical="center"/>
    </xf>
    <xf numFmtId="4" fontId="8" fillId="19" borderId="13" xfId="8" applyNumberFormat="1" applyFont="1" applyFill="1" applyBorder="1" applyAlignment="1">
      <alignment horizontal="right" vertical="center"/>
    </xf>
    <xf numFmtId="4" fontId="8" fillId="20" borderId="13" xfId="8" applyNumberFormat="1" applyFont="1" applyFill="1" applyBorder="1" applyAlignment="1">
      <alignment horizontal="right" vertical="center"/>
    </xf>
    <xf numFmtId="4" fontId="8" fillId="21" borderId="13" xfId="8" applyNumberFormat="1" applyFont="1" applyFill="1" applyBorder="1" applyAlignment="1">
      <alignment horizontal="right" vertical="center"/>
    </xf>
    <xf numFmtId="4" fontId="9" fillId="21" borderId="13" xfId="8" applyNumberFormat="1" applyFont="1" applyFill="1" applyBorder="1" applyAlignment="1">
      <alignment horizontal="right" vertical="center"/>
    </xf>
    <xf numFmtId="357" fontId="655" fillId="0" borderId="0" xfId="11" applyNumberFormat="1" applyFont="1" applyAlignment="1">
      <alignment vertical="center"/>
    </xf>
    <xf numFmtId="165" fontId="655" fillId="0" borderId="0" xfId="11" applyNumberFormat="1" applyFont="1"/>
    <xf numFmtId="0" fontId="655" fillId="0" borderId="0" xfId="11" applyFont="1" applyAlignment="1">
      <alignment horizontal="right" vertical="center"/>
    </xf>
    <xf numFmtId="0" fontId="497" fillId="6" borderId="2" xfId="11" applyFont="1" applyFill="1" applyBorder="1" applyAlignment="1">
      <alignment horizontal="center" vertical="center"/>
    </xf>
    <xf numFmtId="0" fontId="25" fillId="0" borderId="2" xfId="11" applyFont="1" applyBorder="1" applyAlignment="1">
      <alignment vertical="center"/>
    </xf>
    <xf numFmtId="164" fontId="25" fillId="0" borderId="2" xfId="2" applyFont="1" applyBorder="1" applyAlignment="1">
      <alignment vertical="center"/>
    </xf>
    <xf numFmtId="165" fontId="19" fillId="0" borderId="0" xfId="1" applyFont="1" applyFill="1"/>
    <xf numFmtId="173" fontId="655" fillId="0" borderId="0" xfId="1" applyNumberFormat="1" applyFont="1" applyAlignment="1">
      <alignment horizontal="left" vertical="center"/>
    </xf>
    <xf numFmtId="171" fontId="655" fillId="0" borderId="0" xfId="11" applyNumberFormat="1" applyFont="1" applyAlignment="1">
      <alignment horizontal="right" vertical="center"/>
    </xf>
    <xf numFmtId="165" fontId="655" fillId="0" borderId="0" xfId="1" applyFont="1" applyAlignment="1">
      <alignment horizontal="left" vertical="center"/>
    </xf>
    <xf numFmtId="0" fontId="19" fillId="6" borderId="0" xfId="0" applyFont="1" applyFill="1"/>
    <xf numFmtId="171" fontId="25" fillId="2" borderId="2" xfId="11" applyNumberFormat="1" applyFont="1" applyFill="1" applyBorder="1" applyAlignment="1">
      <alignment horizontal="center" vertical="center"/>
    </xf>
    <xf numFmtId="171" fontId="25" fillId="0" borderId="3" xfId="11" applyNumberFormat="1" applyFont="1" applyBorder="1" applyAlignment="1">
      <alignment horizontal="center" vertical="center"/>
    </xf>
    <xf numFmtId="171" fontId="25" fillId="14" borderId="3" xfId="11" applyNumberFormat="1" applyFont="1" applyFill="1" applyBorder="1" applyAlignment="1">
      <alignment horizontal="center" vertical="center"/>
    </xf>
    <xf numFmtId="171" fontId="25" fillId="14" borderId="2" xfId="11" applyNumberFormat="1" applyFont="1" applyFill="1" applyBorder="1" applyAlignment="1">
      <alignment horizontal="center" vertical="center"/>
    </xf>
    <xf numFmtId="173" fontId="19" fillId="0" borderId="0" xfId="1" applyNumberFormat="1" applyFont="1"/>
    <xf numFmtId="165" fontId="19" fillId="6" borderId="0" xfId="1" applyFont="1" applyFill="1"/>
    <xf numFmtId="173" fontId="19" fillId="6" borderId="0" xfId="1" applyNumberFormat="1" applyFont="1" applyFill="1"/>
    <xf numFmtId="171" fontId="19" fillId="0" borderId="0" xfId="1" applyNumberFormat="1" applyFont="1" applyFill="1"/>
    <xf numFmtId="0" fontId="656" fillId="0" borderId="0" xfId="0" applyFont="1"/>
    <xf numFmtId="0" fontId="497" fillId="14" borderId="0" xfId="11" applyFont="1" applyFill="1" applyAlignment="1">
      <alignment vertical="center"/>
    </xf>
    <xf numFmtId="0" fontId="370" fillId="14" borderId="8" xfId="11" applyFont="1" applyFill="1" applyBorder="1" applyAlignment="1">
      <alignment vertical="center"/>
    </xf>
    <xf numFmtId="0" fontId="497" fillId="14" borderId="9" xfId="11" applyFont="1" applyFill="1" applyBorder="1" applyAlignment="1">
      <alignment vertical="center"/>
    </xf>
    <xf numFmtId="171" fontId="655" fillId="6" borderId="0" xfId="11" applyNumberFormat="1" applyFont="1" applyFill="1" applyAlignment="1">
      <alignment vertical="center"/>
    </xf>
    <xf numFmtId="0" fontId="24" fillId="8" borderId="0" xfId="11" applyFont="1" applyFill="1" applyAlignment="1">
      <alignment vertical="center"/>
    </xf>
    <xf numFmtId="171" fontId="497" fillId="14" borderId="30" xfId="11" applyNumberFormat="1" applyFont="1" applyFill="1" applyBorder="1" applyAlignment="1">
      <alignment vertical="center"/>
    </xf>
    <xf numFmtId="0" fontId="657" fillId="8" borderId="0" xfId="0" applyFont="1" applyFill="1"/>
    <xf numFmtId="0" fontId="29" fillId="14" borderId="146" xfId="11" applyFont="1" applyFill="1" applyBorder="1" applyAlignment="1">
      <alignment vertical="center"/>
    </xf>
    <xf numFmtId="0" fontId="23" fillId="14" borderId="147" xfId="11" applyFont="1" applyFill="1" applyBorder="1" applyAlignment="1">
      <alignment vertical="center"/>
    </xf>
    <xf numFmtId="0" fontId="29" fillId="14" borderId="149" xfId="11" applyFont="1" applyFill="1" applyBorder="1" applyAlignment="1">
      <alignment vertical="center"/>
    </xf>
    <xf numFmtId="171" fontId="23" fillId="14" borderId="150" xfId="11" applyNumberFormat="1" applyFont="1" applyFill="1" applyBorder="1" applyAlignment="1">
      <alignment horizontal="right" vertical="center"/>
    </xf>
    <xf numFmtId="171" fontId="23" fillId="14" borderId="150" xfId="11" applyNumberFormat="1" applyFont="1" applyFill="1" applyBorder="1" applyAlignment="1">
      <alignment vertical="center"/>
    </xf>
    <xf numFmtId="0" fontId="23" fillId="14" borderId="151" xfId="11" applyFont="1" applyFill="1" applyBorder="1" applyAlignment="1">
      <alignment vertical="center"/>
    </xf>
    <xf numFmtId="0" fontId="23" fillId="14" borderId="152" xfId="11" applyFont="1" applyFill="1" applyBorder="1" applyAlignment="1">
      <alignment vertical="center"/>
    </xf>
    <xf numFmtId="171" fontId="23" fillId="14" borderId="153" xfId="11" applyNumberFormat="1" applyFont="1" applyFill="1" applyBorder="1" applyAlignment="1">
      <alignment vertical="center"/>
    </xf>
    <xf numFmtId="171" fontId="25" fillId="0" borderId="2" xfId="11" applyNumberFormat="1" applyFont="1" applyBorder="1" applyAlignment="1">
      <alignment horizontal="center" vertical="center"/>
    </xf>
    <xf numFmtId="0" fontId="655" fillId="2" borderId="0" xfId="11" applyFont="1" applyFill="1" applyAlignment="1">
      <alignment vertical="center"/>
    </xf>
    <xf numFmtId="165" fontId="655" fillId="19" borderId="0" xfId="1" applyFont="1" applyFill="1" applyAlignment="1">
      <alignment vertical="center"/>
    </xf>
    <xf numFmtId="0" fontId="19" fillId="2" borderId="0" xfId="0" applyFont="1" applyFill="1"/>
    <xf numFmtId="165" fontId="19" fillId="19" borderId="0" xfId="1" applyFont="1" applyFill="1"/>
    <xf numFmtId="0" fontId="655" fillId="2" borderId="0" xfId="11" applyFont="1" applyFill="1" applyAlignment="1">
      <alignment horizontal="left" vertical="center"/>
    </xf>
    <xf numFmtId="173" fontId="655" fillId="2" borderId="0" xfId="1" applyNumberFormat="1" applyFont="1" applyFill="1" applyAlignment="1">
      <alignment horizontal="left" vertical="center"/>
    </xf>
    <xf numFmtId="174" fontId="655" fillId="0" borderId="0" xfId="11" applyNumberFormat="1" applyFont="1" applyAlignment="1">
      <alignment vertical="center"/>
    </xf>
    <xf numFmtId="171" fontId="23" fillId="14" borderId="121" xfId="11" applyNumberFormat="1" applyFont="1" applyFill="1" applyBorder="1" applyAlignment="1">
      <alignment horizontal="left" vertical="center"/>
    </xf>
    <xf numFmtId="172" fontId="29" fillId="14" borderId="31" xfId="11" applyNumberFormat="1" applyFont="1" applyFill="1" applyBorder="1" applyAlignment="1">
      <alignment vertical="center"/>
    </xf>
    <xf numFmtId="38" fontId="655" fillId="0" borderId="0" xfId="11" applyNumberFormat="1" applyFont="1" applyAlignment="1">
      <alignment vertical="center"/>
    </xf>
    <xf numFmtId="3" fontId="3" fillId="10" borderId="2" xfId="5" applyNumberFormat="1" applyFont="1" applyFill="1" applyBorder="1" applyAlignment="1">
      <alignment horizontal="center" vertical="center" wrapText="1"/>
    </xf>
    <xf numFmtId="166" fontId="7" fillId="10" borderId="2" xfId="4" quotePrefix="1" applyNumberFormat="1" applyFont="1" applyFill="1" applyBorder="1" applyAlignment="1">
      <alignment horizontal="center" vertical="center" wrapText="1"/>
    </xf>
    <xf numFmtId="3" fontId="5" fillId="10" borderId="2" xfId="5" applyNumberFormat="1" applyFont="1" applyFill="1" applyBorder="1">
      <alignment vertical="center"/>
    </xf>
    <xf numFmtId="3" fontId="5" fillId="10" borderId="0" xfId="5" applyNumberFormat="1" applyFont="1" applyFill="1">
      <alignment vertical="center"/>
    </xf>
    <xf numFmtId="167" fontId="8" fillId="10" borderId="6" xfId="2" applyNumberFormat="1" applyFont="1" applyFill="1" applyBorder="1" applyAlignment="1">
      <alignment horizontal="right" vertical="center"/>
    </xf>
    <xf numFmtId="167" fontId="8" fillId="10" borderId="2" xfId="8" applyNumberFormat="1" applyFont="1" applyFill="1" applyBorder="1" applyAlignment="1">
      <alignment horizontal="right" vertical="center"/>
    </xf>
    <xf numFmtId="3" fontId="9" fillId="10" borderId="2" xfId="8" applyNumberFormat="1" applyFont="1" applyFill="1" applyBorder="1" applyAlignment="1">
      <alignment horizontal="right" vertical="center"/>
    </xf>
    <xf numFmtId="170" fontId="9" fillId="10" borderId="2" xfId="2" applyNumberFormat="1" applyFont="1" applyFill="1" applyBorder="1" applyAlignment="1">
      <alignment horizontal="right" vertical="center"/>
    </xf>
    <xf numFmtId="164" fontId="5" fillId="10" borderId="0" xfId="2" applyFont="1" applyFill="1" applyAlignment="1">
      <alignment vertical="center"/>
    </xf>
    <xf numFmtId="0" fontId="5" fillId="10" borderId="0" xfId="0" applyFont="1" applyFill="1" applyAlignment="1">
      <alignment vertical="center"/>
    </xf>
    <xf numFmtId="3" fontId="4" fillId="10" borderId="0" xfId="5" applyNumberFormat="1" applyFill="1">
      <alignment vertical="center"/>
    </xf>
    <xf numFmtId="170" fontId="8" fillId="10" borderId="2" xfId="2" applyNumberFormat="1" applyFont="1" applyFill="1" applyBorder="1" applyAlignment="1">
      <alignment horizontal="right" vertical="center"/>
    </xf>
    <xf numFmtId="2" fontId="655" fillId="6" borderId="0" xfId="1" applyNumberFormat="1" applyFont="1" applyFill="1" applyAlignment="1">
      <alignment vertical="center"/>
    </xf>
    <xf numFmtId="2" fontId="655" fillId="6" borderId="0" xfId="1" applyNumberFormat="1" applyFont="1" applyFill="1" applyAlignment="1">
      <alignment horizontal="left" vertical="center"/>
    </xf>
    <xf numFmtId="2" fontId="655" fillId="6" borderId="0" xfId="11" applyNumberFormat="1" applyFont="1" applyFill="1" applyAlignment="1">
      <alignment vertical="center"/>
    </xf>
    <xf numFmtId="2" fontId="655" fillId="6" borderId="0" xfId="11" applyNumberFormat="1" applyFont="1" applyFill="1" applyAlignment="1">
      <alignment horizontal="left" vertical="center"/>
    </xf>
    <xf numFmtId="165" fontId="656" fillId="7" borderId="0" xfId="0" applyNumberFormat="1" applyFont="1" applyFill="1"/>
    <xf numFmtId="171" fontId="656" fillId="0" borderId="0" xfId="0" applyNumberFormat="1" applyFont="1"/>
    <xf numFmtId="0" fontId="29" fillId="14" borderId="8" xfId="13" applyFont="1" applyFill="1" applyBorder="1" applyAlignment="1">
      <alignment vertical="center"/>
    </xf>
    <xf numFmtId="0" fontId="29" fillId="14" borderId="10" xfId="13" applyFont="1" applyFill="1" applyBorder="1" applyAlignment="1">
      <alignment vertical="center"/>
    </xf>
    <xf numFmtId="174" fontId="497" fillId="14" borderId="31" xfId="11" applyNumberFormat="1" applyFont="1" applyFill="1" applyBorder="1" applyAlignment="1">
      <alignment horizontal="right" vertical="center"/>
    </xf>
    <xf numFmtId="0" fontId="655" fillId="0" borderId="0" xfId="11" applyFont="1"/>
    <xf numFmtId="171" fontId="497" fillId="3" borderId="0" xfId="1" applyNumberFormat="1" applyFont="1" applyFill="1" applyAlignment="1">
      <alignment vertical="center"/>
    </xf>
    <xf numFmtId="173" fontId="655" fillId="3" borderId="0" xfId="1" applyNumberFormat="1" applyFont="1" applyFill="1" applyAlignment="1">
      <alignment vertical="center"/>
    </xf>
    <xf numFmtId="172" fontId="19" fillId="0" borderId="0" xfId="0" applyNumberFormat="1" applyFont="1"/>
    <xf numFmtId="43" fontId="19" fillId="114" borderId="0" xfId="0" applyNumberFormat="1" applyFont="1" applyFill="1"/>
    <xf numFmtId="172" fontId="655" fillId="0" borderId="0" xfId="11" applyNumberFormat="1" applyFont="1" applyAlignment="1">
      <alignment vertical="center"/>
    </xf>
    <xf numFmtId="2" fontId="655" fillId="0" borderId="0" xfId="1" applyNumberFormat="1" applyFont="1" applyAlignment="1">
      <alignment vertical="center"/>
    </xf>
    <xf numFmtId="167" fontId="19" fillId="0" borderId="0" xfId="0" applyNumberFormat="1" applyFont="1"/>
    <xf numFmtId="171" fontId="25" fillId="6" borderId="3" xfId="11" applyNumberFormat="1" applyFont="1" applyFill="1" applyBorder="1" applyAlignment="1">
      <alignment horizontal="center" vertical="center"/>
    </xf>
    <xf numFmtId="172" fontId="497" fillId="14" borderId="30" xfId="11" applyNumberFormat="1" applyFont="1" applyFill="1" applyBorder="1" applyAlignment="1">
      <alignment horizontal="right" vertical="center"/>
    </xf>
    <xf numFmtId="171" fontId="25" fillId="14" borderId="129" xfId="11" applyNumberFormat="1" applyFont="1" applyFill="1" applyBorder="1" applyAlignment="1">
      <alignment horizontal="center" vertical="center"/>
    </xf>
    <xf numFmtId="165" fontId="656" fillId="0" borderId="0" xfId="1" applyFont="1"/>
    <xf numFmtId="171" fontId="497" fillId="14" borderId="29" xfId="11" applyNumberFormat="1" applyFont="1" applyFill="1" applyBorder="1" applyAlignment="1">
      <alignment vertical="center"/>
    </xf>
    <xf numFmtId="171" fontId="497" fillId="14" borderId="148" xfId="11" applyNumberFormat="1" applyFont="1" applyFill="1" applyBorder="1" applyAlignment="1">
      <alignment horizontal="right" vertical="center"/>
    </xf>
    <xf numFmtId="171" fontId="497" fillId="14" borderId="150" xfId="11" applyNumberFormat="1" applyFont="1" applyFill="1" applyBorder="1" applyAlignment="1">
      <alignment horizontal="right" vertical="center"/>
    </xf>
    <xf numFmtId="171" fontId="497" fillId="14" borderId="150" xfId="11" applyNumberFormat="1" applyFont="1" applyFill="1" applyBorder="1" applyAlignment="1">
      <alignment vertical="center"/>
    </xf>
    <xf numFmtId="171" fontId="497" fillId="14" borderId="153" xfId="11" applyNumberFormat="1" applyFont="1" applyFill="1" applyBorder="1" applyAlignment="1">
      <alignment vertical="center"/>
    </xf>
    <xf numFmtId="171" fontId="19" fillId="0" borderId="0" xfId="0" applyNumberFormat="1" applyFont="1"/>
    <xf numFmtId="173" fontId="497" fillId="2" borderId="0" xfId="1" applyNumberFormat="1" applyFont="1" applyFill="1" applyAlignment="1">
      <alignment vertical="center"/>
    </xf>
    <xf numFmtId="0" fontId="29" fillId="14" borderId="15" xfId="11" applyFont="1" applyFill="1" applyBorder="1" applyAlignment="1">
      <alignment vertical="center"/>
    </xf>
    <xf numFmtId="183" fontId="0" fillId="0" borderId="0" xfId="0" applyNumberFormat="1"/>
    <xf numFmtId="171" fontId="26" fillId="118" borderId="59" xfId="11" applyNumberFormat="1" applyFont="1" applyFill="1" applyBorder="1" applyAlignment="1">
      <alignment horizontal="center" vertical="center"/>
    </xf>
    <xf numFmtId="174" fontId="25" fillId="14" borderId="2" xfId="11" applyNumberFormat="1" applyFont="1" applyFill="1" applyBorder="1" applyAlignment="1">
      <alignment horizontal="center" vertical="center"/>
    </xf>
    <xf numFmtId="174" fontId="25" fillId="2" borderId="2" xfId="11" applyNumberFormat="1" applyFont="1" applyFill="1" applyBorder="1" applyAlignment="1">
      <alignment horizontal="center" vertical="center"/>
    </xf>
    <xf numFmtId="2" fontId="24" fillId="0" borderId="0" xfId="1" applyNumberFormat="1" applyFont="1" applyAlignment="1">
      <alignment vertical="center"/>
    </xf>
    <xf numFmtId="2" fontId="655" fillId="0" borderId="0" xfId="1" applyNumberFormat="1" applyFont="1"/>
    <xf numFmtId="173" fontId="655" fillId="2" borderId="0" xfId="1" applyNumberFormat="1" applyFont="1" applyFill="1" applyAlignment="1">
      <alignment vertical="center"/>
    </xf>
    <xf numFmtId="0" fontId="497" fillId="2" borderId="0" xfId="11" applyFont="1" applyFill="1" applyAlignment="1">
      <alignment vertical="center"/>
    </xf>
    <xf numFmtId="173" fontId="656" fillId="3" borderId="0" xfId="1" applyNumberFormat="1" applyFont="1" applyFill="1"/>
    <xf numFmtId="171" fontId="25" fillId="14" borderId="130" xfId="13" applyNumberFormat="1" applyFont="1" applyFill="1" applyBorder="1" applyAlignment="1">
      <alignment horizontal="center" vertical="center"/>
    </xf>
    <xf numFmtId="4" fontId="9" fillId="2" borderId="2" xfId="8" applyNumberFormat="1" applyFont="1" applyFill="1" applyBorder="1" applyAlignment="1">
      <alignment horizontal="right" vertical="center"/>
    </xf>
    <xf numFmtId="166" fontId="7" fillId="117" borderId="29" xfId="4" quotePrefix="1" applyNumberFormat="1" applyFont="1" applyFill="1" applyBorder="1" applyAlignment="1">
      <alignment horizontal="center" vertical="center" wrapText="1"/>
    </xf>
    <xf numFmtId="166" fontId="7" fillId="117" borderId="13" xfId="4" quotePrefix="1" applyNumberFormat="1" applyFont="1" applyFill="1" applyBorder="1" applyAlignment="1">
      <alignment horizontal="center" vertical="center" wrapText="1"/>
    </xf>
    <xf numFmtId="3" fontId="7" fillId="117" borderId="6" xfId="4" quotePrefix="1" applyNumberFormat="1" applyFont="1" applyFill="1" applyBorder="1" applyAlignment="1">
      <alignment horizontal="right" vertical="center"/>
    </xf>
    <xf numFmtId="3" fontId="7" fillId="117" borderId="2" xfId="4" quotePrefix="1" applyNumberFormat="1" applyFont="1" applyFill="1" applyBorder="1" applyAlignment="1">
      <alignment horizontal="right" vertical="center"/>
    </xf>
    <xf numFmtId="167" fontId="8" fillId="117" borderId="6" xfId="8" applyNumberFormat="1" applyFont="1" applyFill="1" applyBorder="1" applyAlignment="1">
      <alignment horizontal="right" vertical="center"/>
    </xf>
    <xf numFmtId="167" fontId="8" fillId="117" borderId="12" xfId="8" applyNumberFormat="1" applyFont="1" applyFill="1" applyBorder="1" applyAlignment="1">
      <alignment horizontal="right" vertical="center"/>
    </xf>
    <xf numFmtId="167" fontId="9" fillId="117" borderId="6" xfId="8" applyNumberFormat="1" applyFont="1" applyFill="1" applyBorder="1" applyAlignment="1">
      <alignment horizontal="right" vertical="center"/>
    </xf>
    <xf numFmtId="167" fontId="8" fillId="117" borderId="13" xfId="8" applyNumberFormat="1" applyFont="1" applyFill="1" applyBorder="1" applyAlignment="1">
      <alignment horizontal="right" vertical="center"/>
    </xf>
    <xf numFmtId="167" fontId="9" fillId="117" borderId="8" xfId="8" applyNumberFormat="1" applyFont="1" applyFill="1" applyBorder="1" applyAlignment="1">
      <alignment horizontal="right" vertical="center"/>
    </xf>
    <xf numFmtId="168" fontId="14" fillId="117" borderId="22" xfId="9" applyNumberFormat="1" applyFont="1" applyFill="1" applyBorder="1" applyAlignment="1">
      <alignment horizontal="right" vertical="center"/>
    </xf>
    <xf numFmtId="167" fontId="9" fillId="117" borderId="12" xfId="8" applyNumberFormat="1" applyFont="1" applyFill="1" applyBorder="1" applyAlignment="1">
      <alignment horizontal="right" vertical="center"/>
    </xf>
    <xf numFmtId="4" fontId="8" fillId="117" borderId="13" xfId="8" applyNumberFormat="1" applyFont="1" applyFill="1" applyBorder="1" applyAlignment="1">
      <alignment horizontal="right" vertical="center"/>
    </xf>
    <xf numFmtId="4" fontId="8" fillId="117" borderId="12" xfId="8" applyNumberFormat="1" applyFont="1" applyFill="1" applyBorder="1" applyAlignment="1">
      <alignment horizontal="right" vertical="center"/>
    </xf>
    <xf numFmtId="168" fontId="14" fillId="117" borderId="22" xfId="3" applyNumberFormat="1" applyFont="1" applyFill="1" applyBorder="1" applyAlignment="1">
      <alignment horizontal="right" vertical="center"/>
    </xf>
    <xf numFmtId="167" fontId="3" fillId="117" borderId="2" xfId="5" applyNumberFormat="1" applyFont="1" applyFill="1" applyBorder="1">
      <alignment vertical="center"/>
    </xf>
    <xf numFmtId="167" fontId="9" fillId="117" borderId="2" xfId="8" applyNumberFormat="1" applyFont="1" applyFill="1" applyBorder="1" applyAlignment="1">
      <alignment horizontal="right" vertical="center"/>
    </xf>
    <xf numFmtId="167" fontId="5" fillId="117" borderId="2" xfId="5" applyNumberFormat="1" applyFont="1" applyFill="1" applyBorder="1">
      <alignment vertical="center"/>
    </xf>
    <xf numFmtId="167" fontId="9" fillId="117" borderId="13" xfId="8" applyNumberFormat="1" applyFont="1" applyFill="1" applyBorder="1" applyAlignment="1">
      <alignment horizontal="right" vertical="center"/>
    </xf>
    <xf numFmtId="4" fontId="3" fillId="117" borderId="2" xfId="5" applyNumberFormat="1" applyFont="1" applyFill="1" applyBorder="1">
      <alignment vertical="center"/>
    </xf>
    <xf numFmtId="3" fontId="5" fillId="0" borderId="0" xfId="5" applyNumberFormat="1" applyFont="1">
      <alignment vertical="center"/>
    </xf>
    <xf numFmtId="167" fontId="5" fillId="0" borderId="0" xfId="5" applyNumberFormat="1" applyFont="1">
      <alignment vertical="center"/>
    </xf>
    <xf numFmtId="0" fontId="5" fillId="0" borderId="0" xfId="0" applyFont="1" applyAlignment="1">
      <alignment vertical="center"/>
    </xf>
    <xf numFmtId="3" fontId="21" fillId="0" borderId="0" xfId="5" applyNumberFormat="1" applyFont="1">
      <alignment vertical="center"/>
    </xf>
    <xf numFmtId="3" fontId="5" fillId="117" borderId="0" xfId="5" applyNumberFormat="1" applyFont="1" applyFill="1">
      <alignment vertical="center"/>
    </xf>
    <xf numFmtId="167" fontId="5" fillId="117" borderId="0" xfId="5" applyNumberFormat="1" applyFont="1" applyFill="1">
      <alignment vertical="center"/>
    </xf>
    <xf numFmtId="0" fontId="5" fillId="117" borderId="0" xfId="0" applyFont="1" applyFill="1" applyAlignment="1">
      <alignment vertical="center"/>
    </xf>
    <xf numFmtId="3" fontId="21" fillId="117" borderId="0" xfId="5" applyNumberFormat="1" applyFont="1" applyFill="1">
      <alignment vertical="center"/>
    </xf>
    <xf numFmtId="9" fontId="7" fillId="117" borderId="6" xfId="3" quotePrefix="1" applyFont="1" applyFill="1" applyBorder="1" applyAlignment="1">
      <alignment horizontal="right" vertical="center"/>
    </xf>
    <xf numFmtId="39" fontId="9" fillId="3" borderId="1" xfId="8" applyNumberFormat="1" applyFont="1" applyFill="1" applyBorder="1" applyAlignment="1">
      <alignment horizontal="right" vertical="center"/>
    </xf>
    <xf numFmtId="171" fontId="658" fillId="14" borderId="3" xfId="11" applyNumberFormat="1" applyFont="1" applyFill="1" applyBorder="1" applyAlignment="1">
      <alignment horizontal="center" vertical="center"/>
    </xf>
    <xf numFmtId="165" fontId="36" fillId="0" borderId="0" xfId="11" applyNumberFormat="1" applyFont="1" applyAlignment="1">
      <alignment vertical="center"/>
    </xf>
    <xf numFmtId="4" fontId="9" fillId="117" borderId="8" xfId="8" applyNumberFormat="1" applyFont="1" applyFill="1" applyBorder="1" applyAlignment="1">
      <alignment horizontal="right" vertical="center"/>
    </xf>
    <xf numFmtId="173" fontId="19" fillId="23" borderId="0" xfId="1" applyNumberFormat="1" applyFont="1" applyFill="1"/>
    <xf numFmtId="173" fontId="656" fillId="0" borderId="0" xfId="1" applyNumberFormat="1" applyFont="1"/>
    <xf numFmtId="173" fontId="19" fillId="6" borderId="0" xfId="0" applyNumberFormat="1" applyFont="1" applyFill="1"/>
    <xf numFmtId="181" fontId="24" fillId="0" borderId="0" xfId="11" applyNumberFormat="1" applyFont="1" applyAlignment="1">
      <alignment vertical="center"/>
    </xf>
    <xf numFmtId="172" fontId="497" fillId="14" borderId="29" xfId="11" applyNumberFormat="1" applyFont="1" applyFill="1" applyBorder="1" applyAlignment="1">
      <alignment vertical="center"/>
    </xf>
    <xf numFmtId="172" fontId="497" fillId="14" borderId="31" xfId="11" applyNumberFormat="1" applyFont="1" applyFill="1" applyBorder="1" applyAlignment="1">
      <alignment vertical="center"/>
    </xf>
    <xf numFmtId="0" fontId="18" fillId="9" borderId="0" xfId="0" applyFont="1" applyFill="1"/>
    <xf numFmtId="3" fontId="5" fillId="9" borderId="0" xfId="5" applyNumberFormat="1" applyFont="1" applyFill="1">
      <alignment vertical="center"/>
    </xf>
    <xf numFmtId="0" fontId="0" fillId="9" borderId="0" xfId="0" applyFill="1"/>
    <xf numFmtId="166" fontId="7" fillId="9" borderId="28" xfId="4" quotePrefix="1" applyNumberFormat="1" applyFont="1" applyFill="1" applyBorder="1" applyAlignment="1">
      <alignment horizontal="center" vertical="center" wrapText="1"/>
    </xf>
    <xf numFmtId="167" fontId="7" fillId="5" borderId="121" xfId="4" quotePrefix="1" applyNumberFormat="1" applyFont="1" applyFill="1" applyBorder="1" applyAlignment="1">
      <alignment horizontal="center" vertical="center"/>
    </xf>
    <xf numFmtId="167" fontId="7" fillId="3" borderId="121" xfId="4" quotePrefix="1" applyNumberFormat="1" applyFont="1" applyFill="1" applyBorder="1" applyAlignment="1">
      <alignment horizontal="right" vertical="center"/>
    </xf>
    <xf numFmtId="167" fontId="7" fillId="9" borderId="121" xfId="4" quotePrefix="1" applyNumberFormat="1" applyFont="1" applyFill="1" applyBorder="1" applyAlignment="1">
      <alignment horizontal="right" vertical="center"/>
    </xf>
    <xf numFmtId="167" fontId="7" fillId="5" borderId="121" xfId="4" quotePrefix="1" applyNumberFormat="1" applyFont="1" applyFill="1" applyBorder="1" applyAlignment="1">
      <alignment horizontal="right" vertical="center"/>
    </xf>
    <xf numFmtId="3" fontId="8" fillId="9" borderId="0" xfId="6" applyNumberFormat="1" applyFont="1" applyFill="1"/>
    <xf numFmtId="3" fontId="5" fillId="2" borderId="120" xfId="4" applyNumberFormat="1" applyFont="1" applyFill="1" applyBorder="1">
      <alignment vertical="center"/>
    </xf>
    <xf numFmtId="167" fontId="8" fillId="3" borderId="121" xfId="8" applyNumberFormat="1" applyFont="1" applyFill="1" applyBorder="1" applyAlignment="1">
      <alignment horizontal="right" vertical="center"/>
    </xf>
    <xf numFmtId="167" fontId="8" fillId="9" borderId="121" xfId="8" applyNumberFormat="1" applyFont="1" applyFill="1" applyBorder="1" applyAlignment="1">
      <alignment horizontal="right" vertical="center"/>
    </xf>
    <xf numFmtId="167" fontId="8" fillId="5" borderId="121" xfId="8" applyNumberFormat="1" applyFont="1" applyFill="1" applyBorder="1" applyAlignment="1">
      <alignment horizontal="right" vertical="center"/>
    </xf>
    <xf numFmtId="167" fontId="8" fillId="2" borderId="121" xfId="2" applyNumberFormat="1" applyFont="1" applyFill="1" applyBorder="1" applyAlignment="1">
      <alignment horizontal="right" vertical="center"/>
    </xf>
    <xf numFmtId="167" fontId="8" fillId="0" borderId="121" xfId="2" applyNumberFormat="1" applyFont="1" applyFill="1" applyBorder="1" applyAlignment="1">
      <alignment horizontal="right" vertical="center"/>
    </xf>
    <xf numFmtId="167" fontId="8" fillId="9" borderId="121" xfId="2" applyNumberFormat="1" applyFont="1" applyFill="1" applyBorder="1" applyAlignment="1">
      <alignment horizontal="right" vertical="center"/>
    </xf>
    <xf numFmtId="167" fontId="8" fillId="9" borderId="2" xfId="8" applyNumberFormat="1" applyFont="1" applyFill="1" applyBorder="1" applyAlignment="1">
      <alignment horizontal="right" vertical="center"/>
    </xf>
    <xf numFmtId="167" fontId="9" fillId="2" borderId="121" xfId="8" applyNumberFormat="1" applyFont="1" applyFill="1" applyBorder="1" applyAlignment="1">
      <alignment horizontal="right" vertical="center"/>
    </xf>
    <xf numFmtId="167" fontId="9" fillId="0" borderId="121" xfId="8" applyNumberFormat="1" applyFont="1" applyFill="1" applyBorder="1" applyAlignment="1">
      <alignment horizontal="right" vertical="center"/>
    </xf>
    <xf numFmtId="167" fontId="9" fillId="9" borderId="121" xfId="8" applyNumberFormat="1" applyFont="1" applyFill="1" applyBorder="1" applyAlignment="1">
      <alignment horizontal="right" vertical="center"/>
    </xf>
    <xf numFmtId="167" fontId="9" fillId="5" borderId="121" xfId="8" applyNumberFormat="1" applyFont="1" applyFill="1" applyBorder="1" applyAlignment="1">
      <alignment horizontal="right" vertical="center"/>
    </xf>
    <xf numFmtId="3" fontId="3" fillId="2" borderId="120" xfId="4" applyNumberFormat="1" applyFont="1" applyFill="1" applyBorder="1">
      <alignment vertical="center"/>
    </xf>
    <xf numFmtId="167" fontId="9" fillId="2" borderId="120" xfId="8" applyNumberFormat="1" applyFont="1" applyFill="1" applyBorder="1" applyAlignment="1">
      <alignment horizontal="right" vertical="center"/>
    </xf>
    <xf numFmtId="167" fontId="9" fillId="0" borderId="120" xfId="8" applyNumberFormat="1" applyFont="1" applyFill="1" applyBorder="1" applyAlignment="1">
      <alignment horizontal="right" vertical="center"/>
    </xf>
    <xf numFmtId="167" fontId="9" fillId="9" borderId="120" xfId="8" applyNumberFormat="1" applyFont="1" applyFill="1" applyBorder="1" applyAlignment="1">
      <alignment horizontal="right" vertical="center"/>
    </xf>
    <xf numFmtId="167" fontId="9" fillId="5" borderId="120" xfId="8" applyNumberFormat="1" applyFont="1" applyFill="1" applyBorder="1" applyAlignment="1">
      <alignment horizontal="right" vertical="center"/>
    </xf>
    <xf numFmtId="3" fontId="13" fillId="2" borderId="154" xfId="4" applyNumberFormat="1" applyFont="1" applyFill="1" applyBorder="1">
      <alignment vertical="center"/>
    </xf>
    <xf numFmtId="3" fontId="5" fillId="2" borderId="155" xfId="4" applyNumberFormat="1" applyFont="1" applyFill="1" applyBorder="1">
      <alignment vertical="center"/>
    </xf>
    <xf numFmtId="168" fontId="14" fillId="2" borderId="156" xfId="3" applyNumberFormat="1" applyFont="1" applyFill="1" applyBorder="1" applyAlignment="1">
      <alignment horizontal="right" vertical="center"/>
    </xf>
    <xf numFmtId="168" fontId="14" fillId="2" borderId="157" xfId="3" applyNumberFormat="1" applyFont="1" applyFill="1" applyBorder="1" applyAlignment="1">
      <alignment horizontal="right" vertical="center"/>
    </xf>
    <xf numFmtId="168" fontId="14" fillId="0" borderId="157" xfId="3" applyNumberFormat="1" applyFont="1" applyFill="1" applyBorder="1" applyAlignment="1">
      <alignment horizontal="right" vertical="center"/>
    </xf>
    <xf numFmtId="168" fontId="14" fillId="9" borderId="157" xfId="3" applyNumberFormat="1" applyFont="1" applyFill="1" applyBorder="1" applyAlignment="1">
      <alignment horizontal="right" vertical="center"/>
    </xf>
    <xf numFmtId="168" fontId="14" fillId="5" borderId="157" xfId="9" applyNumberFormat="1" applyFont="1" applyFill="1" applyBorder="1" applyAlignment="1">
      <alignment horizontal="right" vertical="center"/>
    </xf>
    <xf numFmtId="3" fontId="5" fillId="2" borderId="120" xfId="4" quotePrefix="1" applyNumberFormat="1" applyFont="1" applyFill="1" applyBorder="1" applyAlignment="1">
      <alignment horizontal="center" vertical="center"/>
    </xf>
    <xf numFmtId="167" fontId="8" fillId="4" borderId="121" xfId="8" applyNumberFormat="1" applyFont="1" applyFill="1" applyBorder="1" applyAlignment="1">
      <alignment horizontal="right" vertical="center"/>
    </xf>
    <xf numFmtId="168" fontId="14" fillId="5" borderId="157" xfId="3" applyNumberFormat="1" applyFont="1" applyFill="1" applyBorder="1" applyAlignment="1">
      <alignment horizontal="right" vertical="center"/>
    </xf>
    <xf numFmtId="3" fontId="3" fillId="2" borderId="121" xfId="5" applyNumberFormat="1" applyFont="1" applyFill="1" applyBorder="1">
      <alignment vertical="center"/>
    </xf>
    <xf numFmtId="3" fontId="9" fillId="9" borderId="2" xfId="8" applyNumberFormat="1" applyFont="1" applyFill="1" applyBorder="1" applyAlignment="1">
      <alignment horizontal="right" vertical="center"/>
    </xf>
    <xf numFmtId="169" fontId="9" fillId="9" borderId="2" xfId="8" applyNumberFormat="1" applyFont="1" applyFill="1" applyBorder="1" applyAlignment="1">
      <alignment horizontal="right" vertical="center"/>
    </xf>
    <xf numFmtId="167" fontId="9" fillId="9" borderId="24" xfId="8" applyNumberFormat="1" applyFont="1" applyFill="1" applyBorder="1" applyAlignment="1">
      <alignment horizontal="right" vertical="center"/>
    </xf>
    <xf numFmtId="0" fontId="5" fillId="9" borderId="0" xfId="0" applyFont="1" applyFill="1" applyAlignment="1">
      <alignment vertical="center"/>
    </xf>
    <xf numFmtId="0" fontId="3" fillId="2" borderId="120" xfId="0" applyFont="1" applyFill="1" applyBorder="1" applyAlignment="1">
      <alignment vertical="center"/>
    </xf>
    <xf numFmtId="0" fontId="5" fillId="2" borderId="120" xfId="0" applyFont="1" applyFill="1" applyBorder="1" applyAlignment="1">
      <alignment vertical="center"/>
    </xf>
    <xf numFmtId="167" fontId="8" fillId="3" borderId="120" xfId="8" applyNumberFormat="1" applyFont="1" applyFill="1" applyBorder="1" applyAlignment="1">
      <alignment horizontal="right" vertical="center"/>
    </xf>
    <xf numFmtId="167" fontId="8" fillId="9" borderId="9" xfId="8" applyNumberFormat="1" applyFont="1" applyFill="1" applyBorder="1" applyAlignment="1">
      <alignment horizontal="right" vertical="center"/>
    </xf>
    <xf numFmtId="167" fontId="8" fillId="9" borderId="15" xfId="8" applyNumberFormat="1" applyFont="1" applyFill="1" applyBorder="1" applyAlignment="1">
      <alignment horizontal="right" vertical="center"/>
    </xf>
    <xf numFmtId="3" fontId="4" fillId="9" borderId="0" xfId="5" applyNumberFormat="1" applyFill="1">
      <alignment vertical="center"/>
    </xf>
    <xf numFmtId="165" fontId="4" fillId="9" borderId="0" xfId="1" applyFont="1" applyFill="1" applyAlignment="1">
      <alignment vertical="center"/>
    </xf>
    <xf numFmtId="165" fontId="5" fillId="9" borderId="0" xfId="1" applyFont="1" applyFill="1" applyAlignment="1">
      <alignment vertical="center"/>
    </xf>
    <xf numFmtId="165" fontId="0" fillId="9" borderId="0" xfId="0" applyNumberFormat="1" applyFill="1"/>
    <xf numFmtId="358" fontId="1" fillId="0" borderId="0" xfId="1" applyNumberFormat="1" applyFont="1" applyFill="1"/>
    <xf numFmtId="166" fontId="7" fillId="9" borderId="8" xfId="4" quotePrefix="1" applyNumberFormat="1" applyFont="1" applyFill="1" applyBorder="1" applyAlignment="1">
      <alignment horizontal="center" vertical="center" wrapText="1"/>
    </xf>
    <xf numFmtId="166" fontId="7" fillId="9" borderId="9" xfId="4" quotePrefix="1" applyNumberFormat="1" applyFont="1" applyFill="1" applyBorder="1" applyAlignment="1">
      <alignment horizontal="center" vertical="center" wrapText="1"/>
    </xf>
    <xf numFmtId="166" fontId="7" fillId="9" borderId="29" xfId="4" quotePrefix="1" applyNumberFormat="1" applyFont="1" applyFill="1" applyBorder="1" applyAlignment="1">
      <alignment horizontal="center" vertical="center" wrapText="1"/>
    </xf>
    <xf numFmtId="166" fontId="7" fillId="10" borderId="8" xfId="4" quotePrefix="1" applyNumberFormat="1" applyFont="1" applyFill="1" applyBorder="1" applyAlignment="1">
      <alignment horizontal="center" vertical="center" wrapText="1"/>
    </xf>
    <xf numFmtId="166" fontId="7" fillId="10" borderId="9" xfId="4" quotePrefix="1" applyNumberFormat="1" applyFont="1" applyFill="1" applyBorder="1" applyAlignment="1">
      <alignment horizontal="center" vertical="center" wrapText="1"/>
    </xf>
    <xf numFmtId="166" fontId="7" fillId="10" borderId="29" xfId="4" quotePrefix="1" applyNumberFormat="1" applyFont="1" applyFill="1" applyBorder="1" applyAlignment="1">
      <alignment horizontal="center" vertical="center" wrapText="1"/>
    </xf>
    <xf numFmtId="166" fontId="7" fillId="20" borderId="8" xfId="4" quotePrefix="1" applyNumberFormat="1" applyFont="1" applyFill="1" applyBorder="1" applyAlignment="1">
      <alignment horizontal="center" vertical="center" wrapText="1"/>
    </xf>
    <xf numFmtId="166" fontId="7" fillId="20" borderId="9" xfId="4" quotePrefix="1" applyNumberFormat="1" applyFont="1" applyFill="1" applyBorder="1" applyAlignment="1">
      <alignment horizontal="center" vertical="center" wrapText="1"/>
    </xf>
    <xf numFmtId="166" fontId="7" fillId="20" borderId="29" xfId="4" quotePrefix="1" applyNumberFormat="1" applyFont="1" applyFill="1" applyBorder="1" applyAlignment="1">
      <alignment horizontal="center" vertical="center" wrapText="1"/>
    </xf>
    <xf numFmtId="166" fontId="7" fillId="21" borderId="8" xfId="4" quotePrefix="1" applyNumberFormat="1" applyFont="1" applyFill="1" applyBorder="1" applyAlignment="1">
      <alignment horizontal="center" vertical="center" wrapText="1"/>
    </xf>
    <xf numFmtId="166" fontId="7" fillId="21" borderId="9" xfId="4" quotePrefix="1" applyNumberFormat="1" applyFont="1" applyFill="1" applyBorder="1" applyAlignment="1">
      <alignment horizontal="center" vertical="center" wrapText="1"/>
    </xf>
    <xf numFmtId="166" fontId="7" fillId="21" borderId="29" xfId="4" quotePrefix="1" applyNumberFormat="1" applyFont="1" applyFill="1" applyBorder="1" applyAlignment="1">
      <alignment horizontal="center" vertical="center" wrapText="1"/>
    </xf>
    <xf numFmtId="166" fontId="7" fillId="18" borderId="8" xfId="4" quotePrefix="1" applyNumberFormat="1" applyFont="1" applyFill="1" applyBorder="1" applyAlignment="1">
      <alignment horizontal="center" vertical="center" wrapText="1"/>
    </xf>
    <xf numFmtId="166" fontId="7" fillId="18" borderId="9" xfId="4" quotePrefix="1" applyNumberFormat="1" applyFont="1" applyFill="1" applyBorder="1" applyAlignment="1">
      <alignment horizontal="center" vertical="center" wrapText="1"/>
    </xf>
    <xf numFmtId="166" fontId="7" fillId="18" borderId="29" xfId="4" quotePrefix="1" applyNumberFormat="1" applyFont="1" applyFill="1" applyBorder="1" applyAlignment="1">
      <alignment horizontal="center" vertical="center" wrapText="1"/>
    </xf>
    <xf numFmtId="166" fontId="7" fillId="19" borderId="8" xfId="4" quotePrefix="1" applyNumberFormat="1" applyFont="1" applyFill="1" applyBorder="1" applyAlignment="1">
      <alignment horizontal="center" vertical="center" wrapText="1"/>
    </xf>
    <xf numFmtId="166" fontId="7" fillId="19" borderId="9" xfId="4" quotePrefix="1" applyNumberFormat="1" applyFont="1" applyFill="1" applyBorder="1" applyAlignment="1">
      <alignment horizontal="center" vertical="center" wrapText="1"/>
    </xf>
    <xf numFmtId="166" fontId="7" fillId="19" borderId="29" xfId="4" quotePrefix="1" applyNumberFormat="1" applyFont="1" applyFill="1" applyBorder="1" applyAlignment="1">
      <alignment horizontal="center" vertical="center" wrapText="1"/>
    </xf>
    <xf numFmtId="166" fontId="7" fillId="7" borderId="32" xfId="4" quotePrefix="1" applyNumberFormat="1" applyFont="1" applyFill="1" applyBorder="1" applyAlignment="1">
      <alignment horizontal="center" vertical="center" wrapText="1"/>
    </xf>
    <xf numFmtId="166" fontId="7" fillId="7" borderId="33" xfId="4" quotePrefix="1" applyNumberFormat="1" applyFont="1" applyFill="1" applyBorder="1" applyAlignment="1">
      <alignment horizontal="center" vertical="center" wrapText="1"/>
    </xf>
    <xf numFmtId="166" fontId="7" fillId="7" borderId="34" xfId="4" quotePrefix="1" applyNumberFormat="1" applyFont="1" applyFill="1" applyBorder="1" applyAlignment="1">
      <alignment horizontal="center" vertical="center" wrapText="1"/>
    </xf>
    <xf numFmtId="166" fontId="7" fillId="5" borderId="8" xfId="4" quotePrefix="1" applyNumberFormat="1" applyFont="1" applyFill="1" applyBorder="1" applyAlignment="1">
      <alignment horizontal="center" vertical="center" wrapText="1"/>
    </xf>
    <xf numFmtId="166" fontId="7" fillId="5" borderId="9" xfId="4" quotePrefix="1" applyNumberFormat="1" applyFont="1" applyFill="1" applyBorder="1" applyAlignment="1">
      <alignment horizontal="center" vertical="center" wrapText="1"/>
    </xf>
    <xf numFmtId="166" fontId="7" fillId="5" borderId="29" xfId="4" quotePrefix="1" applyNumberFormat="1" applyFont="1" applyFill="1" applyBorder="1" applyAlignment="1">
      <alignment horizontal="center" vertical="center" wrapText="1"/>
    </xf>
    <xf numFmtId="166" fontId="20" fillId="8" borderId="8" xfId="4" quotePrefix="1" applyNumberFormat="1" applyFont="1" applyFill="1" applyBorder="1" applyAlignment="1">
      <alignment horizontal="center" vertical="center" wrapText="1"/>
    </xf>
    <xf numFmtId="166" fontId="20" fillId="8" borderId="9" xfId="4" quotePrefix="1" applyNumberFormat="1" applyFont="1" applyFill="1" applyBorder="1" applyAlignment="1">
      <alignment horizontal="center" vertical="center" wrapText="1"/>
    </xf>
    <xf numFmtId="166" fontId="20" fillId="8" borderId="29" xfId="4" quotePrefix="1" applyNumberFormat="1" applyFont="1" applyFill="1" applyBorder="1" applyAlignment="1">
      <alignment horizontal="center" vertical="center" wrapText="1"/>
    </xf>
    <xf numFmtId="166" fontId="7" fillId="117" borderId="8" xfId="4" quotePrefix="1" applyNumberFormat="1" applyFont="1" applyFill="1" applyBorder="1" applyAlignment="1">
      <alignment horizontal="center" vertical="center" wrapText="1"/>
    </xf>
    <xf numFmtId="166" fontId="7" fillId="117" borderId="9" xfId="4" quotePrefix="1" applyNumberFormat="1" applyFont="1" applyFill="1" applyBorder="1" applyAlignment="1">
      <alignment horizontal="center" vertical="center" wrapText="1"/>
    </xf>
    <xf numFmtId="166" fontId="7" fillId="117" borderId="29" xfId="4" quotePrefix="1" applyNumberFormat="1" applyFont="1" applyFill="1" applyBorder="1" applyAlignment="1">
      <alignment horizontal="center" vertical="center" wrapText="1"/>
    </xf>
    <xf numFmtId="0" fontId="26" fillId="15" borderId="53" xfId="12" applyFont="1" applyFill="1" applyBorder="1" applyAlignment="1">
      <alignment horizontal="center" vertical="center" wrapText="1"/>
    </xf>
    <xf numFmtId="0" fontId="26" fillId="15" borderId="57" xfId="12" applyFont="1" applyFill="1" applyBorder="1" applyAlignment="1">
      <alignment horizontal="center" vertical="center" wrapText="1"/>
    </xf>
    <xf numFmtId="0" fontId="25" fillId="2" borderId="6" xfId="11" applyFont="1" applyFill="1" applyBorder="1" applyAlignment="1">
      <alignment horizontal="center" vertical="center" wrapText="1"/>
    </xf>
    <xf numFmtId="0" fontId="25" fillId="2" borderId="12" xfId="11" applyFont="1" applyFill="1" applyBorder="1" applyAlignment="1">
      <alignment horizontal="center" vertical="center" wrapText="1"/>
    </xf>
    <xf numFmtId="0" fontId="25" fillId="2" borderId="13" xfId="11" applyFont="1" applyFill="1" applyBorder="1" applyAlignment="1">
      <alignment horizontal="center" vertical="center" wrapText="1"/>
    </xf>
    <xf numFmtId="0" fontId="26" fillId="2" borderId="12" xfId="12" applyFont="1" applyFill="1" applyBorder="1" applyAlignment="1">
      <alignment horizontal="center" vertical="center" wrapText="1"/>
    </xf>
    <xf numFmtId="0" fontId="26" fillId="2" borderId="13" xfId="12" applyFont="1" applyFill="1" applyBorder="1" applyAlignment="1">
      <alignment horizontal="center" vertical="center" wrapText="1"/>
    </xf>
    <xf numFmtId="0" fontId="26" fillId="0" borderId="48" xfId="11" applyFont="1" applyBorder="1" applyAlignment="1">
      <alignment horizontal="center" vertical="center" wrapText="1"/>
    </xf>
    <xf numFmtId="0" fontId="26" fillId="0" borderId="13" xfId="11" applyFont="1" applyBorder="1" applyAlignment="1">
      <alignment horizontal="center" vertical="center" wrapText="1"/>
    </xf>
    <xf numFmtId="0" fontId="26" fillId="0" borderId="13" xfId="11" applyFont="1" applyBorder="1" applyAlignment="1">
      <alignment horizontal="center" vertical="center"/>
    </xf>
    <xf numFmtId="0" fontId="26" fillId="0" borderId="48" xfId="11" applyFont="1" applyBorder="1" applyAlignment="1">
      <alignment horizontal="center" vertical="center"/>
    </xf>
    <xf numFmtId="0" fontId="26" fillId="15" borderId="10" xfId="12" applyFont="1" applyFill="1" applyBorder="1" applyAlignment="1">
      <alignment horizontal="center" vertical="center" wrapText="1"/>
    </xf>
    <xf numFmtId="0" fontId="26" fillId="15" borderId="14" xfId="12" applyFont="1" applyFill="1" applyBorder="1" applyAlignment="1">
      <alignment horizontal="center" vertical="center" wrapText="1"/>
    </xf>
    <xf numFmtId="0" fontId="26" fillId="0" borderId="10" xfId="11" applyFont="1" applyBorder="1" applyAlignment="1">
      <alignment horizontal="center" vertical="center"/>
    </xf>
    <xf numFmtId="0" fontId="26" fillId="0" borderId="14" xfId="11" applyFont="1" applyBorder="1" applyAlignment="1">
      <alignment horizontal="center" vertical="center"/>
    </xf>
    <xf numFmtId="0" fontId="26" fillId="11" borderId="64" xfId="12" applyFont="1" applyFill="1" applyBorder="1" applyAlignment="1">
      <alignment horizontal="center" vertical="center" wrapText="1"/>
    </xf>
    <xf numFmtId="0" fontId="26" fillId="11" borderId="56" xfId="12" applyFont="1" applyFill="1" applyBorder="1" applyAlignment="1">
      <alignment horizontal="center" vertical="center" wrapText="1"/>
    </xf>
    <xf numFmtId="0" fontId="26" fillId="4" borderId="48" xfId="11" applyFont="1" applyFill="1" applyBorder="1" applyAlignment="1">
      <alignment horizontal="center" vertical="center" wrapText="1"/>
    </xf>
    <xf numFmtId="0" fontId="26" fillId="4" borderId="13" xfId="11" applyFont="1" applyFill="1" applyBorder="1" applyAlignment="1">
      <alignment horizontal="center" vertical="center" wrapText="1"/>
    </xf>
    <xf numFmtId="0" fontId="26" fillId="4" borderId="13" xfId="11" applyFont="1" applyFill="1" applyBorder="1" applyAlignment="1">
      <alignment horizontal="center" vertical="center"/>
    </xf>
    <xf numFmtId="0" fontId="26" fillId="0" borderId="10" xfId="12" applyFont="1" applyBorder="1" applyAlignment="1">
      <alignment horizontal="center" vertical="center" wrapText="1"/>
    </xf>
    <xf numFmtId="0" fontId="26" fillId="0" borderId="14" xfId="12" applyFont="1" applyBorder="1" applyAlignment="1">
      <alignment horizontal="center" vertical="center" wrapText="1"/>
    </xf>
    <xf numFmtId="171" fontId="25" fillId="11" borderId="42" xfId="11" applyNumberFormat="1" applyFont="1" applyFill="1" applyBorder="1" applyAlignment="1">
      <alignment horizontal="center" vertical="center"/>
    </xf>
    <xf numFmtId="171" fontId="25" fillId="11" borderId="46" xfId="11" applyNumberFormat="1" applyFont="1" applyFill="1" applyBorder="1" applyAlignment="1">
      <alignment horizontal="center" vertical="center"/>
    </xf>
    <xf numFmtId="171" fontId="25" fillId="11" borderId="54" xfId="11" applyNumberFormat="1" applyFont="1" applyFill="1" applyBorder="1" applyAlignment="1">
      <alignment horizontal="center" vertical="center"/>
    </xf>
    <xf numFmtId="0" fontId="25" fillId="2" borderId="121" xfId="11" applyFont="1" applyFill="1" applyBorder="1" applyAlignment="1">
      <alignment horizontal="center" vertical="center" wrapText="1"/>
    </xf>
    <xf numFmtId="0" fontId="497" fillId="2" borderId="6" xfId="11" applyFont="1" applyFill="1" applyBorder="1" applyAlignment="1">
      <alignment horizontal="center" vertical="center" wrapText="1"/>
    </xf>
    <xf numFmtId="0" fontId="497" fillId="2" borderId="12" xfId="11" applyFont="1" applyFill="1" applyBorder="1" applyAlignment="1">
      <alignment horizontal="center" vertical="center" wrapText="1"/>
    </xf>
    <xf numFmtId="0" fontId="497" fillId="2" borderId="13" xfId="11" applyFont="1" applyFill="1" applyBorder="1" applyAlignment="1">
      <alignment horizontal="center" vertical="center" wrapText="1"/>
    </xf>
    <xf numFmtId="0" fontId="655" fillId="2" borderId="6" xfId="11" applyFont="1" applyFill="1" applyBorder="1" applyAlignment="1">
      <alignment horizontal="center" vertical="center" wrapText="1"/>
    </xf>
    <xf numFmtId="0" fontId="655" fillId="2" borderId="12" xfId="11" applyFont="1" applyFill="1" applyBorder="1" applyAlignment="1">
      <alignment horizontal="center" vertical="center" wrapText="1"/>
    </xf>
    <xf numFmtId="0" fontId="655" fillId="2" borderId="13" xfId="11" applyFont="1" applyFill="1" applyBorder="1" applyAlignment="1">
      <alignment horizontal="center" vertical="center" wrapText="1"/>
    </xf>
  </cellXfs>
  <cellStyles count="38780">
    <cellStyle name="$ #," xfId="38" xr:uid="{1D3EF098-B35F-48FB-8876-04E1499157CA}"/>
    <cellStyle name="%" xfId="39" xr:uid="{C7C72C2F-B657-45A5-AC99-AC22EDD354D6}"/>
    <cellStyle name="､@ｯ・880330" xfId="40" xr:uid="{3DF299ED-E2F9-4496-82CB-97692110E6BE}"/>
    <cellStyle name="､@ｯ・880330 2" xfId="41" xr:uid="{34600736-A061-458B-8550-AD03B02E9C4B}"/>
    <cellStyle name="､@ｯ・Book1" xfId="42" xr:uid="{76288B28-3D30-4971-8F98-FA86CDFCEDAD}"/>
    <cellStyle name="､@ｯ・Book1 2" xfId="43" xr:uid="{96C4181A-6586-44B4-A6BF-AF0CCB21B673}"/>
    <cellStyle name="､@ｯ・Book1 3" xfId="44" xr:uid="{D595C8BF-7C1A-45A9-AC24-DB55EBEB2E5A}"/>
    <cellStyle name="､@ｯ・Cefiro" xfId="45" xr:uid="{F8812271-4657-4717-9DB7-D82461C36CE6}"/>
    <cellStyle name="､@ｯ・E18639" xfId="46" xr:uid="{BF643A77-2E19-43D8-AC9C-7EF93C6C41AE}"/>
    <cellStyle name="､@ｯ・E18639 2" xfId="47" xr:uid="{8F3922EC-1F8A-4401-B94D-4797F4FFF673}"/>
    <cellStyle name="､@ｯ・E18639 3" xfId="48" xr:uid="{C75280E5-AD28-42AE-BC29-D8B348B81640}"/>
    <cellStyle name="､@ｯ・JAｨｮLPｹwｦ｣､魎｣20021105" xfId="49" xr:uid="{F26B822D-12A4-4543-8BC5-A6901F575FFD}"/>
    <cellStyle name="､@ｯ・M" xfId="50" xr:uid="{589C84A9-7049-421C-8CEA-5B885024D4F2}"/>
    <cellStyle name="､@ｯ・M segment" xfId="51" xr:uid="{69D0E695-582C-4263-811B-CBFBA90FB157}"/>
    <cellStyle name="､@ｯ・M_A33_Ladder_Dec_03" xfId="52" xr:uid="{3C8570D8-B34F-4B4E-8412-58DBB459085B}"/>
    <cellStyle name="､@ｯ・NEW FORM" xfId="53" xr:uid="{16BB7D8A-C923-4163-8144-37E89E3745DD}"/>
    <cellStyle name="､@ｯ・P186_001213EUR" xfId="54" xr:uid="{8927D5AF-4594-4740-9E74-E8EEF23D8446}"/>
    <cellStyle name="､@ｯ・P4TR1_1219carunit" xfId="55" xr:uid="{012547FD-9A5E-4203-BB3B-47494A869883}"/>
    <cellStyle name="､@ｯ・PT1ORDER" xfId="56" xr:uid="{671D1F64-04DD-483E-B9B3-F2A0EE84DD61}"/>
    <cellStyle name="､@ｯ・S" xfId="57" xr:uid="{66E7AB37-D4C4-42AA-8A08-F0D677581719}"/>
    <cellStyle name="､@ｯ・S segment" xfId="58" xr:uid="{188CB42A-70C7-4EEC-9AA4-3BE5E0974D5B}"/>
    <cellStyle name="､@ｯ・S_A33_Ladder_Dec_03" xfId="59" xr:uid="{D63D5050-9B66-4A96-8AB1-796FAAE346E8}"/>
    <cellStyle name="､@ｯ・S2SOPODR" xfId="60" xr:uid="{60822796-9EEE-49D4-B528-C4E24EAE6FBF}"/>
    <cellStyle name="､@ｯ・S2SOPODR 2" xfId="61" xr:uid="{FFAD4AB5-1BB0-4CB3-B6E3-56CDE81F8C92}"/>
    <cellStyle name="､@ｯ・SPL1130A" xfId="62" xr:uid="{46CB9B7C-79C0-43E9-B57A-3DF23B732587}"/>
    <cellStyle name="､@ｯ・SPLY_LST" xfId="63" xr:uid="{DCCE1091-C7BC-4123-AFA1-4319E641334B}"/>
    <cellStyle name="､@ｯ・SS" xfId="64" xr:uid="{16D9DE78-09B5-4799-96C6-A24F4B32B3CE}"/>
    <cellStyle name="､@ｯ・twnJA-sampleorder-1" xfId="65" xr:uid="{AD653178-F50B-4D1F-B969-4F29B9B66CCF}"/>
    <cellStyle name="､@ｯ・tZR_39_KV1010219" xfId="66" xr:uid="{FB8EAD5B-EA25-4BE5-8AEB-666188DD8E36}"/>
    <cellStyle name="､d､ﾀｦ・0]_anems_block_list186" xfId="67" xr:uid="{EFF4A681-005E-4A6C-8618-B6D79BDC8A44}"/>
    <cellStyle name="､d､ﾀｦ・anems_block_list186" xfId="68" xr:uid="{5EAEE04A-F33B-4F2F-A276-E6C88D07BC20}"/>
    <cellStyle name="､d､ﾀｦ・Book1" xfId="69" xr:uid="{78D0A4A9-0276-417A-AB5A-76004CF82E5F}"/>
    <cellStyle name="､d､ﾀｦ・Book1 2" xfId="70" xr:uid="{6B7F5218-50C0-42C9-BC73-AF4C35AD2ACA}"/>
    <cellStyle name="､d､ﾀｦ・Book1 3" xfId="71" xr:uid="{48D29EC5-5E61-4CDF-88E5-ABC85338CC9B}"/>
    <cellStyle name="､d､ﾀｦ・Cefiro" xfId="72" xr:uid="{2E78355B-F92A-4758-987C-E428E9D1707F}"/>
    <cellStyle name="､d､ﾀｦ・Cefiro 2" xfId="73" xr:uid="{BE57ADA2-87EB-457C-892A-05FA5C8013A2}"/>
    <cellStyle name="､d､ﾀｦ・E18639" xfId="74" xr:uid="{0AA731AB-A4F5-4D51-A6B8-D65F0B685423}"/>
    <cellStyle name="､d､ﾀｦ・E18639 2" xfId="75" xr:uid="{4245B643-C7B5-45D4-AC76-1A4D54FD9266}"/>
    <cellStyle name="､d､ﾀｦ・E18639 3" xfId="76" xr:uid="{EDC5DB92-6258-49B5-A8DB-A3331FEFEFF4}"/>
    <cellStyle name="､d､ﾀｦ・M segment" xfId="77" xr:uid="{BAB5DF73-6E60-4BC0-BD14-9E8121742A7E}"/>
    <cellStyle name="､d､ﾀｦ・M segment 2" xfId="78" xr:uid="{1A862302-FB3E-414C-9E1D-C0D0D064137E}"/>
    <cellStyle name="､d､ﾀｦ・P186_001213EUR" xfId="79" xr:uid="{6F94DCF7-0EDA-473C-9ECF-A5C1818B1B5B}"/>
    <cellStyle name="､d､ﾀｦ・P4TR1_1219carunit" xfId="80" xr:uid="{0588E877-1906-43D3-8560-BF3C0F487144}"/>
    <cellStyle name="､d､ﾀｦ・PT1ORDER" xfId="81" xr:uid="{ADE4B960-E1B5-46AB-9B50-ACA5D4E17205}"/>
    <cellStyle name="､d､ﾀｦ・S segment" xfId="82" xr:uid="{DE187401-49E2-48F0-8C79-8D5E344EF84D}"/>
    <cellStyle name="､d､ﾀｦ・S segment 2" xfId="83" xr:uid="{9C6AD5CD-8CC4-4DF1-93FE-CB46B7A2A609}"/>
    <cellStyle name="､d､ﾀｦ・tZR_39_KV1010219" xfId="84" xr:uid="{DF64B84C-DF44-48D7-9945-681716B1C4E5}"/>
    <cellStyle name=".0." xfId="85" xr:uid="{C2067827-E2BC-414B-9C46-CB03D97E195E}"/>
    <cellStyle name="?" xfId="86" xr:uid="{B52C1CDA-7832-41E5-B1C3-3CCE4D2E233A}"/>
    <cellStyle name="??" xfId="87" xr:uid="{048BEB44-C91B-4D96-89E1-7CECC3D810B3}"/>
    <cellStyle name="?? [0.00]_????(?) " xfId="88" xr:uid="{1EA66A15-222B-4856-8F26-6B103666D1B2}"/>
    <cellStyle name="?? 2" xfId="89" xr:uid="{ED249EF5-44E0-437F-A193-AFAEBD830FFB}"/>
    <cellStyle name="??&amp;" xfId="90" xr:uid="{31B4C4CA-421C-49E0-8BF6-71D835ECD56F}"/>
    <cellStyle name="??&amp;O" xfId="91" xr:uid="{ABC22B5E-32C4-409E-AC26-C5A3DEAADCB4}"/>
    <cellStyle name="??&amp;O?" xfId="92" xr:uid="{31B7DE8A-4CA4-4D3C-914C-B1F48E3B8F0C}"/>
    <cellStyle name="??&amp;O?&amp;" xfId="93" xr:uid="{406624C2-1CE7-47C0-B42E-28E25A3843EC}"/>
    <cellStyle name="??&amp;O?&amp;H" xfId="94" xr:uid="{2BC3B319-0F7D-42BB-B8C8-93F2656B24D2}"/>
    <cellStyle name="??&amp;O?&amp;H?" xfId="95" xr:uid="{97413E29-BDE2-4E14-B2AA-572C78F48E6B}"/>
    <cellStyle name="??&amp;O?&amp;H?_x0001_" xfId="96" xr:uid="{7DEBFB64-2EA8-4EF6-B9D0-B8DAD2B7B223}"/>
    <cellStyle name="??&amp;O?&amp;H?_x0008__x000f_" xfId="97" xr:uid="{600E9919-B7A4-41DF-B81C-B814B19D645E}"/>
    <cellStyle name="??&amp;O?&amp;H?_x0008__x000f__x0007_?_x0007_" xfId="98" xr:uid="{6E274CCB-9813-4172-8DFD-D1818E0DC747}"/>
    <cellStyle name="??&amp;O?&amp;H?_x0008__x000f__x0007_?_x0007__x0001_" xfId="99" xr:uid="{DFAFF258-A40F-499B-B124-1E1392A6F0E3}"/>
    <cellStyle name="??&amp;O?&amp;H?_x0008__x000f__x0007_?_x0007__x0001__x0001_" xfId="100" xr:uid="{CAB576A8-AC99-4A28-8DBC-7BA6E2AE773D}"/>
    <cellStyle name="??&amp;O?&amp;H?_x0008_??_x0007__x0001__x0001_" xfId="101" xr:uid="{EEA4B6DE-E32D-4DF8-8C5B-245F863B39CC}"/>
    <cellStyle name="??&amp;O?_X90 IL Contrat MSU v3 à 2.86" xfId="102" xr:uid="{F2E92BAB-CF3C-4345-B0EE-CA4B66D1986B}"/>
    <cellStyle name="???" xfId="103" xr:uid="{15F43E02-A74B-4C94-BF06-F1137B07BE54}"/>
    <cellStyle name="??? [0]_???" xfId="104" xr:uid="{C4C97287-42F4-41EC-84EA-F317C35876E2}"/>
    <cellStyle name="???­ [0]_°¡°ø??°? " xfId="105" xr:uid="{1B78D747-1A81-4058-ADE6-A7DC84CF7680}"/>
    <cellStyle name="????" xfId="106" xr:uid="{6CFEFED1-9BD6-479A-AE27-5EB2E8813E1C}"/>
    <cellStyle name="????　???????匀?" xfId="107" xr:uid="{44E97AC5-5ADB-4EBF-A92A-6674A18B0831}"/>
    <cellStyle name="???? [0.00]_??4-3 ???????Format?" xfId="108" xr:uid="{6443402E-44C5-4E32-84FF-D123F767B84B}"/>
    <cellStyle name="???? [0]_???" xfId="109" xr:uid="{97472F94-3EB8-4D98-9866-9B29252D2FCB}"/>
    <cellStyle name="??????" xfId="110" xr:uid="{E71308D0-718D-483A-9842-4F6044375C80}"/>
    <cellStyle name="???????" xfId="111" xr:uid="{25607CBB-7887-47F4-9693-C855D4AE6269}"/>
    <cellStyle name="???????_x0003_" xfId="112" xr:uid="{FB945C59-FA40-4CAC-AEE6-3FACD2A89E34}"/>
    <cellStyle name="???????_x0004_" xfId="113" xr:uid="{27CC0604-67BC-43AC-BA00-E9F00074B3CE}"/>
    <cellStyle name="??????? 10" xfId="114" xr:uid="{D2620FEE-6A83-411D-B418-B9E51946EC8D}"/>
    <cellStyle name="???????_x0004_ 10" xfId="115" xr:uid="{9244EEE9-16BE-46E4-B944-ADEFCBC35F5D}"/>
    <cellStyle name="??????? 11" xfId="116" xr:uid="{B423B4C7-312C-4E3C-AE79-3584B26BB4F1}"/>
    <cellStyle name="???????_x0004_ 11" xfId="117" xr:uid="{2B54A853-4B90-4FCC-8681-A075A14EF46F}"/>
    <cellStyle name="??????? 12" xfId="118" xr:uid="{3239633B-2D0D-4A4A-8B10-B7580D76878B}"/>
    <cellStyle name="???????_x0004_ 12" xfId="119" xr:uid="{8F68915A-7CFE-463F-A277-1B9C51291250}"/>
    <cellStyle name="??????? 13" xfId="120" xr:uid="{E9730370-E539-42B4-A31A-4E331DF3C43C}"/>
    <cellStyle name="???????_x0004_ 13" xfId="121" xr:uid="{1AAEF46A-1BF6-40DE-8DAF-16464BB644DA}"/>
    <cellStyle name="??????? 14" xfId="122" xr:uid="{DC90739B-5EA7-48BA-9E6C-54118A652004}"/>
    <cellStyle name="???????_x0004_ 14" xfId="123" xr:uid="{9380044B-2304-4C94-9549-2B3E063EB237}"/>
    <cellStyle name="??????? 15" xfId="124" xr:uid="{B3F30666-57B5-4117-9E16-85F6226C2DE3}"/>
    <cellStyle name="???????_x0004_ 15" xfId="125" xr:uid="{432E4BBC-2055-4C43-82C2-1A43CA1D4834}"/>
    <cellStyle name="??????? 16" xfId="126" xr:uid="{EE3B4D68-4016-47B5-B8BA-1506B8AE9977}"/>
    <cellStyle name="???????_x0004_ 16" xfId="127" xr:uid="{A433B29E-85E9-4739-A290-DC3A4A733314}"/>
    <cellStyle name="??????? 17" xfId="128" xr:uid="{035762EA-7577-46FD-A621-F5F63336DB19}"/>
    <cellStyle name="???????_x0004_ 17" xfId="129" xr:uid="{038BD32D-CEFC-4245-A7F4-4D7798C9B211}"/>
    <cellStyle name="??????? 18" xfId="130" xr:uid="{D77036C8-34BF-4E7A-B8AF-ABEF82110BB9}"/>
    <cellStyle name="???????_x0004_ 18" xfId="131" xr:uid="{5FDD4784-1824-4486-B25C-B78CBC6CA23D}"/>
    <cellStyle name="??????? 19" xfId="132" xr:uid="{1A85240D-439B-4FF5-9007-A05CCBE3765A}"/>
    <cellStyle name="???????_x0004_ 19" xfId="133" xr:uid="{E591D321-8214-4EEB-A246-E46A791CFE9F}"/>
    <cellStyle name="??????? 2" xfId="134" xr:uid="{2B5E7ECF-85B0-4DA7-8B49-FA19D7A13292}"/>
    <cellStyle name="???????_x0004_ 2" xfId="135" xr:uid="{007276B2-7CA6-4B8F-8CCA-0693B158D241}"/>
    <cellStyle name="??????? 2 10" xfId="136" xr:uid="{28665975-FDE7-475B-B111-3F584600E7DB}"/>
    <cellStyle name="???????_x0004_ 2 10" xfId="137" xr:uid="{82BB1B5A-AEB1-4469-9735-EF576E5A0611}"/>
    <cellStyle name="??????? 2 11" xfId="138" xr:uid="{6D995B5F-7610-4378-BDC8-6AC1E2E9040A}"/>
    <cellStyle name="???????_x0004_ 2 11" xfId="139" xr:uid="{03735BE6-DC8B-4ADF-99DC-23181E2587A9}"/>
    <cellStyle name="??????? 2 12" xfId="140" xr:uid="{30FFF8DE-5C7F-4699-AD36-E549B49D9ECC}"/>
    <cellStyle name="???????_x0004_ 2 12" xfId="141" xr:uid="{33E60407-607C-49C9-A954-5CD3A1425691}"/>
    <cellStyle name="??????? 2 13" xfId="142" xr:uid="{56F469A8-F376-472B-B606-BA3606CCA40C}"/>
    <cellStyle name="???????_x0004_ 2 13" xfId="143" xr:uid="{C80C0424-45D5-4424-93E1-9022EB9AB86E}"/>
    <cellStyle name="??????? 2 14" xfId="144" xr:uid="{7F58525D-E131-41BD-9465-E85134319629}"/>
    <cellStyle name="???????_x0004_ 2 14" xfId="145" xr:uid="{3A7631EE-ECF7-4CCB-A1B6-FD346951A8F7}"/>
    <cellStyle name="??????? 2 15" xfId="146" xr:uid="{5560322C-FFFE-4DB1-BF13-BFBEA4402127}"/>
    <cellStyle name="???????_x0004_ 2 15" xfId="147" xr:uid="{B5D12930-7575-4491-B66F-0C4207000CFC}"/>
    <cellStyle name="??????? 2 16" xfId="148" xr:uid="{2E79621A-1B10-450D-B8D1-EE82995C8199}"/>
    <cellStyle name="???????_x0004_ 2 16" xfId="149" xr:uid="{1546E3BA-F539-48A0-806D-B4B1283AE250}"/>
    <cellStyle name="??????? 2 17" xfId="150" xr:uid="{950D1200-227B-44B8-8577-4ED18B97DC19}"/>
    <cellStyle name="???????_x0004_ 2 17" xfId="151" xr:uid="{BF551A01-8AF7-4B41-BB1E-9D892487B8D3}"/>
    <cellStyle name="??????? 2 18" xfId="152" xr:uid="{FBC28A18-D15E-4314-935A-6E26C096B79F}"/>
    <cellStyle name="???????_x0004_ 2 18" xfId="153" xr:uid="{D3421172-4454-46E2-A212-C849A14B7E43}"/>
    <cellStyle name="??????? 2 19" xfId="154" xr:uid="{A40A699C-23FA-4AC5-B0EC-A4CCFF240BAB}"/>
    <cellStyle name="???????_x0004_ 2 19" xfId="155" xr:uid="{803E1C14-432C-434A-97EA-571A93F78F8A}"/>
    <cellStyle name="??????? 2 2" xfId="156" xr:uid="{F81FBC8C-BB69-461D-AF99-00DA2E8FB702}"/>
    <cellStyle name="???????_x0004_ 2 2" xfId="157" xr:uid="{C1E0AC53-6200-4232-839F-65BEC84DE105}"/>
    <cellStyle name="??????? 2 2 2" xfId="158" xr:uid="{6C11BF8C-E16B-4FDF-AD8E-E09D3668460F}"/>
    <cellStyle name="???????_x0004_ 2 2 2" xfId="159" xr:uid="{A781C055-B7D3-4076-8449-2A45BF1F60C9}"/>
    <cellStyle name="???????_x0004_ 2 2 3" xfId="160" xr:uid="{02E70379-C1C4-47C6-BEF1-400CA743E17F}"/>
    <cellStyle name="??????? 2 20" xfId="161" xr:uid="{DA19328E-D1A1-4C86-9D7A-2F3ABD4EAAE1}"/>
    <cellStyle name="???????_x0004_ 2 20" xfId="162" xr:uid="{3AA6F8E9-293F-46CF-8480-5062959C5700}"/>
    <cellStyle name="??????? 2 21" xfId="163" xr:uid="{17D443DC-A275-45F0-9DF2-6851265CE90A}"/>
    <cellStyle name="???????_x0004_ 2 21" xfId="164" xr:uid="{F47A3348-0990-4282-950E-5D436D9E5A7A}"/>
    <cellStyle name="??????? 2 22" xfId="165" xr:uid="{94C2E7C7-C308-4123-A3A6-96400FEE2E8C}"/>
    <cellStyle name="???????_x0004_ 2 22" xfId="166" xr:uid="{CA5F83FE-5A56-4914-A13A-C852A99EA5BC}"/>
    <cellStyle name="??????? 2 23" xfId="167" xr:uid="{33FC6847-742C-4AF5-AEA5-0D67963CFD2A}"/>
    <cellStyle name="???????_x0004_ 2 23" xfId="168" xr:uid="{610C5757-21D4-4628-973E-41A3E0CFD998}"/>
    <cellStyle name="??????? 2 24" xfId="169" xr:uid="{2A3D1837-9DA8-4E48-8A6E-F2E5C91576FC}"/>
    <cellStyle name="???????_x0004_ 2 24" xfId="170" xr:uid="{725064BE-3517-4D46-8CF3-F35EA12A268A}"/>
    <cellStyle name="??????? 2 25" xfId="171" xr:uid="{25FE1552-2010-4975-A1B3-79F27A0ED956}"/>
    <cellStyle name="???????_x0004_ 2 25" xfId="172" xr:uid="{E0C96DD3-F662-4086-8260-54BD724E46CF}"/>
    <cellStyle name="??????? 2 26" xfId="173" xr:uid="{A14F8A85-F1B1-4D86-9770-ECA8CC7FFE1A}"/>
    <cellStyle name="???????_x0004_ 2 26" xfId="174" xr:uid="{89D242AB-78FD-494D-9EF5-01D9A85A63E8}"/>
    <cellStyle name="??????? 2 27" xfId="175" xr:uid="{2CDC6713-119E-4474-A8F6-5A7C34E8B15C}"/>
    <cellStyle name="???????_x0004_ 2 27" xfId="176" xr:uid="{85BC9999-4AC2-47EE-8633-43F061C65313}"/>
    <cellStyle name="??????? 2 28" xfId="177" xr:uid="{C72E4FE0-9295-436F-9A24-397FDDDF7AA2}"/>
    <cellStyle name="???????_x0004_ 2 28" xfId="178" xr:uid="{9C90A056-3729-4BF1-B9F5-878D1D61366C}"/>
    <cellStyle name="??????? 2 29" xfId="179" xr:uid="{985E78BF-BF65-4815-9C9D-E24D1B0B95AF}"/>
    <cellStyle name="??????? 2 3" xfId="180" xr:uid="{725C7A71-0D32-416B-B143-C3CA83FBDC6B}"/>
    <cellStyle name="???????_x0004_ 2 3" xfId="181" xr:uid="{CA1249FC-8050-4B87-AC66-1F50C5F49741}"/>
    <cellStyle name="??????? 2 3 2" xfId="182" xr:uid="{35E3D036-E2FD-4B79-BCE0-AA64D546A1D7}"/>
    <cellStyle name="???????_x0004_ 2 3 2" xfId="183" xr:uid="{7F699446-F68F-47E4-AC8D-C00952DE6CC8}"/>
    <cellStyle name="???????_x0004_ 2 3 3" xfId="184" xr:uid="{02174111-B6CA-4E92-B5BA-A633B2AAD5C4}"/>
    <cellStyle name="??????? 2 30" xfId="185" xr:uid="{9E12AB28-55FC-410F-A6FB-2A28E04EB88A}"/>
    <cellStyle name="??????? 2 31" xfId="186" xr:uid="{C18F91E7-B33B-49F7-BAC5-3A1FCB7B65FA}"/>
    <cellStyle name="??????? 2 32" xfId="187" xr:uid="{4D9668C0-E792-430F-BEB3-D00B84E3531E}"/>
    <cellStyle name="??????? 2 4" xfId="188" xr:uid="{0C5A577E-09CB-4615-928A-35D235833E47}"/>
    <cellStyle name="???????_x0004_ 2 4" xfId="189" xr:uid="{6E47326F-91C3-49B1-BB1E-74A2B73ADFB4}"/>
    <cellStyle name="??????? 2 4 2" xfId="190" xr:uid="{2A6280D8-E97B-4416-9C98-FE247F02FBF0}"/>
    <cellStyle name="??????? 2 5" xfId="191" xr:uid="{035D657E-CB3B-4308-A447-E8AEADB0B666}"/>
    <cellStyle name="???????_x0004_ 2 5" xfId="192" xr:uid="{13BE8997-7C6C-4486-8DCB-BDF184594128}"/>
    <cellStyle name="??????? 2 5 2" xfId="193" xr:uid="{A86BC6D1-8281-46E2-9635-91894CB1FE27}"/>
    <cellStyle name="??????? 2 6" xfId="194" xr:uid="{881C6B96-C542-47B7-A086-9F39E53FEA11}"/>
    <cellStyle name="???????_x0004_ 2 6" xfId="195" xr:uid="{D94CF33F-29C7-4C39-8DA2-BA528F878FDC}"/>
    <cellStyle name="??????? 2 7" xfId="196" xr:uid="{FD2C3793-1846-44B7-8C52-4CB7B8175352}"/>
    <cellStyle name="???????_x0004_ 2 7" xfId="197" xr:uid="{C0A99D05-89BA-423D-AF3E-1AD383A9169E}"/>
    <cellStyle name="??????? 2 8" xfId="198" xr:uid="{EF3D1AD0-0AC4-4A13-B0C9-B8F9707588B9}"/>
    <cellStyle name="???????_x0004_ 2 8" xfId="199" xr:uid="{C20C1441-9C60-4F97-9558-8D6D99E7590B}"/>
    <cellStyle name="??????? 2 9" xfId="200" xr:uid="{9D5A240D-BBC2-4D09-BF26-3F2E47F757AA}"/>
    <cellStyle name="???????_x0004_ 2 9" xfId="201" xr:uid="{FF923AA3-28CF-4BAE-A32E-3B693A586C15}"/>
    <cellStyle name="??????? 20" xfId="202" xr:uid="{86B4E931-7071-4FB5-8A4A-83CD786CD40E}"/>
    <cellStyle name="???????_x0004_ 20" xfId="203" xr:uid="{6854F365-28ED-4D00-900E-2FC19C0300A1}"/>
    <cellStyle name="??????? 21" xfId="204" xr:uid="{B56722DB-9BB4-430D-B715-DD41FEFBEC1D}"/>
    <cellStyle name="???????_x0004_ 21" xfId="205" xr:uid="{6C0C6A04-934B-4A7C-B04A-63623E59FB03}"/>
    <cellStyle name="??????? 22" xfId="206" xr:uid="{5FA96275-945E-48DF-871E-7D8DD49860A7}"/>
    <cellStyle name="???????_x0004_ 22" xfId="207" xr:uid="{6D57DB91-6512-4717-B72B-49239FB4706E}"/>
    <cellStyle name="??????? 23" xfId="208" xr:uid="{386068C1-EE12-4B07-B45B-12F958065C0E}"/>
    <cellStyle name="???????_x0004_ 23" xfId="209" xr:uid="{57B7202B-CCB0-4022-B0B4-CE77E3479F9A}"/>
    <cellStyle name="??????? 24" xfId="210" xr:uid="{1B50CAC8-8F97-4821-863E-A9FDC2700C4F}"/>
    <cellStyle name="???????_x0004_ 24" xfId="211" xr:uid="{75B6DE05-14DE-49F7-BA42-EAB469B92D74}"/>
    <cellStyle name="??????? 25" xfId="212" xr:uid="{804B329F-F589-411C-BD7F-94BC20D62AAC}"/>
    <cellStyle name="???????_x0004_ 25" xfId="213" xr:uid="{8795D7AF-F7FA-4B02-8583-95D4450030DD}"/>
    <cellStyle name="??????? 26" xfId="214" xr:uid="{E8A314E5-7814-48D0-ABD9-F81E4CCA2929}"/>
    <cellStyle name="???????_x0004_ 26" xfId="215" xr:uid="{817ECC37-BD98-429E-B515-FFE188065194}"/>
    <cellStyle name="??????? 27" xfId="216" xr:uid="{40B9A5F2-688F-4F73-93E4-6776CA42E63C}"/>
    <cellStyle name="???????_x0004_ 27" xfId="217" xr:uid="{F58503D9-34E3-47C6-AAA3-505C2A2DDF30}"/>
    <cellStyle name="??????? 28" xfId="218" xr:uid="{AB9D27EB-5EBC-4BB4-AB79-85BD4B29CD35}"/>
    <cellStyle name="???????_x0004_ 28" xfId="219" xr:uid="{22CD6339-5045-400B-8D9E-59A273749EA0}"/>
    <cellStyle name="??????? 29" xfId="220" xr:uid="{D3E6B8B0-E63F-49D5-87B7-43F6BE3D7E18}"/>
    <cellStyle name="???????_x0004_ 29" xfId="221" xr:uid="{25C68BBD-A27D-4EBB-8D4D-A9C3FCD8D96B}"/>
    <cellStyle name="??????? 3" xfId="222" xr:uid="{75D5E914-ACE4-4DB5-A9DD-E3D6B330780E}"/>
    <cellStyle name="???????_x0004_ 3" xfId="223" xr:uid="{BE87EED3-E620-426E-AA26-FE4AC50BDA86}"/>
    <cellStyle name="??????? 3 2" xfId="224" xr:uid="{F0FACC83-BD0B-473A-91BB-5C3F39D2DF18}"/>
    <cellStyle name="??????? 3 3" xfId="225" xr:uid="{5F38B803-C4DA-4BF4-8F73-69C8F4431F78}"/>
    <cellStyle name="??????? 3 4" xfId="226" xr:uid="{E20C0AF1-1901-46E6-8010-2BAA9B6716D3}"/>
    <cellStyle name="??????? 3 5" xfId="227" xr:uid="{30EE8298-7C30-44C7-9BDA-EF16C4012FD9}"/>
    <cellStyle name="??????? 30" xfId="228" xr:uid="{DBE76829-92FD-4334-B286-47F8480083E5}"/>
    <cellStyle name="???????_x0004_ 30" xfId="229" xr:uid="{04EE121A-A273-4488-84C2-5FD0EE007DDA}"/>
    <cellStyle name="??????? 31" xfId="230" xr:uid="{766C6D7A-5E12-4C27-A48F-9D49143541EB}"/>
    <cellStyle name="???????_x0004_ 31" xfId="231" xr:uid="{53515FBC-599F-419E-A3D1-5A2E85B9A3C0}"/>
    <cellStyle name="??????? 32" xfId="232" xr:uid="{05218A62-72A6-46B3-833F-350C63095111}"/>
    <cellStyle name="???????_x0004_ 32" xfId="233" xr:uid="{B692E9D1-1ADA-41D9-BB64-4C37E27578A5}"/>
    <cellStyle name="??????? 33" xfId="234" xr:uid="{8E00FDAD-ABB6-483B-85AC-234EE62BAA58}"/>
    <cellStyle name="???????_x0004_ 33" xfId="235" xr:uid="{2D2F1F6F-3B81-44F3-80AD-527DB02BB9A4}"/>
    <cellStyle name="??????? 34" xfId="236" xr:uid="{913DE0B5-B6C9-4BB8-A2F7-B84A8A612542}"/>
    <cellStyle name="???????_x0004_ 34" xfId="237" xr:uid="{18D1F0A5-8365-49BD-B617-B0DA87B10B71}"/>
    <cellStyle name="??????? 35" xfId="238" xr:uid="{FD4B5DFE-1A0A-48AF-9B9C-1EA9ED7C5863}"/>
    <cellStyle name="???????_x0004_ 35" xfId="239" xr:uid="{3EE36DBB-71C4-4595-ADFB-AF0F9C791F4D}"/>
    <cellStyle name="??????? 36" xfId="240" xr:uid="{1D5BE542-351C-40F9-AEA9-AB4DE844F65C}"/>
    <cellStyle name="???????_x0004_ 36" xfId="241" xr:uid="{41CBC0D0-93F3-4572-9410-50BB378AEB59}"/>
    <cellStyle name="??????? 37" xfId="242" xr:uid="{24E1C02C-DBFC-4D62-ACA0-79A3BA78704F}"/>
    <cellStyle name="???????_x0004_ 37" xfId="243" xr:uid="{7B419740-75AC-4B16-AFAC-B72E1AFC867C}"/>
    <cellStyle name="??????? 38" xfId="244" xr:uid="{F2F112F3-14FF-47E9-B8D3-84D60148CADF}"/>
    <cellStyle name="???????_x0004_ 38" xfId="245" xr:uid="{AFF9C539-10EA-41B7-A4D1-8D2CDB5F1BF7}"/>
    <cellStyle name="??????? 39" xfId="246" xr:uid="{FFBC96AE-7E06-4BD0-93B4-10B6B9D20A90}"/>
    <cellStyle name="???????_x0004_ 39" xfId="247" xr:uid="{C90466D7-7A0C-48CF-ACD5-7F055CDC0868}"/>
    <cellStyle name="??????? 4" xfId="248" xr:uid="{8CDF4DD8-41A2-4D13-B4EB-B0A4A780C684}"/>
    <cellStyle name="???????_x0004_ 4" xfId="249" xr:uid="{9DFA0E4B-D704-4812-83FB-D0360168A6E6}"/>
    <cellStyle name="??????? 4 2" xfId="250" xr:uid="{C9F7E063-3AC0-40B2-9C5C-1D2F8FF80462}"/>
    <cellStyle name="??????? 4 3" xfId="251" xr:uid="{BEC04298-A5A6-4FF5-B8A0-714236E4FF3D}"/>
    <cellStyle name="??????? 4 4" xfId="252" xr:uid="{078C1349-7B24-4F83-B07D-E1F2062F32BD}"/>
    <cellStyle name="??????? 40" xfId="253" xr:uid="{0BA2BDD8-674E-4C27-8F7B-4D0984465442}"/>
    <cellStyle name="??????? 41" xfId="254" xr:uid="{58B108E1-342A-4803-A5E9-350B08722F0E}"/>
    <cellStyle name="??????? 5" xfId="255" xr:uid="{FF741D0C-2A14-405B-8250-BC5A65CD5DE8}"/>
    <cellStyle name="???????_x0004_ 5" xfId="256" xr:uid="{6358D0CC-DC8E-4291-A072-7B8A3DB5075A}"/>
    <cellStyle name="??????? 5 10" xfId="257" xr:uid="{566DC18E-D498-4A25-8CDC-7544B34542F0}"/>
    <cellStyle name="??????? 5 11" xfId="258" xr:uid="{8F1B3326-8F7A-430E-B3EE-CDA518E948E5}"/>
    <cellStyle name="??????? 5 12" xfId="259" xr:uid="{6A921140-4DD0-4896-9FD4-95469633B3D7}"/>
    <cellStyle name="??????? 5 13" xfId="260" xr:uid="{FFD6FBB2-1454-4996-A72D-A9F816E1C75C}"/>
    <cellStyle name="??????? 5 14" xfId="261" xr:uid="{B7C5B992-AB02-49F4-AE31-7C2FE7EB7F1D}"/>
    <cellStyle name="??????? 5 15" xfId="262" xr:uid="{EC7FCE75-0F1C-4E44-B087-32D3531D9871}"/>
    <cellStyle name="??????? 5 16" xfId="263" xr:uid="{9496C505-423E-47DB-AFAF-83B7E9544405}"/>
    <cellStyle name="??????? 5 17" xfId="264" xr:uid="{3715D3CB-9435-4699-ABC3-506E2B1F3A00}"/>
    <cellStyle name="??????? 5 18" xfId="265" xr:uid="{41A66248-4207-484B-B35C-0CB408D9470E}"/>
    <cellStyle name="??????? 5 19" xfId="266" xr:uid="{D84D835C-05AF-4A27-B1E2-1348E14F28C0}"/>
    <cellStyle name="??????? 5 2" xfId="267" xr:uid="{D87C0D88-131C-41B4-B156-5F986E97E47A}"/>
    <cellStyle name="??????? 5 20" xfId="268" xr:uid="{CABF51B8-0FCB-46B9-8D84-64CDD4637EA5}"/>
    <cellStyle name="??????? 5 21" xfId="269" xr:uid="{DBD301E4-AF2B-4677-84B6-D33F6A862B54}"/>
    <cellStyle name="??????? 5 22" xfId="270" xr:uid="{998E9765-BC0D-4F7A-9B33-22413BC39897}"/>
    <cellStyle name="??????? 5 23" xfId="271" xr:uid="{5F547316-7054-46DE-B3D5-58CD2D14BCA7}"/>
    <cellStyle name="??????? 5 24" xfId="272" xr:uid="{44ED5298-FABC-406E-B382-A98F0F78892F}"/>
    <cellStyle name="??????? 5 25" xfId="273" xr:uid="{16CFD2DF-1832-4E10-BC8D-C5411AA9FDF1}"/>
    <cellStyle name="??????? 5 26" xfId="274" xr:uid="{CD241DA8-BE10-432A-AD15-305E33F9D059}"/>
    <cellStyle name="??????? 5 27" xfId="275" xr:uid="{0A6FB90E-9210-43D9-A53A-919C373E0779}"/>
    <cellStyle name="??????? 5 28" xfId="276" xr:uid="{4C25B686-8F2E-46F1-A288-E716886C1C6B}"/>
    <cellStyle name="??????? 5 3" xfId="277" xr:uid="{8FD38D8C-F456-414E-8117-DB94CFCBC84E}"/>
    <cellStyle name="??????? 5 4" xfId="278" xr:uid="{DC9E4784-9AA0-4724-9D9F-4685AB28516E}"/>
    <cellStyle name="??????? 5 5" xfId="279" xr:uid="{B85A5906-201A-4D35-9A1D-2F13CF796CC1}"/>
    <cellStyle name="??????? 5 6" xfId="280" xr:uid="{BC6155D6-81D6-492D-B190-E99F56B95841}"/>
    <cellStyle name="??????? 5 7" xfId="281" xr:uid="{FF4F6068-B51E-40A4-8BAA-740F2E2121EF}"/>
    <cellStyle name="??????? 5 8" xfId="282" xr:uid="{C612E4F0-BBDF-4DF2-87B9-B9C24EF895BE}"/>
    <cellStyle name="??????? 5 9" xfId="283" xr:uid="{EA2FB569-98C3-434C-A48B-F6453FF1E8E0}"/>
    <cellStyle name="??????? 6" xfId="284" xr:uid="{5860E2A5-1AE3-460D-8358-9C89B4FBFB60}"/>
    <cellStyle name="???????_x0004_ 6" xfId="285" xr:uid="{DE19A1C8-D09F-491E-8E9E-27DD59D72E30}"/>
    <cellStyle name="??????? 6 10" xfId="286" xr:uid="{BD8F0A56-C497-4421-8A63-BC4C6F9E6ED1}"/>
    <cellStyle name="??????? 6 11" xfId="287" xr:uid="{40FE9A8B-1C95-447F-A7B4-1F0C0A837356}"/>
    <cellStyle name="??????? 6 12" xfId="288" xr:uid="{EF19F99A-755E-4714-8334-641A3ECD6E62}"/>
    <cellStyle name="??????? 6 13" xfId="289" xr:uid="{0D2CB3D2-87F7-4C31-8080-D435D4810A17}"/>
    <cellStyle name="??????? 6 14" xfId="290" xr:uid="{7DE6A9B3-0E7E-4247-8AD4-A4A7B14E3787}"/>
    <cellStyle name="??????? 6 15" xfId="291" xr:uid="{A6DA6144-85F2-43D8-81FC-85767702811D}"/>
    <cellStyle name="??????? 6 16" xfId="292" xr:uid="{42C76C0F-19E0-42B4-9571-35EA1D8AE583}"/>
    <cellStyle name="??????? 6 17" xfId="293" xr:uid="{B9F21AAE-CF64-4A67-804A-5F832A3E3BB7}"/>
    <cellStyle name="??????? 6 18" xfId="294" xr:uid="{6F412296-6392-4806-A09E-52FE1780B235}"/>
    <cellStyle name="??????? 6 19" xfId="295" xr:uid="{03342BB8-2D6F-4DA9-A36E-D41340E10C90}"/>
    <cellStyle name="??????? 6 2" xfId="296" xr:uid="{545C9ACB-93CE-4120-BB9D-6A589F986628}"/>
    <cellStyle name="??????? 6 20" xfId="297" xr:uid="{FA4BA3A8-161E-4ABE-8193-67530EE339D6}"/>
    <cellStyle name="??????? 6 21" xfId="298" xr:uid="{1DDB5ACD-245F-4AB3-841C-165884C89B22}"/>
    <cellStyle name="??????? 6 22" xfId="299" xr:uid="{1DCC8AA5-C1F6-47AB-B640-862C8D018659}"/>
    <cellStyle name="??????? 6 23" xfId="300" xr:uid="{0EC8E025-CB93-4B86-AA4B-BF4BE743D126}"/>
    <cellStyle name="??????? 6 24" xfId="301" xr:uid="{8DA24663-065E-4F14-8FE2-8211B82AD03C}"/>
    <cellStyle name="??????? 6 25" xfId="302" xr:uid="{9514F0C8-1CFC-44D3-995C-D2BADBAB1D01}"/>
    <cellStyle name="??????? 6 26" xfId="303" xr:uid="{17236BCF-0DB6-472F-A549-A865DAE27497}"/>
    <cellStyle name="??????? 6 27" xfId="304" xr:uid="{80168D7D-1793-40EF-B261-EDFC4E0370C0}"/>
    <cellStyle name="??????? 6 28" xfId="305" xr:uid="{3D5446FA-B2F9-4989-9E4E-3D0690F07045}"/>
    <cellStyle name="??????? 6 3" xfId="306" xr:uid="{C23C4C3A-FB44-4688-8E0B-D1C26FE16A05}"/>
    <cellStyle name="??????? 6 4" xfId="307" xr:uid="{59C9AE14-1EFB-4FF5-A36B-9ED31720AA5D}"/>
    <cellStyle name="??????? 6 5" xfId="308" xr:uid="{1AD637A6-38F1-4949-9374-E537DEBFC990}"/>
    <cellStyle name="??????? 6 6" xfId="309" xr:uid="{240E9459-ACDF-41C7-9ECE-A1F7C43A012E}"/>
    <cellStyle name="??????? 6 7" xfId="310" xr:uid="{651DDAFD-E5D9-46B3-BCFB-355EE6FD65B0}"/>
    <cellStyle name="??????? 6 8" xfId="311" xr:uid="{871BCE0C-10CC-4BA6-B1DF-331290A94491}"/>
    <cellStyle name="??????? 6 9" xfId="312" xr:uid="{279FD4F1-3BB4-4773-80DD-53126BFDF2A7}"/>
    <cellStyle name="??????? 7" xfId="313" xr:uid="{0739AF87-DDDB-47F5-81F2-847025FC1807}"/>
    <cellStyle name="???????_x0004_ 7" xfId="314" xr:uid="{62A5024C-02DD-45EE-B4AC-54CAFFD8AB44}"/>
    <cellStyle name="??????? 7 10" xfId="315" xr:uid="{B81C6A95-29D3-45FC-955F-9BDF7FABA68B}"/>
    <cellStyle name="??????? 7 11" xfId="316" xr:uid="{12376E7F-9C8B-46E8-AC15-D16A8349C9E4}"/>
    <cellStyle name="??????? 7 12" xfId="317" xr:uid="{1DE68571-7827-4568-881E-DB95B4734486}"/>
    <cellStyle name="??????? 7 13" xfId="318" xr:uid="{E3C9AD4F-1940-46F6-AB23-3E71D1DBA9AB}"/>
    <cellStyle name="??????? 7 14" xfId="319" xr:uid="{DB52B60D-9C3D-4401-AD57-483DE3D243D7}"/>
    <cellStyle name="??????? 7 15" xfId="320" xr:uid="{6D646224-DDE1-401B-A396-BC4D39CA39D3}"/>
    <cellStyle name="??????? 7 16" xfId="321" xr:uid="{E932146F-D5BF-4B74-BA68-F16B35C29820}"/>
    <cellStyle name="??????? 7 17" xfId="322" xr:uid="{C2001FA2-9621-46EB-8C0C-5FD0375764EE}"/>
    <cellStyle name="??????? 7 18" xfId="323" xr:uid="{2A33803B-0190-48CF-A256-17BE64D7D624}"/>
    <cellStyle name="??????? 7 19" xfId="324" xr:uid="{E700DAD8-8AF4-4098-92CC-EB2917B03780}"/>
    <cellStyle name="??????? 7 2" xfId="325" xr:uid="{4339073A-2549-4201-A2FF-06ACE02FAFEC}"/>
    <cellStyle name="??????? 7 20" xfId="326" xr:uid="{67BF0CEC-01E8-4978-91D5-D245C40D6525}"/>
    <cellStyle name="??????? 7 21" xfId="327" xr:uid="{1C23410E-6A02-4BC5-B928-E669F27E6DC6}"/>
    <cellStyle name="??????? 7 22" xfId="328" xr:uid="{D19DDD3D-8B5B-431D-A968-B75EA5261FAE}"/>
    <cellStyle name="??????? 7 23" xfId="329" xr:uid="{40A7F81E-BFC3-487A-812C-64EFA966C6FE}"/>
    <cellStyle name="??????? 7 24" xfId="330" xr:uid="{E9E9DD30-DDC5-4FF9-8557-6B26D30570F4}"/>
    <cellStyle name="??????? 7 25" xfId="331" xr:uid="{54D2B120-43F6-4075-BA8E-AC6B592F576A}"/>
    <cellStyle name="??????? 7 26" xfId="332" xr:uid="{4C34962D-C8F7-4788-8ABD-1A35E71C6DF9}"/>
    <cellStyle name="??????? 7 3" xfId="333" xr:uid="{2C0C5295-8652-4BAE-8FA9-70D5AFA834B8}"/>
    <cellStyle name="??????? 7 4" xfId="334" xr:uid="{F03C1489-338B-4D97-BC90-03272E7F949D}"/>
    <cellStyle name="??????? 7 5" xfId="335" xr:uid="{40D768EF-D95F-4FC0-B5CC-54F08CD68090}"/>
    <cellStyle name="??????? 7 6" xfId="336" xr:uid="{4C0574CD-9036-4182-88B2-4F08F17E0975}"/>
    <cellStyle name="??????? 7 7" xfId="337" xr:uid="{96A3B044-5006-43E5-853E-2B107C793645}"/>
    <cellStyle name="??????? 7 8" xfId="338" xr:uid="{1CC6B85A-42DD-4A95-A202-34280D1BB491}"/>
    <cellStyle name="??????? 7 9" xfId="339" xr:uid="{CE95899D-9EB8-4652-883A-29D38F9BC77A}"/>
    <cellStyle name="??????? 8" xfId="340" xr:uid="{3114CB46-62F5-4DB5-9EB3-0F2F7BD1B869}"/>
    <cellStyle name="???????_x0004_ 8" xfId="341" xr:uid="{D0CB887C-C37B-40BC-B44F-852EA85FE589}"/>
    <cellStyle name="??????? 8 10" xfId="342" xr:uid="{68F8A53B-8579-4BE9-A11B-4D155705F472}"/>
    <cellStyle name="??????? 8 11" xfId="343" xr:uid="{077FFA84-4DBB-4D9F-83BE-7DFA17337576}"/>
    <cellStyle name="??????? 8 12" xfId="344" xr:uid="{190F8886-9016-4836-8856-788750BFDCDB}"/>
    <cellStyle name="??????? 8 13" xfId="345" xr:uid="{6FE601EE-5C1C-4C43-9592-35F2FBDE61E8}"/>
    <cellStyle name="??????? 8 14" xfId="346" xr:uid="{04195FDA-FC95-4E2F-A366-35F6DB4FD316}"/>
    <cellStyle name="??????? 8 15" xfId="347" xr:uid="{1A8E84F4-A470-4C89-8F9C-E8163FE73082}"/>
    <cellStyle name="??????? 8 16" xfId="348" xr:uid="{E1458042-F682-43DD-BE7B-F37767DF7D68}"/>
    <cellStyle name="??????? 8 17" xfId="349" xr:uid="{D5CCD3B5-A30A-4672-80DB-97454DF42D2D}"/>
    <cellStyle name="??????? 8 18" xfId="350" xr:uid="{7A6E7FC8-3886-46CB-B446-A6B987A5708F}"/>
    <cellStyle name="??????? 8 19" xfId="351" xr:uid="{542C017A-F225-406A-9369-2EC2D76AF1ED}"/>
    <cellStyle name="??????? 8 2" xfId="352" xr:uid="{EF58FC49-4992-4FCC-86DC-5AA7E9C82D90}"/>
    <cellStyle name="??????? 8 20" xfId="353" xr:uid="{ECE5CF44-60A7-42DE-A6A5-9C1AB6FF476F}"/>
    <cellStyle name="??????? 8 21" xfId="354" xr:uid="{81686EE7-7CCA-4B79-A50B-6297E496CDA7}"/>
    <cellStyle name="??????? 8 22" xfId="355" xr:uid="{EE873231-5D0D-4F1B-9213-13436A8F1FEB}"/>
    <cellStyle name="??????? 8 23" xfId="356" xr:uid="{C2B5684F-9133-4BC8-B923-7248107E080F}"/>
    <cellStyle name="??????? 8 24" xfId="357" xr:uid="{ACDE615C-E7F5-46F5-A602-3C1BBC29CDC4}"/>
    <cellStyle name="??????? 8 25" xfId="358" xr:uid="{1C6688C6-F43D-48BD-8F59-C8462CA091CE}"/>
    <cellStyle name="??????? 8 26" xfId="359" xr:uid="{5E79833E-8C23-4A22-A5CE-83A74075A5BE}"/>
    <cellStyle name="??????? 8 3" xfId="360" xr:uid="{7B26FA74-1C61-4BCD-B968-EA0C8C8756CF}"/>
    <cellStyle name="??????? 8 4" xfId="361" xr:uid="{0782174B-EC07-44A7-AD40-601F6E12D8FA}"/>
    <cellStyle name="??????? 8 5" xfId="362" xr:uid="{7F7E612D-3749-4EFE-AD3B-50B24B3ABFFC}"/>
    <cellStyle name="??????? 8 6" xfId="363" xr:uid="{301419CD-A1DC-4615-8FF1-035E012692C5}"/>
    <cellStyle name="??????? 8 7" xfId="364" xr:uid="{FF2BF3BE-606C-4826-B27D-155A02D6A087}"/>
    <cellStyle name="??????? 8 8" xfId="365" xr:uid="{ABA66E85-75C8-41E6-8408-B421063897F9}"/>
    <cellStyle name="??????? 8 9" xfId="366" xr:uid="{566A01F4-996E-4A37-A291-BB9E2139EDB2}"/>
    <cellStyle name="??????? 9" xfId="367" xr:uid="{1CE4CCDF-F219-4B26-AB1C-4CE6452D417F}"/>
    <cellStyle name="???????_x0004_ 9" xfId="368" xr:uid="{70AD71FE-CD96-4376-8432-5FD39038CB48}"/>
    <cellStyle name="??????? 9 10" xfId="369" xr:uid="{2FED7CF2-FEC5-42F4-A64E-E4DE51789CD8}"/>
    <cellStyle name="??????? 9 11" xfId="370" xr:uid="{F1DCF7D8-CD6D-4D12-84A6-D3D1F949E05D}"/>
    <cellStyle name="??????? 9 12" xfId="371" xr:uid="{07E5AD0F-31B3-4887-B430-1C38FF8B10CD}"/>
    <cellStyle name="??????? 9 13" xfId="372" xr:uid="{77CE66B4-8186-41BF-A3E9-24FFBCFFB501}"/>
    <cellStyle name="??????? 9 14" xfId="373" xr:uid="{4906DD43-F29E-48C8-9695-26CC5A653FE4}"/>
    <cellStyle name="??????? 9 15" xfId="374" xr:uid="{2D0D8B23-EC7D-4728-B004-2CB09E1A028C}"/>
    <cellStyle name="??????? 9 16" xfId="375" xr:uid="{17E8E48F-2E16-4303-BAA2-4C6F278BACF4}"/>
    <cellStyle name="??????? 9 17" xfId="376" xr:uid="{8C1DEDD4-726F-47E4-A4C6-DA6F075C8AA0}"/>
    <cellStyle name="??????? 9 18" xfId="377" xr:uid="{D7ADBB82-7044-4A4A-B7DB-4C4E4DC81994}"/>
    <cellStyle name="??????? 9 19" xfId="378" xr:uid="{80057850-91DE-406C-8DA1-3D08D32E49F4}"/>
    <cellStyle name="??????? 9 2" xfId="379" xr:uid="{1DD99796-8287-4099-B954-41BFD7271C88}"/>
    <cellStyle name="??????? 9 20" xfId="380" xr:uid="{C2E98CFC-909D-483D-985E-902E6B1A2A2D}"/>
    <cellStyle name="??????? 9 21" xfId="381" xr:uid="{D283263A-F1C2-4B72-AEB3-669DF8F13C05}"/>
    <cellStyle name="??????? 9 22" xfId="382" xr:uid="{2817976B-DEA0-41EC-BB62-304C5E53FA7B}"/>
    <cellStyle name="??????? 9 23" xfId="383" xr:uid="{C51886CF-17BC-45DC-91BF-6A82E88BF171}"/>
    <cellStyle name="??????? 9 24" xfId="384" xr:uid="{41F2C2EB-C8E5-4D35-9ADC-1E7EBF97670D}"/>
    <cellStyle name="??????? 9 25" xfId="385" xr:uid="{4C62378D-507B-45DD-BF60-62B7447A4050}"/>
    <cellStyle name="??????? 9 26" xfId="386" xr:uid="{7C2024E2-FB61-497E-9693-6BD175438FCA}"/>
    <cellStyle name="??????? 9 3" xfId="387" xr:uid="{C3F0EDB5-1565-4EFF-B20F-9A2AE7B986A9}"/>
    <cellStyle name="??????? 9 4" xfId="388" xr:uid="{316FDEA5-9E60-4BB1-90CE-FB9A7F07976C}"/>
    <cellStyle name="??????? 9 5" xfId="389" xr:uid="{55383957-81DC-4518-9BAB-69AF2C0207CA}"/>
    <cellStyle name="??????? 9 6" xfId="390" xr:uid="{383324F3-9DC0-4E95-876B-4D599CB52CA5}"/>
    <cellStyle name="??????? 9 7" xfId="391" xr:uid="{6A6FE5EA-BABF-4C32-8641-C9EA86024826}"/>
    <cellStyle name="??????? 9 8" xfId="392" xr:uid="{77AFAC76-6B4A-4665-A566-49A32D87F17B}"/>
    <cellStyle name="??????? 9 9" xfId="393" xr:uid="{EB2F8BFE-E343-4E4F-B409-6E8FD14332FF}"/>
    <cellStyle name="????????" xfId="394" xr:uid="{D087E295-53EA-4F1F-989F-00149F8CB80A}"/>
    <cellStyle name="???????? ?????" xfId="395" xr:uid="{6B566DFC-69BD-438E-AFB9-E123311E8C7B}"/>
    <cellStyle name="???????? ????? 2" xfId="396" xr:uid="{AF30AE78-3733-4678-A4A1-20551FCD16B7}"/>
    <cellStyle name="?????????" xfId="397" xr:uid="{9DB75D65-5102-4A7F-8DC3-94ECE16C8232}"/>
    <cellStyle name="?????????(?v=N" xfId="398" xr:uid="{56D658DC-B0D9-4CCA-96B8-C76A446F2037}"/>
    <cellStyle name="?????????? [0]_Pricing file SV#2,SV#3+price_increase" xfId="399" xr:uid="{F0DF8E7A-6B93-402F-A5B1-73AEAD711BC6}"/>
    <cellStyle name="????????????" xfId="400" xr:uid="{FCC903DE-F539-4FA8-945E-1451DBE76D9A}"/>
    <cellStyle name="????????????_x000f_" xfId="401" xr:uid="{A6A8F1E2-A737-4555-9E63-57C021BD99B5}"/>
    <cellStyle name="???????????? 2" xfId="402" xr:uid="{6DE20A21-CBED-48D6-A781-8A2D0987BBEB}"/>
    <cellStyle name="???????????? 2 2" xfId="403" xr:uid="{15F37EA4-3C35-4CC7-9F2A-C3210E127285}"/>
    <cellStyle name="???????????? 3" xfId="404" xr:uid="{1D2DA1AC-9255-4546-A997-D4680205AD26}"/>
    <cellStyle name="???????????? 3 2" xfId="405" xr:uid="{60F30212-E20C-40F8-906A-9BB0357BFBD9}"/>
    <cellStyle name="???????????? 4" xfId="406" xr:uid="{811E6036-8582-4868-AE4F-B14EA6F210DB}"/>
    <cellStyle name="???????????? 5" xfId="407" xr:uid="{417B41F1-64D1-4F07-8BCE-6CE6F50721E0}"/>
    <cellStyle name="???????????? 6" xfId="408" xr:uid="{F5E28B15-1758-48A4-B181-3D336295865B}"/>
    <cellStyle name="???????????? 7" xfId="409" xr:uid="{9199076A-68A1-4D71-8B58-E0339C691664}"/>
    <cellStyle name="???????????? Change1.5.1" xfId="410" xr:uid="{36809B6A-B6EC-426D-933B-54FE27EC3ADE}"/>
    <cellStyle name="???????????? Change1.5.1 2" xfId="411" xr:uid="{48581A3A-1FE8-48D5-BD30-7DC2991329F7}"/>
    <cellStyle name="???????????? Change1.5.1 2 2" xfId="412" xr:uid="{4F36FF0C-99B8-4857-A04A-2BECFF90E39D}"/>
    <cellStyle name="???????????? Change1.5.1 2 2 2" xfId="413" xr:uid="{0E947247-B6B1-4323-9315-3F7B4B9EEAC7}"/>
    <cellStyle name="???????????? Change1.5.1 2 3" xfId="414" xr:uid="{83336B3D-289F-4B48-89C8-BAE25E005181}"/>
    <cellStyle name="???????????? Change1.5.1 2 4" xfId="415" xr:uid="{49DE4C09-4693-405C-9061-97CE27BEC272}"/>
    <cellStyle name="???????????? Change1.5.1 2 5" xfId="416" xr:uid="{7EB46F24-69BF-4AF3-9060-E0D5CE635114}"/>
    <cellStyle name="???????????? Change1.5.1 3" xfId="417" xr:uid="{EDE0F723-0AD5-4A0D-A8CE-D6360C13CAEE}"/>
    <cellStyle name="???????????? Change1.5.1 3 2" xfId="418" xr:uid="{1C4C71DE-DD08-4B33-BDE8-7CE58C750E96}"/>
    <cellStyle name="???????????? Change1.5.1 3 3" xfId="419" xr:uid="{AD4C8DED-49CA-4060-9987-0CA6C55B610A}"/>
    <cellStyle name="???????????? Change1.5.1 4" xfId="420" xr:uid="{A11D0558-94BF-4CE3-AA33-9B70D8F247AC}"/>
    <cellStyle name="???????????? Change1.5.1 5" xfId="421" xr:uid="{DD479087-DCD1-4A34-A8EC-AC328D700BBD}"/>
    <cellStyle name="???????????? Change1.5.1 6" xfId="422" xr:uid="{008C79B2-424F-400A-B75F-BB59E9DD05C8}"/>
    <cellStyle name="???????????? Change1.5.1_Fcst#2　FY13台数諸元表13 9 19" xfId="423" xr:uid="{F94E18B9-047D-43AB-BD1E-54F077F5925F}"/>
    <cellStyle name="??????????????)ÿ_x0007_" xfId="424" xr:uid="{115AEA1D-E0E1-492E-8B7D-A23CA871E81E}"/>
    <cellStyle name="??????????????)ÿ_x0007_ 2" xfId="425" xr:uid="{0015A5B8-9311-4221-9D0A-2A2648FF5B4F}"/>
    <cellStyle name="????????????????? [0]_TAI_BP05-08" xfId="426" xr:uid="{D013A520-2579-47CB-92F3-BC4A491C2062}"/>
    <cellStyle name="???????????????????" xfId="427" xr:uid="{35636794-9C0E-4E28-B2CA-B9044ECDF78F}"/>
    <cellStyle name="?????????????????????????" xfId="428" xr:uid="{0A29114F-7D67-4CE8-BAA8-DA77F5C00905}"/>
    <cellStyle name="?????????????????_CostControlAnalisys" xfId="429" xr:uid="{24AE805D-C0A9-43D2-BFAE-AAB3C5DBBCC1}"/>
    <cellStyle name="????????????_【0126】No.1 FY10 Q3YTD" xfId="430" xr:uid="{8817D5C9-FC0B-4611-9529-653712613E91}"/>
    <cellStyle name="????????????-21-2002 fro" xfId="431" xr:uid="{E7491BE5-E052-44D7-873D-26825B3542EA}"/>
    <cellStyle name="????????????-21-2002 fro 2" xfId="432" xr:uid="{BE80FE07-F616-48D2-AD8B-082BCD7B2CB1}"/>
    <cellStyle name="????????????ard Value Ta" xfId="433" xr:uid="{AED74363-454D-4BDF-8F5B-48B062B1FC69}"/>
    <cellStyle name="????????????AT" xfId="434" xr:uid="{FBC0ACF4-79B1-4A8D-A3A7-2B9E5758E0B2}"/>
    <cellStyle name="????????????B)h1_1artsry" xfId="435" xr:uid="{98A795E8-C177-4FA8-831A-C76E92C8014D}"/>
    <cellStyle name="????????????esolume 02A3" xfId="436" xr:uid="{C72B8832-F342-4F9A-894D-32B8FC3FC2F5}"/>
    <cellStyle name="????????????ffitems.log" xfId="437" xr:uid="{6894081C-858F-4ADD-97B4-9C96C0449496}"/>
    <cellStyle name="????????????ge Details1c" xfId="438" xr:uid="{AB57E00B-2617-412F-BDB3-D912F7291341}"/>
    <cellStyle name="????????????le" xfId="439" xr:uid="{E1CA499A-175F-478E-9E15-614EE83F4A29}"/>
    <cellStyle name="????????????n_Report for" xfId="440" xr:uid="{F6E4C002-7FE1-4661-812C-D2A2ABA6DEF6}"/>
    <cellStyle name="????????????nalysission " xfId="441" xr:uid="{1B54A06A-010D-40D0-A0FE-5C17AF27C4DD}"/>
    <cellStyle name="????????????NOTEINNOTEOT" xfId="442" xr:uid="{6CAD73FF-03E0-44C9-8565-3145B4EF9DDB}"/>
    <cellStyle name="????????????NOTEINNOTEOT 2" xfId="443" xr:uid="{3922F7AE-7D85-4EA8-B423-A556303EAF21}"/>
    <cellStyle name="????????????NOTEINNOTEOT 2 2" xfId="444" xr:uid="{12CE701C-F017-44F2-8C67-A632BF763EE0}"/>
    <cellStyle name="????????????NOTEWINNOTET" xfId="445" xr:uid="{8EC7C145-6CA3-4506-A10D-A6C2D3E8A4CC}"/>
    <cellStyle name="????????????NOTEWINNOTET 2" xfId="446" xr:uid="{99664D2F-3F16-41C3-B901-01728C006C51}"/>
    <cellStyle name="????????????NOTEWINNOTEW" xfId="447" xr:uid="{F1C212CC-D447-4E7F-94A3-EC02B3B40651}"/>
    <cellStyle name="????????????sfer to RNPO" xfId="448" xr:uid="{0DA4A8E4-6D82-4661-9CA8-451661E00CC8}"/>
    <cellStyle name="????????????t??c Change " xfId="449" xr:uid="{01BE9295-5A04-462F-A740-127EB7984973}"/>
    <cellStyle name="????????????VC (2))VC (2" xfId="450" xr:uid="{D776DA67-19B0-4773-A663-B62964539FE6}"/>
    <cellStyle name="????????????ycountNNOTEW" xfId="451" xr:uid="{D514F0C4-F8F1-497E-A55B-F8568AD83A54}"/>
    <cellStyle name="????????????ycountNNOTEW 2" xfId="452" xr:uid="{6FD81F8A-DB4D-4FCA-AD00-3B7B0AA6A2E0}"/>
    <cellStyle name="??????????_FILE VIVA CIS R51 Jul 2006" xfId="453" xr:uid="{AD5B9882-1DA9-4B24-8D03-FE1304F52071}"/>
    <cellStyle name="?????????_FY12 Forecast#2_AESC" xfId="454" xr:uid="{78F3D5BD-3A77-4CD7-9990-1DC284467724}"/>
    <cellStyle name="?????????WINNO" xfId="455" xr:uid="{F2D2106A-956E-4CD7-BB5E-5E1BFAE3E18A}"/>
    <cellStyle name="????????_FILE VIVA CIS R51 Jul 2006" xfId="456" xr:uid="{E7B3BBD8-75E6-4346-99EA-780C9F3090FB}"/>
    <cellStyle name="????????ÀWINNO" xfId="457" xr:uid="{3C389C56-DBD3-4B2A-8B39-4A4D15525356}"/>
    <cellStyle name="????????ÀWINNO 2" xfId="458" xr:uid="{42682FD1-1AAB-403E-B3B7-ED7B99199492}"/>
    <cellStyle name="????????È" xfId="459" xr:uid="{8D26C77C-3E8E-4376-96E3-C3C79EA29869}"/>
    <cellStyle name="????????È 2" xfId="460" xr:uid="{F31C3B38-F447-4A40-B147-B4EBD01EE3F7}"/>
    <cellStyle name="????????ÈWINNO" xfId="461" xr:uid="{18DD0D37-ED40-4F6F-9500-878D6EE5B78A}"/>
    <cellStyle name="????????ÈWINNO 2" xfId="462" xr:uid="{A70BA195-85F9-4B1A-97DF-EA53811E5C72}"/>
    <cellStyle name="????????ÈWINNO 2 2" xfId="463" xr:uid="{A7BB6F87-9B8F-4757-B44B-C4CAC9DF1C20}"/>
    <cellStyle name="????????ﾀWINNO" xfId="464" xr:uid="{521F4664-0233-46AD-9B23-2467B436932A}"/>
    <cellStyle name="????????ﾀWINNO 2" xfId="465" xr:uid="{9261A5B6-0A62-4D78-8F71-F54EB7464EC1}"/>
    <cellStyle name="????????ﾈ7\off" xfId="466" xr:uid="{AA9BBE81-3B53-4C4F-89CD-6A9CDA79DB70}"/>
    <cellStyle name="???????_#7展開會合計50916" xfId="467" xr:uid="{6A230545-D07D-497A-B55E-32FB372DA8B1}"/>
    <cellStyle name="???????Definit" xfId="468" xr:uid="{1C08D264-4591-4C54-B878-45620E129B01}"/>
    <cellStyle name="???????IT COST" xfId="469" xr:uid="{73DFC7A0-A4F1-499A-9EB9-2A33E155C64A}"/>
    <cellStyle name="???????IT COST 2" xfId="470" xr:uid="{60A6E19E-596F-46EE-89C2-18E9A58A00EC}"/>
    <cellStyle name="???????nkHyper" xfId="471" xr:uid="{B58A0189-849E-464B-B745-BAD567D291F5}"/>
    <cellStyle name="???????ructure" xfId="472" xr:uid="{B905FB01-32C9-46E1-9C35-842836650F26}"/>
    <cellStyle name="???????uscodes" xfId="473" xr:uid="{5EF343CE-2521-4874-B48D-409BA1176A0D}"/>
    <cellStyle name="???????uscodes 2" xfId="474" xr:uid="{51B49669-16F3-4DE2-AD71-6C0B4DBC4BA3}"/>
    <cellStyle name="???????uscodes 3" xfId="475" xr:uid="{640164BB-B442-4692-8587-C349FBD9D5D2}"/>
    <cellStyle name="???????uscodes 4" xfId="476" xr:uid="{D866CFB1-0277-43FA-A294-906437CB764A}"/>
    <cellStyle name="???????usmixes" xfId="477" xr:uid="{FF209C85-242F-41FC-9C6E-367B303C6C71}"/>
    <cellStyle name="???????XX vs a" xfId="478" xr:uid="{509659EF-982F-4050-ADAB-4E7FBE4F26DE}"/>
    <cellStyle name="?????_?? " xfId="479" xr:uid="{E40E9B9E-904F-4472-BFC6-07621BDAD3B1}"/>
    <cellStyle name="????_?? " xfId="480" xr:uid="{AF001FF7-E7C2-412F-8FC8-D6CE7F121C52}"/>
    <cellStyle name="???_?? " xfId="481" xr:uid="{3FBCF4C6-D91F-4F25-8106-07540E8D3132}"/>
    <cellStyle name="???­_°¡°ø??°? " xfId="482" xr:uid="{A53917BB-8BB5-4CE1-BDD6-009955B653BD}"/>
    <cellStyle name="???¶_°???" xfId="483" xr:uid="{A3A4DFA2-4074-4B77-919C-5AAE8DB89B3F}"/>
    <cellStyle name="???・・???????_x000f_" xfId="484" xr:uid="{993BDCE2-A7CF-479B-B681-5BEB3F20F5AB}"/>
    <cellStyle name="???F [0.00]_~0034010_ana" xfId="485" xr:uid="{40BD3EA4-5363-4AD5-AAB7-CF63FDF2845C}"/>
    <cellStyle name="???F_~0034010_ana" xfId="486" xr:uid="{8155F549-CE6B-4C79-A7C2-5C1E4B869D84}"/>
    <cellStyle name="???Ø_¸???.¼??? " xfId="487" xr:uid="{2B8B4C18-12AF-4763-A715-00A6624E12B6}"/>
    <cellStyle name="???ｷｷ???????nalysission " xfId="488" xr:uid="{8B7A22E6-3606-42CA-B5E7-46B72B2D5FD4}"/>
    <cellStyle name="??_ Variance Costel" xfId="489" xr:uid="{9FA5CB30-ACF1-4BC4-9384-064ADE4EC81B}"/>
    <cellStyle name="??h?_Jato1.6" xfId="490" xr:uid="{02230479-D4C9-4EBE-B8E2-1F8C13AB18DA}"/>
    <cellStyle name="??a??e [0.00]_?K?,T?I?xlsTE" xfId="491" xr:uid="{B0BE3622-13F6-4C6F-9386-C09D8D3590FB}"/>
    <cellStyle name="??a??e_?K?,T?I?xlsytionssTE" xfId="492" xr:uid="{A95A7BCA-C23A-4D88-B828-372769D7B01B}"/>
    <cellStyle name="??Y [0.00]_Ladder Report" xfId="493" xr:uid="{681507AE-248B-44D4-81F6-9BEC7D087D28}"/>
    <cellStyle name="??Y_Ladder Report" xfId="494" xr:uid="{EF8E8220-2ACD-4BD0-9D41-6B2638D31EC8}"/>
    <cellStyle name="?@??Book1" xfId="495" xr:uid="{938D0CE1-9B29-4017-B285-171AE168DC3C}"/>
    <cellStyle name="?@??Book1 2" xfId="496" xr:uid="{1B00065C-A97F-41AD-97D6-2BF8EBC5195A}"/>
    <cellStyle name="?@??Book1 2 2" xfId="497" xr:uid="{C281D788-7213-4F2F-8E4F-98DBDBCC09FE}"/>
    <cellStyle name="?@??Book1 3" xfId="498" xr:uid="{149B1C83-B9A5-479E-889C-05AB0EFE68D3}"/>
    <cellStyle name="?@??Cefiro" xfId="499" xr:uid="{92156F37-64B6-4B6C-801B-D2CDBFF30ACA}"/>
    <cellStyle name="?@??E18639" xfId="500" xr:uid="{5D0D80A7-616B-4790-8E3F-59DB5D73ADB7}"/>
    <cellStyle name="?@??E18639 2" xfId="501" xr:uid="{B938ABAA-FE36-4637-842E-CFF8D1552329}"/>
    <cellStyle name="?@??E18639 2 2" xfId="502" xr:uid="{D38A6FD7-49A2-474D-BD8B-99A4BAC73ABF}"/>
    <cellStyle name="?@??E18639 3" xfId="503" xr:uid="{F43710A1-8F50-4361-8AA4-3CC578A26CAC}"/>
    <cellStyle name="?@??M" xfId="504" xr:uid="{7E4F9DF3-9C76-42A7-A623-39D81612D8C1}"/>
    <cellStyle name="?@??M segment" xfId="505" xr:uid="{5158DD90-83B1-4C4F-994C-A6A8EE938A9E}"/>
    <cellStyle name="?@??P186_001213EUR" xfId="506" xr:uid="{3AEB45FE-7B74-47CF-B6CD-C7687E74C89D}"/>
    <cellStyle name="?@??P4TR1_1219carunit" xfId="507" xr:uid="{1842A4D6-0E64-4B3D-B0CE-5CE287507800}"/>
    <cellStyle name="?@??S" xfId="508" xr:uid="{76298C9E-642E-4BC5-B5D6-4A6CAB6E8A6A}"/>
    <cellStyle name="?@??S segment" xfId="509" xr:uid="{1ADB2243-86CF-4ED5-9431-68323EBB097E}"/>
    <cellStyle name="?@??SS" xfId="510" xr:uid="{9FE4A1FC-E1DF-43B7-8B84-B318DC2898BA}"/>
    <cellStyle name="?@??tZR_39_KV1010219" xfId="511" xr:uid="{2027046A-9C49-4155-BFA2-C0B5366E6F65}"/>
    <cellStyle name="?@?·Cefiro" xfId="512" xr:uid="{FE247A38-2DFD-407B-B5A1-AE870C8781D5}"/>
    <cellStyle name="?@?·M" xfId="513" xr:uid="{F07B7901-4ED2-4925-A328-FD7724CDFBC7}"/>
    <cellStyle name="?@?·M segment" xfId="514" xr:uid="{1EE10FF3-A8E4-4818-AB59-E9E5FE5F0646}"/>
    <cellStyle name="?@?·S" xfId="515" xr:uid="{86A69C1B-7FF3-4314-B338-548F7A99125A}"/>
    <cellStyle name="?@?·S segment" xfId="516" xr:uid="{FE6A0FDA-8B4B-4CED-B505-B1A6C2ECD03F}"/>
    <cellStyle name="?@?·SS" xfId="517" xr:uid="{0AFA7DBA-8B9A-48C0-81D2-461BE2CAE3A0}"/>
    <cellStyle name="?@?ECefiro" xfId="518" xr:uid="{BDE290A4-8129-4AFD-8180-E37BAFCE77CB}"/>
    <cellStyle name="?@?EM" xfId="519" xr:uid="{DBA54C35-74DC-469D-AC0F-DB87015FF2D6}"/>
    <cellStyle name="?@?EM segment" xfId="520" xr:uid="{0F09A20E-7F50-4D0F-83D1-57F6A6C9FF21}"/>
    <cellStyle name="?@?ES" xfId="521" xr:uid="{6BC8A4A2-C2AD-4F8F-AEC9-BFE0980B1D19}"/>
    <cellStyle name="?@?ES segment" xfId="522" xr:uid="{BAF77FA2-82BB-49D4-986D-D6344890AB7A}"/>
    <cellStyle name="?@?ESS" xfId="523" xr:uid="{506378CA-0CCB-4350-A627-E74FC1EE41F8}"/>
    <cellStyle name="?\????????n?C?p????“?N" xfId="526" xr:uid="{250D133E-5FA6-4EF7-981B-3F4096BE645F}"/>
    <cellStyle name="?\??·?????n?C?p????“?N" xfId="527" xr:uid="{B7FF0885-BEF1-47BB-A8AD-1AE2C90AFAC9}"/>
    <cellStyle name="?\??・?????n?C?pー???“?N" xfId="528" xr:uid="{FFE432CC-EC56-46B3-93E0-FC036089E1F2}"/>
    <cellStyle name="?\??・?????n?C?pー???“?N 2" xfId="529" xr:uid="{B36AF927-B5BA-4664-AAD5-02BC211A5CBB}"/>
    <cellStyle name="?\??・?????n?C?pー???“?N 2 2" xfId="530" xr:uid="{56C50B24-4876-4E1E-AA6C-BCB05B8FEB75}"/>
    <cellStyle name="?\??・?????n?C?pー???“?N 2 3" xfId="531" xr:uid="{721BDC39-02EB-4415-A8D1-BBE692754945}"/>
    <cellStyle name="?\??・?????n?C?pー???“?N 2 4" xfId="532" xr:uid="{C6141990-40AF-4824-8F90-8385358A4CE6}"/>
    <cellStyle name="?\??・?????n?C?pー???“?N 3" xfId="533" xr:uid="{E2A2A78F-D86B-4E00-89C6-683F6701589A}"/>
    <cellStyle name="?\??・?????n?C?pー???“?N 3 2" xfId="534" xr:uid="{69A68CEA-5028-4483-A4E1-8AE8B0FCC347}"/>
    <cellStyle name="?\??・?????n?C?pー???“?N 3 3" xfId="535" xr:uid="{D919D163-9910-4619-ADFA-A0D1348642B2}"/>
    <cellStyle name="?\??E?????n?C?p[???g?N" xfId="536" xr:uid="{A53C0657-B5EB-4781-B576-A540A2D2817F}"/>
    <cellStyle name="?\??E?????n?C?p[???N" xfId="537" xr:uid="{8680E5F8-AB4F-4C0D-9B37-8BD5D17E9134}"/>
    <cellStyle name="?\?|??Y?I?n?C?p????“?N" xfId="538" xr:uid="{788E2A59-D9CB-48B9-B2CA-01AB736B9D4C}"/>
    <cellStyle name="?\?|I?Y?I?n?C?p[???g?N" xfId="539" xr:uid="{DAF36BC2-0CBD-4371-8819-E2F639B5A361}"/>
    <cellStyle name="?\?|巧?Y?I?n?C?pー???“?N" xfId="540" xr:uid="{10F33EE4-F7A7-4E9E-B456-16DB1A017CBE}"/>
    <cellStyle name="?\?|巧?Y?I?n?C?pー???“?N 2" xfId="541" xr:uid="{B8A519C3-0546-4AAB-AFF9-3335027A7611}"/>
    <cellStyle name="?\?|巧?Y?I?n?C?pー???“?N 3" xfId="542" xr:uid="{1D7849F2-57C0-41B4-BAA2-B8EEF9F8EE83}"/>
    <cellStyle name="?\?|巧・・?n?C?pー???“?N" xfId="543" xr:uid="{C04ABFF5-1C08-4756-A3C2-C4313F10A0C7}"/>
    <cellStyle name="?]Y [0.00]_Book1li" xfId="524" xr:uid="{810E7D7B-8055-421B-92C7-1ADBAAF9EB9E}"/>
    <cellStyle name="?]Y_Book1]_" xfId="525" xr:uid="{50CDCD06-A981-4946-986A-24585C6B7E79}"/>
    <cellStyle name="?·? [0]_????????aro" xfId="544" xr:uid="{063368E9-5C50-4EF7-9ADA-6B33C19B4AA4}"/>
    <cellStyle name="?·?_????????aro" xfId="545" xr:uid="{59884A4D-AFCB-4BAE-A5FA-F10B16745111}"/>
    <cellStyle name="?·a??e [0.00]_?K?,T?I?xlsTE" xfId="546" xr:uid="{C0B29E12-9B25-4158-B26F-E76B3187EE87}"/>
    <cellStyle name="?·a??e_?K?,T?I?xlsytionssTE" xfId="547" xr:uid="{E14774D0-96E2-451A-BFB6-EAD9AD955B0E}"/>
    <cellStyle name="?・? [0]_????????aro" xfId="548" xr:uid="{535F8A08-A945-414D-BA8F-640D7022FF5E}"/>
    <cellStyle name="?・?_????????aro" xfId="549" xr:uid="{10EAC2AC-7E55-4DFA-9037-DEC55A7A3160}"/>
    <cellStyle name="?・a??e [0.00]_?K段,TﾗI③xlsTE" xfId="550" xr:uid="{34DA78AB-EFFE-4E30-9606-A9984BCD7C2C}"/>
    <cellStyle name="?・a??e_Book1]_" xfId="551" xr:uid="{3ABC03BD-DF34-46A6-88B4-CF912D048EEA}"/>
    <cellStyle name="?…????? [0.00]_010829 Price and Mix check MM recontract average report" xfId="552" xr:uid="{3885A7BE-952B-4677-AF5E-7A4731F8656C}"/>
    <cellStyle name="?…?????_010829 Price and Mix check MM recontract average report" xfId="553" xr:uid="{69E39BAF-C85E-4FD0-9CB0-4C173FCDA7E5}"/>
    <cellStyle name="?…??・?? [0.00]_010829 Price and Mix check MM recontract average report" xfId="554" xr:uid="{D44DEFF7-0F70-477C-BD8C-466FFAC5FD0F}"/>
    <cellStyle name="?…??・??_010829 Price and Mix check MM recontract average report" xfId="555" xr:uid="{62A7109E-2098-4D2C-AF8C-70E58DC60059}"/>
    <cellStyle name="?…?a??e [0.00]_Book1" xfId="556" xr:uid="{93A9FD2B-DEC9-47C2-B948-13BFD25AC248}"/>
    <cellStyle name="?…?a??e_Book1" xfId="557" xr:uid="{E7D6049C-C65E-414F-9E89-33A7729AA5E9}"/>
    <cellStyle name="?…?a唇?e [0.00]_010829 Price and Mix check MM recontract average report" xfId="558" xr:uid="{4D61A112-3766-46FD-8E58-5D2E161AD3E9}"/>
    <cellStyle name="?…?a唇?e_010829 Price and Mix check MM recontract average report" xfId="559" xr:uid="{C4F8E435-A0AB-487B-87AA-F3F6D37E859D}"/>
    <cellStyle name="?…‹???‚? [0.00]_l200" xfId="560" xr:uid="{1A82EFB4-FCB7-49C5-BBBF-12BB789B9016}"/>
    <cellStyle name="?…‹???‚?_l200" xfId="561" xr:uid="{7851E41B-D3FF-4224-BB20-76862F2B2863}"/>
    <cellStyle name="?c??E?? [0.00]_currentKC GL" xfId="562" xr:uid="{7871E737-02DD-4FB5-8559-34CE182011D8}"/>
    <cellStyle name="?c??E??_currentKC GL" xfId="563" xr:uid="{7E31BDFC-5A75-496C-84CA-837F5EAF6895}"/>
    <cellStyle name="?c?aO?e [0.00]_Book1" xfId="564" xr:uid="{F163525C-124A-40CB-B51C-123094FF06F5}"/>
    <cellStyle name="?c?aO?e_Book1" xfId="565" xr:uid="{AA5D3AC9-BB46-4E71-BC0C-E03C0DA50125}"/>
    <cellStyle name="?Ea??e [0.00]_?Ki,T×IBxlsTE" xfId="566" xr:uid="{29DF5E63-3159-49DC-9457-BA6652F03B91}"/>
    <cellStyle name="?Ea??e_Ladder Report" xfId="567" xr:uid="{C35513A2-1897-4C27-B9A3-BB630854F37B}"/>
    <cellStyle name="?d????0]_anems_block_list186" xfId="568" xr:uid="{78957120-A644-4AC9-A70E-056386E79D15}"/>
    <cellStyle name="?d????anems_block_list186" xfId="569" xr:uid="{52EDDE28-E00C-43DE-9AAC-3FA45A3046D7}"/>
    <cellStyle name="?d????Book1" xfId="570" xr:uid="{3FF2F528-D1C5-43D6-B61A-6B480534D7DB}"/>
    <cellStyle name="?d????Book1 2" xfId="571" xr:uid="{6D111971-0E5C-46B7-A740-CF80C72999D9}"/>
    <cellStyle name="?d????Book1 2 2" xfId="572" xr:uid="{4FBBDB60-5CA4-4E5D-950A-5B2C4FC60814}"/>
    <cellStyle name="?d????Book1 3" xfId="573" xr:uid="{14AF4B84-410C-4471-96EF-507B7EA0B190}"/>
    <cellStyle name="?d????Cefiro" xfId="574" xr:uid="{2AADB028-B436-4C52-BC77-7DCB8B8D10B6}"/>
    <cellStyle name="?d????E18639" xfId="575" xr:uid="{D1DFA40D-6623-4C48-9E2F-0A347AD0E60F}"/>
    <cellStyle name="?d????E18639 2" xfId="576" xr:uid="{85CEB73C-CC33-424E-B27E-EB6651E64BA4}"/>
    <cellStyle name="?d????E18639 2 2" xfId="577" xr:uid="{BF49B946-3835-40E5-882E-C870EA965CF9}"/>
    <cellStyle name="?d????E18639 3" xfId="578" xr:uid="{E81641FA-BDEB-4BDD-9D04-9F5BB46772BB}"/>
    <cellStyle name="?d????M segment" xfId="579" xr:uid="{4A84020A-5717-4A03-9F95-5C6846512EE6}"/>
    <cellStyle name="?d????P186_001213EUR" xfId="580" xr:uid="{5C6946A2-FEBA-4F75-9B07-311D18FE73C4}"/>
    <cellStyle name="?d????P4TR1_1219carunit" xfId="581" xr:uid="{CE396C03-118D-40E0-83E2-DB27885DD43E}"/>
    <cellStyle name="?d????S segment" xfId="582" xr:uid="{FD3808A0-745C-46AD-B6D8-463CE6B5FD1D}"/>
    <cellStyle name="?d????tZR_39_KV1010219" xfId="583" xr:uid="{96DA2F1B-E4DB-4BF9-A0AD-FF50A2D523DC}"/>
    <cellStyle name="?d???·0]_Cefiro" xfId="584" xr:uid="{0F407C45-7172-4BA6-9F56-AD9B4DD4621C}"/>
    <cellStyle name="?d???·Cefiro" xfId="585" xr:uid="{8CB68152-7A3A-416C-A763-1B29D8C00804}"/>
    <cellStyle name="?d???·Cefiro 2" xfId="586" xr:uid="{F8F71D8A-8459-4DB4-BB49-58FD775325A2}"/>
    <cellStyle name="?d???·M segment" xfId="587" xr:uid="{B4243929-2B5A-4CF7-828C-9736A65AA4D4}"/>
    <cellStyle name="?d???·M segment 2" xfId="588" xr:uid="{A5EA7419-7835-442B-A932-890B7399D567}"/>
    <cellStyle name="?d???·S segment" xfId="589" xr:uid="{7B305004-45BB-4023-9057-0BE7B328B924}"/>
    <cellStyle name="?d???·S segment 2" xfId="590" xr:uid="{14058208-333B-4B4C-9B73-FAE5D83E8A50}"/>
    <cellStyle name="?d???E0]_Cefiro" xfId="591" xr:uid="{FFFBACEE-FBD9-46D8-9827-03EDD94E9D60}"/>
    <cellStyle name="?d???ECefiro" xfId="592" xr:uid="{76B457FC-C8F0-4A0B-A6F6-25C35F645213}"/>
    <cellStyle name="?d???EM segment" xfId="593" xr:uid="{BCB811F1-4DE5-4D58-9805-42BD362658BA}"/>
    <cellStyle name="?d???ES segment" xfId="594" xr:uid="{838CF569-0793-4926-9788-743A8610881A}"/>
    <cellStyle name="?é????_°???????" xfId="595" xr:uid="{220590E5-B6AD-4249-AD2F-1ABB7CAD3B9D}"/>
    <cellStyle name="?EûW?" xfId="596" xr:uid="{0F253C86-29E5-4154-A9BC-14AD1BAF2FD7}"/>
    <cellStyle name="?EûW? 2" xfId="597" xr:uid="{124CB250-CED1-4AB4-B75A-978A712EE3E9}"/>
    <cellStyle name="?EûW? 2 2" xfId="25447" xr:uid="{7BBE550B-02E1-4F61-91E8-FDA737A2BA94}"/>
    <cellStyle name="?EûW? 3" xfId="598" xr:uid="{117215F0-0944-4AA3-A63E-055EE7B86157}"/>
    <cellStyle name="?EûW? 3 2" xfId="25448" xr:uid="{A244B541-50A9-4F7F-9E04-5EAF92AA6FA7}"/>
    <cellStyle name="?EûW? 4" xfId="25446" xr:uid="{9B8717B4-D4D9-49BD-BAFE-40F2CB3B22C8}"/>
    <cellStyle name="?E茁啗" xfId="599" xr:uid="{8CFEEFD6-401F-45C6-A1A0-447996FBE984}"/>
    <cellStyle name="?E茁啗 2" xfId="25449" xr:uid="{AD8A9050-F251-4D73-9F6A-5E1154EE93DD}"/>
    <cellStyle name="?f??[0]_anems_block_list186" xfId="600" xr:uid="{2995B7C1-0717-4A0E-B198-A89828855A40}"/>
    <cellStyle name="?f??_Cefiro" xfId="601" xr:uid="{511DA198-8A5A-4A20-92C8-2B7B4FFCB1D3}"/>
    <cellStyle name="?f??anems_block_list186" xfId="602" xr:uid="{433ED36C-9969-44C7-872F-60E87CD04368}"/>
    <cellStyle name="?f??Book1" xfId="603" xr:uid="{D840C5D7-85CC-463A-B1A8-0A4CCFAB57CD}"/>
    <cellStyle name="?f??Book1 2" xfId="604" xr:uid="{F0968363-7D61-4180-8004-DCA76023CB91}"/>
    <cellStyle name="?f??Book1 2 2" xfId="605" xr:uid="{563DCD68-ADF3-494F-95D8-2FF5D7A24DFE}"/>
    <cellStyle name="?f??Book1 3" xfId="606" xr:uid="{D56CF799-373E-4AC6-BF7B-3D86584753FE}"/>
    <cellStyle name="?f??Cefiro" xfId="607" xr:uid="{27F47E73-2422-4E50-808B-75EFDBA4BEBE}"/>
    <cellStyle name="?f??E18639" xfId="608" xr:uid="{C0689AE8-A5C9-46E8-9D49-474EA55CDEF5}"/>
    <cellStyle name="?f??E18639 2" xfId="609" xr:uid="{6955AB46-FC06-47BC-96FD-EDD1D5356988}"/>
    <cellStyle name="?f??E18639 2 2" xfId="610" xr:uid="{CCD16F27-8DEE-4FE5-86DC-D92EB44CD21D}"/>
    <cellStyle name="?f??E18639 3" xfId="611" xr:uid="{6501C5AC-BD24-4ACD-8101-2B3788CBA956}"/>
    <cellStyle name="?f??M segment" xfId="612" xr:uid="{3DDC405F-EAF0-4622-9C84-1EA56445F717}"/>
    <cellStyle name="?f??P186_001213EUR" xfId="613" xr:uid="{6C5292CE-8EC4-467D-BAE8-8DB495589E00}"/>
    <cellStyle name="?f??P4TR1_1219carunit" xfId="614" xr:uid="{BC56E85D-79E2-443E-A06A-D06F1E9FBBEF}"/>
    <cellStyle name="?f??S segment" xfId="615" xr:uid="{F938EE14-E387-438E-9299-32D70CB4607F}"/>
    <cellStyle name="?f??tZR_39_KV1010219" xfId="616" xr:uid="{B29DB2E1-2862-4B8A-A0E9-625A1BA52FD1}"/>
    <cellStyle name="?f?·[0]_Cefiro" xfId="617" xr:uid="{73F52C72-F915-444E-A8A1-A8A3A11EA40A}"/>
    <cellStyle name="?f?E[0]_Cefiro" xfId="618" xr:uid="{9E3F326B-4E79-482C-90F4-3C106E4FC71A}"/>
    <cellStyle name="?f?Cefiro" xfId="619" xr:uid="{4AEDB884-588D-49B9-BD1A-427011058BAD}"/>
    <cellStyle name="?f?M segment" xfId="620" xr:uid="{D3721EB7-9473-4A06-B9A2-A6B735FC2A9F}"/>
    <cellStyle name="?f?S segment" xfId="621" xr:uid="{E8A31F65-34CB-47EB-B243-F756A3124EC1}"/>
    <cellStyle name="?n?C?p????“?N" xfId="622" xr:uid="{CC52CA2A-0A01-4D3C-AFA8-8AC59BC81348}"/>
    <cellStyle name="?n?C?p????・N" xfId="623" xr:uid="{15D94C40-735C-4DE4-8058-7A82E4B9C303}"/>
    <cellStyle name="?n?C?p????・N 2" xfId="624" xr:uid="{4CE38555-CDC3-4B7C-931D-508AB299F9FF}"/>
    <cellStyle name="?n?C?p????・N 2 2" xfId="625" xr:uid="{F131C1E3-EC05-4DE1-93C6-795D7D74F486}"/>
    <cellStyle name="?n?C?p????・N 2 2 2" xfId="626" xr:uid="{9F269CF4-5DED-4238-972E-901CC4361C06}"/>
    <cellStyle name="?n?C?p????・N 2 3" xfId="627" xr:uid="{5A8465D5-83CE-4E54-9D4D-A228D0B2D5F1}"/>
    <cellStyle name="?n?C?p????・N 3" xfId="628" xr:uid="{657B087E-FAA4-496C-8C4E-327A23698A40}"/>
    <cellStyle name="?n?C?p[???g?N" xfId="629" xr:uid="{0C29F332-26F6-43FE-911A-770461FE16BA}"/>
    <cellStyle name="?n?C?p[???g?N 2" xfId="630" xr:uid="{813BCEAA-B952-421D-B900-F6FB00C6FAAB}"/>
    <cellStyle name="?n?C?p[???g?N 3" xfId="631" xr:uid="{DDE307D6-60C9-4703-92DC-D46A251FC44E}"/>
    <cellStyle name="?n?C?p[???N" xfId="632" xr:uid="{2680DF39-4F6F-422A-B43C-9A432D59B705}"/>
    <cellStyle name="?n?C?pー???“?N" xfId="633" xr:uid="{D62CFC7C-5AC7-41BC-8B21-87FD2A0971AB}"/>
    <cellStyle name="?n?C?pー???“?N 2" xfId="634" xr:uid="{C00DD390-ECE6-4594-BA0C-F1E2D2343678}"/>
    <cellStyle name="?n?C?pー???“?N 2 2" xfId="635" xr:uid="{3CA0BB38-9090-4B7B-AF8D-A8C2D9B9F88C}"/>
    <cellStyle name="?n?C?pー???“?N 2 3" xfId="636" xr:uid="{58A69407-920C-41F2-9961-5E41B10723C1}"/>
    <cellStyle name="?n?C?pー???“?N 3" xfId="637" xr:uid="{378784C3-61B7-42BE-90A8-BCF7252C972F}"/>
    <cellStyle name="?n?C?pー???“?N 4" xfId="638" xr:uid="{8D1D4827-DE87-434B-B824-594D1B539E9E}"/>
    <cellStyle name="?Þ¸¶ [0]_°¡°ø??°? " xfId="639" xr:uid="{CA4EEC82-03DD-43EB-AE10-E09E8046DC5F}"/>
    <cellStyle name="?Þ¸¶_°¡°ø??°? " xfId="640" xr:uid="{2B0F8E48-F6CF-4D60-9E42-18CD3FC8E88D}"/>
    <cellStyle name="?W?_????????°?" xfId="641" xr:uid="{B6FEAC46-C6BD-4F0D-866B-0605903D0FBF}"/>
    <cellStyle name="?W·_??·??(?v=N?s) ”??r?·_Format??????·“_(“" xfId="642" xr:uid="{28D33939-A46F-4DC9-9CCD-F4B582EAF5D5}"/>
    <cellStyle name="?W・" xfId="643" xr:uid="{832A744F-FE93-4233-9B72-B496D5BEDE4B}"/>
    <cellStyle name="?W?_5.Commnet-NISSAN" xfId="644" xr:uid="{9108DCF3-8698-4FD4-B64B-74882E045757}"/>
    <cellStyle name="?W€_?T|gY?t ?W€Ia-N (2)" xfId="645" xr:uid="{3A888845-7F37-4E73-80E1-082683375BEE}"/>
    <cellStyle name="?WE_?T|gY?t ?WEIa-N (2)" xfId="646" xr:uid="{4A6F3E0D-4FCA-4F9B-B4A3-039A56941588}"/>
    <cellStyle name="?Wｷ_??・?o・" xfId="647" xr:uid="{212257FE-1210-4037-8F77-CCCFC9941639}"/>
    <cellStyle name="?W準_?A±OY，T、2YAD×°?ET2∥T°" xfId="648" xr:uid="{8D4E29D0-6805-419F-AD9D-19D79C08D61E}"/>
    <cellStyle name="?ｷ? [0]_????????aro" xfId="649" xr:uid="{70AB1CD7-61A8-4FDE-915D-BABFE7D024A5}"/>
    <cellStyle name="?ｷ?_????????aro" xfId="650" xr:uid="{2A85A427-D455-4BEB-9D7D-457B384D4738}"/>
    <cellStyle name="?ｷa??e [0.00]_?K?,T?I?xlsTE" xfId="651" xr:uid="{D19C65BB-1481-4412-8D17-0107C2F0CBBA}"/>
    <cellStyle name="?ｷa??e_?K?,T?I?xlsytionssTE" xfId="652" xr:uid="{F4803A43-F33B-4C3C-B066-069EF0CE4861}"/>
    <cellStyle name="???????????" xfId="653" xr:uid="{3711B437-9FD4-4F55-B2BA-E96A61E75B68}"/>
    <cellStyle name="?_#1?BEO????" xfId="654" xr:uid="{A9FD8781-ED4C-4A29-AC4D-7CB6FF233C0C}"/>
    <cellStyle name="? [0.00]_Attachment 2 (2)" xfId="655" xr:uid="{AF412730-F1C5-4852-9663-948445A2B2C0}"/>
    <cellStyle name="?_Attachment 2 (2)" xfId="656" xr:uid="{2A77F42D-68AD-4AF6-A2BC-7780848A19BA}"/>
    <cellStyle name="?렑띙귒궻긪귽긬?깏깛긏" xfId="659" xr:uid="{328377EE-A01E-48DF-8B9F-70349BFE96CB}"/>
    <cellStyle name="?丒? [0]_°è??" xfId="661" xr:uid="{9B0FF97F-0F3F-4A3C-B8F0-6133F4C06E0D}"/>
    <cellStyle name="?丒?_°è??" xfId="662" xr:uid="{974D7C0D-BFDB-4540-BC8F-4990381BA9BD}"/>
    <cellStyle name="?浦 [0.00]_Attachment 2 (2)" xfId="657" xr:uid="{ABC0EB56-0529-4A75-B7B5-947C7E40A30A}"/>
    <cellStyle name="?浦_Attachment 2 (2)" xfId="658" xr:uid="{B9AC5D3E-6DE3-4A5E-9C3A-88A975EE567E}"/>
    <cellStyle name="?癵_#1鷎鸍?BEO?鼜襩???" xfId="663" xr:uid="{024EAD47-FDD6-4C07-AFBC-AA97301D70B0}"/>
    <cellStyle name="?籉??????????" xfId="664" xr:uid="{43ED4C2C-931B-49A8-967B-CBB01EB1A2D4}"/>
    <cellStyle name="?鮗???_?豼???" xfId="660" xr:uid="{09B11D4F-C8E9-408F-9288-FB8D347E6363}"/>
    <cellStyle name="@_text" xfId="665" xr:uid="{C5C76E22-4036-404F-912D-7500F6D587C2}"/>
    <cellStyle name="[" xfId="666" xr:uid="{6E97A1A6-93D6-4314-B80B-607CB6AC33B3}"/>
    <cellStyle name="ˆê”Ê_Jato1.6" xfId="667" xr:uid="{6939A7A9-9AAB-452F-9079-554A702D8897}"/>
    <cellStyle name="_(for confirmation to Regin team) FX impact (Simu vs Updated) by MC" xfId="668" xr:uid="{9931B64B-DBA2-45A8-94B6-87C16B056590}"/>
    <cellStyle name="_(revised) YNM FY08 BUD#1  RO database unit" xfId="669" xr:uid="{FD0FD18D-93B8-492D-B2BA-03EA7DD0574A}"/>
    <cellStyle name="_(TK)X12G BCR Cost by CCM" xfId="670" xr:uid="{56D6D202-48F4-44F4-841D-ABB2ADE1DD07}"/>
    <cellStyle name="___INP DAILY REPORT" xfId="671" xr:uid="{31E0B333-1A7C-4B1E-A375-33CC9D2724A5}"/>
    <cellStyle name="___INP DAILY REPORT 2" xfId="672" xr:uid="{892E1D3D-F55D-4FBE-ACF5-A164E306CEE9}"/>
    <cellStyle name="___INP DAILY REPORT_08BP Volume 7-26" xfId="673" xr:uid="{448DD855-281C-4069-87BD-26BBC88D3D86}"/>
    <cellStyle name="___INP DAILY REPORT_2010 Reply 3 PXP Report v2 0 DISTv2 (2)" xfId="674" xr:uid="{563A9451-7889-4DE7-AB4D-574129A6865A}"/>
    <cellStyle name="___INP DAILY REPORT_NCIC FORMAL PARTS LIST(20070718)" xfId="675" xr:uid="{E33F44C7-62DF-4FB6-8041-2FA59A2EEF7B}"/>
    <cellStyle name="___INP DAILY REPORT_NCIC FORMAL PARTS LIST(20070718)_08BP Volume 7-26" xfId="676" xr:uid="{FD920E46-3CBE-4A75-AC4F-21EC88E0D47D}"/>
    <cellStyle name="___INP DAILY REPORT_NCIC FORMAL PARTS LIST(20070822)" xfId="677" xr:uid="{C9668916-FEB7-4936-96C9-715EF519B1D1}"/>
    <cellStyle name="___INP DAILY REPORT_NCIC FORMAL PARTS LIST(20070910)" xfId="678" xr:uid="{93586FE6-0E62-47BF-9CCE-EF17F8238455}"/>
    <cellStyle name="___INP DAILY REPORT_NCIC FORMAL PARTS LIST(200710)" xfId="679" xr:uid="{40844B33-6E5D-4252-A471-638A8527DF94}"/>
    <cellStyle name="___INP DAILY REPORT_NCIC FORMAL PARTS LIST(200711)" xfId="680" xr:uid="{59C360A4-EEB4-43A3-B925-0DFA9BA18B7D}"/>
    <cellStyle name="___INP DAILY REPORT_NCIC FORMAL PARTS LIST(200801)" xfId="681" xr:uid="{8E927FA3-43D1-43B3-AF4C-B46D05250151}"/>
    <cellStyle name="___INP DAILY REPORT_NCIC FORMAL PARTS LIST(200803027)" xfId="682" xr:uid="{F1840978-2A82-4253-84AE-519A3F51C64A}"/>
    <cellStyle name="___INP DAILY REPORT_NCIC FORMAL PARTS LIST-IPO(20080401)" xfId="683" xr:uid="{0860C3D0-8FCA-48E6-97D8-C6BB09EEF183}"/>
    <cellStyle name="___INP DAILY REPORT_NCIC FORMAL PARTS LIST-IPO(20080505)Master" xfId="684" xr:uid="{0BE58806-2183-472E-92A1-4A7407566D83}"/>
    <cellStyle name="___INP DAILY REPORT_P&amp;L Variance analysis" xfId="685" xr:uid="{E5A7B565-6F0A-4168-9BA7-42DA2578F866}"/>
    <cellStyle name="___INP DAILY REPORT_PARTS LIST7-30" xfId="686" xr:uid="{C4E0ECD6-CCDB-48B6-88CF-9780E0B86477}"/>
    <cellStyle name="___INP DAILY REPORT_X11J PARTS LIST-070822" xfId="687" xr:uid="{9B52798A-4722-4347-B821-5D99F99B7328}"/>
    <cellStyle name="___INP DAILY REPORT_X12B tekiyo list" xfId="688" xr:uid="{73EAE6D3-85C4-4C79-91E0-E0E281F2AD58}"/>
    <cellStyle name="_`06-`07中期计划汇总表`05.06.20" xfId="689" xr:uid="{BF6C1573-0E76-4F82-89DD-A460B7E3223A}"/>
    <cellStyle name="_`06-`07中期计划汇总表`05.06.20 2" xfId="690" xr:uid="{6740E806-9C2A-4FEA-9542-8DB08920DCD1}"/>
    <cellStyle name="_`06-`07中期计划汇总表`05.06.20 2 2" xfId="691" xr:uid="{8AA7DB1E-AEFE-4C7B-8E09-735C726905FF}"/>
    <cellStyle name="_`06-`07中期计划汇总表`05.06.20 2 2 2" xfId="692" xr:uid="{E06F719D-EFBB-49AC-A9F7-7088B3711DA3}"/>
    <cellStyle name="_`06-`07中期计划汇总表`05.06.20 2 2 2 2" xfId="25450" xr:uid="{EFDE913F-E2BE-46FB-9F16-77CF8B96B8F8}"/>
    <cellStyle name="_`06-`07中期计划汇总表`05.06.20 2 3" xfId="693" xr:uid="{AA4D31F0-5CD4-4BB5-AC77-B11BC5921B7F}"/>
    <cellStyle name="_`06-`07中期计划汇总表`05.06.20 2 3 2" xfId="25451" xr:uid="{8150F715-7718-4EAB-A0A7-745E44BB3BDF}"/>
    <cellStyle name="_`06-`07中期计划汇总表`05.06.20 3" xfId="694" xr:uid="{BA55C1DB-9C25-40DE-8C62-3F76D11C870A}"/>
    <cellStyle name="_`06-`07中期计划汇总表`05.06.20 3 2" xfId="695" xr:uid="{46FA5532-E881-43E5-8001-9B488B29331C}"/>
    <cellStyle name="_`06-`07中期计划汇总表`05.06.20 3 2 2" xfId="25452" xr:uid="{4FC07659-AB86-4EF8-B760-8F3D2DFA1D1C}"/>
    <cellStyle name="_`06-`07中期计划汇总表`05.06.20_08 budget 071018" xfId="696" xr:uid="{74216B14-2E74-4E27-806D-DE350541B616}"/>
    <cellStyle name="_`06-`07中期计划汇总表`05.06.20_08 budget 071018 2" xfId="697" xr:uid="{0097DC44-BDD9-4D1C-BD37-9DE4235A89B7}"/>
    <cellStyle name="_`06-`07中期计划汇总表`05.06.20_08 budget 071018 2 2" xfId="698" xr:uid="{77641389-6435-4679-A8B7-5D2ECD8505A9}"/>
    <cellStyle name="_`06-`07中期计划汇总表`05.06.20_08 budget 071018 2 2 2" xfId="25453" xr:uid="{82EAB276-9914-430F-B1D8-EB36E858EC93}"/>
    <cellStyle name="_`06-`07中期计划汇总表`05.06.20_'08 budget TDC" xfId="699" xr:uid="{921BB161-BFF4-4DCA-A377-9EE486AC7546}"/>
    <cellStyle name="_`06-`07中期计划汇总表`05.06.20_'08 budget TDC 2" xfId="700" xr:uid="{40D01009-68A2-4C37-B18A-DF9A9C114D72}"/>
    <cellStyle name="_`06-`07中期计划汇总表`05.06.20_'08 budget TDC 2 2" xfId="701" xr:uid="{8273223E-3218-4C6A-A231-AF2C651C5A73}"/>
    <cellStyle name="_`06-`07中期计划汇总表`05.06.20_'08 budget TDC 2 2 2" xfId="25454" xr:uid="{C625B2FF-B996-4093-BAF3-606BD0E6CC6E}"/>
    <cellStyle name="_`06-`07中期计划汇总表`05.06.20_L11K Impact vs. Budget" xfId="702" xr:uid="{E6F279AB-9621-4DC3-BED9-E0DB4BF3C4DD}"/>
    <cellStyle name="_`06-`07中期计划汇总表`05.06.20_L11K Impact vs. Budget 2" xfId="703" xr:uid="{EC7D03C8-AA6F-423F-AF50-BB51577A0754}"/>
    <cellStyle name="_`06-`07中期计划汇总表`05.06.20_L11K Impact vs. Budget 2 2" xfId="704" xr:uid="{2432A6AE-26DA-472D-99FF-7091BBF4C53F}"/>
    <cellStyle name="_`06-`07中期计划汇总表`05.06.20_L11K Impact vs. Budget 2 2 2" xfId="25455" xr:uid="{4B66D06A-CB41-4431-9E75-77CC0F83C6DD}"/>
    <cellStyle name="_`06-`07中期计划汇总表`05.06.20_L11K Impact vs. Budget_L42F_MSRP TP mix k_080520" xfId="705" xr:uid="{836F356A-2E47-4357-BD0C-5EEAEAD7409B}"/>
    <cellStyle name="_`06-`07中期计划汇总表`05.06.20_L11K Impact vs. Budget_L42F_MSRP TP mix k_080520 2" xfId="706" xr:uid="{9F1473D2-59D9-4DFD-84CC-5C2EB98D0AF9}"/>
    <cellStyle name="_`06-`07中期计划汇总表`05.06.20_L11K Impact vs. Budget_L42F_MSRP TP mix k_080520 2 2" xfId="707" xr:uid="{12037BDA-C8A6-49D3-9C8A-C12D2A286E1B}"/>
    <cellStyle name="_`06-`07中期计划汇总表`05.06.20_L11K Impact vs. Budget_L42F_MSRP TP mix k_080520 2 2 2" xfId="25456" xr:uid="{DD3D5DF6-E1BF-48AB-A7DE-13A0FD96AE27}"/>
    <cellStyle name="_`06-`07中期计划汇总表`05.06.20_L11K Impact vs. Budget_L42F_MSRP TP mix k_080528" xfId="708" xr:uid="{EBC9A282-D895-43CD-8E90-2E13D63D4C70}"/>
    <cellStyle name="_`06-`07中期计划汇总表`05.06.20_L11K Impact vs. Budget_L42F_MSRP TP mix k_080528 2" xfId="709" xr:uid="{E067646C-FA2C-48F9-8910-2EABC7490FA7}"/>
    <cellStyle name="_`06-`07中期计划汇总表`05.06.20_L11K Impact vs. Budget_L42F_MSRP TP mix k_080528 2 2" xfId="710" xr:uid="{519BB9DE-C6D4-41E5-97F6-95F8E584FAB9}"/>
    <cellStyle name="_`06-`07中期计划汇总表`05.06.20_L11K Impact vs. Budget_L42F_MSRP TP mix k_080528 2 2 2" xfId="25457" xr:uid="{4B2FA673-6454-4461-B0BD-8D76DC5E9774}"/>
    <cellStyle name="_`06-`07中期计划汇总表`05.06.20_L11K Impact vs. Budget_P32E TDC for Final MPR(080912 31K Base)---from zhangtao" xfId="711" xr:uid="{A0FB95B6-770A-44E3-B805-68F587A0EE97}"/>
    <cellStyle name="_`06-`07中期计划汇总表`05.06.20_L11K Impact vs. Budget_P32E TDC for Final MPR(080912 31K Base)---from zhangtao 2" xfId="712" xr:uid="{3D321A70-0FF5-4629-89C0-E99B806FE48B}"/>
    <cellStyle name="_`06-`07中期计划汇总表`05.06.20_L11K Impact vs. Budget_P32E TDC for Final MPR(080912 31K Base)---from zhangtao 2 2" xfId="713" xr:uid="{305607EC-6407-48C3-A3F9-AB41BC8DF628}"/>
    <cellStyle name="_`06-`07中期计划汇总表`05.06.20_L11K Impact vs. Budget_P32E TDC for Final MPR(080912 31K Base)---from zhangtao 2 2 2" xfId="25458" xr:uid="{D2B0A460-F7BE-4FAC-91A5-66A629FAA0ED}"/>
    <cellStyle name="_`06-`07中期计划汇总表`05.06.20_L42F_MSRP TP mix k_080520" xfId="714" xr:uid="{8A83EE61-DEBF-4C1F-AC3A-BA1E4C273157}"/>
    <cellStyle name="_`06-`07中期计划汇总表`05.06.20_L42F_MSRP TP mix k_080520 2" xfId="715" xr:uid="{77CCD4DB-6147-4267-B215-C7B2742C2B10}"/>
    <cellStyle name="_`06-`07中期计划汇总表`05.06.20_L42F_MSRP TP mix k_080520 2 2" xfId="716" xr:uid="{DAE47880-B1E4-4992-A11E-F16876E02502}"/>
    <cellStyle name="_`06-`07中期计划汇总表`05.06.20_L42F_MSRP TP mix k_080520 2 2 2" xfId="25459" xr:uid="{579F7504-EC1F-435A-A9C3-78780A87EEDF}"/>
    <cellStyle name="_`06-`07中期计划汇总表`05.06.20_L42F_MSRP TP mix k_080528" xfId="717" xr:uid="{0350ED83-79F5-4644-8295-1E8879C37775}"/>
    <cellStyle name="_`06-`07中期计划汇总表`05.06.20_L42F_MSRP TP mix k_080528 2" xfId="718" xr:uid="{3A18F203-F01C-4AEF-AB10-06E9D450D928}"/>
    <cellStyle name="_`06-`07中期计划汇总表`05.06.20_L42F_MSRP TP mix k_080528 2 2" xfId="719" xr:uid="{F46574C6-9B1C-4A96-BB3B-3DB7E8207629}"/>
    <cellStyle name="_`06-`07中期计划汇总表`05.06.20_L42F_MSRP TP mix k_080528 2 2 2" xfId="25460" xr:uid="{B2DF22CA-4F87-42A2-8957-3A4FF81CF5BE}"/>
    <cellStyle name="_`06-`07中期计划汇总表`05.06.20_P32E TDC for Final MPR(080912 31K Base)---from zhangtao" xfId="720" xr:uid="{1D5D1B89-DA85-4EB9-95FD-9D80EB8077E3}"/>
    <cellStyle name="_`06-`07中期计划汇总表`05.06.20_P32E TDC for Final MPR(080912 31K Base)---from zhangtao 2" xfId="721" xr:uid="{E8C4CE6A-1AEB-47DD-8CD6-A020329BD575}"/>
    <cellStyle name="_`06-`07中期计划汇总表`05.06.20_P32E TDC for Final MPR(080912 31K Base)---from zhangtao 2 2" xfId="722" xr:uid="{1EC56F83-9E97-421D-8557-3D11C641E4EA}"/>
    <cellStyle name="_`06-`07中期计划汇总表`05.06.20_P32E TDC for Final MPR(080912 31K Base)---from zhangtao 2 2 2" xfId="25461" xr:uid="{FCC33035-A576-47F8-9295-7339B476EA68}"/>
    <cellStyle name="_【0207】BP_reply_Outside profit_Price List_R" xfId="723" xr:uid="{4AFC3417-B6B7-4BAC-B5A6-B0BB139A9E62}"/>
    <cellStyle name="_【0207】BP_reply_Outside profit_Price List_R 2" xfId="724" xr:uid="{AD5CBE51-C592-4949-B6FB-DA6AA7CE3DF5}"/>
    <cellStyle name="_【0207】BP_reply_Outside profit_Price List_R 2 2" xfId="725" xr:uid="{3F825CCC-C3AF-4203-A96D-5BDFE1506D6D}"/>
    <cellStyle name="_【0207】BP_reply_Outside profit_Price List_R 2 2 2" xfId="25462" xr:uid="{D6660D77-0750-41D2-ACA9-6875B48E47D0}"/>
    <cellStyle name="_【A7C提出】FY09 NML Milestone 0413" xfId="726" xr:uid="{DA98BFBD-39C3-428B-AEC0-88677FCD45F2}"/>
    <cellStyle name="_【RD&amp;Design】 FY12 Budget monthly reply OP by MC" xfId="727" xr:uid="{1CA9D369-6778-4B2F-A1E7-E64D64F785AB}"/>
    <cellStyle name="_【RD&amp;Design】 FY12 Budget monthly reply OP by MC 2" xfId="728" xr:uid="{DAFF3033-4F88-4C47-9593-F7C87142BE81}"/>
    <cellStyle name="_【RD&amp;Design】 FY12 Budget monthly reply OP by MC 2 2" xfId="729" xr:uid="{74809E14-FFEF-4207-B42F-316262D616CF}"/>
    <cellStyle name="_【RD&amp;Design】 FY12 Budget monthly reply OP by MC 2 2 2" xfId="25463" xr:uid="{75813680-F0E4-4838-994A-F3588D1ECCF4}"/>
    <cellStyle name="_■090821 Q2集約用■ FY09 Budget Itemchart (HC4A)" xfId="730" xr:uid="{EFB2823F-1AEE-4D64-8DF7-0382E46012AA}"/>
    <cellStyle name="_■090821 Q2集約用■ FY09 Budget Itemchart (HC4A) 2" xfId="731" xr:uid="{F9B7040E-E9D4-454E-8CE0-55ADE7B1F141}"/>
    <cellStyle name="_■090821 Q2集約用■ FY09 Budget Itemchart (HC4A) 2 2" xfId="732" xr:uid="{132311E1-1375-4CFD-BBC9-7B18894AB2A1}"/>
    <cellStyle name="_■090821 Q2集約用■ FY09 Budget Itemchart (HC4A) 2 2 2" xfId="733" xr:uid="{325DF5FA-AB94-446E-A177-0C22DB781E09}"/>
    <cellStyle name="_■090821 Q2集約用■ FY09 Budget Itemchart (HC4A) 2 2 2 2" xfId="734" xr:uid="{74F3C8A4-2E3B-4529-ADA3-3D1757976913}"/>
    <cellStyle name="_■090821 Q2集約用■ FY09 Budget Itemchart (HC4A) 2 2 2 2 2" xfId="25464" xr:uid="{7572D5A5-20AD-4103-B012-15B667895052}"/>
    <cellStyle name="_■090821 Q2集約用■ FY09 Budget Itemchart (HC4A) 2 2 3" xfId="735" xr:uid="{3CE88D9A-6411-4FD6-BF24-6F8D791080AD}"/>
    <cellStyle name="_■090821 Q2集約用■ FY09 Budget Itemchart (HC4A) 2 2 4" xfId="736" xr:uid="{1583143A-0E28-4CAE-922D-4224EC49D85C}"/>
    <cellStyle name="_■090821 Q2集約用■ FY09 Budget Itemchart (HC4A) 2 2 4 2" xfId="25465" xr:uid="{6E3A938D-F60F-41CD-906F-DA4EF1CB91A8}"/>
    <cellStyle name="_■090821 Q2集約用■ FY09 Budget Itemchart (HC4A) 2 3" xfId="737" xr:uid="{299AED33-3529-453A-A1AD-1BAB3D0AE618}"/>
    <cellStyle name="_■090821 Q2集約用■ FY09 Budget Itemchart (HC4A) 2 3 2" xfId="25466" xr:uid="{9CA8075C-807D-4AAA-951E-3EC586471EAD}"/>
    <cellStyle name="_■090821 Q2集約用■ FY09 Budget Itemchart (HC4A) 2_FY13 Budget Simulation Excel PKG for Auto by company" xfId="738" xr:uid="{D4A5F027-E898-4FFD-94BB-6CE0F0D5A816}"/>
    <cellStyle name="_■090821 Q2集約用■ FY09 Budget Itemchart (HC4A) 3" xfId="739" xr:uid="{A3661EDE-E3CF-4405-B9A2-26595584FE0F}"/>
    <cellStyle name="_■090821 Q2集約用■ FY09 Budget Itemchart (HC4A) 4" xfId="740" xr:uid="{513C88F6-858A-47D9-8D89-BA475F0FC3AE}"/>
    <cellStyle name="_■090821 Q2集約用■ FY09 Budget Itemchart (HC4A) 4 2" xfId="25467" xr:uid="{A725B27B-9073-46BA-80B5-E9C6C910EB1C}"/>
    <cellStyle name="_■090821 Q2集約用■ FY09 Budget Itemchart (HC4A)_DFL FY13 Simulation Data version 1010-2(A7C)" xfId="741" xr:uid="{372C9BA0-3DA2-41E7-8F26-D4175E2E396D}"/>
    <cellStyle name="_■090821 Q2集約用■ FY09 Budget Itemchart (HC4A)_DFL FY13 Simulation Data version 1010-2(A7C) 2" xfId="742" xr:uid="{B04742DE-61BE-42DD-BD35-42BBEE2D37AC}"/>
    <cellStyle name="_■090821 Q2集約用■ FY09 Budget Itemchart (HC4A)_DFL FY13 Simulation Data version 1010-2(A7C) 2 2" xfId="743" xr:uid="{C53D68CC-E361-48E3-8820-EE058F7D8E3B}"/>
    <cellStyle name="_■090821 Q2集約用■ FY09 Budget Itemchart (HC4A)_DFL FY13 Simulation Data version 1010-2(A7C) 2 2 2" xfId="744" xr:uid="{46CE6BB3-4084-4BE6-8A3B-52BCB069062E}"/>
    <cellStyle name="_■090821 Q2集約用■ FY09 Budget Itemchart (HC4A)_DFL FY13 Simulation Data version 1010-2(A7C) 2 2 2 2" xfId="25468" xr:uid="{A52ECD4B-0545-4946-988B-4EA4FDA46911}"/>
    <cellStyle name="_■090821 Q2集約用■ FY09 Budget Itemchart (HC4A)_DFL FY13 Simulation Data version 1010-2(A7C) 2 3" xfId="745" xr:uid="{5C01D2EF-1998-4BD2-9555-D08BB606930C}"/>
    <cellStyle name="_■090821 Q2集約用■ FY09 Budget Itemchart (HC4A)_DFL FY13 Simulation Data version 1010-2(A7C) 2 4" xfId="746" xr:uid="{6CA5359D-FD81-4E64-BC65-D9009BC35811}"/>
    <cellStyle name="_■090821 Q2集約用■ FY09 Budget Itemchart (HC4A)_DFL FY13 Simulation Data version 1010-2(A7C) 2 4 2" xfId="25469" xr:uid="{C55B2373-5864-462E-8433-C500D5C03C9E}"/>
    <cellStyle name="_■090821 Q2集約用■ FY09 Budget Itemchart (HC4A)_DFL FY13 Simulation Data version 1010-2(A7C) 3" xfId="747" xr:uid="{B17FC1F1-1EA0-412C-B66E-DA9BD911071C}"/>
    <cellStyle name="_■090821 Q2集約用■ FY09 Budget Itemchart (HC4A)_DFL FY13 Simulation Data version 1010-2(A7C) 3 2" xfId="25470" xr:uid="{E0AFAA7A-CE84-4242-ACB8-3B809DA291CA}"/>
    <cellStyle name="_■090821 Q2集約用■ FY09 Budget Itemchart (HC4A)_DFL FY13 Simulation Data version 1010-2(A7C)_FY13 Budget Simulation Excel PKG for Auto by company" xfId="748" xr:uid="{67B815CB-3901-4154-A0C5-54B88D0ECA75}"/>
    <cellStyle name="_■090821 Q2集約用■ FY09 Budget Itemchart (HC4A)_FY13 Budget Simulation Excel PKG for Auto by company" xfId="749" xr:uid="{AB7B978C-5A41-4250-9FE1-82DF9DA89421}"/>
    <cellStyle name="_04BP-05BP人工比较" xfId="750" xr:uid="{41C47D2E-5D79-402D-BEC9-145230C13909}"/>
    <cellStyle name="_04年预测趋势汇总图表(最新版)04.08" xfId="751" xr:uid="{7F9CDEE9-F630-4C92-874A-DBDE33AE03E9}"/>
    <cellStyle name="_04年预测趋势汇总图表(最新版)04.08_(for confirmation to Regin team) FX impact (Simu vs Updated) by MC" xfId="752" xr:uid="{983AAA5E-FFF0-4E3F-8870-C65F0830954E}"/>
    <cellStyle name="_04年预测趋势汇总图表(最新版)04.08_【0207】BP_reply_Outside profit_Price List_R" xfId="753" xr:uid="{FA52EBB4-224B-4E56-8880-865C8DBD4FAD}"/>
    <cellStyle name="_04年预测趋势汇总图表(最新版)04.08_08 budget 071018" xfId="754" xr:uid="{0C5C59D4-6DA9-4AD1-88B3-8340114FAAF4}"/>
    <cellStyle name="_04年预测趋势汇总图表(最新版)04.08_0902見直し" xfId="755" xr:uid="{7C021DC6-C27A-46B8-8AEF-92E937ACB763}"/>
    <cellStyle name="_04年预测趋势汇总图表(最新版)04.08_09budget 081022" xfId="756" xr:uid="{379F6ED6-877C-44F0-AD6A-19790051FEE4}"/>
    <cellStyle name="_04年预测趋势汇总图表(最新版)04.08_09'CV市况(按11.08发布值测算)" xfId="757" xr:uid="{64B80526-99C6-4CC4-B913-6F21C983805E}"/>
    <cellStyle name="_04年预测趋势汇总图表(最新版)04.08_2009_TDC_MonthlyActual" xfId="758" xr:uid="{EAC01D7A-E96F-42EA-A970-03750198B233}"/>
    <cellStyle name="_04年预测趋势汇总图表(最新版)04.08_2009年VME車種別(20100303)" xfId="759" xr:uid="{6234D2A9-8C71-43D2-80F4-519CE920EB8D}"/>
    <cellStyle name="_04年预测趋势汇总图表(最新版)04.08_CY09 material risk compare-0615-16 LP" xfId="760" xr:uid="{2F6F8732-CDAD-4F70-B691-115CB05F1FB2}"/>
    <cellStyle name="_04年预测趋势汇总图表(最新版)04.08_ＣＹ10予算見直し後(600K モデル別)" xfId="761" xr:uid="{7BB4797F-D513-4355-BE93-8118759238B0}"/>
    <cellStyle name="_04年预测趋势汇总图表(最新版)04.08_FCF_FY12 BUD Simulation Excel PKG for Auto_v2" xfId="762" xr:uid="{D91823F3-C45A-490F-A59D-FC3956B996A8}"/>
    <cellStyle name="_04年预测趋势汇总图表(最新版)04.08_FY09 material forecast5+7 0616 for financial report" xfId="763" xr:uid="{9560813A-5655-4E90-A38F-A9D57F8AA54B}"/>
    <cellStyle name="_04年预测趋势汇总图表(最新版)04.08_FY10 FC#2 Pricing Analysis to Central" xfId="764" xr:uid="{271AB69F-8D29-40FF-B2A4-E8C901841EA8}"/>
    <cellStyle name="_04年预测趋势汇总图表(最新版)04.08_FY12 BP_Simulation information PKG_R" xfId="765" xr:uid="{D5F9E374-5CD1-477B-B761-287833FC4809}"/>
    <cellStyle name="_04年预测趋势汇总图表(最新版)04.08_J11J MC+Elongation(松）" xfId="766" xr:uid="{4D7D1D85-F30F-41FE-95AD-207131A09A70}"/>
    <cellStyle name="_04年预测趋势汇总图表(最新版)04.08_L11K MC TDC 090306 (2)" xfId="767" xr:uid="{3B8CDECE-B9BF-49A2-8AFF-AC5434C3F59F}"/>
    <cellStyle name="_04年预测趋势汇总图表(最新版)04.08_L42F TDC KKJ SOP 2010 Dec (090929) with MC (2)" xfId="768" xr:uid="{DE44DF04-02F2-4334-AC3D-9D3ACD9D922E}"/>
    <cellStyle name="_04年预测趋势汇总图表(最新版)04.08_N11J MC+Elongation(松）" xfId="769" xr:uid="{527C1B35-4321-46C3-B845-4F187137D1A3}"/>
    <cellStyle name="_04年预测趋势汇总图表(最新版)04.08_NI_Forecast_FY10_120110" xfId="770" xr:uid="{E6D86F88-3163-48F0-AB24-CF72E8460CB3}"/>
    <cellStyle name="_04年预测趋势汇总图表(最新版)04.08_P32E MC TDC with MC (100206)" xfId="771" xr:uid="{0F1E8568-FC4E-4E66-B4BF-863B95CBDAD0}"/>
    <cellStyle name="_04年预测趋势汇总图表(最新版)04.08_P32L LCP TDC Case3 (0900221)" xfId="772" xr:uid="{FAA00DD0-F9E6-4AE9-A874-E368C64D258B}"/>
    <cellStyle name="_04年预测趋势汇总图表(最新版)04.08_Tax Expense FY10 7x5 to FPA 113010" xfId="773" xr:uid="{AAFD3376-FAE3-4592-B49E-CD18D9A5CB7B}"/>
    <cellStyle name="_04年预测趋势汇总图表(最新版)04.08_TDC SUMMARY SHEET for MTP (version 2.1 100526)" xfId="774" xr:uid="{B8182EA9-C26F-4630-AF42-BE9BA46EAF21}"/>
    <cellStyle name="_04年预测趋势汇总图表(最新版)04.08_TDC SUMMARY SHEET for MTP (version 3.0 100526)" xfId="775" xr:uid="{B38635D4-464E-4F6A-9F54-2C691ABECAA4}"/>
    <cellStyle name="_04年预测趋势汇总图表(最新版)04.08_Volume Assumption &amp; Current Models" xfId="776" xr:uid="{058028BD-7357-4D6A-A4CE-E33794E17D40}"/>
    <cellStyle name="_04年预测趋势汇总图表(最新版)04.08_コピー ～ 2009年5＋7 售  (47万台）(090619) (予算Ｆｉｎａｌ＆Variable変更　補正版)" xfId="777" xr:uid="{68C1DB38-D833-41D7-AD40-D577C1E3148A}"/>
    <cellStyle name="_'05 Aug P&amp;L-Patrick-ES" xfId="778" xr:uid="{05973BC8-C077-4881-AF81-0BDDC704D01D}"/>
    <cellStyle name="_05(PVD)BP R&amp;D cost summary" xfId="779" xr:uid="{16CEF3F9-6A14-4455-B502-EBAF76870491}"/>
    <cellStyle name="_050608服务开发部人员计划明细" xfId="780" xr:uid="{DF273B30-24D0-483E-882B-B5283C5304E2}"/>
    <cellStyle name="_05-10生产台数及实作工数" xfId="781" xr:uid="{0BC55CF3-7F86-4EFC-8217-59BE6C7DD4F2}"/>
    <cellStyle name="_05BP" xfId="782" xr:uid="{5B91A8B7-EDB9-489D-B5CB-42ABB9A11FDB}"/>
    <cellStyle name="_'05BP-planVTinvest0615" xfId="783" xr:uid="{9AC2AC6F-2231-45DD-B4DF-6FD90CFDEF5F}"/>
    <cellStyle name="_'05BP-planVTinvest0615_CY09 material risk compare-0615-16 LP" xfId="784" xr:uid="{406F0F05-D03E-4E07-800B-744DC720B6CE}"/>
    <cellStyle name="_'05BP-planVTinvest0615_FY09 material forecast5+7 0616 for financial report" xfId="785" xr:uid="{7231E27E-5484-4683-9D42-9CEFF5A71D2C}"/>
    <cellStyle name="_05BP人工成本" xfId="786" xr:uid="{D1172E53-02F5-4107-BE1F-72798272E183}"/>
    <cellStyle name="_05BudgetPVDSummary" xfId="787" xr:uid="{86C7056C-FFA1-48AD-9BFD-F217087381A6}"/>
    <cellStyle name="_05BudgetPVDSummary_(for confirmation to Regin team) FX impact (Simu vs Updated) by MC" xfId="788" xr:uid="{15798EE5-CF94-4F08-A5A4-9FDF121AC976}"/>
    <cellStyle name="_05BudgetPVDSummary_【0207】BP_reply_Outside profit_Price List_R" xfId="789" xr:uid="{85061696-0511-4CBD-9C4E-2DCA7AF03685}"/>
    <cellStyle name="_05BudgetPVDSummary_08 budget 071018" xfId="790" xr:uid="{D5D27BE7-24A9-46F4-9193-36FB2496820B}"/>
    <cellStyle name="_05BudgetPVDSummary_0902見直し" xfId="791" xr:uid="{2D7D383B-0EA7-4F2F-AA81-AF2572EE8604}"/>
    <cellStyle name="_05BudgetPVDSummary_09budget 081022" xfId="792" xr:uid="{BD9C5B21-D7D2-42FE-897A-2EB91E88013A}"/>
    <cellStyle name="_05BudgetPVDSummary_09'CV市况(按11.08发布值测算)" xfId="793" xr:uid="{D8D54685-9D6B-42EB-BF12-605C51640196}"/>
    <cellStyle name="_05BudgetPVDSummary_2009_TDC_MonthlyActual" xfId="794" xr:uid="{6CD4E005-D7BD-4E9F-9C61-2913A4DD21DB}"/>
    <cellStyle name="_05BudgetPVDSummary_2009年VME車種別(20100303)" xfId="795" xr:uid="{FD9AE227-D909-4C50-B666-1DFD7BF1ABA6}"/>
    <cellStyle name="_05BudgetPVDSummary_CY09 material risk compare-0615-16 LP" xfId="796" xr:uid="{35A02B1C-1701-4BF5-A734-6B91012C31CE}"/>
    <cellStyle name="_05BudgetPVDSummary_ＣＹ10予算見直し後(600K モデル別)" xfId="797" xr:uid="{955165BB-0E20-48E9-BFCF-D04A2BD64239}"/>
    <cellStyle name="_05BudgetPVDSummary_FCF_FY12 BUD Simulation Excel PKG for Auto_v2" xfId="798" xr:uid="{C6859888-23C4-4EBD-8ED5-F279937216AE}"/>
    <cellStyle name="_05BudgetPVDSummary_FY09 material forecast5+7 0616 for financial report" xfId="799" xr:uid="{EAB3EF27-EDD2-43C7-9F8F-9AE16C02C219}"/>
    <cellStyle name="_05BudgetPVDSummary_FY10 FC#2 Pricing Analysis to Central" xfId="800" xr:uid="{993A1061-432F-42D4-ACAD-046C7F5F43F6}"/>
    <cellStyle name="_05BudgetPVDSummary_FY12 BP_Simulation information PKG_R" xfId="801" xr:uid="{3D3595B3-88F4-44F6-9633-ED0C718DE761}"/>
    <cellStyle name="_05BudgetPVDSummary_J11J MC+Elongation(松）" xfId="802" xr:uid="{D3A1423D-76CF-432A-AE4B-6D4F2B464219}"/>
    <cellStyle name="_05BudgetPVDSummary_L11K MC TDC 090306 (2)" xfId="803" xr:uid="{F51DEF3D-F47B-47A7-B415-837CBB2ACB39}"/>
    <cellStyle name="_05BudgetPVDSummary_L42F TDC KKJ SOP 2010 Dec (090929) with MC (2)" xfId="804" xr:uid="{86A9C15D-8B2D-4D9B-BF49-65ECFEEFF47A}"/>
    <cellStyle name="_05BudgetPVDSummary_N11J MC+Elongation(松）" xfId="805" xr:uid="{5C19E1FB-807A-4362-B523-D0BD780889E6}"/>
    <cellStyle name="_05BudgetPVDSummary_NI_Forecast_FY10_120110" xfId="806" xr:uid="{D71F72B5-E68E-40E0-8EBD-9CCE74DE9449}"/>
    <cellStyle name="_05BudgetPVDSummary_P32E MC TDC with MC (100206)" xfId="807" xr:uid="{3C31A706-0E89-4818-B523-248797707B61}"/>
    <cellStyle name="_05BudgetPVDSummary_P32L LCP TDC Case3 (0900221)" xfId="808" xr:uid="{645375BD-5D1C-4D41-A119-D9E6099F0407}"/>
    <cellStyle name="_05BudgetPVDSummary_Tax Expense FY10 7x5 to FPA 113010" xfId="809" xr:uid="{41A878B2-AA6D-4EEC-AF65-2722CD702B79}"/>
    <cellStyle name="_05BudgetPVDSummary_TDC SUMMARY SHEET for MTP (version 2.1 100526)" xfId="810" xr:uid="{7047CC93-D3E7-48F3-9BEB-53E2589C7D49}"/>
    <cellStyle name="_05BudgetPVDSummary_TDC SUMMARY SHEET for MTP (version 3.0 100526)" xfId="811" xr:uid="{C11253A0-56E1-400A-B177-8AD04E41D7CB}"/>
    <cellStyle name="_05BudgetPVDSummary_Volume Assumption &amp; Current Models" xfId="812" xr:uid="{CDD94527-61A1-4B07-B7F9-A6A77FEB6298}"/>
    <cellStyle name="_05BudgetPVDSummary_コピー ～ 2009年5＋7 售  (47万台）(090619) (予算Ｆｉｎａｌ＆Variable変更　補正版)" xfId="813" xr:uid="{8854C5A1-68DC-440A-8DC2-AA1326AECB8C}"/>
    <cellStyle name="_05Foc#2DFLのTDC" xfId="814" xr:uid="{4B88EEDC-9BE8-4066-991E-E435CE2789B6}"/>
    <cellStyle name="_05GZFS损益预算第一版11.10" xfId="815" xr:uid="{00B10F5D-4870-4360-8FAA-527062CC8BF0}"/>
    <cellStyle name="_05GZFS损益预算第一版11.10 2" xfId="816" xr:uid="{1040B575-5E8C-42F5-8496-A8D3F57B1E77}"/>
    <cellStyle name="_05GZFS损益预算第一版11.10 2 2" xfId="817" xr:uid="{5CC22E12-10F6-4B5D-9789-1465FC563A55}"/>
    <cellStyle name="_05GZFS损益预算第一版11.10 2 2 2" xfId="818" xr:uid="{1BD8792F-50E7-49E9-B00F-326CE14FFF09}"/>
    <cellStyle name="_05GZFS损益预算第一版11.10 2 2 2 2" xfId="819" xr:uid="{8541B0BB-F792-4F17-991A-E19FF68C1A41}"/>
    <cellStyle name="_05GZFS损益预算第一版11.10 2 2 2 2 2" xfId="25471" xr:uid="{C1A0B60C-C502-4D4F-9933-FFAB21C4201C}"/>
    <cellStyle name="_05GZFS损益预算第一版11.10 2 2 3" xfId="820" xr:uid="{96993337-76D6-43AB-BA8D-9913A51C5227}"/>
    <cellStyle name="_05GZFS损益预算第一版11.10 2 2 4" xfId="821" xr:uid="{916FA708-1A73-4FE6-BE06-97DC490046F5}"/>
    <cellStyle name="_05GZFS损益预算第一版11.10 2 2 4 2" xfId="25472" xr:uid="{5F6F1D2B-7CF7-495D-B3D1-48864C881735}"/>
    <cellStyle name="_05GZFS损益预算第一版11.10 2_FY13 Budget Simulation Excel PKG for Auto by company" xfId="822" xr:uid="{6B8F5B0B-532E-47A4-BB9F-B61D053987B0}"/>
    <cellStyle name="_05GZFS损益预算第一版11.10 3" xfId="823" xr:uid="{AE15A468-6B3B-4F7F-86FE-0F070961EEF9}"/>
    <cellStyle name="_05GZFS损益预算第一版11.10 3 2" xfId="824" xr:uid="{1B6427D1-6F82-4A79-AB38-B2B8AF9912DC}"/>
    <cellStyle name="_05GZFS损益预算第一版11.10_05PLAN #1 (EN) 5.31" xfId="825" xr:uid="{7E5A1867-8226-4EF4-9B73-2489241C1F44}"/>
    <cellStyle name="_05GZFS损益预算第一版11.10_05PLAN #1 (EN) 5.31 2" xfId="826" xr:uid="{AF5B6574-895A-4121-835B-1B0C9A45EB8D}"/>
    <cellStyle name="_05GZFS损益预算第一版11.10_05PLAN #1 (EN) 5.31 2 2" xfId="827" xr:uid="{EDFEDC0D-EAB8-4A45-A6F5-A4A1E793FB76}"/>
    <cellStyle name="_05GZFS损益预算第一版11.10_05PLAN #1 (EN) 5.31 2 2 2" xfId="828" xr:uid="{9319188D-B2E8-4298-84C4-C4FBC148D214}"/>
    <cellStyle name="_05GZFS损益预算第一版11.10_05PLAN #1 (EN) 5.31 2 2 2 2" xfId="829" xr:uid="{F2E09A66-C8D5-43EC-979B-43EA65A43B95}"/>
    <cellStyle name="_05GZFS损益预算第一版11.10_05PLAN #1 (EN) 5.31 2 2 2 2 2" xfId="25473" xr:uid="{CD7BF535-414F-4D29-864C-AC95A1482D7F}"/>
    <cellStyle name="_05GZFS损益预算第一版11.10_05PLAN #1 (EN) 5.31 2 2 3" xfId="830" xr:uid="{D3329598-D2DB-4884-8A92-A610E4D445C2}"/>
    <cellStyle name="_05GZFS损益预算第一版11.10_05PLAN #1 (EN) 5.31 2 2 4" xfId="831" xr:uid="{4C735F9A-176A-4AF9-AE33-AEC55AF30407}"/>
    <cellStyle name="_05GZFS损益预算第一版11.10_05PLAN #1 (EN) 5.31 2 2 4 2" xfId="25474" xr:uid="{CE570C5B-1ED7-4AE2-98BD-873A7990CADE}"/>
    <cellStyle name="_05GZFS损益预算第一版11.10_05PLAN #1 (EN) 5.31 2_FY13 Budget Simulation Excel PKG for Auto by company" xfId="832" xr:uid="{DEA81DFC-EF86-4DFB-8B23-0873C421AB87}"/>
    <cellStyle name="_05GZFS损益预算第一版11.10_05PLAN #1 (EN) 5.31 3" xfId="833" xr:uid="{16CC3064-CA55-443E-B4EC-6A37558DA140}"/>
    <cellStyle name="_05GZFS损益预算第一版11.10_05PLAN #1 (EN) 5.31 3 2" xfId="834" xr:uid="{16110CC7-034C-46D1-952D-0B722AFA2FEA}"/>
    <cellStyle name="_05GZFS损益预算第一版11.10_05PLAN #1 (EN) 5.31_08 budget 071018" xfId="835" xr:uid="{B2DE21BB-DA42-4470-8338-8352B100A5BF}"/>
    <cellStyle name="_05GZFS损益预算第一版11.10_05PLAN #1 (EN) 5.31_08 budget 071018 2" xfId="836" xr:uid="{5DBB8ED1-8E8F-42EB-8BC5-6BD42F15F8F6}"/>
    <cellStyle name="_05GZFS损益预算第一版11.10_05PLAN #1 (EN) 5.31_08 budget 071018 2 2" xfId="837" xr:uid="{98C52B3C-BD6B-4510-9121-F741C83D76BA}"/>
    <cellStyle name="_05GZFS损益预算第一版11.10_05PLAN #1 (EN) 5.31_08 budget 071018 2 2 2" xfId="25475" xr:uid="{052E2C69-E354-4749-A4AD-636B819B7605}"/>
    <cellStyle name="_05GZFS损益预算第一版11.10_05PLAN #1 (EN) 5.31_'08 budget TDC" xfId="838" xr:uid="{9A098BA0-C315-4CC8-9533-1FB25B7AAE7F}"/>
    <cellStyle name="_05GZFS损益预算第一版11.10_05PLAN #1 (EN) 5.31_'08 budget TDC 2" xfId="839" xr:uid="{187BF0CE-3262-4FBE-B1E3-02667997C531}"/>
    <cellStyle name="_05GZFS损益预算第一版11.10_05PLAN #1 (EN) 5.31_'08 budget TDC 2 2" xfId="840" xr:uid="{16C4D1D6-5314-43B4-8847-54C505B5155B}"/>
    <cellStyle name="_05GZFS损益预算第一版11.10_05PLAN #1 (EN) 5.31_'08 budget TDC 2 2 2" xfId="25476" xr:uid="{7A4699FE-190D-4E87-B6AF-2B97EFF6FDA6}"/>
    <cellStyle name="_05GZFS损益预算第一版11.10_05PLAN #1 (EN) 5.31_DFL FY13 Simulation Data version 1010-2(A7C)" xfId="841" xr:uid="{F0538080-4D35-4147-80C5-5990942AE509}"/>
    <cellStyle name="_05GZFS损益预算第一版11.10_05PLAN #1 (EN) 5.31_DFL FY13 Simulation Data version 1010-2(A7C) 2" xfId="842" xr:uid="{35083CD7-0FBD-4693-BD2C-61F39827A445}"/>
    <cellStyle name="_05GZFS损益预算第一版11.10_05PLAN #1 (EN) 5.31_DFL FY13 Simulation Data version 1010-2(A7C) 2 2" xfId="843" xr:uid="{627686D4-94F8-4FB5-B836-0B932E04403A}"/>
    <cellStyle name="_05GZFS损益预算第一版11.10_05PLAN #1 (EN) 5.31_DFL FY13 Simulation Data version 1010-2(A7C) 2 2 2" xfId="844" xr:uid="{39E75D18-5FF8-4EFA-8FCA-3F043FC6E91B}"/>
    <cellStyle name="_05GZFS损益预算第一版11.10_05PLAN #1 (EN) 5.31_DFL FY13 Simulation Data version 1010-2(A7C) 2 2 2 2" xfId="25477" xr:uid="{CE7D85D2-7610-4C7A-BE95-7AE7F623F2FE}"/>
    <cellStyle name="_05GZFS损益预算第一版11.10_05PLAN #1 (EN) 5.31_DFL FY13 Simulation Data version 1010-2(A7C) 2 3" xfId="845" xr:uid="{38824A70-9E4A-49C5-917A-0CA619ECB671}"/>
    <cellStyle name="_05GZFS损益预算第一版11.10_05PLAN #1 (EN) 5.31_DFL FY13 Simulation Data version 1010-2(A7C) 2 4" xfId="846" xr:uid="{9B0E6A2C-FF8D-48D6-BA7A-2EC0F600154E}"/>
    <cellStyle name="_05GZFS损益预算第一版11.10_05PLAN #1 (EN) 5.31_DFL FY13 Simulation Data version 1010-2(A7C) 2 4 2" xfId="25478" xr:uid="{565AB294-27F1-4D13-805D-2E43866D8741}"/>
    <cellStyle name="_05GZFS损益预算第一版11.10_05PLAN #1 (EN) 5.31_DFL FY13 Simulation Data version 1010-2(A7C) 3" xfId="847" xr:uid="{28E70E61-FA64-4E1A-BB7A-5A93C8E49536}"/>
    <cellStyle name="_05GZFS损益预算第一版11.10_05PLAN #1 (EN) 5.31_DFL FY13 Simulation Data version 1010-2(A7C) 3 2" xfId="25479" xr:uid="{B4314D84-D4FC-42CD-BE3D-79CF28C5CB0D}"/>
    <cellStyle name="_05GZFS损益预算第一版11.10_05PLAN #1 (EN) 5.31_DFL FY13 Simulation Data version 1010-2(A7C)_FY13 Budget Simulation Excel PKG for Auto by company" xfId="848" xr:uid="{9AD4043A-86C3-4B0E-A54F-6991D3988F0F}"/>
    <cellStyle name="_05GZFS损益预算第一版11.10_05PLAN #1 (EN) 5.31_FY08 Retail Volume April Report 090409" xfId="849" xr:uid="{F6BA836D-C2A9-4584-9097-18B0329F5CE8}"/>
    <cellStyle name="_05GZFS损益预算第一版11.10_05PLAN #1 (EN) 5.31_FY08 Retail Volume April Report 090409 2" xfId="850" xr:uid="{694C0648-CF44-4F3F-9854-DEF2161068BA}"/>
    <cellStyle name="_05GZFS损益预算第一版11.10_05PLAN #1 (EN) 5.31_FY08 Retail Volume April Report 090409 2 2" xfId="25480" xr:uid="{2E90B6C1-F875-4595-869B-99F318E55827}"/>
    <cellStyle name="_05GZFS损益预算第一版11.10_05PLAN #1 (EN) 5.31_FY09 CNTRL Outlook June-Latest0619-Final Retail" xfId="851" xr:uid="{6620A157-6154-48FD-A568-B83320191BAC}"/>
    <cellStyle name="_05GZFS损益预算第一版11.10_05PLAN #1 (EN) 5.31_FY09 Landing Scenarios" xfId="852" xr:uid="{11177937-EE29-49E4-8AD4-0909E8AC28C2}"/>
    <cellStyle name="_05GZFS损益预算第一版11.10_05PLAN #1 (EN) 5.31_FY09 Landing Scenarios_Flash Volume Summary-PER01-rv1" xfId="853" xr:uid="{A1AE0560-6883-4B1B-A06E-E332CD83B17C}"/>
    <cellStyle name="_05GZFS损益预算第一版11.10_05PLAN #1 (EN) 5.31_FY09 Landing Scenarios_Flash Volume Summary-PER02" xfId="854" xr:uid="{63D80219-4EF1-4844-BCC9-2C966215FF3E}"/>
    <cellStyle name="_05GZFS损益预算第一版11.10_05PLAN #1 (EN) 5.31_FY09 Landing Scenarios_Flash Volume Summary-PER04" xfId="855" xr:uid="{C1A6AC94-E8A8-473E-AD67-FD4A8DE242E6}"/>
    <cellStyle name="_05GZFS损益预算第一版11.10_05PLAN #1 (EN) 5.31_FY09 Landing Scenarios_Flash Volume Summary-PER0自分用2" xfId="856" xr:uid="{5E0D2FDF-8703-4D66-B33C-C0F97507C984}"/>
    <cellStyle name="_05GZFS损益预算第一版11.10_05PLAN #1 (EN) 5.31_FY09 Landing Scenarios_Flash Volume Summary-PER10" xfId="857" xr:uid="{FD8530E8-1996-40A3-99AE-0F6CED1E4333}"/>
    <cellStyle name="_05GZFS损益预算第一版11.10_05PLAN #1 (EN) 5.31_FY09 Landing Scenarios_Flash Volume Summary-PER10 for Central" xfId="858" xr:uid="{F3B85952-DB4B-4F64-A022-51C081F99ED5}"/>
    <cellStyle name="_05GZFS损益预算第一版11.10_05PLAN #1 (EN) 5.31_FY09 Q1 Results_Volume MS Exp_July EC" xfId="859" xr:uid="{3072B11E-CD7B-4255-8297-5AA1CCEE7897}"/>
    <cellStyle name="_05GZFS损益预算第一版11.10_05PLAN #1 (EN) 5.31_FY09 Q1 Results_Volume MS Exp_July EC 2" xfId="860" xr:uid="{422B7427-B40B-4148-A9B7-1D3C7237039F}"/>
    <cellStyle name="_05GZFS损益预算第一版11.10_05PLAN #1 (EN) 5.31_FY09 Q1 Results_Volume MS Exp_July EC 2 2" xfId="25481" xr:uid="{BF356FC9-EAE8-4944-8F0D-F38EACC92D73}"/>
    <cellStyle name="_05GZFS损益预算第一版11.10_05PLAN #1 (EN) 5.31_FY09 Q1 Results_Volume MS Exp_July EC v2" xfId="861" xr:uid="{4D0483E2-B2B6-46A6-9588-D52468872565}"/>
    <cellStyle name="_05GZFS损益预算第一版11.10_05PLAN #1 (EN) 5.31_FY09 Retail Volume May Report 090513" xfId="862" xr:uid="{600F84D7-7B7E-472D-964F-B4ED6C07B39E}"/>
    <cellStyle name="_05GZFS损益预算第一版11.10_05PLAN #1 (EN) 5.31_FY09 Retail Volume May Report 090513_Flash Volume Summary-PER01-rv1" xfId="863" xr:uid="{34493EDD-A586-45FC-89DD-6A860012C0B9}"/>
    <cellStyle name="_05GZFS损益预算第一版11.10_05PLAN #1 (EN) 5.31_FY09 Retail Volume May Report 090513_Flash Volume Summary-PER02" xfId="864" xr:uid="{DE10C931-E8D6-4371-BCA9-9BDB9A60C041}"/>
    <cellStyle name="_05GZFS损益预算第一版11.10_05PLAN #1 (EN) 5.31_FY09 Retail Volume May Report 090513_Flash Volume Summary-PER04" xfId="865" xr:uid="{A79A1B68-E56D-4804-9202-C4994DD1E64D}"/>
    <cellStyle name="_05GZFS损益预算第一版11.10_05PLAN #1 (EN) 5.31_FY09 Retail Volume May Report 090513_Flash Volume Summary-PER0自分用2" xfId="866" xr:uid="{78E86CE4-B13F-430C-BE7A-31D11815E4F5}"/>
    <cellStyle name="_05GZFS损益预算第一版11.10_05PLAN #1 (EN) 5.31_FY09 Retail Volume May Report 090513_Flash Volume Summary-PER10" xfId="867" xr:uid="{E85AFB15-5DC4-4F31-AA40-13234FE24DC2}"/>
    <cellStyle name="_05GZFS损益预算第一版11.10_05PLAN #1 (EN) 5.31_FY09 Retail Volume May Report 090513_Flash Volume Summary-PER10 for Central" xfId="868" xr:uid="{8CF2062D-5AD8-426C-8BBF-6B5523DD912A}"/>
    <cellStyle name="_05GZFS损益预算第一版11.10_05PLAN #1 (EN) 5.31_FY09 WS Volume Report_April YTD_090527-Monthly Budget Updated" xfId="869" xr:uid="{68AD42E7-8738-4665-8EB4-92051A79AF0C}"/>
    <cellStyle name="_05GZFS损益预算第一版11.10_05PLAN #1 (EN) 5.31_FY09 WS Volume Report_April YTD_090527-Monthly Budget Updated 2" xfId="870" xr:uid="{6BA42900-876F-43F1-A064-A9511820E9A4}"/>
    <cellStyle name="_05GZFS损益预算第一版11.10_05PLAN #1 (EN) 5.31_FY09 WS Volume Report_April YTD_090527-Monthly Budget Updated 2 2" xfId="25482" xr:uid="{CCC79F22-1FD9-40D7-90F9-DB32A5CFCBBE}"/>
    <cellStyle name="_05GZFS损益预算第一版11.10_05PLAN #1 (EN) 5.31_FY10 FC#2 Pricing Analysis to Central" xfId="871" xr:uid="{73CA70C5-960A-4922-B341-326A16158995}"/>
    <cellStyle name="_05GZFS损益预算第一版11.10_05PLAN #1 (EN) 5.31_FY10 Q3 YTD_Volume Detail_v2_FINAL" xfId="872" xr:uid="{59455666-31D5-41B6-A251-A9ADB2CB16DD}"/>
    <cellStyle name="_05GZFS损益预算第一版11.10_05PLAN #1 (EN) 5.31_FY13 Budget Simulation Excel PKG for Auto by company" xfId="873" xr:uid="{008753B7-BD01-499B-BBB6-E5F88CB112CE}"/>
    <cellStyle name="_05GZFS损益预算第一版11.10_05PLAN #1 (EN) 5.31_June_FY09 Retail Volume_090713" xfId="874" xr:uid="{BBE25C71-36A3-4D5B-8D97-0E560D0E8B93}"/>
    <cellStyle name="_05GZFS损益预算第一版11.10_05PLAN #1 (EN) 5.31_June_FY09 Retail Volume_090713 2" xfId="875" xr:uid="{2F295022-3F63-46D1-ACC6-27A9B393F73A}"/>
    <cellStyle name="_05GZFS损益预算第一版11.10_05PLAN #1 (EN) 5.31_June_FY09 Retail Volume_090713 2 2" xfId="25483" xr:uid="{528F69C6-88D5-4DBC-8DFF-E683931CC1C5}"/>
    <cellStyle name="_05GZFS损益预算第一版11.10_05PLAN #1 (EN) 5.31_L11K Impact vs. Budget" xfId="876" xr:uid="{FEA50F60-2496-4A55-B74B-05FFB6597F8E}"/>
    <cellStyle name="_05GZFS损益预算第一版11.10_05PLAN #1 (EN) 5.31_L11K Impact vs. Budget 2" xfId="877" xr:uid="{ED15D542-10E1-49EC-B1D9-C34A6245977E}"/>
    <cellStyle name="_05GZFS损益预算第一版11.10_05PLAN #1 (EN) 5.31_L11K Impact vs. Budget 2 2" xfId="878" xr:uid="{4103852C-BF83-42BB-BB2F-15513813485E}"/>
    <cellStyle name="_05GZFS损益预算第一版11.10_05PLAN #1 (EN) 5.31_L11K Impact vs. Budget 2 2 2" xfId="25484" xr:uid="{09133025-81C1-4747-9E6D-18E5F50FA51E}"/>
    <cellStyle name="_05GZFS损益预算第一版11.10_05PLAN #1 (EN) 5.31_L11K Impact vs. Budget_L42F_MSRP TP mix k_080520" xfId="879" xr:uid="{AE768044-5AA7-4860-8284-2BCFC0529915}"/>
    <cellStyle name="_05GZFS损益预算第一版11.10_05PLAN #1 (EN) 5.31_L11K Impact vs. Budget_L42F_MSRP TP mix k_080520 2" xfId="880" xr:uid="{17AF3E43-ED93-46DE-B39C-0D790892071F}"/>
    <cellStyle name="_05GZFS损益预算第一版11.10_05PLAN #1 (EN) 5.31_L11K Impact vs. Budget_L42F_MSRP TP mix k_080520 2 2" xfId="881" xr:uid="{862AEA7E-9360-4248-B18E-FDFA929FAB01}"/>
    <cellStyle name="_05GZFS损益预算第一版11.10_05PLAN #1 (EN) 5.31_L11K Impact vs. Budget_L42F_MSRP TP mix k_080520 2 2 2" xfId="25485" xr:uid="{CC9765FC-64C1-4CB8-B405-1857A0910976}"/>
    <cellStyle name="_05GZFS损益预算第一版11.10_05PLAN #1 (EN) 5.31_L11K Impact vs. Budget_L42F_MSRP TP mix k_080528" xfId="882" xr:uid="{67574890-AD6F-4A2A-838B-6AB1C2A1F271}"/>
    <cellStyle name="_05GZFS损益预算第一版11.10_05PLAN #1 (EN) 5.31_L11K Impact vs. Budget_L42F_MSRP TP mix k_080528 2" xfId="883" xr:uid="{A6335585-4C85-431C-9951-1657F11668DC}"/>
    <cellStyle name="_05GZFS损益预算第一版11.10_05PLAN #1 (EN) 5.31_L11K Impact vs. Budget_L42F_MSRP TP mix k_080528 2 2" xfId="884" xr:uid="{5F470643-A5EE-472E-AF80-CD231157414C}"/>
    <cellStyle name="_05GZFS损益预算第一版11.10_05PLAN #1 (EN) 5.31_L11K Impact vs. Budget_L42F_MSRP TP mix k_080528 2 2 2" xfId="25486" xr:uid="{4DF4752D-607B-42F3-A0BD-34C17CCDE683}"/>
    <cellStyle name="_05GZFS损益预算第一版11.10_05PLAN #1 (EN) 5.31_L11K Impact vs. Budget_P32E TDC for Final MPR(080912 31K Base)---from zhangtao" xfId="885" xr:uid="{2E32A899-8C0B-4F35-810E-55118F6B3331}"/>
    <cellStyle name="_05GZFS损益预算第一版11.10_05PLAN #1 (EN) 5.31_L11K Impact vs. Budget_P32E TDC for Final MPR(080912 31K Base)---from zhangtao 2" xfId="886" xr:uid="{DCE9CD23-FF6C-485C-9983-2BC92480F1F7}"/>
    <cellStyle name="_05GZFS损益预算第一版11.10_05PLAN #1 (EN) 5.31_L11K Impact vs. Budget_P32E TDC for Final MPR(080912 31K Base)---from zhangtao 2 2" xfId="887" xr:uid="{9458D464-B782-4CF7-844E-5FF02AB98E55}"/>
    <cellStyle name="_05GZFS损益预算第一版11.10_05PLAN #1 (EN) 5.31_L11K Impact vs. Budget_P32E TDC for Final MPR(080912 31K Base)---from zhangtao 2 2 2" xfId="25487" xr:uid="{1C43D478-AE9F-42E5-8DB2-D536CBFD6A1E}"/>
    <cellStyle name="_05GZFS损益预算第一版11.10_05PLAN #1 (EN) 5.31_L42F_MSRP TP mix k_080520" xfId="888" xr:uid="{2146B277-CEC8-4F7D-9D77-6BBD3BB04DDE}"/>
    <cellStyle name="_05GZFS损益预算第一版11.10_05PLAN #1 (EN) 5.31_L42F_MSRP TP mix k_080520 2" xfId="889" xr:uid="{77983A0E-44DB-43A0-98A1-9DA9586C3641}"/>
    <cellStyle name="_05GZFS损益预算第一版11.10_05PLAN #1 (EN) 5.31_L42F_MSRP TP mix k_080520 2 2" xfId="890" xr:uid="{6DD5E6F5-2608-463A-A44B-784384FE7A64}"/>
    <cellStyle name="_05GZFS损益预算第一版11.10_05PLAN #1 (EN) 5.31_L42F_MSRP TP mix k_080520 2 2 2" xfId="25488" xr:uid="{D22713B6-19A4-4524-990A-6007D8DC1CE5}"/>
    <cellStyle name="_05GZFS损益预算第一版11.10_05PLAN #1 (EN) 5.31_L42F_MSRP TP mix k_080528" xfId="891" xr:uid="{990FF7C1-2CEA-48C7-A7AC-234712E6B2D1}"/>
    <cellStyle name="_05GZFS损益预算第一版11.10_05PLAN #1 (EN) 5.31_L42F_MSRP TP mix k_080528 2" xfId="892" xr:uid="{DB7DD75D-C8C9-4F73-AE99-F86AB4ED2C67}"/>
    <cellStyle name="_05GZFS损益预算第一版11.10_05PLAN #1 (EN) 5.31_L42F_MSRP TP mix k_080528 2 2" xfId="893" xr:uid="{2AAA6D8E-B7C4-4F54-8A0E-B37E030EE9AF}"/>
    <cellStyle name="_05GZFS损益预算第一版11.10_05PLAN #1 (EN) 5.31_L42F_MSRP TP mix k_080528 2 2 2" xfId="25489" xr:uid="{C08CAAF9-D158-4B4E-B158-A72F2640DC05}"/>
    <cellStyle name="_05GZFS损益预算第一版11.10_05PLAN #1 (EN) 5.31_May_FY09 Retail Volume_090615" xfId="894" xr:uid="{466FE7E2-6277-4F7A-A137-85349901CC3E}"/>
    <cellStyle name="_05GZFS损益预算第一版11.10_05PLAN #1 (EN) 5.31_May_FY09 Retail Volume_090615 2" xfId="895" xr:uid="{297498DC-CB45-45C7-8D40-5A16DDDA027C}"/>
    <cellStyle name="_05GZFS损益预算第一版11.10_05PLAN #1 (EN) 5.31_May_FY09 Retail Volume_090615 2 2" xfId="25490" xr:uid="{88AA2416-ECE7-4A82-AB07-940983B41CD9}"/>
    <cellStyle name="_05GZFS损益预算第一版11.10_05PLAN #1 (EN) 5.31_P32E TDC for Final MPR(080912 31K Base)---from zhangtao" xfId="896" xr:uid="{D52C939B-BD68-474D-851F-E7510CC46617}"/>
    <cellStyle name="_05GZFS损益预算第一版11.10_05PLAN #1 (EN) 5.31_P32E TDC for Final MPR(080912 31K Base)---from zhangtao 2" xfId="897" xr:uid="{904F8AEA-59F1-4C46-9532-C9CDB3289FEA}"/>
    <cellStyle name="_05GZFS损益预算第一版11.10_05PLAN #1 (EN) 5.31_P32E TDC for Final MPR(080912 31K Base)---from zhangtao 2 2" xfId="898" xr:uid="{8B9AC1E7-DAF6-4C5C-B77E-2138E2D73599}"/>
    <cellStyle name="_05GZFS损益预算第一版11.10_05PLAN #1 (EN) 5.31_P32E TDC for Final MPR(080912 31K Base)---from zhangtao 2 2 2" xfId="25491" xr:uid="{DB47C0E8-FF55-484A-9569-69B455EB94C3}"/>
    <cellStyle name="_05GZFS损益预算第一版11.10_05PLAN #1 (EN) 5.31_Steel hike calculate base-20080523" xfId="899" xr:uid="{4B1CC33E-E8F2-4E5F-B7E8-C08DFA0E8FBA}"/>
    <cellStyle name="_05GZFS损益预算第一版11.10_05PLAN #1 (EN) 5.31_Steel hike calculate base-20080523 2" xfId="900" xr:uid="{ACA1EDFF-6CF6-4696-95C3-B1DD180CFB93}"/>
    <cellStyle name="_05GZFS损益预算第一版11.10_05PLAN #1 (EN) 5.31_Steel hike calculate base-20080523 2 2" xfId="901" xr:uid="{07392C9A-F86F-4F5E-9413-5DC396C9AF3D}"/>
    <cellStyle name="_05GZFS损益预算第一版11.10_05PLAN #1 (EN) 5.31_Steel hike calculate base-20080523 2 2 2" xfId="902" xr:uid="{D42C28FF-0FEF-4D80-9B00-3FD09D1D8A1F}"/>
    <cellStyle name="_05GZFS损益预算第一版11.10_05PLAN #1 (EN) 5.31_Steel hike calculate base-20080523 2 2 2 2" xfId="903" xr:uid="{4DC9E39B-7DC2-48B4-840A-8A16FBF82657}"/>
    <cellStyle name="_05GZFS损益预算第一版11.10_05PLAN #1 (EN) 5.31_Steel hike calculate base-20080523 2 2 2 2 2" xfId="25492" xr:uid="{F95A33CD-0469-401A-9556-338147DA9D2D}"/>
    <cellStyle name="_05GZFS损益预算第一版11.10_05PLAN #1 (EN) 5.31_Steel hike calculate base-20080523 2 2 3" xfId="904" xr:uid="{F8A71C23-58D7-4674-9143-B2D521A10864}"/>
    <cellStyle name="_05GZFS损益预算第一版11.10_05PLAN #1 (EN) 5.31_Steel hike calculate base-20080523 2 2 4" xfId="905" xr:uid="{69E7E049-6358-4D1F-9809-9C66B36739E1}"/>
    <cellStyle name="_05GZFS损益预算第一版11.10_05PLAN #1 (EN) 5.31_Steel hike calculate base-20080523 2 2 4 2" xfId="25493" xr:uid="{D6E2F266-8B8B-484A-B06A-B6C59CAD1C71}"/>
    <cellStyle name="_05GZFS损益预算第一版11.10_05PLAN #1 (EN) 5.31_Steel hike calculate base-20080523 2 3" xfId="906" xr:uid="{4D8377E2-9F7C-4C25-8824-5687AD1D2308}"/>
    <cellStyle name="_05GZFS损益预算第一版11.10_05PLAN #1 (EN) 5.31_Steel hike calculate base-20080523 2 3 2" xfId="25494" xr:uid="{9F6A4131-BF2D-4918-9AA5-97894115D75A}"/>
    <cellStyle name="_05GZFS损益预算第一版11.10_05PLAN #1 (EN) 5.31_Steel hike calculate base-20080523 2_FY13 Budget Simulation Excel PKG for Auto by company" xfId="907" xr:uid="{08ACA464-A5F5-46A8-BA4C-DCC4168048B4}"/>
    <cellStyle name="_05GZFS损益预算第一版11.10_05PLAN #1 (EN) 5.31_Steel hike calculate base-20080523 3" xfId="908" xr:uid="{79B83FCA-22D6-4985-82BB-27153D59108D}"/>
    <cellStyle name="_05GZFS损益预算第一版11.10_05PLAN #1 (EN) 5.31_Steel hike calculate base-20080523 4" xfId="909" xr:uid="{CDAE5863-9A20-433A-B7FE-8318054B9C7B}"/>
    <cellStyle name="_05GZFS损益预算第一版11.10_05PLAN #1 (EN) 5.31_Steel hike calculate base-20080523 4 2" xfId="25495" xr:uid="{D07E7CBB-51F0-46B0-9200-0E098200FC41}"/>
    <cellStyle name="_05GZFS损益预算第一版11.10_05PLAN #1 (EN) 5.31_Steel hike calculate base-20080523_DFL FY13 Simulation Data version 1010-2(A7C)" xfId="910" xr:uid="{F58D6B24-17DF-43E4-85DF-FAB6DF9F7D6B}"/>
    <cellStyle name="_05GZFS损益预算第一版11.10_05PLAN #1 (EN) 5.31_Steel hike calculate base-20080523_DFL FY13 Simulation Data version 1010-2(A7C) 2" xfId="911" xr:uid="{87D6CB8A-5B61-4A32-83E5-9430E61D2A5E}"/>
    <cellStyle name="_05GZFS损益预算第一版11.10_05PLAN #1 (EN) 5.31_Steel hike calculate base-20080523_DFL FY13 Simulation Data version 1010-2(A7C) 2 2" xfId="912" xr:uid="{A55C2E83-6FD6-40B8-A3B6-D535959D7E62}"/>
    <cellStyle name="_05GZFS损益预算第一版11.10_05PLAN #1 (EN) 5.31_Steel hike calculate base-20080523_DFL FY13 Simulation Data version 1010-2(A7C) 2 2 2" xfId="913" xr:uid="{E2943FC3-0C97-4374-AED3-870B1800E115}"/>
    <cellStyle name="_05GZFS损益预算第一版11.10_05PLAN #1 (EN) 5.31_Steel hike calculate base-20080523_DFL FY13 Simulation Data version 1010-2(A7C) 2 2 2 2" xfId="25496" xr:uid="{CCA0D410-B66A-4F27-8769-B09A8E2C638E}"/>
    <cellStyle name="_05GZFS损益预算第一版11.10_05PLAN #1 (EN) 5.31_Steel hike calculate base-20080523_DFL FY13 Simulation Data version 1010-2(A7C) 2 3" xfId="914" xr:uid="{DFCB2239-D508-42CC-8B84-AA85794730B2}"/>
    <cellStyle name="_05GZFS损益预算第一版11.10_05PLAN #1 (EN) 5.31_Steel hike calculate base-20080523_DFL FY13 Simulation Data version 1010-2(A7C) 2 4" xfId="915" xr:uid="{656D64FD-E0CC-4457-8D0D-448110AB5185}"/>
    <cellStyle name="_05GZFS损益预算第一版11.10_05PLAN #1 (EN) 5.31_Steel hike calculate base-20080523_DFL FY13 Simulation Data version 1010-2(A7C) 2 4 2" xfId="25497" xr:uid="{083F0BA2-ABEF-4309-8CB6-3E7C6353B839}"/>
    <cellStyle name="_05GZFS损益预算第一版11.10_05PLAN #1 (EN) 5.31_Steel hike calculate base-20080523_DFL FY13 Simulation Data version 1010-2(A7C) 3" xfId="916" xr:uid="{7DC18474-22D2-426D-B389-208C43356349}"/>
    <cellStyle name="_05GZFS损益预算第一版11.10_05PLAN #1 (EN) 5.31_Steel hike calculate base-20080523_DFL FY13 Simulation Data version 1010-2(A7C) 3 2" xfId="25498" xr:uid="{50496178-6F19-479B-9371-24C674F03882}"/>
    <cellStyle name="_05GZFS损益预算第一版11.10_05PLAN #1 (EN) 5.31_Steel hike calculate base-20080523_DFL FY13 Simulation Data version 1010-2(A7C)_FY13 Budget Simulation Excel PKG for Auto by company" xfId="917" xr:uid="{BA37EA28-5C90-49B9-845B-577D0E1D67E8}"/>
    <cellStyle name="_05GZFS损益预算第一版11.10_05PLAN #1 (EN) 5.31_Steel hike calculate base-20080523_FY13 Budget Simulation Excel PKG for Auto by company" xfId="918" xr:uid="{4650D6B2-DDEC-438A-9747-D89A142A9157}"/>
    <cellStyle name="_05GZFS损益预算第一版11.10_08 budget 071018" xfId="919" xr:uid="{8EEE4412-9339-4721-B7B5-588C484C1F19}"/>
    <cellStyle name="_05GZFS损益预算第一版11.10_08 budget 071018 2" xfId="920" xr:uid="{7EAD583C-F8CD-4E8D-9502-B755785C2874}"/>
    <cellStyle name="_05GZFS损益预算第一版11.10_08 budget 071018 2 2" xfId="921" xr:uid="{F5CA10B3-91B2-457E-91A7-E5BA2FAE1F4F}"/>
    <cellStyle name="_05GZFS损益预算第一版11.10_08 budget 071018 2 2 2" xfId="25499" xr:uid="{0AE8225D-5890-412D-8125-F1C9C03C2CEC}"/>
    <cellStyle name="_05GZFS损益预算第一版11.10_'08 budget TDC" xfId="922" xr:uid="{DB58EA10-8C0C-4D39-9465-75F974167C4C}"/>
    <cellStyle name="_05GZFS损益预算第一版11.10_'08 budget TDC 2" xfId="923" xr:uid="{8DCD6BFB-1167-4F35-B822-E53B568ECDE1}"/>
    <cellStyle name="_05GZFS损益预算第一版11.10_'08 budget TDC 2 2" xfId="924" xr:uid="{8B120400-29A5-4E2D-A6DE-CFF21C3A9007}"/>
    <cellStyle name="_05GZFS损益预算第一版11.10_'08 budget TDC 2 2 2" xfId="25500" xr:uid="{079ECF45-906F-4E6C-959B-1075EAAF78B2}"/>
    <cellStyle name="_05GZFS损益预算第一版11.10_CVD_05PLAN (EN) 5.30.05" xfId="925" xr:uid="{427B9AF4-79EC-4B86-B0AE-20A29ADFE7A6}"/>
    <cellStyle name="_05GZFS损益预算第一版11.10_CVD_05PLAN (EN) 5.30.05 2" xfId="926" xr:uid="{99C9B26F-7DA6-43CD-B2B1-4AFCCB2C4DEC}"/>
    <cellStyle name="_05GZFS损益预算第一版11.10_CVD_05PLAN (EN) 5.30.05 2 2" xfId="927" xr:uid="{635B65C2-FD17-4A1B-BCA5-23D4877234AD}"/>
    <cellStyle name="_05GZFS损益预算第一版11.10_CVD_05PLAN (EN) 5.30.05 2 2 2" xfId="928" xr:uid="{5846988C-8628-4A0E-948C-CC7F6F2E3F0C}"/>
    <cellStyle name="_05GZFS损益预算第一版11.10_CVD_05PLAN (EN) 5.30.05 2 2 2 2" xfId="929" xr:uid="{555B69D9-B6E8-445C-B9AC-30BCA1D39F68}"/>
    <cellStyle name="_05GZFS损益预算第一版11.10_CVD_05PLAN (EN) 5.30.05 2 2 2 2 2" xfId="25501" xr:uid="{F7BBE560-8EE6-4A5D-A878-68974264B79F}"/>
    <cellStyle name="_05GZFS损益预算第一版11.10_CVD_05PLAN (EN) 5.30.05 2 2 3" xfId="930" xr:uid="{2CB08F3C-6B29-4427-82C0-81F600E55EC3}"/>
    <cellStyle name="_05GZFS损益预算第一版11.10_CVD_05PLAN (EN) 5.30.05 2 2 4" xfId="931" xr:uid="{EABD52D0-0099-4DE6-B156-585190EB57B5}"/>
    <cellStyle name="_05GZFS损益预算第一版11.10_CVD_05PLAN (EN) 5.30.05 2 2 4 2" xfId="25502" xr:uid="{4E2F53FC-1E00-4C5A-B3DE-8A93A1611EE6}"/>
    <cellStyle name="_05GZFS损益预算第一版11.10_CVD_05PLAN (EN) 5.30.05 2_FY13 Budget Simulation Excel PKG for Auto by company" xfId="932" xr:uid="{E48B022A-2503-4A85-9D75-5DD8AD48A3A0}"/>
    <cellStyle name="_05GZFS损益预算第一版11.10_CVD_05PLAN (EN) 5.30.05 3" xfId="933" xr:uid="{6BFF3307-A943-484F-927A-9513A49E8C92}"/>
    <cellStyle name="_05GZFS损益预算第一版11.10_CVD_05PLAN (EN) 5.30.05 3 2" xfId="934" xr:uid="{AFD7449F-BC5D-4C70-8F91-CD85E48CF863}"/>
    <cellStyle name="_05GZFS损益预算第一版11.10_CVD_05PLAN (EN) 5.30.05_08 budget 071018" xfId="935" xr:uid="{6B350483-BB02-4A87-BABA-18FCD49DCAA7}"/>
    <cellStyle name="_05GZFS损益预算第一版11.10_CVD_05PLAN (EN) 5.30.05_08 budget 071018 2" xfId="936" xr:uid="{F2C60B3F-DDF3-495D-B6FB-BE81123E49EF}"/>
    <cellStyle name="_05GZFS损益预算第一版11.10_CVD_05PLAN (EN) 5.30.05_08 budget 071018 2 2" xfId="937" xr:uid="{5497363E-6F12-4B3D-A958-54C352738B45}"/>
    <cellStyle name="_05GZFS损益预算第一版11.10_CVD_05PLAN (EN) 5.30.05_08 budget 071018 2 2 2" xfId="25503" xr:uid="{DC4915C0-0953-4E9E-A5E3-C432F7AED326}"/>
    <cellStyle name="_05GZFS损益预算第一版11.10_CVD_05PLAN (EN) 5.30.05_'08 budget TDC" xfId="938" xr:uid="{57B4FE9E-A7DF-428D-B2CE-50EEDBC3420C}"/>
    <cellStyle name="_05GZFS损益预算第一版11.10_CVD_05PLAN (EN) 5.30.05_'08 budget TDC 2" xfId="939" xr:uid="{0B19FA71-B134-4BFE-814C-3B1F8B7009F1}"/>
    <cellStyle name="_05GZFS损益预算第一版11.10_CVD_05PLAN (EN) 5.30.05_'08 budget TDC 2 2" xfId="940" xr:uid="{B8A6F27D-7AC8-44F5-AC28-08A235B8DCCC}"/>
    <cellStyle name="_05GZFS损益预算第一版11.10_CVD_05PLAN (EN) 5.30.05_'08 budget TDC 2 2 2" xfId="25504" xr:uid="{58A13BB9-82B9-4DF1-BD8B-4B5DFBC5BE9A}"/>
    <cellStyle name="_05GZFS损益预算第一版11.10_CVD_05PLAN (EN) 5.30.05_DFL FY13 Simulation Data version 1010-2(A7C)" xfId="941" xr:uid="{D1487F2B-5284-4A35-BBEC-14A9F32AF1E2}"/>
    <cellStyle name="_05GZFS损益预算第一版11.10_CVD_05PLAN (EN) 5.30.05_DFL FY13 Simulation Data version 1010-2(A7C) 2" xfId="942" xr:uid="{9EC74839-9884-456C-8804-CBEF786A0D99}"/>
    <cellStyle name="_05GZFS损益预算第一版11.10_CVD_05PLAN (EN) 5.30.05_DFL FY13 Simulation Data version 1010-2(A7C) 2 2" xfId="943" xr:uid="{E339F1F7-5A4C-4048-887E-FFDDEF2C7790}"/>
    <cellStyle name="_05GZFS损益预算第一版11.10_CVD_05PLAN (EN) 5.30.05_DFL FY13 Simulation Data version 1010-2(A7C) 2 2 2" xfId="944" xr:uid="{BAD13AAD-F611-4D42-B109-D555D0653BD4}"/>
    <cellStyle name="_05GZFS损益预算第一版11.10_CVD_05PLAN (EN) 5.30.05_DFL FY13 Simulation Data version 1010-2(A7C) 2 2 2 2" xfId="25505" xr:uid="{0F7F2DBD-0CCC-4119-81FE-E7B30FB4A5D9}"/>
    <cellStyle name="_05GZFS损益预算第一版11.10_CVD_05PLAN (EN) 5.30.05_DFL FY13 Simulation Data version 1010-2(A7C) 2 3" xfId="945" xr:uid="{70D4A925-ACF0-4C86-AB63-DC841F3EFDB1}"/>
    <cellStyle name="_05GZFS损益预算第一版11.10_CVD_05PLAN (EN) 5.30.05_DFL FY13 Simulation Data version 1010-2(A7C) 2 4" xfId="946" xr:uid="{8A80A1D7-0720-4F9D-878C-88852774D403}"/>
    <cellStyle name="_05GZFS损益预算第一版11.10_CVD_05PLAN (EN) 5.30.05_DFL FY13 Simulation Data version 1010-2(A7C) 2 4 2" xfId="25506" xr:uid="{F2D7FFC9-063F-4BE6-8DE2-764AD9F260B3}"/>
    <cellStyle name="_05GZFS损益预算第一版11.10_CVD_05PLAN (EN) 5.30.05_DFL FY13 Simulation Data version 1010-2(A7C) 3" xfId="947" xr:uid="{1C6DBC16-022F-4B68-B17D-C73A94EFEF53}"/>
    <cellStyle name="_05GZFS损益预算第一版11.10_CVD_05PLAN (EN) 5.30.05_DFL FY13 Simulation Data version 1010-2(A7C) 3 2" xfId="25507" xr:uid="{0C3AE29C-3831-40F0-AA41-CA42CD008A28}"/>
    <cellStyle name="_05GZFS损益预算第一版11.10_CVD_05PLAN (EN) 5.30.05_DFL FY13 Simulation Data version 1010-2(A7C)_FY13 Budget Simulation Excel PKG for Auto by company" xfId="948" xr:uid="{93C75A45-9E0A-4CE4-BA3E-C5E6E043A6AC}"/>
    <cellStyle name="_05GZFS损益预算第一版11.10_CVD_05PLAN (EN) 5.30.05_FY08 Retail Volume April Report 090409" xfId="949" xr:uid="{8BB1E1C8-173D-462F-9EB8-EBDD37A15EF0}"/>
    <cellStyle name="_05GZFS损益预算第一版11.10_CVD_05PLAN (EN) 5.30.05_FY08 Retail Volume April Report 090409 2" xfId="950" xr:uid="{C6BEF33B-830B-46C7-B4AD-E956C7EDB770}"/>
    <cellStyle name="_05GZFS损益预算第一版11.10_CVD_05PLAN (EN) 5.30.05_FY08 Retail Volume April Report 090409 2 2" xfId="25508" xr:uid="{505FAFDA-FEB0-44EC-94F8-63CF6E98C155}"/>
    <cellStyle name="_05GZFS损益预算第一版11.10_CVD_05PLAN (EN) 5.30.05_FY09 CNTRL Outlook June-Latest0619-Final Retail" xfId="951" xr:uid="{EFE7D4FD-9E56-4D6C-9428-0663EA11265E}"/>
    <cellStyle name="_05GZFS损益预算第一版11.10_CVD_05PLAN (EN) 5.30.05_FY09 Landing Scenarios" xfId="952" xr:uid="{792B7F19-1E71-436E-8D03-EF36DFFF0F5F}"/>
    <cellStyle name="_05GZFS损益预算第一版11.10_CVD_05PLAN (EN) 5.30.05_FY09 Landing Scenarios_Flash Volume Summary-PER01-rv1" xfId="953" xr:uid="{437650D6-374D-42B2-AAE6-3BD02912FBBC}"/>
    <cellStyle name="_05GZFS损益预算第一版11.10_CVD_05PLAN (EN) 5.30.05_FY09 Landing Scenarios_Flash Volume Summary-PER02" xfId="954" xr:uid="{CC317DF7-9EB2-4363-A71B-97485D9CC479}"/>
    <cellStyle name="_05GZFS损益预算第一版11.10_CVD_05PLAN (EN) 5.30.05_FY09 Landing Scenarios_Flash Volume Summary-PER04" xfId="955" xr:uid="{D2E9BDBE-6555-4CAF-93C2-199D0B65874A}"/>
    <cellStyle name="_05GZFS损益预算第一版11.10_CVD_05PLAN (EN) 5.30.05_FY09 Landing Scenarios_Flash Volume Summary-PER0自分用2" xfId="956" xr:uid="{3E82468E-C7E4-4110-842E-8C286D0A184B}"/>
    <cellStyle name="_05GZFS损益预算第一版11.10_CVD_05PLAN (EN) 5.30.05_FY09 Landing Scenarios_Flash Volume Summary-PER10" xfId="957" xr:uid="{989293E1-AD18-435E-BCF1-445BBF1F40F5}"/>
    <cellStyle name="_05GZFS损益预算第一版11.10_CVD_05PLAN (EN) 5.30.05_FY09 Landing Scenarios_Flash Volume Summary-PER10 for Central" xfId="958" xr:uid="{8EB665E5-F95C-4839-92E6-6DD0C5B2F585}"/>
    <cellStyle name="_05GZFS损益预算第一版11.10_CVD_05PLAN (EN) 5.30.05_FY09 Q1 Results_Volume MS Exp_July EC" xfId="959" xr:uid="{14ED76BF-1A0A-49C5-B82F-F518DD54042A}"/>
    <cellStyle name="_05GZFS损益预算第一版11.10_CVD_05PLAN (EN) 5.30.05_FY09 Q1 Results_Volume MS Exp_July EC 2" xfId="960" xr:uid="{5B76CBED-BCFA-4B96-9316-787B5D1BF5CA}"/>
    <cellStyle name="_05GZFS损益预算第一版11.10_CVD_05PLAN (EN) 5.30.05_FY09 Q1 Results_Volume MS Exp_July EC 2 2" xfId="25509" xr:uid="{040FCD12-0680-40F7-A38E-046077EC01FF}"/>
    <cellStyle name="_05GZFS损益预算第一版11.10_CVD_05PLAN (EN) 5.30.05_FY09 Q1 Results_Volume MS Exp_July EC v2" xfId="961" xr:uid="{F5DE3621-C16A-4098-9877-694C934F4AFA}"/>
    <cellStyle name="_05GZFS损益预算第一版11.10_CVD_05PLAN (EN) 5.30.05_FY09 Retail Volume May Report 090513" xfId="962" xr:uid="{B64BBC64-2B0E-415D-820C-1F10EBC4D54F}"/>
    <cellStyle name="_05GZFS损益预算第一版11.10_CVD_05PLAN (EN) 5.30.05_FY09 Retail Volume May Report 090513_Flash Volume Summary-PER01-rv1" xfId="963" xr:uid="{3909F284-03B7-48C5-8213-E8235DB7DA01}"/>
    <cellStyle name="_05GZFS损益预算第一版11.10_CVD_05PLAN (EN) 5.30.05_FY09 Retail Volume May Report 090513_Flash Volume Summary-PER02" xfId="964" xr:uid="{8F6581ED-C9E3-469D-8B45-5AEC64D83328}"/>
    <cellStyle name="_05GZFS损益预算第一版11.10_CVD_05PLAN (EN) 5.30.05_FY09 Retail Volume May Report 090513_Flash Volume Summary-PER04" xfId="965" xr:uid="{A855CB66-2B9B-4FC1-9B27-EF0B5E8318D6}"/>
    <cellStyle name="_05GZFS损益预算第一版11.10_CVD_05PLAN (EN) 5.30.05_FY09 Retail Volume May Report 090513_Flash Volume Summary-PER0自分用2" xfId="966" xr:uid="{5B7D9029-304D-4135-A67C-610A68A56FCE}"/>
    <cellStyle name="_05GZFS损益预算第一版11.10_CVD_05PLAN (EN) 5.30.05_FY09 Retail Volume May Report 090513_Flash Volume Summary-PER10" xfId="967" xr:uid="{F7F541BE-3A52-4021-B053-53FC740FFFC3}"/>
    <cellStyle name="_05GZFS损益预算第一版11.10_CVD_05PLAN (EN) 5.30.05_FY09 Retail Volume May Report 090513_Flash Volume Summary-PER10 for Central" xfId="968" xr:uid="{1627FA7F-2A4F-4759-A6F2-94A82F66609C}"/>
    <cellStyle name="_05GZFS损益预算第一版11.10_CVD_05PLAN (EN) 5.30.05_FY09 WS Volume Report_April YTD_090527-Monthly Budget Updated" xfId="969" xr:uid="{60446762-57C3-4386-843E-ADDA361BF8F2}"/>
    <cellStyle name="_05GZFS损益预算第一版11.10_CVD_05PLAN (EN) 5.30.05_FY09 WS Volume Report_April YTD_090527-Monthly Budget Updated 2" xfId="970" xr:uid="{DA95759F-8955-41A9-BFD9-AA0446445404}"/>
    <cellStyle name="_05GZFS损益预算第一版11.10_CVD_05PLAN (EN) 5.30.05_FY09 WS Volume Report_April YTD_090527-Monthly Budget Updated 2 2" xfId="25510" xr:uid="{A1FF2AB3-5393-4F30-BBA9-F134FC035263}"/>
    <cellStyle name="_05GZFS损益预算第一版11.10_CVD_05PLAN (EN) 5.30.05_FY10 FC#2 Pricing Analysis to Central" xfId="971" xr:uid="{D443E4BF-25C1-4014-949E-CDE4CF7F5849}"/>
    <cellStyle name="_05GZFS损益预算第一版11.10_CVD_05PLAN (EN) 5.30.05_FY10 Q3 YTD_Volume Detail_v2_FINAL" xfId="972" xr:uid="{8AB9EEC5-9CA5-4691-A18B-DC964A57D1A8}"/>
    <cellStyle name="_05GZFS损益预算第一版11.10_CVD_05PLAN (EN) 5.30.05_FY13 Budget Simulation Excel PKG for Auto by company" xfId="973" xr:uid="{18DBABE2-A262-4D6C-8362-83E989DE021E}"/>
    <cellStyle name="_05GZFS损益预算第一版11.10_CVD_05PLAN (EN) 5.30.05_June_FY09 Retail Volume_090713" xfId="974" xr:uid="{078E33C0-693C-4A93-A49B-4684968F4564}"/>
    <cellStyle name="_05GZFS损益预算第一版11.10_CVD_05PLAN (EN) 5.30.05_June_FY09 Retail Volume_090713 2" xfId="975" xr:uid="{58B20118-7CF8-4D13-A36C-676CFB6B4DDF}"/>
    <cellStyle name="_05GZFS损益预算第一版11.10_CVD_05PLAN (EN) 5.30.05_June_FY09 Retail Volume_090713 2 2" xfId="25511" xr:uid="{7BC0E94C-457D-4B42-B3CD-E6D4A9352A6B}"/>
    <cellStyle name="_05GZFS损益预算第一版11.10_CVD_05PLAN (EN) 5.30.05_L11K Impact vs. Budget" xfId="976" xr:uid="{B764D41C-EFC3-4307-A223-36D7BFD64035}"/>
    <cellStyle name="_05GZFS损益预算第一版11.10_CVD_05PLAN (EN) 5.30.05_L11K Impact vs. Budget 2" xfId="977" xr:uid="{D7E5C1B4-DA4D-4CC9-B860-558EB524D32A}"/>
    <cellStyle name="_05GZFS损益预算第一版11.10_CVD_05PLAN (EN) 5.30.05_L11K Impact vs. Budget 2 2" xfId="978" xr:uid="{1DD9D3F4-4EE4-4FBC-BE8A-F970BFBE5ADF}"/>
    <cellStyle name="_05GZFS损益预算第一版11.10_CVD_05PLAN (EN) 5.30.05_L11K Impact vs. Budget 2 2 2" xfId="25512" xr:uid="{DC2FBA9E-97F8-4811-8228-C738DEB4F6CD}"/>
    <cellStyle name="_05GZFS损益预算第一版11.10_CVD_05PLAN (EN) 5.30.05_L11K Impact vs. Budget_L42F_MSRP TP mix k_080520" xfId="979" xr:uid="{86E2D4DF-C465-4B03-B6C5-E3EA45A5157F}"/>
    <cellStyle name="_05GZFS损益预算第一版11.10_CVD_05PLAN (EN) 5.30.05_L11K Impact vs. Budget_L42F_MSRP TP mix k_080520 2" xfId="980" xr:uid="{A345E46C-1C21-417B-A822-5E89FFB2C49C}"/>
    <cellStyle name="_05GZFS损益预算第一版11.10_CVD_05PLAN (EN) 5.30.05_L11K Impact vs. Budget_L42F_MSRP TP mix k_080520 2 2" xfId="981" xr:uid="{6B1D0C07-78D8-4F66-91DD-ED6238172CB9}"/>
    <cellStyle name="_05GZFS损益预算第一版11.10_CVD_05PLAN (EN) 5.30.05_L11K Impact vs. Budget_L42F_MSRP TP mix k_080520 2 2 2" xfId="25513" xr:uid="{F7A6343A-AE02-4FA2-808E-554F4E172D33}"/>
    <cellStyle name="_05GZFS损益预算第一版11.10_CVD_05PLAN (EN) 5.30.05_L11K Impact vs. Budget_L42F_MSRP TP mix k_080528" xfId="982" xr:uid="{71E4DC4E-B7BC-4AC8-850A-1C92FB647DAD}"/>
    <cellStyle name="_05GZFS损益预算第一版11.10_CVD_05PLAN (EN) 5.30.05_L11K Impact vs. Budget_L42F_MSRP TP mix k_080528 2" xfId="983" xr:uid="{C7BE35E1-5C38-4A85-AA5F-17FCC51B3C0F}"/>
    <cellStyle name="_05GZFS损益预算第一版11.10_CVD_05PLAN (EN) 5.30.05_L11K Impact vs. Budget_L42F_MSRP TP mix k_080528 2 2" xfId="984" xr:uid="{9A90CADA-6639-4660-984F-7422943DB160}"/>
    <cellStyle name="_05GZFS损益预算第一版11.10_CVD_05PLAN (EN) 5.30.05_L11K Impact vs. Budget_L42F_MSRP TP mix k_080528 2 2 2" xfId="25514" xr:uid="{3061F363-1CD9-42E9-BCFD-C2C776838B0A}"/>
    <cellStyle name="_05GZFS损益预算第一版11.10_CVD_05PLAN (EN) 5.30.05_L11K Impact vs. Budget_P32E TDC for Final MPR(080912 31K Base)---from zhangtao" xfId="985" xr:uid="{042EBF29-5FDA-4003-BB8D-A55033ECFDA6}"/>
    <cellStyle name="_05GZFS损益预算第一版11.10_CVD_05PLAN (EN) 5.30.05_L11K Impact vs. Budget_P32E TDC for Final MPR(080912 31K Base)---from zhangtao 2" xfId="986" xr:uid="{E28D9A85-E733-42DA-BB95-11FD5C91F123}"/>
    <cellStyle name="_05GZFS损益预算第一版11.10_CVD_05PLAN (EN) 5.30.05_L11K Impact vs. Budget_P32E TDC for Final MPR(080912 31K Base)---from zhangtao 2 2" xfId="987" xr:uid="{79A93CF8-14BE-49BC-BC67-60FFE0CC63E3}"/>
    <cellStyle name="_05GZFS损益预算第一版11.10_CVD_05PLAN (EN) 5.30.05_L11K Impact vs. Budget_P32E TDC for Final MPR(080912 31K Base)---from zhangtao 2 2 2" xfId="25515" xr:uid="{E84DC6E6-98C9-427E-B9DB-DBA2ACC4A6CC}"/>
    <cellStyle name="_05GZFS损益预算第一版11.10_CVD_05PLAN (EN) 5.30.05_L42F_MSRP TP mix k_080520" xfId="988" xr:uid="{25F05E7A-88FC-47B6-94BD-5BBAB60C3E3A}"/>
    <cellStyle name="_05GZFS损益预算第一版11.10_CVD_05PLAN (EN) 5.30.05_L42F_MSRP TP mix k_080520 2" xfId="989" xr:uid="{E53197C2-1122-4DA1-8E1B-B69D8BD9BD1B}"/>
    <cellStyle name="_05GZFS损益预算第一版11.10_CVD_05PLAN (EN) 5.30.05_L42F_MSRP TP mix k_080520 2 2" xfId="990" xr:uid="{3B1CFFB4-268F-4B8B-B776-114F32F523F3}"/>
    <cellStyle name="_05GZFS损益预算第一版11.10_CVD_05PLAN (EN) 5.30.05_L42F_MSRP TP mix k_080520 2 2 2" xfId="25516" xr:uid="{A7B323F7-1088-4542-8F7C-CAF90C3DA084}"/>
    <cellStyle name="_05GZFS损益预算第一版11.10_CVD_05PLAN (EN) 5.30.05_L42F_MSRP TP mix k_080528" xfId="991" xr:uid="{9B259FA4-A9CB-4A7D-A1F0-9CB63F5322A5}"/>
    <cellStyle name="_05GZFS损益预算第一版11.10_CVD_05PLAN (EN) 5.30.05_L42F_MSRP TP mix k_080528 2" xfId="992" xr:uid="{7DE2B642-7D83-4B1A-B210-E1C12545093F}"/>
    <cellStyle name="_05GZFS损益预算第一版11.10_CVD_05PLAN (EN) 5.30.05_L42F_MSRP TP mix k_080528 2 2" xfId="993" xr:uid="{CD81A4BB-E1CB-46F5-A70D-8B1F3559AA93}"/>
    <cellStyle name="_05GZFS损益预算第一版11.10_CVD_05PLAN (EN) 5.30.05_L42F_MSRP TP mix k_080528 2 2 2" xfId="25517" xr:uid="{3FD598F6-76D7-4F5B-87E7-D86F6B40D450}"/>
    <cellStyle name="_05GZFS损益预算第一版11.10_CVD_05PLAN (EN) 5.30.05_May_FY09 Retail Volume_090615" xfId="994" xr:uid="{3C34B146-6F79-4C75-99EF-96A3C20A9C66}"/>
    <cellStyle name="_05GZFS损益预算第一版11.10_CVD_05PLAN (EN) 5.30.05_May_FY09 Retail Volume_090615 2" xfId="995" xr:uid="{47A70546-480F-4E0E-9357-0CE253DC9026}"/>
    <cellStyle name="_05GZFS损益预算第一版11.10_CVD_05PLAN (EN) 5.30.05_May_FY09 Retail Volume_090615 2 2" xfId="25518" xr:uid="{AFD8DA73-63A3-4954-8EA5-F19AD457FF45}"/>
    <cellStyle name="_05GZFS损益预算第一版11.10_CVD_05PLAN (EN) 5.30.05_P32E TDC for Final MPR(080912 31K Base)---from zhangtao" xfId="996" xr:uid="{6CB2BD89-D7D8-4CAE-89C0-18924F7D60EA}"/>
    <cellStyle name="_05GZFS损益预算第一版11.10_CVD_05PLAN (EN) 5.30.05_P32E TDC for Final MPR(080912 31K Base)---from zhangtao 2" xfId="997" xr:uid="{C505792B-2CD2-480C-9632-67C2866A0FBC}"/>
    <cellStyle name="_05GZFS损益预算第一版11.10_CVD_05PLAN (EN) 5.30.05_P32E TDC for Final MPR(080912 31K Base)---from zhangtao 2 2" xfId="998" xr:uid="{DB23942C-141B-4458-B315-38083323D001}"/>
    <cellStyle name="_05GZFS损益预算第一版11.10_CVD_05PLAN (EN) 5.30.05_P32E TDC for Final MPR(080912 31K Base)---from zhangtao 2 2 2" xfId="25519" xr:uid="{0204F425-A1DE-4547-97FE-1741B77CC7B0}"/>
    <cellStyle name="_05GZFS损益预算第一版11.10_CVD_05PLAN (EN) 5.30.05_Steel hike calculate base-20080523" xfId="999" xr:uid="{AD988BBA-4A03-4632-8C8B-1156F265AB02}"/>
    <cellStyle name="_05GZFS损益预算第一版11.10_CVD_05PLAN (EN) 5.30.05_Steel hike calculate base-20080523 2" xfId="1000" xr:uid="{78DB7547-F43E-48F9-9205-A4C8D15688FE}"/>
    <cellStyle name="_05GZFS损益预算第一版11.10_CVD_05PLAN (EN) 5.30.05_Steel hike calculate base-20080523 2 2" xfId="1001" xr:uid="{E500D19A-7544-432D-AF0F-BE7DD83B4728}"/>
    <cellStyle name="_05GZFS损益预算第一版11.10_CVD_05PLAN (EN) 5.30.05_Steel hike calculate base-20080523 2 2 2" xfId="1002" xr:uid="{89C77507-0176-420C-A0A5-0CB5C53D5ED2}"/>
    <cellStyle name="_05GZFS损益预算第一版11.10_CVD_05PLAN (EN) 5.30.05_Steel hike calculate base-20080523 2 2 2 2" xfId="1003" xr:uid="{402877BB-395C-4047-8DE7-BBF1635CBAE5}"/>
    <cellStyle name="_05GZFS损益预算第一版11.10_CVD_05PLAN (EN) 5.30.05_Steel hike calculate base-20080523 2 2 2 2 2" xfId="25520" xr:uid="{B79ED7BD-25BD-4006-BDF2-E29E5BED5C46}"/>
    <cellStyle name="_05GZFS损益预算第一版11.10_CVD_05PLAN (EN) 5.30.05_Steel hike calculate base-20080523 2 2 3" xfId="1004" xr:uid="{0166A27B-7D7A-4BC9-856D-B2B303891BEF}"/>
    <cellStyle name="_05GZFS损益预算第一版11.10_CVD_05PLAN (EN) 5.30.05_Steel hike calculate base-20080523 2 2 4" xfId="1005" xr:uid="{05EFDEBE-3703-4BC9-82D0-DB03618FF79D}"/>
    <cellStyle name="_05GZFS损益预算第一版11.10_CVD_05PLAN (EN) 5.30.05_Steel hike calculate base-20080523 2 2 4 2" xfId="25521" xr:uid="{4B863743-5725-461F-83BB-74088472F945}"/>
    <cellStyle name="_05GZFS损益预算第一版11.10_CVD_05PLAN (EN) 5.30.05_Steel hike calculate base-20080523 2 3" xfId="1006" xr:uid="{455137E1-0CE6-4FDA-AA7E-372B7859C238}"/>
    <cellStyle name="_05GZFS损益预算第一版11.10_CVD_05PLAN (EN) 5.30.05_Steel hike calculate base-20080523 2 3 2" xfId="25522" xr:uid="{34B7DD53-40C3-4152-95DB-17776AF5091E}"/>
    <cellStyle name="_05GZFS损益预算第一版11.10_CVD_05PLAN (EN) 5.30.05_Steel hike calculate base-20080523 2_FY13 Budget Simulation Excel PKG for Auto by company" xfId="1007" xr:uid="{E82B9F24-2185-486C-9299-A58697C197E7}"/>
    <cellStyle name="_05GZFS损益预算第一版11.10_CVD_05PLAN (EN) 5.30.05_Steel hike calculate base-20080523 3" xfId="1008" xr:uid="{F1C54FE9-D24D-4264-AC65-13AD1B5040C8}"/>
    <cellStyle name="_05GZFS损益预算第一版11.10_CVD_05PLAN (EN) 5.30.05_Steel hike calculate base-20080523 4" xfId="1009" xr:uid="{BD7B4F30-0E20-41FB-9854-986F62082DAE}"/>
    <cellStyle name="_05GZFS损益预算第一版11.10_CVD_05PLAN (EN) 5.30.05_Steel hike calculate base-20080523 4 2" xfId="25523" xr:uid="{C9155EC4-FC2C-4055-AE81-EC47699676C9}"/>
    <cellStyle name="_05GZFS损益预算第一版11.10_CVD_05PLAN (EN) 5.30.05_Steel hike calculate base-20080523_DFL FY13 Simulation Data version 1010-2(A7C)" xfId="1010" xr:uid="{DAB72C75-0ADA-4F08-9D76-B07BC83E2FD8}"/>
    <cellStyle name="_05GZFS损益预算第一版11.10_CVD_05PLAN (EN) 5.30.05_Steel hike calculate base-20080523_DFL FY13 Simulation Data version 1010-2(A7C) 2" xfId="1011" xr:uid="{3270C6FA-6D3F-4450-AA51-35C686B7F7E6}"/>
    <cellStyle name="_05GZFS损益预算第一版11.10_CVD_05PLAN (EN) 5.30.05_Steel hike calculate base-20080523_DFL FY13 Simulation Data version 1010-2(A7C) 2 2" xfId="1012" xr:uid="{021119DA-1FF4-432E-A0F8-F6DB3BB67CF9}"/>
    <cellStyle name="_05GZFS损益预算第一版11.10_CVD_05PLAN (EN) 5.30.05_Steel hike calculate base-20080523_DFL FY13 Simulation Data version 1010-2(A7C) 2 2 2" xfId="1013" xr:uid="{03D13C8B-C84B-4C69-A98F-F293E21988DF}"/>
    <cellStyle name="_05GZFS损益预算第一版11.10_CVD_05PLAN (EN) 5.30.05_Steel hike calculate base-20080523_DFL FY13 Simulation Data version 1010-2(A7C) 2 2 2 2" xfId="25524" xr:uid="{E4B83AD5-C9B4-4E92-B003-D744CBA2E05F}"/>
    <cellStyle name="_05GZFS损益预算第一版11.10_CVD_05PLAN (EN) 5.30.05_Steel hike calculate base-20080523_DFL FY13 Simulation Data version 1010-2(A7C) 2 3" xfId="1014" xr:uid="{7C782DD4-2037-4E8A-9455-12F1A0DF5D90}"/>
    <cellStyle name="_05GZFS损益预算第一版11.10_CVD_05PLAN (EN) 5.30.05_Steel hike calculate base-20080523_DFL FY13 Simulation Data version 1010-2(A7C) 2 4" xfId="1015" xr:uid="{7A1BF850-7816-49E1-A987-E7AE3F69ACAC}"/>
    <cellStyle name="_05GZFS损益预算第一版11.10_CVD_05PLAN (EN) 5.30.05_Steel hike calculate base-20080523_DFL FY13 Simulation Data version 1010-2(A7C) 2 4 2" xfId="25525" xr:uid="{FF45C656-C2DF-4519-AFFF-40F0FC5B4DDE}"/>
    <cellStyle name="_05GZFS损益预算第一版11.10_CVD_05PLAN (EN) 5.30.05_Steel hike calculate base-20080523_DFL FY13 Simulation Data version 1010-2(A7C) 3" xfId="1016" xr:uid="{D61FAED6-FF5F-450F-AC0C-ED266B9FAD7F}"/>
    <cellStyle name="_05GZFS损益预算第一版11.10_CVD_05PLAN (EN) 5.30.05_Steel hike calculate base-20080523_DFL FY13 Simulation Data version 1010-2(A7C) 3 2" xfId="25526" xr:uid="{276CBCD0-4FF7-4A70-AF52-407AE5ED3D4C}"/>
    <cellStyle name="_05GZFS损益预算第一版11.10_CVD_05PLAN (EN) 5.30.05_Steel hike calculate base-20080523_DFL FY13 Simulation Data version 1010-2(A7C)_FY13 Budget Simulation Excel PKG for Auto by company" xfId="1017" xr:uid="{40320527-A06E-4196-A68F-A1A9644DF7B9}"/>
    <cellStyle name="_05GZFS损益预算第一版11.10_CVD_05PLAN (EN) 5.30.05_Steel hike calculate base-20080523_FY13 Budget Simulation Excel PKG for Auto by company" xfId="1018" xr:uid="{3DDBE87C-F137-47FF-A621-4EA6D466F207}"/>
    <cellStyle name="_05GZFS损益预算第一版11.10_CVD_05PLAN_B (EN) 5.31.05" xfId="1019" xr:uid="{F7DB539A-CFCE-4415-BA5F-028DF156B01B}"/>
    <cellStyle name="_05GZFS损益预算第一版11.10_CVD_05PLAN_B (EN) 5.31.05 2" xfId="1020" xr:uid="{1B79D27A-4D04-44F1-ACFD-ED0620BA3251}"/>
    <cellStyle name="_05GZFS损益预算第一版11.10_CVD_05PLAN_B (EN) 5.31.05 2 2" xfId="1021" xr:uid="{1D69CD80-F151-47CF-9CAA-D2D3B2CE0342}"/>
    <cellStyle name="_05GZFS损益预算第一版11.10_CVD_05PLAN_B (EN) 5.31.05 2 2 2" xfId="1022" xr:uid="{F177318B-CACA-4597-A3CD-94D3BDE7B430}"/>
    <cellStyle name="_05GZFS损益预算第一版11.10_CVD_05PLAN_B (EN) 5.31.05 2 2 2 2" xfId="1023" xr:uid="{47D1F640-F29F-4ACE-80B7-E9A506A2B02D}"/>
    <cellStyle name="_05GZFS损益预算第一版11.10_CVD_05PLAN_B (EN) 5.31.05 2 2 2 2 2" xfId="25527" xr:uid="{59D8656A-2929-42C4-98A5-A591F216F6C0}"/>
    <cellStyle name="_05GZFS损益预算第一版11.10_CVD_05PLAN_B (EN) 5.31.05 2 2 3" xfId="1024" xr:uid="{96E9C9B2-D0F6-4424-90FF-ACA19EEC1DCF}"/>
    <cellStyle name="_05GZFS损益预算第一版11.10_CVD_05PLAN_B (EN) 5.31.05 2 2 4" xfId="1025" xr:uid="{235A1249-9416-4299-ACFA-A8AD1F506ED0}"/>
    <cellStyle name="_05GZFS损益预算第一版11.10_CVD_05PLAN_B (EN) 5.31.05 2 2 4 2" xfId="25528" xr:uid="{A717E8BA-237B-4375-999D-BE5EEC0A237F}"/>
    <cellStyle name="_05GZFS损益预算第一版11.10_CVD_05PLAN_B (EN) 5.31.05 2_FY13 Budget Simulation Excel PKG for Auto by company" xfId="1026" xr:uid="{1C531565-6662-4507-A395-3126A2A7C9D2}"/>
    <cellStyle name="_05GZFS损益预算第一版11.10_CVD_05PLAN_B (EN) 5.31.05 3" xfId="1027" xr:uid="{47969326-F639-4FE0-94FE-B8BE74D48B0E}"/>
    <cellStyle name="_05GZFS损益预算第一版11.10_CVD_05PLAN_B (EN) 5.31.05 3 2" xfId="1028" xr:uid="{C0EEE36E-4008-4A2D-B0FA-45DA2BA6DEDC}"/>
    <cellStyle name="_05GZFS损益预算第一版11.10_CVD_05PLAN_B (EN) 5.31.05_08 budget 071018" xfId="1029" xr:uid="{59F7399A-8ADA-4FA7-BB01-B48085553C42}"/>
    <cellStyle name="_05GZFS损益预算第一版11.10_CVD_05PLAN_B (EN) 5.31.05_08 budget 071018 2" xfId="1030" xr:uid="{BBC0C099-B800-4406-ADDA-6FDE4FEDEE2C}"/>
    <cellStyle name="_05GZFS损益预算第一版11.10_CVD_05PLAN_B (EN) 5.31.05_08 budget 071018 2 2" xfId="1031" xr:uid="{263346E4-6623-46C1-BBC8-F51762E285FA}"/>
    <cellStyle name="_05GZFS损益预算第一版11.10_CVD_05PLAN_B (EN) 5.31.05_08 budget 071018 2 2 2" xfId="25529" xr:uid="{C7D88946-CC78-4155-832A-B7BEB3B94DC5}"/>
    <cellStyle name="_05GZFS损益预算第一版11.10_CVD_05PLAN_B (EN) 5.31.05_'08 budget TDC" xfId="1032" xr:uid="{4C131A96-253A-4B49-9C49-DBE99E9292E0}"/>
    <cellStyle name="_05GZFS损益预算第一版11.10_CVD_05PLAN_B (EN) 5.31.05_'08 budget TDC 2" xfId="1033" xr:uid="{C35A25F4-A45D-433B-9DF1-2394AE4F590F}"/>
    <cellStyle name="_05GZFS损益预算第一版11.10_CVD_05PLAN_B (EN) 5.31.05_'08 budget TDC 2 2" xfId="1034" xr:uid="{03099435-7A0B-497B-B7D5-630EA224C21E}"/>
    <cellStyle name="_05GZFS损益预算第一版11.10_CVD_05PLAN_B (EN) 5.31.05_'08 budget TDC 2 2 2" xfId="25530" xr:uid="{058C4B63-FE5E-4AE5-89FA-7A1D8C150671}"/>
    <cellStyle name="_05GZFS损益预算第一版11.10_CVD_05PLAN_B (EN) 5.31.05_DFL FY13 Simulation Data version 1010-2(A7C)" xfId="1035" xr:uid="{69C689BA-706F-4706-8E07-253870A7B28A}"/>
    <cellStyle name="_05GZFS损益预算第一版11.10_CVD_05PLAN_B (EN) 5.31.05_DFL FY13 Simulation Data version 1010-2(A7C) 2" xfId="1036" xr:uid="{A8A91ED8-C228-4479-B29D-B6F6E0C6F7E2}"/>
    <cellStyle name="_05GZFS损益预算第一版11.10_CVD_05PLAN_B (EN) 5.31.05_DFL FY13 Simulation Data version 1010-2(A7C) 2 2" xfId="1037" xr:uid="{44B24FC4-12A3-433B-A0E3-82469A447462}"/>
    <cellStyle name="_05GZFS损益预算第一版11.10_CVD_05PLAN_B (EN) 5.31.05_DFL FY13 Simulation Data version 1010-2(A7C) 2 2 2" xfId="1038" xr:uid="{653AB81E-F6F4-4273-AF66-A23D33EEC7FA}"/>
    <cellStyle name="_05GZFS损益预算第一版11.10_CVD_05PLAN_B (EN) 5.31.05_DFL FY13 Simulation Data version 1010-2(A7C) 2 2 2 2" xfId="25531" xr:uid="{2B77CE0C-8C12-4DD3-A0EC-54569ADB2E6C}"/>
    <cellStyle name="_05GZFS损益预算第一版11.10_CVD_05PLAN_B (EN) 5.31.05_DFL FY13 Simulation Data version 1010-2(A7C) 2 3" xfId="1039" xr:uid="{F6B508AF-E31A-44BE-9B50-379A86B20200}"/>
    <cellStyle name="_05GZFS损益预算第一版11.10_CVD_05PLAN_B (EN) 5.31.05_DFL FY13 Simulation Data version 1010-2(A7C) 2 4" xfId="1040" xr:uid="{B7C3B888-0EDB-4C89-925F-941472C4F2D5}"/>
    <cellStyle name="_05GZFS损益预算第一版11.10_CVD_05PLAN_B (EN) 5.31.05_DFL FY13 Simulation Data version 1010-2(A7C) 2 4 2" xfId="25532" xr:uid="{A1B32E12-E2CB-45F1-8B1D-14BB3FD33B6B}"/>
    <cellStyle name="_05GZFS损益预算第一版11.10_CVD_05PLAN_B (EN) 5.31.05_DFL FY13 Simulation Data version 1010-2(A7C) 3" xfId="1041" xr:uid="{A8DCB848-5D34-43F2-8BE0-03621923C51C}"/>
    <cellStyle name="_05GZFS损益预算第一版11.10_CVD_05PLAN_B (EN) 5.31.05_DFL FY13 Simulation Data version 1010-2(A7C) 3 2" xfId="25533" xr:uid="{2DB4084C-689B-4FC4-AD84-E2C9C97F58A0}"/>
    <cellStyle name="_05GZFS损益预算第一版11.10_CVD_05PLAN_B (EN) 5.31.05_DFL FY13 Simulation Data version 1010-2(A7C)_FY13 Budget Simulation Excel PKG for Auto by company" xfId="1042" xr:uid="{BBDA683F-8856-464D-A641-DCF951B8BD3B}"/>
    <cellStyle name="_05GZFS损益预算第一版11.10_CVD_05PLAN_B (EN) 5.31.05_FY08 Retail Volume April Report 090409" xfId="1043" xr:uid="{C692DE78-14AB-450F-8AF1-758541D00936}"/>
    <cellStyle name="_05GZFS损益预算第一版11.10_CVD_05PLAN_B (EN) 5.31.05_FY08 Retail Volume April Report 090409 2" xfId="1044" xr:uid="{FC136187-5D45-4D17-B622-A209E94F06B1}"/>
    <cellStyle name="_05GZFS损益预算第一版11.10_CVD_05PLAN_B (EN) 5.31.05_FY08 Retail Volume April Report 090409 2 2" xfId="25534" xr:uid="{85AF3392-9C1D-4C63-8075-372B3DB1079A}"/>
    <cellStyle name="_05GZFS损益预算第一版11.10_CVD_05PLAN_B (EN) 5.31.05_FY09 CNTRL Outlook June-Latest0619-Final Retail" xfId="1045" xr:uid="{36CC3ECB-62CA-4AF7-9759-564347D9F99F}"/>
    <cellStyle name="_05GZFS损益预算第一版11.10_CVD_05PLAN_B (EN) 5.31.05_FY09 Landing Scenarios" xfId="1046" xr:uid="{0064E98F-0793-4FBB-8915-53D693D23AFA}"/>
    <cellStyle name="_05GZFS损益预算第一版11.10_CVD_05PLAN_B (EN) 5.31.05_FY09 Landing Scenarios_Flash Volume Summary-PER01-rv1" xfId="1047" xr:uid="{750880A2-C231-40F6-A332-F5307FDB9588}"/>
    <cellStyle name="_05GZFS损益预算第一版11.10_CVD_05PLAN_B (EN) 5.31.05_FY09 Landing Scenarios_Flash Volume Summary-PER02" xfId="1048" xr:uid="{D6797B63-09D3-4CF7-B399-CF8E84274D47}"/>
    <cellStyle name="_05GZFS损益预算第一版11.10_CVD_05PLAN_B (EN) 5.31.05_FY09 Landing Scenarios_Flash Volume Summary-PER04" xfId="1049" xr:uid="{489C4489-F246-4383-A3D4-6CF2F104B64C}"/>
    <cellStyle name="_05GZFS损益预算第一版11.10_CVD_05PLAN_B (EN) 5.31.05_FY09 Landing Scenarios_Flash Volume Summary-PER0自分用2" xfId="1050" xr:uid="{0324C2C4-5E2F-497A-A1CF-EA4EAFF6E33B}"/>
    <cellStyle name="_05GZFS损益预算第一版11.10_CVD_05PLAN_B (EN) 5.31.05_FY09 Landing Scenarios_Flash Volume Summary-PER10" xfId="1051" xr:uid="{1E71EB0A-E06F-4590-98F3-CEA36834A807}"/>
    <cellStyle name="_05GZFS损益预算第一版11.10_CVD_05PLAN_B (EN) 5.31.05_FY09 Landing Scenarios_Flash Volume Summary-PER10 for Central" xfId="1052" xr:uid="{D9AE5E11-784F-43C7-98A3-6341A6EAB96A}"/>
    <cellStyle name="_05GZFS损益预算第一版11.10_CVD_05PLAN_B (EN) 5.31.05_FY09 Q1 Results_Volume MS Exp_July EC" xfId="1053" xr:uid="{3B8B259E-1AE6-4AA5-AF98-55C645259C8A}"/>
    <cellStyle name="_05GZFS损益预算第一版11.10_CVD_05PLAN_B (EN) 5.31.05_FY09 Q1 Results_Volume MS Exp_July EC 2" xfId="1054" xr:uid="{F3291AC8-B491-4DDF-A843-0B0860E968DC}"/>
    <cellStyle name="_05GZFS损益预算第一版11.10_CVD_05PLAN_B (EN) 5.31.05_FY09 Q1 Results_Volume MS Exp_July EC 2 2" xfId="25535" xr:uid="{608EC7BA-41BD-47D8-923B-9FD4E36591CB}"/>
    <cellStyle name="_05GZFS损益预算第一版11.10_CVD_05PLAN_B (EN) 5.31.05_FY09 Q1 Results_Volume MS Exp_July EC v2" xfId="1055" xr:uid="{75357A91-E0B4-4457-AAA9-032FFD65B487}"/>
    <cellStyle name="_05GZFS损益预算第一版11.10_CVD_05PLAN_B (EN) 5.31.05_FY09 Retail Volume May Report 090513" xfId="1056" xr:uid="{E8597865-DBE4-4B81-9274-79A48F292CF5}"/>
    <cellStyle name="_05GZFS损益预算第一版11.10_CVD_05PLAN_B (EN) 5.31.05_FY09 Retail Volume May Report 090513_Flash Volume Summary-PER01-rv1" xfId="1057" xr:uid="{A99B94BC-DAD4-4EDE-95DE-32658289AAEB}"/>
    <cellStyle name="_05GZFS损益预算第一版11.10_CVD_05PLAN_B (EN) 5.31.05_FY09 Retail Volume May Report 090513_Flash Volume Summary-PER02" xfId="1058" xr:uid="{BDD1B7E6-1657-4B4B-AF14-CF44588E8AF5}"/>
    <cellStyle name="_05GZFS损益预算第一版11.10_CVD_05PLAN_B (EN) 5.31.05_FY09 Retail Volume May Report 090513_Flash Volume Summary-PER04" xfId="1059" xr:uid="{60B0266C-5EC4-45FE-A6BF-69CE3E8D1AD4}"/>
    <cellStyle name="_05GZFS损益预算第一版11.10_CVD_05PLAN_B (EN) 5.31.05_FY09 Retail Volume May Report 090513_Flash Volume Summary-PER0自分用2" xfId="1060" xr:uid="{4A34BA83-C77E-457A-85B5-0878575973E0}"/>
    <cellStyle name="_05GZFS损益预算第一版11.10_CVD_05PLAN_B (EN) 5.31.05_FY09 Retail Volume May Report 090513_Flash Volume Summary-PER10" xfId="1061" xr:uid="{5EEB7207-E0F9-429C-92AF-CFDFFB64E23B}"/>
    <cellStyle name="_05GZFS损益预算第一版11.10_CVD_05PLAN_B (EN) 5.31.05_FY09 Retail Volume May Report 090513_Flash Volume Summary-PER10 for Central" xfId="1062" xr:uid="{E58A9E3A-78C1-4C2E-93CD-6F4C02CAC843}"/>
    <cellStyle name="_05GZFS损益预算第一版11.10_CVD_05PLAN_B (EN) 5.31.05_FY09 WS Volume Report_April YTD_090527-Monthly Budget Updated" xfId="1063" xr:uid="{26599E44-410F-4608-BB00-0337F6DB9320}"/>
    <cellStyle name="_05GZFS损益预算第一版11.10_CVD_05PLAN_B (EN) 5.31.05_FY09 WS Volume Report_April YTD_090527-Monthly Budget Updated 2" xfId="1064" xr:uid="{E85FC895-6D2C-467C-ADC4-8AC4A1B3F6D5}"/>
    <cellStyle name="_05GZFS损益预算第一版11.10_CVD_05PLAN_B (EN) 5.31.05_FY09 WS Volume Report_April YTD_090527-Monthly Budget Updated 2 2" xfId="25536" xr:uid="{2B8C6714-169D-479E-A242-6333D111F4B0}"/>
    <cellStyle name="_05GZFS损益预算第一版11.10_CVD_05PLAN_B (EN) 5.31.05_FY10 FC#2 Pricing Analysis to Central" xfId="1065" xr:uid="{2560162B-95F4-47DE-86F8-0766F7F23B9E}"/>
    <cellStyle name="_05GZFS损益预算第一版11.10_CVD_05PLAN_B (EN) 5.31.05_FY10 Q3 YTD_Volume Detail_v2_FINAL" xfId="1066" xr:uid="{ACA6C415-F1D1-4243-BF3F-EC43E2CE5D6C}"/>
    <cellStyle name="_05GZFS损益预算第一版11.10_CVD_05PLAN_B (EN) 5.31.05_FY13 Budget Simulation Excel PKG for Auto by company" xfId="1067" xr:uid="{DB2A6EF5-ADAB-4C82-9309-9BD0604DAEB7}"/>
    <cellStyle name="_05GZFS损益预算第一版11.10_CVD_05PLAN_B (EN) 5.31.05_June_FY09 Retail Volume_090713" xfId="1068" xr:uid="{55F35AB3-CB24-46C6-BD23-8E550B94E7E0}"/>
    <cellStyle name="_05GZFS损益预算第一版11.10_CVD_05PLAN_B (EN) 5.31.05_June_FY09 Retail Volume_090713 2" xfId="1069" xr:uid="{697CC22D-ABFF-49EA-BF75-2A249DDD1F4C}"/>
    <cellStyle name="_05GZFS损益预算第一版11.10_CVD_05PLAN_B (EN) 5.31.05_June_FY09 Retail Volume_090713 2 2" xfId="25537" xr:uid="{EA097A19-E824-4F62-8B11-F52921FC1848}"/>
    <cellStyle name="_05GZFS损益预算第一版11.10_CVD_05PLAN_B (EN) 5.31.05_L11K Impact vs. Budget" xfId="1070" xr:uid="{204CB537-AAB5-4ECF-8646-38ACDFD193D7}"/>
    <cellStyle name="_05GZFS损益预算第一版11.10_CVD_05PLAN_B (EN) 5.31.05_L11K Impact vs. Budget 2" xfId="1071" xr:uid="{8C20C910-7B80-4475-9F6D-3881EDB54C79}"/>
    <cellStyle name="_05GZFS损益预算第一版11.10_CVD_05PLAN_B (EN) 5.31.05_L11K Impact vs. Budget 2 2" xfId="1072" xr:uid="{A463A222-3E05-4F48-82A9-C641B4A82C6E}"/>
    <cellStyle name="_05GZFS损益预算第一版11.10_CVD_05PLAN_B (EN) 5.31.05_L11K Impact vs. Budget 2 2 2" xfId="25538" xr:uid="{E6779BFB-5317-462B-BA6F-4F4D882E0DA1}"/>
    <cellStyle name="_05GZFS损益预算第一版11.10_CVD_05PLAN_B (EN) 5.31.05_L11K Impact vs. Budget_L42F_MSRP TP mix k_080520" xfId="1073" xr:uid="{B7A79E64-7213-4D77-883E-2D6DEB51535A}"/>
    <cellStyle name="_05GZFS损益预算第一版11.10_CVD_05PLAN_B (EN) 5.31.05_L11K Impact vs. Budget_L42F_MSRP TP mix k_080520 2" xfId="1074" xr:uid="{DE1D09D3-7362-4145-8208-9E62520DE299}"/>
    <cellStyle name="_05GZFS损益预算第一版11.10_CVD_05PLAN_B (EN) 5.31.05_L11K Impact vs. Budget_L42F_MSRP TP mix k_080520 2 2" xfId="1075" xr:uid="{E7A6869A-E58E-43AB-B5F3-205D61325930}"/>
    <cellStyle name="_05GZFS损益预算第一版11.10_CVD_05PLAN_B (EN) 5.31.05_L11K Impact vs. Budget_L42F_MSRP TP mix k_080520 2 2 2" xfId="25539" xr:uid="{D2B16592-A0BD-4212-A7D8-0F68B8BBADE8}"/>
    <cellStyle name="_05GZFS损益预算第一版11.10_CVD_05PLAN_B (EN) 5.31.05_L11K Impact vs. Budget_L42F_MSRP TP mix k_080528" xfId="1076" xr:uid="{B6C4D0C3-CD47-45C0-B1CC-E092CFF97EB5}"/>
    <cellStyle name="_05GZFS损益预算第一版11.10_CVD_05PLAN_B (EN) 5.31.05_L11K Impact vs. Budget_L42F_MSRP TP mix k_080528 2" xfId="1077" xr:uid="{E38E98E8-A02E-453F-8947-BE81A502854D}"/>
    <cellStyle name="_05GZFS损益预算第一版11.10_CVD_05PLAN_B (EN) 5.31.05_L11K Impact vs. Budget_L42F_MSRP TP mix k_080528 2 2" xfId="1078" xr:uid="{870B0F37-CDF0-4422-9F24-549719F3F4BE}"/>
    <cellStyle name="_05GZFS损益预算第一版11.10_CVD_05PLAN_B (EN) 5.31.05_L11K Impact vs. Budget_L42F_MSRP TP mix k_080528 2 2 2" xfId="25540" xr:uid="{D2821C10-9E77-4A22-B885-9C13063A3FB8}"/>
    <cellStyle name="_05GZFS损益预算第一版11.10_CVD_05PLAN_B (EN) 5.31.05_L11K Impact vs. Budget_P32E TDC for Final MPR(080912 31K Base)---from zhangtao" xfId="1079" xr:uid="{B9834DE5-FB53-4214-B585-9441812F2A30}"/>
    <cellStyle name="_05GZFS损益预算第一版11.10_CVD_05PLAN_B (EN) 5.31.05_L11K Impact vs. Budget_P32E TDC for Final MPR(080912 31K Base)---from zhangtao 2" xfId="1080" xr:uid="{F98FBCA4-4B3C-40AB-8ED0-2803B2988E83}"/>
    <cellStyle name="_05GZFS损益预算第一版11.10_CVD_05PLAN_B (EN) 5.31.05_L11K Impact vs. Budget_P32E TDC for Final MPR(080912 31K Base)---from zhangtao 2 2" xfId="1081" xr:uid="{B9085DE6-8A36-4177-ADFD-086784A8CBBC}"/>
    <cellStyle name="_05GZFS损益预算第一版11.10_CVD_05PLAN_B (EN) 5.31.05_L11K Impact vs. Budget_P32E TDC for Final MPR(080912 31K Base)---from zhangtao 2 2 2" xfId="25541" xr:uid="{F6848C2A-ABD2-4080-BDDB-35FC59C0AF7B}"/>
    <cellStyle name="_05GZFS损益预算第一版11.10_CVD_05PLAN_B (EN) 5.31.05_L42F_MSRP TP mix k_080520" xfId="1082" xr:uid="{773C6882-DF18-4A3C-81C2-56628367FFAA}"/>
    <cellStyle name="_05GZFS损益预算第一版11.10_CVD_05PLAN_B (EN) 5.31.05_L42F_MSRP TP mix k_080520 2" xfId="1083" xr:uid="{0DF4878C-A11F-4DF5-8C13-11B11944874E}"/>
    <cellStyle name="_05GZFS损益预算第一版11.10_CVD_05PLAN_B (EN) 5.31.05_L42F_MSRP TP mix k_080520 2 2" xfId="1084" xr:uid="{4372E723-3ADE-476D-9AE7-A77C83EFD95D}"/>
    <cellStyle name="_05GZFS损益预算第一版11.10_CVD_05PLAN_B (EN) 5.31.05_L42F_MSRP TP mix k_080520 2 2 2" xfId="25542" xr:uid="{0B54E2B0-A23C-46F4-800E-7C62127EC1F0}"/>
    <cellStyle name="_05GZFS损益预算第一版11.10_CVD_05PLAN_B (EN) 5.31.05_L42F_MSRP TP mix k_080528" xfId="1085" xr:uid="{1BF4A580-CEEA-414B-AC7F-658D521F25C5}"/>
    <cellStyle name="_05GZFS损益预算第一版11.10_CVD_05PLAN_B (EN) 5.31.05_L42F_MSRP TP mix k_080528 2" xfId="1086" xr:uid="{2038B3C5-F240-4005-9941-004E8DFE01B6}"/>
    <cellStyle name="_05GZFS损益预算第一版11.10_CVD_05PLAN_B (EN) 5.31.05_L42F_MSRP TP mix k_080528 2 2" xfId="1087" xr:uid="{8CA6C245-4C61-4AD4-9893-63940F77A479}"/>
    <cellStyle name="_05GZFS损益预算第一版11.10_CVD_05PLAN_B (EN) 5.31.05_L42F_MSRP TP mix k_080528 2 2 2" xfId="25543" xr:uid="{D63EE13A-5AA5-400F-AABA-F914528FF816}"/>
    <cellStyle name="_05GZFS损益预算第一版11.10_CVD_05PLAN_B (EN) 5.31.05_May_FY09 Retail Volume_090615" xfId="1088" xr:uid="{8E3BBA84-67CD-4E6C-B767-BB2C256EE173}"/>
    <cellStyle name="_05GZFS损益预算第一版11.10_CVD_05PLAN_B (EN) 5.31.05_May_FY09 Retail Volume_090615 2" xfId="1089" xr:uid="{A55F92E7-A254-4E9E-93CC-0E8F02870356}"/>
    <cellStyle name="_05GZFS损益预算第一版11.10_CVD_05PLAN_B (EN) 5.31.05_May_FY09 Retail Volume_090615 2 2" xfId="25544" xr:uid="{24F9F102-98E1-476B-B543-FBF9D486D687}"/>
    <cellStyle name="_05GZFS损益预算第一版11.10_CVD_05PLAN_B (EN) 5.31.05_P32E TDC for Final MPR(080912 31K Base)---from zhangtao" xfId="1090" xr:uid="{036A4A20-F1C5-4585-A59B-5EF9B75F9ED0}"/>
    <cellStyle name="_05GZFS损益预算第一版11.10_CVD_05PLAN_B (EN) 5.31.05_P32E TDC for Final MPR(080912 31K Base)---from zhangtao 2" xfId="1091" xr:uid="{2CDF7AEF-1681-4B98-BE9E-9E9CF228EA78}"/>
    <cellStyle name="_05GZFS损益预算第一版11.10_CVD_05PLAN_B (EN) 5.31.05_P32E TDC for Final MPR(080912 31K Base)---from zhangtao 2 2" xfId="1092" xr:uid="{E8B563CB-3B6A-46EF-B3C1-E4F11F35A291}"/>
    <cellStyle name="_05GZFS损益预算第一版11.10_CVD_05PLAN_B (EN) 5.31.05_P32E TDC for Final MPR(080912 31K Base)---from zhangtao 2 2 2" xfId="25545" xr:uid="{56D77936-B398-4517-B46D-16C4A3C8A2E5}"/>
    <cellStyle name="_05GZFS损益预算第一版11.10_CVD_05PLAN_B (EN) 5.31.05_Steel hike calculate base-20080523" xfId="1093" xr:uid="{9F37A397-4CAF-480D-B847-06464EC67B1B}"/>
    <cellStyle name="_05GZFS损益预算第一版11.10_CVD_05PLAN_B (EN) 5.31.05_Steel hike calculate base-20080523 2" xfId="1094" xr:uid="{F02DDAF7-2F14-4334-A150-2AB1C5D84B2D}"/>
    <cellStyle name="_05GZFS损益预算第一版11.10_CVD_05PLAN_B (EN) 5.31.05_Steel hike calculate base-20080523 2 2" xfId="1095" xr:uid="{6E52311E-FC1F-4A21-BE01-6C3B392925A6}"/>
    <cellStyle name="_05GZFS损益预算第一版11.10_CVD_05PLAN_B (EN) 5.31.05_Steel hike calculate base-20080523 2 2 2" xfId="1096" xr:uid="{F5EFF1E3-FDF6-43ED-9C68-2DA48B150A6B}"/>
    <cellStyle name="_05GZFS损益预算第一版11.10_CVD_05PLAN_B (EN) 5.31.05_Steel hike calculate base-20080523 2 2 2 2" xfId="1097" xr:uid="{DF9415B8-213A-438A-B8E4-D9590902A939}"/>
    <cellStyle name="_05GZFS损益预算第一版11.10_CVD_05PLAN_B (EN) 5.31.05_Steel hike calculate base-20080523 2 2 2 2 2" xfId="25546" xr:uid="{3FA3547A-875D-4698-B553-0EBC48F6258F}"/>
    <cellStyle name="_05GZFS损益预算第一版11.10_CVD_05PLAN_B (EN) 5.31.05_Steel hike calculate base-20080523 2 2 3" xfId="1098" xr:uid="{6C1BBB50-F5DB-4C1C-938B-3D0040A32460}"/>
    <cellStyle name="_05GZFS损益预算第一版11.10_CVD_05PLAN_B (EN) 5.31.05_Steel hike calculate base-20080523 2 2 4" xfId="1099" xr:uid="{6186E8A9-CFE9-4C56-8D87-75258DEE5DC8}"/>
    <cellStyle name="_05GZFS损益预算第一版11.10_CVD_05PLAN_B (EN) 5.31.05_Steel hike calculate base-20080523 2 2 4 2" xfId="25547" xr:uid="{34A4018E-1D58-4696-95F6-9AF1EFD06BAC}"/>
    <cellStyle name="_05GZFS损益预算第一版11.10_CVD_05PLAN_B (EN) 5.31.05_Steel hike calculate base-20080523 2 3" xfId="1100" xr:uid="{9684451D-7D9E-4FB4-BD76-EAE3124D8851}"/>
    <cellStyle name="_05GZFS损益预算第一版11.10_CVD_05PLAN_B (EN) 5.31.05_Steel hike calculate base-20080523 2 3 2" xfId="25548" xr:uid="{EDDF1A31-D1A6-4113-B1FB-CD4693C8B7AE}"/>
    <cellStyle name="_05GZFS损益预算第一版11.10_CVD_05PLAN_B (EN) 5.31.05_Steel hike calculate base-20080523 2_FY13 Budget Simulation Excel PKG for Auto by company" xfId="1101" xr:uid="{1C6B59B0-F79E-45A7-A277-2CAA885C9D0C}"/>
    <cellStyle name="_05GZFS损益预算第一版11.10_CVD_05PLAN_B (EN) 5.31.05_Steel hike calculate base-20080523 3" xfId="1102" xr:uid="{B9252ADC-4A81-4E36-8435-A117CA917F74}"/>
    <cellStyle name="_05GZFS损益预算第一版11.10_CVD_05PLAN_B (EN) 5.31.05_Steel hike calculate base-20080523 4" xfId="1103" xr:uid="{5E21FA8B-7E6D-4A1F-939C-4184DD08442D}"/>
    <cellStyle name="_05GZFS损益预算第一版11.10_CVD_05PLAN_B (EN) 5.31.05_Steel hike calculate base-20080523 4 2" xfId="25549" xr:uid="{2465FF7B-851F-4415-980F-C4CF6BA125E6}"/>
    <cellStyle name="_05GZFS损益预算第一版11.10_CVD_05PLAN_B (EN) 5.31.05_Steel hike calculate base-20080523_DFL FY13 Simulation Data version 1010-2(A7C)" xfId="1104" xr:uid="{2478E2A5-32D6-44B7-953F-8A6C13025126}"/>
    <cellStyle name="_05GZFS损益预算第一版11.10_CVD_05PLAN_B (EN) 5.31.05_Steel hike calculate base-20080523_DFL FY13 Simulation Data version 1010-2(A7C) 2" xfId="1105" xr:uid="{E28A6616-6863-4012-92AA-1C898D04DD7B}"/>
    <cellStyle name="_05GZFS损益预算第一版11.10_CVD_05PLAN_B (EN) 5.31.05_Steel hike calculate base-20080523_DFL FY13 Simulation Data version 1010-2(A7C) 2 2" xfId="1106" xr:uid="{D8DD3436-4535-417D-86B4-38403D1E76DD}"/>
    <cellStyle name="_05GZFS损益预算第一版11.10_CVD_05PLAN_B (EN) 5.31.05_Steel hike calculate base-20080523_DFL FY13 Simulation Data version 1010-2(A7C) 2 2 2" xfId="1107" xr:uid="{76D2720A-CAA7-42C5-8CD3-F68BA222EDAB}"/>
    <cellStyle name="_05GZFS损益预算第一版11.10_CVD_05PLAN_B (EN) 5.31.05_Steel hike calculate base-20080523_DFL FY13 Simulation Data version 1010-2(A7C) 2 2 2 2" xfId="25550" xr:uid="{69FF06DA-710E-4D20-A9E6-0E1914A14445}"/>
    <cellStyle name="_05GZFS损益预算第一版11.10_CVD_05PLAN_B (EN) 5.31.05_Steel hike calculate base-20080523_DFL FY13 Simulation Data version 1010-2(A7C) 2 3" xfId="1108" xr:uid="{E3479F59-476A-4E37-9A5F-EF0E33336642}"/>
    <cellStyle name="_05GZFS损益预算第一版11.10_CVD_05PLAN_B (EN) 5.31.05_Steel hike calculate base-20080523_DFL FY13 Simulation Data version 1010-2(A7C) 2 4" xfId="1109" xr:uid="{E0324E98-EC25-48F8-8FFA-B8A92491EAA1}"/>
    <cellStyle name="_05GZFS损益预算第一版11.10_CVD_05PLAN_B (EN) 5.31.05_Steel hike calculate base-20080523_DFL FY13 Simulation Data version 1010-2(A7C) 2 4 2" xfId="25551" xr:uid="{17E52B41-E538-41E7-A4CD-33167A9E23CD}"/>
    <cellStyle name="_05GZFS损益预算第一版11.10_CVD_05PLAN_B (EN) 5.31.05_Steel hike calculate base-20080523_DFL FY13 Simulation Data version 1010-2(A7C) 3" xfId="1110" xr:uid="{874FAE09-BF8A-4CB6-BF38-6A855CCB4FF6}"/>
    <cellStyle name="_05GZFS损益预算第一版11.10_CVD_05PLAN_B (EN) 5.31.05_Steel hike calculate base-20080523_DFL FY13 Simulation Data version 1010-2(A7C) 3 2" xfId="25552" xr:uid="{B3D3CCDC-8832-4939-9CF0-452FC3D658D6}"/>
    <cellStyle name="_05GZFS损益预算第一版11.10_CVD_05PLAN_B (EN) 5.31.05_Steel hike calculate base-20080523_DFL FY13 Simulation Data version 1010-2(A7C)_FY13 Budget Simulation Excel PKG for Auto by company" xfId="1111" xr:uid="{C2DB3AE5-D140-4CCA-A277-9A88F90A65CD}"/>
    <cellStyle name="_05GZFS损益预算第一版11.10_CVD_05PLAN_B (EN) 5.31.05_Steel hike calculate base-20080523_FY13 Budget Simulation Excel PKG for Auto by company" xfId="1112" xr:uid="{AA6C658C-6246-45D6-92FA-AA1F9D6573DD}"/>
    <cellStyle name="_05GZFS损益预算第一版11.10_DFL FY13 Simulation Data version 1010-2(A7C)" xfId="1113" xr:uid="{CCE8C9C9-C529-4729-B645-369B317632C2}"/>
    <cellStyle name="_05GZFS损益预算第一版11.10_DFL FY13 Simulation Data version 1010-2(A7C) 2" xfId="1114" xr:uid="{955B6A4B-F46A-4665-82CD-7228DB95DB0B}"/>
    <cellStyle name="_05GZFS损益预算第一版11.10_DFL FY13 Simulation Data version 1010-2(A7C) 2 2" xfId="1115" xr:uid="{F7B38CEE-112D-4015-9ECF-94C1E1C84E86}"/>
    <cellStyle name="_05GZFS损益预算第一版11.10_DFL FY13 Simulation Data version 1010-2(A7C) 2 2 2" xfId="1116" xr:uid="{20032A28-0D04-40FF-979B-DA4F94D87E3C}"/>
    <cellStyle name="_05GZFS损益预算第一版11.10_DFL FY13 Simulation Data version 1010-2(A7C) 2 2 2 2" xfId="25553" xr:uid="{4676CB37-49A8-44BA-88DF-BF202206485E}"/>
    <cellStyle name="_05GZFS损益预算第一版11.10_DFL FY13 Simulation Data version 1010-2(A7C) 2 3" xfId="1117" xr:uid="{84C5AD97-7794-43DC-AE4C-E1AA8F9331B6}"/>
    <cellStyle name="_05GZFS损益预算第一版11.10_DFL FY13 Simulation Data version 1010-2(A7C) 2 4" xfId="1118" xr:uid="{D023EF3C-B192-44DC-A305-DF762FDD829E}"/>
    <cellStyle name="_05GZFS损益预算第一版11.10_DFL FY13 Simulation Data version 1010-2(A7C) 2 4 2" xfId="25554" xr:uid="{067966F8-76EF-4D48-B304-93CD1B8DC994}"/>
    <cellStyle name="_05GZFS损益预算第一版11.10_DFL FY13 Simulation Data version 1010-2(A7C) 3" xfId="1119" xr:uid="{A74E894A-60B8-49D0-8B49-A65CE81B96E4}"/>
    <cellStyle name="_05GZFS损益预算第一版11.10_DFL FY13 Simulation Data version 1010-2(A7C) 3 2" xfId="25555" xr:uid="{5EB50985-EE1F-472E-854F-4D3DE8EFA4EB}"/>
    <cellStyle name="_05GZFS损益预算第一版11.10_DFL FY13 Simulation Data version 1010-2(A7C)_FY13 Budget Simulation Excel PKG for Auto by company" xfId="1120" xr:uid="{394A5778-D607-4A7F-B6D8-CAFF9D1ED7DB}"/>
    <cellStyle name="_05GZFS损益预算第一版11.10_FY08 Retail Volume April Report 090409" xfId="1121" xr:uid="{738316AA-C9BA-4A5A-B620-19D508A644BB}"/>
    <cellStyle name="_05GZFS损益预算第一版11.10_FY08 Retail Volume April Report 090409 2" xfId="1122" xr:uid="{6A7BB493-3712-4D33-AACE-96EFC9C09747}"/>
    <cellStyle name="_05GZFS损益预算第一版11.10_FY08 Retail Volume April Report 090409 2 2" xfId="25556" xr:uid="{20EF9E69-B53F-4FEB-A57D-36F025039434}"/>
    <cellStyle name="_05GZFS损益预算第一版11.10_FY09 CNTRL Outlook June-Latest0619-Final Retail" xfId="1123" xr:uid="{65ED7016-EDC7-449F-89FA-CE21A5E14C3E}"/>
    <cellStyle name="_05GZFS损益预算第一版11.10_FY09 Landing Scenarios" xfId="1124" xr:uid="{9BCE2CCE-290D-4ACB-B69B-4E679B61CAF6}"/>
    <cellStyle name="_05GZFS损益预算第一版11.10_FY09 Landing Scenarios_Flash Volume Summary-PER01-rv1" xfId="1125" xr:uid="{7569A0FE-E4CB-45B6-B20B-2D43C5379F2C}"/>
    <cellStyle name="_05GZFS损益预算第一版11.10_FY09 Landing Scenarios_Flash Volume Summary-PER02" xfId="1126" xr:uid="{87D8880A-2D92-4059-85F1-C97FBD16E8A7}"/>
    <cellStyle name="_05GZFS损益预算第一版11.10_FY09 Landing Scenarios_Flash Volume Summary-PER04" xfId="1127" xr:uid="{DF6AA9DE-5F4D-455D-A522-3035C785321F}"/>
    <cellStyle name="_05GZFS损益预算第一版11.10_FY09 Landing Scenarios_Flash Volume Summary-PER0自分用2" xfId="1128" xr:uid="{2DBC75CD-496C-48B0-AF36-A6788455645D}"/>
    <cellStyle name="_05GZFS损益预算第一版11.10_FY09 Landing Scenarios_Flash Volume Summary-PER10" xfId="1129" xr:uid="{FCAADDF8-F0C3-497F-9E86-701886D59FA2}"/>
    <cellStyle name="_05GZFS损益预算第一版11.10_FY09 Landing Scenarios_Flash Volume Summary-PER10 for Central" xfId="1130" xr:uid="{3EF184A0-2288-4E68-9838-B660408A64DC}"/>
    <cellStyle name="_05GZFS损益预算第一版11.10_FY09 Q1 Results_Volume MS Exp_July EC" xfId="1131" xr:uid="{1AEB1095-6BBE-471B-9A98-FFC1C56154E2}"/>
    <cellStyle name="_05GZFS损益预算第一版11.10_FY09 Q1 Results_Volume MS Exp_July EC 2" xfId="1132" xr:uid="{4EABB0D8-7244-49C9-A8B5-7B781F07935D}"/>
    <cellStyle name="_05GZFS损益预算第一版11.10_FY09 Q1 Results_Volume MS Exp_July EC 2 2" xfId="25557" xr:uid="{01CA928A-66D6-4308-A2C4-930CC3502D72}"/>
    <cellStyle name="_05GZFS损益预算第一版11.10_FY09 Q1 Results_Volume MS Exp_July EC v2" xfId="1133" xr:uid="{4727FBC5-638A-408A-BA80-5067B09C429A}"/>
    <cellStyle name="_05GZFS损益预算第一版11.10_FY09 Retail Volume May Report 090513" xfId="1134" xr:uid="{1572C21F-0A3C-43F1-A360-325B76201D7B}"/>
    <cellStyle name="_05GZFS损益预算第一版11.10_FY09 Retail Volume May Report 090513_Flash Volume Summary-PER01-rv1" xfId="1135" xr:uid="{C055D4EF-EE08-432C-9279-164C1478A77B}"/>
    <cellStyle name="_05GZFS损益预算第一版11.10_FY09 Retail Volume May Report 090513_Flash Volume Summary-PER02" xfId="1136" xr:uid="{7ECDDF4A-0669-4B2E-BFDE-53D65423DCB3}"/>
    <cellStyle name="_05GZFS损益预算第一版11.10_FY09 Retail Volume May Report 090513_Flash Volume Summary-PER04" xfId="1137" xr:uid="{946A905F-6ADF-4983-BC9E-3DD96B81B59E}"/>
    <cellStyle name="_05GZFS损益预算第一版11.10_FY09 Retail Volume May Report 090513_Flash Volume Summary-PER0自分用2" xfId="1138" xr:uid="{FCC6EAEB-CA57-4DA6-A236-5F000215622F}"/>
    <cellStyle name="_05GZFS损益预算第一版11.10_FY09 Retail Volume May Report 090513_Flash Volume Summary-PER10" xfId="1139" xr:uid="{C1442CF7-DA3C-47B4-B775-6B7E23807E97}"/>
    <cellStyle name="_05GZFS损益预算第一版11.10_FY09 Retail Volume May Report 090513_Flash Volume Summary-PER10 for Central" xfId="1140" xr:uid="{71D91339-F332-425A-8625-0A7FF3376DF2}"/>
    <cellStyle name="_05GZFS损益预算第一版11.10_FY09 WS Volume Report_April YTD_090527-Monthly Budget Updated" xfId="1141" xr:uid="{71DF7CC6-4583-4FC6-B266-E4615864D81A}"/>
    <cellStyle name="_05GZFS损益预算第一版11.10_FY09 WS Volume Report_April YTD_090527-Monthly Budget Updated 2" xfId="1142" xr:uid="{F87B164B-CA73-4FFF-B122-B39EAF353C6C}"/>
    <cellStyle name="_05GZFS损益预算第一版11.10_FY09 WS Volume Report_April YTD_090527-Monthly Budget Updated 2 2" xfId="25558" xr:uid="{24815C5E-ACA5-4142-AD31-29939DA49531}"/>
    <cellStyle name="_05GZFS损益预算第一版11.10_FY10 FC#2 Pricing Analysis to Central" xfId="1143" xr:uid="{5D3551DE-8EAA-472D-BC72-379D32502CA8}"/>
    <cellStyle name="_05GZFS损益预算第一版11.10_FY10 Q3 YTD_Volume Detail_v2_FINAL" xfId="1144" xr:uid="{AB5E0BEC-43F6-4737-8BFC-D2ED73865D15}"/>
    <cellStyle name="_05GZFS损益预算第一版11.10_FY13 Budget Simulation Excel PKG for Auto by company" xfId="1145" xr:uid="{4DFC8881-DA98-4537-8E2D-C78F36ACA7D3}"/>
    <cellStyle name="_05GZFS损益预算第一版11.10_June_FY09 Retail Volume_090713" xfId="1146" xr:uid="{DB8EEABC-7008-4A4D-AB3F-CA5EDBA06034}"/>
    <cellStyle name="_05GZFS损益预算第一版11.10_June_FY09 Retail Volume_090713 2" xfId="1147" xr:uid="{48CFCD15-9B3D-4390-B8B0-B34973762390}"/>
    <cellStyle name="_05GZFS损益预算第一版11.10_June_FY09 Retail Volume_090713 2 2" xfId="25559" xr:uid="{4242B421-F5F2-4AB3-9F52-101C51B0B511}"/>
    <cellStyle name="_05GZFS损益预算第一版11.10_L11K Impact vs. Budget" xfId="1148" xr:uid="{5C5D4E85-456F-43A9-963B-D9D5D658274A}"/>
    <cellStyle name="_05GZFS损益预算第一版11.10_L11K Impact vs. Budget 2" xfId="1149" xr:uid="{A1EBCE4D-001A-4CB9-9F4C-932433F9299F}"/>
    <cellStyle name="_05GZFS损益预算第一版11.10_L11K Impact vs. Budget 2 2" xfId="1150" xr:uid="{81AE21B6-8616-4F56-9946-D8FE8EC476CD}"/>
    <cellStyle name="_05GZFS损益预算第一版11.10_L11K Impact vs. Budget 2 2 2" xfId="25560" xr:uid="{E5C44FD6-ABF6-4B4A-AE35-C2E1E0DD6741}"/>
    <cellStyle name="_05GZFS损益预算第一版11.10_L11K Impact vs. Budget_L42F_MSRP TP mix k_080520" xfId="1151" xr:uid="{5BC6C8AA-756F-4509-A4C1-757281B8F922}"/>
    <cellStyle name="_05GZFS损益预算第一版11.10_L11K Impact vs. Budget_L42F_MSRP TP mix k_080520 2" xfId="1152" xr:uid="{6E611853-12DC-4EC6-976F-E10F53B1534A}"/>
    <cellStyle name="_05GZFS损益预算第一版11.10_L11K Impact vs. Budget_L42F_MSRP TP mix k_080520 2 2" xfId="1153" xr:uid="{4047FE22-D32F-4FA1-B7BC-1FE26E8671B2}"/>
    <cellStyle name="_05GZFS损益预算第一版11.10_L11K Impact vs. Budget_L42F_MSRP TP mix k_080520 2 2 2" xfId="25561" xr:uid="{C3203E98-C569-4DBF-99AC-1ADD0F570BD4}"/>
    <cellStyle name="_05GZFS损益预算第一版11.10_L11K Impact vs. Budget_L42F_MSRP TP mix k_080528" xfId="1154" xr:uid="{A3ED1222-77FD-49E3-9721-BABE761AA295}"/>
    <cellStyle name="_05GZFS损益预算第一版11.10_L11K Impact vs. Budget_L42F_MSRP TP mix k_080528 2" xfId="1155" xr:uid="{5130903D-9204-4614-A2D3-DA79B6ED4AFA}"/>
    <cellStyle name="_05GZFS损益预算第一版11.10_L11K Impact vs. Budget_L42F_MSRP TP mix k_080528 2 2" xfId="1156" xr:uid="{61E6491D-7676-4E5A-A3C2-03E2CE6A0FCE}"/>
    <cellStyle name="_05GZFS损益预算第一版11.10_L11K Impact vs. Budget_L42F_MSRP TP mix k_080528 2 2 2" xfId="25562" xr:uid="{632940BC-6AC1-477C-B250-8A10A7D535C1}"/>
    <cellStyle name="_05GZFS损益预算第一版11.10_L11K Impact vs. Budget_P32E TDC for Final MPR(080912 31K Base)---from zhangtao" xfId="1157" xr:uid="{9CD9F75D-C4EF-41EB-82D4-A958C3B3AA5C}"/>
    <cellStyle name="_05GZFS损益预算第一版11.10_L11K Impact vs. Budget_P32E TDC for Final MPR(080912 31K Base)---from zhangtao 2" xfId="1158" xr:uid="{337E8970-91BA-4E33-B25B-A7C1D403550D}"/>
    <cellStyle name="_05GZFS损益预算第一版11.10_L11K Impact vs. Budget_P32E TDC for Final MPR(080912 31K Base)---from zhangtao 2 2" xfId="1159" xr:uid="{C9CC198E-E078-4B4C-BCF0-325CEA0585C0}"/>
    <cellStyle name="_05GZFS损益预算第一版11.10_L11K Impact vs. Budget_P32E TDC for Final MPR(080912 31K Base)---from zhangtao 2 2 2" xfId="25563" xr:uid="{8091F753-9EDB-49B3-BF3A-6938A2B7FA97}"/>
    <cellStyle name="_05GZFS损益预算第一版11.10_L42F_MSRP TP mix k_080520" xfId="1160" xr:uid="{7D6B5F2C-FE27-45B0-9A0D-6B5EFC76F585}"/>
    <cellStyle name="_05GZFS损益预算第一版11.10_L42F_MSRP TP mix k_080520 2" xfId="1161" xr:uid="{C6C8D261-EE0B-40A8-B9F4-E3F49C16AF15}"/>
    <cellStyle name="_05GZFS损益预算第一版11.10_L42F_MSRP TP mix k_080520 2 2" xfId="1162" xr:uid="{9AEDEA62-03E4-4DE7-9E1F-E90B44199A1F}"/>
    <cellStyle name="_05GZFS损益预算第一版11.10_L42F_MSRP TP mix k_080520 2 2 2" xfId="25564" xr:uid="{6625102F-64B0-4C47-A105-9543AA38E842}"/>
    <cellStyle name="_05GZFS损益预算第一版11.10_L42F_MSRP TP mix k_080528" xfId="1163" xr:uid="{EA0F7DDC-9DF3-4442-9927-259CAE5DCA90}"/>
    <cellStyle name="_05GZFS损益预算第一版11.10_L42F_MSRP TP mix k_080528 2" xfId="1164" xr:uid="{2B79679E-4CF7-4553-9F0A-81551E3B51E3}"/>
    <cellStyle name="_05GZFS损益预算第一版11.10_L42F_MSRP TP mix k_080528 2 2" xfId="1165" xr:uid="{8C97F7D6-61A9-4500-8CA1-A9605AD6B467}"/>
    <cellStyle name="_05GZFS损益预算第一版11.10_L42F_MSRP TP mix k_080528 2 2 2" xfId="25565" xr:uid="{7B4E2D42-9C38-4C15-A8A7-A0B481D67955}"/>
    <cellStyle name="_05GZFS损益预算第一版11.10_May_FY09 Retail Volume_090615" xfId="1166" xr:uid="{380286AB-22F8-4AC2-A811-A757AA962099}"/>
    <cellStyle name="_05GZFS损益预算第一版11.10_May_FY09 Retail Volume_090615 2" xfId="1167" xr:uid="{F514DF21-8936-4077-9523-ABE57795F3B4}"/>
    <cellStyle name="_05GZFS损益预算第一版11.10_May_FY09 Retail Volume_090615 2 2" xfId="25566" xr:uid="{6ED5CA9F-1446-42B2-81CA-1B5187E5EEA9}"/>
    <cellStyle name="_05GZFS损益预算第一版11.10_P32E TDC for Final MPR(080912 31K Base)---from zhangtao" xfId="1168" xr:uid="{7709A98D-FA74-4139-B141-63209CA97563}"/>
    <cellStyle name="_05GZFS损益预算第一版11.10_P32E TDC for Final MPR(080912 31K Base)---from zhangtao 2" xfId="1169" xr:uid="{BABE1B0F-4F98-4579-9579-F8817AC0541B}"/>
    <cellStyle name="_05GZFS损益预算第一版11.10_P32E TDC for Final MPR(080912 31K Base)---from zhangtao 2 2" xfId="1170" xr:uid="{51E26BC1-6E6B-41E5-B299-6161C7F11353}"/>
    <cellStyle name="_05GZFS损益预算第一版11.10_P32E TDC for Final MPR(080912 31K Base)---from zhangtao 2 2 2" xfId="25567" xr:uid="{1B8CE2F9-B716-48BE-AD1D-FF662B0F7247}"/>
    <cellStyle name="_05GZFS损益预算第一版11.10_Steel hike calculate base-20080523" xfId="1171" xr:uid="{81A01143-E0D1-43CA-9636-10C6F0CC605F}"/>
    <cellStyle name="_05GZFS损益预算第一版11.10_Steel hike calculate base-20080523 2" xfId="1172" xr:uid="{F71E5CBC-E355-437C-A50D-15B8ACF2C932}"/>
    <cellStyle name="_05GZFS损益预算第一版11.10_Steel hike calculate base-20080523 2 2" xfId="1173" xr:uid="{8A46FEC2-E72E-486C-9FB4-0617E29CCEAB}"/>
    <cellStyle name="_05GZFS损益预算第一版11.10_Steel hike calculate base-20080523 2 2 2" xfId="1174" xr:uid="{DF41B7F8-8E0C-4CCD-B7EC-ECC79737B0C9}"/>
    <cellStyle name="_05GZFS损益预算第一版11.10_Steel hike calculate base-20080523 2 2 2 2" xfId="1175" xr:uid="{2FDF1178-A2F4-4660-A00A-731645BDFFC4}"/>
    <cellStyle name="_05GZFS损益预算第一版11.10_Steel hike calculate base-20080523 2 2 2 2 2" xfId="25568" xr:uid="{498D2C34-3892-4793-BD3A-AF220F1CE412}"/>
    <cellStyle name="_05GZFS损益预算第一版11.10_Steel hike calculate base-20080523 2 2 3" xfId="1176" xr:uid="{7A422C84-0939-47BA-B072-473D25996EAE}"/>
    <cellStyle name="_05GZFS损益预算第一版11.10_Steel hike calculate base-20080523 2 2 4" xfId="1177" xr:uid="{2C4A31DD-F1FA-491D-A3B6-74D69AAFDB63}"/>
    <cellStyle name="_05GZFS损益预算第一版11.10_Steel hike calculate base-20080523 2 2 4 2" xfId="25569" xr:uid="{BAD5DAC5-1360-46A2-BD5B-C6A7AFD94580}"/>
    <cellStyle name="_05GZFS损益预算第一版11.10_Steel hike calculate base-20080523 2 3" xfId="1178" xr:uid="{9F67F254-0E2F-4EB3-AFA3-EA36D8691AA8}"/>
    <cellStyle name="_05GZFS损益预算第一版11.10_Steel hike calculate base-20080523 2 3 2" xfId="25570" xr:uid="{19C98862-0E9D-4A0D-A276-D39B56BC8A13}"/>
    <cellStyle name="_05GZFS损益预算第一版11.10_Steel hike calculate base-20080523 2_FY13 Budget Simulation Excel PKG for Auto by company" xfId="1179" xr:uid="{3183A782-3290-4DF1-8BEE-406A8ECC7D38}"/>
    <cellStyle name="_05GZFS损益预算第一版11.10_Steel hike calculate base-20080523 3" xfId="1180" xr:uid="{1CE0FAF4-546B-4A58-93F6-C27AE8F4ED53}"/>
    <cellStyle name="_05GZFS损益预算第一版11.10_Steel hike calculate base-20080523 4" xfId="1181" xr:uid="{E515D533-6137-432D-A5B5-BBA00D734FC5}"/>
    <cellStyle name="_05GZFS损益预算第一版11.10_Steel hike calculate base-20080523 4 2" xfId="25571" xr:uid="{1E9CBE86-38B2-4499-9BAE-DA98C4134C30}"/>
    <cellStyle name="_05GZFS损益预算第一版11.10_Steel hike calculate base-20080523_DFL FY13 Simulation Data version 1010-2(A7C)" xfId="1182" xr:uid="{AB3D0066-AAC3-49DD-8EBA-B3946DD0BE56}"/>
    <cellStyle name="_05GZFS损益预算第一版11.10_Steel hike calculate base-20080523_DFL FY13 Simulation Data version 1010-2(A7C) 2" xfId="1183" xr:uid="{F9159908-9A7F-4B16-B5B9-1270970F33C2}"/>
    <cellStyle name="_05GZFS损益预算第一版11.10_Steel hike calculate base-20080523_DFL FY13 Simulation Data version 1010-2(A7C) 2 2" xfId="1184" xr:uid="{D6D8D5F2-6C55-4ED5-8B3C-ED65808087D7}"/>
    <cellStyle name="_05GZFS损益预算第一版11.10_Steel hike calculate base-20080523_DFL FY13 Simulation Data version 1010-2(A7C) 2 2 2" xfId="1185" xr:uid="{5B333257-E0AC-493D-A634-DFDE56C7A33F}"/>
    <cellStyle name="_05GZFS损益预算第一版11.10_Steel hike calculate base-20080523_DFL FY13 Simulation Data version 1010-2(A7C) 2 2 2 2" xfId="25572" xr:uid="{D61A99C3-1200-4541-88D6-B9210C8829E0}"/>
    <cellStyle name="_05GZFS损益预算第一版11.10_Steel hike calculate base-20080523_DFL FY13 Simulation Data version 1010-2(A7C) 2 3" xfId="1186" xr:uid="{B3987ECA-00D0-415F-9A97-A1B6364A1933}"/>
    <cellStyle name="_05GZFS损益预算第一版11.10_Steel hike calculate base-20080523_DFL FY13 Simulation Data version 1010-2(A7C) 2 4" xfId="1187" xr:uid="{D637E929-445F-4DC8-8C31-B2641A39D24A}"/>
    <cellStyle name="_05GZFS损益预算第一版11.10_Steel hike calculate base-20080523_DFL FY13 Simulation Data version 1010-2(A7C) 2 4 2" xfId="25573" xr:uid="{B386C259-232C-4B54-8851-9F308F2AA001}"/>
    <cellStyle name="_05GZFS损益预算第一版11.10_Steel hike calculate base-20080523_DFL FY13 Simulation Data version 1010-2(A7C) 3" xfId="1188" xr:uid="{785B41D7-4CE3-4B81-9698-522AF4D62ADF}"/>
    <cellStyle name="_05GZFS损益预算第一版11.10_Steel hike calculate base-20080523_DFL FY13 Simulation Data version 1010-2(A7C) 3 2" xfId="25574" xr:uid="{BF30942D-6304-41A0-A094-129C3A0DB5F8}"/>
    <cellStyle name="_05GZFS损益预算第一版11.10_Steel hike calculate base-20080523_DFL FY13 Simulation Data version 1010-2(A7C)_FY13 Budget Simulation Excel PKG for Auto by company" xfId="1189" xr:uid="{30DFB13E-B746-4E8E-8CEE-2CBD1F8B94F2}"/>
    <cellStyle name="_05GZFS损益预算第一版11.10_Steel hike calculate base-20080523_FY13 Budget Simulation Excel PKG for Auto by company" xfId="1190" xr:uid="{DF393A29-19CC-45ED-83C0-4E56D97E02B4}"/>
    <cellStyle name="_05GZFS损益预算第一版11.10_TDC及售算(050929)final" xfId="1191" xr:uid="{A7C599DA-EB67-4158-AFD1-32B44900F3E3}"/>
    <cellStyle name="_05GZFS损益预算第一版11.10_TDC及售算(050929)final 2" xfId="1192" xr:uid="{6D0F9B04-3918-4184-869D-2A5E89634FEF}"/>
    <cellStyle name="_05GZFS损益预算第一版11.10_TDC及售算(050929)final 2 2" xfId="1193" xr:uid="{407D2748-D7CD-4EBC-BF5B-A2A8FFAE50A2}"/>
    <cellStyle name="_05GZFS损益预算第一版11.10_TDC及售算(050929)final 2 2 2" xfId="1194" xr:uid="{1CF49BEB-1701-4C0E-AD41-0064790466D9}"/>
    <cellStyle name="_05GZFS损益预算第一版11.10_TDC及售算(050929)final 2 2 2 2" xfId="25575" xr:uid="{497D3283-BF7A-4972-A0F8-6EC25E19F1CD}"/>
    <cellStyle name="_05GZFS损益预算第一版11.10_TDC及售算(050929)final 2 3" xfId="1195" xr:uid="{1DC9C2CE-5AAC-4E1E-8BC5-9F54FEB026D1}"/>
    <cellStyle name="_05GZFS损益预算第一版11.10_TDC及售算(050929)final 2 3 2" xfId="25576" xr:uid="{E29CD34F-7BB2-4792-9249-D28077A3652B}"/>
    <cellStyle name="_05GZFS损益预算第一版11.10_TDC及售算(050929)final 3" xfId="1196" xr:uid="{FF1D6762-E0D1-40DF-992D-C772DF27FE9E}"/>
    <cellStyle name="_05GZFS损益预算第一版11.10_TDC及售算(050929)final 3 2" xfId="1197" xr:uid="{7C57C210-17ED-4288-8780-C5FFE73B0012}"/>
    <cellStyle name="_05GZFS损益预算第一版11.10_TDC及售算(050929)final 3 2 2" xfId="25577" xr:uid="{3CE19774-601C-4593-9AB9-839E778066FA}"/>
    <cellStyle name="_05GZFS损益预算第一版11.10_TDC及售算(050929)final_'08 budget TDC" xfId="1198" xr:uid="{DFDF26E5-8427-4B32-9823-824371270F76}"/>
    <cellStyle name="_05GZFS损益预算第一版11.10_TDC及售算(050929)final_'08 budget TDC 2" xfId="1199" xr:uid="{A8F8B720-ED36-4586-9183-5CD95CB4775E}"/>
    <cellStyle name="_05GZFS损益预算第一版11.10_TDC及售算(050929)final_'08 budget TDC 2 2" xfId="1200" xr:uid="{EC3FCC81-941D-46CA-A6F5-AC1D7433B7C3}"/>
    <cellStyle name="_05GZFS损益预算第一版11.10_TDC及售算(050929)final_'08 budget TDC 2 2 2" xfId="25578" xr:uid="{9931179F-6753-4EC1-B35C-5960E16F6361}"/>
    <cellStyle name="_05GZFS损益预算第一版11.10_TDC及售算(050929)final_L11K Impact vs. Budget" xfId="1201" xr:uid="{AE22FAF4-6811-4BF3-997D-A4096CFDE808}"/>
    <cellStyle name="_05GZFS损益预算第一版11.10_TDC及售算(050929)final_L11K Impact vs. Budget 2" xfId="1202" xr:uid="{5DC411D0-FF4B-406C-8112-9914B7DB4C3A}"/>
    <cellStyle name="_05GZFS损益预算第一版11.10_TDC及售算(050929)final_L11K Impact vs. Budget 2 2" xfId="1203" xr:uid="{5B345950-80B8-4102-A103-0CE31CFD5AC6}"/>
    <cellStyle name="_05GZFS损益预算第一版11.10_TDC及售算(050929)final_L11K Impact vs. Budget 2 2 2" xfId="25579" xr:uid="{82B966CB-9904-41F8-A941-0497040E9CD1}"/>
    <cellStyle name="_05GZFS损益预算第一版11.10_TDC及售算(050929)final_L11K Impact vs. Budget_L42F_MSRP TP mix k_080520" xfId="1204" xr:uid="{D3872F59-C15B-44C9-B6E7-7237A97240F7}"/>
    <cellStyle name="_05GZFS损益预算第一版11.10_TDC及售算(050929)final_L11K Impact vs. Budget_L42F_MSRP TP mix k_080520 2" xfId="1205" xr:uid="{5CF8038E-C161-41F2-91FD-7731F55C1ACB}"/>
    <cellStyle name="_05GZFS损益预算第一版11.10_TDC及售算(050929)final_L11K Impact vs. Budget_L42F_MSRP TP mix k_080520 2 2" xfId="1206" xr:uid="{FB99CE88-AA0B-401E-9720-6A67BC13B1C8}"/>
    <cellStyle name="_05GZFS损益预算第一版11.10_TDC及售算(050929)final_L11K Impact vs. Budget_L42F_MSRP TP mix k_080520 2 2 2" xfId="25580" xr:uid="{7073B371-4E38-4263-A1EE-86EF4F4887E5}"/>
    <cellStyle name="_05GZFS损益预算第一版11.10_TDC及售算(050929)final_L11K Impact vs. Budget_L42F_MSRP TP mix k_080528" xfId="1207" xr:uid="{09FBC503-1F19-4BC9-A4EF-BEACECA5FA62}"/>
    <cellStyle name="_05GZFS损益预算第一版11.10_TDC及售算(050929)final_L11K Impact vs. Budget_L42F_MSRP TP mix k_080528 2" xfId="1208" xr:uid="{9FADFBC6-6589-4584-8812-259C16972E33}"/>
    <cellStyle name="_05GZFS损益预算第一版11.10_TDC及售算(050929)final_L11K Impact vs. Budget_L42F_MSRP TP mix k_080528 2 2" xfId="1209" xr:uid="{5D2612CE-9787-445F-91D8-2520EEE9764B}"/>
    <cellStyle name="_05GZFS损益预算第一版11.10_TDC及售算(050929)final_L11K Impact vs. Budget_L42F_MSRP TP mix k_080528 2 2 2" xfId="25581" xr:uid="{EAA440B4-3575-4A49-B4A4-A77ABD93A3E2}"/>
    <cellStyle name="_05GZFS损益预算第一版11.10_TDC及售算(050929)final_L11K Impact vs. Budget_P32E TDC for Final MPR(080912 31K Base)---from zhangtao" xfId="1210" xr:uid="{E724211B-6B40-4969-9210-8E79E09C4361}"/>
    <cellStyle name="_05GZFS损益预算第一版11.10_TDC及售算(050929)final_L11K Impact vs. Budget_P32E TDC for Final MPR(080912 31K Base)---from zhangtao 2" xfId="1211" xr:uid="{37EF5776-AA49-4F83-A387-53CAFE1137A9}"/>
    <cellStyle name="_05GZFS损益预算第一版11.10_TDC及售算(050929)final_L11K Impact vs. Budget_P32E TDC for Final MPR(080912 31K Base)---from zhangtao 2 2" xfId="1212" xr:uid="{76822244-0A02-4244-A09A-ECDF124164FB}"/>
    <cellStyle name="_05GZFS损益预算第一版11.10_TDC及售算(050929)final_L11K Impact vs. Budget_P32E TDC for Final MPR(080912 31K Base)---from zhangtao 2 2 2" xfId="25582" xr:uid="{A5096F89-D4BA-4588-9057-D7105C350717}"/>
    <cellStyle name="_05GZFS损益预算第一版11.10_TDC及售算(050929)final_L42F_MSRP TP mix k_080520" xfId="1213" xr:uid="{62FED590-1393-4B68-8C46-10F6D4251B21}"/>
    <cellStyle name="_05GZFS损益预算第一版11.10_TDC及售算(050929)final_L42F_MSRP TP mix k_080520 2" xfId="1214" xr:uid="{7C7CB15C-2D33-4A7D-9B2F-328397AAA398}"/>
    <cellStyle name="_05GZFS损益预算第一版11.10_TDC及售算(050929)final_L42F_MSRP TP mix k_080520 2 2" xfId="1215" xr:uid="{C6222F45-CE6D-4EAE-AED1-4ABF062AF230}"/>
    <cellStyle name="_05GZFS损益预算第一版11.10_TDC及售算(050929)final_L42F_MSRP TP mix k_080520 2 2 2" xfId="25583" xr:uid="{FFB1E4E0-79C9-4993-ABC2-E7B97578EF68}"/>
    <cellStyle name="_05GZFS损益预算第一版11.10_TDC及售算(050929)final_L42F_MSRP TP mix k_080528" xfId="1216" xr:uid="{1548F749-D05A-4197-894C-1B7326C69AD5}"/>
    <cellStyle name="_05GZFS损益预算第一版11.10_TDC及售算(050929)final_L42F_MSRP TP mix k_080528 2" xfId="1217" xr:uid="{56C25E79-A063-4473-9490-456AC1EB0C51}"/>
    <cellStyle name="_05GZFS损益预算第一版11.10_TDC及售算(050929)final_L42F_MSRP TP mix k_080528 2 2" xfId="1218" xr:uid="{EDFAB81F-B7F7-4967-8E41-2EBCFC92CE7E}"/>
    <cellStyle name="_05GZFS损益预算第一版11.10_TDC及售算(050929)final_L42F_MSRP TP mix k_080528 2 2 2" xfId="25584" xr:uid="{6D4B5AFB-E009-42EB-B10E-6EDC703AD56B}"/>
    <cellStyle name="_05GZFS损益预算第一版11.10_TDC及售算(050929)final_P32E TDC for Final MPR(080912 31K Base)---from zhangtao" xfId="1219" xr:uid="{4DC93DC2-1E70-4600-826C-E8F182ADB21B}"/>
    <cellStyle name="_05GZFS损益预算第一版11.10_TDC及售算(050929)final_P32E TDC for Final MPR(080912 31K Base)---from zhangtao 2" xfId="1220" xr:uid="{EDE41AC0-2AD7-44CD-9282-4DF634B3C9E2}"/>
    <cellStyle name="_05GZFS损益预算第一版11.10_TDC及售算(050929)final_P32E TDC for Final MPR(080912 31K Base)---from zhangtao 2 2" xfId="1221" xr:uid="{1B749615-AFE2-4B07-982B-60CC3C80F7ED}"/>
    <cellStyle name="_05GZFS损益预算第一版11.10_TDC及售算(050929)final_P32E TDC for Final MPR(080912 31K Base)---from zhangtao 2 2 2" xfId="25585" xr:uid="{C374090B-C762-49B6-B02F-2E922A4E0984}"/>
    <cellStyle name="_05GZFS损益预算第一版11.10_附件二" xfId="1222" xr:uid="{C0E536A6-C3AC-4B08-853D-DC3C4EA53026}"/>
    <cellStyle name="_05GZFS损益预算第一版11.10_附件二 2" xfId="1223" xr:uid="{6CCAF028-FF8B-4E7B-93C5-ED0432B99566}"/>
    <cellStyle name="_05GZFS损益预算第一版11.10_附件二 2 2" xfId="1224" xr:uid="{05606B9C-6C62-40AC-B915-DB361B8E12F1}"/>
    <cellStyle name="_05GZFS损益预算第一版11.10_附件二 2 2 2" xfId="1225" xr:uid="{9233FB78-4F73-4734-944C-61DA8407A7B9}"/>
    <cellStyle name="_05GZFS损益预算第一版11.10_附件二 2 2 2 2" xfId="1226" xr:uid="{C93F655C-9C4F-467F-9473-D56A905AFBEB}"/>
    <cellStyle name="_05GZFS损益预算第一版11.10_附件二 2 2 2 2 2" xfId="25586" xr:uid="{089888CC-7676-44CC-9485-21768DBD612A}"/>
    <cellStyle name="_05GZFS损益预算第一版11.10_附件二 2 2 3" xfId="1227" xr:uid="{5D56EB1B-9C4F-415B-ACA6-A0FE47A8B6A9}"/>
    <cellStyle name="_05GZFS损益预算第一版11.10_附件二 2 2 4" xfId="1228" xr:uid="{5F80A694-577E-4B30-B80F-4A1F37B9FD54}"/>
    <cellStyle name="_05GZFS损益预算第一版11.10_附件二 2 2 4 2" xfId="25587" xr:uid="{7CE284D4-9753-4DA3-B4F4-8F9D94870A52}"/>
    <cellStyle name="_05GZFS损益预算第一版11.10_附件二 2 3" xfId="1229" xr:uid="{1E04F8C0-BA2B-4EBD-9B5B-F5A96B3B8DD6}"/>
    <cellStyle name="_05GZFS损益预算第一版11.10_附件二 2 3 2" xfId="25588" xr:uid="{D4C1F399-508F-4203-9D95-25FF5A693032}"/>
    <cellStyle name="_05GZFS损益预算第一版11.10_附件二 2_FY13 Budget Simulation Excel PKG for Auto by company" xfId="1230" xr:uid="{8186DC1A-5581-4FF6-B201-8617D95CD981}"/>
    <cellStyle name="_05GZFS损益预算第一版11.10_附件二 3" xfId="1231" xr:uid="{3995261A-095B-450C-9AEB-83854428BAAF}"/>
    <cellStyle name="_05GZFS损益预算第一版11.10_附件二 4" xfId="1232" xr:uid="{8C631FAB-CD91-4952-9CC4-295B31B950AE}"/>
    <cellStyle name="_05GZFS损益预算第一版11.10_附件二 4 2" xfId="25589" xr:uid="{950E9BFA-538C-4EBE-8703-E4938EA39A2F}"/>
    <cellStyle name="_05GZFS损益预算第一版11.10_附件二_CFT业绩管理表" xfId="1233" xr:uid="{2C9488FE-F40B-4E35-81DF-4B42CED57B5B}"/>
    <cellStyle name="_05GZFS损益预算第一版11.10_附件二_CFT业绩管理表 2" xfId="1234" xr:uid="{AA826533-0F91-419D-9693-59C2D989D950}"/>
    <cellStyle name="_05GZFS损益预算第一版11.10_附件二_CFT业绩管理表 2 2" xfId="1235" xr:uid="{F0DBB0DF-100C-4F57-BE85-C2C357F41BFB}"/>
    <cellStyle name="_05GZFS损益预算第一版11.10_附件二_CFT业绩管理表 2 2 2" xfId="1236" xr:uid="{47B10979-6B65-413B-80D1-0A1CC6DB4FBE}"/>
    <cellStyle name="_05GZFS损益预算第一版11.10_附件二_CFT业绩管理表 2 2 2 2" xfId="1237" xr:uid="{66267E07-0024-4F0B-BAA1-AA527AD432BC}"/>
    <cellStyle name="_05GZFS损益预算第一版11.10_附件二_CFT业绩管理表 2 2 2 2 2" xfId="25590" xr:uid="{4AD21DFE-7148-420C-8FD1-1E9E127E3314}"/>
    <cellStyle name="_05GZFS损益预算第一版11.10_附件二_CFT业绩管理表 2 2 3" xfId="1238" xr:uid="{B354E2CC-EC2F-4F0E-96B0-1B0C7796B913}"/>
    <cellStyle name="_05GZFS损益预算第一版11.10_附件二_CFT业绩管理表 2 2 4" xfId="1239" xr:uid="{C79EE8F2-F282-450A-8E24-DE5DC8FBBB13}"/>
    <cellStyle name="_05GZFS损益预算第一版11.10_附件二_CFT业绩管理表 2 2 4 2" xfId="25591" xr:uid="{FDC918EA-9D7D-4221-964B-DAA1953F3B61}"/>
    <cellStyle name="_05GZFS损益预算第一版11.10_附件二_CFT业绩管理表 2 3" xfId="1240" xr:uid="{8EB26576-61D0-47D8-BFA6-B4C19A025C39}"/>
    <cellStyle name="_05GZFS损益预算第一版11.10_附件二_CFT业绩管理表 2 3 2" xfId="25592" xr:uid="{1F17E1E9-5E89-4714-A4F4-188C066FA4AB}"/>
    <cellStyle name="_05GZFS损益预算第一版11.10_附件二_CFT业绩管理表 2_FY13 Budget Simulation Excel PKG for Auto by company" xfId="1241" xr:uid="{C0E8BC6D-9438-496D-B96D-47893EAC9237}"/>
    <cellStyle name="_05GZFS损益预算第一版11.10_附件二_CFT业绩管理表 3" xfId="1242" xr:uid="{C82C60AA-9AA2-4C5F-A93E-6609BC5C9314}"/>
    <cellStyle name="_05GZFS损益预算第一版11.10_附件二_CFT业绩管理表 4" xfId="1243" xr:uid="{BF36BE2D-4509-4249-9949-482292F36283}"/>
    <cellStyle name="_05GZFS损益预算第一版11.10_附件二_CFT业绩管理表 4 2" xfId="25593" xr:uid="{139069A4-3A12-4320-A228-7DE062A62C23}"/>
    <cellStyle name="_05GZFS损益预算第一版11.10_附件二_CFT业绩管理表_DFL FY13 Simulation Data version 1010-2(A7C)" xfId="1244" xr:uid="{296D44DD-0818-456B-A4BA-A6309B153F0E}"/>
    <cellStyle name="_05GZFS损益预算第一版11.10_附件二_CFT业绩管理表_DFL FY13 Simulation Data version 1010-2(A7C) 2" xfId="1245" xr:uid="{69165668-2728-4F9C-8E09-219CF8E589F1}"/>
    <cellStyle name="_05GZFS损益预算第一版11.10_附件二_CFT业绩管理表_DFL FY13 Simulation Data version 1010-2(A7C) 2 2" xfId="1246" xr:uid="{80F5959B-EE7C-4220-BF6F-212AA062302E}"/>
    <cellStyle name="_05GZFS损益预算第一版11.10_附件二_CFT业绩管理表_DFL FY13 Simulation Data version 1010-2(A7C) 2 2 2" xfId="1247" xr:uid="{08590F72-B6C9-457A-96E7-C08FF1ACD195}"/>
    <cellStyle name="_05GZFS损益预算第一版11.10_附件二_CFT业绩管理表_DFL FY13 Simulation Data version 1010-2(A7C) 2 2 2 2" xfId="25594" xr:uid="{1A94587D-387E-49A8-96F5-E0DC4B789929}"/>
    <cellStyle name="_05GZFS损益预算第一版11.10_附件二_CFT业绩管理表_DFL FY13 Simulation Data version 1010-2(A7C) 2 3" xfId="1248" xr:uid="{3FB8C9F4-EDC8-42CE-82AE-FCB3FAB5C522}"/>
    <cellStyle name="_05GZFS损益预算第一版11.10_附件二_CFT业绩管理表_DFL FY13 Simulation Data version 1010-2(A7C) 2 4" xfId="1249" xr:uid="{D0581BCA-C291-41D4-AD06-59358363A24C}"/>
    <cellStyle name="_05GZFS损益预算第一版11.10_附件二_CFT业绩管理表_DFL FY13 Simulation Data version 1010-2(A7C) 2 4 2" xfId="25595" xr:uid="{2E57622D-212D-4603-9105-C20B59F8D551}"/>
    <cellStyle name="_05GZFS损益预算第一版11.10_附件二_CFT业绩管理表_DFL FY13 Simulation Data version 1010-2(A7C) 3" xfId="1250" xr:uid="{093E8205-B925-4E94-AA8C-A7A6DECB4ABF}"/>
    <cellStyle name="_05GZFS损益预算第一版11.10_附件二_CFT业绩管理表_DFL FY13 Simulation Data version 1010-2(A7C) 3 2" xfId="25596" xr:uid="{04909A6F-7A73-4682-BE38-23984D60E00B}"/>
    <cellStyle name="_05GZFS损益预算第一版11.10_附件二_CFT业绩管理表_DFL FY13 Simulation Data version 1010-2(A7C)_FY13 Budget Simulation Excel PKG for Auto by company" xfId="1251" xr:uid="{50CAD021-67E5-46C4-9999-A7C5FE9E0FC5}"/>
    <cellStyle name="_05GZFS损益预算第一版11.10_附件二_CFT业绩管理表_FY13 Budget Simulation Excel PKG for Auto by company" xfId="1252" xr:uid="{2A141D42-4FDB-49C5-8367-2E494842887D}"/>
    <cellStyle name="_05GZFS损益预算第一版11.10_附件二_DFL FY13 Simulation Data version 1010-2(A7C)" xfId="1253" xr:uid="{AB8278C3-C576-4717-B3A2-D7F75728FAB9}"/>
    <cellStyle name="_05GZFS损益预算第一版11.10_附件二_DFL FY13 Simulation Data version 1010-2(A7C) 2" xfId="1254" xr:uid="{3174275F-18E5-4835-99A5-01565E0CEB3E}"/>
    <cellStyle name="_05GZFS损益预算第一版11.10_附件二_DFL FY13 Simulation Data version 1010-2(A7C) 2 2" xfId="1255" xr:uid="{AFEF7A3D-88E9-4EC4-896C-9396857C2614}"/>
    <cellStyle name="_05GZFS损益预算第一版11.10_附件二_DFL FY13 Simulation Data version 1010-2(A7C) 2 2 2" xfId="1256" xr:uid="{FBBD4247-0D90-4EB4-83A0-C18CA5799C85}"/>
    <cellStyle name="_05GZFS损益预算第一版11.10_附件二_DFL FY13 Simulation Data version 1010-2(A7C) 2 2 2 2" xfId="25597" xr:uid="{BF80CFBB-F77B-4DEA-9376-26E308E0241D}"/>
    <cellStyle name="_05GZFS损益预算第一版11.10_附件二_DFL FY13 Simulation Data version 1010-2(A7C) 2 3" xfId="1257" xr:uid="{CFD94595-657F-4E51-9ACA-0A48F7019463}"/>
    <cellStyle name="_05GZFS损益预算第一版11.10_附件二_DFL FY13 Simulation Data version 1010-2(A7C) 2 4" xfId="1258" xr:uid="{26EDEFF5-537F-4ADD-878A-CA53608BF3C1}"/>
    <cellStyle name="_05GZFS损益预算第一版11.10_附件二_DFL FY13 Simulation Data version 1010-2(A7C) 2 4 2" xfId="25598" xr:uid="{D4B35A00-496E-4796-B769-C3BD8E3076DA}"/>
    <cellStyle name="_05GZFS损益预算第一版11.10_附件二_DFL FY13 Simulation Data version 1010-2(A7C) 3" xfId="1259" xr:uid="{02A7CFD8-9A70-4A53-B3AC-BB76542B374B}"/>
    <cellStyle name="_05GZFS损益预算第一版11.10_附件二_DFL FY13 Simulation Data version 1010-2(A7C) 3 2" xfId="25599" xr:uid="{B80C9D2E-38C8-4CF7-AB24-647656F5C426}"/>
    <cellStyle name="_05GZFS损益预算第一版11.10_附件二_DFL FY13 Simulation Data version 1010-2(A7C)_FY13 Budget Simulation Excel PKG for Auto by company" xfId="1260" xr:uid="{7B21AC56-5213-44CA-B0B7-F01AE2E785CF}"/>
    <cellStyle name="_05GZFS损益预算第一版11.10_附件二_FY13 Budget Simulation Excel PKG for Auto by company" xfId="1261" xr:uid="{38AC5432-91F5-42B8-B435-739684E23EA5}"/>
    <cellStyle name="_05GZFS损益预算第一版11.10_附件二_技术降成本附表" xfId="1262" xr:uid="{B28937D6-5900-4A71-9CD9-C55C723BF7A0}"/>
    <cellStyle name="_05GZFS损益预算第一版11.10_附件二_技术降成本附表 2" xfId="1263" xr:uid="{3ACA4C1C-3E45-4C8E-BC7E-279EC8EB65D3}"/>
    <cellStyle name="_05GZFS损益预算第一版11.10_附件二_技术降成本附表 2 2" xfId="1264" xr:uid="{6E1E57F3-B21A-4121-BF0A-1FD58125801E}"/>
    <cellStyle name="_05GZFS损益预算第一版11.10_附件二_技术降成本附表 2 2 2" xfId="1265" xr:uid="{526F1247-AA04-4E4E-9032-22F8DA04713C}"/>
    <cellStyle name="_05GZFS损益预算第一版11.10_附件二_技术降成本附表 2 2 2 2" xfId="1266" xr:uid="{F0C062E1-A498-44F4-9375-C05421006B1C}"/>
    <cellStyle name="_05GZFS损益预算第一版11.10_附件二_技术降成本附表 2 2 2 2 2" xfId="25600" xr:uid="{3C8F6C3A-3D7E-4627-A4BA-2DF36EBC38D4}"/>
    <cellStyle name="_05GZFS损益预算第一版11.10_附件二_技术降成本附表 2 2 3" xfId="1267" xr:uid="{96152177-B354-415D-AB4D-51786C18AD82}"/>
    <cellStyle name="_05GZFS损益预算第一版11.10_附件二_技术降成本附表 2 2 4" xfId="1268" xr:uid="{A5984D79-A6DB-4BA9-8C23-29D38DCED7D0}"/>
    <cellStyle name="_05GZFS损益预算第一版11.10_附件二_技术降成本附表 2 2 4 2" xfId="25601" xr:uid="{57A8E1D6-E797-413B-8F12-661992257236}"/>
    <cellStyle name="_05GZFS损益预算第一版11.10_附件二_技术降成本附表 2 3" xfId="1269" xr:uid="{E4799B3E-FF1B-464D-8112-0D7CF46EDA7B}"/>
    <cellStyle name="_05GZFS损益预算第一版11.10_附件二_技术降成本附表 2 3 2" xfId="25602" xr:uid="{58661492-E5B6-440F-8C3C-A301A2CBD295}"/>
    <cellStyle name="_05GZFS损益预算第一版11.10_附件二_技术降成本附表 2_FY13 Budget Simulation Excel PKG for Auto by company" xfId="1270" xr:uid="{95C6692E-B61C-4049-8853-E30EE48C8919}"/>
    <cellStyle name="_05GZFS损益预算第一版11.10_附件二_技术降成本附表 3" xfId="1271" xr:uid="{E652FD25-0005-4FED-B372-6DF960DFB4C0}"/>
    <cellStyle name="_05GZFS损益预算第一版11.10_附件二_技术降成本附表 4" xfId="1272" xr:uid="{E44E0DFA-5824-4B32-BBE4-B271781174B0}"/>
    <cellStyle name="_05GZFS损益预算第一版11.10_附件二_技术降成本附表 4 2" xfId="25603" xr:uid="{E4E6E218-ED46-4440-AAB1-E0CAD79496CF}"/>
    <cellStyle name="_05GZFS损益预算第一版11.10_附件二_技术降成本附表_DFL FY13 Simulation Data version 1010-2(A7C)" xfId="1273" xr:uid="{8328FB40-1428-4572-8922-F75E98E30548}"/>
    <cellStyle name="_05GZFS损益预算第一版11.10_附件二_技术降成本附表_DFL FY13 Simulation Data version 1010-2(A7C) 2" xfId="1274" xr:uid="{831FF0B3-15CB-4F66-B9AC-A733BEC990AE}"/>
    <cellStyle name="_05GZFS损益预算第一版11.10_附件二_技术降成本附表_DFL FY13 Simulation Data version 1010-2(A7C) 2 2" xfId="1275" xr:uid="{5D2C61F1-B765-43B7-A59F-E87B7F82CA16}"/>
    <cellStyle name="_05GZFS损益预算第一版11.10_附件二_技术降成本附表_DFL FY13 Simulation Data version 1010-2(A7C) 2 2 2" xfId="1276" xr:uid="{A75B4056-54ED-48D8-91C7-2AC666B24BF4}"/>
    <cellStyle name="_05GZFS损益预算第一版11.10_附件二_技术降成本附表_DFL FY13 Simulation Data version 1010-2(A7C) 2 2 2 2" xfId="25604" xr:uid="{FAB6627E-6038-4BC4-ADA9-CC99D8822B0C}"/>
    <cellStyle name="_05GZFS损益预算第一版11.10_附件二_技术降成本附表_DFL FY13 Simulation Data version 1010-2(A7C) 2 3" xfId="1277" xr:uid="{9EB47518-AB9A-4222-8E99-63B1E79007BA}"/>
    <cellStyle name="_05GZFS损益预算第一版11.10_附件二_技术降成本附表_DFL FY13 Simulation Data version 1010-2(A7C) 2 4" xfId="1278" xr:uid="{293365C9-E263-4852-B373-AD822E4B6FAD}"/>
    <cellStyle name="_05GZFS损益预算第一版11.10_附件二_技术降成本附表_DFL FY13 Simulation Data version 1010-2(A7C) 2 4 2" xfId="25605" xr:uid="{DA227A14-DB29-44E4-84B2-E5948A0865F1}"/>
    <cellStyle name="_05GZFS损益预算第一版11.10_附件二_技术降成本附表_DFL FY13 Simulation Data version 1010-2(A7C) 3" xfId="1279" xr:uid="{2E6379F3-26DF-4B8D-A904-E2C8BDF51851}"/>
    <cellStyle name="_05GZFS损益预算第一版11.10_附件二_技术降成本附表_DFL FY13 Simulation Data version 1010-2(A7C) 3 2" xfId="25606" xr:uid="{18546E3C-6990-49A8-BBC5-EEA2270A2BE9}"/>
    <cellStyle name="_05GZFS损益预算第一版11.10_附件二_技术降成本附表_DFL FY13 Simulation Data version 1010-2(A7C)_FY13 Budget Simulation Excel PKG for Auto by company" xfId="1280" xr:uid="{DA0F88AD-3545-4614-95C7-9EB548DF74E4}"/>
    <cellStyle name="_05GZFS损益预算第一版11.10_附件二_技术降成本附表_FY13 Budget Simulation Excel PKG for Auto by company" xfId="1281" xr:uid="{5707136A-7E66-45DB-B194-E0DD7ED97283}"/>
    <cellStyle name="_05GZFS损益预算第一版11.10_附件二_提案业绩报表" xfId="1282" xr:uid="{052BB3E3-ED45-4D15-B696-DF9FF64479A3}"/>
    <cellStyle name="_05GZFS损益预算第一版11.10_附件二_提案业绩报表 2" xfId="1283" xr:uid="{0DDAC6DE-B277-478C-A192-93B79B5C173B}"/>
    <cellStyle name="_05GZFS损益预算第一版11.10_附件二_提案业绩报表 2 2" xfId="1284" xr:uid="{DB2CE521-12F8-4175-8997-52BAF1DF7A72}"/>
    <cellStyle name="_05GZFS损益预算第一版11.10_附件二_提案业绩报表 2 2 2" xfId="1285" xr:uid="{494AA14B-C238-456C-B9FC-45BE1032583A}"/>
    <cellStyle name="_05GZFS损益预算第一版11.10_附件二_提案业绩报表 2 2 2 2" xfId="1286" xr:uid="{01D32605-E13B-4E75-ADD0-029A5167B58A}"/>
    <cellStyle name="_05GZFS损益预算第一版11.10_附件二_提案业绩报表 2 2 2 2 2" xfId="25607" xr:uid="{007534B1-B653-4973-BA0C-B8DAAC65EA47}"/>
    <cellStyle name="_05GZFS损益预算第一版11.10_附件二_提案业绩报表 2 2 3" xfId="1287" xr:uid="{A0A12CB6-51E2-47F7-A65B-7608238D30E7}"/>
    <cellStyle name="_05GZFS损益预算第一版11.10_附件二_提案业绩报表 2 2 4" xfId="1288" xr:uid="{3532DB2E-8BC7-4CEF-87E6-89734A1E4012}"/>
    <cellStyle name="_05GZFS损益预算第一版11.10_附件二_提案业绩报表 2 2 4 2" xfId="25608" xr:uid="{9A5566BC-2825-4E04-951F-73C9140CE28C}"/>
    <cellStyle name="_05GZFS损益预算第一版11.10_附件二_提案业绩报表 2 3" xfId="1289" xr:uid="{BC00DA8A-3C22-4E9F-8C1D-F7BCA06A16A0}"/>
    <cellStyle name="_05GZFS损益预算第一版11.10_附件二_提案业绩报表 2 3 2" xfId="25609" xr:uid="{2898B1A9-93F4-47EE-943D-FF47CE49A5BE}"/>
    <cellStyle name="_05GZFS损益预算第一版11.10_附件二_提案业绩报表 2_FY13 Budget Simulation Excel PKG for Auto by company" xfId="1290" xr:uid="{D8CC323F-A6C2-4C76-946B-AA3D3C923C6E}"/>
    <cellStyle name="_05GZFS损益预算第一版11.10_附件二_提案业绩报表 3" xfId="1291" xr:uid="{ECF0A0CB-F974-42C8-BBEE-500B52F0819F}"/>
    <cellStyle name="_05GZFS损益预算第一版11.10_附件二_提案业绩报表 4" xfId="1292" xr:uid="{9B98B216-E86A-4B39-9996-09471521E9F3}"/>
    <cellStyle name="_05GZFS损益预算第一版11.10_附件二_提案业绩报表 4 2" xfId="25610" xr:uid="{DA0E7046-9B94-499D-B674-91538180C3D4}"/>
    <cellStyle name="_05GZFS损益预算第一版11.10_附件二_提案业绩报表_DFL FY13 Simulation Data version 1010-2(A7C)" xfId="1293" xr:uid="{75B748B8-2B1F-48C6-A256-081342C8784F}"/>
    <cellStyle name="_05GZFS损益预算第一版11.10_附件二_提案业绩报表_DFL FY13 Simulation Data version 1010-2(A7C) 2" xfId="1294" xr:uid="{B7600859-2A1F-424B-9D18-DA2E3EB69E4C}"/>
    <cellStyle name="_05GZFS损益预算第一版11.10_附件二_提案业绩报表_DFL FY13 Simulation Data version 1010-2(A7C) 2 2" xfId="1295" xr:uid="{BAD71E57-2985-4902-A305-70673B1FF911}"/>
    <cellStyle name="_05GZFS损益预算第一版11.10_附件二_提案业绩报表_DFL FY13 Simulation Data version 1010-2(A7C) 2 2 2" xfId="1296" xr:uid="{0370C369-13BB-4E85-883F-FC6D2531E62F}"/>
    <cellStyle name="_05GZFS损益预算第一版11.10_附件二_提案业绩报表_DFL FY13 Simulation Data version 1010-2(A7C) 2 2 2 2" xfId="25611" xr:uid="{CADB0DBA-BDEF-4C31-9E05-739B57AE7FD5}"/>
    <cellStyle name="_05GZFS损益预算第一版11.10_附件二_提案业绩报表_DFL FY13 Simulation Data version 1010-2(A7C) 2 3" xfId="1297" xr:uid="{E72FA1B4-E14B-4471-BA5B-32122CD75826}"/>
    <cellStyle name="_05GZFS损益预算第一版11.10_附件二_提案业绩报表_DFL FY13 Simulation Data version 1010-2(A7C) 2 4" xfId="1298" xr:uid="{3129289F-5503-448A-98B7-EA255E62A1AF}"/>
    <cellStyle name="_05GZFS损益预算第一版11.10_附件二_提案业绩报表_DFL FY13 Simulation Data version 1010-2(A7C) 2 4 2" xfId="25612" xr:uid="{709450D1-5D22-44B2-A0E0-520E4D270052}"/>
    <cellStyle name="_05GZFS损益预算第一版11.10_附件二_提案业绩报表_DFL FY13 Simulation Data version 1010-2(A7C) 3" xfId="1299" xr:uid="{50FC51A7-E451-4E80-99CD-812C7E645E29}"/>
    <cellStyle name="_05GZFS损益预算第一版11.10_附件二_提案业绩报表_DFL FY13 Simulation Data version 1010-2(A7C) 3 2" xfId="25613" xr:uid="{BA54263C-FDF1-4D5A-8F7D-A4D19BE6CDAD}"/>
    <cellStyle name="_05GZFS损益预算第一版11.10_附件二_提案业绩报表_DFL FY13 Simulation Data version 1010-2(A7C)_FY13 Budget Simulation Excel PKG for Auto by company" xfId="1300" xr:uid="{2B008B75-994C-423D-9C38-BD99FBAA286B}"/>
    <cellStyle name="_05GZFS损益预算第一版11.10_附件二_提案业绩报表_FY13 Budget Simulation Excel PKG for Auto by company" xfId="1301" xr:uid="{44A02EF3-9E24-4055-9583-BC5A1C98CC76}"/>
    <cellStyle name="_05年PV损益预算表第一版11.10" xfId="1302" xr:uid="{6AE921BA-7A4A-41B4-A52D-0D2EFD58237A}"/>
    <cellStyle name="_05年PV损益预算表第一版11.10_(for confirmation to Regin team) FX impact (Simu vs Updated) by MC" xfId="1303" xr:uid="{7B95FE96-912F-4E6B-8DB6-CC8AC43F81AD}"/>
    <cellStyle name="_05年PV损益预算表第一版11.10_【0207】BP_reply_Outside profit_Price List_R" xfId="1304" xr:uid="{4C537E72-4B20-4C3A-91CE-21BAE2D41B9C}"/>
    <cellStyle name="_05年PV损益预算表第一版11.10_★2009年Budget Mix 整（20090102)" xfId="1305" xr:uid="{BBA971AD-0BF4-4465-BD97-271D9B5FBF5C}"/>
    <cellStyle name="_05年PV损益预算表第一版11.10_08 budget 071018" xfId="1306" xr:uid="{0AF63831-45DB-4936-B4E1-D6B64D71E8EA}"/>
    <cellStyle name="_05年PV损益预算表第一版11.10_0902見直し" xfId="1307" xr:uid="{F06DCF6E-73CE-4655-A72A-57C727B7C713}"/>
    <cellStyle name="_05年PV损益预算表第一版11.10_09budget 081022" xfId="1308" xr:uid="{05C3636D-2C9B-46B9-BE77-D70CEF48B945}"/>
    <cellStyle name="_05年PV损益预算表第一版11.10_09'CV市况(按11.08发布值测算)" xfId="1309" xr:uid="{E6061BFA-BB9E-4774-B62C-E160CBB1F93C}"/>
    <cellStyle name="_05年PV损益预算表第一版11.10_2008年5＋7售(Opportunity080630)" xfId="1310" xr:uid="{9AEDABF7-5C22-4C75-A2DC-E603E0B0E4DD}"/>
    <cellStyle name="_05年PV损益预算表第一版11.10_2009年 售 算（台数促 ）L42FMix 整收益 化5800万用 整（20090120)" xfId="1311" xr:uid="{EBC9FCE9-ECEB-4165-8A12-30C193BA17B4}"/>
    <cellStyle name="_05年PV损益预算表第一版11.10_2010年售算(600K)（20100223)" xfId="1312" xr:uid="{6B33D747-94BB-4E0E-A2B1-E15312EA495B}"/>
    <cellStyle name="_05年PV损益预算表第一版11.10_CY09 material risk compare-0615-16 LP" xfId="1313" xr:uid="{E0B01891-74F7-4D51-A640-9691353CDBF6}"/>
    <cellStyle name="_05年PV损益预算表第一版11.10_FCF_FY12 BUD Simulation Excel PKG for Auto_v2" xfId="1314" xr:uid="{379C5CD4-F4C3-404E-AA16-EC1941DCD807}"/>
    <cellStyle name="_05年PV损益预算表第一版11.10_FY09 material forecast5+7 0616 for financial report" xfId="1315" xr:uid="{6C98F735-0B82-432E-8617-99C1C11ADC59}"/>
    <cellStyle name="_05年PV损益预算表第一版11.10_FY10 FC#2 Pricing Analysis to Central" xfId="1316" xr:uid="{26262E07-DAEE-4384-90EF-1747A0E8A9A5}"/>
    <cellStyle name="_05年PV损益预算表第一版11.10_FY12 BP_Simulation information PKG_R" xfId="1317" xr:uid="{E2F63189-C3FF-420C-93F5-A8800F6920D3}"/>
    <cellStyle name="_05年PV损益预算表第一版11.10_NI_Forecast_FY10_120110" xfId="1318" xr:uid="{494E4154-3DCC-43DB-8D6E-BFBD49C95448}"/>
    <cellStyle name="_05年PV损益预算表第一版11.10_Tax Expense FY10 7x5 to FPA 113010" xfId="1319" xr:uid="{B5338AB4-7B24-4748-8487-C5B9EE5CEA42}"/>
    <cellStyle name="_05年培训行动计划报表-单位(SCM)" xfId="1320" xr:uid="{E45A083A-B171-41B8-BCD5-BF5E0BB84BEF}"/>
    <cellStyle name="_05预算分析表格(VP使用)" xfId="1321" xr:uid="{D2563696-20BB-4767-8CF5-7A6ADD92F254}"/>
    <cellStyle name="_061004 07 1st reply all" xfId="1322" xr:uid="{5571ED70-F887-48FF-B09F-CBBA257D272B}"/>
    <cellStyle name="_061004 07 1st reply all (2)" xfId="1323" xr:uid="{0827047F-FE3A-4E71-A67E-01912D04F925}"/>
    <cellStyle name="_061129_FY06FOR#3 Reply PKG_GOM" xfId="1324" xr:uid="{CDA6525E-DA5A-4093-AD1E-BC5136595690}"/>
    <cellStyle name="_06BP SM Assumption060620（draft）" xfId="1325" xr:uid="{5657C46D-68B0-4328-97B2-A3F9B9EB951E}"/>
    <cellStyle name="_06BP SM Assumption060830（draft）" xfId="1326" xr:uid="{E96800B7-75C4-42DB-BC9E-F52282DB2386}"/>
    <cellStyle name="_06Budget assumption 0509261" xfId="1327" xr:uid="{498A312C-6EE6-4438-B3E8-F473395D82A9}"/>
    <cellStyle name="_06Budget assumption 0509263" xfId="1328" xr:uid="{81392696-8E0C-4A4A-BC43-4F1A03810096}"/>
    <cellStyle name="_06年3月制造总部出国实绩" xfId="1329" xr:uid="{6CED8274-2510-4993-AEC6-09B0618E245B}"/>
    <cellStyle name="_06年3月派遣实绩" xfId="1330" xr:uid="{4F99F6CE-ECDC-41CD-B2BA-F6B336C0C997}"/>
    <cellStyle name="_06年生产计划127" xfId="1331" xr:uid="{371CC0C5-4D0B-4C69-B804-66C9A8CAE472}"/>
    <cellStyle name="_06年销售预测（061219）" xfId="1332" xr:uid="{5AEB5DFD-4838-4778-A48C-EEB3A554D6C6}"/>
    <cellStyle name="_06年销售预测（061219）_NMEF_Accessory" xfId="1333" xr:uid="{39D02DCF-1DA7-4D1B-A7BB-19C483E3C521}"/>
    <cellStyle name="_07 1st budget (ICB F)" xfId="1334" xr:uid="{4DAAB04B-5959-4207-903C-141427293533}"/>
    <cellStyle name="_07 1st budget (ICB F) 2" xfId="1335" xr:uid="{D19B94C7-B52B-4CBD-BA5F-D82E904AC0D6}"/>
    <cellStyle name="_07 1st budget (ICB F) 2 2" xfId="25614" xr:uid="{D25B1939-8F55-4AE8-B140-ECC94A8F9AA1}"/>
    <cellStyle name="_07 1st budget (ICB F)_1700 060926_SK" xfId="1336" xr:uid="{0F3BBFCC-206B-419B-8CF5-D4888AC981CA}"/>
    <cellStyle name="_07 1st budget (ICB F)_1700 060926_SK 2" xfId="1337" xr:uid="{11C50903-C601-4049-81C8-AFD9892239E2}"/>
    <cellStyle name="_07 1st budget (ICB F)_1700 060926_SK 2 2" xfId="25615" xr:uid="{E0E190D3-3405-421E-B086-2ED748C8357E}"/>
    <cellStyle name="_07+08-10中期事业计划-经费统计(0609)上报初版" xfId="1338" xr:uid="{CA55A20F-5473-41C6-9488-4E297363FD4C}"/>
    <cellStyle name="_0708-10人员计划(售后事业开发部）" xfId="1339" xr:uid="{57E9C014-F082-40BE-B96D-69CDEF541D70}"/>
    <cellStyle name="_07Budget (INFINITI)" xfId="1340" xr:uid="{970306E9-8037-4A35-AFEF-0C9122B20B7C}"/>
    <cellStyle name="_07Budget_0720_12" xfId="1341" xr:uid="{620A27EC-C631-4915-91AB-E9E8A4813DDB}"/>
    <cellStyle name="_07年年度计划草案" xfId="1343" xr:uid="{740FA182-EC51-4B2B-89BE-CAE2B784CB9E}"/>
    <cellStyle name="_07年度計画(最終版)-GZ PCC" xfId="1342" xr:uid="{719922C0-07C8-4757-A48C-33019D9A98F6}"/>
    <cellStyle name="_07经费" xfId="1344" xr:uid="{19053658-DA73-43F8-ADDA-07C2AA7D7AA4}"/>
    <cellStyle name="_07经费 2" xfId="1345" xr:uid="{49090041-1E0C-4730-AC2E-3D05845A4124}"/>
    <cellStyle name="_07经费 2 2" xfId="25616" xr:uid="{F70136EF-A952-4640-9936-A8F1DF766641}"/>
    <cellStyle name="_08 BP 11 20-new (fromYamamoto-san080227)" xfId="1346" xr:uid="{9461B9BF-54FB-446D-93F1-BDABCA7F1B9C}"/>
    <cellStyle name="_08 BP 11 20-new (fromYamamoto-san080227) 2" xfId="1347" xr:uid="{5CEC8A83-4673-422C-A2BB-AC18B1E98365}"/>
    <cellStyle name="_08 BP 11 20-new (fromYamamoto-san080227) 2 2" xfId="25617" xr:uid="{1AADA82D-4AE9-49FE-8AB8-01D56E542744}"/>
    <cellStyle name="_080414_ZHANG_VFC 市光VALEO MAGNA" xfId="1348" xr:uid="{25EFED32-953B-462B-A068-BA7BDB05BB85}"/>
    <cellStyle name="_080424 Index(Ooguchi-S report）V2" xfId="1349" xr:uid="{2F12C547-1675-456F-B3DF-71425FA65A3D}"/>
    <cellStyle name="_080424 Non-Indexed Input V6(Ooguchi-S report）" xfId="1350" xr:uid="{F0E40FEE-218E-4C41-AA44-C73014A150C7}"/>
    <cellStyle name="_080606_FY08-IS-BudgetActual080613-LCC" xfId="1351" xr:uid="{C706293E-9056-4378-BB02-C7685C18BD6D}"/>
    <cellStyle name="_080805_LCC For#2(final)" xfId="1352" xr:uid="{DF71AFFA-EF15-481A-B4B6-6756CC53894D}"/>
    <cellStyle name="_080805_LCC For#2(final) 2" xfId="1353" xr:uid="{9649D453-4160-4350-8F41-49A36787B762}"/>
    <cellStyle name="_080805_LCC For#2(final) 2 2" xfId="25618" xr:uid="{86F73073-3BCC-4DBB-AF55-DEE825D58BC8}"/>
    <cellStyle name="_080905_FOB_Ms Zhao_FC#3 Sep-Dec（已汇总）" xfId="1354" xr:uid="{C73C6173-14AC-4D0B-9EF6-39D9BC1AEE77}"/>
    <cellStyle name="_080905_FOB_Ms Zhao_FC#3 Sep-Dec（已汇总） 2" xfId="1355" xr:uid="{F57D8E84-C333-4ABE-B17E-8B6FD94B90D7}"/>
    <cellStyle name="_080905_FOB_Ms Zhao_FC#3 Sep-Dec（已汇总） 2 2" xfId="25619" xr:uid="{48F765B3-61AF-467F-BC37-0941F7C514BB}"/>
    <cellStyle name="_080905_zhu(jian)_purchase_FC#3（已汇总）" xfId="1356" xr:uid="{7D720189-EA08-4047-A157-559170E8923F}"/>
    <cellStyle name="_080905_zhu(jian)_purchase_FC#3（已汇总） 2" xfId="1357" xr:uid="{23423277-BBDD-49D5-85CA-82CC14B7F403}"/>
    <cellStyle name="_080905_zhu(jian)_purchase_FC#3（已汇总） 2 2" xfId="25620" xr:uid="{D6FF3501-F0F1-4990-9CF6-92DE83B4BB74}"/>
    <cellStyle name="_080910_from BJ Xie san_LCC-PL-FY08 Sep-include NSL" xfId="1358" xr:uid="{C923957A-ADAC-41CF-A34C-29D99F46B037}"/>
    <cellStyle name="_080911_F#3_LCC-PL-FY08 _include NSL_zhao" xfId="1359" xr:uid="{12EF72A1-31E5-4BA2-A8C9-ED226F27C787}"/>
    <cellStyle name="_080919_For#3 LCC final" xfId="1360" xr:uid="{AF46F61D-2DE7-467B-9CA4-FC71F1B613E5}"/>
    <cellStyle name="_080929 YNM FY08 FCST#3 (8+4) reply package" xfId="1361" xr:uid="{5EC3165E-3310-49B9-AB8D-4C4DEDE887C2}"/>
    <cellStyle name="_080929 YNM FY08 FCST#3 (8+4) reply package_2010 Reply 3 PXP Report v2 0 DISTv2 (2)" xfId="1362" xr:uid="{C03E323B-1E6A-4402-B848-A520FD8DC902}"/>
    <cellStyle name="_0809F#3-1_081017" xfId="1363" xr:uid="{A59D81F5-9C51-4BAF-A5E2-399C0607744C}"/>
    <cellStyle name="_081008_FY09-IS-BudgetSimulatio-LCC" xfId="1364" xr:uid="{473E6216-3FC7-4151-9C27-A8CBFED95957}"/>
    <cellStyle name="_081008_hara san_LCC_GA for 09BP#2_081007 (3)" xfId="1365" xr:uid="{398CA2AF-34A7-4ACA-9147-A55EDA32593A}"/>
    <cellStyle name="_081008_hara san_LCC_GA for 09BP#2_081007 (3) 2" xfId="1366" xr:uid="{53D401CF-AB2D-447D-973F-2EB7CAC3C25D}"/>
    <cellStyle name="_081008_hara san_LCC_GA for 09BP#2_081007 (3) 2 2" xfId="25621" xr:uid="{394283C8-4A40-46DA-AF1D-B0E569D60836}"/>
    <cellStyle name="_081009 FY08_ F#3 CR +G&amp;A 调整明细_to Saruwatari san" xfId="1367" xr:uid="{541E347C-F503-4DEF-9DC9-707CD1BBC158}"/>
    <cellStyle name="_081014_ CR +G&amp;A 调整明细(FY08+FY09)" xfId="1368" xr:uid="{1E29C287-2791-466D-85F6-750CE31D7417}"/>
    <cellStyle name="_081016_SCM_FC#3-1 Update 1016" xfId="1369" xr:uid="{45BEC7B2-7482-4796-BE26-6A4FFF0E4761}"/>
    <cellStyle name="_081016_SCM_FC#3-1 Update 1016 2" xfId="1370" xr:uid="{E5591762-8BCF-4769-B327-3FB5495AE8D4}"/>
    <cellStyle name="_081016_SCM_FC#3-1 Update 1016 2 2" xfId="25622" xr:uid="{0A94AC06-DD90-418A-95F3-A8D3B57AF2A6}"/>
    <cellStyle name="_081017_0809F#3-1_to Izumida san" xfId="1371" xr:uid="{291A6CB3-A53C-43D5-8368-44C192524249}"/>
    <cellStyle name="_081017_09BP#2（NSL）" xfId="1372" xr:uid="{EB02519F-DA12-4F81-817A-7D4740DF1413}"/>
    <cellStyle name="_081017_09BP#2（NSL） 2" xfId="1373" xr:uid="{8DDA56AF-D848-4DB2-BD7F-9B27847436AB}"/>
    <cellStyle name="_081017_09BP#2（NSL） 2 2" xfId="25623" xr:uid="{31EAE75D-CF4D-4783-8821-87ACC463F618}"/>
    <cellStyle name="_081017_final F#3" xfId="1374" xr:uid="{2FF4AB09-A71B-4CCC-8AE0-201CE2542EAB}"/>
    <cellStyle name="_081017_final_FY09-IS-BudgetSimulation-LCC" xfId="1375" xr:uid="{70E985FB-EA2D-4EB4-9693-B03F188F334D}"/>
    <cellStyle name="_081105_xie san_LCC-PL-FY08 Oct-include NSL" xfId="1376" xr:uid="{272DC8AD-81D7-4315-B3FB-B2B6B12B7070}"/>
    <cellStyle name="_081107_adjust LCC PL-FY08 Oct_zhao" xfId="1377" xr:uid="{D358EE8E-2F3D-4F76-A22C-9B524F524A48}"/>
    <cellStyle name="_081208_xie san_LCC-PL-FY08 NOV-include NSL (3)" xfId="1378" xr:uid="{61EC62B1-BC5B-452A-A3C2-7EB9184EADD3}"/>
    <cellStyle name="_08PDI预测-汪-071113" xfId="1379" xr:uid="{3FE936B5-1C06-40D5-8173-D29D0E5D22B2}"/>
    <cellStyle name="_08PDI预测-汪-071115" xfId="1380" xr:uid="{6800C96E-2BA5-4883-BCD3-917D77BEB6E3}"/>
    <cellStyle name="_08PDI预测-汪-071116" xfId="1381" xr:uid="{0095FF17-78A5-467E-83B7-6CD6A83960A1}"/>
    <cellStyle name="_08PDI预测-汪纪文-071013" xfId="1382" xr:uid="{29C906BA-ABCA-4871-8E65-ED7C591B3019}"/>
    <cellStyle name="_08PDI预测-汪纪文-071025-与销售部确认后数据－未上报" xfId="1383" xr:uid="{4CC9DB79-6555-4D3F-BCA5-B36A919033F3}"/>
    <cellStyle name="_08年广告费" xfId="1384" xr:uid="{8BE02FDB-53D4-43F3-BA4A-FC0113DCD09D}"/>
    <cellStyle name="_09年年度计划案0107(2#)" xfId="1385" xr:uid="{D8F0443D-31DE-4AD7-860A-F8023889E902}"/>
    <cellStyle name="_10+2预测-071106" xfId="1386" xr:uid="{336E3127-AF50-4FD3-9B05-92A3B6783DDE}"/>
    <cellStyle name="_101026 TO" xfId="1387" xr:uid="{50C2241A-2C9A-4574-ADC3-B980253F223F}"/>
    <cellStyle name="_1026NCIC-PARTNER设备材料清单(最终版)(4)" xfId="1388" xr:uid="{9B3C4488-8D09-4754-B2D4-73E81A06DD14}"/>
    <cellStyle name="_11.16" xfId="1389" xr:uid="{CC632F64-A894-4C2D-A161-7887B3BDAE7C}"/>
    <cellStyle name="_11Sim用RM月別配分 " xfId="1390" xr:uid="{CD190F3B-7823-4877-A88D-61EEA5D4B4D1}"/>
    <cellStyle name="_2002 Sales Manpower (Finance&amp;Sales 19_09)" xfId="1391" xr:uid="{7957A8E2-FE7D-480A-A66D-CAA674A4F560}"/>
    <cellStyle name="_2002Data-M" xfId="1392" xr:uid="{412071DB-C2B4-4A41-9362-FF0CDC459548}"/>
    <cellStyle name="_2002Data-M_1" xfId="1393" xr:uid="{21136693-9EA1-493F-A03A-9E6908F57700}"/>
    <cellStyle name="_2002Data-M_2" xfId="1394" xr:uid="{CD029DF6-A467-43F4-8CB4-0BCACA709BC4}"/>
    <cellStyle name="_2002Data-M_2010 Reply 3 PXP Report v2 0 DISTv2 (2)" xfId="1395" xr:uid="{4E450C97-1FD6-498F-BE17-11FA2FC5D12D}"/>
    <cellStyle name="_2002Data-M_3" xfId="1396" xr:uid="{BA9CACFC-81BE-4997-A82B-B307517E9E48}"/>
    <cellStyle name="_2003Data-M" xfId="1397" xr:uid="{189A436C-B7C2-47CB-8F26-4683121AB88F}"/>
    <cellStyle name="_2003Data-M_1" xfId="1398" xr:uid="{7C8CAC16-71C6-4ABF-8040-CFC065DD953A}"/>
    <cellStyle name="_2003Data-M_2" xfId="1399" xr:uid="{43DF5726-2DB6-4DBA-AF02-0F61C1E6C29F}"/>
    <cellStyle name="_2003Data-M_3" xfId="1400" xr:uid="{0C068E98-864E-4E94-A1F0-71C9E22E1B5F}"/>
    <cellStyle name="_2005MTP投资计划表格表(新2)20050512" xfId="1401" xr:uid="{87017816-8111-4D25-B863-B201F9294740}"/>
    <cellStyle name="_2005年下半年奖金预测" xfId="1402" xr:uid="{A576BE1A-583A-4B6D-90D8-15E1B9A75863}"/>
    <cellStyle name="_2005年下半年奖金预测 2" xfId="1403" xr:uid="{25EDE00E-547E-4715-B9AB-CC89B645D9EA}"/>
    <cellStyle name="_2005年下半年奖金预测 2 2" xfId="1404" xr:uid="{6A9A5C7C-7D6A-4954-953B-79B1605B0EE8}"/>
    <cellStyle name="_2005年下半年奖金预测 2 2 2" xfId="25624" xr:uid="{5852952E-2231-4CF0-A9D4-1D49B941A940}"/>
    <cellStyle name="_2005年下半年奖金预测_2006促销与变动返利实绩预测表（12确定版）" xfId="1405" xr:uid="{65F210D4-DA5A-44C8-AB6D-FFA5AC91E855}"/>
    <cellStyle name="_2005年下半年奖金预测_2006促销与变动返利实绩预测表（12确定版） 2" xfId="1406" xr:uid="{22DC889E-7DDB-42F7-A55B-38ADC14CECB9}"/>
    <cellStyle name="_2005年下半年奖金预测_2006促销与变动返利实绩预测表（12确定版） 2 2" xfId="1407" xr:uid="{A8B0D563-1675-49F1-A828-32F5868DC58E}"/>
    <cellStyle name="_2005年下半年奖金预测_2006促销与变动返利实绩预测表（12确定版） 2 2 2" xfId="25625" xr:uid="{A698A2C4-21F0-421C-8209-0868E340AD8C}"/>
    <cellStyle name="_2005年损益预算报表" xfId="1436" xr:uid="{31FF6A9D-978E-45C3-9FB8-FA36BBF42836}"/>
    <cellStyle name="_2005年损益预算月度报表(合并总损益)-预测3" xfId="1409" xr:uid="{B7E95278-0935-4216-9058-DC333E5B256D}"/>
    <cellStyle name="_2005年损益预算月度报表(合并总损益)-预测3_(for confirmation to Regin team) FX impact (Simu vs Updated) by MC" xfId="1410" xr:uid="{6A6630DE-BA0A-4835-953C-870DAE814DAD}"/>
    <cellStyle name="_2005年损益预算月度报表(合并总损益)-预测3_【0207】BP_reply_Outside profit_Price List_R" xfId="1411" xr:uid="{596D1177-2B7F-4566-9BD3-DBEE860F0C97}"/>
    <cellStyle name="_2005年损益预算月度报表(合并总损益)-预测3_08 budget 071018" xfId="1412" xr:uid="{1BAB0388-8113-4A12-90DC-0242ED7BF7E7}"/>
    <cellStyle name="_2005年损益预算月度报表(合并总损益)-预测3_0902見直し" xfId="1413" xr:uid="{ECC546C8-0CF2-4612-9A1F-9B9B3F430906}"/>
    <cellStyle name="_2005年损益预算月度报表(合并总损益)-预测3_09budget 081022" xfId="1414" xr:uid="{01FD54AB-D730-4637-A10A-EC94BCC686F1}"/>
    <cellStyle name="_2005年损益预算月度报表(合并总损益)-预测3_09'CV市况(按11.08发布值测算)" xfId="1415" xr:uid="{3B36A9E1-FE9D-46D6-8F40-08B3743054A4}"/>
    <cellStyle name="_2005年损益预算月度报表(合并总损益)-预测3_2009_TDC_MonthlyActual" xfId="1416" xr:uid="{59AC515B-75CD-4634-8604-2F8345567B32}"/>
    <cellStyle name="_2005年损益预算月度报表(合并总损益)-预测3_2009年VME車種別(20100303)" xfId="1417" xr:uid="{91FE1679-D495-4125-A859-F8B75B980EE8}"/>
    <cellStyle name="_2005年损益预算月度报表(合并总损益)-预测3_CY09 material risk compare-0615-16 LP" xfId="1418" xr:uid="{A6A735B4-510A-446C-A89C-0779586121FB}"/>
    <cellStyle name="_2005年损益预算月度报表(合并总损益)-预测3_ＣＹ10予算見直し後(600K モデル別)" xfId="1419" xr:uid="{71B31F2D-9D45-4B4D-8392-D47B8C8657EB}"/>
    <cellStyle name="_2005年损益预算月度报表(合并总损益)-预测3_FCF_FY12 BUD Simulation Excel PKG for Auto_v2" xfId="1420" xr:uid="{B4234CE2-42E8-4912-A7CB-6BB2CD129154}"/>
    <cellStyle name="_2005年损益预算月度报表(合并总损益)-预测3_FY09 material forecast5+7 0616 for financial report" xfId="1421" xr:uid="{358770F0-C3E3-4FDC-8EDE-28AE551A36A3}"/>
    <cellStyle name="_2005年损益预算月度报表(合并总损益)-预测3_FY10 FC#2 Pricing Analysis to Central" xfId="1422" xr:uid="{821C2FBB-1901-453D-92AA-0A5DD299C4F6}"/>
    <cellStyle name="_2005年损益预算月度报表(合并总损益)-预测3_FY12 BP_Simulation information PKG_R" xfId="1423" xr:uid="{8482789A-C730-49B6-9262-3C339CF7B248}"/>
    <cellStyle name="_2005年损益预算月度报表(合并总损益)-预测3_J11J MC+Elongation(松）" xfId="1424" xr:uid="{35C4D200-AE31-4D0F-8445-3FF7899FF372}"/>
    <cellStyle name="_2005年损益预算月度报表(合并总损益)-预测3_L11K MC TDC 090306 (2)" xfId="1425" xr:uid="{63EFAAE7-435F-4680-9AB8-DBE9C9F4B08C}"/>
    <cellStyle name="_2005年损益预算月度报表(合并总损益)-预测3_L42F TDC KKJ SOP 2010 Dec (090929) with MC (2)" xfId="1426" xr:uid="{FAAB2555-FA43-477A-98B7-9ADEFC0F6DC9}"/>
    <cellStyle name="_2005年损益预算月度报表(合并总损益)-预测3_N11J MC+Elongation(松）" xfId="1427" xr:uid="{3E80A015-C5F7-4CC8-95D5-3E92770F7F2A}"/>
    <cellStyle name="_2005年损益预算月度报表(合并总损益)-预测3_NI_Forecast_FY10_120110" xfId="1428" xr:uid="{CF0D14B7-E807-4D69-B5A7-6C9B2613522D}"/>
    <cellStyle name="_2005年损益预算月度报表(合并总损益)-预测3_P32E MC TDC with MC (100206)" xfId="1429" xr:uid="{9F6D44E1-E918-47B4-AEC2-6B6233E9DA5F}"/>
    <cellStyle name="_2005年损益预算月度报表(合并总损益)-预测3_P32L LCP TDC Case3 (0900221)" xfId="1430" xr:uid="{681D5B9E-1DFE-470F-9A4E-49AB105D2D0E}"/>
    <cellStyle name="_2005年损益预算月度报表(合并总损益)-预测3_Tax Expense FY10 7x5 to FPA 113010" xfId="1431" xr:uid="{0AE7ABC3-4D1F-4A5B-8E7C-305FF714A2F5}"/>
    <cellStyle name="_2005年损益预算月度报表(合并总损益)-预测3_TDC SUMMARY SHEET for MTP (version 2.1 100526)" xfId="1432" xr:uid="{21A27AE1-7C08-4E00-8B49-BB5C3B182E2A}"/>
    <cellStyle name="_2005年损益预算月度报表(合并总损益)-预测3_TDC SUMMARY SHEET for MTP (version 3.0 100526)" xfId="1433" xr:uid="{4206E5CC-0642-4D73-925A-801732F9F594}"/>
    <cellStyle name="_2005年损益预算月度报表(合并总损益)-预测3_Volume Assumption &amp; Current Models" xfId="1434" xr:uid="{348D2B6C-8DA4-46F2-AFC1-F63B3CCB03F9}"/>
    <cellStyle name="_2005年损益预算月度报表(合并总损益)-预测3_コピー ～ 2009年5＋7 售  (47万台）(090619) (予算Ｆｉｎａｌ＆Variable変更　補正版)" xfId="1435" xr:uid="{D7BC0B54-DB8D-4576-B4A8-88E2D8B5BF3C}"/>
    <cellStyle name="_2005年月别销售费用预测汇总表（12月30日）" xfId="1408" xr:uid="{E9CAD343-C49B-4C92-8249-108B47C17936}"/>
    <cellStyle name="_2005年费用预算编制(汇总）Ⅱ" xfId="1437" xr:uid="{39DF3C24-A0BB-42BC-A21F-229FCC2A0BF1}"/>
    <cellStyle name="_2006 pipeline_1.23" xfId="1438" xr:uid="{5EF64A0A-B22D-45DA-A86D-6E27EE2E9C4E}"/>
    <cellStyle name="_2006年人员、产量实施情况" xfId="1440" xr:uid="{524F1BEB-A254-4BB1-A81B-8F6777784473}"/>
    <cellStyle name="_2006年固定资产投资 05-16" xfId="1439" xr:uid="{64CA2EE1-2C02-41BE-B368-6E885463C2AE}"/>
    <cellStyle name="_2006年损益预算报表（PV）" xfId="1441" xr:uid="{BF7AEE08-72F9-4914-B98E-44BF2E625C77}"/>
    <cellStyle name="_2006年损益预算报表（空表）new" xfId="1442" xr:uid="{0E7C5894-D450-4330-A504-8E94FB8542F0}"/>
    <cellStyle name="_2007 monthly budget(060929)(10-08-14-06-09)" xfId="1443" xr:uid="{34BAB443-2A8C-4CEC-9AFD-0AB652E9A754}"/>
    <cellStyle name="_2007 monthly budget(060929)(10-08-14-06-09)_CY09 material risk compare-0615-16 LP" xfId="1444" xr:uid="{075BEB8E-A7B0-425E-85CD-9A258F4819D4}"/>
    <cellStyle name="_2007 monthly budget(060929)(10-08-14-06-09)_FY09 material forecast5+7 0616 for financial report" xfId="1445" xr:uid="{E4ED0F72-D2BF-4A44-9282-5F96619244C4}"/>
    <cellStyle name="_2007年期间折旧费用" xfId="1446" xr:uid="{BBB6DA86-1C92-4296-9490-DA9D2039BB3B}"/>
    <cellStyle name="_2008上データブック（呉江棚卸）" xfId="1447" xr:uid="{80BB2389-127C-4A12-9510-46825479FAF5}"/>
    <cellStyle name="_2008年生产计划-1210" xfId="1448" xr:uid="{A8D18611-825F-4AD2-BEFE-E20CA4543D58}"/>
    <cellStyle name="_2010 ACT YTD expense" xfId="1449" xr:uid="{4AD1204D-7682-4C7F-922C-6C156C81E98E}"/>
    <cellStyle name="_20110117 LIB BCR In-House Cost Estimation Request_sq2" xfId="1450" xr:uid="{CC3DB07C-7117-4926-891B-C8A59C9FCFD8}"/>
    <cellStyle name="_2011年度週別ｱﾛｹｰｼｮﾝ計画" xfId="1451" xr:uid="{A8120001-5B19-4CD3-A359-370AC72A1744}"/>
    <cellStyle name="_2177 FY08 Fcst #2 Reply PKG_E_NNA_distv2" xfId="1452" xr:uid="{8CA7F7B7-85AC-425F-83D0-E02CDF4D5E65}"/>
    <cellStyle name="_36万台Sourcing List20060123" xfId="1453" xr:uid="{3E6F77E0-BAB0-400F-9745-84A6F1922AA5}"/>
    <cellStyle name="_3739_NSA_FY09 Fcst #1 Reply PKG" xfId="1454" xr:uid="{C8E9088F-F6E0-424E-A95E-913874550E3C}"/>
    <cellStyle name="_3739_NSA_FY09 Fcst #1 Reply PKG 2" xfId="1455" xr:uid="{A0D26CF1-E79F-48F7-BA34-05F25FE45125}"/>
    <cellStyle name="_3739_NSA_FY09 Fcst #1 Reply PKG 2 2" xfId="1456" xr:uid="{D76007C9-2CD0-4135-9D14-37726787B7F5}"/>
    <cellStyle name="_3739_NSA_FY09 Fcst #1 Reply PKG 2 2 2" xfId="1457" xr:uid="{54F8B28D-F85F-4F77-9E83-6CBD41A9E776}"/>
    <cellStyle name="_3739_NSA_FY09 Fcst #1 Reply PKG 2 2 2 2" xfId="25626" xr:uid="{7BD4BFF3-3739-4EA3-A07E-918DAB8833C4}"/>
    <cellStyle name="_3739_NSA_FY09 Fcst #1 Reply PKG 3" xfId="1458" xr:uid="{15F038A9-12E1-4C17-BA9C-4A8A60BB4DBB}"/>
    <cellStyle name="_3856FY08 Fcst#1 for Finance Company(rev EG)" xfId="1459" xr:uid="{8E35F33C-5A41-4385-8904-50905194F378}"/>
    <cellStyle name="_3856FY08 Fcst#1 for Finance Company(rev EG)_2010 Reply 3 PXP Report v2 0 DISTv2 (2)" xfId="1460" xr:uid="{4EC8F630-04AF-4E8B-94F9-D3A13C2582D1}"/>
    <cellStyle name="_4+8预测（考虑PDI及精品单台BP）-070517" xfId="1461" xr:uid="{99A5FE56-C69C-4E7D-824A-B2EE97E6A560}"/>
    <cellStyle name="_5 20-6 20-pt-fs (2)" xfId="1462" xr:uid="{D7E90A4D-9893-41C4-B96B-D8298D9136EB}"/>
    <cellStyle name="_5 20-6 20-pt-fs (2) 2" xfId="1463" xr:uid="{C2970026-0D02-41D6-A348-5B09353C246D}"/>
    <cellStyle name="_5 20-6 20-pt-fs (2) 2 2" xfId="25627" xr:uid="{C2CCB181-C82A-48A8-8D08-C31DF801BE5E}"/>
    <cellStyle name="_5 20-6 20-pt-fs (2)_货量统计日通" xfId="1464" xr:uid="{248324B7-1D0A-45A4-9232-8DD1E57B37F3}"/>
    <cellStyle name="_5 20-6 20-pt-fs (2)_货量统计日通 2" xfId="1465" xr:uid="{E5D67E54-F287-420F-9E4D-CB4CC4CA1913}"/>
    <cellStyle name="_5 20-6 20-pt-fs (2)_货量统计日通 2 2" xfId="25628" xr:uid="{34BB0C0F-D630-490C-A9AB-E61BD1AD63E1}"/>
    <cellStyle name="_5.20-6.20货量" xfId="1466" xr:uid="{AC742694-0C93-4841-BB5E-8490D7779A89}"/>
    <cellStyle name="_5.20-6.20货量 2" xfId="1467" xr:uid="{E668C598-B2FE-4FA7-B0D7-2C2184FA9564}"/>
    <cellStyle name="_5.20-6.20货量 2 2" xfId="25629" xr:uid="{23974938-36DF-4CC5-8A67-B85ABCC2862A}"/>
    <cellStyle name="_5.20-6.20货量_货量统计日通" xfId="1468" xr:uid="{854F5F7B-6F74-42FB-93ED-9A4E89D196DE}"/>
    <cellStyle name="_5.20-6.20货量_货量统计日通 2" xfId="1469" xr:uid="{F908CA75-4FA5-4922-8C2B-297E871241DD}"/>
    <cellStyle name="_5.20-6.20货量_货量统计日通 2 2" xfId="25630" xr:uid="{CF80606C-968A-4C48-B919-51917292E226}"/>
    <cellStyle name="_5+7 Forecast" xfId="1470" xr:uid="{4E8CD9F1-511A-4DD8-915D-BBC8ED2C4F3D}"/>
    <cellStyle name="_5月度能力会" xfId="1471" xr:uid="{AC033D73-85A2-4585-849C-27A64EA7F1EA}"/>
    <cellStyle name="_9 20人工成本" xfId="1472" xr:uid="{633F0D12-6167-40AA-808D-6D43D7CD2D5C}"/>
    <cellStyle name="_A7C_FY10 Bud FINAL Reply Excel PKG#Reply#3" xfId="1473" xr:uid="{41F9120F-2A2D-46E9-995E-77E67C563E70}"/>
    <cellStyle name="_A7C_FY10 Bud FINAL Reply Excel PKG#Reply#3 2" xfId="1474" xr:uid="{039CDB17-8598-4603-BB70-78183277A01B}"/>
    <cellStyle name="_A7C加工後【A7C提出】 0413 NML月別　FY10 Reply#2rev " xfId="1475" xr:uid="{FB1CC219-8E4E-4ACB-A263-C6995027033B}"/>
    <cellStyle name="_Actual Mar'10 Edit" xfId="1476" xr:uid="{520D7BF5-A969-462F-87AB-B403637BF90E}"/>
    <cellStyle name="_Actual Mar'10 Edit 2" xfId="1477" xr:uid="{2598427A-A139-4C00-A326-3788DD12C2BD}"/>
    <cellStyle name="_Actual Mar'10 Edit 2 2" xfId="1478" xr:uid="{410711B7-1D49-4FBC-AABC-5542C0B1D665}"/>
    <cellStyle name="_Actual Mar'10 Edit 2 2 2" xfId="25631" xr:uid="{220080AF-78A8-46BD-B403-48449593948E}"/>
    <cellStyle name="_Actual Mar'10 Edit 3" xfId="1479" xr:uid="{58349188-FC20-49E6-A78B-3CA0C6B82D8C}"/>
    <cellStyle name="_Actual Mar'10 Edit 3 2" xfId="25632" xr:uid="{0B158058-BA7E-4638-B7F5-614431FAB8A5}"/>
    <cellStyle name="_AR Database of Nov" xfId="1480" xr:uid="{474AC506-6657-4544-91D5-433E96E6542B}"/>
    <cellStyle name="_AR--Monthly billing Oct--2005" xfId="1481" xr:uid="{698012B4-3C03-4A36-942D-6F613AB9AD3F}"/>
    <cellStyle name="_AS06-10人员计划050603" xfId="1482" xr:uid="{98ADDB2B-A3DC-421E-8FE0-41B6B00C6B5B}"/>
    <cellStyle name="_AS2005BP事业计划050610" xfId="1483" xr:uid="{3485D497-35FE-48B1-A580-3132A0AE9224}"/>
    <cellStyle name="_ASBD事业计划05-10-0806" xfId="1484" xr:uid="{F2C0BE7F-B16E-457B-B4BF-C97BF8DF8AAE}"/>
    <cellStyle name="_Aug RR" xfId="1485" xr:uid="{FE4FF6CD-C797-4B88-AE21-8B21A59DC1B4}"/>
    <cellStyle name="_Billing detail-cong" xfId="1486" xr:uid="{6ADA5A26-A5A5-4D64-92D3-CE1E9E0EF705}"/>
    <cellStyle name="_Blue" xfId="1487" xr:uid="{CD4E9457-E36B-43EB-AED2-5FD6F22D156B}"/>
    <cellStyle name="_Blue_08 Reply#2Update Deck" xfId="1488" xr:uid="{627917F0-B45D-4AD6-86C1-48D1BB9AF70E}"/>
    <cellStyle name="_Blue_08 Reply#2Update Deck 2" xfId="1489" xr:uid="{7851851B-1EB5-4FC3-9255-951239BE173C}"/>
    <cellStyle name="_Blue_08 Reply#2Update Deck_Book2" xfId="1490" xr:uid="{9187CF1A-7A63-4733-93B7-AC873142CF1C}"/>
    <cellStyle name="_Blue_08 Reply#2Update Deck_NI_Forecast_020110" xfId="1491" xr:uid="{06F79FFF-084E-4A18-80EC-6ED4C9060FC3}"/>
    <cellStyle name="_Blue_08 Reply#2Update Deck_NI_Forecast_112409" xfId="1492" xr:uid="{A8046E80-BB39-4BDA-8AE1-594759B56983}"/>
    <cellStyle name="_Blue_08 Reply#2Update Deck_NI_Forecast_112409_2010 Reply 3 PXP Report v2 0 DISTv2 (2)" xfId="1493" xr:uid="{D587437C-8945-4763-BE24-2DABC6B5DE3D}"/>
    <cellStyle name="_Blue_08 Reply#2Update Deck_NI_Forecast_112409_2010 Reply3b PXP Report v2 0 DISTv1" xfId="1494" xr:uid="{2D3F2D75-1595-459E-A6F1-300959B2D985}"/>
    <cellStyle name="_Blue_08 Reply#2Update Deck_NI_Forecast_FY10_120110" xfId="1495" xr:uid="{E3856FEA-C6A1-428B-8EB1-1D5D73F64ADF}"/>
    <cellStyle name="_Blue_08 Reply#2Update Deck_NMEX - BP09 R#2b back up Final (Jan 27)26 " xfId="1496" xr:uid="{D92ED20B-3843-43D6-9C5F-DB2852D5C162}"/>
    <cellStyle name="_Blue_08 Reply#2Update Deck_NMEX -BP09 R#2b " xfId="1497" xr:uid="{F6C98985-59AD-49C7-81F4-ABDCA70985BD}"/>
    <cellStyle name="_Blue_08 Reply#2Update Deck_NMEX Financial Review Aug,05" xfId="1498" xr:uid="{7B558F6B-B2BD-429D-B8C5-5291E75B4BDF}"/>
    <cellStyle name="_Blue_08 Reply#2Update Deck_NMEX Financial Review Oct" xfId="1499" xr:uid="{8687A03B-7025-4621-932E-5F6018A24BE5}"/>
    <cellStyle name="_Blue_08 Reply#2Update Deck_NMEX Financial Review Sep" xfId="1500" xr:uid="{8EF02373-F661-49D9-A3DD-67D73B039D76}"/>
    <cellStyle name="_Blue_08 Reply#2Update Deck_NMEX_Variance Analysis_Aug___" xfId="1501" xr:uid="{745583EA-4A8A-40E1-8BC0-A8664C1C5848}"/>
    <cellStyle name="_Blue_08 Reply#2Update Deck_NRFM NML Video v2" xfId="1502" xr:uid="{258F04A9-5139-4B6C-90F8-170874DBA1F8}"/>
    <cellStyle name="_Blue_08 Reply#2Update Deck_Tax Expense FY10 7x5 to FPA 113010" xfId="1503" xr:uid="{1BB1517B-0678-403A-A907-2894772621EA}"/>
    <cellStyle name="_Blue_08 Reply#2Update Deck_video deck" xfId="1504" xr:uid="{708D24F2-81FD-4A03-B598-148CC14CB03B}"/>
    <cellStyle name="_Blue_1SALPEN" xfId="1505" xr:uid="{A32431F6-8070-4010-A4D4-D6EC01634634}"/>
    <cellStyle name="_Blue_1SALPEN_08 Reply#2Update Deck" xfId="1506" xr:uid="{CDF2C4B7-8916-4F02-B806-5236198DC676}"/>
    <cellStyle name="_Blue_1SALPEN_08 Reply#2Update Deck 2" xfId="1507" xr:uid="{59620BBF-B1FB-4E27-B863-0DE3823BA04D}"/>
    <cellStyle name="_Blue_1SALPEN_08 Reply#2Update Deck_Book2" xfId="1508" xr:uid="{98008B4C-6CBF-4A2A-A7FF-6DF14AC518A3}"/>
    <cellStyle name="_Blue_1SALPEN_08 Reply#2Update Deck_NI_Forecast_020110" xfId="1509" xr:uid="{6B042704-AB4C-4D59-AA85-35FA2089147D}"/>
    <cellStyle name="_Blue_1SALPEN_08 Reply#2Update Deck_NI_Forecast_112409" xfId="1510" xr:uid="{A3269B6A-F845-4A73-831B-18A373AF3206}"/>
    <cellStyle name="_Blue_1SALPEN_08 Reply#2Update Deck_NI_Forecast_112409_2010 Reply 3 PXP Report v2 0 DISTv2 (2)" xfId="1511" xr:uid="{FF88F78A-C32A-4A18-A7A2-9FB252FC90EE}"/>
    <cellStyle name="_Blue_1SALPEN_08 Reply#2Update Deck_NI_Forecast_112409_2010 Reply3b PXP Report v2 0 DISTv1" xfId="1512" xr:uid="{67AB2065-7323-426A-BD73-1F1541B182DE}"/>
    <cellStyle name="_Blue_1SALPEN_08 Reply#2Update Deck_NI_Forecast_FY10_120110" xfId="1513" xr:uid="{559A4F35-3D4E-4E7B-9F98-A40DF6E34B7E}"/>
    <cellStyle name="_Blue_1SALPEN_08 Reply#2Update Deck_NMEX - BP09 R#2b back up Final (Jan 27)26 " xfId="1514" xr:uid="{FD7BDEFA-9A39-4DE9-B663-35CF0E31DC43}"/>
    <cellStyle name="_Blue_1SALPEN_08 Reply#2Update Deck_NMEX -BP09 R#2b " xfId="1515" xr:uid="{3D5FD460-58BF-427E-AC9A-2A85EF6DFEC2}"/>
    <cellStyle name="_Blue_1SALPEN_08 Reply#2Update Deck_NMEX Financial Review Aug,05" xfId="1516" xr:uid="{B0FDC63C-17E9-4EA8-A36C-FE83D5BFFCEB}"/>
    <cellStyle name="_Blue_1SALPEN_08 Reply#2Update Deck_NMEX Financial Review Oct" xfId="1517" xr:uid="{E16BB693-8244-4C6B-ABCD-E68D1B83FFB1}"/>
    <cellStyle name="_Blue_1SALPEN_08 Reply#2Update Deck_NMEX Financial Review Sep" xfId="1518" xr:uid="{54CA8CB0-006D-4462-A8A3-92A85CCEFCD2}"/>
    <cellStyle name="_Blue_1SALPEN_08 Reply#2Update Deck_NMEX_Variance Analysis_Aug___" xfId="1519" xr:uid="{730C8C88-ADE3-4CD7-B947-B95FB227B45E}"/>
    <cellStyle name="_Blue_1SALPEN_08 Reply#2Update Deck_NRFM NML Video v2" xfId="1520" xr:uid="{137D11EC-9C5E-4A70-8108-020310308D21}"/>
    <cellStyle name="_Blue_1SALPEN_08 Reply#2Update Deck_Tax Expense FY10 7x5 to FPA 113010" xfId="1521" xr:uid="{324F9CAB-9AFA-4E90-BE40-A8A42CF855DE}"/>
    <cellStyle name="_Blue_1SALPEN_08 Reply#2Update Deck_video deck" xfId="1522" xr:uid="{27B7A0A0-C3A1-4E44-BF76-2544F117198A}"/>
    <cellStyle name="_Blue_1SALPEN_Book2" xfId="1523" xr:uid="{E8A2DFA2-0784-404C-BD60-284F6B078E1A}"/>
    <cellStyle name="_Blue_1SALPEN_Book2_NMEX - Fcst #2 (5+7) Financial analysis" xfId="1524" xr:uid="{D8EF3A9F-2B29-4683-A2A5-3366686BF150}"/>
    <cellStyle name="_Blue_1SALPEN_Consol P&amp;L Full YR Reply 1" xfId="1525" xr:uid="{EC5ED76A-04AE-4E56-B3D2-51D761CEEAA4}"/>
    <cellStyle name="_Blue_1SALPEN_Division Walk Template" xfId="1526" xr:uid="{33DC803E-804F-415C-BCA2-9FA32A3438D0}"/>
    <cellStyle name="_Blue_1SALPEN_Division Walk Template 2" xfId="1527" xr:uid="{216FC23F-D9D5-4001-847E-8AE3CE10AA29}"/>
    <cellStyle name="_Blue_1SALPEN_Feb_NML_Video 2" xfId="1528" xr:uid="{5B047330-F445-44E4-B3BD-04F23678C4F8}"/>
    <cellStyle name="_Blue_1SALPEN_FY08 Retail Volume April Report 090409" xfId="1529" xr:uid="{B0A0293A-4309-403C-9279-AF0EA092BEA4}"/>
    <cellStyle name="_Blue_1SALPEN_FY09 CNTRL Outlook June-Latest0619-Final Retail" xfId="1530" xr:uid="{68750713-5EB9-43B8-B23B-059DA30B50E0}"/>
    <cellStyle name="_Blue_1SALPEN_FY09 Fcst #3_TIV_MS_Volume-Dec11" xfId="1531" xr:uid="{BD3D11FC-4209-40CC-BEA7-BF52BD3AEB6C}"/>
    <cellStyle name="_Blue_1SALPEN_FY09 Landing Scenarios" xfId="1532" xr:uid="{456A06A3-8F01-4219-8760-7A6B8C65CB58}"/>
    <cellStyle name="_Blue_1SALPEN_FY09 Landing Scenarios_Flash Volume Summary-PER01-rv1" xfId="1533" xr:uid="{8108D904-9705-4931-869F-FFB9C98EA9BF}"/>
    <cellStyle name="_Blue_1SALPEN_FY09 Landing Scenarios_Flash Volume Summary-PER02" xfId="1534" xr:uid="{B269BC90-6E75-4E0A-8562-634C8976F7A6}"/>
    <cellStyle name="_Blue_1SALPEN_FY09 Landing Scenarios_Flash Volume Summary-PER04" xfId="1535" xr:uid="{3342234F-9A1D-40CE-BA7F-7F43E41FC0C0}"/>
    <cellStyle name="_Blue_1SALPEN_FY09 Landing Scenarios_Flash Volume Summary-PER0自分用2" xfId="1536" xr:uid="{06A29AE5-A8B9-4094-9F72-97F5C511A8D8}"/>
    <cellStyle name="_Blue_1SALPEN_FY09 Landing Scenarios_Flash Volume Summary-PER10" xfId="1537" xr:uid="{7FD6D47E-F82F-4978-85B5-1957E883E319}"/>
    <cellStyle name="_Blue_1SALPEN_FY09 Landing Scenarios_Flash Volume Summary-PER10 for Central" xfId="1538" xr:uid="{E6F12E06-A207-4530-8149-135E66D2746A}"/>
    <cellStyle name="_Blue_1SALPEN_FY09 Retail Volume May Report 090513" xfId="1539" xr:uid="{55EE9DF5-8E0D-4E5A-882B-0C33491674B5}"/>
    <cellStyle name="_Blue_1SALPEN_FY09 Retail Volume May Report 090513_Flash Volume Summary-PER01-rv1" xfId="1540" xr:uid="{E1C8EE61-8EE2-465C-8CE7-BDCB5F615548}"/>
    <cellStyle name="_Blue_1SALPEN_FY09 Retail Volume May Report 090513_Flash Volume Summary-PER02" xfId="1541" xr:uid="{3EF118A0-9785-4A5E-82EE-3DA6EC18F075}"/>
    <cellStyle name="_Blue_1SALPEN_FY09 Retail Volume May Report 090513_Flash Volume Summary-PER04" xfId="1542" xr:uid="{B2DEFF31-7498-4263-94B8-EB71B0111FB3}"/>
    <cellStyle name="_Blue_1SALPEN_FY09 Retail Volume May Report 090513_Flash Volume Summary-PER0自分用2" xfId="1543" xr:uid="{CADC3D8F-7F0A-4077-AAFF-E353D35F92C2}"/>
    <cellStyle name="_Blue_1SALPEN_FY09 Retail Volume May Report 090513_Flash Volume Summary-PER10" xfId="1544" xr:uid="{07448244-BF02-4939-A477-80CEC919C46B}"/>
    <cellStyle name="_Blue_1SALPEN_FY09 Retail Volume May Report 090513_Flash Volume Summary-PER10 for Central" xfId="1545" xr:uid="{B8ED56AF-2932-4B7C-A09D-9605C2CFB87A}"/>
    <cellStyle name="_Blue_1SALPEN_FY09 WS Volume Report_April YTD_090527-Monthly Budget Updated" xfId="1546" xr:uid="{7DC03D01-77EE-42B8-8004-87554E91CE19}"/>
    <cellStyle name="_Blue_1SALPEN_FY09Q1 Outlook Volume_Jun22-2" xfId="1547" xr:uid="{BF07B94F-B9FD-48D2-AF4E-768906C17C27}"/>
    <cellStyle name="_Blue_1SALPEN_FY09Q1 Outlook Volume_Jun24" xfId="1548" xr:uid="{22621FAA-06E0-4B9C-8A4B-EEEDABBCEB46}"/>
    <cellStyle name="_Blue_1SALPEN_Infiniti" xfId="1549" xr:uid="{280D31EF-EAF2-4E78-B988-BB1AA9EEDE8A}"/>
    <cellStyle name="_Blue_1SALPEN_MC-A Management Commitment Detail Calculation (3)" xfId="1550" xr:uid="{2B7B1055-DC9C-43CE-8558-93AACA88F7ED}"/>
    <cellStyle name="_Blue_1SALPEN_MC-A Mgmt Commit_Aug" xfId="1551" xr:uid="{2C322203-F566-4D97-8E10-3FD80A5BE52B}"/>
    <cellStyle name="_Blue_1SALPEN_MCA Template" xfId="1552" xr:uid="{680747BA-16BE-4690-B7CC-00FA0452B886}"/>
    <cellStyle name="_Blue_1SALPEN_NMEX - Back up StepchartIFRS_Reerencia (2)_NMEX BP09 R#2 Summary of KPI_NMEX -BP09 R#2b v-1 " xfId="1553" xr:uid="{525E6D36-D7D8-4C20-9230-2AA1EE7AA8E0}"/>
    <cellStyle name="_Blue_1SALPEN_NML $524M Walk_NMEX - BP09 R#2b back up Final (Jan 27)26 " xfId="1554" xr:uid="{6A4B6C30-7A10-4828-9BCB-84A8FB94AA4D}"/>
    <cellStyle name="_Blue_1SALPEN_Oct 20" xfId="1555" xr:uid="{55950408-FEA5-47AD-A010-FE5286987706}"/>
    <cellStyle name="_Blue_1SALPEN_Oct 29" xfId="1556" xr:uid="{E29CFB93-9DD8-4723-86BA-A2CDE8DB9905}"/>
    <cellStyle name="_Blue_1SALPEN_Variance Walk for NNA FY08 Reply 2" xfId="1557" xr:uid="{E31886BD-0088-4D22-A3F2-8E8E092F0C7D}"/>
    <cellStyle name="_Blue_1SALPEN_Volume Variance" xfId="1558" xr:uid="{4D16E651-6B28-48BA-B4E1-5468B55DA218}"/>
    <cellStyle name="_Blue_1SALPEN_Volume Variance_NMEX - Fcst #2 (5+7) Financial analysis" xfId="1559" xr:uid="{7F4A04D3-E0B8-462F-87E9-CB66158E070A}"/>
    <cellStyle name="_Blue_809_Flash_pkg_F" xfId="1560" xr:uid="{F5788E44-8133-4544-BD75-433C8ADCFDC2}"/>
    <cellStyle name="_Blue_810_Flash_pkg_F" xfId="1561" xr:uid="{5E7E930E-02B0-4AF3-A31E-30C3B6BF0BA5}"/>
    <cellStyle name="_Blue_Book2" xfId="1562" xr:uid="{6C9108F9-1B5B-4E64-B15F-550D081993EA}"/>
    <cellStyle name="_Blue_Book2_NMEX - Fcst #2 (5+7) Financial analysis" xfId="1563" xr:uid="{9999E31D-CF14-4DA3-8A5B-AB623BAEFBF4}"/>
    <cellStyle name="_Blue_Consol P&amp;L Full YR Reply 1" xfId="1564" xr:uid="{4A8E0541-A058-4ACC-9317-AE13AB8002C9}"/>
    <cellStyle name="_Blue_Division Walk Template" xfId="1565" xr:uid="{A3BA8109-0780-4A03-9BB0-13F0E1956F38}"/>
    <cellStyle name="_Blue_Division Walk Template 2" xfId="1566" xr:uid="{56249A04-376C-4621-8AD6-C39A6D3322AA}"/>
    <cellStyle name="_Blue_Feb_NML_Video 2" xfId="1567" xr:uid="{5948F182-2A78-477F-BCB2-A0795FDDBA51}"/>
    <cellStyle name="_Blue_FY08 Retail Volume April Report 090409" xfId="1568" xr:uid="{E4BAD7C6-FC39-4F23-A791-4A84D91629DB}"/>
    <cellStyle name="_Blue_FY09 CNTRL Outlook June-Latest0619-Final Retail" xfId="1569" xr:uid="{10616529-AABF-4D77-B3EE-4BC913B1557F}"/>
    <cellStyle name="_Blue_FY09 Fcst #3_TIV_MS_Volume-Dec11" xfId="1570" xr:uid="{5AF4AF57-2F4C-4A92-B46E-26D70E427836}"/>
    <cellStyle name="_Blue_FY09 Landing Scenarios" xfId="1571" xr:uid="{511F9B5D-C00A-4D73-8A5A-BEFEAD462813}"/>
    <cellStyle name="_Blue_FY09 Landing Scenarios_Flash Volume Summary-PER01-rv1" xfId="1572" xr:uid="{4A39A6E1-DB33-4CA5-9000-054096005B26}"/>
    <cellStyle name="_Blue_FY09 Landing Scenarios_Flash Volume Summary-PER02" xfId="1573" xr:uid="{15974CD5-B0B8-46E2-AC35-FCF80938AE34}"/>
    <cellStyle name="_Blue_FY09 Landing Scenarios_Flash Volume Summary-PER04" xfId="1574" xr:uid="{4E8686BA-AB8E-4FCD-9CD9-283944D12840}"/>
    <cellStyle name="_Blue_FY09 Landing Scenarios_Flash Volume Summary-PER0自分用2" xfId="1575" xr:uid="{DE59B1E7-1E4D-4FCC-981E-2B5A4E52B229}"/>
    <cellStyle name="_Blue_FY09 Landing Scenarios_Flash Volume Summary-PER10" xfId="1576" xr:uid="{95E67D3C-A7E6-4810-A553-B85783A89FC3}"/>
    <cellStyle name="_Blue_FY09 Landing Scenarios_Flash Volume Summary-PER10 for Central" xfId="1577" xr:uid="{AFAC45D0-CDF4-41F0-A83B-A97670E20472}"/>
    <cellStyle name="_Blue_FY09 Retail Volume May Report 090513" xfId="1578" xr:uid="{E1E8CE3E-16A2-4A98-A973-77E5904CF084}"/>
    <cellStyle name="_Blue_FY09 Retail Volume May Report 090513_Flash Volume Summary-PER01-rv1" xfId="1579" xr:uid="{F0298110-B3E2-443E-9A6C-45DA0FAA6BAE}"/>
    <cellStyle name="_Blue_FY09 Retail Volume May Report 090513_Flash Volume Summary-PER02" xfId="1580" xr:uid="{428DEC86-6D2E-4490-8A12-1B19E29B83CF}"/>
    <cellStyle name="_Blue_FY09 Retail Volume May Report 090513_Flash Volume Summary-PER04" xfId="1581" xr:uid="{175EDDF5-7110-4097-8B87-70D1885A788A}"/>
    <cellStyle name="_Blue_FY09 Retail Volume May Report 090513_Flash Volume Summary-PER0自分用2" xfId="1582" xr:uid="{C7812162-8920-4BD8-82E8-2FA8AE86EB18}"/>
    <cellStyle name="_Blue_FY09 Retail Volume May Report 090513_Flash Volume Summary-PER10" xfId="1583" xr:uid="{1476C90D-45B1-426B-91E7-7A048220DBFB}"/>
    <cellStyle name="_Blue_FY09 Retail Volume May Report 090513_Flash Volume Summary-PER10 for Central" xfId="1584" xr:uid="{1D845B70-9DE7-40A4-8FEB-8271B459367E}"/>
    <cellStyle name="_Blue_FY09 WS Volume Report_April YTD_090527-Monthly Budget Updated" xfId="1585" xr:uid="{41EAD4F1-BF97-46B4-93B6-CDF4E76B66AB}"/>
    <cellStyle name="_Blue_FY09Q1 Outlook Volume_Jun22-2" xfId="1586" xr:uid="{FE4A1F87-B682-4813-B603-B3D930996A0D}"/>
    <cellStyle name="_Blue_FY09Q1 Outlook Volume_Jun24" xfId="1587" xr:uid="{23653DE2-94F4-4A16-857F-F46182078F4A}"/>
    <cellStyle name="_Blue_Infiniti" xfId="1588" xr:uid="{30206586-2B28-4089-B6CE-5F6F7288F5FF}"/>
    <cellStyle name="_Blue_MC-A Management Commitment Detail Calculation (3)" xfId="1589" xr:uid="{A7C44651-B36C-46A9-978E-87A97B670C9C}"/>
    <cellStyle name="_Blue_MC-A Mgmt Commit_Aug" xfId="1590" xr:uid="{1B4E7DE3-75AF-4220-8BEE-ED5B326CA8BD}"/>
    <cellStyle name="_Blue_MCA Template" xfId="1591" xr:uid="{9F8CF402-EB88-44B6-BBC8-C6180F80A272}"/>
    <cellStyle name="_Blue_NMEX - Back up StepchartIFRS_Reerencia (2)_NMEX BP09 R#2 Summary of KPI_NMEX -BP09 R#2b v-1 " xfId="1592" xr:uid="{4EACE1FD-92CF-4D6E-A391-7885D7BEFECA}"/>
    <cellStyle name="_Blue_NML $524M Walk_NMEX - BP09 R#2b back up Final (Jan 27)26 " xfId="1593" xr:uid="{A0A2C71A-D29B-41A7-B36E-2CF9CF76E975}"/>
    <cellStyle name="_Blue_Oct 20" xfId="1594" xr:uid="{9B9BC372-548E-4E7A-887A-76AA075B6FBC}"/>
    <cellStyle name="_Blue_Oct 29" xfId="1595" xr:uid="{F5E4C86B-C761-4196-8BF1-9AF363C85A63}"/>
    <cellStyle name="_Blue_Variance Walk for NNA FY08 Reply 2" xfId="1596" xr:uid="{F7B0BBDB-ED18-4066-BC10-77508758037A}"/>
    <cellStyle name="_Blue_Volume Variance" xfId="1597" xr:uid="{0A54B5C8-4456-40D4-A501-4083D8D3C457}"/>
    <cellStyle name="_Blue_Volume Variance_NMEX - Fcst #2 (5+7) Financial analysis" xfId="1598" xr:uid="{FB84ECB6-D71E-46E2-9B1B-C1D8FC2E5473}"/>
    <cellStyle name="_Book1" xfId="1599" xr:uid="{15280C74-4DC6-46F3-A8D2-727058ECCD20}"/>
    <cellStyle name="_Book1 2" xfId="1600" xr:uid="{AAEFAB5A-EAC8-4F37-8264-F113C89D61D6}"/>
    <cellStyle name="_Book1 2 2" xfId="1601" xr:uid="{962F7DD6-F110-4987-B420-BEC68966D4D9}"/>
    <cellStyle name="_Book1 2 2 2" xfId="1602" xr:uid="{E38919E8-C158-4477-BB96-8845E9732BA0}"/>
    <cellStyle name="_Book1 2 2 2 2" xfId="1603" xr:uid="{D9501430-2928-4ADC-B86B-C91714F8065B}"/>
    <cellStyle name="_Book1 2 2 2 2 2" xfId="25633" xr:uid="{E136D96C-4E14-4218-9FEA-9E66CF5411A8}"/>
    <cellStyle name="_Book1 2 2 3" xfId="1604" xr:uid="{CF80E8B1-3201-4DFE-8A53-397A8DF4637A}"/>
    <cellStyle name="_Book1 2 2 4" xfId="1605" xr:uid="{7D1E293F-4815-4488-A2EF-2D81A970F03A}"/>
    <cellStyle name="_Book1 2 2 4 2" xfId="25634" xr:uid="{00C9DD02-94E7-4546-A403-7FD5B6E7AD3D}"/>
    <cellStyle name="_Book1 2 3" xfId="1606" xr:uid="{72E9D3B6-EE3E-43A5-8245-6578F8F65691}"/>
    <cellStyle name="_Book1 2 3 2" xfId="25635" xr:uid="{4CACB1EB-1CB2-4400-B330-4FD24E6A01DC}"/>
    <cellStyle name="_Book1 2_FY13 Budget Simulation Excel PKG for Auto by company" xfId="1607" xr:uid="{65A74EA6-9F3C-49F1-8E62-8D6212351156}"/>
    <cellStyle name="_Book1 3" xfId="1608" xr:uid="{87BB81CF-7DE5-4FAC-810F-E6CC7EDEF239}"/>
    <cellStyle name="_Book1 3 2" xfId="1609" xr:uid="{A5C60485-0FB5-4D1D-A184-57FB0869AA6E}"/>
    <cellStyle name="_Book1 3 3" xfId="1610" xr:uid="{08DFB1B5-73B1-4CC6-9EC5-E6017B00AD4C}"/>
    <cellStyle name="_Book1_2010 Reply 3 PXP Report v2 0 DISTv2 (2)" xfId="1611" xr:uid="{0F59E969-2A7D-4CD4-8EC8-C93FBA831899}"/>
    <cellStyle name="_Book1_DFL FY13 Simulation Data version 1010-2(A7C)" xfId="1612" xr:uid="{070FA8BE-D99D-4E25-A320-640E28E6B579}"/>
    <cellStyle name="_Book1_DFL FY13 Simulation Data version 1010-2(A7C) 2" xfId="1613" xr:uid="{C8157AC5-3F69-4BD4-B589-EA6FE53864E0}"/>
    <cellStyle name="_Book1_DFL FY13 Simulation Data version 1010-2(A7C) 2 2" xfId="1614" xr:uid="{BD8C1797-F47F-4CCD-B2FD-FCDA7EA1E442}"/>
    <cellStyle name="_Book1_DFL FY13 Simulation Data version 1010-2(A7C) 2 2 2" xfId="1615" xr:uid="{806CA05A-A35A-4B1D-BD26-CB8DE759CDD7}"/>
    <cellStyle name="_Book1_DFL FY13 Simulation Data version 1010-2(A7C) 2 2 2 2" xfId="25636" xr:uid="{39325E33-C15C-40F6-8C3D-B142BC80C4E5}"/>
    <cellStyle name="_Book1_DFL FY13 Simulation Data version 1010-2(A7C) 2 3" xfId="1616" xr:uid="{45EC3D6F-0803-4759-BFF1-1889EACA09CC}"/>
    <cellStyle name="_Book1_DFL FY13 Simulation Data version 1010-2(A7C) 2 4" xfId="1617" xr:uid="{F9CB4598-0E44-4BB4-B886-B22484E4D5BE}"/>
    <cellStyle name="_Book1_DFL FY13 Simulation Data version 1010-2(A7C) 2 4 2" xfId="25637" xr:uid="{37F540C3-B461-4228-8913-F29DA9FCC698}"/>
    <cellStyle name="_Book1_DFL FY13 Simulation Data version 1010-2(A7C) 3" xfId="1618" xr:uid="{D5DD0D95-4DA8-49B4-93F2-34AF79F2CEC0}"/>
    <cellStyle name="_Book1_DFL FY13 Simulation Data version 1010-2(A7C) 3 2" xfId="25638" xr:uid="{0DBE1E8F-5DD7-4E31-8D10-A6B372188E50}"/>
    <cellStyle name="_Book1_DFL FY13 Simulation Data version 1010-2(A7C)_FY13 Budget Simulation Excel PKG for Auto by company" xfId="1619" xr:uid="{1624E394-063C-4A6E-8778-201627E0BC41}"/>
    <cellStyle name="_Book1_FY13 Budget Simulation Excel PKG for Auto by company" xfId="1620" xr:uid="{A724ED35-0504-4B11-A55E-6885C77AB4BE}"/>
    <cellStyle name="_Book1_人工成本月度分析" xfId="1621" xr:uid="{B92ED663-BDB0-4CCE-955C-455576790EED}"/>
    <cellStyle name="_Book2" xfId="1622" xr:uid="{F3615921-C6B2-458F-93AB-A73D6E055CCF}"/>
    <cellStyle name="_Book2 2" xfId="1623" xr:uid="{5D9F454D-C6AB-4655-B171-EA7F9E573BD9}"/>
    <cellStyle name="_Book2 2 2" xfId="1624" xr:uid="{39E850A0-F19F-4C10-9237-0E76985254F6}"/>
    <cellStyle name="_Book2 2 3" xfId="1625" xr:uid="{141B8BF9-2D0B-4EF6-BADF-B3C676EDA991}"/>
    <cellStyle name="_Book2 3" xfId="1626" xr:uid="{D1BD5EB4-0F52-42F2-9674-D8C2ED1BF141}"/>
    <cellStyle name="_Book2_(for confirmation to Regin team) FX impact (Simu vs Updated) by MC" xfId="1627" xr:uid="{9608D6B5-0278-4B7E-AB1E-399AF3B989DD}"/>
    <cellStyle name="_Book2_(for confirmation to Regin team) FX impact (Simu vs Updated) by MC 2" xfId="1628" xr:uid="{BDAEF1F4-2678-445C-851F-7992DA3F4965}"/>
    <cellStyle name="_Book2_(for confirmation to Regin team) FX impact (Simu vs Updated) by MC 2 2" xfId="25639" xr:uid="{76631427-D975-4C62-90A0-125DDDCE1135}"/>
    <cellStyle name="_Book2_【0207】BP_reply_Outside profit_Price List_R" xfId="1629" xr:uid="{8F2552AB-D2F2-48DF-BB00-A1451DA9FCAF}"/>
    <cellStyle name="_Book2_FCF_FY12 BUD Simulation Excel PKG for Auto_v2" xfId="1630" xr:uid="{F5A1D4D6-AFB4-4DEF-9595-0FB8CE7C0697}"/>
    <cellStyle name="_Book2_FY11 Reply#1_FY11 3X9" xfId="1631" xr:uid="{62CEB8DE-EFFB-4F90-963E-E0F8AD794FFE}"/>
    <cellStyle name="_Book2_FY12 BP_Simulation information PKG_R" xfId="1632" xr:uid="{8190EC63-B89F-4D35-8B91-C87AF2C9F278}"/>
    <cellStyle name="_BP check list" xfId="1633" xr:uid="{35D00169-BF97-4139-B9D3-E219FBD9B53B}"/>
    <cellStyle name="_Breakdown FY07 Apr 07-Mar 08 draft#2c-Final" xfId="1634" xr:uid="{E889F7D2-4D69-427A-A6DF-E3173E227404}"/>
    <cellStyle name="_Breakdown FY07 Apr 07-Mar 08 draft#2c-Final_P&amp;L Variance analysis" xfId="1635" xr:uid="{4B50E133-93BC-41B9-9DB6-EA990C1B2772}"/>
    <cellStyle name="_CFT#5_PRC_DFL" xfId="1636" xr:uid="{058D20AA-0FDD-4218-951A-923222E63A17}"/>
    <cellStyle name="_China Pre Close-final" xfId="1637" xr:uid="{11F92242-131E-418B-8B95-A9829F9C68BF}"/>
    <cellStyle name="_Comma" xfId="1638" xr:uid="{C0B3D53D-D86A-4235-B39B-60AF7F7F1A37}"/>
    <cellStyle name="_Commercial Means for Strategic Plannning" xfId="1639" xr:uid="{CA34B63D-751D-4467-8AED-9CA73F709B08}"/>
    <cellStyle name="_Core COE Rev outlook vs OP" xfId="1640" xr:uid="{0D18351F-9F68-4C86-B5F8-A3FE67D05796}"/>
    <cellStyle name="_Currency" xfId="1641" xr:uid="{6C4A0897-E614-43CE-A33C-98C35F747A38}"/>
    <cellStyle name="_CurrencySpace" xfId="1642" xr:uid="{51147ABF-9F99-4972-A421-F9217AF6DE6E}"/>
    <cellStyle name="_CY05 Annual Plan_0520_detail" xfId="1643" xr:uid="{76868E80-5573-48CC-8B2A-1751495D7167}"/>
    <cellStyle name="_CY06 PV R＆D各科原低目标分解计划日程-051130" xfId="1644" xr:uid="{14853C37-0182-419F-88B4-AD5231123A6B}"/>
    <cellStyle name="_CY06 PV R＆D各科原低目标分解计划日程-051130 2" xfId="1645" xr:uid="{8D6492D5-D758-4424-86DE-A267D8C5E219}"/>
    <cellStyle name="_CY06 PV R＆D各科原低目标分解计划日程-051130 2 2" xfId="1646" xr:uid="{8EEA59BA-C5B1-4E01-84D9-CCED769C7530}"/>
    <cellStyle name="_CY06 PV R＆D各科原低目标分解计划日程-051130 2 2 2" xfId="1647" xr:uid="{37D5381C-31F0-40C5-B11C-058E0209C8FA}"/>
    <cellStyle name="_CY06 PV R＆D各科原低目标分解计划日程-051130 2 2 2 2" xfId="1648" xr:uid="{2A073A47-6EF6-48A1-9943-77F8EA057B56}"/>
    <cellStyle name="_CY06 PV R＆D各科原低目标分解计划日程-051130 2 2 2 2 2" xfId="25640" xr:uid="{989AAE59-2529-4DE4-9FF1-6227E3788F5A}"/>
    <cellStyle name="_CY06 PV R＆D各科原低目标分解计划日程-051130 2 2 3" xfId="1649" xr:uid="{AADD6256-8CE0-4210-9C6D-C72CBDD3A4FB}"/>
    <cellStyle name="_CY06 PV R＆D各科原低目标分解计划日程-051130 2 2 4" xfId="1650" xr:uid="{FAABE0A6-BCE5-4FA8-BC96-D1A64F2CFD2A}"/>
    <cellStyle name="_CY06 PV R＆D各科原低目标分解计划日程-051130 2 2 4 2" xfId="25641" xr:uid="{395F7929-4FAE-4294-905E-2D79F72D721C}"/>
    <cellStyle name="_CY06 PV R＆D各科原低目标分解计划日程-051130 2 3" xfId="1651" xr:uid="{A71A196A-417E-436E-A393-A56C39A3DD71}"/>
    <cellStyle name="_CY06 PV R＆D各科原低目标分解计划日程-051130 2 3 2" xfId="25642" xr:uid="{9ADB1D7D-FC9E-47C5-A97F-8D63D30F0DB4}"/>
    <cellStyle name="_CY06 PV R＆D各科原低目标分解计划日程-051130 2_FY13 Budget Simulation Excel PKG for Auto by company" xfId="1652" xr:uid="{2FE90008-82FF-41E8-9B39-415F1AABBB1D}"/>
    <cellStyle name="_CY06 PV R＆D各科原低目标分解计划日程-051130 3" xfId="1653" xr:uid="{9984E23D-DC4C-4B1C-B4BF-748F41FA3543}"/>
    <cellStyle name="_CY06 PV R＆D各科原低目标分解计划日程-051130 4" xfId="1654" xr:uid="{459102C1-8963-4C3E-A850-B4829C55AB26}"/>
    <cellStyle name="_CY06 PV R＆D各科原低目标分解计划日程-051130 4 2" xfId="25643" xr:uid="{37B654F0-08D4-41CA-9CEB-0E9ED7547585}"/>
    <cellStyle name="_CY06 PV R＆D各科原低目标分解计划日程-051130_DFL FY13 Simulation Data version 1010-2(A7C)" xfId="1655" xr:uid="{2AC350F9-E58F-478E-97ED-E8596BB74370}"/>
    <cellStyle name="_CY06 PV R＆D各科原低目标分解计划日程-051130_DFL FY13 Simulation Data version 1010-2(A7C) 2" xfId="1656" xr:uid="{828A6BF3-6084-499B-9B22-F73B413AE6CF}"/>
    <cellStyle name="_CY06 PV R＆D各科原低目标分解计划日程-051130_DFL FY13 Simulation Data version 1010-2(A7C) 2 2" xfId="1657" xr:uid="{B771B553-72FD-4BEB-B9BD-51DE5EFADD3B}"/>
    <cellStyle name="_CY06 PV R＆D各科原低目标分解计划日程-051130_DFL FY13 Simulation Data version 1010-2(A7C) 2 2 2" xfId="1658" xr:uid="{1559412C-EFC4-4C37-9A79-752C30CA1321}"/>
    <cellStyle name="_CY06 PV R＆D各科原低目标分解计划日程-051130_DFL FY13 Simulation Data version 1010-2(A7C) 2 2 2 2" xfId="25644" xr:uid="{83392B21-1562-4BA9-A302-47125E4E48F5}"/>
    <cellStyle name="_CY06 PV R＆D各科原低目标分解计划日程-051130_DFL FY13 Simulation Data version 1010-2(A7C) 2 3" xfId="1659" xr:uid="{A524F41D-81ED-4204-B24E-4783A863E6F0}"/>
    <cellStyle name="_CY06 PV R＆D各科原低目标分解计划日程-051130_DFL FY13 Simulation Data version 1010-2(A7C) 2 4" xfId="1660" xr:uid="{B1E29C42-E72B-4239-9E14-89FD9BC471B5}"/>
    <cellStyle name="_CY06 PV R＆D各科原低目标分解计划日程-051130_DFL FY13 Simulation Data version 1010-2(A7C) 2 4 2" xfId="25645" xr:uid="{299B9563-6B38-4784-84F3-B26D35332EB3}"/>
    <cellStyle name="_CY06 PV R＆D各科原低目标分解计划日程-051130_DFL FY13 Simulation Data version 1010-2(A7C) 3" xfId="1661" xr:uid="{4938350E-7B61-480D-A8DC-A902A622B925}"/>
    <cellStyle name="_CY06 PV R＆D各科原低目标分解计划日程-051130_DFL FY13 Simulation Data version 1010-2(A7C) 3 2" xfId="25646" xr:uid="{D1602D91-2894-43DE-A687-8D6C914E7B0F}"/>
    <cellStyle name="_CY06 PV R＆D各科原低目标分解计划日程-051130_DFL FY13 Simulation Data version 1010-2(A7C)_FY13 Budget Simulation Excel PKG for Auto by company" xfId="1662" xr:uid="{143AFDFD-04EC-4BD7-9C93-701FDCD665F7}"/>
    <cellStyle name="_CY06 PV R＆D各科原低目标分解计划日程-051130_FY13 Budget Simulation Excel PKG for Auto by company" xfId="1663" xr:uid="{F04822BF-A693-43C9-8B39-2C03B864E785}"/>
    <cellStyle name="_CY06 PV R＆D各科原低目标分解计划日程-051130_豢揃蹋 060410" xfId="1664" xr:uid="{DC5A20CA-CE3A-428E-A1BC-9E2BDB8EAD11}"/>
    <cellStyle name="_CY06 PV R＆D各科原低目标分解计划日程-051130_豢揃蹋 060410 2" xfId="1665" xr:uid="{7D6F4FD4-AC63-4143-9399-850008668034}"/>
    <cellStyle name="_CY06 PV R＆D各科原低目标分解计划日程-051130_豢揃蹋 060410 2 2" xfId="1666" xr:uid="{53F75E95-6BD5-4D7D-88F2-BD54FEF8636A}"/>
    <cellStyle name="_CY06 PV R＆D各科原低目标分解计划日程-051130_豢揃蹋 060410 2 2 2" xfId="1667" xr:uid="{5CCAD003-287C-4AAB-ACFA-3F29E40E1D95}"/>
    <cellStyle name="_CY06 PV R＆D各科原低目标分解计划日程-051130_豢揃蹋 060410 2 2 2 2" xfId="1668" xr:uid="{BC67020A-EEF5-4950-A7E4-AAA77E6A9287}"/>
    <cellStyle name="_CY06 PV R＆D各科原低目标分解计划日程-051130_豢揃蹋 060410 2 2 2 2 2" xfId="25647" xr:uid="{58172D3F-ED55-4D1D-9894-116E7C56F003}"/>
    <cellStyle name="_CY06 PV R＆D各科原低目标分解计划日程-051130_豢揃蹋 060410 2 2 3" xfId="1669" xr:uid="{E31AC9B0-7ECF-4411-8A4B-426EEBC42819}"/>
    <cellStyle name="_CY06 PV R＆D各科原低目标分解计划日程-051130_豢揃蹋 060410 2 2 4" xfId="1670" xr:uid="{8E76E427-D10B-4D17-ABEB-6FBC76194FDE}"/>
    <cellStyle name="_CY06 PV R＆D各科原低目标分解计划日程-051130_豢揃蹋 060410 2 2 4 2" xfId="25648" xr:uid="{A3DDA834-E02B-4F6F-8BD2-E46C8AD35005}"/>
    <cellStyle name="_CY06 PV R＆D各科原低目标分解计划日程-051130_豢揃蹋 060410 2 3" xfId="1671" xr:uid="{2DBE4D74-4709-4439-8E8B-9914408E9E8B}"/>
    <cellStyle name="_CY06 PV R＆D各科原低目标分解计划日程-051130_豢揃蹋 060410 2 3 2" xfId="25649" xr:uid="{017C8F0B-BDED-45A8-A872-4DD9627E5206}"/>
    <cellStyle name="_CY06 PV R＆D各科原低目标分解计划日程-051130_豢揃蹋 060410 2_FY13 Budget Simulation Excel PKG for Auto by company" xfId="1672" xr:uid="{222CD908-3B13-4DBE-9D8D-FFBCD16D8119}"/>
    <cellStyle name="_CY06 PV R＆D各科原低目标分解计划日程-051130_豢揃蹋 060410 3" xfId="1673" xr:uid="{44A924E3-F3CB-4513-9275-999F81D09E18}"/>
    <cellStyle name="_CY06 PV R＆D各科原低目标分解计划日程-051130_豢揃蹋 060410 4" xfId="1674" xr:uid="{83C4D9AA-E462-458D-BA7F-DD78F3F8B30A}"/>
    <cellStyle name="_CY06 PV R＆D各科原低目标分解计划日程-051130_豢揃蹋 060410 4 2" xfId="25650" xr:uid="{1BDABA77-2A9E-4BD1-99BB-70B0561856E2}"/>
    <cellStyle name="_CY06 PV R＆D各科原低目标分解计划日程-051130_豢揃蹋 060410_DFL FY13 Simulation Data version 1010-2(A7C)" xfId="1675" xr:uid="{7731A0EA-B103-4BA4-A550-5B8132CE8DA1}"/>
    <cellStyle name="_CY06 PV R＆D各科原低目标分解计划日程-051130_豢揃蹋 060410_DFL FY13 Simulation Data version 1010-2(A7C) 2" xfId="1676" xr:uid="{3ED10FA9-468B-4A44-BC34-27FD992A5071}"/>
    <cellStyle name="_CY06 PV R＆D各科原低目标分解计划日程-051130_豢揃蹋 060410_DFL FY13 Simulation Data version 1010-2(A7C) 2 2" xfId="1677" xr:uid="{2A79A009-5EE2-4C8D-8C7C-9A24349C91C6}"/>
    <cellStyle name="_CY06 PV R＆D各科原低目标分解计划日程-051130_豢揃蹋 060410_DFL FY13 Simulation Data version 1010-2(A7C) 2 2 2" xfId="1678" xr:uid="{ED2872BC-C24C-4632-B5C5-4712EA79414E}"/>
    <cellStyle name="_CY06 PV R＆D各科原低目标分解计划日程-051130_豢揃蹋 060410_DFL FY13 Simulation Data version 1010-2(A7C) 2 2 2 2" xfId="25651" xr:uid="{A9ABB082-B134-4A64-AEAD-1A89C26C6F80}"/>
    <cellStyle name="_CY06 PV R＆D各科原低目标分解计划日程-051130_豢揃蹋 060410_DFL FY13 Simulation Data version 1010-2(A7C) 2 3" xfId="1679" xr:uid="{95AA4417-D010-4902-93C0-E8DD0C7B5F57}"/>
    <cellStyle name="_CY06 PV R＆D各科原低目标分解计划日程-051130_豢揃蹋 060410_DFL FY13 Simulation Data version 1010-2(A7C) 2 4" xfId="1680" xr:uid="{CBB41EFC-23FE-49DC-94A8-20166A2BC1BC}"/>
    <cellStyle name="_CY06 PV R＆D各科原低目标分解计划日程-051130_豢揃蹋 060410_DFL FY13 Simulation Data version 1010-2(A7C) 2 4 2" xfId="25652" xr:uid="{2ACFD491-251D-4F42-9926-D006BF9A0DBA}"/>
    <cellStyle name="_CY06 PV R＆D各科原低目标分解计划日程-051130_豢揃蹋 060410_DFL FY13 Simulation Data version 1010-2(A7C) 3" xfId="1681" xr:uid="{5071B94C-023D-4544-A7B7-3F091CA79244}"/>
    <cellStyle name="_CY06 PV R＆D各科原低目标分解计划日程-051130_豢揃蹋 060410_DFL FY13 Simulation Data version 1010-2(A7C) 3 2" xfId="25653" xr:uid="{CF2B7544-9F8E-4226-9497-13A0166FDA69}"/>
    <cellStyle name="_CY06 PV R＆D各科原低目标分解计划日程-051130_豢揃蹋 060410_DFL FY13 Simulation Data version 1010-2(A7C)_FY13 Budget Simulation Excel PKG for Auto by company" xfId="1682" xr:uid="{A4BE287C-5DEB-4CD0-A77C-01817E00A33E}"/>
    <cellStyle name="_CY06 PV R＆D各科原低目标分解计划日程-051130_豢揃蹋 060410_FY13 Budget Simulation Excel PKG for Auto by company" xfId="1683" xr:uid="{536B4DCE-C04E-46CC-B65C-5ED9F0D0E61B}"/>
    <cellStyle name="_CY06目标经纬-051215" xfId="1684" xr:uid="{A0D9103D-45A3-4E8D-9A5F-CEBD701986B2}"/>
    <cellStyle name="_CY10DFL_LEAD confirmation_20100204" xfId="1685" xr:uid="{77A5D8E8-042B-4C91-95F3-A5C2E3F515A4}"/>
    <cellStyle name="_CY10DFL_LEAD confirmation_20100204 2" xfId="1686" xr:uid="{992E4CC8-2E8F-48DD-92BB-AEC7D4DBB64B}"/>
    <cellStyle name="_CY10DFL_LEAD confirmation_20100204 2 2" xfId="1687" xr:uid="{33030B63-F565-42B0-9C90-A54261C1C396}"/>
    <cellStyle name="_CY10DFL_LEAD confirmation_20100204 2 2 2" xfId="1688" xr:uid="{0C4732ED-7922-43E1-9E6A-B3FF391ADE4D}"/>
    <cellStyle name="_CY10DFL_LEAD confirmation_20100204 2 2 2 2" xfId="1689" xr:uid="{6F43815D-440B-4DC3-994B-A1A8872B4811}"/>
    <cellStyle name="_CY10DFL_LEAD confirmation_20100204 2 2 2 2 2" xfId="25654" xr:uid="{7194BCBE-180B-41D4-A660-E19D4FDEA012}"/>
    <cellStyle name="_CY10DFL_LEAD confirmation_20100204 2 2 3" xfId="1690" xr:uid="{4AE421C4-7D9C-4223-9613-1850CB8C7080}"/>
    <cellStyle name="_CY10DFL_LEAD confirmation_20100204 2 2 4" xfId="1691" xr:uid="{32376CB9-7C7B-4326-A2E2-43EEBB4A93D2}"/>
    <cellStyle name="_CY10DFL_LEAD confirmation_20100204 2 2 4 2" xfId="25655" xr:uid="{710AA309-CA05-47F6-A282-8C27013984CC}"/>
    <cellStyle name="_CY10DFL_LEAD confirmation_20100204 2 3" xfId="1692" xr:uid="{60BD5295-CDBC-4A0E-B998-CCB05D6B755A}"/>
    <cellStyle name="_CY10DFL_LEAD confirmation_20100204 2 3 2" xfId="25656" xr:uid="{4D1799EC-21EF-4B18-A31C-4E205CDBB8E9}"/>
    <cellStyle name="_CY10DFL_LEAD confirmation_20100204 2_FY13 Budget Simulation Excel PKG for Auto by company" xfId="1693" xr:uid="{E24F1FAB-C3D9-48F0-BA16-C0B3F88421DE}"/>
    <cellStyle name="_CY10DFL_LEAD confirmation_20100204 3" xfId="1694" xr:uid="{F1E2F8FC-614D-4EDF-8914-DA211B7BD1CA}"/>
    <cellStyle name="_CY10DFL_LEAD confirmation_20100204 4" xfId="1695" xr:uid="{BE545340-0324-4516-9148-D6AAD2DC2796}"/>
    <cellStyle name="_CY10DFL_LEAD confirmation_20100204 4 2" xfId="25657" xr:uid="{91AAF748-19C0-4ED9-928B-54C682DBDABC}"/>
    <cellStyle name="_CY10DFL_LEAD confirmation_20100204_DFL FY13 Simulation Data version 1010-2(A7C)" xfId="1696" xr:uid="{78C345F5-26C4-4C13-9698-D8645CF9DC6F}"/>
    <cellStyle name="_CY10DFL_LEAD confirmation_20100204_DFL FY13 Simulation Data version 1010-2(A7C) 2" xfId="1697" xr:uid="{C0FC2693-ABD6-4217-9C99-EC454E641FCB}"/>
    <cellStyle name="_CY10DFL_LEAD confirmation_20100204_DFL FY13 Simulation Data version 1010-2(A7C) 2 2" xfId="1698" xr:uid="{A7EF6C5A-15F6-4359-915C-8B4FED928757}"/>
    <cellStyle name="_CY10DFL_LEAD confirmation_20100204_DFL FY13 Simulation Data version 1010-2(A7C) 2 2 2" xfId="1699" xr:uid="{9791585E-AB38-4159-90A8-8346BFE43D12}"/>
    <cellStyle name="_CY10DFL_LEAD confirmation_20100204_DFL FY13 Simulation Data version 1010-2(A7C) 2 2 2 2" xfId="25658" xr:uid="{D28009DC-C770-4A09-B602-B13E02655B58}"/>
    <cellStyle name="_CY10DFL_LEAD confirmation_20100204_DFL FY13 Simulation Data version 1010-2(A7C) 2 3" xfId="1700" xr:uid="{BDC57840-443E-46E0-9374-AFCBDC24D70E}"/>
    <cellStyle name="_CY10DFL_LEAD confirmation_20100204_DFL FY13 Simulation Data version 1010-2(A7C) 2 4" xfId="1701" xr:uid="{10174301-409E-4FB4-9F20-4D9072D6DA29}"/>
    <cellStyle name="_CY10DFL_LEAD confirmation_20100204_DFL FY13 Simulation Data version 1010-2(A7C) 2 4 2" xfId="25659" xr:uid="{12583B53-3FE1-439D-939D-CB0EAA5FD4B6}"/>
    <cellStyle name="_CY10DFL_LEAD confirmation_20100204_DFL FY13 Simulation Data version 1010-2(A7C) 3" xfId="1702" xr:uid="{02E22AAD-10DF-4AA4-AA8C-91C59D48707F}"/>
    <cellStyle name="_CY10DFL_LEAD confirmation_20100204_DFL FY13 Simulation Data version 1010-2(A7C) 3 2" xfId="25660" xr:uid="{B188CAD1-37BF-4266-A578-84969F14958D}"/>
    <cellStyle name="_CY10DFL_LEAD confirmation_20100204_DFL FY13 Simulation Data version 1010-2(A7C)_FY13 Budget Simulation Excel PKG for Auto by company" xfId="1703" xr:uid="{6265A41D-1914-474E-B6EB-5CDC5CD430DE}"/>
    <cellStyle name="_CY10DFL_LEAD confirmation_20100204_FY13 Budget Simulation Excel PKG for Auto by company" xfId="1704" xr:uid="{C9C7B91A-F130-47C6-B0AD-9DBD80A66DF7}"/>
    <cellStyle name="_D52E USA CONTRACT(FX rate update)" xfId="1705" xr:uid="{FD09C554-EB32-45BA-9E48-8E66B6261EFE}"/>
    <cellStyle name="_Data of OJT revenue" xfId="1706" xr:uid="{CA46D5B9-AA6C-4B0D-BED8-936DF735ED9A}"/>
    <cellStyle name="_Database July 2006- Combine" xfId="1707" xr:uid="{9267A816-3650-4360-A84F-347D824A3A63}"/>
    <cellStyle name="_DFL" xfId="1708" xr:uid="{D9A3DEF2-2495-435C-A0B4-DA66FE130D76}"/>
    <cellStyle name="_DFL FY08 Fcst #3 Reply PKG_E" xfId="1709" xr:uid="{7550DAD9-276F-49F9-92C0-16B0E5BCFA5E}"/>
    <cellStyle name="_DFL FY08 Fcst #3 Reply PKG_E_2010 Reply 3 PXP Report v2 0 DISTv2 (2)" xfId="1710" xr:uid="{AFF1187F-DE1A-4233-93EE-9EBD14BA97A6}"/>
    <cellStyle name="_DFL PV Material Dept.Material budget GM allocation 06.27.08" xfId="1711" xr:uid="{05D583AE-BD0A-4B13-9C80-C36B20D361EC}"/>
    <cellStyle name="_DFL PV Material Dept.Material budget GM allocation 06.27.08 2" xfId="1712" xr:uid="{1D50B6A8-7756-4BF7-B76D-C01F0C172DA1}"/>
    <cellStyle name="_DFL PV Material Dept.Material budget GM allocation 06.27.08 2 2" xfId="1713" xr:uid="{7BE507E1-1C61-498D-9B3E-944088B30C74}"/>
    <cellStyle name="_DFL PV Material Dept.Material budget GM allocation 06.27.08 2 2 2" xfId="1714" xr:uid="{3D853918-B3BF-4826-8F04-C50F37AA2CF4}"/>
    <cellStyle name="_DFL PV Material Dept.Material budget GM allocation 06.27.08 2 2 2 2" xfId="1715" xr:uid="{C593DB32-43B5-4BA8-B26D-3640BCD4F76E}"/>
    <cellStyle name="_DFL PV Material Dept.Material budget GM allocation 06.27.08 2 2 2 2 2" xfId="25661" xr:uid="{082AC2BC-E151-4149-8092-24BD19F7E97B}"/>
    <cellStyle name="_DFL PV Material Dept.Material budget GM allocation 06.27.08 2 2 3" xfId="1716" xr:uid="{BF1A9251-299E-4207-AC36-D3EC1C816C8E}"/>
    <cellStyle name="_DFL PV Material Dept.Material budget GM allocation 06.27.08 2 2 4" xfId="1717" xr:uid="{F1FEDC78-11F7-43AA-BFC9-D0AA9F355247}"/>
    <cellStyle name="_DFL PV Material Dept.Material budget GM allocation 06.27.08 2 2 4 2" xfId="25662" xr:uid="{4A1EF6D0-2D43-4020-AD85-31F906AF58B3}"/>
    <cellStyle name="_DFL PV Material Dept.Material budget GM allocation 06.27.08 2 3" xfId="1718" xr:uid="{0469884D-477B-4AF8-BE43-F888C08BB566}"/>
    <cellStyle name="_DFL PV Material Dept.Material budget GM allocation 06.27.08 2 3 2" xfId="25663" xr:uid="{D5300947-82E5-4DA7-84B9-ADB011623286}"/>
    <cellStyle name="_DFL PV Material Dept.Material budget GM allocation 06.27.08 2_FY13 Budget Simulation Excel PKG for Auto by company" xfId="1719" xr:uid="{B3E94598-4070-455D-BB4C-8E064C5E0B11}"/>
    <cellStyle name="_DFL PV Material Dept.Material budget GM allocation 06.27.08 3" xfId="1720" xr:uid="{CA6D4C0C-259A-42E2-A76F-3DC0D24EDF45}"/>
    <cellStyle name="_DFL PV Material Dept.Material budget GM allocation 06.27.08 4" xfId="1721" xr:uid="{5FFC17C3-42D9-48D6-B999-D92E4D48EDF2}"/>
    <cellStyle name="_DFL PV Material Dept.Material budget GM allocation 06.27.08 4 2" xfId="25664" xr:uid="{6427EDE7-E13B-48A4-B4A1-EC81640270C6}"/>
    <cellStyle name="_DFL PV Material Dept.Material budget GM allocation 06.27.08_DFL FY13 Simulation Data version 1010-2(A7C)" xfId="1722" xr:uid="{3E3EE6F1-E018-44C0-987E-A34F18DD1514}"/>
    <cellStyle name="_DFL PV Material Dept.Material budget GM allocation 06.27.08_DFL FY13 Simulation Data version 1010-2(A7C) 2" xfId="1723" xr:uid="{E7189626-1CFD-462A-BBC4-90033D7CBE19}"/>
    <cellStyle name="_DFL PV Material Dept.Material budget GM allocation 06.27.08_DFL FY13 Simulation Data version 1010-2(A7C) 2 2" xfId="1724" xr:uid="{E3D97085-2962-434B-86B3-56C581440D13}"/>
    <cellStyle name="_DFL PV Material Dept.Material budget GM allocation 06.27.08_DFL FY13 Simulation Data version 1010-2(A7C) 2 2 2" xfId="1725" xr:uid="{3672127F-B643-4797-989B-B94F39C16D8B}"/>
    <cellStyle name="_DFL PV Material Dept.Material budget GM allocation 06.27.08_DFL FY13 Simulation Data version 1010-2(A7C) 2 2 2 2" xfId="25665" xr:uid="{A1AEE66D-0119-4AD4-8BCA-54185400BE2D}"/>
    <cellStyle name="_DFL PV Material Dept.Material budget GM allocation 06.27.08_DFL FY13 Simulation Data version 1010-2(A7C) 2 3" xfId="1726" xr:uid="{40948455-9EAF-40A9-B276-483EAE48EDC7}"/>
    <cellStyle name="_DFL PV Material Dept.Material budget GM allocation 06.27.08_DFL FY13 Simulation Data version 1010-2(A7C) 2 4" xfId="1727" xr:uid="{74037B6C-49D1-4673-A8CC-0F754D4A5B6D}"/>
    <cellStyle name="_DFL PV Material Dept.Material budget GM allocation 06.27.08_DFL FY13 Simulation Data version 1010-2(A7C) 2 4 2" xfId="25666" xr:uid="{8D8324D8-8FD2-4365-9888-C52D1A4BD9A0}"/>
    <cellStyle name="_DFL PV Material Dept.Material budget GM allocation 06.27.08_DFL FY13 Simulation Data version 1010-2(A7C) 3" xfId="1728" xr:uid="{C1B1F3D5-F4D1-486E-A022-0FB9CCBE9B33}"/>
    <cellStyle name="_DFL PV Material Dept.Material budget GM allocation 06.27.08_DFL FY13 Simulation Data version 1010-2(A7C) 3 2" xfId="25667" xr:uid="{002A109E-067B-4574-BD64-010231B02960}"/>
    <cellStyle name="_DFL PV Material Dept.Material budget GM allocation 06.27.08_DFL FY13 Simulation Data version 1010-2(A7C)_FY13 Budget Simulation Excel PKG for Auto by company" xfId="1729" xr:uid="{F0E26EDC-F3AF-479F-9D69-763617084EC7}"/>
    <cellStyle name="_DFL PV Material Dept.Material budget GM allocation 06.27.08_FY13 Budget Simulation Excel PKG for Auto by company" xfId="1730" xr:uid="{DB454315-722F-41E4-A431-B35249E2D365}"/>
    <cellStyle name="_DFL PV Material N-index for Nov 12th MPC 20081111" xfId="1731" xr:uid="{F03C0939-6375-4D50-8893-7791CF7FAC7F}"/>
    <cellStyle name="_DFL_Xie_2X1_Basell" xfId="1732" xr:uid="{F3298E2C-E887-410F-80A2-746A6DB2AA05}"/>
    <cellStyle name="_DFL1~2月财务分析报告" xfId="1733" xr:uid="{6E820858-34A6-43D7-937B-4BCCF1D56B13}"/>
    <cellStyle name="_DFL75预测汇报（会议版）" xfId="1734" xr:uid="{2E1F9410-1B33-4D7E-A871-0343FC2108DF}"/>
    <cellStyle name="_DFLHR05PLAN-6课题KPI达成方策表" xfId="1735" xr:uid="{E93F9EA1-6D84-42C2-A505-B6AB44A09EB6}"/>
    <cellStyle name="_DMS_P" xfId="1736" xr:uid="{E6279A3F-145D-433F-AD47-D464B1256323}"/>
    <cellStyle name="_DMS_S" xfId="1737" xr:uid="{18030296-5122-4DAA-80E5-BD8543522B57}"/>
    <cellStyle name="_DMS_V&amp;CRM" xfId="1738" xr:uid="{887994C5-3AB7-4A92-A6AB-61527C0F4DC3}"/>
    <cellStyle name="_E20_DFL Expense_July" xfId="1739" xr:uid="{048F68E4-477D-4778-8992-772E2A738BF2}"/>
    <cellStyle name="_E3S系统运行维护体制040718" xfId="1740" xr:uid="{8F815B99-40F2-4262-9A74-82D44931990B}"/>
    <cellStyle name="_EQ7202B(2号车)" xfId="1741" xr:uid="{33D33151-A223-4351-8FAE-C7354215143E}"/>
    <cellStyle name="_EQ7202B(2号车) 2" xfId="1742" xr:uid="{9B43B659-21D9-4642-A7DA-736AD3CED918}"/>
    <cellStyle name="_EQ7202B(2号车) 2 2" xfId="1743" xr:uid="{6752CF0E-7294-43E5-9887-82015AF94836}"/>
    <cellStyle name="_EQ7202B(2号车) 2 2 2" xfId="1744" xr:uid="{FF596A6A-26D0-42E7-BA00-02F588C2664A}"/>
    <cellStyle name="_EQ7202B(2号车) 2 2 2 2" xfId="1745" xr:uid="{562E096B-AA46-4EDE-95AE-28EFE7EC31DA}"/>
    <cellStyle name="_EQ7202B(2号车) 2 2 2 2 2" xfId="25668" xr:uid="{AEE9E052-F6E2-49F7-8CED-9E6D499D6ECC}"/>
    <cellStyle name="_EQ7202B(2号车) 2 2 3" xfId="1746" xr:uid="{A1C2003A-B9B2-41B6-8E66-E35404CA57F5}"/>
    <cellStyle name="_EQ7202B(2号车) 2 2 4" xfId="1747" xr:uid="{467B3380-473B-4D42-8219-4093EDD98D0B}"/>
    <cellStyle name="_EQ7202B(2号车) 2 2 4 2" xfId="25669" xr:uid="{91D8ADE0-D247-49D9-9A0E-DD7FC635D88F}"/>
    <cellStyle name="_EQ7202B(2号车) 2 3" xfId="1748" xr:uid="{BD953A9A-1BDE-4358-9C34-0DA9F38F26EE}"/>
    <cellStyle name="_EQ7202B(2号车) 2 3 2" xfId="25670" xr:uid="{4ABF9D8F-89D4-42ED-9D29-EE7A89844F1F}"/>
    <cellStyle name="_EQ7202B(2号车) 2_FY13 Budget Simulation Excel PKG for Auto by company" xfId="1749" xr:uid="{23CF854E-D997-4CB4-9CC5-C0B73FB529E6}"/>
    <cellStyle name="_EQ7202B(2号车) 3" xfId="1750" xr:uid="{459DFE43-535C-4C4F-B738-C90A52A54934}"/>
    <cellStyle name="_EQ7202B(2号车)_08 budget 071018" xfId="1751" xr:uid="{BB4B6BE6-B1E2-471C-9F7C-37B96BED8195}"/>
    <cellStyle name="_EQ7202B(2号车)_08 budget 071018 2" xfId="1752" xr:uid="{7B13F455-ABA6-4942-B9E6-F05347B14437}"/>
    <cellStyle name="_EQ7202B(2号车)_08 budget 071018 2 2" xfId="1753" xr:uid="{A8311170-81BC-4C1F-96FA-E00E4E5F4063}"/>
    <cellStyle name="_EQ7202B(2号车)_08 budget 071018 2 2 2" xfId="25671" xr:uid="{29F8CFEA-623C-4DC5-926F-C139FD2E4BDC}"/>
    <cellStyle name="_EQ7202B(2号车)_'08 budget TDC" xfId="1754" xr:uid="{870BB5A1-496D-4867-988D-5C86528F6EB0}"/>
    <cellStyle name="_EQ7202B(2号车)_'08 budget TDC 2" xfId="1755" xr:uid="{52B1D182-3FAB-4CEE-97A0-9D738ECD6E30}"/>
    <cellStyle name="_EQ7202B(2号车)_'08 budget TDC 2 2" xfId="1756" xr:uid="{BF825F04-499A-4B48-A960-4FC80027B50F}"/>
    <cellStyle name="_EQ7202B(2号车)_'08 budget TDC 2 2 2" xfId="25672" xr:uid="{A19BF44F-BD69-4EBD-900E-F6795964E33C}"/>
    <cellStyle name="_EQ7202B(2号车)_DFL FY13 Simulation Data version 1010-2(A7C)" xfId="1757" xr:uid="{BE9E3328-D81E-4C87-A3F2-4E00A4D7878D}"/>
    <cellStyle name="_EQ7202B(2号车)_DFL FY13 Simulation Data version 1010-2(A7C) 2" xfId="1758" xr:uid="{5ABD2239-6812-499B-863C-13DBE2FC0EEF}"/>
    <cellStyle name="_EQ7202B(2号车)_DFL FY13 Simulation Data version 1010-2(A7C) 2 2" xfId="1759" xr:uid="{2E02CDCB-D93B-42E4-84C5-88A071D2E137}"/>
    <cellStyle name="_EQ7202B(2号车)_DFL FY13 Simulation Data version 1010-2(A7C) 2 2 2" xfId="1760" xr:uid="{457ED58B-2604-4537-92B7-CDCCAF4287E8}"/>
    <cellStyle name="_EQ7202B(2号车)_DFL FY13 Simulation Data version 1010-2(A7C) 2 2 2 2" xfId="25673" xr:uid="{3FFDA5DB-BF45-4D77-B9FC-1B5B11D1CBFF}"/>
    <cellStyle name="_EQ7202B(2号车)_DFL FY13 Simulation Data version 1010-2(A7C) 2 3" xfId="1761" xr:uid="{44B18C46-5397-410D-B691-B910E88E9044}"/>
    <cellStyle name="_EQ7202B(2号车)_DFL FY13 Simulation Data version 1010-2(A7C) 2 4" xfId="1762" xr:uid="{F2569BE5-B582-4740-8D7C-F7FADA7AD81E}"/>
    <cellStyle name="_EQ7202B(2号车)_DFL FY13 Simulation Data version 1010-2(A7C) 2 4 2" xfId="25674" xr:uid="{353D9443-02E4-4FAF-81EB-8F47584481BF}"/>
    <cellStyle name="_EQ7202B(2号车)_DFL FY13 Simulation Data version 1010-2(A7C) 3" xfId="1763" xr:uid="{C88708F5-9EF0-4373-AFAD-CCFEB7050A46}"/>
    <cellStyle name="_EQ7202B(2号车)_DFL FY13 Simulation Data version 1010-2(A7C) 3 2" xfId="25675" xr:uid="{F4F7C8DA-0C88-42AA-BAC9-2A8791D6C597}"/>
    <cellStyle name="_EQ7202B(2号车)_DFL FY13 Simulation Data version 1010-2(A7C)_FY13 Budget Simulation Excel PKG for Auto by company" xfId="1764" xr:uid="{78B05C9A-6929-4BF0-8655-3375BE3ED7E5}"/>
    <cellStyle name="_EQ7202B(2号车)_FY13 Budget Simulation Excel PKG for Auto by company" xfId="1765" xr:uid="{AD03D3E2-563E-45B0-A96A-48A83C0ED35E}"/>
    <cellStyle name="_EQ7202B(2号车)_L11K Impact vs. Budget" xfId="1766" xr:uid="{8D70C3A7-9CB6-4548-8173-3BBDF74BFB5D}"/>
    <cellStyle name="_EQ7202B(2号车)_L11K Impact vs. Budget 2" xfId="1767" xr:uid="{BC5B60B5-93EF-4A7B-A196-4750E20F10D4}"/>
    <cellStyle name="_EQ7202B(2号车)_L11K Impact vs. Budget 2 2" xfId="1768" xr:uid="{BD2ED83D-87BE-4F34-860E-DA5FD64AEF56}"/>
    <cellStyle name="_EQ7202B(2号车)_L11K Impact vs. Budget 2 2 2" xfId="25676" xr:uid="{2854A9DE-EC79-447C-A56E-0F2E14CA91AB}"/>
    <cellStyle name="_EQ7202B(2号车)_L11K Impact vs. Budget_L42F_MSRP TP mix k_080520" xfId="1769" xr:uid="{ABA27ED5-7449-4861-903E-C47F9A9109A7}"/>
    <cellStyle name="_EQ7202B(2号车)_L11K Impact vs. Budget_L42F_MSRP TP mix k_080520 2" xfId="1770" xr:uid="{663DE2A3-7581-4B24-8EF0-C0BD5DB32997}"/>
    <cellStyle name="_EQ7202B(2号车)_L11K Impact vs. Budget_L42F_MSRP TP mix k_080520 2 2" xfId="1771" xr:uid="{FD1DFC22-1036-4D45-B158-91DB4303812E}"/>
    <cellStyle name="_EQ7202B(2号车)_L11K Impact vs. Budget_L42F_MSRP TP mix k_080520 2 2 2" xfId="25677" xr:uid="{78637A62-811E-4624-9A8B-32626DD5A918}"/>
    <cellStyle name="_EQ7202B(2号车)_L11K Impact vs. Budget_L42F_MSRP TP mix k_080528" xfId="1772" xr:uid="{DFFEA14A-6E80-45AC-9892-546037B189E1}"/>
    <cellStyle name="_EQ7202B(2号车)_L11K Impact vs. Budget_L42F_MSRP TP mix k_080528 2" xfId="1773" xr:uid="{6C9AB211-193C-4D2C-A2A7-5D87DF86815A}"/>
    <cellStyle name="_EQ7202B(2号车)_L11K Impact vs. Budget_L42F_MSRP TP mix k_080528 2 2" xfId="1774" xr:uid="{CDD53432-5FC9-4E89-B1DF-1F74DACEB4CE}"/>
    <cellStyle name="_EQ7202B(2号车)_L11K Impact vs. Budget_L42F_MSRP TP mix k_080528 2 2 2" xfId="25678" xr:uid="{122902D9-D354-4550-B688-82590E25A619}"/>
    <cellStyle name="_EQ7202B(2号车)_L11K Impact vs. Budget_P32E TDC for Final MPR(080912 31K Base)---from zhangtao" xfId="1775" xr:uid="{0A67C54F-CBBF-4CF0-BB7C-5AA88C163D52}"/>
    <cellStyle name="_EQ7202B(2号车)_L11K Impact vs. Budget_P32E TDC for Final MPR(080912 31K Base)---from zhangtao 2" xfId="1776" xr:uid="{7CD62744-BA97-4366-A9EF-5190D282DD15}"/>
    <cellStyle name="_EQ7202B(2号车)_L11K Impact vs. Budget_P32E TDC for Final MPR(080912 31K Base)---from zhangtao 2 2" xfId="1777" xr:uid="{F8C46508-0B4E-449E-8AC6-CC53140BE297}"/>
    <cellStyle name="_EQ7202B(2号车)_L11K Impact vs. Budget_P32E TDC for Final MPR(080912 31K Base)---from zhangtao 2 2 2" xfId="25679" xr:uid="{D6A7BB1A-16FA-479B-926A-A38A413DECE3}"/>
    <cellStyle name="_EQ7202B(2号车)_L42F_MSRP TP mix k_080520" xfId="1778" xr:uid="{BA0073BF-3E01-469E-B194-005F6908CE17}"/>
    <cellStyle name="_EQ7202B(2号车)_L42F_MSRP TP mix k_080520 2" xfId="1779" xr:uid="{63D01124-2DD8-4CB9-B4A9-44A314730119}"/>
    <cellStyle name="_EQ7202B(2号车)_L42F_MSRP TP mix k_080520 2 2" xfId="1780" xr:uid="{30E37869-6F18-4A5A-8D45-2278F75720D2}"/>
    <cellStyle name="_EQ7202B(2号车)_L42F_MSRP TP mix k_080520 2 2 2" xfId="25680" xr:uid="{8816D937-0C61-4E1C-BA23-ADDAA878456C}"/>
    <cellStyle name="_EQ7202B(2号车)_L42F_MSRP TP mix k_080528" xfId="1781" xr:uid="{05690E14-351B-4EDD-BF8D-E93E4F37BC47}"/>
    <cellStyle name="_EQ7202B(2号车)_L42F_MSRP TP mix k_080528 2" xfId="1782" xr:uid="{66F535AD-05A3-4F7A-82C1-2417F591CBD3}"/>
    <cellStyle name="_EQ7202B(2号车)_L42F_MSRP TP mix k_080528 2 2" xfId="1783" xr:uid="{4C281E9B-DCC2-43C7-A7ED-771C27AA75A1}"/>
    <cellStyle name="_EQ7202B(2号车)_L42F_MSRP TP mix k_080528 2 2 2" xfId="25681" xr:uid="{1182CE0A-64C9-4D49-9204-49E92FE8299C}"/>
    <cellStyle name="_EQ7202B(2号车)_P32E TDC for Final MPR(080912 31K Base)---from zhangtao" xfId="1784" xr:uid="{70C22016-1078-4495-BCAB-13F3A7C72DA1}"/>
    <cellStyle name="_EQ7202B(2号车)_P32E TDC for Final MPR(080912 31K Base)---from zhangtao 2" xfId="1785" xr:uid="{2362B263-FB52-4177-9F2E-7FA271FD1357}"/>
    <cellStyle name="_EQ7202B(2号车)_P32E TDC for Final MPR(080912 31K Base)---from zhangtao 2 2" xfId="1786" xr:uid="{DA52180D-BB54-4087-A902-E8CE83957BC3}"/>
    <cellStyle name="_EQ7202B(2号车)_P32E TDC for Final MPR(080912 31K Base)---from zhangtao 2 2 2" xfId="25682" xr:uid="{7986123F-E052-4352-8324-20B7ABFFC5C2}"/>
    <cellStyle name="_EQ7202B(2号车)_Steel hike calculate base-20080523" xfId="1787" xr:uid="{5E1F9693-B62D-423F-9E34-93ACB506ED10}"/>
    <cellStyle name="_EQ7202B(2号车)_Steel hike calculate base-20080523 2" xfId="1788" xr:uid="{D7800802-7D0E-4F47-A019-F6EB9B9E40C4}"/>
    <cellStyle name="_EQ7202B(2号车)_Steel hike calculate base-20080523 2 2" xfId="1789" xr:uid="{3A81E206-AB58-49F5-8A4D-E478D3F6A6C8}"/>
    <cellStyle name="_EQ7202B(2号车)_Steel hike calculate base-20080523 2 2 2" xfId="1790" xr:uid="{0FA8E408-5F47-411D-AEC9-8B179C738A7D}"/>
    <cellStyle name="_EQ7202B(2号车)_Steel hike calculate base-20080523 2 2 2 2" xfId="1791" xr:uid="{AC08A979-1910-4AF6-BAEF-73D613BFFFF7}"/>
    <cellStyle name="_EQ7202B(2号车)_Steel hike calculate base-20080523 2 2 2 2 2" xfId="25683" xr:uid="{825E9404-DBAB-40C7-8376-BB18662B7A1F}"/>
    <cellStyle name="_EQ7202B(2号车)_Steel hike calculate base-20080523 2 2 3" xfId="1792" xr:uid="{2F7A8B82-315C-45A9-97F9-439C8A157593}"/>
    <cellStyle name="_EQ7202B(2号车)_Steel hike calculate base-20080523 2 2 4" xfId="1793" xr:uid="{B15F041C-5EA9-4393-A7BB-CC06D94EB68C}"/>
    <cellStyle name="_EQ7202B(2号车)_Steel hike calculate base-20080523 2 2 4 2" xfId="25684" xr:uid="{3D4E763F-2E0E-4FAA-85F9-9214B3B651AF}"/>
    <cellStyle name="_EQ7202B(2号车)_Steel hike calculate base-20080523 2 3" xfId="1794" xr:uid="{B37FE3BD-E0ED-417C-B4DB-C485B7578C3E}"/>
    <cellStyle name="_EQ7202B(2号车)_Steel hike calculate base-20080523 2 3 2" xfId="25685" xr:uid="{B9F0BFAF-D51A-454F-B82C-88A7D2D050FC}"/>
    <cellStyle name="_EQ7202B(2号车)_Steel hike calculate base-20080523 2_FY13 Budget Simulation Excel PKG for Auto by company" xfId="1795" xr:uid="{A946F938-9B39-4F11-82E9-A7D12C5C3194}"/>
    <cellStyle name="_EQ7202B(2号车)_Steel hike calculate base-20080523 3" xfId="1796" xr:uid="{571C818A-A52F-483A-85FC-3DE7C0636A9D}"/>
    <cellStyle name="_EQ7202B(2号车)_Steel hike calculate base-20080523 4" xfId="1797" xr:uid="{4DF016A5-60F6-4681-9685-272CA3C4FE14}"/>
    <cellStyle name="_EQ7202B(2号车)_Steel hike calculate base-20080523 4 2" xfId="25686" xr:uid="{F3E12D1E-DE8C-4F81-871D-B8171E356758}"/>
    <cellStyle name="_EQ7202B(2号车)_Steel hike calculate base-20080523_DFL FY13 Simulation Data version 1010-2(A7C)" xfId="1798" xr:uid="{61D2BEE8-8246-4F20-8918-9DAEAA06FD25}"/>
    <cellStyle name="_EQ7202B(2号车)_Steel hike calculate base-20080523_DFL FY13 Simulation Data version 1010-2(A7C) 2" xfId="1799" xr:uid="{ABAC8371-82B7-410D-99BD-5E3E352591B3}"/>
    <cellStyle name="_EQ7202B(2号车)_Steel hike calculate base-20080523_DFL FY13 Simulation Data version 1010-2(A7C) 2 2" xfId="1800" xr:uid="{D8716A3C-CF7A-47BA-A97C-99C2C4956893}"/>
    <cellStyle name="_EQ7202B(2号车)_Steel hike calculate base-20080523_DFL FY13 Simulation Data version 1010-2(A7C) 2 2 2" xfId="1801" xr:uid="{B2E27BD3-B644-4E03-9653-5EEADC6EA514}"/>
    <cellStyle name="_EQ7202B(2号车)_Steel hike calculate base-20080523_DFL FY13 Simulation Data version 1010-2(A7C) 2 2 2 2" xfId="25687" xr:uid="{BC0785F8-7B67-4040-AAB4-0C7A05344DB2}"/>
    <cellStyle name="_EQ7202B(2号车)_Steel hike calculate base-20080523_DFL FY13 Simulation Data version 1010-2(A7C) 2 3" xfId="1802" xr:uid="{AB2BE598-E213-48A2-BFFB-0B059450D6A9}"/>
    <cellStyle name="_EQ7202B(2号车)_Steel hike calculate base-20080523_DFL FY13 Simulation Data version 1010-2(A7C) 2 4" xfId="1803" xr:uid="{564A41DD-F209-4131-A7F4-9A9ADA14060A}"/>
    <cellStyle name="_EQ7202B(2号车)_Steel hike calculate base-20080523_DFL FY13 Simulation Data version 1010-2(A7C) 2 4 2" xfId="25688" xr:uid="{B3459B00-CFF6-4D56-AFCF-5AB8FAB52B44}"/>
    <cellStyle name="_EQ7202B(2号车)_Steel hike calculate base-20080523_DFL FY13 Simulation Data version 1010-2(A7C) 3" xfId="1804" xr:uid="{A8B7BE83-FEEB-4E03-A24A-EAADF5B68A87}"/>
    <cellStyle name="_EQ7202B(2号车)_Steel hike calculate base-20080523_DFL FY13 Simulation Data version 1010-2(A7C) 3 2" xfId="25689" xr:uid="{A4D4B783-76D1-4727-B59C-EAE3842A1C62}"/>
    <cellStyle name="_EQ7202B(2号车)_Steel hike calculate base-20080523_DFL FY13 Simulation Data version 1010-2(A7C)_FY13 Budget Simulation Excel PKG for Auto by company" xfId="1805" xr:uid="{35CA9629-AFE9-4327-9777-5E27F35AC8A2}"/>
    <cellStyle name="_EQ7202B(2号车)_Steel hike calculate base-20080523_FY13 Budget Simulation Excel PKG for Auto by company" xfId="1806" xr:uid="{1C1D5889-52E5-49E7-81C9-D442E201A238}"/>
    <cellStyle name="_ESS2 検討用台数 100924" xfId="1807" xr:uid="{0A3421FE-9BBB-487A-9DD8-CE15039AA39B}"/>
    <cellStyle name="_ET階段問題點彙整表回覆940915" xfId="1808" xr:uid="{518BDFB4-A49A-431C-B191-C3EEB0D836C0}"/>
    <cellStyle name="_ET階段問題點彙整表回覆940915 2" xfId="1809" xr:uid="{829E1D4F-E67F-4FD8-BEF4-6A2F6FFF60B5}"/>
    <cellStyle name="_ET階段問題點彙整表回覆940915 2 2" xfId="1810" xr:uid="{18A0B617-F088-482B-838D-E3DB70BB41C2}"/>
    <cellStyle name="_ET階段問題點彙整表回覆940915 2 2 2" xfId="25690" xr:uid="{E3B3277D-7437-4855-92BE-99B62F37C59A}"/>
    <cellStyle name="_ET階段問題點彙整表回覆940915 3" xfId="1811" xr:uid="{17204F34-E0A7-44F2-9F9B-8EC0CAE09D23}"/>
    <cellStyle name="_ET階段問題點彙整表回覆940915 3 2" xfId="25691" xr:uid="{97E30EE9-1EA5-4698-98CE-8BA653A4FABA}"/>
    <cellStyle name="_ET階段問題點彙整表回覆940915_Fcst#2　FY13台数諸元表13.9.18" xfId="1812" xr:uid="{54553B0A-C0CD-42C2-B6FB-D4DCDA57189E}"/>
    <cellStyle name="_ET階段問題點彙整表回覆940915_FY13 Final ReplyBUD vs Forecast#3_AESC（台数諸元) 単価差Adjust値作成" xfId="1813" xr:uid="{2A78374B-1494-449F-91BF-644766E61B20}"/>
    <cellStyle name="_ET階段問題點彙整表回覆940915_FY13 Monthly ReplyBUD（台数諸元) ルノー修正13 5 20" xfId="1814" xr:uid="{B224B16A-CE58-40BC-96D0-CFAEEFE2B8D6}"/>
    <cellStyle name="_ET階段問題點彙整表回覆940915_FY13台数諸元表（201307実績-売上金額いり）" xfId="1815" xr:uid="{E9B74625-35E9-442D-A8F8-4CDDCB51A3EE}"/>
    <cellStyle name="_ET階段問題點彙整表回覆940915_FY13台数諸元表（予算vs実績）" xfId="1816" xr:uid="{4FA6079A-7CC3-4154-B08F-C32A5D0A579F}"/>
    <cellStyle name="_ET階段問題點彙整表回覆940922" xfId="1817" xr:uid="{8A38B745-FBE0-428D-AF07-BAD369BA7D8F}"/>
    <cellStyle name="_ET階段問題點彙整表回覆940922 2" xfId="1818" xr:uid="{22EFADC9-89F2-4E4B-8613-3F8F80F5FF72}"/>
    <cellStyle name="_ET階段問題點彙整表回覆940922 2 2" xfId="1819" xr:uid="{90261579-ABDF-425F-BA8C-8F2E3789EAAC}"/>
    <cellStyle name="_ET階段問題點彙整表回覆940922 2 2 2" xfId="25692" xr:uid="{7281571D-BC9D-49F4-9FEB-A9FD5BB09FD4}"/>
    <cellStyle name="_ET階段問題點彙整表回覆940922 3" xfId="1820" xr:uid="{7A159527-297D-4047-A195-D40CD5475D11}"/>
    <cellStyle name="_ET階段問題點彙整表回覆940922 3 2" xfId="25693" xr:uid="{3611E6D7-75D1-4868-8E73-CEA0BA3EFE5B}"/>
    <cellStyle name="_ET階段問題點彙整表回覆940922_Fcst#2　FY13台数諸元表13.9.18" xfId="1821" xr:uid="{2E35F9EC-E234-405A-9168-27F9C9F43DB2}"/>
    <cellStyle name="_ET階段問題點彙整表回覆940922_FY13 Final ReplyBUD vs Forecast#3_AESC（台数諸元) 単価差Adjust値作成" xfId="1822" xr:uid="{5A99004A-E303-475D-8B5B-02E3A1CABC37}"/>
    <cellStyle name="_ET階段問題點彙整表回覆940922_FY13 Monthly ReplyBUD（台数諸元) ルノー修正13 5 20" xfId="1823" xr:uid="{F17AB401-7DF0-4A37-BB2F-D92F135B8D8A}"/>
    <cellStyle name="_ET階段問題點彙整表回覆940922_FY13台数諸元表（201307実績-売上金額いり）" xfId="1824" xr:uid="{8D215760-9E58-4E69-8F19-A94A20323D79}"/>
    <cellStyle name="_ET階段問題點彙整表回覆940922_FY13台数諸元表（予算vs実績）" xfId="1825" xr:uid="{42DED9F0-84D0-47A7-853C-670CE6BC93ED}"/>
    <cellStyle name="_EVA.Freight Cost Buget FY2007" xfId="1826" xr:uid="{182DAA59-F30F-4B11-A37E-0594B1BCD2C8}"/>
    <cellStyle name="_EVA.Freight Cost Buget FY2007_P&amp;L Variance analysis" xfId="1827" xr:uid="{AA209836-EC91-4526-A139-14F973D66644}"/>
    <cellStyle name="_FC#3" xfId="1828" xr:uid="{FFA8A09C-CD37-4699-AE9D-118CEB65E066}"/>
    <cellStyle name="_FC#3 081016" xfId="1829" xr:uid="{9D4F42B3-02C6-49F2-9AA9-E759478D797F}"/>
    <cellStyle name="_FC#3 081016 2" xfId="1830" xr:uid="{C48719A8-94DC-4D34-B251-1D8305782160}"/>
    <cellStyle name="_FC#3 081016 2 2" xfId="25694" xr:uid="{06EBE361-9140-4983-A5AA-DC3DFA8A7226}"/>
    <cellStyle name="_FC#3 2" xfId="1831" xr:uid="{3049BC37-A417-408C-BFA0-07A05D8C63D4}"/>
    <cellStyle name="_FC#3 2 2" xfId="25695" xr:uid="{966C5744-87E7-44A9-8860-3E551C17A22A}"/>
    <cellStyle name="_FC#3-FOB 081017 final" xfId="1832" xr:uid="{D67944A5-7339-4C91-BB83-A58E7D630120}"/>
    <cellStyle name="_FC#3-FOB 081017 final 2" xfId="1833" xr:uid="{C78C2BC0-F873-44BC-A380-B922E1B260F6}"/>
    <cellStyle name="_FC#3-FOB 081017 final 2 2" xfId="25696" xr:uid="{BB371D17-0F31-4302-88E2-010E5D23D75C}"/>
    <cellStyle name="_FC#5+7" xfId="1834" xr:uid="{A55CABD0-11C4-4C8D-805C-2C0BD0792E6D}"/>
    <cellStyle name="_FCF NMIPL Reply No.2 with revised om on 01.04.2011_BP11 FCF Car Flow - RNAIPL and NMIPL as on April 12th (2)" xfId="1835" xr:uid="{903DA5EF-05CA-44FC-A67A-3D6B31B01FB3}"/>
    <cellStyle name="_FCF_FY12 BUD Simulation Excel PKG for Auto_v2" xfId="1836" xr:uid="{5B1F6ED9-2E20-4FFD-873D-8887471E9B09}"/>
    <cellStyle name="_FCF_FY12 BUD Simulation Excel PKG for Auto_v2 2" xfId="1837" xr:uid="{E53DC961-8118-476D-8642-F272C2F2336C}"/>
    <cellStyle name="_FCF_FY12 BUD Simulation Excel PKG for Auto_v2 2 2" xfId="1838" xr:uid="{349B3707-E32B-44CD-AF70-9A1B60C3FDAE}"/>
    <cellStyle name="_FCF_FY12 BUD Simulation Excel PKG for Auto_v2 2 2 2" xfId="25697" xr:uid="{610EFD0B-E45B-4E31-815C-BD342BBE0993}"/>
    <cellStyle name="_FCF_FY12 BUD Simulation Excel PKG for Auto_v2 3" xfId="1839" xr:uid="{629B5AB1-2D24-4F15-8332-C8363BDC04F8}"/>
    <cellStyle name="_FCF_FY12 BUD Simulation Excel PKG for Auto_v2 3 2" xfId="1840" xr:uid="{7A844B25-054B-4EFE-84DA-0DC0EF280178}"/>
    <cellStyle name="_Feb, 2006-Combined" xfId="1841" xr:uid="{0B1D54F2-EB4B-4AFD-AD42-433EDD13A072}"/>
    <cellStyle name="_final --07 3rd reply all 061128" xfId="1842" xr:uid="{36A35DCD-2FD1-4241-AABF-2A188712CA7F}"/>
    <cellStyle name="_Flash December Results - FY10 Financial Flash" xfId="1843" xr:uid="{B855BE78-76AE-44D2-912B-1153D33070D9}"/>
    <cellStyle name="_FOB parts-list _from NCIC(final)080312" xfId="1844" xr:uid="{3921C312-8AAD-4683-815B-70E8F8178257}"/>
    <cellStyle name="_Forcast revenue" xfId="1845" xr:uid="{6C7C6453-1AC6-4919-A7BB-FB53C4E5879B}"/>
    <cellStyle name="_FS多返空" xfId="1846" xr:uid="{1C6C10A5-59BB-4441-9998-297FB8AB0208}"/>
    <cellStyle name="_FS多返空 2" xfId="1847" xr:uid="{6ED2123F-CC33-44F9-9833-6D076C0DC99D}"/>
    <cellStyle name="_FS多返空 2 2" xfId="25698" xr:uid="{3F03F5CF-55C5-4B84-B313-A3D0DCF638AB}"/>
    <cellStyle name="_FS多返空_货量统计日通" xfId="1848" xr:uid="{9FBAFFAB-4533-40E7-A98B-5CD573C809D5}"/>
    <cellStyle name="_FS多返空_货量统计日通 2" xfId="1849" xr:uid="{B900A860-92A9-475E-B97A-764D3A049AE3}"/>
    <cellStyle name="_FS多返空_货量统计日通 2 2" xfId="25699" xr:uid="{20C06C32-9FC9-446C-A522-8824956B3415}"/>
    <cellStyle name="_FX rate assumptions for FY11 Profit simulation" xfId="1850" xr:uid="{AD623B64-ADAE-4607-9FD4-01CCE7DFA876}"/>
    <cellStyle name="_FX rate assumptions for FY11 Profit simulation (2)" xfId="1851" xr:uid="{6A2F5329-9F47-44A0-A7E9-E883559C1273}"/>
    <cellStyle name="_FX rate assumptions for FY11 Profit simulation 2" xfId="1852" xr:uid="{EF86FEE7-DD11-4223-8835-39ABB617DA7C}"/>
    <cellStyle name="_FX Rates" xfId="1853" xr:uid="{686D002F-29BB-44F4-B8CA-740D6456C93E}"/>
    <cellStyle name="_FX Rates2006" xfId="1854" xr:uid="{553515D0-64EA-4A50-96DB-DA25775A6043}"/>
    <cellStyle name="_FY07 carry over to FY08-DFL PARTS-1213" xfId="1855" xr:uid="{F424ABE9-61A5-4FE1-BAE0-8445EEF721C4}"/>
    <cellStyle name="_FY07 carry over to FY08-DFL PARTS-1213 2" xfId="1856" xr:uid="{DD702D58-CE06-4AB1-A725-9E321FD85392}"/>
    <cellStyle name="_FY07 carry over to FY08-DFL PARTS-1213 2 2" xfId="1857" xr:uid="{A96DF433-8486-4408-9F66-065255533A98}"/>
    <cellStyle name="_FY07 carry over to FY08-DFL PARTS-1213 2 2 2" xfId="1858" xr:uid="{79AAD68D-3725-48BE-8830-AD4910550DE0}"/>
    <cellStyle name="_FY07 carry over to FY08-DFL PARTS-1213 2 2 2 2" xfId="1859" xr:uid="{495A3F03-0331-44B1-B314-D1778D6804AA}"/>
    <cellStyle name="_FY07 carry over to FY08-DFL PARTS-1213 2 2 2 2 2" xfId="25700" xr:uid="{8DF7CD1B-6133-4AED-AE9C-6921EFBDB56C}"/>
    <cellStyle name="_FY07 carry over to FY08-DFL PARTS-1213 2 2 3" xfId="1860" xr:uid="{11F7CF3E-7B55-4A4D-8B88-F5688AA7902D}"/>
    <cellStyle name="_FY07 carry over to FY08-DFL PARTS-1213 2 2 4" xfId="1861" xr:uid="{D98F7710-0622-4FD5-91E9-FC7B501ED74B}"/>
    <cellStyle name="_FY07 carry over to FY08-DFL PARTS-1213 2 2 4 2" xfId="25701" xr:uid="{1F85FABA-70DD-4A60-BC26-6A6D310DA9C8}"/>
    <cellStyle name="_FY07 carry over to FY08-DFL PARTS-1213 2 3" xfId="1862" xr:uid="{A861A81E-9952-41F8-8FA7-23269E61FFD9}"/>
    <cellStyle name="_FY07 carry over to FY08-DFL PARTS-1213 2 3 2" xfId="25702" xr:uid="{F53D92C6-834D-482C-B0FB-E8E9C1A81B03}"/>
    <cellStyle name="_FY07 carry over to FY08-DFL PARTS-1213 2_FY13 Budget Simulation Excel PKG for Auto by company" xfId="1863" xr:uid="{5769F256-67BD-4C9C-A07C-C27074F0784B}"/>
    <cellStyle name="_FY07 carry over to FY08-DFL PARTS-1213 3" xfId="1864" xr:uid="{66DC4682-FD56-4151-9F8B-03AB3E695D53}"/>
    <cellStyle name="_FY07 carry over to FY08-DFL PARTS-1213 4" xfId="1865" xr:uid="{414023E0-2C06-442C-846C-9ADD8F7352FD}"/>
    <cellStyle name="_FY07 carry over to FY08-DFL PARTS-1213 4 2" xfId="25703" xr:uid="{ED234B99-0E54-427F-B562-EB4D9E198587}"/>
    <cellStyle name="_FY07 carry over to FY08-DFL PARTS-1213_DFL FY13 Simulation Data version 1010-2(A7C)" xfId="1866" xr:uid="{5498678F-FEB3-4D27-84E3-1F869F4BECF1}"/>
    <cellStyle name="_FY07 carry over to FY08-DFL PARTS-1213_DFL FY13 Simulation Data version 1010-2(A7C) 2" xfId="1867" xr:uid="{58C01829-9D95-4F67-B86A-9C69086C30F5}"/>
    <cellStyle name="_FY07 carry over to FY08-DFL PARTS-1213_DFL FY13 Simulation Data version 1010-2(A7C) 2 2" xfId="1868" xr:uid="{1AD2453F-FD25-4B83-B032-FDE8471679A0}"/>
    <cellStyle name="_FY07 carry over to FY08-DFL PARTS-1213_DFL FY13 Simulation Data version 1010-2(A7C) 2 2 2" xfId="1869" xr:uid="{F2533383-5034-4486-9D6B-ADDC249A755C}"/>
    <cellStyle name="_FY07 carry over to FY08-DFL PARTS-1213_DFL FY13 Simulation Data version 1010-2(A7C) 2 2 2 2" xfId="25704" xr:uid="{0D0FD2EE-D99C-4ED7-AAC2-8FCC9056F9DA}"/>
    <cellStyle name="_FY07 carry over to FY08-DFL PARTS-1213_DFL FY13 Simulation Data version 1010-2(A7C) 2 3" xfId="1870" xr:uid="{7157159F-4964-4FA8-B8DD-B4028651CF12}"/>
    <cellStyle name="_FY07 carry over to FY08-DFL PARTS-1213_DFL FY13 Simulation Data version 1010-2(A7C) 2 4" xfId="1871" xr:uid="{0EC7AD62-D08E-404B-9345-EED2F810E963}"/>
    <cellStyle name="_FY07 carry over to FY08-DFL PARTS-1213_DFL FY13 Simulation Data version 1010-2(A7C) 2 4 2" xfId="25705" xr:uid="{E2D81C1D-5E4A-4D93-81B8-11A956D1101D}"/>
    <cellStyle name="_FY07 carry over to FY08-DFL PARTS-1213_DFL FY13 Simulation Data version 1010-2(A7C) 3" xfId="1872" xr:uid="{2EB00DCA-7178-43EF-84D0-8AA8EFB68CDC}"/>
    <cellStyle name="_FY07 carry over to FY08-DFL PARTS-1213_DFL FY13 Simulation Data version 1010-2(A7C) 3 2" xfId="25706" xr:uid="{01FDC408-B0EB-4C3B-954D-6ABF2E8D1392}"/>
    <cellStyle name="_FY07 carry over to FY08-DFL PARTS-1213_DFL FY13 Simulation Data version 1010-2(A7C)_FY13 Budget Simulation Excel PKG for Auto by company" xfId="1873" xr:uid="{441B2CB1-255A-47FB-ADB8-C64FF0EB38C1}"/>
    <cellStyle name="_FY07 carry over to FY08-DFL PARTS-1213_FY13 Budget Simulation Excel PKG for Auto by company" xfId="1874" xr:uid="{5A187639-BC17-4DC6-AE55-585CD654149A}"/>
    <cellStyle name="_FY08 CSP usage" xfId="1875" xr:uid="{043F3C8B-A711-4169-B2D0-085B4F7BCAD1}"/>
    <cellStyle name="_FY08 Fcst#2 FX Exposure Excel PKG" xfId="1876" xr:uid="{B84E8C05-E4E7-485A-A3E7-B2A4B315CC7D}"/>
    <cellStyle name="_FY08 Fcst#2 FX Exposure Excel PKG_2010 Reply 3 PXP Report v2 0 DISTv2 (2)" xfId="1877" xr:uid="{F8797CEB-590D-49DB-8D0C-8AE7E6638011}"/>
    <cellStyle name="_FY08 FOR#2 Excel PKG PL" xfId="1878" xr:uid="{6377B608-DDA5-4A03-9C8B-BFC31963CC61}"/>
    <cellStyle name="_FY08 R#2 (agi edit)" xfId="1879" xr:uid="{984AFD6C-CB69-49E5-BBED-9A27ECAE1968}"/>
    <cellStyle name="_FY08 Steel material hike of CSP and in-house(modified) -20071106" xfId="1880" xr:uid="{1D81E2D6-CF3B-44CE-B52F-3B0280943377}"/>
    <cellStyle name="_FY09BP(6.5v)-IS-080725-LCC" xfId="1881" xr:uid="{42C01B94-3F73-400B-8CE5-AED835A39BAD}"/>
    <cellStyle name="_FY09-IS-BudgetSimulation080715-LCC" xfId="1882" xr:uid="{9F54354F-20B4-4420-BD05-8C7A4097C0F0}"/>
    <cellStyle name="_FY09-IS-BudgetSimulation081006-LCC" xfId="1883" xr:uid="{8BB0B4FF-6EB4-40FA-B505-758A5970C096}"/>
    <cellStyle name="_FY10 FC#2 Pricing Analysis to Central" xfId="1884" xr:uid="{D1F12768-BFA4-4C3C-A689-F49A25EA3836}"/>
    <cellStyle name="_FY10 FC#2 Pricing Analysis to Central 2" xfId="1885" xr:uid="{5F85A04A-F61D-45CC-AE4C-5D221BB8D46D}"/>
    <cellStyle name="_FY10 Fcst#2 FX rates (Aug  27）" xfId="1886" xr:uid="{886EE883-F173-4C74-871A-D2B5F7FA6872}"/>
    <cellStyle name="_FY10 Fcst#2 FX rates (Aug  27） 2" xfId="1887" xr:uid="{6F4EAC51-C439-4BD4-9C6E-4D5A43B8D1BB}"/>
    <cellStyle name="_FY10 Fcst#2 FX rates (Aug. 27）" xfId="1888" xr:uid="{77A353E5-1983-4487-B022-F7D98C4C21DA}"/>
    <cellStyle name="_FY10 Fcst#2 FX rates (Aug. 27） 2" xfId="1889" xr:uid="{15D565CD-FA09-483C-A830-A84CC364E471}"/>
    <cellStyle name="_FY10 Fcst#3 FX rate_11 9 " xfId="1890" xr:uid="{82227349-3873-470A-BC77-D1ACDB84023E}"/>
    <cellStyle name="_FY10 Fcst#3 FX rate_11 9  2" xfId="1891" xr:uid="{A0EADC0F-810F-4F89-89C6-97B17B67A808}"/>
    <cellStyle name="_FY10 Fcst#3 FX rate_11 9  2 2" xfId="1892" xr:uid="{1F2ABB8B-C05D-4D9A-902C-E6A691292732}"/>
    <cellStyle name="_FY10 Fcst#3 FX rate_11 9  2 2 2" xfId="25707" xr:uid="{224C9B59-B837-41EA-9433-0A82A0DB1240}"/>
    <cellStyle name="_FY10 Fcst#3 FX rate_11.5" xfId="1893" xr:uid="{08B968F1-AFA0-4D29-B766-99A670409BF2}"/>
    <cellStyle name="_FY10 Fcst#3 FX rate_11.5 2" xfId="1894" xr:uid="{EE3AB1EC-3F42-4E12-BBCA-5B4853399A61}"/>
    <cellStyle name="_FY11 Budget FX Rates Assumptions" xfId="1895" xr:uid="{72BB6F7B-6F97-4565-B783-5F851C59846D}"/>
    <cellStyle name="_FY11 Budget FX Rates Assumptions 2" xfId="1896" xr:uid="{22AC01BF-6CA1-4ACD-B84B-251FAA63BCF7}"/>
    <cellStyle name="_FY11 Budget reply#1 PKG File  (RM  RD)" xfId="1897" xr:uid="{0F1FF20A-C6E1-48AC-BD60-4B0B8EEB81BA}"/>
    <cellStyle name="_FY11 Budget Simulation(Guide展開用） " xfId="1898" xr:uid="{E842B74B-D68F-4E27-AEC6-AA9A9C2AC02C}"/>
    <cellStyle name="_FY11 Forecast #1 FX Rates Assumptions v4" xfId="1899" xr:uid="{A251E170-6C29-4FD2-8B18-2CA33C257D38}"/>
    <cellStyle name="_FY11 Forecast #1 FX Rates Assumptions v4 2" xfId="1900" xr:uid="{FC09D528-AB06-403B-8736-2FFEAAA85751}"/>
    <cellStyle name="_FY11 Forecast#2 FX Rates Assumptions_RUBCHFupdate" xfId="1901" xr:uid="{0D36BCFC-81CE-47A6-B53D-0F5DF71107A7}"/>
    <cellStyle name="_FY11 Forecast#2 FX Rates Assumptions_RUBCHFupdate 2" xfId="1902" xr:uid="{7B33AF94-BCFB-4FB8-980B-1647CC8F7ABA}"/>
    <cellStyle name="_FY11 Forecast#2 FX Rates Assumptions_RUBCHFupdate 2 2" xfId="25708" xr:uid="{2AE5C5C6-4F96-4FC3-A7B4-C107C479FE14}"/>
    <cellStyle name="_FY11 NML K13" xfId="1903" xr:uid="{7F8D2F46-9D8D-48F9-ADA2-C5F14D63D285}"/>
    <cellStyle name="_FY11 Reply#1 RM" xfId="1904" xr:uid="{81D83B46-F4EF-47BE-8A97-ECA57356CBF3}"/>
    <cellStyle name="_FY12 BP_Simulation information PKG_R" xfId="1905" xr:uid="{B2EA4A73-5867-4E6D-A50B-9925813D32D6}"/>
    <cellStyle name="_FY12 Budget simulation FX Rates Assumptions" xfId="1906" xr:uid="{6107A0F4-121F-4ADD-9F63-7E81EB0423D9}"/>
    <cellStyle name="_FY12 Budget simulation FX Rates Assumptions 2" xfId="1907" xr:uid="{DE3401A4-8508-4579-898C-8284775F1812}"/>
    <cellStyle name="_FY12 Budget simulation FX Rates Assumptions 2 2" xfId="1908" xr:uid="{8FA84289-F87A-4E13-9599-EDB8F67B2238}"/>
    <cellStyle name="_FY12 Budget simulation FX Rates Assumptions 2 2 2" xfId="25709" xr:uid="{AB9C9419-68D7-421C-8398-442172B06FA1}"/>
    <cellStyle name="_FY12 DFL PV analysis" xfId="1909" xr:uid="{81F663A8-2A27-4957-8747-6D3F4FDD9D3F}"/>
    <cellStyle name="_FY12 S00 Digital Decision Number" xfId="1910" xr:uid="{A3273F47-2D40-4E36-A676-42A860C9A7A0}"/>
    <cellStyle name="_FY12 VS FOR#2" xfId="1911" xr:uid="{7091E84F-BC72-4B1B-A2A4-238CE77D2E1B}"/>
    <cellStyle name="_GA1" xfId="1912" xr:uid="{93BD1BB3-C4C3-47A3-92ED-85F862CBB9C7}"/>
    <cellStyle name="_GA1_(for confirmation to Regin team) FX impact (Simu vs Updated) by MC" xfId="1913" xr:uid="{EFB71E73-F119-412B-AFF6-F47353190527}"/>
    <cellStyle name="_GA1_【0207】BP_reply_Outside profit_Price List_R" xfId="1914" xr:uid="{DD6258D9-4775-4CD6-84F8-1FBB9DE7D5B7}"/>
    <cellStyle name="_GA1_08 budget 071018" xfId="1915" xr:uid="{DB476F92-C3C7-4847-91B3-7F38C8AF3CDA}"/>
    <cellStyle name="_GA1_0902見直し" xfId="1916" xr:uid="{C0212163-BCDC-4B83-B7AB-C99626EAFAE8}"/>
    <cellStyle name="_GA1_09budget 081022" xfId="1917" xr:uid="{25EB7AB3-02F0-446F-AD1D-C86F5A1B66EE}"/>
    <cellStyle name="_GA1_2008年PDI预算 (销售部0)" xfId="1918" xr:uid="{D3020209-7665-4BEB-AEEC-68237070316D}"/>
    <cellStyle name="_GA1_2009_TDC_MonthlyActual" xfId="1919" xr:uid="{7FC0EEC7-B3B3-4462-A2BE-55FA961CEFD4}"/>
    <cellStyle name="_GA1_2009年VME車種別(20100303)" xfId="1920" xr:uid="{20331F08-F5BF-40DE-A2C7-34553CB61D17}"/>
    <cellStyle name="_GA1_CY09 material risk compare-0615-16 LP" xfId="1921" xr:uid="{2C11DB68-6768-4228-8D8D-BA9C2751D0F0}"/>
    <cellStyle name="_GA1_ＣＹ10予算見直し後(600K モデル別)" xfId="1922" xr:uid="{BBEA32FA-1154-4712-8509-B6ECF521F62E}"/>
    <cellStyle name="_GA1_FCF_FY12 BUD Simulation Excel PKG for Auto_v2" xfId="1923" xr:uid="{57267C71-66ED-4BF3-8763-7527FA07D931}"/>
    <cellStyle name="_GA1_FY09 material forecast5+7 0616 for financial report" xfId="1924" xr:uid="{2F3AF562-BE5B-4D1C-8EF5-B5807E327E93}"/>
    <cellStyle name="_GA1_FY11 Reply#1_FY11 3X9" xfId="1925" xr:uid="{B7FF241D-047C-4EDB-A609-3E0784420FF2}"/>
    <cellStyle name="_GA1_FY12 BP_Simulation information PKG_R" xfId="1926" xr:uid="{345DA14C-7449-4E9D-8A96-CC6F8D8C6A91}"/>
    <cellStyle name="_GA1_J11J MC+Elongation(松）" xfId="1927" xr:uid="{B9EB39F0-07DC-4A94-B4D0-FA0962F0C0AC}"/>
    <cellStyle name="_GA1_KD_PWT_20111128" xfId="1928" xr:uid="{A62EAA33-4F5A-49A4-8F30-EA0318AC71FE}"/>
    <cellStyle name="_GA1_L11K MC TDC 090306 (2)" xfId="1929" xr:uid="{F6D969C9-0F5C-4D9D-A2A2-C7DA823E44F1}"/>
    <cellStyle name="_GA1_L42F TDC KKJ SOP 2010 Dec (090929) with MC (2)" xfId="1930" xr:uid="{CBA11E46-A19F-487D-B288-78B452C6A7C8}"/>
    <cellStyle name="_GA1_N11J MC+Elongation(松）" xfId="1931" xr:uid="{B67D9532-A442-4033-892E-6AA8565848D0}"/>
    <cellStyle name="_GA1_NMEF_Accessory" xfId="1932" xr:uid="{F89B5B19-182F-44C2-AB46-7343BFF677FC}"/>
    <cellStyle name="_GA1_NMT Outside profit Sep" xfId="1933" xr:uid="{670E7D6B-81A5-4561-879E-0A0D39CAC10D}"/>
    <cellStyle name="_GA1_NS_Outside profit change_simulation_1118_volmix" xfId="1934" xr:uid="{1CCEC15F-5909-45C1-B512-387E6C1D4F66}"/>
    <cellStyle name="_GA1_P32E MC TDC with MC (100206)" xfId="1935" xr:uid="{30A5E977-F2CA-4F2A-A863-6633459A9EC1}"/>
    <cellStyle name="_GA1_P32L LCP TDC Case3 (0900221)" xfId="1936" xr:uid="{28260A44-D091-4CF6-8E79-9B0F4853AD51}"/>
    <cellStyle name="_GA1_TDC SUMMARY SHEET for MTP (version 2.1 100526)" xfId="1937" xr:uid="{8F769234-1F27-423D-87D7-5A11BC35CA3C}"/>
    <cellStyle name="_GA1_TDC SUMMARY SHEET for MTP (version 3.0 100526)" xfId="1938" xr:uid="{51122BF9-A3FE-4FB3-85E2-A1C314959F01}"/>
    <cellStyle name="_GA1_Volume Assumption &amp; Current Models" xfId="1939" xr:uid="{FF07805F-A9C8-47CA-9007-79E069411408}"/>
    <cellStyle name="_GA1_コピー ～ 2009年5＋7 售  (47万台）(090619) (予算Ｆｉｎａｌ＆Variable変更　補正版)" xfId="1940" xr:uid="{0264F96C-E17A-4A80-8267-2E0501BCC0D6}"/>
    <cellStyle name="_GAP analysis Feb Jun EC 0707" xfId="1941" xr:uid="{00C9DA49-B875-471D-9ED0-DB362E6F7428}"/>
    <cellStyle name="_Genpact_081103_NCIC-Billing200810明細" xfId="1942" xr:uid="{9C56D293-3186-4587-A006-57FA695AA52D}"/>
    <cellStyle name="_Genpact_piaosan_NCIC Billing detail 20081009" xfId="1943" xr:uid="{1AD5B953-FD0F-4C9B-8975-E469559A8A4E}"/>
    <cellStyle name="_GM-COM田谷作成資料基礎" xfId="1944" xr:uid="{AE9C41C8-23A4-4C2D-9B17-681EEBA65EAF}"/>
    <cellStyle name="_GM-COM田谷作成資料基礎 2" xfId="1945" xr:uid="{7C7982C7-1D5F-4C51-8C3F-E01B29BEB590}"/>
    <cellStyle name="_GM-COM田谷作成資料基礎 2 2" xfId="1946" xr:uid="{05A20255-A6DC-4A72-94E4-8AB28C327C3A}"/>
    <cellStyle name="_GM-COM田谷作成資料基礎 2 2 2" xfId="1947" xr:uid="{C412455B-3EA1-4272-BCCF-51E5A159902D}"/>
    <cellStyle name="_GM-COM田谷作成資料基礎 2 2 2 2" xfId="25710" xr:uid="{12D56A35-FF0B-4889-A3A1-B06EEF2BC1B5}"/>
    <cellStyle name="_GM-COM田谷作成資料基礎 2 3" xfId="1948" xr:uid="{93804F88-F070-4A17-BF3E-4BC2955319DC}"/>
    <cellStyle name="_GM-COM田谷作成資料基礎 3" xfId="1949" xr:uid="{87CE695B-7347-4692-8519-BE53474D3082}"/>
    <cellStyle name="_GM-COM田谷作成資料基礎 3 2" xfId="1950" xr:uid="{5794BFBF-EFF9-4BE4-B900-A092487C4838}"/>
    <cellStyle name="_GM-COM田谷作成資料基礎 4" xfId="1951" xr:uid="{0447EC8C-0C29-4F1B-BFDD-EABF94DA436B}"/>
    <cellStyle name="_GM-COM田谷作成資料基礎 4 2" xfId="1952" xr:uid="{34AD086D-3A2B-4058-9969-A09CD7A413D7}"/>
    <cellStyle name="_GM-COM田谷作成資料基礎 4 2 2" xfId="25711" xr:uid="{8495CE0B-82FF-42E9-8AEE-4D90DD1A888F}"/>
    <cellStyle name="_Green" xfId="1953" xr:uid="{71C0DF00-1A54-4BFE-8069-331A128E484F}"/>
    <cellStyle name="_Green_08 Reply#2Update Deck" xfId="1954" xr:uid="{347DB155-C222-4408-B054-0F6EEA108516}"/>
    <cellStyle name="_Green_08 Reply#2Update Deck 2" xfId="1955" xr:uid="{884937B0-1B7F-4E4C-A803-A3A11CF80296}"/>
    <cellStyle name="_Green_08 Reply#2Update Deck_Book2" xfId="1956" xr:uid="{3F8CD1FB-9E0D-4B1B-9AB9-F40EF0798CF9}"/>
    <cellStyle name="_Green_08 Reply#2Update Deck_NI_Forecast_020110" xfId="1957" xr:uid="{CB6898F4-6DE5-4B1A-9C81-3A8F164007E4}"/>
    <cellStyle name="_Green_08 Reply#2Update Deck_NI_Forecast_112409" xfId="1958" xr:uid="{EF26D19C-378D-482A-9DDD-7B4E9B4344E5}"/>
    <cellStyle name="_Green_08 Reply#2Update Deck_NI_Forecast_112409_2010 Reply 3 PXP Report v2 0 DISTv2 (2)" xfId="1959" xr:uid="{DC128F11-C531-4CE5-958B-126AB0E664A0}"/>
    <cellStyle name="_Green_08 Reply#2Update Deck_NI_Forecast_112409_2010 Reply3b PXP Report v2 0 DISTv1" xfId="1960" xr:uid="{7CF94BCD-E83F-4FC6-BCC0-E0757AE688CC}"/>
    <cellStyle name="_Green_08 Reply#2Update Deck_NI_Forecast_FY10_120110" xfId="1961" xr:uid="{1FD83ED5-4AF1-4DB2-8CE4-2E2C7E07F5FD}"/>
    <cellStyle name="_Green_08 Reply#2Update Deck_NMEX - BP09 R#2b back up Final (Jan 27)26 " xfId="1962" xr:uid="{521BB43E-5D09-448E-9BB9-E1F8AFAD167F}"/>
    <cellStyle name="_Green_08 Reply#2Update Deck_NMEX -BP09 R#2b " xfId="1963" xr:uid="{8703A038-68CB-48B8-BDB8-CCDE4EF9C833}"/>
    <cellStyle name="_Green_08 Reply#2Update Deck_NMEX Financial Review Aug,05" xfId="1964" xr:uid="{01859DBA-BD55-49B0-951B-EA34DFDB0C7F}"/>
    <cellStyle name="_Green_08 Reply#2Update Deck_NMEX Financial Review Oct" xfId="1965" xr:uid="{969BB372-E8C5-467B-8AA7-B7FB72AD42BA}"/>
    <cellStyle name="_Green_08 Reply#2Update Deck_NMEX Financial Review Sep" xfId="1966" xr:uid="{00961A8B-BDA9-4687-AEDD-6AF2C58FB95D}"/>
    <cellStyle name="_Green_08 Reply#2Update Deck_NMEX_Variance Analysis_Aug___" xfId="1967" xr:uid="{2F4FECE2-82EF-4CE4-855E-CE0C635FB6C3}"/>
    <cellStyle name="_Green_08 Reply#2Update Deck_NRFM NML Video v2" xfId="1968" xr:uid="{F1E4479C-D961-43CD-93F2-22BAF062FA22}"/>
    <cellStyle name="_Green_08 Reply#2Update Deck_Tax Expense FY10 7x5 to FPA 113010" xfId="1969" xr:uid="{3A61E9D3-36A8-45A5-BCFD-C1C1A0909CED}"/>
    <cellStyle name="_Green_08 Reply#2Update Deck_video deck" xfId="1970" xr:uid="{B9F0EB2E-8A80-4328-9F9F-6AF586048664}"/>
    <cellStyle name="_Green_1SALPEN" xfId="1971" xr:uid="{626B2F07-197D-471E-BA81-2242D171C924}"/>
    <cellStyle name="_Green_1SALPEN_08 Reply#2Update Deck" xfId="1972" xr:uid="{12E19502-0F2D-4363-93E8-C773CBA02B77}"/>
    <cellStyle name="_Green_1SALPEN_08 Reply#2Update Deck 2" xfId="1973" xr:uid="{04CF0C13-259F-4A7B-9DC2-EC5151A7CB9F}"/>
    <cellStyle name="_Green_1SALPEN_08 Reply#2Update Deck_Book2" xfId="1974" xr:uid="{D12B1641-4609-4A63-8808-8D4E7645E29B}"/>
    <cellStyle name="_Green_1SALPEN_08 Reply#2Update Deck_NI_Forecast_020110" xfId="1975" xr:uid="{BAAFC7DE-CD1B-4DA5-B37C-DD6500551DF0}"/>
    <cellStyle name="_Green_1SALPEN_08 Reply#2Update Deck_NI_Forecast_112409" xfId="1976" xr:uid="{47A2971E-D240-42F1-90B3-960E0C1E9A5B}"/>
    <cellStyle name="_Green_1SALPEN_08 Reply#2Update Deck_NI_Forecast_112409_2010 Reply 3 PXP Report v2 0 DISTv2 (2)" xfId="1977" xr:uid="{0273A5F6-2F29-4005-A318-33139C80F8A0}"/>
    <cellStyle name="_Green_1SALPEN_08 Reply#2Update Deck_NI_Forecast_112409_2010 Reply3b PXP Report v2 0 DISTv1" xfId="1978" xr:uid="{7DCE7DA6-0646-42FE-A1ED-345F638A9496}"/>
    <cellStyle name="_Green_1SALPEN_08 Reply#2Update Deck_NI_Forecast_FY10_120110" xfId="1979" xr:uid="{E3AEEB82-593A-4979-9541-F1FAC1A7BBC8}"/>
    <cellStyle name="_Green_1SALPEN_08 Reply#2Update Deck_NMEX - BP09 R#2b back up Final (Jan 27)26 " xfId="1980" xr:uid="{17401ECE-AE90-4F96-A046-9D46A35C1F8D}"/>
    <cellStyle name="_Green_1SALPEN_08 Reply#2Update Deck_NMEX -BP09 R#2b " xfId="1981" xr:uid="{DC632880-374B-4F3F-8404-03A7BF426616}"/>
    <cellStyle name="_Green_1SALPEN_08 Reply#2Update Deck_NMEX Financial Review Aug,05" xfId="1982" xr:uid="{94792836-378F-4394-9E2A-F2353A19E142}"/>
    <cellStyle name="_Green_1SALPEN_08 Reply#2Update Deck_NMEX Financial Review Oct" xfId="1983" xr:uid="{CBCC3E79-73EF-45CD-B763-5F5DB30AA315}"/>
    <cellStyle name="_Green_1SALPEN_08 Reply#2Update Deck_NMEX Financial Review Sep" xfId="1984" xr:uid="{E41CEE6A-AD15-45EF-ACC4-22A744A29FF1}"/>
    <cellStyle name="_Green_1SALPEN_08 Reply#2Update Deck_NMEX_Variance Analysis_Aug___" xfId="1985" xr:uid="{6B47A1E4-327B-4910-ADF4-973AAB94C6A4}"/>
    <cellStyle name="_Green_1SALPEN_08 Reply#2Update Deck_NRFM NML Video v2" xfId="1986" xr:uid="{BED45FE2-41F5-493F-B5A0-CB38D77D8390}"/>
    <cellStyle name="_Green_1SALPEN_08 Reply#2Update Deck_Tax Expense FY10 7x5 to FPA 113010" xfId="1987" xr:uid="{28E31DE8-D676-4272-B570-58EB69E96E4C}"/>
    <cellStyle name="_Green_1SALPEN_08 Reply#2Update Deck_video deck" xfId="1988" xr:uid="{120AC968-0043-44A5-9F51-23E44B849427}"/>
    <cellStyle name="_Green_1SALPEN_Book2" xfId="1989" xr:uid="{4E86A3D5-FE33-448F-AD8E-EE9B81B11A20}"/>
    <cellStyle name="_Green_1SALPEN_Book2_NMEX - Fcst #2 (5+7) Financial analysis" xfId="1990" xr:uid="{CE8DDDF0-A5A0-4D78-8D43-A764B846E6CD}"/>
    <cellStyle name="_Green_1SALPEN_Consol P&amp;L Full YR Reply 1" xfId="1991" xr:uid="{39E4E433-B593-494C-9D31-D61779F76EE7}"/>
    <cellStyle name="_Green_1SALPEN_Division Walk Template" xfId="1992" xr:uid="{D95FA151-4FF7-4EED-BA1F-299AA9416D5C}"/>
    <cellStyle name="_Green_1SALPEN_Division Walk Template 2" xfId="1993" xr:uid="{A913E2DC-D37B-4AEF-A5E5-850E9B4B8F9F}"/>
    <cellStyle name="_Green_1SALPEN_Feb_NML_Video 2" xfId="1994" xr:uid="{B586F538-7648-48EB-AB97-F32BF6D385AF}"/>
    <cellStyle name="_Green_1SALPEN_FY08 Retail Volume April Report 090409" xfId="1995" xr:uid="{4DBF66D9-6CFF-4BFB-A317-B2B3AF93C512}"/>
    <cellStyle name="_Green_1SALPEN_FY09 CNTRL Outlook June-Latest0619-Final Retail" xfId="1996" xr:uid="{4739DEBD-230F-49A2-BA95-AA04892AC982}"/>
    <cellStyle name="_Green_1SALPEN_FY09 Fcst #3_TIV_MS_Volume-Dec11" xfId="1997" xr:uid="{28C7BA84-D020-48E5-B4A7-36610789F62D}"/>
    <cellStyle name="_Green_1SALPEN_FY09 Landing Scenarios" xfId="1998" xr:uid="{4B4EB71A-75CF-4F8A-B740-A13596ED322C}"/>
    <cellStyle name="_Green_1SALPEN_FY09 Landing Scenarios_Flash Volume Summary-PER01-rv1" xfId="1999" xr:uid="{2143CFF5-92EB-43BF-A835-4B189B3E8BC8}"/>
    <cellStyle name="_Green_1SALPEN_FY09 Landing Scenarios_Flash Volume Summary-PER02" xfId="2000" xr:uid="{D474CC25-69B0-43D0-ACDB-77D29099FE8A}"/>
    <cellStyle name="_Green_1SALPEN_FY09 Landing Scenarios_Flash Volume Summary-PER04" xfId="2001" xr:uid="{DEC36C08-902F-4188-B45F-8CED43B3FF7E}"/>
    <cellStyle name="_Green_1SALPEN_FY09 Landing Scenarios_Flash Volume Summary-PER0自分用2" xfId="2002" xr:uid="{73B3C759-3809-42FD-9E1A-C209C7806703}"/>
    <cellStyle name="_Green_1SALPEN_FY09 Landing Scenarios_Flash Volume Summary-PER10" xfId="2003" xr:uid="{53B907BD-32BE-41CF-A799-9C934574AFF3}"/>
    <cellStyle name="_Green_1SALPEN_FY09 Landing Scenarios_Flash Volume Summary-PER10 for Central" xfId="2004" xr:uid="{05C2A178-074E-44B6-A019-4A17C75E02FF}"/>
    <cellStyle name="_Green_1SALPEN_FY09 Retail Volume May Report 090513" xfId="2005" xr:uid="{FE365A48-3BD4-4AF5-AEAE-7B8A07200796}"/>
    <cellStyle name="_Green_1SALPEN_FY09 Retail Volume May Report 090513_Flash Volume Summary-PER01-rv1" xfId="2006" xr:uid="{0D9FEA7C-FF9C-4261-9886-09DC35C500DB}"/>
    <cellStyle name="_Green_1SALPEN_FY09 Retail Volume May Report 090513_Flash Volume Summary-PER02" xfId="2007" xr:uid="{781719BB-FC3A-4C54-936E-CCD9237B1770}"/>
    <cellStyle name="_Green_1SALPEN_FY09 Retail Volume May Report 090513_Flash Volume Summary-PER04" xfId="2008" xr:uid="{87FDB828-58D1-48B0-8CF7-F9275169D003}"/>
    <cellStyle name="_Green_1SALPEN_FY09 Retail Volume May Report 090513_Flash Volume Summary-PER0自分用2" xfId="2009" xr:uid="{91A8FE76-6552-486F-B139-F3DA7BAC3DCF}"/>
    <cellStyle name="_Green_1SALPEN_FY09 Retail Volume May Report 090513_Flash Volume Summary-PER10" xfId="2010" xr:uid="{A3B2B5FD-26A1-4A5F-915A-1D0D85D5E6AA}"/>
    <cellStyle name="_Green_1SALPEN_FY09 Retail Volume May Report 090513_Flash Volume Summary-PER10 for Central" xfId="2011" xr:uid="{70CFF277-C985-4E64-AFD1-837FF88705E2}"/>
    <cellStyle name="_Green_1SALPEN_FY09 WS Volume Report_April YTD_090527-Monthly Budget Updated" xfId="2012" xr:uid="{50B34F13-3156-4A4C-96D7-C026F6177DA3}"/>
    <cellStyle name="_Green_1SALPEN_FY09Q1 Outlook Volume_Jun22-2" xfId="2013" xr:uid="{DCB31A16-2EC2-4D7A-9423-355B48F5F987}"/>
    <cellStyle name="_Green_1SALPEN_FY09Q1 Outlook Volume_Jun24" xfId="2014" xr:uid="{0CB3AF20-C3AF-4927-BFCD-439A61EC53BC}"/>
    <cellStyle name="_Green_1SALPEN_Infiniti" xfId="2015" xr:uid="{2623CC29-5236-468F-9EB8-029EC976BE63}"/>
    <cellStyle name="_Green_1SALPEN_MC-A Management Commitment Detail Calculation (3)" xfId="2016" xr:uid="{DD0DF27E-341A-4FF4-97B4-C51DE937B903}"/>
    <cellStyle name="_Green_1SALPEN_MC-A Mgmt Commit_Aug" xfId="2017" xr:uid="{46999D7C-1FEF-47B1-9F5A-AFAD00CA07BF}"/>
    <cellStyle name="_Green_1SALPEN_MCA Template" xfId="2018" xr:uid="{6A1BF389-2406-4F41-AD55-A4F6AD124F63}"/>
    <cellStyle name="_Green_1SALPEN_NMEX - Back up StepchartIFRS_Reerencia (2)_NMEX BP09 R#2 Summary of KPI_NMEX -BP09 R#2b v-1 " xfId="2019" xr:uid="{B93F0D46-E811-4D88-819B-F9DA7B27EFA1}"/>
    <cellStyle name="_Green_1SALPEN_NML $524M Walk_NMEX - BP09 R#2b back up Final (Jan 27)26 " xfId="2020" xr:uid="{CB3F0CE4-1144-4F28-85FC-D67D57EDCAF0}"/>
    <cellStyle name="_Green_1SALPEN_Oct 20" xfId="2021" xr:uid="{6B9B679F-E5F6-48B7-9500-076D61F03E36}"/>
    <cellStyle name="_Green_1SALPEN_Oct 29" xfId="2022" xr:uid="{2F7ED33D-DE88-435B-9D64-622C50B38500}"/>
    <cellStyle name="_Green_1SALPEN_Variance Walk for NNA FY08 Reply 2" xfId="2023" xr:uid="{7B4C7346-8BE5-444F-87CF-DD7E98306C50}"/>
    <cellStyle name="_Green_1SALPEN_Volume Variance" xfId="2024" xr:uid="{7A2CBD09-E73A-4BB7-A134-BD44E60D89A8}"/>
    <cellStyle name="_Green_1SALPEN_Volume Variance_NMEX - Fcst #2 (5+7) Financial analysis" xfId="2025" xr:uid="{F06A853E-02CC-4D6D-8EBE-971135925730}"/>
    <cellStyle name="_Green_809_Flash_pkg_F" xfId="2026" xr:uid="{97BD2594-B251-42F8-9669-8FD745D2205D}"/>
    <cellStyle name="_Green_810_Flash_pkg_F" xfId="2027" xr:uid="{AA80D2F8-C479-45BE-A326-29B51A8EEE21}"/>
    <cellStyle name="_Green_Book2" xfId="2028" xr:uid="{0EED0A8F-A85F-4CD2-ACE3-3E57AF11A783}"/>
    <cellStyle name="_Green_Book2_NMEX - Fcst #2 (5+7) Financial analysis" xfId="2029" xr:uid="{82A1A5A7-7DED-4CF7-B5F3-9E0C1824BDC0}"/>
    <cellStyle name="_Green_Consol P&amp;L Full YR Reply 1" xfId="2030" xr:uid="{5BA0241A-2806-4A05-8595-C4F32C95623B}"/>
    <cellStyle name="_Green_Division Walk Template" xfId="2031" xr:uid="{6D37DCFA-EAFD-4FB8-B61E-B3A88ADC156B}"/>
    <cellStyle name="_Green_Division Walk Template 2" xfId="2032" xr:uid="{BCB71DF1-A9FE-410F-A622-CA8C3C72A952}"/>
    <cellStyle name="_Green_Feb_NML_Video 2" xfId="2033" xr:uid="{60D029E9-F142-4B82-B00E-6AF3C41E8ECC}"/>
    <cellStyle name="_Green_FY08 Retail Volume April Report 090409" xfId="2034" xr:uid="{36E5EB74-2B0F-4356-BE06-313AD7978417}"/>
    <cellStyle name="_Green_FY09 CNTRL Outlook June-Latest0619-Final Retail" xfId="2035" xr:uid="{65DE3CB8-ED4E-4BA7-A054-47B9F89B4010}"/>
    <cellStyle name="_Green_FY09 Fcst #3_TIV_MS_Volume-Dec11" xfId="2036" xr:uid="{C76D0735-16CC-452E-9A7E-C7F65E0D70BA}"/>
    <cellStyle name="_Green_FY09 Landing Scenarios" xfId="2037" xr:uid="{359BE124-5F9E-450D-BE1E-BB7BDD47AAE6}"/>
    <cellStyle name="_Green_FY09 Landing Scenarios_Flash Volume Summary-PER01-rv1" xfId="2038" xr:uid="{D7824774-660D-4E39-8247-4E0025DDDEEC}"/>
    <cellStyle name="_Green_FY09 Landing Scenarios_Flash Volume Summary-PER02" xfId="2039" xr:uid="{D33E3D7A-18AA-43C5-A7FE-0EBC6C95EC01}"/>
    <cellStyle name="_Green_FY09 Landing Scenarios_Flash Volume Summary-PER04" xfId="2040" xr:uid="{F7B1798A-A557-4873-9517-4C882D16D4E0}"/>
    <cellStyle name="_Green_FY09 Landing Scenarios_Flash Volume Summary-PER0自分用2" xfId="2041" xr:uid="{27E1BA38-87C0-478D-9262-3AC6FF280F52}"/>
    <cellStyle name="_Green_FY09 Landing Scenarios_Flash Volume Summary-PER10" xfId="2042" xr:uid="{F5A1498A-B73D-475F-8E50-876F7B80EBE8}"/>
    <cellStyle name="_Green_FY09 Landing Scenarios_Flash Volume Summary-PER10 for Central" xfId="2043" xr:uid="{231900AE-C6C4-4903-AC3A-C370EA2A1C8E}"/>
    <cellStyle name="_Green_FY09 Retail Volume May Report 090513" xfId="2044" xr:uid="{CA44B28B-8890-4F98-9856-79E80F71C3CD}"/>
    <cellStyle name="_Green_FY09 Retail Volume May Report 090513_Flash Volume Summary-PER01-rv1" xfId="2045" xr:uid="{778823EB-8F91-4726-BC22-21B5FA977C82}"/>
    <cellStyle name="_Green_FY09 Retail Volume May Report 090513_Flash Volume Summary-PER02" xfId="2046" xr:uid="{35B32E63-89EF-4FF2-91B3-558340F11A0A}"/>
    <cellStyle name="_Green_FY09 Retail Volume May Report 090513_Flash Volume Summary-PER04" xfId="2047" xr:uid="{CA00E49F-1268-4088-9553-C3699F2DB752}"/>
    <cellStyle name="_Green_FY09 Retail Volume May Report 090513_Flash Volume Summary-PER0自分用2" xfId="2048" xr:uid="{DBBFEF1C-AD67-4B24-B75E-7221BC80ADE9}"/>
    <cellStyle name="_Green_FY09 Retail Volume May Report 090513_Flash Volume Summary-PER10" xfId="2049" xr:uid="{87C55927-95DA-47F3-AC89-204B853F597C}"/>
    <cellStyle name="_Green_FY09 Retail Volume May Report 090513_Flash Volume Summary-PER10 for Central" xfId="2050" xr:uid="{8DA7FC4B-8275-4F9F-973E-1C6E9B9F2DC7}"/>
    <cellStyle name="_Green_FY09 WS Volume Report_April YTD_090527-Monthly Budget Updated" xfId="2051" xr:uid="{3B849195-CDFF-42EF-98BC-995BE36C3AFC}"/>
    <cellStyle name="_Green_FY09Q1 Outlook Volume_Jun22-2" xfId="2052" xr:uid="{B812BAE6-AA4B-4BD9-85C1-38B02D3F6782}"/>
    <cellStyle name="_Green_FY09Q1 Outlook Volume_Jun24" xfId="2053" xr:uid="{CB7EF97E-9FD6-4553-BD14-EA843958F807}"/>
    <cellStyle name="_Green_Infiniti" xfId="2054" xr:uid="{16B451A7-50B9-40BD-AA4D-8D5E1D6EB71E}"/>
    <cellStyle name="_Green_MC-A Management Commitment Detail Calculation (3)" xfId="2055" xr:uid="{00F52B8B-3BC5-4CE0-B9DD-A44B3FED534C}"/>
    <cellStyle name="_Green_MC-A Mgmt Commit_Aug" xfId="2056" xr:uid="{2F35DC62-3A07-430E-9E45-B9A4BFBEE07A}"/>
    <cellStyle name="_Green_MCA Template" xfId="2057" xr:uid="{ADAFB721-8A2D-439F-BE94-47D2F7E65153}"/>
    <cellStyle name="_Green_NMEX - Back up StepchartIFRS_Reerencia (2)_NMEX BP09 R#2 Summary of KPI_NMEX -BP09 R#2b v-1 " xfId="2058" xr:uid="{EA43609A-3658-4E9F-9F18-DD51FB1175CF}"/>
    <cellStyle name="_Green_NML $524M Walk_NMEX - BP09 R#2b back up Final (Jan 27)26 " xfId="2059" xr:uid="{613B8FC7-7F92-4442-BB1A-97A5B0C3BBEF}"/>
    <cellStyle name="_Green_Oct 20" xfId="2060" xr:uid="{A98B20A6-3FDF-4C37-BEE3-7E00FDB06FF1}"/>
    <cellStyle name="_Green_Oct 29" xfId="2061" xr:uid="{1264421F-E372-4975-B59D-861EEB2047B7}"/>
    <cellStyle name="_Green_Variance Walk for NNA FY08 Reply 2" xfId="2062" xr:uid="{B14A4362-C3A8-4B65-B82D-6F6566F3BD9E}"/>
    <cellStyle name="_Green_Volume Variance" xfId="2063" xr:uid="{136D5B17-8624-49B1-9425-8FB4E666EFF3}"/>
    <cellStyle name="_Green_Volume Variance_NMEX - Fcst #2 (5+7) Financial analysis" xfId="2064" xr:uid="{60ED30E7-0249-43F1-AA9B-26A658E8C0DA}"/>
    <cellStyle name="_GZFS损益" xfId="2096" xr:uid="{6081CFB0-AD73-4E71-970B-6D16677AA1B6}"/>
    <cellStyle name="_GZFS损益 2" xfId="2097" xr:uid="{37D461BF-EEC5-4B7D-8E4C-9C5DD3A6210F}"/>
    <cellStyle name="_GZFS损益 2 2" xfId="2098" xr:uid="{C944ABD2-9512-44F1-86AD-9E5DDEA42210}"/>
    <cellStyle name="_GZFS损益 2 2 2" xfId="25723" xr:uid="{218C8683-5AC4-4384-96A8-43DBC087EBF5}"/>
    <cellStyle name="_GZFS益" xfId="2065" xr:uid="{E366C431-4C84-4A59-AD04-1C6EC37572D9}"/>
    <cellStyle name="_GZFS益 2" xfId="2066" xr:uid="{81261424-BE46-4FD4-92EC-A0B4C7DB944D}"/>
    <cellStyle name="_GZFS益 2 2" xfId="2067" xr:uid="{1D98DD04-C2EE-40CE-B11C-6E266D3D8FD8}"/>
    <cellStyle name="_GZFS益 2 2 2" xfId="2068" xr:uid="{1A8ACA0A-0A4D-4590-85A9-28A9B7D28911}"/>
    <cellStyle name="_GZFS益 2 2 2 2" xfId="25712" xr:uid="{4182E1C9-878A-40F9-BD00-130296A39FEE}"/>
    <cellStyle name="_GZFS益 2 3" xfId="2069" xr:uid="{C82DD441-E475-49A7-AF6A-74FFC05F0F95}"/>
    <cellStyle name="_GZFS益 2 3 2" xfId="25713" xr:uid="{6631A060-82C2-4199-95EF-44766A3B4EE7}"/>
    <cellStyle name="_GZFS益 3" xfId="2070" xr:uid="{D83C2B0D-ED61-4C93-B8DF-68706CF19F08}"/>
    <cellStyle name="_GZFS益 3 2" xfId="2071" xr:uid="{8460A3D1-F1B7-47ED-8C1F-09372ED62653}"/>
    <cellStyle name="_GZFS益 3 2 2" xfId="25714" xr:uid="{3697BEDE-2C75-4613-8C78-0C3D003C4CF8}"/>
    <cellStyle name="_GZFS益_'08 budget TDC" xfId="2072" xr:uid="{1E96CB29-D5B2-4EF2-8649-C342E5289773}"/>
    <cellStyle name="_GZFS益_'08 budget TDC 2" xfId="2073" xr:uid="{9FDC3145-DE6A-49BF-9EBE-28FA6274A59C}"/>
    <cellStyle name="_GZFS益_'08 budget TDC 2 2" xfId="2074" xr:uid="{039EE26D-F40F-45EB-A879-EAA68E77A9AD}"/>
    <cellStyle name="_GZFS益_'08 budget TDC 2 2 2" xfId="25715" xr:uid="{7E2556B8-4B71-4E68-A136-9D7725C9248C}"/>
    <cellStyle name="_GZFS益_L11K Impact vs. Budget" xfId="2075" xr:uid="{200A3B2C-6558-4FA9-97B9-969F6FC43247}"/>
    <cellStyle name="_GZFS益_L11K Impact vs. Budget 2" xfId="2076" xr:uid="{A67B7FF6-2D9C-4871-A85A-C998F1786CF4}"/>
    <cellStyle name="_GZFS益_L11K Impact vs. Budget 2 2" xfId="2077" xr:uid="{5C1B9764-B10D-43C1-964E-9C2BB3193C01}"/>
    <cellStyle name="_GZFS益_L11K Impact vs. Budget 2 2 2" xfId="25716" xr:uid="{FCC3817F-3877-4057-9E17-87B29F69EF1D}"/>
    <cellStyle name="_GZFS益_L11K Impact vs. Budget_L42F_MSRP TP mix k_080520" xfId="2078" xr:uid="{05BC8A5A-F81D-41AB-B899-EEAC9133B900}"/>
    <cellStyle name="_GZFS益_L11K Impact vs. Budget_L42F_MSRP TP mix k_080520 2" xfId="2079" xr:uid="{7961D7D6-2739-4EAA-A1C3-8067334D415E}"/>
    <cellStyle name="_GZFS益_L11K Impact vs. Budget_L42F_MSRP TP mix k_080520 2 2" xfId="2080" xr:uid="{6E902301-0252-46C5-8EE1-3A44C5E3E679}"/>
    <cellStyle name="_GZFS益_L11K Impact vs. Budget_L42F_MSRP TP mix k_080520 2 2 2" xfId="25717" xr:uid="{3DA22E37-1870-4DA7-BE61-5B593CC6AA13}"/>
    <cellStyle name="_GZFS益_L11K Impact vs. Budget_L42F_MSRP TP mix k_080528" xfId="2081" xr:uid="{9A5C3A56-2D86-49B4-9488-DA837A69FB81}"/>
    <cellStyle name="_GZFS益_L11K Impact vs. Budget_L42F_MSRP TP mix k_080528 2" xfId="2082" xr:uid="{FEFC07D6-23AD-4AA5-8E30-8A68C3A509E3}"/>
    <cellStyle name="_GZFS益_L11K Impact vs. Budget_L42F_MSRP TP mix k_080528 2 2" xfId="2083" xr:uid="{C5852462-EE5A-4174-ADFB-29288B2499F4}"/>
    <cellStyle name="_GZFS益_L11K Impact vs. Budget_L42F_MSRP TP mix k_080528 2 2 2" xfId="25718" xr:uid="{7C22610A-6FBB-4EAE-B7AE-D0439705070C}"/>
    <cellStyle name="_GZFS益_L11K Impact vs. Budget_P32E TDC for Final MPR(080912 31K Base)---from zhangtao" xfId="2084" xr:uid="{6BB08E23-4555-4777-A0AB-748AC21C2424}"/>
    <cellStyle name="_GZFS益_L11K Impact vs. Budget_P32E TDC for Final MPR(080912 31K Base)---from zhangtao 2" xfId="2085" xr:uid="{DC4C5A1A-3A95-4EF3-AEA8-BDAA106E281F}"/>
    <cellStyle name="_GZFS益_L11K Impact vs. Budget_P32E TDC for Final MPR(080912 31K Base)---from zhangtao 2 2" xfId="2086" xr:uid="{6C8AEEF3-39C4-40D6-928B-FEF0D5589244}"/>
    <cellStyle name="_GZFS益_L11K Impact vs. Budget_P32E TDC for Final MPR(080912 31K Base)---from zhangtao 2 2 2" xfId="25719" xr:uid="{F6F8DC48-3DB1-4CA3-B50C-BEA1CB41EDA5}"/>
    <cellStyle name="_GZFS益_L42F_MSRP TP mix k_080520" xfId="2087" xr:uid="{BE938899-F28D-43F1-BD44-D23AFE6D9432}"/>
    <cellStyle name="_GZFS益_L42F_MSRP TP mix k_080520 2" xfId="2088" xr:uid="{D8680101-3379-46B4-94C3-026BCDF05B2B}"/>
    <cellStyle name="_GZFS益_L42F_MSRP TP mix k_080520 2 2" xfId="2089" xr:uid="{6F8E04B5-F959-4890-AFFD-ED55F2379B5C}"/>
    <cellStyle name="_GZFS益_L42F_MSRP TP mix k_080520 2 2 2" xfId="25720" xr:uid="{0C8BDFD6-03D4-48D8-A234-F948499CBB80}"/>
    <cellStyle name="_GZFS益_L42F_MSRP TP mix k_080528" xfId="2090" xr:uid="{A5BE79E4-3101-4375-A6FF-8F07EF6D676F}"/>
    <cellStyle name="_GZFS益_L42F_MSRP TP mix k_080528 2" xfId="2091" xr:uid="{2E3C1336-3844-4371-B507-6DE69DC5FBE0}"/>
    <cellStyle name="_GZFS益_L42F_MSRP TP mix k_080528 2 2" xfId="2092" xr:uid="{4D262BDE-448D-4C59-BE00-1B449A475212}"/>
    <cellStyle name="_GZFS益_L42F_MSRP TP mix k_080528 2 2 2" xfId="25721" xr:uid="{3F5985CB-6E3E-466E-AF35-2AD4C3CECE4C}"/>
    <cellStyle name="_GZFS益_P32E TDC for Final MPR(080912 31K Base)---from zhangtao" xfId="2093" xr:uid="{0B9739B2-82C9-48C2-9AB9-D85E61F73857}"/>
    <cellStyle name="_GZFS益_P32E TDC for Final MPR(080912 31K Base)---from zhangtao 2" xfId="2094" xr:uid="{800EE405-7F03-4818-8867-37E87C20972F}"/>
    <cellStyle name="_GZFS益_P32E TDC for Final MPR(080912 31K Base)---from zhangtao 2 2" xfId="2095" xr:uid="{89631A5C-5729-4AD1-8EE9-8057389A5FFE}"/>
    <cellStyle name="_GZFS益_P32E TDC for Final MPR(080912 31K Base)---from zhangtao 2 2 2" xfId="25722" xr:uid="{5DB9E404-9957-43B7-8CEE-F9C4A14C3577}"/>
    <cellStyle name="_HC2 SNA confirm 180707 rev3" xfId="2099" xr:uid="{4F6A4ACC-5422-408F-A4E2-B5E34EF8F350}"/>
    <cellStyle name="_HC2 SNA confirm 180707 rev3 2" xfId="2100" xr:uid="{0792B518-B7B0-4B04-8DFE-503A54C8228B}"/>
    <cellStyle name="_HC2 SNA confirm 180707 rev3 2 2" xfId="2101" xr:uid="{30C2A1AC-E08B-4487-9F5F-ABCBEB197D87}"/>
    <cellStyle name="_HC2 SNA confirm 180707 rev3 2 2 2" xfId="2102" xr:uid="{F0EC5505-6FDA-4DD3-B97C-BF746C833A5D}"/>
    <cellStyle name="_HC2 SNA confirm 180707 rev3 2 2 2 2" xfId="2103" xr:uid="{FC1B03FC-4084-4F46-BF6F-BDC221E45931}"/>
    <cellStyle name="_HC2 SNA confirm 180707 rev3 2 2 2 2 2" xfId="25724" xr:uid="{3355C79E-094E-4955-8E93-314949CB3F6E}"/>
    <cellStyle name="_HC2 SNA confirm 180707 rev3 2 2 3" xfId="2104" xr:uid="{B6867537-79F0-407B-AA41-3DFFEC68BAFF}"/>
    <cellStyle name="_HC2 SNA confirm 180707 rev3 2 2 4" xfId="2105" xr:uid="{2ED10F62-83B1-4A47-AA17-C9C4B526F76A}"/>
    <cellStyle name="_HC2 SNA confirm 180707 rev3 2 2 4 2" xfId="25725" xr:uid="{125E4671-2999-4BAC-A659-DB65786BB358}"/>
    <cellStyle name="_HC2 SNA confirm 180707 rev3 2 3" xfId="2106" xr:uid="{C09F3D3D-35B3-44F4-8CE1-359A3C97962B}"/>
    <cellStyle name="_HC2 SNA confirm 180707 rev3 2 3 2" xfId="25726" xr:uid="{4E621599-D824-402C-B9E7-BAD11E227818}"/>
    <cellStyle name="_HC2 SNA confirm 180707 rev3 2_FY13 Budget Simulation Excel PKG for Auto by company" xfId="2107" xr:uid="{D9B5DF84-205B-40AE-9B4C-CA543536658C}"/>
    <cellStyle name="_HC2 SNA confirm 180707 rev3 3" xfId="2108" xr:uid="{F534B48F-6E14-43A5-8AE0-99F7E892C5ED}"/>
    <cellStyle name="_HC2 SNA confirm 180707 rev3 4" xfId="2109" xr:uid="{D158990A-0466-439A-87C2-3F75016D0393}"/>
    <cellStyle name="_HC2 SNA confirm 180707 rev3 4 2" xfId="25727" xr:uid="{AB770361-595E-4BC5-BBA3-7882FA04F3BB}"/>
    <cellStyle name="_HC2 SNA confirm 180707 rev3_DFL FY13 Simulation Data version 1010-2(A7C)" xfId="2110" xr:uid="{08C0C4C1-E887-4145-B3F3-D05C6FBAE34C}"/>
    <cellStyle name="_HC2 SNA confirm 180707 rev3_DFL FY13 Simulation Data version 1010-2(A7C) 2" xfId="2111" xr:uid="{912A5342-D88A-44C7-95EB-7A55B4F2506F}"/>
    <cellStyle name="_HC2 SNA confirm 180707 rev3_DFL FY13 Simulation Data version 1010-2(A7C) 2 2" xfId="2112" xr:uid="{49A1659D-0C40-46D1-AAED-A2F580052A07}"/>
    <cellStyle name="_HC2 SNA confirm 180707 rev3_DFL FY13 Simulation Data version 1010-2(A7C) 2 2 2" xfId="2113" xr:uid="{7374F283-EA9D-43A4-9046-806B2C6BF0F3}"/>
    <cellStyle name="_HC2 SNA confirm 180707 rev3_DFL FY13 Simulation Data version 1010-2(A7C) 2 2 2 2" xfId="25728" xr:uid="{6A080981-EEB5-4B46-9D40-C8627095D474}"/>
    <cellStyle name="_HC2 SNA confirm 180707 rev3_DFL FY13 Simulation Data version 1010-2(A7C) 2 3" xfId="2114" xr:uid="{9F55B363-605E-492A-8679-431CE9AEC4D8}"/>
    <cellStyle name="_HC2 SNA confirm 180707 rev3_DFL FY13 Simulation Data version 1010-2(A7C) 2 4" xfId="2115" xr:uid="{1B7DB6AC-4B7E-4FB2-BB5C-E05ED7CE1939}"/>
    <cellStyle name="_HC2 SNA confirm 180707 rev3_DFL FY13 Simulation Data version 1010-2(A7C) 2 4 2" xfId="25729" xr:uid="{AA4952A0-3B07-4AF4-AB59-E9BBEBE9C4D1}"/>
    <cellStyle name="_HC2 SNA confirm 180707 rev3_DFL FY13 Simulation Data version 1010-2(A7C) 3" xfId="2116" xr:uid="{68220B95-916E-4311-8116-AD2E7C261225}"/>
    <cellStyle name="_HC2 SNA confirm 180707 rev3_DFL FY13 Simulation Data version 1010-2(A7C) 3 2" xfId="25730" xr:uid="{0CFDF109-ADC5-4956-B193-3FBE23379B9A}"/>
    <cellStyle name="_HC2 SNA confirm 180707 rev3_DFL FY13 Simulation Data version 1010-2(A7C)_FY13 Budget Simulation Excel PKG for Auto by company" xfId="2117" xr:uid="{25AF775E-73C1-4B52-AF77-0D9229053646}"/>
    <cellStyle name="_HC2 SNA confirm 180707 rev3_FY13 Budget Simulation Excel PKG for Auto by company" xfId="2118" xr:uid="{17254B5B-24F6-4506-A933-49D6C8A73E76}"/>
    <cellStyle name="_HD工厂" xfId="2119" xr:uid="{47ACA895-9526-4FCA-8488-FE98E2DE1735}"/>
    <cellStyle name="_HD工厂_07年职能部门预算" xfId="2120" xr:uid="{A3CD9DF6-BE2B-4ECC-BF98-A9596D835CAB}"/>
    <cellStyle name="_HD工厂_Book2" xfId="2121" xr:uid="{6F95BA71-4EFB-4874-8673-1BDAF135F9AE}"/>
    <cellStyle name="_HD工厂_Sheet1" xfId="2122" xr:uid="{DEAA997F-A261-4DF5-94A7-1D0C223E0752}"/>
    <cellStyle name="_HD工厂_Sheet2" xfId="2123" xr:uid="{91AADB09-CD39-4B85-888C-E7C0CE27CC06}"/>
    <cellStyle name="_HD工厂_XF分析" xfId="2125" xr:uid="{A8DC5FF6-1131-4D9E-9681-42FD239A1179}"/>
    <cellStyle name="_HD工厂_XF工厂" xfId="2124" xr:uid="{4E887DC0-9685-40DF-AAC8-BC6AB62645CD}"/>
    <cellStyle name="_HD工厂_人工成本" xfId="2126" xr:uid="{72B543F7-4E57-4AD3-9DF9-738C313C8238}"/>
    <cellStyle name="_HD工厂_人工成本表格3" xfId="2127" xr:uid="{D6162FC3-5C71-4F10-A190-EA39997C1C38}"/>
    <cellStyle name="_HD工厂_单价预测" xfId="2129" xr:uid="{1A9E2F43-142B-423E-94E9-04046352B001}"/>
    <cellStyle name="_HD工厂_相关分析" xfId="2128" xr:uid="{3D309BC9-6374-4C07-ACF8-96D16EE9B214}"/>
    <cellStyle name="_HD工厂05-10经费计划" xfId="2130" xr:uid="{A1A8283A-B9C1-47E2-B31D-787DC5D578D4}"/>
    <cellStyle name="_HD工厂05-10经费计划 2" xfId="2131" xr:uid="{B0786A48-F065-4C97-8BB2-169E5FE8C3F7}"/>
    <cellStyle name="_HD工厂05-10经费计划 2 2" xfId="2132" xr:uid="{B6D1C1CB-5BF9-4A30-92D7-4E5A360A61F6}"/>
    <cellStyle name="_HD工厂05-10经费计划 2 2 2" xfId="25731" xr:uid="{8023005F-E713-4C9B-95BF-502197D41265}"/>
    <cellStyle name="_HD工厂人员计划（8.20修正版）" xfId="2133" xr:uid="{1F935D0B-0281-4679-8F91-3145E0DF3132}"/>
    <cellStyle name="_HD工厂预提费用" xfId="2134" xr:uid="{B8F5C6CC-D0DF-46CD-9A10-4DAA5B15536B}"/>
    <cellStyle name="_HD工厂预提费用 2" xfId="2135" xr:uid="{E6B85F94-9E40-4681-B22B-33A5AEAD1CDB}"/>
    <cellStyle name="_HD工厂预提费用 2 2" xfId="2136" xr:uid="{58E68708-4F56-4C3F-97FF-4D92A267AE5C}"/>
    <cellStyle name="_HD工厂预提费用 2 2 2" xfId="25732" xr:uid="{3850B24B-007A-4462-AE2C-AD0EE5547883}"/>
    <cellStyle name="_HD工厂预提费用_2006促销与变动返利实绩预测表（12确定版）" xfId="2137" xr:uid="{4B6933B8-D45D-4B64-8B46-E9ECA99387F6}"/>
    <cellStyle name="_HD工厂预提费用_2006促销与变动返利实绩预测表（12确定版） 2" xfId="2138" xr:uid="{C988FE54-DA2F-46CD-ABCF-59659CDC806A}"/>
    <cellStyle name="_HD工厂预提费用_2006促销与变动返利实绩预测表（12确定版） 2 2" xfId="2139" xr:uid="{095E7FB3-9396-4BE3-BDCC-D01D8794E9E0}"/>
    <cellStyle name="_HD工厂预提费用_2006促销与变动返利实绩预测表（12确定版） 2 2 2" xfId="25733" xr:uid="{81841A56-154B-418C-881A-629CB9A88D2A}"/>
    <cellStyle name="_Heading" xfId="2140" xr:uid="{C1D994D8-0E6F-4264-9C5F-09767E60C5EB}"/>
    <cellStyle name="_HR labor cost" xfId="2141" xr:uid="{D589ADE5-D7C1-468B-A38F-15D14DD06AA3}"/>
    <cellStyle name="_IC in Magnitude as of 10_22_09" xfId="2142" xr:uid="{84F561C2-3D7C-46F1-97B9-46B695C4F5F7}"/>
    <cellStyle name="_Incentive Opportunity" xfId="2143" xr:uid="{8D845055-C290-43BD-8BEF-76F5A0C7355F}"/>
    <cellStyle name="_Index (Forex Total Revised) (2)" xfId="2144" xr:uid="{7C0EEFB4-4828-4B2C-B712-F0146721A624}"/>
    <cellStyle name="_INDEX_DFL price assumption_V1_20100105" xfId="2145" xr:uid="{56F7D538-C0A1-4C02-A892-ED0059086EBA}"/>
    <cellStyle name="_INDEX_DFL price assumption_V1_20100105 2" xfId="2146" xr:uid="{5C3648C8-E61B-4F60-8C73-B5372BF92F50}"/>
    <cellStyle name="_INDEX_DFL price assumption_V1_20100105 2 2" xfId="2147" xr:uid="{775AB25B-64BC-43DB-AADB-E1B7C12ABFDE}"/>
    <cellStyle name="_INDEX_DFL price assumption_V1_20100105 2 2 2" xfId="2148" xr:uid="{AD36C1C2-9BBF-4FAA-97A4-50E1BE18FFDA}"/>
    <cellStyle name="_INDEX_DFL price assumption_V1_20100105 2 2 2 2" xfId="2149" xr:uid="{8096EF4B-8AB6-48AF-86E3-DFE11F9C91D4}"/>
    <cellStyle name="_INDEX_DFL price assumption_V1_20100105 2 2 2 2 2" xfId="25734" xr:uid="{55CE8AA2-B8FE-4663-9A0A-7F3F6D5629E9}"/>
    <cellStyle name="_INDEX_DFL price assumption_V1_20100105 2 2 3" xfId="2150" xr:uid="{3CFEB1C5-2419-4F3D-9B0C-039E223AFB51}"/>
    <cellStyle name="_INDEX_DFL price assumption_V1_20100105 2 2 4" xfId="2151" xr:uid="{6BB503A5-6D09-4123-BB75-77E87C633BAA}"/>
    <cellStyle name="_INDEX_DFL price assumption_V1_20100105 2 2 4 2" xfId="25735" xr:uid="{8AD0ECA6-D531-4A1D-BCB5-ECF56C3EFF8E}"/>
    <cellStyle name="_INDEX_DFL price assumption_V1_20100105 2 3" xfId="2152" xr:uid="{2CAEC9CB-3781-4B64-8DDE-E06DE86309BE}"/>
    <cellStyle name="_INDEX_DFL price assumption_V1_20100105 2 3 2" xfId="25736" xr:uid="{F72AFFAD-659D-469E-8332-ED3728D601FF}"/>
    <cellStyle name="_INDEX_DFL price assumption_V1_20100105 2_FY13 Budget Simulation Excel PKG for Auto by company" xfId="2153" xr:uid="{0BC5000A-4823-4FF5-B159-34DEF7331183}"/>
    <cellStyle name="_INDEX_DFL price assumption_V1_20100105 3" xfId="2154" xr:uid="{6A980128-F1C6-44D8-8CBC-0CA13CA031F5}"/>
    <cellStyle name="_INDEX_DFL price assumption_V1_20100105 4" xfId="2155" xr:uid="{5DA0322D-C1B0-42CA-829F-7A7A0BDA98F9}"/>
    <cellStyle name="_INDEX_DFL price assumption_V1_20100105 4 2" xfId="25737" xr:uid="{4BEE4286-233B-4614-B0F3-C6576D8DC986}"/>
    <cellStyle name="_INDEX_DFL price assumption_V1_20100105_DFL FY13 Simulation Data version 1010-2(A7C)" xfId="2156" xr:uid="{F2154058-F3E6-44A5-A0F0-4DB4C4F63EC3}"/>
    <cellStyle name="_INDEX_DFL price assumption_V1_20100105_DFL FY13 Simulation Data version 1010-2(A7C) 2" xfId="2157" xr:uid="{4167BC0C-2875-4651-8A5A-5ADE76A49D4A}"/>
    <cellStyle name="_INDEX_DFL price assumption_V1_20100105_DFL FY13 Simulation Data version 1010-2(A7C) 2 2" xfId="2158" xr:uid="{ECBDDEBC-F52A-40A4-AE80-700E8605AC8D}"/>
    <cellStyle name="_INDEX_DFL price assumption_V1_20100105_DFL FY13 Simulation Data version 1010-2(A7C) 2 2 2" xfId="2159" xr:uid="{0835DDF4-5558-46F8-A3CA-92AAE008D753}"/>
    <cellStyle name="_INDEX_DFL price assumption_V1_20100105_DFL FY13 Simulation Data version 1010-2(A7C) 2 2 2 2" xfId="25738" xr:uid="{21F53496-71F3-4663-B596-78B0BF407BD4}"/>
    <cellStyle name="_INDEX_DFL price assumption_V1_20100105_DFL FY13 Simulation Data version 1010-2(A7C) 2 3" xfId="2160" xr:uid="{1A94FEB0-98DF-4535-B556-B091A6014681}"/>
    <cellStyle name="_INDEX_DFL price assumption_V1_20100105_DFL FY13 Simulation Data version 1010-2(A7C) 2 4" xfId="2161" xr:uid="{5B0E3979-1CF9-49A6-91F1-097F580F81CC}"/>
    <cellStyle name="_INDEX_DFL price assumption_V1_20100105_DFL FY13 Simulation Data version 1010-2(A7C) 2 4 2" xfId="25739" xr:uid="{3DB78039-D5D9-41AF-B168-54440F10E5AA}"/>
    <cellStyle name="_INDEX_DFL price assumption_V1_20100105_DFL FY13 Simulation Data version 1010-2(A7C) 3" xfId="2162" xr:uid="{6EFD5686-12B8-4788-928D-C20064F770C7}"/>
    <cellStyle name="_INDEX_DFL price assumption_V1_20100105_DFL FY13 Simulation Data version 1010-2(A7C) 3 2" xfId="25740" xr:uid="{5D54F72C-28C8-4F10-A701-5F54DCF8DB8D}"/>
    <cellStyle name="_INDEX_DFL price assumption_V1_20100105_DFL FY13 Simulation Data version 1010-2(A7C)_FY13 Budget Simulation Excel PKG for Auto by company" xfId="2163" xr:uid="{9F9ABCF0-3946-4618-B35C-D237FE41B81D}"/>
    <cellStyle name="_INDEX_DFL price assumption_V1_20100105_FY13 Budget Simulation Excel PKG for Auto by company" xfId="2164" xr:uid="{ED94C98E-08F0-471D-82EC-B24FC771BCDA}"/>
    <cellStyle name="_Infiniti Car Flow 2008" xfId="2165" xr:uid="{606E7401-28BA-4D13-9FB8-2814039D61AE}"/>
    <cellStyle name="_Infiniti table_0824_M50" xfId="2166" xr:uid="{1998809B-CA5D-4DAD-9931-1C9D530A0A77}"/>
    <cellStyle name="_Infiniti table_1017_1200_1101_ABM" xfId="2167" xr:uid="{83D753D6-D52B-4F3E-A3A9-D6E301EA8FCF}"/>
    <cellStyle name="_input data" xfId="2168" xr:uid="{F19334E2-D921-4087-B4C8-06CB9CA10F3F}"/>
    <cellStyle name="_input data 2" xfId="25741" xr:uid="{9E579507-EA34-436E-93E0-1CE03EFBCEDB}"/>
    <cellStyle name="_internal revenue" xfId="2169" xr:uid="{63E58B33-DB1A-40E3-882B-A03A84540A00}"/>
    <cellStyle name="_ISFY07-Budget (Li-san)" xfId="2170" xr:uid="{CC9E1B4C-39F8-4A2D-B417-860F4E570963}"/>
    <cellStyle name="_ITP _D22LCV  090403 (MP0_BP09) Lasted" xfId="2171" xr:uid="{1937E9F3-B6E1-4DB9-8CDE-CDA49E6D6EB0}"/>
    <cellStyle name="_ITP _D40 090115 (MP_BP09_NML0.5%" xfId="2172" xr:uid="{B0AF1D4B-0FF9-40B4-8078-C203414E546E}"/>
    <cellStyle name="_J11J MC+Elongation(松）" xfId="2173" xr:uid="{53B959A3-55BA-4929-8117-72B8496CCDAA}"/>
    <cellStyle name="_J11J MC+Elongation(松） 2" xfId="2174" xr:uid="{E5CF0769-0256-46F7-AB42-638D7725E031}"/>
    <cellStyle name="_J-PQT (2)" xfId="2175" xr:uid="{277C00A7-0799-4D74-A5DE-AB196C692322}"/>
    <cellStyle name="_J-PQT (2) 2" xfId="25742" xr:uid="{53CAA17D-2497-4878-AAEA-E02A021258B6}"/>
    <cellStyle name="_J-PQT (2)_1" xfId="2176" xr:uid="{C0A363CD-233E-4240-972F-6E6E5B7B10B4}"/>
    <cellStyle name="_J-PQT (2)_1 2" xfId="25743" xr:uid="{98837D47-EE7D-452E-81E8-00C0ED103CF4}"/>
    <cellStyle name="_J-PQT (2)_2" xfId="2177" xr:uid="{D145DBAF-4213-4ED7-AE5E-2D3E9D87A28F}"/>
    <cellStyle name="_J-PQT (2)_2 2" xfId="25744" xr:uid="{F7F3C35F-F885-4528-9CF8-D894DA6FF8EE}"/>
    <cellStyle name="_Jun EC analysis-Line Parts-Yue-0708" xfId="2178" xr:uid="{2E4A5518-02D7-4464-94B8-3E04F09919CA}"/>
    <cellStyle name="_KD_PWT_20111128" xfId="2179" xr:uid="{4650B139-02DF-4BA8-950D-14E04F01DFA2}"/>
    <cellStyle name="_KIRIU" xfId="2180" xr:uid="{BC184AD8-EFBC-4A38-87E0-12A272D49CA8}"/>
    <cellStyle name="_KIRIU 2" xfId="2181" xr:uid="{35DA027C-8C28-4CB1-BAC5-4669B39DC70E}"/>
    <cellStyle name="_KIRIU 2 2" xfId="25745" xr:uid="{2B7BE4FB-71CB-4FC1-9971-C5585D28AFA2}"/>
    <cellStyle name="_L11C 零部件明细表050609" xfId="2182" xr:uid="{13E233D1-D428-42DA-8227-0624EBBA940E}"/>
    <cellStyle name="_L11K MC TDC 090306 (2)" xfId="2183" xr:uid="{D724C1F9-14C8-4B18-8B76-128D958A8719}"/>
    <cellStyle name="_L11K MC TDC 090306 (2) 2" xfId="2184" xr:uid="{C6C75F8A-FF84-4058-9694-9EE66140E8E0}"/>
    <cellStyle name="_L11K%20Impact%20vs.%20Budget(1)" xfId="2185" xr:uid="{648BD8C1-4B7D-41AD-A25F-3D02A86C0C0A}"/>
    <cellStyle name="_L11K国产化原低效果预测2006.03.28" xfId="2186" xr:uid="{022CE23F-D31E-48AE-A3CD-5B2C063F5184}"/>
    <cellStyle name="_L41F 国产化率&amp;效果额-TC-2006.03.13" xfId="2187" xr:uid="{BEFECAC2-812B-4D0B-ADEF-39D4D3363B65}"/>
    <cellStyle name="_L41F 国产化率&amp;效果额-TC-2006.03.13 2" xfId="2188" xr:uid="{39F23C3A-BA7B-4BA7-82E4-79676D170A76}"/>
    <cellStyle name="_L41F 国产化率&amp;效果额-TC-2006.03.13 2 2" xfId="2189" xr:uid="{77736B96-CFEA-4651-A469-A1D78CEA7D9C}"/>
    <cellStyle name="_L41F 国产化率&amp;效果额-TC-2006.03.13 2 2 2" xfId="2190" xr:uid="{9691DE69-01E5-4B8F-BF61-F4F08F76EEAA}"/>
    <cellStyle name="_L41F 国产化率&amp;效果额-TC-2006.03.13 2 2 2 2" xfId="2191" xr:uid="{999147ED-016E-4913-BCCE-65076B33E86B}"/>
    <cellStyle name="_L41F 国产化率&amp;效果额-TC-2006.03.13 2 2 2 2 2" xfId="25746" xr:uid="{D99A906E-C84E-4019-8B26-EF4C71F8EF7E}"/>
    <cellStyle name="_L41F 国产化率&amp;效果额-TC-2006.03.13 2 2 3" xfId="2192" xr:uid="{479451D7-8ECF-4A94-9EE3-B52B24F46B01}"/>
    <cellStyle name="_L41F 国产化率&amp;效果额-TC-2006.03.13 2 2 4" xfId="2193" xr:uid="{F2C9710F-0AA9-4049-843F-9BCF3E6080D1}"/>
    <cellStyle name="_L41F 国产化率&amp;效果额-TC-2006.03.13 2 2 4 2" xfId="25747" xr:uid="{DB4E585B-B18F-466E-AF7A-C56355852F12}"/>
    <cellStyle name="_L41F 国产化率&amp;效果额-TC-2006.03.13 2 3" xfId="2194" xr:uid="{4FB1546C-5407-412F-95BB-48799BE0C09F}"/>
    <cellStyle name="_L41F 国产化率&amp;效果额-TC-2006.03.13 2 3 2" xfId="25748" xr:uid="{25B8ED6B-3876-4DB4-9312-C93BADD738BD}"/>
    <cellStyle name="_L41F 国产化率&amp;效果额-TC-2006.03.13 2_FY13 Budget Simulation Excel PKG for Auto by company" xfId="2195" xr:uid="{A2BF7D09-A836-4A15-A03F-02F1F189D16E}"/>
    <cellStyle name="_L41F 国产化率&amp;效果额-TC-2006.03.13 3" xfId="2196" xr:uid="{4C95F171-232E-41BE-8506-25A69768DDE5}"/>
    <cellStyle name="_L41F 国产化率&amp;效果额-TC-2006.03.13 4" xfId="2197" xr:uid="{D4CD3262-1C12-45FF-AC51-3CE63C053495}"/>
    <cellStyle name="_L41F 国产化率&amp;效果额-TC-2006.03.13 4 2" xfId="25749" xr:uid="{66D5B092-3DC1-45A2-B733-D72342F007E5}"/>
    <cellStyle name="_L41F 国产化率&amp;效果额-TC-2006.03.13_DFL FY13 Simulation Data version 1010-2(A7C)" xfId="2198" xr:uid="{317F8B47-DEFB-45C6-8032-4A406E6B9315}"/>
    <cellStyle name="_L41F 国产化率&amp;效果额-TC-2006.03.13_DFL FY13 Simulation Data version 1010-2(A7C) 2" xfId="2199" xr:uid="{E6EB68CD-E0AD-414A-8F33-0DB8E490E05A}"/>
    <cellStyle name="_L41F 国产化率&amp;效果额-TC-2006.03.13_DFL FY13 Simulation Data version 1010-2(A7C) 2 2" xfId="2200" xr:uid="{2EDCD236-CC26-4CE2-82F1-8DF1336324A7}"/>
    <cellStyle name="_L41F 国产化率&amp;效果额-TC-2006.03.13_DFL FY13 Simulation Data version 1010-2(A7C) 2 2 2" xfId="2201" xr:uid="{EE6CC352-A4A8-43CD-A6F3-2F4C695E53E7}"/>
    <cellStyle name="_L41F 国产化率&amp;效果额-TC-2006.03.13_DFL FY13 Simulation Data version 1010-2(A7C) 2 2 2 2" xfId="25750" xr:uid="{748E077E-70E8-4667-96E8-7D104BC900C0}"/>
    <cellStyle name="_L41F 国产化率&amp;效果额-TC-2006.03.13_DFL FY13 Simulation Data version 1010-2(A7C) 2 3" xfId="2202" xr:uid="{358EECDF-5E30-4A2A-84D6-3B8A48736971}"/>
    <cellStyle name="_L41F 国产化率&amp;效果额-TC-2006.03.13_DFL FY13 Simulation Data version 1010-2(A7C) 2 4" xfId="2203" xr:uid="{3B04C9EE-DE00-4C0C-85B6-5D754C993E41}"/>
    <cellStyle name="_L41F 国产化率&amp;效果额-TC-2006.03.13_DFL FY13 Simulation Data version 1010-2(A7C) 2 4 2" xfId="25751" xr:uid="{A697391F-0E16-4D86-B62F-1011DCF49E89}"/>
    <cellStyle name="_L41F 国产化率&amp;效果额-TC-2006.03.13_DFL FY13 Simulation Data version 1010-2(A7C) 3" xfId="2204" xr:uid="{D8BD9EC3-BE1A-442F-AF55-BAF400A0D8C3}"/>
    <cellStyle name="_L41F 国产化率&amp;效果额-TC-2006.03.13_DFL FY13 Simulation Data version 1010-2(A7C) 3 2" xfId="25752" xr:uid="{5BAB691D-5C60-414E-84FD-BAD2BC26A2E1}"/>
    <cellStyle name="_L41F 国产化率&amp;效果额-TC-2006.03.13_DFL FY13 Simulation Data version 1010-2(A7C)_FY13 Budget Simulation Excel PKG for Auto by company" xfId="2205" xr:uid="{CCF04CAA-7676-40F8-B12D-BC2E96B2B2BD}"/>
    <cellStyle name="_L41F 国产化率&amp;效果额-TC-2006.03.13_FY13 Budget Simulation Excel PKG for Auto by company" xfId="2206" xr:uid="{28952FB9-3EBE-4593-AE5D-4BD29C63A66E}"/>
    <cellStyle name="_L41F国产化减货时间采用时间rn 个数统计20060322" xfId="2207" xr:uid="{BB02A611-5DC5-454B-9C62-315B8903CF26}"/>
    <cellStyle name="_L41F国产化减货时间采用时间rn 个数统计20060322 2" xfId="2208" xr:uid="{CB8121EB-07FE-491C-BD0C-36F27581E454}"/>
    <cellStyle name="_L41F国产化减货时间采用时间rn 个数统计20060322 2 2" xfId="2209" xr:uid="{73C1B5B1-9657-458B-B694-226193E5DD4D}"/>
    <cellStyle name="_L41F国产化减货时间采用时间rn 个数统计20060322 2 2 2" xfId="2210" xr:uid="{68CDC9D0-5D78-4B98-93F2-373DB6442B4A}"/>
    <cellStyle name="_L41F国产化减货时间采用时间rn 个数统计20060322 2 2 2 2" xfId="2211" xr:uid="{B7518A98-C624-4CE4-8F84-5CE44A2BEB62}"/>
    <cellStyle name="_L41F国产化减货时间采用时间rn 个数统计20060322 2 2 2 2 2" xfId="25753" xr:uid="{E234DC7E-3483-4EF5-BC3C-1687A689D0A4}"/>
    <cellStyle name="_L41F国产化减货时间采用时间rn 个数统计20060322 2 2 3" xfId="2212" xr:uid="{9B78D455-6FE7-4CD5-8CDC-B8DEC4E27915}"/>
    <cellStyle name="_L41F国产化减货时间采用时间rn 个数统计20060322 2 2 4" xfId="2213" xr:uid="{72BE154E-CFFB-46AE-916F-5AF0AC9ABB9B}"/>
    <cellStyle name="_L41F国产化减货时间采用时间rn 个数统计20060322 2 2 4 2" xfId="25754" xr:uid="{29DAF345-2C0F-4A2B-8096-82A62BB66975}"/>
    <cellStyle name="_L41F国产化减货时间采用时间rn 个数统计20060322 2 3" xfId="2214" xr:uid="{65F3A939-0E39-4B80-96ED-F0B891D079BE}"/>
    <cellStyle name="_L41F国产化减货时间采用时间rn 个数统计20060322 2 3 2" xfId="25755" xr:uid="{89E7550B-BB3A-4D33-8308-6DC8BC9D4A53}"/>
    <cellStyle name="_L41F国产化减货时间采用时间rn 个数统计20060322 2_FY13 Budget Simulation Excel PKG for Auto by company" xfId="2215" xr:uid="{BC61CFDB-9BE2-4A67-9BAD-D941D2596C49}"/>
    <cellStyle name="_L41F国产化减货时间采用时间rn 个数统计20060322 3" xfId="2216" xr:uid="{61B5AB8A-E99D-4B58-B985-5941C976AC80}"/>
    <cellStyle name="_L41F国产化减货时间采用时间rn 个数统计20060322 4" xfId="2217" xr:uid="{85249477-EB53-4E8F-86C5-0B7CEBC37C28}"/>
    <cellStyle name="_L41F国产化减货时间采用时间rn 个数统计20060322 4 2" xfId="25756" xr:uid="{2016DA13-EA52-46DE-BBE8-67340B4C24F4}"/>
    <cellStyle name="_L41F国产化减货时间采用时间rn 个数统计20060322_DFL FY13 Simulation Data version 1010-2(A7C)" xfId="2218" xr:uid="{FDD5C0FC-35CA-4C9C-93F8-A789555E7CDB}"/>
    <cellStyle name="_L41F国产化减货时间采用时间rn 个数统计20060322_DFL FY13 Simulation Data version 1010-2(A7C) 2" xfId="2219" xr:uid="{DE63A54F-651C-4B98-91F9-6C758097A506}"/>
    <cellStyle name="_L41F国产化减货时间采用时间rn 个数统计20060322_DFL FY13 Simulation Data version 1010-2(A7C) 2 2" xfId="2220" xr:uid="{FBDF191E-8426-48A4-8FCD-9F86D0BD0213}"/>
    <cellStyle name="_L41F国产化减货时间采用时间rn 个数统计20060322_DFL FY13 Simulation Data version 1010-2(A7C) 2 2 2" xfId="2221" xr:uid="{B225886B-F7FD-46BE-B06C-7626D112084E}"/>
    <cellStyle name="_L41F国产化减货时间采用时间rn 个数统计20060322_DFL FY13 Simulation Data version 1010-2(A7C) 2 2 2 2" xfId="25757" xr:uid="{A595C3AB-291E-4E79-82C6-911FE4148189}"/>
    <cellStyle name="_L41F国产化减货时间采用时间rn 个数统计20060322_DFL FY13 Simulation Data version 1010-2(A7C) 2 3" xfId="2222" xr:uid="{C68BE6B9-7CB1-413C-BA4C-E91B46C7CC68}"/>
    <cellStyle name="_L41F国产化减货时间采用时间rn 个数统计20060322_DFL FY13 Simulation Data version 1010-2(A7C) 2 4" xfId="2223" xr:uid="{97F5D7BB-6FC4-441B-9F08-2F6271C7DA89}"/>
    <cellStyle name="_L41F国产化减货时间采用时间rn 个数统计20060322_DFL FY13 Simulation Data version 1010-2(A7C) 2 4 2" xfId="25758" xr:uid="{D6EA6E83-3866-4246-BE73-25B17C0F5CD4}"/>
    <cellStyle name="_L41F国产化减货时间采用时间rn 个数统计20060322_DFL FY13 Simulation Data version 1010-2(A7C) 3" xfId="2224" xr:uid="{51C5EF55-8322-4EF8-9B03-F85539848661}"/>
    <cellStyle name="_L41F国产化减货时间采用时间rn 个数统计20060322_DFL FY13 Simulation Data version 1010-2(A7C) 3 2" xfId="25759" xr:uid="{C529C3C9-B626-45E6-AC0F-AB1CF53787BB}"/>
    <cellStyle name="_L41F国产化减货时间采用时间rn 个数统计20060322_DFL FY13 Simulation Data version 1010-2(A7C)_FY13 Budget Simulation Excel PKG for Auto by company" xfId="2225" xr:uid="{45655AAA-BEFA-4D0C-9A94-57DE87EB3B19}"/>
    <cellStyle name="_L41F国产化减货时间采用时间rn 个数统计20060322_FY13 Budget Simulation Excel PKG for Auto by company" xfId="2226" xr:uid="{BEC13505-B717-46A1-BEE5-0FAA7D481E92}"/>
    <cellStyle name="_L41F国产化减货时间采用时间rn 个数统计20060322_豢揃蹋 060410" xfId="2227" xr:uid="{8CDA6186-96A2-4B1E-8B5C-BBE12E0FE854}"/>
    <cellStyle name="_L41F国产化减货时间采用时间rn 个数统计20060322_豢揃蹋 060410 2" xfId="2228" xr:uid="{19CA7D44-8AA0-4ED0-AD2F-F6CDEC57ECC2}"/>
    <cellStyle name="_L41F国产化减货时间采用时间rn 个数统计20060322_豢揃蹋 060410 2 2" xfId="2229" xr:uid="{2DD5445A-8162-4131-8202-641C46FE5B38}"/>
    <cellStyle name="_L41F国产化减货时间采用时间rn 个数统计20060322_豢揃蹋 060410 2 2 2" xfId="2230" xr:uid="{4A0F7DFD-1CF7-4A37-B5B2-156799714F3C}"/>
    <cellStyle name="_L41F国产化减货时间采用时间rn 个数统计20060322_豢揃蹋 060410 2 2 2 2" xfId="2231" xr:uid="{CC2BE6E2-688E-4258-B9F4-B6DAC0C69345}"/>
    <cellStyle name="_L41F国产化减货时间采用时间rn 个数统计20060322_豢揃蹋 060410 2 2 2 2 2" xfId="25760" xr:uid="{EBB0F5F2-2178-4E14-B33A-43D59B60B1F2}"/>
    <cellStyle name="_L41F国产化减货时间采用时间rn 个数统计20060322_豢揃蹋 060410 2 2 3" xfId="2232" xr:uid="{D1CCDEE5-0588-452D-909B-E2CAA45BEDF3}"/>
    <cellStyle name="_L41F国产化减货时间采用时间rn 个数统计20060322_豢揃蹋 060410 2 2 4" xfId="2233" xr:uid="{A7D31528-B279-4D3C-B8FE-A49B22D60646}"/>
    <cellStyle name="_L41F国产化减货时间采用时间rn 个数统计20060322_豢揃蹋 060410 2 2 4 2" xfId="25761" xr:uid="{5B5F3902-6594-4910-9431-200FA8409F2D}"/>
    <cellStyle name="_L41F国产化减货时间采用时间rn 个数统计20060322_豢揃蹋 060410 2 3" xfId="2234" xr:uid="{17183D53-43CC-47C7-ACB9-67535A7A2F5B}"/>
    <cellStyle name="_L41F国产化减货时间采用时间rn 个数统计20060322_豢揃蹋 060410 2 3 2" xfId="25762" xr:uid="{3348D455-9372-41DC-A386-ED80DA2B0618}"/>
    <cellStyle name="_L41F国产化减货时间采用时间rn 个数统计20060322_豢揃蹋 060410 2_FY13 Budget Simulation Excel PKG for Auto by company" xfId="2235" xr:uid="{46DA7B45-0AE6-4A18-B9DD-16959B68E8B4}"/>
    <cellStyle name="_L41F国产化减货时间采用时间rn 个数统计20060322_豢揃蹋 060410 3" xfId="2236" xr:uid="{4D4CC88A-D15F-47BC-9166-692AFD93D728}"/>
    <cellStyle name="_L41F国产化减货时间采用时间rn 个数统计20060322_豢揃蹋 060410 4" xfId="2237" xr:uid="{49231B7A-FBFF-4BA4-B2BD-676201A2D646}"/>
    <cellStyle name="_L41F国产化减货时间采用时间rn 个数统计20060322_豢揃蹋 060410 4 2" xfId="25763" xr:uid="{80B26CB6-95E5-4596-AB0C-7A1A9B54C8CE}"/>
    <cellStyle name="_L41F国产化减货时间采用时间rn 个数统计20060322_豢揃蹋 060410_DFL FY13 Simulation Data version 1010-2(A7C)" xfId="2238" xr:uid="{89BA820D-A59B-4D48-9936-918AADC78819}"/>
    <cellStyle name="_L41F国产化减货时间采用时间rn 个数统计20060322_豢揃蹋 060410_DFL FY13 Simulation Data version 1010-2(A7C) 2" xfId="2239" xr:uid="{7A144AE1-7AEE-4509-9B9D-4BFBED878ED2}"/>
    <cellStyle name="_L41F国产化减货时间采用时间rn 个数统计20060322_豢揃蹋 060410_DFL FY13 Simulation Data version 1010-2(A7C) 2 2" xfId="2240" xr:uid="{9AEF1BFE-8430-42F1-8561-36096B471E5C}"/>
    <cellStyle name="_L41F国产化减货时间采用时间rn 个数统计20060322_豢揃蹋 060410_DFL FY13 Simulation Data version 1010-2(A7C) 2 2 2" xfId="2241" xr:uid="{012A9E18-C340-4E46-81EE-1C9CC27D8869}"/>
    <cellStyle name="_L41F国产化减货时间采用时间rn 个数统计20060322_豢揃蹋 060410_DFL FY13 Simulation Data version 1010-2(A7C) 2 2 2 2" xfId="25764" xr:uid="{0963D45C-B9CF-4D08-8EA1-4E8FC78C70D2}"/>
    <cellStyle name="_L41F国产化减货时间采用时间rn 个数统计20060322_豢揃蹋 060410_DFL FY13 Simulation Data version 1010-2(A7C) 2 3" xfId="2242" xr:uid="{F64197CE-53AE-448A-83BB-7313D810716B}"/>
    <cellStyle name="_L41F国产化减货时间采用时间rn 个数统计20060322_豢揃蹋 060410_DFL FY13 Simulation Data version 1010-2(A7C) 2 4" xfId="2243" xr:uid="{E8BC89FB-0027-4756-B0F0-0245C8DA36A4}"/>
    <cellStyle name="_L41F国产化减货时间采用时间rn 个数统计20060322_豢揃蹋 060410_DFL FY13 Simulation Data version 1010-2(A7C) 2 4 2" xfId="25765" xr:uid="{CEB3016C-A936-4A7C-8231-A1126B0B09F4}"/>
    <cellStyle name="_L41F国产化减货时间采用时间rn 个数统计20060322_豢揃蹋 060410_DFL FY13 Simulation Data version 1010-2(A7C) 3" xfId="2244" xr:uid="{3E52EBED-D1B5-4AD9-A46C-04BCC71E4DAC}"/>
    <cellStyle name="_L41F国产化减货时间采用时间rn 个数统计20060322_豢揃蹋 060410_DFL FY13 Simulation Data version 1010-2(A7C) 3 2" xfId="25766" xr:uid="{8CC9DE35-D162-438B-957F-E9685B82AE3D}"/>
    <cellStyle name="_L41F国产化减货时间采用时间rn 个数统计20060322_豢揃蹋 060410_DFL FY13 Simulation Data version 1010-2(A7C)_FY13 Budget Simulation Excel PKG for Auto by company" xfId="2245" xr:uid="{187F1C69-B2C2-4985-8E9A-9D43B37FF768}"/>
    <cellStyle name="_L41F国产化减货时间采用时间rn 个数统计20060322_豢揃蹋 060410_FY13 Budget Simulation Excel PKG for Auto by company" xfId="2246" xr:uid="{8758ED9C-1B72-47F1-A2AC-BBCC4C527C22}"/>
    <cellStyle name="_L42F TDC KKJ SOP 2010 Dec (090929) with MC (2)" xfId="2247" xr:uid="{D36B8ECB-F10B-40AD-B77E-BD042ADD82F7}"/>
    <cellStyle name="_L42F TDC KKJ SOP 2010 Dec (090929) with MC (2) 2" xfId="2248" xr:uid="{D9582275-F74C-4348-B7DC-E1B889D810FB}"/>
    <cellStyle name="_LB試作計画" xfId="2249" xr:uid="{7ED23402-6157-4944-9F43-4F6B67D4608D}"/>
    <cellStyle name="_LB試作計画 2" xfId="2250" xr:uid="{606F8554-9358-45BE-A9F9-F0D84DE2F6B4}"/>
    <cellStyle name="_LB試作計画 2 2" xfId="2251" xr:uid="{C06E1D3F-11B2-4BB5-B687-DC082040C97F}"/>
    <cellStyle name="_LB試作計画 2 2 2" xfId="25767" xr:uid="{15136580-9580-40A3-BB05-970EA9CF0A9F}"/>
    <cellStyle name="_LB試作計画 3" xfId="2252" xr:uid="{BA21C7CD-EE86-47D2-9BD0-C49CB1430FBF}"/>
    <cellStyle name="_LB試作計画 3 2" xfId="25768" xr:uid="{98C3B3AC-6A58-450C-9059-A4A4E48AE26D}"/>
    <cellStyle name="_LB試作計画_Fcst#2　FY13台数諸元表13.9.18" xfId="2253" xr:uid="{50B414C3-DC32-4934-ABCC-B2C6FE4FB165}"/>
    <cellStyle name="_LB試作計画_FY13 Final ReplyBUD vs Forecast#3_AESC（台数諸元) 単価差Adjust値作成" xfId="2254" xr:uid="{FF4B22B8-FB13-40AC-811A-1B6D6CCD92B8}"/>
    <cellStyle name="_LB試作計画_FY13 Monthly ReplyBUD（台数諸元) ルノー修正13 5 20" xfId="2255" xr:uid="{4D69DBA8-E3E9-4D9B-AEDD-244FE2659C9E}"/>
    <cellStyle name="_LB試作計画_FY13台数諸元表（201307実績-売上金額いり）" xfId="2256" xr:uid="{D679DAD3-FEF5-4B5F-A436-660E35E2D1FD}"/>
    <cellStyle name="_LB試作計画_FY13台数諸元表（予算vs実績）" xfId="2257" xr:uid="{21A77368-04B8-481A-B2DB-E7223AB6D787}"/>
    <cellStyle name="_LCC-PL-FY08 Sep-not include NSL" xfId="2258" xr:uid="{E2036A12-AE26-4B72-8AFA-F85F48D37F08}"/>
    <cellStyle name="_M&amp;S Overview 2006-2008" xfId="2259" xr:uid="{7E790ADE-47D2-43CC-BF7D-2357844BE948}"/>
    <cellStyle name="_manufacture cost" xfId="2260" xr:uid="{ACEB9898-0793-4F1D-B848-DC911AA11B97}"/>
    <cellStyle name="_manufacture cost 2" xfId="2261" xr:uid="{01D5834A-1F61-45AC-ADB0-FCCDB98E3BE8}"/>
    <cellStyle name="_manufacture cost 2 2" xfId="2262" xr:uid="{BB3E762B-19A5-45BC-BC96-EC1D35590CAF}"/>
    <cellStyle name="_manufacture cost 2 2 2" xfId="2263" xr:uid="{2A016E94-630D-4D0B-AAE4-123F79DD1935}"/>
    <cellStyle name="_manufacture cost 2 2 2 2" xfId="25769" xr:uid="{C4ADB7AE-2835-41D9-A57F-E86E4F13F04F}"/>
    <cellStyle name="_manufacture cost 3" xfId="2264" xr:uid="{2E658290-F9D8-4740-8B12-D57CC350A5A0}"/>
    <cellStyle name="_Mar.,2006--Combined" xfId="2265" xr:uid="{8B86F4CF-3A5C-4D62-815B-25DE0640ACBE}"/>
    <cellStyle name="_Material budget GM allocation_YNM" xfId="2266" xr:uid="{166D1E8F-7B75-4660-9942-FB907991D1C8}"/>
    <cellStyle name="_Material budget GM allocation_YNM 2" xfId="2267" xr:uid="{F9AE5826-E1CC-4995-9E23-54FB9267F333}"/>
    <cellStyle name="_Material budget GM allocation_YNM 2 2" xfId="2268" xr:uid="{24C757A9-0745-4780-B6B8-7C55AAF26D2B}"/>
    <cellStyle name="_Material budget GM allocation_YNM 2 2 2" xfId="2269" xr:uid="{234DAFB9-AF4F-4597-AFEF-1FED5D41F829}"/>
    <cellStyle name="_Material budget GM allocation_YNM 2 2 2 2" xfId="2270" xr:uid="{06147D5F-EF35-4241-AE26-BCDA43A5AEB7}"/>
    <cellStyle name="_Material budget GM allocation_YNM 2 2 2 2 2" xfId="25770" xr:uid="{A424CED7-A1D0-48C7-A0CA-E52F8BEDC845}"/>
    <cellStyle name="_Material budget GM allocation_YNM 2 2 3" xfId="2271" xr:uid="{444B3DE2-7B5A-48D8-8F7B-2854BEAD2F16}"/>
    <cellStyle name="_Material budget GM allocation_YNM 2 2 4" xfId="2272" xr:uid="{7EF236FB-D47B-4B60-9F9A-19A78C07923F}"/>
    <cellStyle name="_Material budget GM allocation_YNM 2 2 4 2" xfId="25771" xr:uid="{B75E5C6E-6D97-40DF-A813-6FC7B3357FD7}"/>
    <cellStyle name="_Material budget GM allocation_YNM 2 3" xfId="2273" xr:uid="{8C147232-0504-4809-A09E-24B6A7A3B056}"/>
    <cellStyle name="_Material budget GM allocation_YNM 2 3 2" xfId="25772" xr:uid="{B357655B-0F6B-4FE2-8442-03A947498F3A}"/>
    <cellStyle name="_Material budget GM allocation_YNM 2_FY13 Budget Simulation Excel PKG for Auto by company" xfId="2274" xr:uid="{3777A372-CAEE-4F2C-B820-51E16388D869}"/>
    <cellStyle name="_Material budget GM allocation_YNM 3" xfId="2275" xr:uid="{50EA13EF-59E4-478A-8405-9DB63F0F07C6}"/>
    <cellStyle name="_Material budget GM allocation_YNM 4" xfId="2276" xr:uid="{BFA39BED-FB28-4E6F-A807-69F5FF5EC76A}"/>
    <cellStyle name="_Material budget GM allocation_YNM 4 2" xfId="25773" xr:uid="{97BE6C32-B93F-4BE3-894C-D0CBB474C84E}"/>
    <cellStyle name="_Material budget GM allocation_YNM_DFL FY13 Simulation Data version 1010-2(A7C)" xfId="2277" xr:uid="{A934B5BC-D255-40C4-B1E0-64B679274B29}"/>
    <cellStyle name="_Material budget GM allocation_YNM_DFL FY13 Simulation Data version 1010-2(A7C) 2" xfId="2278" xr:uid="{510E346F-FBAD-46BB-AC2B-584A5AD76B48}"/>
    <cellStyle name="_Material budget GM allocation_YNM_DFL FY13 Simulation Data version 1010-2(A7C) 2 2" xfId="2279" xr:uid="{8C29721A-ECC5-4448-808D-893D912BEF65}"/>
    <cellStyle name="_Material budget GM allocation_YNM_DFL FY13 Simulation Data version 1010-2(A7C) 2 2 2" xfId="2280" xr:uid="{568E3AEC-B43F-48CB-A064-F5383A988054}"/>
    <cellStyle name="_Material budget GM allocation_YNM_DFL FY13 Simulation Data version 1010-2(A7C) 2 2 2 2" xfId="25774" xr:uid="{74774E04-D47C-4563-AC36-4B94E4CD876F}"/>
    <cellStyle name="_Material budget GM allocation_YNM_DFL FY13 Simulation Data version 1010-2(A7C) 2 3" xfId="2281" xr:uid="{4A2BC87A-2A1E-44EF-A4BB-0A4CDDFFBF69}"/>
    <cellStyle name="_Material budget GM allocation_YNM_DFL FY13 Simulation Data version 1010-2(A7C) 2 4" xfId="2282" xr:uid="{602D2460-FFE2-483F-9BFB-ED82032F0DE8}"/>
    <cellStyle name="_Material budget GM allocation_YNM_DFL FY13 Simulation Data version 1010-2(A7C) 2 4 2" xfId="25775" xr:uid="{088F3A2B-0734-4ECF-A565-B0C35574D7A9}"/>
    <cellStyle name="_Material budget GM allocation_YNM_DFL FY13 Simulation Data version 1010-2(A7C) 3" xfId="2283" xr:uid="{7357119A-2EB7-4FE9-ADA6-8DC44D430877}"/>
    <cellStyle name="_Material budget GM allocation_YNM_DFL FY13 Simulation Data version 1010-2(A7C) 3 2" xfId="25776" xr:uid="{B0DE0A8C-1843-4D76-8689-3421D4D94DDB}"/>
    <cellStyle name="_Material budget GM allocation_YNM_DFL FY13 Simulation Data version 1010-2(A7C)_FY13 Budget Simulation Excel PKG for Auto by company" xfId="2284" xr:uid="{489EC460-F150-45E2-90FA-4872BF96CACF}"/>
    <cellStyle name="_Material budget GM allocation_YNM_FY13 Budget Simulation Excel PKG for Auto by company" xfId="2285" xr:uid="{D07F5BFF-FB3B-4A03-8F10-8A470ABB3203}"/>
    <cellStyle name="_MC-ASIA data" xfId="2286" xr:uid="{72D5BEB1-B661-40B6-8554-AF15006945B7}"/>
    <cellStyle name="_MC-ASIA data 2" xfId="2287" xr:uid="{98C36D67-A2FA-40D4-A081-40E6D6D29E06}"/>
    <cellStyle name="_MC-ASIA FY12Final Reply Volume_v2" xfId="2288" xr:uid="{91116623-BEF5-4739-942E-DDFB5204AD12}"/>
    <cellStyle name="_Milestone for CY06 Budget" xfId="2289" xr:uid="{57D4684E-B156-4077-9761-4E86749BF14F}"/>
    <cellStyle name="_milestone FY10_final_R01_sent" xfId="2290" xr:uid="{E85B690F-548E-4CC7-9EF2-5667B32587A4}"/>
    <cellStyle name="_milestone FY10_final_R01_sent 2" xfId="2291" xr:uid="{D99E52F2-264C-4157-B728-A5F1813524AE}"/>
    <cellStyle name="_milestone FY10_final_R01_sent 2 2" xfId="2292" xr:uid="{05DF957A-6CA1-403B-B46D-EF31D5AE2F67}"/>
    <cellStyle name="_milestone FY10_final_R01_sent 2 2 2" xfId="25777" xr:uid="{10FC943C-15CF-4554-9E77-2542EE1419CB}"/>
    <cellStyle name="_milestone FY10_final_R01_sent 3" xfId="2293" xr:uid="{C829729E-E1DC-42EC-9EED-2762E0D737AB}"/>
    <cellStyle name="_milestone FY10_final_R01_sent 3 2" xfId="25778" xr:uid="{967858AA-4E31-4A99-B88B-09B0CCB4EE74}"/>
    <cellStyle name="_MMP分析表_0806_Act_Act_確定版(v2)" xfId="2294" xr:uid="{C69C31F6-99D2-46D7-9099-BE3FAB10CFFB}"/>
    <cellStyle name="_MMP分析表_0809_Act_Act_確定版081015" xfId="2295" xr:uid="{9BB942BC-8918-496C-B3A3-187F2F1287A9}"/>
    <cellStyle name="_MMP分析表_0812_Act_Act" xfId="2296" xr:uid="{E12C3346-D701-40DB-97F1-9BD310830C73}"/>
    <cellStyle name="_MMP分析表_0903_Act_Act" xfId="2297" xr:uid="{99F55AE8-8C95-4EF1-A6B2-76E148E9D3BA}"/>
    <cellStyle name="_MSRP Proposal" xfId="2298" xr:uid="{A56C0B2C-2B98-4BD1-955C-2B4FC071BC51}"/>
    <cellStyle name="_MTP 04vs03final" xfId="2299" xr:uid="{BC379F67-48D4-4EC6-ADE7-686A2F078C39}"/>
    <cellStyle name="_MTP 04vs03final_【0207】BP_reply_Outside profit_Price List_R" xfId="2300" xr:uid="{7A3F1D1E-47EA-4892-9401-0F7F364FCA21}"/>
    <cellStyle name="_MTP 04vs03final_FCF_FY12 BUD Simulation Excel PKG for Auto_v2" xfId="2301" xr:uid="{B3DC5D68-2A9C-4BEB-8CA9-6BF543DFC491}"/>
    <cellStyle name="_MTP 04vs03final_FY11 Reply#1_FY11 3X9" xfId="2302" xr:uid="{022E75CB-52EC-4399-B345-3B9CBA590257}"/>
    <cellStyle name="_MTP 04vs03final_FY12 BP_Simulation information PKG_R" xfId="2303" xr:uid="{D6F18176-E87B-4DF0-A5C1-7219FE6F8322}"/>
    <cellStyle name="_MTP SM Assumption" xfId="2304" xr:uid="{9E5447CB-6E93-4B63-BB79-58BFF80C7236}"/>
    <cellStyle name="_MTP SM Assumption0923" xfId="2305" xr:uid="{325E459F-E669-4176-84BC-F3B4F6BB9198}"/>
    <cellStyle name="_MTP SM Assumption3" xfId="2306" xr:uid="{F798E240-B5F0-4EFB-9FCC-F713FC8AEB93}"/>
    <cellStyle name="_MTP シニカル台数1" xfId="2307" xr:uid="{3132CBB8-CDA0-42E7-8828-84C1BAE32D84}"/>
    <cellStyle name="_Multiple" xfId="2308" xr:uid="{47257E3B-D8F4-4BBC-9FEB-8A2EC1CC7805}"/>
    <cellStyle name="_MultipleSpace" xfId="2309" xr:uid="{9657F3DF-BAB1-4DCB-A2E1-779CD1BB2756}"/>
    <cellStyle name="_MVC" xfId="2310" xr:uid="{97DC03F3-3C7C-4FD4-B0B8-C68D345A058D}"/>
    <cellStyle name="_N11J MC+Elongation(松）" xfId="2311" xr:uid="{69FBC564-B774-42F8-A974-3B0516314E05}"/>
    <cellStyle name="_N11J MC+Elongation(松） 2" xfId="2312" xr:uid="{910D6BB4-4591-4DC4-B94E-3E5F7A2D48F3}"/>
    <cellStyle name="_NB Growth-20071" xfId="2313" xr:uid="{33C594F5-8F30-4EB2-8755-67F72B3DBE41}"/>
    <cellStyle name="_NCIC BUD#2 reply for EAS" xfId="2314" xr:uid="{D6D07FAB-D154-4754-89B6-EDFB52F9E2B2}"/>
    <cellStyle name="_NCIC Part SNP(1)" xfId="2315" xr:uid="{DA796554-46F8-4F25-BA7D-348EB3A9B925}"/>
    <cellStyle name="_NCIC Part SNP(1) 2" xfId="2316" xr:uid="{2BBFFE4D-324E-46DB-BFD7-6C8723BB4223}"/>
    <cellStyle name="_NCIC Part SNP(1) 2 2" xfId="25779" xr:uid="{67DA07A2-EC9D-46D9-A0B7-E0CD24C4E1C7}"/>
    <cellStyle name="_NCIC Part SNP(1)_SNPManagement Sheet0206" xfId="2317" xr:uid="{DDD22895-E254-4B66-8A5A-4E2591AB6073}"/>
    <cellStyle name="_NCIC Part SNP(1)_SNPManagement Sheet0206 2" xfId="2318" xr:uid="{F7D610F8-D195-4169-ACD2-68151BA463E3}"/>
    <cellStyle name="_NCIC Part SNP(1)_SNPManagement Sheet0206 2 2" xfId="25780" xr:uid="{B43404A9-4871-49A8-9DC2-EFA08D956F97}"/>
    <cellStyle name="_NCIC UPDATED FY08 Fcst #2 (5+7) Reply PKG_E" xfId="2319" xr:uid="{E74D9F71-5C1D-468D-8710-943D0EA089F0}"/>
    <cellStyle name="_NCIC UPDATED FY08 Fcst #2 (5+7) Reply PKG_E_2010 Reply 3 PXP Report v2 0 DISTv2 (2)" xfId="2320" xr:uid="{2683BC26-7918-4F0A-95BE-D74D04B65047}"/>
    <cellStyle name="_NCIC人力评估" xfId="2323" xr:uid="{740E01BA-C5E2-4CD0-A249-2A44DECAD7D6}"/>
    <cellStyle name="_NCIC営業モニター・フォーマット" xfId="2321" xr:uid="{031EB599-51F1-4523-B21F-7FBBF0EAB86C}"/>
    <cellStyle name="_NCIC営業モニター・フォーマット 2" xfId="2322" xr:uid="{3BCD3CD3-3710-4BAC-9ADE-AF4832717DF0}"/>
    <cellStyle name="_NCIC営業モニター・フォーマット 2 2" xfId="25781" xr:uid="{7D488E1F-9EB2-49E1-BE67-501A0EBD823B}"/>
    <cellStyle name="_NCIC投资资料(6)" xfId="2324" xr:uid="{A4033EAF-011F-4DAF-AB55-02A4BDD39415}"/>
    <cellStyle name="_New DFL PV Lineparts Dept.Material budget GM allocation 07.08.2008" xfId="2325" xr:uid="{D373D676-9D24-4B5E-A138-A6243A6E4ECE}"/>
    <cellStyle name="_New DFL PV Lineparts Dept.Material budget GM allocation 07.08.2008 2" xfId="2326" xr:uid="{80451C55-3FC0-4D8C-8195-708B6DEE575C}"/>
    <cellStyle name="_New DFL PV Lineparts Dept.Material budget GM allocation 07.08.2008 2 2" xfId="2327" xr:uid="{2D461889-FC36-41C5-9A60-4E6DA0C4B8B2}"/>
    <cellStyle name="_New DFL PV Lineparts Dept.Material budget GM allocation 07.08.2008 2 2 2" xfId="2328" xr:uid="{179D5F9E-968E-4880-9682-BE7BCC6EE2E3}"/>
    <cellStyle name="_New DFL PV Lineparts Dept.Material budget GM allocation 07.08.2008 2 2 2 2" xfId="2329" xr:uid="{68536AF8-1A33-4576-BFB3-31A7587BBC7F}"/>
    <cellStyle name="_New DFL PV Lineparts Dept.Material budget GM allocation 07.08.2008 2 2 2 2 2" xfId="25782" xr:uid="{AB7E34C5-3946-4ACC-BF86-9FA8422E40A5}"/>
    <cellStyle name="_New DFL PV Lineparts Dept.Material budget GM allocation 07.08.2008 2 2 3" xfId="2330" xr:uid="{C71B4E48-0051-490B-BA44-21A555592DB0}"/>
    <cellStyle name="_New DFL PV Lineparts Dept.Material budget GM allocation 07.08.2008 2 2 4" xfId="2331" xr:uid="{DC19E0A6-7A67-4A24-BDAA-9A45D896D3CE}"/>
    <cellStyle name="_New DFL PV Lineparts Dept.Material budget GM allocation 07.08.2008 2 2 4 2" xfId="25783" xr:uid="{2A64D86A-1B80-496F-8383-41989B25C271}"/>
    <cellStyle name="_New DFL PV Lineparts Dept.Material budget GM allocation 07.08.2008 2 3" xfId="2332" xr:uid="{CCB56230-71E7-4ACD-83D4-02E2644117C7}"/>
    <cellStyle name="_New DFL PV Lineparts Dept.Material budget GM allocation 07.08.2008 2 3 2" xfId="25784" xr:uid="{022D384D-FD68-46D1-A670-AF52FDABC595}"/>
    <cellStyle name="_New DFL PV Lineparts Dept.Material budget GM allocation 07.08.2008 2_FY13 Budget Simulation Excel PKG for Auto by company" xfId="2333" xr:uid="{662D7604-5A98-4393-A923-FBDFB50FD541}"/>
    <cellStyle name="_New DFL PV Lineparts Dept.Material budget GM allocation 07.08.2008 3" xfId="2334" xr:uid="{CA5726B0-2063-4381-A241-1E00DCE16BBA}"/>
    <cellStyle name="_New DFL PV Lineparts Dept.Material budget GM allocation 07.08.2008 4" xfId="2335" xr:uid="{81742C89-A0F6-40D5-825D-6EBE86B30F79}"/>
    <cellStyle name="_New DFL PV Lineparts Dept.Material budget GM allocation 07.08.2008 4 2" xfId="25785" xr:uid="{99B4D8F3-4986-4BA4-A6B8-7282D3855E0A}"/>
    <cellStyle name="_New DFL PV Lineparts Dept.Material budget GM allocation 07.08.2008_DFL FY13 Simulation Data version 1010-2(A7C)" xfId="2336" xr:uid="{BEBE9D10-EB73-48BE-AA48-32D981EB51CD}"/>
    <cellStyle name="_New DFL PV Lineparts Dept.Material budget GM allocation 07.08.2008_DFL FY13 Simulation Data version 1010-2(A7C) 2" xfId="2337" xr:uid="{3CD9A3F5-B0E4-4A8D-ADCB-F70B1371705E}"/>
    <cellStyle name="_New DFL PV Lineparts Dept.Material budget GM allocation 07.08.2008_DFL FY13 Simulation Data version 1010-2(A7C) 2 2" xfId="2338" xr:uid="{1B86B70B-3726-445E-8E85-F9BC2E872AE8}"/>
    <cellStyle name="_New DFL PV Lineparts Dept.Material budget GM allocation 07.08.2008_DFL FY13 Simulation Data version 1010-2(A7C) 2 2 2" xfId="2339" xr:uid="{C5713FC5-0C33-46C1-AF8E-4E194F2C39B0}"/>
    <cellStyle name="_New DFL PV Lineparts Dept.Material budget GM allocation 07.08.2008_DFL FY13 Simulation Data version 1010-2(A7C) 2 2 2 2" xfId="25786" xr:uid="{225C025E-8953-4ABC-9BAD-E41CB61DE0D3}"/>
    <cellStyle name="_New DFL PV Lineparts Dept.Material budget GM allocation 07.08.2008_DFL FY13 Simulation Data version 1010-2(A7C) 2 3" xfId="2340" xr:uid="{3C03E57E-F4EE-4E33-89C5-8A7B3817E5BD}"/>
    <cellStyle name="_New DFL PV Lineparts Dept.Material budget GM allocation 07.08.2008_DFL FY13 Simulation Data version 1010-2(A7C) 2 4" xfId="2341" xr:uid="{35885031-9077-4BD9-A62C-004A2D01A910}"/>
    <cellStyle name="_New DFL PV Lineparts Dept.Material budget GM allocation 07.08.2008_DFL FY13 Simulation Data version 1010-2(A7C) 2 4 2" xfId="25787" xr:uid="{27742CAF-88FA-4FCF-AA6F-FB68E2D9EF95}"/>
    <cellStyle name="_New DFL PV Lineparts Dept.Material budget GM allocation 07.08.2008_DFL FY13 Simulation Data version 1010-2(A7C) 3" xfId="2342" xr:uid="{CFDDAA91-CDAB-4E9C-B3C2-B5D8ADB48C75}"/>
    <cellStyle name="_New DFL PV Lineparts Dept.Material budget GM allocation 07.08.2008_DFL FY13 Simulation Data version 1010-2(A7C) 3 2" xfId="25788" xr:uid="{86D40E87-5E8D-4BBF-9973-8E1E6A5F0BDC}"/>
    <cellStyle name="_New DFL PV Lineparts Dept.Material budget GM allocation 07.08.2008_DFL FY13 Simulation Data version 1010-2(A7C)_FY13 Budget Simulation Excel PKG for Auto by company" xfId="2343" xr:uid="{E656A659-F104-41A2-A88C-81F219E381EB}"/>
    <cellStyle name="_New DFL PV Lineparts Dept.Material budget GM allocation 07.08.2008_FY13 Budget Simulation Excel PKG for Auto by company" xfId="2344" xr:uid="{CD79154B-0158-447F-912B-EFB2FC9F8CD6}"/>
    <cellStyle name="_New MVC" xfId="2345" xr:uid="{D4851258-96A9-447C-9D76-6D144E10E3DE}"/>
    <cellStyle name="_news20041210-阳光2号采购成本" xfId="2346" xr:uid="{5058CDBD-29AB-4EF8-A1A1-C86E22792C2C}"/>
    <cellStyle name="_news20041210-阳光2号采购成本 2" xfId="2347" xr:uid="{B521F4AF-D56E-42F1-81DD-6409A3679B0B}"/>
    <cellStyle name="_news20041210-阳光2号采购成本 2 2" xfId="2348" xr:uid="{C1B10210-0460-4A2D-97AE-5C991A67AC42}"/>
    <cellStyle name="_news20041210-阳光2号采购成本 2 2 2" xfId="2349" xr:uid="{5FEFCC3F-250F-46EF-96EF-CB46556490C8}"/>
    <cellStyle name="_news20041210-阳光2号采购成本 2 2 2 2" xfId="2350" xr:uid="{74291F51-4655-447F-935F-85FEEDE7A1F2}"/>
    <cellStyle name="_news20041210-阳光2号采购成本 2 2 2 2 2" xfId="25789" xr:uid="{2C9EB47D-B674-43E1-8079-C9996A28F751}"/>
    <cellStyle name="_news20041210-阳光2号采购成本 2 2 3" xfId="2351" xr:uid="{615B3D29-D258-456A-BC9E-5D9596DA777E}"/>
    <cellStyle name="_news20041210-阳光2号采购成本 2 2 4" xfId="2352" xr:uid="{175F7E05-D5A1-444B-B38A-BA0BAB4B51C5}"/>
    <cellStyle name="_news20041210-阳光2号采购成本 2 2 4 2" xfId="25790" xr:uid="{34AFB0EB-1CA7-4BAD-ACAA-A018F8CFA4CB}"/>
    <cellStyle name="_news20041210-阳光2号采购成本 2_FY13 Budget Simulation Excel PKG for Auto by company" xfId="2353" xr:uid="{81123AEC-4190-47DA-9CCF-7A3008CFA973}"/>
    <cellStyle name="_news20041210-阳光2号采购成本 3" xfId="2354" xr:uid="{E9FB1AF2-31DF-4E51-92BA-EC458070E5DE}"/>
    <cellStyle name="_news20041210-阳光2号采购成本 3 2" xfId="2355" xr:uid="{8ACBC47F-19A3-43FA-89C2-DA93876F55CA}"/>
    <cellStyle name="_news20041210-阳光2号采购成本_05PLAN #1 (EN) 5.31" xfId="2356" xr:uid="{95D8EA88-F238-4EEC-82CA-85691F950620}"/>
    <cellStyle name="_news20041210-阳光2号采购成本_05PLAN #1 (EN) 5.31 2" xfId="2357" xr:uid="{59D2B9E6-C40C-4A0F-8C08-49DB41C4EAF4}"/>
    <cellStyle name="_news20041210-阳光2号采购成本_05PLAN #1 (EN) 5.31 2 2" xfId="2358" xr:uid="{023151F9-3569-45C9-A0A0-B87F402E060A}"/>
    <cellStyle name="_news20041210-阳光2号采购成本_05PLAN #1 (EN) 5.31 2 2 2" xfId="2359" xr:uid="{5E4B738D-F79B-44A9-9139-B0D572414E7D}"/>
    <cellStyle name="_news20041210-阳光2号采购成本_05PLAN #1 (EN) 5.31 2 2 2 2" xfId="2360" xr:uid="{B9B45226-DB9C-4700-9685-3ECF3C8425A5}"/>
    <cellStyle name="_news20041210-阳光2号采购成本_05PLAN #1 (EN) 5.31 2 2 2 2 2" xfId="25791" xr:uid="{FC30A208-8DE3-4AEC-AAD0-4F7CE666667C}"/>
    <cellStyle name="_news20041210-阳光2号采购成本_05PLAN #1 (EN) 5.31 2 2 3" xfId="2361" xr:uid="{48710C93-B7AB-40FB-B926-210EA7142989}"/>
    <cellStyle name="_news20041210-阳光2号采购成本_05PLAN #1 (EN) 5.31 2 2 4" xfId="2362" xr:uid="{AD5FB5B5-67FC-452E-865E-7887B5AB425A}"/>
    <cellStyle name="_news20041210-阳光2号采购成本_05PLAN #1 (EN) 5.31 2 2 4 2" xfId="25792" xr:uid="{B1E04474-EF4E-4CA7-87C8-81FF00890C71}"/>
    <cellStyle name="_news20041210-阳光2号采购成本_05PLAN #1 (EN) 5.31 2_FY13 Budget Simulation Excel PKG for Auto by company" xfId="2363" xr:uid="{FCC4207A-AE48-4AE5-9DFC-F900DC18482F}"/>
    <cellStyle name="_news20041210-阳光2号采购成本_05PLAN #1 (EN) 5.31 3" xfId="2364" xr:uid="{820C7DF2-D57E-4BD1-9CC2-74D7AB1AD674}"/>
    <cellStyle name="_news20041210-阳光2号采购成本_05PLAN #1 (EN) 5.31 3 2" xfId="2365" xr:uid="{453BF2D4-84F1-4F2D-89DD-395799952F8E}"/>
    <cellStyle name="_news20041210-阳光2号采购成本_05PLAN #1 (EN) 5.31_08 budget 071018" xfId="2366" xr:uid="{3CEA04DD-9C8C-4003-AE86-720ACB67C557}"/>
    <cellStyle name="_news20041210-阳光2号采购成本_05PLAN #1 (EN) 5.31_08 budget 071018 2" xfId="2367" xr:uid="{FEEE3FDF-CDC1-4B5A-B5C0-E75607B08B96}"/>
    <cellStyle name="_news20041210-阳光2号采购成本_05PLAN #1 (EN) 5.31_08 budget 071018 2 2" xfId="2368" xr:uid="{9270495A-9987-4F1A-9493-BEDD094CF996}"/>
    <cellStyle name="_news20041210-阳光2号采购成本_05PLAN #1 (EN) 5.31_08 budget 071018 2 2 2" xfId="25793" xr:uid="{C68FE5D3-3EE6-4427-B45B-83F5AD124A33}"/>
    <cellStyle name="_news20041210-阳光2号采购成本_05PLAN #1 (EN) 5.31_'08 budget TDC" xfId="2369" xr:uid="{AEFFAEF5-43BA-46CA-8483-66A9FC01B112}"/>
    <cellStyle name="_news20041210-阳光2号采购成本_05PLAN #1 (EN) 5.31_'08 budget TDC 2" xfId="2370" xr:uid="{9BB48CC5-BAA0-40EC-B07C-5BE826480943}"/>
    <cellStyle name="_news20041210-阳光2号采购成本_05PLAN #1 (EN) 5.31_'08 budget TDC 2 2" xfId="2371" xr:uid="{DA32480A-6BA1-486D-82A3-7D7A4F8AF5C9}"/>
    <cellStyle name="_news20041210-阳光2号采购成本_05PLAN #1 (EN) 5.31_'08 budget TDC 2 2 2" xfId="25794" xr:uid="{A08F090F-1567-4CA6-98C3-8B5737C80E37}"/>
    <cellStyle name="_news20041210-阳光2号采购成本_05PLAN #1 (EN) 5.31_DFL FY13 Simulation Data version 1010-2(A7C)" xfId="2372" xr:uid="{5FDF368B-46B0-4BF9-BC01-0B8E29BDB400}"/>
    <cellStyle name="_news20041210-阳光2号采购成本_05PLAN #1 (EN) 5.31_DFL FY13 Simulation Data version 1010-2(A7C) 2" xfId="2373" xr:uid="{82A05C65-5422-413E-8A97-CDC4FFC59340}"/>
    <cellStyle name="_news20041210-阳光2号采购成本_05PLAN #1 (EN) 5.31_DFL FY13 Simulation Data version 1010-2(A7C) 2 2" xfId="2374" xr:uid="{6F39830C-2E46-4BEA-A552-5A2CFB61873E}"/>
    <cellStyle name="_news20041210-阳光2号采购成本_05PLAN #1 (EN) 5.31_DFL FY13 Simulation Data version 1010-2(A7C) 2 2 2" xfId="2375" xr:uid="{DE8CB1A6-3197-48D7-960C-88BB50DF00BB}"/>
    <cellStyle name="_news20041210-阳光2号采购成本_05PLAN #1 (EN) 5.31_DFL FY13 Simulation Data version 1010-2(A7C) 2 2 2 2" xfId="25795" xr:uid="{41938996-D63D-4286-AD16-54043B8A6394}"/>
    <cellStyle name="_news20041210-阳光2号采购成本_05PLAN #1 (EN) 5.31_DFL FY13 Simulation Data version 1010-2(A7C) 2 3" xfId="2376" xr:uid="{54B7059E-D809-44DC-A698-F30E44E5A66F}"/>
    <cellStyle name="_news20041210-阳光2号采购成本_05PLAN #1 (EN) 5.31_DFL FY13 Simulation Data version 1010-2(A7C) 2 4" xfId="2377" xr:uid="{B35D135C-F501-4A3E-B110-363EF51F33A6}"/>
    <cellStyle name="_news20041210-阳光2号采购成本_05PLAN #1 (EN) 5.31_DFL FY13 Simulation Data version 1010-2(A7C) 2 4 2" xfId="25796" xr:uid="{5B850F47-7B9C-4EE7-8601-375D49E3F43A}"/>
    <cellStyle name="_news20041210-阳光2号采购成本_05PLAN #1 (EN) 5.31_DFL FY13 Simulation Data version 1010-2(A7C) 3" xfId="2378" xr:uid="{28AA68D6-3BDD-4556-85FE-375FF1D11833}"/>
    <cellStyle name="_news20041210-阳光2号采购成本_05PLAN #1 (EN) 5.31_DFL FY13 Simulation Data version 1010-2(A7C) 3 2" xfId="25797" xr:uid="{FD9E7119-4A6F-4088-A919-8E5E5F2F0E73}"/>
    <cellStyle name="_news20041210-阳光2号采购成本_05PLAN #1 (EN) 5.31_DFL FY13 Simulation Data version 1010-2(A7C)_FY13 Budget Simulation Excel PKG for Auto by company" xfId="2379" xr:uid="{A797BC65-67A3-4872-8983-46DF15B23DDE}"/>
    <cellStyle name="_news20041210-阳光2号采购成本_05PLAN #1 (EN) 5.31_FY08 Retail Volume April Report 090409" xfId="2380" xr:uid="{87C11882-38E2-4A44-A190-3E970561B423}"/>
    <cellStyle name="_news20041210-阳光2号采购成本_05PLAN #1 (EN) 5.31_FY08 Retail Volume April Report 090409 2" xfId="2381" xr:uid="{0A8789CF-F36F-47AC-AFCF-586F76379865}"/>
    <cellStyle name="_news20041210-阳光2号采购成本_05PLAN #1 (EN) 5.31_FY08 Retail Volume April Report 090409 2 2" xfId="25798" xr:uid="{90C0427A-88D4-41CB-845A-B716C5CE6575}"/>
    <cellStyle name="_news20041210-阳光2号采购成本_05PLAN #1 (EN) 5.31_FY09 CNTRL Outlook June-Latest0619-Final Retail" xfId="2382" xr:uid="{8098D248-5CB6-4A4B-BF54-E622B6138FF8}"/>
    <cellStyle name="_news20041210-阳光2号采购成本_05PLAN #1 (EN) 5.31_FY09 Landing Scenarios" xfId="2383" xr:uid="{CE0D842B-CB7B-4917-8C33-F21CE21716F0}"/>
    <cellStyle name="_news20041210-阳光2号采购成本_05PLAN #1 (EN) 5.31_FY09 Landing Scenarios_Flash Volume Summary-PER01-rv1" xfId="2384" xr:uid="{638EA4E6-3F6F-41D7-A104-4C2E08A03FCA}"/>
    <cellStyle name="_news20041210-阳光2号采购成本_05PLAN #1 (EN) 5.31_FY09 Landing Scenarios_Flash Volume Summary-PER02" xfId="2385" xr:uid="{E2B0116F-AAF4-41D7-8FF8-AB3BC4391365}"/>
    <cellStyle name="_news20041210-阳光2号采购成本_05PLAN #1 (EN) 5.31_FY09 Landing Scenarios_Flash Volume Summary-PER04" xfId="2386" xr:uid="{E9B48766-37D5-4CAF-B4A1-FE9A613F0CEC}"/>
    <cellStyle name="_news20041210-阳光2号采购成本_05PLAN #1 (EN) 5.31_FY09 Landing Scenarios_Flash Volume Summary-PER0自分用2" xfId="2387" xr:uid="{9058B5EF-9FBE-4B31-BDFB-0F18BDD2BB96}"/>
    <cellStyle name="_news20041210-阳光2号采购成本_05PLAN #1 (EN) 5.31_FY09 Landing Scenarios_Flash Volume Summary-PER10" xfId="2388" xr:uid="{9960461B-720A-4CE3-A795-329A08A0BECE}"/>
    <cellStyle name="_news20041210-阳光2号采购成本_05PLAN #1 (EN) 5.31_FY09 Landing Scenarios_Flash Volume Summary-PER10 for Central" xfId="2389" xr:uid="{C872C478-4963-4924-8CF8-82DE3A87F8C9}"/>
    <cellStyle name="_news20041210-阳光2号采购成本_05PLAN #1 (EN) 5.31_FY09 Q1 Results_Volume MS Exp_July EC" xfId="2390" xr:uid="{0E414015-A717-494C-91A1-8A2E253C3382}"/>
    <cellStyle name="_news20041210-阳光2号采购成本_05PLAN #1 (EN) 5.31_FY09 Q1 Results_Volume MS Exp_July EC 2" xfId="2391" xr:uid="{EF64C22F-FDCB-49EE-A546-D6425303E3E2}"/>
    <cellStyle name="_news20041210-阳光2号采购成本_05PLAN #1 (EN) 5.31_FY09 Q1 Results_Volume MS Exp_July EC 2 2" xfId="25799" xr:uid="{7C0E28A4-454F-4BD5-AF85-C4B1A6FCAC69}"/>
    <cellStyle name="_news20041210-阳光2号采购成本_05PLAN #1 (EN) 5.31_FY09 Q1 Results_Volume MS Exp_July EC v2" xfId="2392" xr:uid="{B45C3FB6-6C50-4F30-B075-B2544C01A668}"/>
    <cellStyle name="_news20041210-阳光2号采购成本_05PLAN #1 (EN) 5.31_FY09 Retail Volume May Report 090513" xfId="2393" xr:uid="{39F3AE5A-6C9B-481B-876F-91D5DBE4764E}"/>
    <cellStyle name="_news20041210-阳光2号采购成本_05PLAN #1 (EN) 5.31_FY09 Retail Volume May Report 090513_Flash Volume Summary-PER01-rv1" xfId="2394" xr:uid="{99F97293-3E05-488E-8CBD-8A5DD66CA001}"/>
    <cellStyle name="_news20041210-阳光2号采购成本_05PLAN #1 (EN) 5.31_FY09 Retail Volume May Report 090513_Flash Volume Summary-PER02" xfId="2395" xr:uid="{F2F5890E-90B2-4238-A6CA-F9EBEC1709C2}"/>
    <cellStyle name="_news20041210-阳光2号采购成本_05PLAN #1 (EN) 5.31_FY09 Retail Volume May Report 090513_Flash Volume Summary-PER04" xfId="2396" xr:uid="{978E5389-12C0-4C98-A3C8-99C132C64FF3}"/>
    <cellStyle name="_news20041210-阳光2号采购成本_05PLAN #1 (EN) 5.31_FY09 Retail Volume May Report 090513_Flash Volume Summary-PER0自分用2" xfId="2397" xr:uid="{F6FEF483-9F64-4422-B1DB-BF6DAB4E91AF}"/>
    <cellStyle name="_news20041210-阳光2号采购成本_05PLAN #1 (EN) 5.31_FY09 Retail Volume May Report 090513_Flash Volume Summary-PER10" xfId="2398" xr:uid="{FB6FFD71-20C6-4AE4-B0F2-4E5F4DD4641D}"/>
    <cellStyle name="_news20041210-阳光2号采购成本_05PLAN #1 (EN) 5.31_FY09 Retail Volume May Report 090513_Flash Volume Summary-PER10 for Central" xfId="2399" xr:uid="{ACF84D39-604E-4701-A375-FCC30BEAD48D}"/>
    <cellStyle name="_news20041210-阳光2号采购成本_05PLAN #1 (EN) 5.31_FY09 WS Volume Report_April YTD_090527-Monthly Budget Updated" xfId="2400" xr:uid="{061DF263-607E-437F-8DD6-0A4C0D6ABFE9}"/>
    <cellStyle name="_news20041210-阳光2号采购成本_05PLAN #1 (EN) 5.31_FY09 WS Volume Report_April YTD_090527-Monthly Budget Updated 2" xfId="2401" xr:uid="{BCAA3782-5399-42E5-8445-E7A4D201EB3C}"/>
    <cellStyle name="_news20041210-阳光2号采购成本_05PLAN #1 (EN) 5.31_FY09 WS Volume Report_April YTD_090527-Monthly Budget Updated 2 2" xfId="25800" xr:uid="{F881C092-947D-4217-B220-451C5FF3A009}"/>
    <cellStyle name="_news20041210-阳光2号采购成本_05PLAN #1 (EN) 5.31_FY10 FC#2 Pricing Analysis to Central" xfId="2402" xr:uid="{DC7EB6D2-7B75-4803-9D67-C4F282AA87E6}"/>
    <cellStyle name="_news20041210-阳光2号采购成本_05PLAN #1 (EN) 5.31_FY10 Q3 YTD_Volume Detail_v2_FINAL" xfId="2403" xr:uid="{11C17657-7335-4ACC-8392-82169F496DB2}"/>
    <cellStyle name="_news20041210-阳光2号采购成本_05PLAN #1 (EN) 5.31_FY13 Budget Simulation Excel PKG for Auto by company" xfId="2404" xr:uid="{059E500A-BE9E-45B5-8E1C-FADB48308CE0}"/>
    <cellStyle name="_news20041210-阳光2号采购成本_05PLAN #1 (EN) 5.31_June_FY09 Retail Volume_090713" xfId="2405" xr:uid="{CD752538-E3AD-4F3A-812D-82C5F3888736}"/>
    <cellStyle name="_news20041210-阳光2号采购成本_05PLAN #1 (EN) 5.31_June_FY09 Retail Volume_090713 2" xfId="2406" xr:uid="{1CAB5336-6B6B-429F-BB48-A6671803E02D}"/>
    <cellStyle name="_news20041210-阳光2号采购成本_05PLAN #1 (EN) 5.31_June_FY09 Retail Volume_090713 2 2" xfId="25801" xr:uid="{FF8F3200-6B1C-4456-87AC-B89A645DC9ED}"/>
    <cellStyle name="_news20041210-阳光2号采购成本_05PLAN #1 (EN) 5.31_L11K Impact vs. Budget" xfId="2407" xr:uid="{E0FE204D-653D-436A-9180-E8B34314AF78}"/>
    <cellStyle name="_news20041210-阳光2号采购成本_05PLAN #1 (EN) 5.31_L11K Impact vs. Budget 2" xfId="2408" xr:uid="{47982C55-2043-4A52-8A58-DBA7918E484F}"/>
    <cellStyle name="_news20041210-阳光2号采购成本_05PLAN #1 (EN) 5.31_L11K Impact vs. Budget 2 2" xfId="2409" xr:uid="{1FC53DDA-BB3B-4F7A-A245-C91734B1AA41}"/>
    <cellStyle name="_news20041210-阳光2号采购成本_05PLAN #1 (EN) 5.31_L11K Impact vs. Budget 2 2 2" xfId="25802" xr:uid="{1B63F120-329A-40E6-A99C-7538FB202239}"/>
    <cellStyle name="_news20041210-阳光2号采购成本_05PLAN #1 (EN) 5.31_L11K Impact vs. Budget_L42F_MSRP TP mix k_080520" xfId="2410" xr:uid="{89EEBAF8-4A90-4838-8AC1-BF5AC943F296}"/>
    <cellStyle name="_news20041210-阳光2号采购成本_05PLAN #1 (EN) 5.31_L11K Impact vs. Budget_L42F_MSRP TP mix k_080520 2" xfId="2411" xr:uid="{97745A77-93B8-4CC0-B6FB-FEAEDD2EE4A9}"/>
    <cellStyle name="_news20041210-阳光2号采购成本_05PLAN #1 (EN) 5.31_L11K Impact vs. Budget_L42F_MSRP TP mix k_080520 2 2" xfId="2412" xr:uid="{A765D95C-B677-4DC7-8C82-2C1A305BB766}"/>
    <cellStyle name="_news20041210-阳光2号采购成本_05PLAN #1 (EN) 5.31_L11K Impact vs. Budget_L42F_MSRP TP mix k_080520 2 2 2" xfId="25803" xr:uid="{9614A954-149C-4E1F-A1EA-5CED13D67965}"/>
    <cellStyle name="_news20041210-阳光2号采购成本_05PLAN #1 (EN) 5.31_L11K Impact vs. Budget_L42F_MSRP TP mix k_080528" xfId="2413" xr:uid="{B72FA69F-A7AA-472F-910D-3AB5CD92FE41}"/>
    <cellStyle name="_news20041210-阳光2号采购成本_05PLAN #1 (EN) 5.31_L11K Impact vs. Budget_L42F_MSRP TP mix k_080528 2" xfId="2414" xr:uid="{F748714C-8F8B-414B-85C8-3B6DF33A195D}"/>
    <cellStyle name="_news20041210-阳光2号采购成本_05PLAN #1 (EN) 5.31_L11K Impact vs. Budget_L42F_MSRP TP mix k_080528 2 2" xfId="2415" xr:uid="{43A0EDD1-7352-4D27-8C33-B36693DAC3A1}"/>
    <cellStyle name="_news20041210-阳光2号采购成本_05PLAN #1 (EN) 5.31_L11K Impact vs. Budget_L42F_MSRP TP mix k_080528 2 2 2" xfId="25804" xr:uid="{91F3D403-F1C0-454A-AED1-73695686E34F}"/>
    <cellStyle name="_news20041210-阳光2号采购成本_05PLAN #1 (EN) 5.31_L11K Impact vs. Budget_P32E TDC for Final MPR(080912 31K Base)---from zhangtao" xfId="2416" xr:uid="{90BB40F0-D14B-40C8-9F2E-4BD4669EA105}"/>
    <cellStyle name="_news20041210-阳光2号采购成本_05PLAN #1 (EN) 5.31_L11K Impact vs. Budget_P32E TDC for Final MPR(080912 31K Base)---from zhangtao 2" xfId="2417" xr:uid="{E66C95D2-CBA6-448E-94A7-C1BE954601D3}"/>
    <cellStyle name="_news20041210-阳光2号采购成本_05PLAN #1 (EN) 5.31_L11K Impact vs. Budget_P32E TDC for Final MPR(080912 31K Base)---from zhangtao 2 2" xfId="2418" xr:uid="{3A3DB1C2-B051-4834-B885-52F3FB56B8C2}"/>
    <cellStyle name="_news20041210-阳光2号采购成本_05PLAN #1 (EN) 5.31_L11K Impact vs. Budget_P32E TDC for Final MPR(080912 31K Base)---from zhangtao 2 2 2" xfId="25805" xr:uid="{53967405-EAAD-4E73-B66A-BCC49FD47EA0}"/>
    <cellStyle name="_news20041210-阳光2号采购成本_05PLAN #1 (EN) 5.31_L42F_MSRP TP mix k_080520" xfId="2419" xr:uid="{D9A9E088-DB24-488F-BC91-78F7E26C27F1}"/>
    <cellStyle name="_news20041210-阳光2号采购成本_05PLAN #1 (EN) 5.31_L42F_MSRP TP mix k_080520 2" xfId="2420" xr:uid="{A155DA0F-1FD4-458D-B6BB-9A9D715FDC20}"/>
    <cellStyle name="_news20041210-阳光2号采购成本_05PLAN #1 (EN) 5.31_L42F_MSRP TP mix k_080520 2 2" xfId="2421" xr:uid="{1EDAAA81-58F5-45B3-ABE6-D347A559A363}"/>
    <cellStyle name="_news20041210-阳光2号采购成本_05PLAN #1 (EN) 5.31_L42F_MSRP TP mix k_080520 2 2 2" xfId="25806" xr:uid="{CBBBD358-4E2C-423E-A73E-DD09470F8750}"/>
    <cellStyle name="_news20041210-阳光2号采购成本_05PLAN #1 (EN) 5.31_L42F_MSRP TP mix k_080528" xfId="2422" xr:uid="{DAA42213-49FF-4202-87BB-F27C5F2A0411}"/>
    <cellStyle name="_news20041210-阳光2号采购成本_05PLAN #1 (EN) 5.31_L42F_MSRP TP mix k_080528 2" xfId="2423" xr:uid="{6A731692-AE95-4A38-8C6A-B30D056E7898}"/>
    <cellStyle name="_news20041210-阳光2号采购成本_05PLAN #1 (EN) 5.31_L42F_MSRP TP mix k_080528 2 2" xfId="2424" xr:uid="{DF509891-CF50-42EF-BC7B-BBA22798C28F}"/>
    <cellStyle name="_news20041210-阳光2号采购成本_05PLAN #1 (EN) 5.31_L42F_MSRP TP mix k_080528 2 2 2" xfId="25807" xr:uid="{8B942BDB-4626-4E1B-BC8B-4B9180E93F0C}"/>
    <cellStyle name="_news20041210-阳光2号采购成本_05PLAN #1 (EN) 5.31_May_FY09 Retail Volume_090615" xfId="2425" xr:uid="{D592BAD1-311E-4019-A277-2D65010CC25A}"/>
    <cellStyle name="_news20041210-阳光2号采购成本_05PLAN #1 (EN) 5.31_May_FY09 Retail Volume_090615 2" xfId="2426" xr:uid="{29A8EE40-09F5-4FED-B84A-4A8484179DE9}"/>
    <cellStyle name="_news20041210-阳光2号采购成本_05PLAN #1 (EN) 5.31_May_FY09 Retail Volume_090615 2 2" xfId="25808" xr:uid="{01B4D5FA-9B57-4DAF-AE94-0CBB084BB099}"/>
    <cellStyle name="_news20041210-阳光2号采购成本_05PLAN #1 (EN) 5.31_P32E TDC for Final MPR(080912 31K Base)---from zhangtao" xfId="2427" xr:uid="{EF8CA0CB-05DF-4A71-AD30-FD7B891ECBC9}"/>
    <cellStyle name="_news20041210-阳光2号采购成本_05PLAN #1 (EN) 5.31_P32E TDC for Final MPR(080912 31K Base)---from zhangtao 2" xfId="2428" xr:uid="{8C65A8B5-5130-4C76-95E3-B9C483868A88}"/>
    <cellStyle name="_news20041210-阳光2号采购成本_05PLAN #1 (EN) 5.31_P32E TDC for Final MPR(080912 31K Base)---from zhangtao 2 2" xfId="2429" xr:uid="{4F944CCC-F3C7-4F15-B5B8-062E2AB59F32}"/>
    <cellStyle name="_news20041210-阳光2号采购成本_05PLAN #1 (EN) 5.31_P32E TDC for Final MPR(080912 31K Base)---from zhangtao 2 2 2" xfId="25809" xr:uid="{8452A951-040A-45EB-9222-2D24087A9C6F}"/>
    <cellStyle name="_news20041210-阳光2号采购成本_05PLAN #1 (EN) 5.31_Steel hike calculate base-20080523" xfId="2430" xr:uid="{F91E94FA-F7F3-4B7E-AA45-6D68AA5B054C}"/>
    <cellStyle name="_news20041210-阳光2号采购成本_05PLAN #1 (EN) 5.31_Steel hike calculate base-20080523 2" xfId="2431" xr:uid="{F755C695-29CD-4B34-9DB8-C5F367A153B6}"/>
    <cellStyle name="_news20041210-阳光2号采购成本_05PLAN #1 (EN) 5.31_Steel hike calculate base-20080523 2 2" xfId="2432" xr:uid="{37D3B135-DA06-46B4-BA67-AD2C9BF805DB}"/>
    <cellStyle name="_news20041210-阳光2号采购成本_05PLAN #1 (EN) 5.31_Steel hike calculate base-20080523 2 2 2" xfId="2433" xr:uid="{261FD186-566D-4594-945C-5F362C9EC364}"/>
    <cellStyle name="_news20041210-阳光2号采购成本_05PLAN #1 (EN) 5.31_Steel hike calculate base-20080523 2 2 2 2" xfId="2434" xr:uid="{5617911D-3F95-48C4-B7A3-011B91241703}"/>
    <cellStyle name="_news20041210-阳光2号采购成本_05PLAN #1 (EN) 5.31_Steel hike calculate base-20080523 2 2 2 2 2" xfId="25810" xr:uid="{6CC001AC-FD7B-45A9-9FEF-D0A97DD2E922}"/>
    <cellStyle name="_news20041210-阳光2号采购成本_05PLAN #1 (EN) 5.31_Steel hike calculate base-20080523 2 2 3" xfId="2435" xr:uid="{ACD2F8C4-4699-42B7-9FC1-6ACD5447F3D8}"/>
    <cellStyle name="_news20041210-阳光2号采购成本_05PLAN #1 (EN) 5.31_Steel hike calculate base-20080523 2 2 4" xfId="2436" xr:uid="{53C71E8A-4D60-47A2-B7E0-1DB3B64308A1}"/>
    <cellStyle name="_news20041210-阳光2号采购成本_05PLAN #1 (EN) 5.31_Steel hike calculate base-20080523 2 2 4 2" xfId="25811" xr:uid="{4F9A5B71-3B70-43C9-8DAF-F75372E66EFC}"/>
    <cellStyle name="_news20041210-阳光2号采购成本_05PLAN #1 (EN) 5.31_Steel hike calculate base-20080523 2 3" xfId="2437" xr:uid="{641DB955-E76D-4762-99D4-F9D430348845}"/>
    <cellStyle name="_news20041210-阳光2号采购成本_05PLAN #1 (EN) 5.31_Steel hike calculate base-20080523 2 3 2" xfId="25812" xr:uid="{5C4D9E4B-B931-45D8-B009-024D0DAFC6C2}"/>
    <cellStyle name="_news20041210-阳光2号采购成本_05PLAN #1 (EN) 5.31_Steel hike calculate base-20080523 2_FY13 Budget Simulation Excel PKG for Auto by company" xfId="2438" xr:uid="{AE6255A7-FCC7-466B-B15F-C8C1986C067F}"/>
    <cellStyle name="_news20041210-阳光2号采购成本_05PLAN #1 (EN) 5.31_Steel hike calculate base-20080523 3" xfId="2439" xr:uid="{162A3895-5CA8-40C9-B986-87B5046CD31A}"/>
    <cellStyle name="_news20041210-阳光2号采购成本_05PLAN #1 (EN) 5.31_Steel hike calculate base-20080523 4" xfId="2440" xr:uid="{97DA33D6-FD3E-4F26-AEE3-481AC59C42CD}"/>
    <cellStyle name="_news20041210-阳光2号采购成本_05PLAN #1 (EN) 5.31_Steel hike calculate base-20080523 4 2" xfId="25813" xr:uid="{A3CA9805-BA0D-4570-95F3-473667242BCE}"/>
    <cellStyle name="_news20041210-阳光2号采购成本_05PLAN #1 (EN) 5.31_Steel hike calculate base-20080523_DFL FY13 Simulation Data version 1010-2(A7C)" xfId="2441" xr:uid="{DCEA700B-8C90-437F-A975-A5093D240389}"/>
    <cellStyle name="_news20041210-阳光2号采购成本_05PLAN #1 (EN) 5.31_Steel hike calculate base-20080523_DFL FY13 Simulation Data version 1010-2(A7C) 2" xfId="2442" xr:uid="{B614BFC7-C529-4BCD-901D-6B5D40947BF4}"/>
    <cellStyle name="_news20041210-阳光2号采购成本_05PLAN #1 (EN) 5.31_Steel hike calculate base-20080523_DFL FY13 Simulation Data version 1010-2(A7C) 2 2" xfId="2443" xr:uid="{46AA8D1D-918B-4AA9-8B27-5CCDB69B3B37}"/>
    <cellStyle name="_news20041210-阳光2号采购成本_05PLAN #1 (EN) 5.31_Steel hike calculate base-20080523_DFL FY13 Simulation Data version 1010-2(A7C) 2 2 2" xfId="2444" xr:uid="{4A9D6161-45C2-4BEC-B5A4-5C04F8E74FD6}"/>
    <cellStyle name="_news20041210-阳光2号采购成本_05PLAN #1 (EN) 5.31_Steel hike calculate base-20080523_DFL FY13 Simulation Data version 1010-2(A7C) 2 2 2 2" xfId="25814" xr:uid="{E5B6F4FA-C551-4EC7-B38C-CBA3802807E0}"/>
    <cellStyle name="_news20041210-阳光2号采购成本_05PLAN #1 (EN) 5.31_Steel hike calculate base-20080523_DFL FY13 Simulation Data version 1010-2(A7C) 2 3" xfId="2445" xr:uid="{BB49DC03-40CB-4FF4-A6A3-7B600AC545E3}"/>
    <cellStyle name="_news20041210-阳光2号采购成本_05PLAN #1 (EN) 5.31_Steel hike calculate base-20080523_DFL FY13 Simulation Data version 1010-2(A7C) 2 4" xfId="2446" xr:uid="{B3FE1A88-0EDD-4E84-B8B9-323DDD2D5F5E}"/>
    <cellStyle name="_news20041210-阳光2号采购成本_05PLAN #1 (EN) 5.31_Steel hike calculate base-20080523_DFL FY13 Simulation Data version 1010-2(A7C) 2 4 2" xfId="25815" xr:uid="{6F8BBA51-8069-4D16-82BF-D6046C53B93A}"/>
    <cellStyle name="_news20041210-阳光2号采购成本_05PLAN #1 (EN) 5.31_Steel hike calculate base-20080523_DFL FY13 Simulation Data version 1010-2(A7C) 3" xfId="2447" xr:uid="{7CF588EC-632E-43F1-83F5-2B933D5D2569}"/>
    <cellStyle name="_news20041210-阳光2号采购成本_05PLAN #1 (EN) 5.31_Steel hike calculate base-20080523_DFL FY13 Simulation Data version 1010-2(A7C) 3 2" xfId="25816" xr:uid="{E337764A-63CF-4B4B-8C69-EF5DC82F797C}"/>
    <cellStyle name="_news20041210-阳光2号采购成本_05PLAN #1 (EN) 5.31_Steel hike calculate base-20080523_DFL FY13 Simulation Data version 1010-2(A7C)_FY13 Budget Simulation Excel PKG for Auto by company" xfId="2448" xr:uid="{51E706B3-FF2B-4D3F-BD8D-9276BD52ABC2}"/>
    <cellStyle name="_news20041210-阳光2号采购成本_05PLAN #1 (EN) 5.31_Steel hike calculate base-20080523_FY13 Budget Simulation Excel PKG for Auto by company" xfId="2449" xr:uid="{6512B6F9-2CB2-4E2D-BA3A-B5436D1438FE}"/>
    <cellStyle name="_news20041210-阳光2号采购成本_08 budget 071018" xfId="2450" xr:uid="{201BAC3D-A5A9-4314-9BCB-303967D99118}"/>
    <cellStyle name="_news20041210-阳光2号采购成本_08 budget 071018 2" xfId="2451" xr:uid="{B6455418-A5EE-4AC9-8731-9D8685D31B41}"/>
    <cellStyle name="_news20041210-阳光2号采购成本_08 budget 071018 2 2" xfId="2452" xr:uid="{C8A6B536-1E34-475A-92E2-43881C1E700E}"/>
    <cellStyle name="_news20041210-阳光2号采购成本_08 budget 071018 2 2 2" xfId="25817" xr:uid="{C64C464D-EC8E-447C-8517-F130B4852830}"/>
    <cellStyle name="_news20041210-阳光2号采购成本_'08 budget TDC" xfId="2453" xr:uid="{D157637B-A549-4052-93F3-98679D3F5A50}"/>
    <cellStyle name="_news20041210-阳光2号采购成本_'08 budget TDC 2" xfId="2454" xr:uid="{D843C4A6-82BC-4B01-9F32-95C0C995591C}"/>
    <cellStyle name="_news20041210-阳光2号采购成本_'08 budget TDC 2 2" xfId="2455" xr:uid="{25A99C94-A520-4FD8-A657-07830B9B704A}"/>
    <cellStyle name="_news20041210-阳光2号采购成本_'08 budget TDC 2 2 2" xfId="25818" xr:uid="{B13DA3AC-EC51-4712-9834-CF2C2E8AA91F}"/>
    <cellStyle name="_news20041210-阳光2号采购成本_CVD_05PLAN (EN) 5.30.05" xfId="2456" xr:uid="{37C58DB8-B2E1-4872-80F3-E80F0A5C54FC}"/>
    <cellStyle name="_news20041210-阳光2号采购成本_CVD_05PLAN (EN) 5.30.05 2" xfId="2457" xr:uid="{2E0543B6-7FB3-4C5F-972C-486D6DEE67C2}"/>
    <cellStyle name="_news20041210-阳光2号采购成本_CVD_05PLAN (EN) 5.30.05 2 2" xfId="2458" xr:uid="{54833CBB-DE06-408F-813A-9222C4B74465}"/>
    <cellStyle name="_news20041210-阳光2号采购成本_CVD_05PLAN (EN) 5.30.05 2 2 2" xfId="2459" xr:uid="{EA216427-3C6D-4432-8D83-72E287B713EC}"/>
    <cellStyle name="_news20041210-阳光2号采购成本_CVD_05PLAN (EN) 5.30.05 2 2 2 2" xfId="2460" xr:uid="{7CD6E8A3-2AE1-4E63-B0DE-F12A9DB54996}"/>
    <cellStyle name="_news20041210-阳光2号采购成本_CVD_05PLAN (EN) 5.30.05 2 2 2 2 2" xfId="25819" xr:uid="{4CC9C9C9-8FF1-4B55-A846-2C883B228EE9}"/>
    <cellStyle name="_news20041210-阳光2号采购成本_CVD_05PLAN (EN) 5.30.05 2 2 3" xfId="2461" xr:uid="{78342658-8D95-4869-BC74-5A2AD06345D4}"/>
    <cellStyle name="_news20041210-阳光2号采购成本_CVD_05PLAN (EN) 5.30.05 2 2 4" xfId="2462" xr:uid="{14B86EFE-BA5E-4032-8E3F-79A6F278222C}"/>
    <cellStyle name="_news20041210-阳光2号采购成本_CVD_05PLAN (EN) 5.30.05 2 2 4 2" xfId="25820" xr:uid="{5E3C2C1C-8832-4903-A4C1-9DC06C77737C}"/>
    <cellStyle name="_news20041210-阳光2号采购成本_CVD_05PLAN (EN) 5.30.05 2_FY13 Budget Simulation Excel PKG for Auto by company" xfId="2463" xr:uid="{C3E924F0-B90B-442D-8B7D-666159D94CF8}"/>
    <cellStyle name="_news20041210-阳光2号采购成本_CVD_05PLAN (EN) 5.30.05 3" xfId="2464" xr:uid="{63325CD5-FC20-41A9-8C08-20B59205822F}"/>
    <cellStyle name="_news20041210-阳光2号采购成本_CVD_05PLAN (EN) 5.30.05 3 2" xfId="2465" xr:uid="{2BB7911F-33C3-4D4A-9B1B-F76A6AFADD51}"/>
    <cellStyle name="_news20041210-阳光2号采购成本_CVD_05PLAN (EN) 5.30.05_08 budget 071018" xfId="2466" xr:uid="{3A905B37-05A8-47CE-8DBF-18108C70E76D}"/>
    <cellStyle name="_news20041210-阳光2号采购成本_CVD_05PLAN (EN) 5.30.05_08 budget 071018 2" xfId="2467" xr:uid="{400CD203-BE81-4556-A12F-7D66154030BA}"/>
    <cellStyle name="_news20041210-阳光2号采购成本_CVD_05PLAN (EN) 5.30.05_08 budget 071018 2 2" xfId="2468" xr:uid="{7AC0A07A-4697-4A97-A080-1FC133FFD347}"/>
    <cellStyle name="_news20041210-阳光2号采购成本_CVD_05PLAN (EN) 5.30.05_08 budget 071018 2 2 2" xfId="25821" xr:uid="{9AB6738E-CE0C-41B6-BED3-F786BB8C99E3}"/>
    <cellStyle name="_news20041210-阳光2号采购成本_CVD_05PLAN (EN) 5.30.05_'08 budget TDC" xfId="2469" xr:uid="{66A1D8FE-7F23-4572-9D0A-BB2EC9BB494A}"/>
    <cellStyle name="_news20041210-阳光2号采购成本_CVD_05PLAN (EN) 5.30.05_'08 budget TDC 2" xfId="2470" xr:uid="{8FD072EA-A60A-411D-A3AB-F4818314E3B3}"/>
    <cellStyle name="_news20041210-阳光2号采购成本_CVD_05PLAN (EN) 5.30.05_'08 budget TDC 2 2" xfId="2471" xr:uid="{4688751E-09C9-4F4A-9D16-65DF95C8D510}"/>
    <cellStyle name="_news20041210-阳光2号采购成本_CVD_05PLAN (EN) 5.30.05_'08 budget TDC 2 2 2" xfId="25822" xr:uid="{6E5664D9-2397-4E00-9CDA-BC3401A9E04B}"/>
    <cellStyle name="_news20041210-阳光2号采购成本_CVD_05PLAN (EN) 5.30.05_DFL FY13 Simulation Data version 1010-2(A7C)" xfId="2472" xr:uid="{DA1138F5-DC07-4DC8-8608-34C3505E501C}"/>
    <cellStyle name="_news20041210-阳光2号采购成本_CVD_05PLAN (EN) 5.30.05_DFL FY13 Simulation Data version 1010-2(A7C) 2" xfId="2473" xr:uid="{ECCEEE54-99AF-4E84-98A5-CE934347B9EE}"/>
    <cellStyle name="_news20041210-阳光2号采购成本_CVD_05PLAN (EN) 5.30.05_DFL FY13 Simulation Data version 1010-2(A7C) 2 2" xfId="2474" xr:uid="{C01258CB-BC40-4966-97D7-D286BAC26A0A}"/>
    <cellStyle name="_news20041210-阳光2号采购成本_CVD_05PLAN (EN) 5.30.05_DFL FY13 Simulation Data version 1010-2(A7C) 2 2 2" xfId="2475" xr:uid="{F9024C40-1EA6-4184-9EFD-572544F4026B}"/>
    <cellStyle name="_news20041210-阳光2号采购成本_CVD_05PLAN (EN) 5.30.05_DFL FY13 Simulation Data version 1010-2(A7C) 2 2 2 2" xfId="25823" xr:uid="{DD0129AC-FB73-4AD0-84CD-3ECAAAA14A86}"/>
    <cellStyle name="_news20041210-阳光2号采购成本_CVD_05PLAN (EN) 5.30.05_DFL FY13 Simulation Data version 1010-2(A7C) 2 3" xfId="2476" xr:uid="{5E25DEFF-6CCA-4B53-B240-643F8B765019}"/>
    <cellStyle name="_news20041210-阳光2号采购成本_CVD_05PLAN (EN) 5.30.05_DFL FY13 Simulation Data version 1010-2(A7C) 2 4" xfId="2477" xr:uid="{8F6222EA-47F6-4E4A-97C9-9E9C835A3134}"/>
    <cellStyle name="_news20041210-阳光2号采购成本_CVD_05PLAN (EN) 5.30.05_DFL FY13 Simulation Data version 1010-2(A7C) 2 4 2" xfId="25824" xr:uid="{A9C8B3FC-FDA5-4227-8816-13A0D29C37D7}"/>
    <cellStyle name="_news20041210-阳光2号采购成本_CVD_05PLAN (EN) 5.30.05_DFL FY13 Simulation Data version 1010-2(A7C) 3" xfId="2478" xr:uid="{5A314BE6-FA7C-45D6-9B3F-A3DD08702B75}"/>
    <cellStyle name="_news20041210-阳光2号采购成本_CVD_05PLAN (EN) 5.30.05_DFL FY13 Simulation Data version 1010-2(A7C) 3 2" xfId="25825" xr:uid="{4B9ED951-F23E-42B0-8755-CFE2B96153A1}"/>
    <cellStyle name="_news20041210-阳光2号采购成本_CVD_05PLAN (EN) 5.30.05_DFL FY13 Simulation Data version 1010-2(A7C)_FY13 Budget Simulation Excel PKG for Auto by company" xfId="2479" xr:uid="{A9AA227C-5777-4CAE-B244-00F69B02D9F5}"/>
    <cellStyle name="_news20041210-阳光2号采购成本_CVD_05PLAN (EN) 5.30.05_FY08 Retail Volume April Report 090409" xfId="2480" xr:uid="{B0C7BAE3-D886-4D59-BFAC-4BE61B9EA490}"/>
    <cellStyle name="_news20041210-阳光2号采购成本_CVD_05PLAN (EN) 5.30.05_FY08 Retail Volume April Report 090409 2" xfId="2481" xr:uid="{B6A57ED4-7225-4370-A3D1-275E3CF825B8}"/>
    <cellStyle name="_news20041210-阳光2号采购成本_CVD_05PLAN (EN) 5.30.05_FY08 Retail Volume April Report 090409 2 2" xfId="25826" xr:uid="{5D8A9E4B-4B8D-4DBC-938B-D918FE76A4EA}"/>
    <cellStyle name="_news20041210-阳光2号采购成本_CVD_05PLAN (EN) 5.30.05_FY09 CNTRL Outlook June-Latest0619-Final Retail" xfId="2482" xr:uid="{FC08E8FE-BACB-4BC3-A91E-A06F1CB60D1F}"/>
    <cellStyle name="_news20041210-阳光2号采购成本_CVD_05PLAN (EN) 5.30.05_FY09 Landing Scenarios" xfId="2483" xr:uid="{139C7BF0-3311-444B-A1BC-241F0A5C8AD3}"/>
    <cellStyle name="_news20041210-阳光2号采购成本_CVD_05PLAN (EN) 5.30.05_FY09 Landing Scenarios_Flash Volume Summary-PER01-rv1" xfId="2484" xr:uid="{6A431F7B-B8A6-4376-B3F4-A64E1A3898A4}"/>
    <cellStyle name="_news20041210-阳光2号采购成本_CVD_05PLAN (EN) 5.30.05_FY09 Landing Scenarios_Flash Volume Summary-PER02" xfId="2485" xr:uid="{9B838E40-1800-487F-8493-FF75697AD309}"/>
    <cellStyle name="_news20041210-阳光2号采购成本_CVD_05PLAN (EN) 5.30.05_FY09 Landing Scenarios_Flash Volume Summary-PER04" xfId="2486" xr:uid="{82201E53-55E1-4CBA-AF8F-453E0C24D3FC}"/>
    <cellStyle name="_news20041210-阳光2号采购成本_CVD_05PLAN (EN) 5.30.05_FY09 Landing Scenarios_Flash Volume Summary-PER0自分用2" xfId="2487" xr:uid="{432C4AED-7560-45CA-A634-16C067CA66DC}"/>
    <cellStyle name="_news20041210-阳光2号采购成本_CVD_05PLAN (EN) 5.30.05_FY09 Landing Scenarios_Flash Volume Summary-PER10" xfId="2488" xr:uid="{CECDD45D-8958-427B-8BED-929502B15E45}"/>
    <cellStyle name="_news20041210-阳光2号采购成本_CVD_05PLAN (EN) 5.30.05_FY09 Landing Scenarios_Flash Volume Summary-PER10 for Central" xfId="2489" xr:uid="{DA0E0B60-177F-4ED2-A111-94309BB5F019}"/>
    <cellStyle name="_news20041210-阳光2号采购成本_CVD_05PLAN (EN) 5.30.05_FY09 Q1 Results_Volume MS Exp_July EC" xfId="2490" xr:uid="{6AE20EFF-5E9F-41E1-9C03-E2DD285A4997}"/>
    <cellStyle name="_news20041210-阳光2号采购成本_CVD_05PLAN (EN) 5.30.05_FY09 Q1 Results_Volume MS Exp_July EC 2" xfId="2491" xr:uid="{5DC14832-43E0-4EC2-A06F-F607225FC22D}"/>
    <cellStyle name="_news20041210-阳光2号采购成本_CVD_05PLAN (EN) 5.30.05_FY09 Q1 Results_Volume MS Exp_July EC 2 2" xfId="25827" xr:uid="{B29FA683-981E-413F-986D-FBE416F70821}"/>
    <cellStyle name="_news20041210-阳光2号采购成本_CVD_05PLAN (EN) 5.30.05_FY09 Q1 Results_Volume MS Exp_July EC v2" xfId="2492" xr:uid="{3DFB2A41-51C6-4F5B-98BA-AED85B9F80D6}"/>
    <cellStyle name="_news20041210-阳光2号采购成本_CVD_05PLAN (EN) 5.30.05_FY09 Retail Volume May Report 090513" xfId="2493" xr:uid="{CE16E144-98F6-426C-A72F-2768F8AF9A26}"/>
    <cellStyle name="_news20041210-阳光2号采购成本_CVD_05PLAN (EN) 5.30.05_FY09 Retail Volume May Report 090513_Flash Volume Summary-PER01-rv1" xfId="2494" xr:uid="{969AB992-B88D-49E9-9510-DCE5528ED306}"/>
    <cellStyle name="_news20041210-阳光2号采购成本_CVD_05PLAN (EN) 5.30.05_FY09 Retail Volume May Report 090513_Flash Volume Summary-PER02" xfId="2495" xr:uid="{879ED729-1D93-4E8E-887A-F6BDE96587C7}"/>
    <cellStyle name="_news20041210-阳光2号采购成本_CVD_05PLAN (EN) 5.30.05_FY09 Retail Volume May Report 090513_Flash Volume Summary-PER04" xfId="2496" xr:uid="{417E75CC-2C1A-437D-A083-ACD6AC18C2CF}"/>
    <cellStyle name="_news20041210-阳光2号采购成本_CVD_05PLAN (EN) 5.30.05_FY09 Retail Volume May Report 090513_Flash Volume Summary-PER0自分用2" xfId="2497" xr:uid="{26915C38-882A-4DAB-B601-134B35A6B54B}"/>
    <cellStyle name="_news20041210-阳光2号采购成本_CVD_05PLAN (EN) 5.30.05_FY09 Retail Volume May Report 090513_Flash Volume Summary-PER10" xfId="2498" xr:uid="{F5A97C33-855C-4AE2-9412-1574218AD304}"/>
    <cellStyle name="_news20041210-阳光2号采购成本_CVD_05PLAN (EN) 5.30.05_FY09 Retail Volume May Report 090513_Flash Volume Summary-PER10 for Central" xfId="2499" xr:uid="{91700911-8BF7-4157-B3F7-F893FBAF21CC}"/>
    <cellStyle name="_news20041210-阳光2号采购成本_CVD_05PLAN (EN) 5.30.05_FY09 WS Volume Report_April YTD_090527-Monthly Budget Updated" xfId="2500" xr:uid="{70E86DDA-B879-4EF3-9AD4-9478EACDB2AD}"/>
    <cellStyle name="_news20041210-阳光2号采购成本_CVD_05PLAN (EN) 5.30.05_FY09 WS Volume Report_April YTD_090527-Monthly Budget Updated 2" xfId="2501" xr:uid="{5CDFC11F-5540-409B-B06F-D424AFA47389}"/>
    <cellStyle name="_news20041210-阳光2号采购成本_CVD_05PLAN (EN) 5.30.05_FY09 WS Volume Report_April YTD_090527-Monthly Budget Updated 2 2" xfId="25828" xr:uid="{7C57D981-DCD6-4299-8304-8C85E18306B5}"/>
    <cellStyle name="_news20041210-阳光2号采购成本_CVD_05PLAN (EN) 5.30.05_FY10 FC#2 Pricing Analysis to Central" xfId="2502" xr:uid="{CD9663C5-EA34-4339-AD8E-CF59097E7BD2}"/>
    <cellStyle name="_news20041210-阳光2号采购成本_CVD_05PLAN (EN) 5.30.05_FY10 Q3 YTD_Volume Detail_v2_FINAL" xfId="2503" xr:uid="{0EA2B42E-7452-4063-989F-2AFF5284E8AD}"/>
    <cellStyle name="_news20041210-阳光2号采购成本_CVD_05PLAN (EN) 5.30.05_FY13 Budget Simulation Excel PKG for Auto by company" xfId="2504" xr:uid="{9267EE6B-DC41-47EA-AC4E-0600AC1BA86C}"/>
    <cellStyle name="_news20041210-阳光2号采购成本_CVD_05PLAN (EN) 5.30.05_June_FY09 Retail Volume_090713" xfId="2505" xr:uid="{980EEE5B-32A2-4A36-955B-E643E7C0DFD7}"/>
    <cellStyle name="_news20041210-阳光2号采购成本_CVD_05PLAN (EN) 5.30.05_June_FY09 Retail Volume_090713 2" xfId="2506" xr:uid="{BFB4382D-10FF-439F-AA71-E6F81D914B39}"/>
    <cellStyle name="_news20041210-阳光2号采购成本_CVD_05PLAN (EN) 5.30.05_June_FY09 Retail Volume_090713 2 2" xfId="25829" xr:uid="{4D6A8039-CD0F-422B-96A1-31A840CB1109}"/>
    <cellStyle name="_news20041210-阳光2号采购成本_CVD_05PLAN (EN) 5.30.05_L11K Impact vs. Budget" xfId="2507" xr:uid="{83DCD141-1CD9-4D31-A410-E4AC268455FF}"/>
    <cellStyle name="_news20041210-阳光2号采购成本_CVD_05PLAN (EN) 5.30.05_L11K Impact vs. Budget 2" xfId="2508" xr:uid="{CCBE0587-0170-4AED-BA81-97CE007E2D94}"/>
    <cellStyle name="_news20041210-阳光2号采购成本_CVD_05PLAN (EN) 5.30.05_L11K Impact vs. Budget 2 2" xfId="2509" xr:uid="{9C231FB2-5D28-424B-9B80-CE1335835A83}"/>
    <cellStyle name="_news20041210-阳光2号采购成本_CVD_05PLAN (EN) 5.30.05_L11K Impact vs. Budget 2 2 2" xfId="25830" xr:uid="{106A034A-7579-494E-AC3B-676CA5C7844D}"/>
    <cellStyle name="_news20041210-阳光2号采购成本_CVD_05PLAN (EN) 5.30.05_L11K Impact vs. Budget_L42F_MSRP TP mix k_080520" xfId="2510" xr:uid="{8461FC50-F17D-4987-8C7C-318D7CE174DD}"/>
    <cellStyle name="_news20041210-阳光2号采购成本_CVD_05PLAN (EN) 5.30.05_L11K Impact vs. Budget_L42F_MSRP TP mix k_080520 2" xfId="2511" xr:uid="{838B8299-3BBC-43A5-863D-8A3CED926C77}"/>
    <cellStyle name="_news20041210-阳光2号采购成本_CVD_05PLAN (EN) 5.30.05_L11K Impact vs. Budget_L42F_MSRP TP mix k_080520 2 2" xfId="2512" xr:uid="{18024B81-353C-42B1-8ED1-2DBC5EC987A2}"/>
    <cellStyle name="_news20041210-阳光2号采购成本_CVD_05PLAN (EN) 5.30.05_L11K Impact vs. Budget_L42F_MSRP TP mix k_080520 2 2 2" xfId="25831" xr:uid="{F737655D-7855-4C77-99C1-273EF709F886}"/>
    <cellStyle name="_news20041210-阳光2号采购成本_CVD_05PLAN (EN) 5.30.05_L11K Impact vs. Budget_L42F_MSRP TP mix k_080528" xfId="2513" xr:uid="{8BCEB310-8997-4E66-916A-25EC8E99370F}"/>
    <cellStyle name="_news20041210-阳光2号采购成本_CVD_05PLAN (EN) 5.30.05_L11K Impact vs. Budget_L42F_MSRP TP mix k_080528 2" xfId="2514" xr:uid="{440C2B99-7D4B-4A18-BA49-E38482468439}"/>
    <cellStyle name="_news20041210-阳光2号采购成本_CVD_05PLAN (EN) 5.30.05_L11K Impact vs. Budget_L42F_MSRP TP mix k_080528 2 2" xfId="2515" xr:uid="{E45C1F94-C5B6-4D25-A2CE-96D33D277ED2}"/>
    <cellStyle name="_news20041210-阳光2号采购成本_CVD_05PLAN (EN) 5.30.05_L11K Impact vs. Budget_L42F_MSRP TP mix k_080528 2 2 2" xfId="25832" xr:uid="{5EA4F897-EE23-45B8-8575-150FF074D066}"/>
    <cellStyle name="_news20041210-阳光2号采购成本_CVD_05PLAN (EN) 5.30.05_L11K Impact vs. Budget_P32E TDC for Final MPR(080912 31K Base)---from zhangtao" xfId="2516" xr:uid="{64CE63BD-34AC-4C09-910A-4DAE0CCED245}"/>
    <cellStyle name="_news20041210-阳光2号采购成本_CVD_05PLAN (EN) 5.30.05_L11K Impact vs. Budget_P32E TDC for Final MPR(080912 31K Base)---from zhangtao 2" xfId="2517" xr:uid="{F442B1B6-FF14-4392-9D95-E3ABEFC8BEC5}"/>
    <cellStyle name="_news20041210-阳光2号采购成本_CVD_05PLAN (EN) 5.30.05_L11K Impact vs. Budget_P32E TDC for Final MPR(080912 31K Base)---from zhangtao 2 2" xfId="2518" xr:uid="{60F6694B-A5AF-430D-8AB2-CD64ACE22A75}"/>
    <cellStyle name="_news20041210-阳光2号采购成本_CVD_05PLAN (EN) 5.30.05_L11K Impact vs. Budget_P32E TDC for Final MPR(080912 31K Base)---from zhangtao 2 2 2" xfId="25833" xr:uid="{33936C63-A472-4406-A6B0-4B23870838CB}"/>
    <cellStyle name="_news20041210-阳光2号采购成本_CVD_05PLAN (EN) 5.30.05_L42F_MSRP TP mix k_080520" xfId="2519" xr:uid="{C49CD0C9-90F7-46E0-B9A0-D79AD73D8FC9}"/>
    <cellStyle name="_news20041210-阳光2号采购成本_CVD_05PLAN (EN) 5.30.05_L42F_MSRP TP mix k_080520 2" xfId="2520" xr:uid="{34370985-A565-4C7C-828E-EF5F37CCD228}"/>
    <cellStyle name="_news20041210-阳光2号采购成本_CVD_05PLAN (EN) 5.30.05_L42F_MSRP TP mix k_080520 2 2" xfId="2521" xr:uid="{B590DE79-839A-47E3-A043-4F4BC8101705}"/>
    <cellStyle name="_news20041210-阳光2号采购成本_CVD_05PLAN (EN) 5.30.05_L42F_MSRP TP mix k_080520 2 2 2" xfId="25834" xr:uid="{A17A8666-8214-4190-BA4C-673F179CB580}"/>
    <cellStyle name="_news20041210-阳光2号采购成本_CVD_05PLAN (EN) 5.30.05_L42F_MSRP TP mix k_080528" xfId="2522" xr:uid="{6FB24738-4C3F-4F5A-81C1-FD96C55F20D1}"/>
    <cellStyle name="_news20041210-阳光2号采购成本_CVD_05PLAN (EN) 5.30.05_L42F_MSRP TP mix k_080528 2" xfId="2523" xr:uid="{54B6FA9B-CEE2-4831-A644-BF7932FB7B9E}"/>
    <cellStyle name="_news20041210-阳光2号采购成本_CVD_05PLAN (EN) 5.30.05_L42F_MSRP TP mix k_080528 2 2" xfId="2524" xr:uid="{17A944F1-8A62-4E39-9856-F26FB3C763CD}"/>
    <cellStyle name="_news20041210-阳光2号采购成本_CVD_05PLAN (EN) 5.30.05_L42F_MSRP TP mix k_080528 2 2 2" xfId="25835" xr:uid="{D6227D28-43F7-4552-9F9C-04E2FE7A91C0}"/>
    <cellStyle name="_news20041210-阳光2号采购成本_CVD_05PLAN (EN) 5.30.05_May_FY09 Retail Volume_090615" xfId="2525" xr:uid="{48270306-6DD4-4A95-95EE-46E3BE2969D1}"/>
    <cellStyle name="_news20041210-阳光2号采购成本_CVD_05PLAN (EN) 5.30.05_May_FY09 Retail Volume_090615 2" xfId="2526" xr:uid="{CF6B64D0-6B5D-4C7C-8794-12A507527425}"/>
    <cellStyle name="_news20041210-阳光2号采购成本_CVD_05PLAN (EN) 5.30.05_May_FY09 Retail Volume_090615 2 2" xfId="25836" xr:uid="{FF9A9231-BBF4-4041-88BF-E5A2E39D87AC}"/>
    <cellStyle name="_news20041210-阳光2号采购成本_CVD_05PLAN (EN) 5.30.05_P32E TDC for Final MPR(080912 31K Base)---from zhangtao" xfId="2527" xr:uid="{F5409CC0-D31A-4B70-9284-CD3B599F8BDC}"/>
    <cellStyle name="_news20041210-阳光2号采购成本_CVD_05PLAN (EN) 5.30.05_P32E TDC for Final MPR(080912 31K Base)---from zhangtao 2" xfId="2528" xr:uid="{71D633C3-6777-4DD0-8242-EDFAFABBC17D}"/>
    <cellStyle name="_news20041210-阳光2号采购成本_CVD_05PLAN (EN) 5.30.05_P32E TDC for Final MPR(080912 31K Base)---from zhangtao 2 2" xfId="2529" xr:uid="{69C3712D-73EC-4E18-B430-959B64E97471}"/>
    <cellStyle name="_news20041210-阳光2号采购成本_CVD_05PLAN (EN) 5.30.05_P32E TDC for Final MPR(080912 31K Base)---from zhangtao 2 2 2" xfId="25837" xr:uid="{2D5C75EC-E638-4CB5-A828-DD5A39C3B63F}"/>
    <cellStyle name="_news20041210-阳光2号采购成本_CVD_05PLAN (EN) 5.30.05_Steel hike calculate base-20080523" xfId="2530" xr:uid="{A45A1DC2-F217-4E5D-A736-B131E81F7D62}"/>
    <cellStyle name="_news20041210-阳光2号采购成本_CVD_05PLAN (EN) 5.30.05_Steel hike calculate base-20080523 2" xfId="2531" xr:uid="{303F439C-154B-412B-B0A9-9FE32FA331D1}"/>
    <cellStyle name="_news20041210-阳光2号采购成本_CVD_05PLAN (EN) 5.30.05_Steel hike calculate base-20080523 2 2" xfId="2532" xr:uid="{609610FE-01B3-4812-9C00-48502B5AF188}"/>
    <cellStyle name="_news20041210-阳光2号采购成本_CVD_05PLAN (EN) 5.30.05_Steel hike calculate base-20080523 2 2 2" xfId="2533" xr:uid="{9D15148B-A223-46ED-B4F6-CCD39AE4E877}"/>
    <cellStyle name="_news20041210-阳光2号采购成本_CVD_05PLAN (EN) 5.30.05_Steel hike calculate base-20080523 2 2 2 2" xfId="2534" xr:uid="{E7C682FC-6BB2-4135-99FC-A3E9EEAC5A4C}"/>
    <cellStyle name="_news20041210-阳光2号采购成本_CVD_05PLAN (EN) 5.30.05_Steel hike calculate base-20080523 2 2 2 2 2" xfId="25838" xr:uid="{5A6C01DB-406A-4343-99E8-D363FB307BD4}"/>
    <cellStyle name="_news20041210-阳光2号采购成本_CVD_05PLAN (EN) 5.30.05_Steel hike calculate base-20080523 2 2 3" xfId="2535" xr:uid="{FFA30DD2-B743-428F-B0C7-E47DF2CA0914}"/>
    <cellStyle name="_news20041210-阳光2号采购成本_CVD_05PLAN (EN) 5.30.05_Steel hike calculate base-20080523 2 2 4" xfId="2536" xr:uid="{91615D48-6008-44C3-8CAF-F6EB8AD4D8FF}"/>
    <cellStyle name="_news20041210-阳光2号采购成本_CVD_05PLAN (EN) 5.30.05_Steel hike calculate base-20080523 2 2 4 2" xfId="25839" xr:uid="{CD2D13ED-6AD8-4551-B7D3-E7BC401F2EE7}"/>
    <cellStyle name="_news20041210-阳光2号采购成本_CVD_05PLAN (EN) 5.30.05_Steel hike calculate base-20080523 2 3" xfId="2537" xr:uid="{0E02A3AD-EA30-4764-8CB7-BF28E1C1F2EC}"/>
    <cellStyle name="_news20041210-阳光2号采购成本_CVD_05PLAN (EN) 5.30.05_Steel hike calculate base-20080523 2 3 2" xfId="25840" xr:uid="{1C0421F8-8309-4615-AD79-B85DF902AFE6}"/>
    <cellStyle name="_news20041210-阳光2号采购成本_CVD_05PLAN (EN) 5.30.05_Steel hike calculate base-20080523 2_FY13 Budget Simulation Excel PKG for Auto by company" xfId="2538" xr:uid="{A4E1D1B5-5033-4826-B338-19A749AF2629}"/>
    <cellStyle name="_news20041210-阳光2号采购成本_CVD_05PLAN (EN) 5.30.05_Steel hike calculate base-20080523 3" xfId="2539" xr:uid="{CA8A2582-54B2-4556-B5D1-5FC4626A3130}"/>
    <cellStyle name="_news20041210-阳光2号采购成本_CVD_05PLAN (EN) 5.30.05_Steel hike calculate base-20080523 4" xfId="2540" xr:uid="{2C6F6E71-3096-4FD5-A542-382588774990}"/>
    <cellStyle name="_news20041210-阳光2号采购成本_CVD_05PLAN (EN) 5.30.05_Steel hike calculate base-20080523 4 2" xfId="25841" xr:uid="{9B507FE4-97E8-4FD4-8E91-7853CED19C80}"/>
    <cellStyle name="_news20041210-阳光2号采购成本_CVD_05PLAN (EN) 5.30.05_Steel hike calculate base-20080523_DFL FY13 Simulation Data version 1010-2(A7C)" xfId="2541" xr:uid="{5356F6C4-2BA0-4A32-9FA7-AC7ABB57894B}"/>
    <cellStyle name="_news20041210-阳光2号采购成本_CVD_05PLAN (EN) 5.30.05_Steel hike calculate base-20080523_DFL FY13 Simulation Data version 1010-2(A7C) 2" xfId="2542" xr:uid="{BF486F6F-B49C-4149-A6D4-4ECA33F9B838}"/>
    <cellStyle name="_news20041210-阳光2号采购成本_CVD_05PLAN (EN) 5.30.05_Steel hike calculate base-20080523_DFL FY13 Simulation Data version 1010-2(A7C) 2 2" xfId="2543" xr:uid="{89423EEF-956A-496D-AF94-A743B5D1C2AF}"/>
    <cellStyle name="_news20041210-阳光2号采购成本_CVD_05PLAN (EN) 5.30.05_Steel hike calculate base-20080523_DFL FY13 Simulation Data version 1010-2(A7C) 2 2 2" xfId="2544" xr:uid="{DAA28451-2060-430C-A4AE-9724E4620B09}"/>
    <cellStyle name="_news20041210-阳光2号采购成本_CVD_05PLAN (EN) 5.30.05_Steel hike calculate base-20080523_DFL FY13 Simulation Data version 1010-2(A7C) 2 2 2 2" xfId="25842" xr:uid="{B05742C5-0EB3-4B0D-A443-5761D93B4A43}"/>
    <cellStyle name="_news20041210-阳光2号采购成本_CVD_05PLAN (EN) 5.30.05_Steel hike calculate base-20080523_DFL FY13 Simulation Data version 1010-2(A7C) 2 3" xfId="2545" xr:uid="{5CB1A58B-936F-417E-9A9E-E5898963DE9E}"/>
    <cellStyle name="_news20041210-阳光2号采购成本_CVD_05PLAN (EN) 5.30.05_Steel hike calculate base-20080523_DFL FY13 Simulation Data version 1010-2(A7C) 2 4" xfId="2546" xr:uid="{D50E3F9E-D04E-446A-AC62-99EF354E2F86}"/>
    <cellStyle name="_news20041210-阳光2号采购成本_CVD_05PLAN (EN) 5.30.05_Steel hike calculate base-20080523_DFL FY13 Simulation Data version 1010-2(A7C) 2 4 2" xfId="25843" xr:uid="{3726F60A-ED40-4ABD-8ACD-CB9B5F4648C5}"/>
    <cellStyle name="_news20041210-阳光2号采购成本_CVD_05PLAN (EN) 5.30.05_Steel hike calculate base-20080523_DFL FY13 Simulation Data version 1010-2(A7C) 3" xfId="2547" xr:uid="{6BA484F7-E8EA-4F49-907F-B4E674D77A67}"/>
    <cellStyle name="_news20041210-阳光2号采购成本_CVD_05PLAN (EN) 5.30.05_Steel hike calculate base-20080523_DFL FY13 Simulation Data version 1010-2(A7C) 3 2" xfId="25844" xr:uid="{49BF785D-E013-4281-BC2B-4C7D67B0463A}"/>
    <cellStyle name="_news20041210-阳光2号采购成本_CVD_05PLAN (EN) 5.30.05_Steel hike calculate base-20080523_DFL FY13 Simulation Data version 1010-2(A7C)_FY13 Budget Simulation Excel PKG for Auto by company" xfId="2548" xr:uid="{326B22F7-FBE3-45F8-850D-2C7C1098CE5A}"/>
    <cellStyle name="_news20041210-阳光2号采购成本_CVD_05PLAN (EN) 5.30.05_Steel hike calculate base-20080523_FY13 Budget Simulation Excel PKG for Auto by company" xfId="2549" xr:uid="{57910A27-1E8C-4101-9F68-FC2FCBF3EBA9}"/>
    <cellStyle name="_news20041210-阳光2号采购成本_CVD_05PLAN_B (EN) 5.31.05" xfId="2550" xr:uid="{1F32CD31-8132-4007-8A6C-55D3281BA44B}"/>
    <cellStyle name="_news20041210-阳光2号采购成本_CVD_05PLAN_B (EN) 5.31.05 2" xfId="2551" xr:uid="{C4F27984-377F-4292-8FB9-311BCD4412EC}"/>
    <cellStyle name="_news20041210-阳光2号采购成本_CVD_05PLAN_B (EN) 5.31.05 2 2" xfId="2552" xr:uid="{051EAFE9-D712-45AA-A807-64624D304FBC}"/>
    <cellStyle name="_news20041210-阳光2号采购成本_CVD_05PLAN_B (EN) 5.31.05 2 2 2" xfId="2553" xr:uid="{2B3AD9EB-2FA3-45A7-96D0-149860268BE6}"/>
    <cellStyle name="_news20041210-阳光2号采购成本_CVD_05PLAN_B (EN) 5.31.05 2 2 2 2" xfId="2554" xr:uid="{62B2DF1F-9005-4DA3-A32D-41C32F150996}"/>
    <cellStyle name="_news20041210-阳光2号采购成本_CVD_05PLAN_B (EN) 5.31.05 2 2 2 2 2" xfId="25845" xr:uid="{17A09E6A-3045-4DBD-BE77-64EEFEDAC57E}"/>
    <cellStyle name="_news20041210-阳光2号采购成本_CVD_05PLAN_B (EN) 5.31.05 2 2 3" xfId="2555" xr:uid="{F8701891-8C07-498D-B420-BC48A47AA606}"/>
    <cellStyle name="_news20041210-阳光2号采购成本_CVD_05PLAN_B (EN) 5.31.05 2 2 4" xfId="2556" xr:uid="{0AD3456B-7CBE-4DCB-8CB3-9D9B39444990}"/>
    <cellStyle name="_news20041210-阳光2号采购成本_CVD_05PLAN_B (EN) 5.31.05 2 2 4 2" xfId="25846" xr:uid="{F23000EE-28C2-4571-8595-18C8046EAA07}"/>
    <cellStyle name="_news20041210-阳光2号采购成本_CVD_05PLAN_B (EN) 5.31.05 2_FY13 Budget Simulation Excel PKG for Auto by company" xfId="2557" xr:uid="{F96A9F6E-68A4-44A5-9879-0CF914513AA0}"/>
    <cellStyle name="_news20041210-阳光2号采购成本_CVD_05PLAN_B (EN) 5.31.05 3" xfId="2558" xr:uid="{73B0F35F-87CC-42AF-9DB7-0588261674AD}"/>
    <cellStyle name="_news20041210-阳光2号采购成本_CVD_05PLAN_B (EN) 5.31.05 3 2" xfId="2559" xr:uid="{2039A5D1-AB33-4958-90B3-9960504B0B88}"/>
    <cellStyle name="_news20041210-阳光2号采购成本_CVD_05PLAN_B (EN) 5.31.05_08 budget 071018" xfId="2560" xr:uid="{E899BA73-6EE0-4AEF-A8E0-5DEFDF26D513}"/>
    <cellStyle name="_news20041210-阳光2号采购成本_CVD_05PLAN_B (EN) 5.31.05_08 budget 071018 2" xfId="2561" xr:uid="{BCB7FCEA-DAEB-47EC-9937-5F31E2427F92}"/>
    <cellStyle name="_news20041210-阳光2号采购成本_CVD_05PLAN_B (EN) 5.31.05_08 budget 071018 2 2" xfId="2562" xr:uid="{96374386-2FE8-4089-A8A4-B4923C21BE48}"/>
    <cellStyle name="_news20041210-阳光2号采购成本_CVD_05PLAN_B (EN) 5.31.05_08 budget 071018 2 2 2" xfId="25847" xr:uid="{DFDE746B-27CA-4DC4-8AA1-32E852A96FAE}"/>
    <cellStyle name="_news20041210-阳光2号采购成本_CVD_05PLAN_B (EN) 5.31.05_'08 budget TDC" xfId="2563" xr:uid="{DF100217-2B7B-465E-9ED2-20B15B842338}"/>
    <cellStyle name="_news20041210-阳光2号采购成本_CVD_05PLAN_B (EN) 5.31.05_'08 budget TDC 2" xfId="2564" xr:uid="{7FA965E8-29A6-4683-9B3B-85725830FAE3}"/>
    <cellStyle name="_news20041210-阳光2号采购成本_CVD_05PLAN_B (EN) 5.31.05_'08 budget TDC 2 2" xfId="2565" xr:uid="{0D5887DB-E231-44BF-B148-F330DD7D8107}"/>
    <cellStyle name="_news20041210-阳光2号采购成本_CVD_05PLAN_B (EN) 5.31.05_'08 budget TDC 2 2 2" xfId="25848" xr:uid="{D0002EF3-242F-4666-8579-25E726763098}"/>
    <cellStyle name="_news20041210-阳光2号采购成本_CVD_05PLAN_B (EN) 5.31.05_DFL FY13 Simulation Data version 1010-2(A7C)" xfId="2566" xr:uid="{59EA8939-2676-4421-933F-9DF2C02A0470}"/>
    <cellStyle name="_news20041210-阳光2号采购成本_CVD_05PLAN_B (EN) 5.31.05_DFL FY13 Simulation Data version 1010-2(A7C) 2" xfId="2567" xr:uid="{ED1B7DD7-14AD-438B-AB8D-067BD66A9B89}"/>
    <cellStyle name="_news20041210-阳光2号采购成本_CVD_05PLAN_B (EN) 5.31.05_DFL FY13 Simulation Data version 1010-2(A7C) 2 2" xfId="2568" xr:uid="{0126A57B-9F2C-42AE-AC23-FCF48F349CFD}"/>
    <cellStyle name="_news20041210-阳光2号采购成本_CVD_05PLAN_B (EN) 5.31.05_DFL FY13 Simulation Data version 1010-2(A7C) 2 2 2" xfId="2569" xr:uid="{C8F5C846-6776-4C67-AA0B-18E78E4CCB5A}"/>
    <cellStyle name="_news20041210-阳光2号采购成本_CVD_05PLAN_B (EN) 5.31.05_DFL FY13 Simulation Data version 1010-2(A7C) 2 2 2 2" xfId="25849" xr:uid="{A712DF31-4F80-4A7F-ABB1-70073BC9B7DD}"/>
    <cellStyle name="_news20041210-阳光2号采购成本_CVD_05PLAN_B (EN) 5.31.05_DFL FY13 Simulation Data version 1010-2(A7C) 2 3" xfId="2570" xr:uid="{326ED051-06DC-4C51-B68D-EEE9F5440026}"/>
    <cellStyle name="_news20041210-阳光2号采购成本_CVD_05PLAN_B (EN) 5.31.05_DFL FY13 Simulation Data version 1010-2(A7C) 2 4" xfId="2571" xr:uid="{63645A32-2E89-43AB-8E63-E6FCBF42249E}"/>
    <cellStyle name="_news20041210-阳光2号采购成本_CVD_05PLAN_B (EN) 5.31.05_DFL FY13 Simulation Data version 1010-2(A7C) 2 4 2" xfId="25850" xr:uid="{8CAF6B8A-000F-4BC2-9EE8-95A02CF1A659}"/>
    <cellStyle name="_news20041210-阳光2号采购成本_CVD_05PLAN_B (EN) 5.31.05_DFL FY13 Simulation Data version 1010-2(A7C) 3" xfId="2572" xr:uid="{319AAE37-B786-47CF-961B-32BD3D807F60}"/>
    <cellStyle name="_news20041210-阳光2号采购成本_CVD_05PLAN_B (EN) 5.31.05_DFL FY13 Simulation Data version 1010-2(A7C) 3 2" xfId="25851" xr:uid="{D09F4C32-2731-4BB8-9FE5-D9A348D5EB5B}"/>
    <cellStyle name="_news20041210-阳光2号采购成本_CVD_05PLAN_B (EN) 5.31.05_DFL FY13 Simulation Data version 1010-2(A7C)_FY13 Budget Simulation Excel PKG for Auto by company" xfId="2573" xr:uid="{1C237248-8293-4593-B5C2-D2598249326C}"/>
    <cellStyle name="_news20041210-阳光2号采购成本_CVD_05PLAN_B (EN) 5.31.05_FY08 Retail Volume April Report 090409" xfId="2574" xr:uid="{9C582A4E-8C3F-4379-86D0-54B013B07C96}"/>
    <cellStyle name="_news20041210-阳光2号采购成本_CVD_05PLAN_B (EN) 5.31.05_FY08 Retail Volume April Report 090409 2" xfId="2575" xr:uid="{15935115-CC0D-4461-A889-9F67D27941D4}"/>
    <cellStyle name="_news20041210-阳光2号采购成本_CVD_05PLAN_B (EN) 5.31.05_FY08 Retail Volume April Report 090409 2 2" xfId="25852" xr:uid="{F1567DDB-B100-47D7-B059-3139BAA630B2}"/>
    <cellStyle name="_news20041210-阳光2号采购成本_CVD_05PLAN_B (EN) 5.31.05_FY09 CNTRL Outlook June-Latest0619-Final Retail" xfId="2576" xr:uid="{803579DC-45CB-4775-99B7-C7B50BFE681C}"/>
    <cellStyle name="_news20041210-阳光2号采购成本_CVD_05PLAN_B (EN) 5.31.05_FY09 Landing Scenarios" xfId="2577" xr:uid="{7F721CB3-284A-4196-9646-259BD2059253}"/>
    <cellStyle name="_news20041210-阳光2号采购成本_CVD_05PLAN_B (EN) 5.31.05_FY09 Landing Scenarios_Flash Volume Summary-PER01-rv1" xfId="2578" xr:uid="{25B7FA22-03C1-4C76-A6C0-614A740528E4}"/>
    <cellStyle name="_news20041210-阳光2号采购成本_CVD_05PLAN_B (EN) 5.31.05_FY09 Landing Scenarios_Flash Volume Summary-PER02" xfId="2579" xr:uid="{9C16EEDE-A4FD-4A23-AFDE-E4A081D2CF2B}"/>
    <cellStyle name="_news20041210-阳光2号采购成本_CVD_05PLAN_B (EN) 5.31.05_FY09 Landing Scenarios_Flash Volume Summary-PER04" xfId="2580" xr:uid="{B3E6E2DE-F454-411A-BE03-4D691D7EE19A}"/>
    <cellStyle name="_news20041210-阳光2号采购成本_CVD_05PLAN_B (EN) 5.31.05_FY09 Landing Scenarios_Flash Volume Summary-PER0自分用2" xfId="2581" xr:uid="{0471D599-D350-4109-9D6C-A738739B439F}"/>
    <cellStyle name="_news20041210-阳光2号采购成本_CVD_05PLAN_B (EN) 5.31.05_FY09 Landing Scenarios_Flash Volume Summary-PER10" xfId="2582" xr:uid="{47401A2C-F224-45B8-86A3-C7EBB8F3D924}"/>
    <cellStyle name="_news20041210-阳光2号采购成本_CVD_05PLAN_B (EN) 5.31.05_FY09 Landing Scenarios_Flash Volume Summary-PER10 for Central" xfId="2583" xr:uid="{2ADD9C3C-1F54-4EE5-899C-92A391F5DF22}"/>
    <cellStyle name="_news20041210-阳光2号采购成本_CVD_05PLAN_B (EN) 5.31.05_FY09 Q1 Results_Volume MS Exp_July EC" xfId="2584" xr:uid="{183CC033-4F4E-4223-B9F2-6DC189B2B51D}"/>
    <cellStyle name="_news20041210-阳光2号采购成本_CVD_05PLAN_B (EN) 5.31.05_FY09 Q1 Results_Volume MS Exp_July EC 2" xfId="2585" xr:uid="{5D7D9B4B-9322-4760-ADB7-D19C6BF06DD9}"/>
    <cellStyle name="_news20041210-阳光2号采购成本_CVD_05PLAN_B (EN) 5.31.05_FY09 Q1 Results_Volume MS Exp_July EC 2 2" xfId="25853" xr:uid="{A0F4CC47-3458-4C46-BA96-F40C3B2B7155}"/>
    <cellStyle name="_news20041210-阳光2号采购成本_CVD_05PLAN_B (EN) 5.31.05_FY09 Q1 Results_Volume MS Exp_July EC v2" xfId="2586" xr:uid="{833C7312-6884-448E-B8BF-66A17A0F5155}"/>
    <cellStyle name="_news20041210-阳光2号采购成本_CVD_05PLAN_B (EN) 5.31.05_FY09 Retail Volume May Report 090513" xfId="2587" xr:uid="{486A5B01-06E1-48B6-B0A5-84B6593255BA}"/>
    <cellStyle name="_news20041210-阳光2号采购成本_CVD_05PLAN_B (EN) 5.31.05_FY09 Retail Volume May Report 090513_Flash Volume Summary-PER01-rv1" xfId="2588" xr:uid="{C39DEB47-9EBA-40AA-92F1-318327B29077}"/>
    <cellStyle name="_news20041210-阳光2号采购成本_CVD_05PLAN_B (EN) 5.31.05_FY09 Retail Volume May Report 090513_Flash Volume Summary-PER02" xfId="2589" xr:uid="{4746DAC9-9DCC-4A4D-A15D-0B69B5529956}"/>
    <cellStyle name="_news20041210-阳光2号采购成本_CVD_05PLAN_B (EN) 5.31.05_FY09 Retail Volume May Report 090513_Flash Volume Summary-PER04" xfId="2590" xr:uid="{A9D87315-E5AE-4522-A8D7-09AEBB979FF6}"/>
    <cellStyle name="_news20041210-阳光2号采购成本_CVD_05PLAN_B (EN) 5.31.05_FY09 Retail Volume May Report 090513_Flash Volume Summary-PER0自分用2" xfId="2591" xr:uid="{47347EF3-BDF1-42D4-984E-AE3EC637E046}"/>
    <cellStyle name="_news20041210-阳光2号采购成本_CVD_05PLAN_B (EN) 5.31.05_FY09 Retail Volume May Report 090513_Flash Volume Summary-PER10" xfId="2592" xr:uid="{31AEA209-1519-43E9-975F-FA4112CC77DC}"/>
    <cellStyle name="_news20041210-阳光2号采购成本_CVD_05PLAN_B (EN) 5.31.05_FY09 Retail Volume May Report 090513_Flash Volume Summary-PER10 for Central" xfId="2593" xr:uid="{F974B67D-D742-4F8E-8B68-3BD7AF789A99}"/>
    <cellStyle name="_news20041210-阳光2号采购成本_CVD_05PLAN_B (EN) 5.31.05_FY09 WS Volume Report_April YTD_090527-Monthly Budget Updated" xfId="2594" xr:uid="{B2681469-92EA-4DFB-B729-482719ACE691}"/>
    <cellStyle name="_news20041210-阳光2号采购成本_CVD_05PLAN_B (EN) 5.31.05_FY09 WS Volume Report_April YTD_090527-Monthly Budget Updated 2" xfId="2595" xr:uid="{2D314577-85A7-4D2A-AB23-48ECDE6118C4}"/>
    <cellStyle name="_news20041210-阳光2号采购成本_CVD_05PLAN_B (EN) 5.31.05_FY09 WS Volume Report_April YTD_090527-Monthly Budget Updated 2 2" xfId="25854" xr:uid="{7CAC610D-C9F4-44AF-843F-23565A0577BE}"/>
    <cellStyle name="_news20041210-阳光2号采购成本_CVD_05PLAN_B (EN) 5.31.05_FY10 FC#2 Pricing Analysis to Central" xfId="2596" xr:uid="{3A664ED1-8FF7-49D5-8A76-72891ED18A88}"/>
    <cellStyle name="_news20041210-阳光2号采购成本_CVD_05PLAN_B (EN) 5.31.05_FY10 Q3 YTD_Volume Detail_v2_FINAL" xfId="2597" xr:uid="{F27C43DA-1806-48C2-A917-DC0206FA1ED9}"/>
    <cellStyle name="_news20041210-阳光2号采购成本_CVD_05PLAN_B (EN) 5.31.05_FY13 Budget Simulation Excel PKG for Auto by company" xfId="2598" xr:uid="{BD2C1BDB-3683-41FA-AFFE-274CD19714D9}"/>
    <cellStyle name="_news20041210-阳光2号采购成本_CVD_05PLAN_B (EN) 5.31.05_June_FY09 Retail Volume_090713" xfId="2599" xr:uid="{04BA4976-F14B-4392-9BC2-71C719BBAE42}"/>
    <cellStyle name="_news20041210-阳光2号采购成本_CVD_05PLAN_B (EN) 5.31.05_June_FY09 Retail Volume_090713 2" xfId="2600" xr:uid="{F46E182E-A4B8-4A71-A3C2-482E71E72D3F}"/>
    <cellStyle name="_news20041210-阳光2号采购成本_CVD_05PLAN_B (EN) 5.31.05_June_FY09 Retail Volume_090713 2 2" xfId="25855" xr:uid="{0A783A1B-97F8-4CD3-8DF0-8780706A5E8E}"/>
    <cellStyle name="_news20041210-阳光2号采购成本_CVD_05PLAN_B (EN) 5.31.05_L11K Impact vs. Budget" xfId="2601" xr:uid="{0D5E5B7E-C1CD-4D16-9A21-9BBFFBBC1034}"/>
    <cellStyle name="_news20041210-阳光2号采购成本_CVD_05PLAN_B (EN) 5.31.05_L11K Impact vs. Budget 2" xfId="2602" xr:uid="{F0FF2F37-7E70-4915-8CD8-9942F288F024}"/>
    <cellStyle name="_news20041210-阳光2号采购成本_CVD_05PLAN_B (EN) 5.31.05_L11K Impact vs. Budget 2 2" xfId="2603" xr:uid="{6ACD893E-4365-499A-8C6B-FB30C431C9F4}"/>
    <cellStyle name="_news20041210-阳光2号采购成本_CVD_05PLAN_B (EN) 5.31.05_L11K Impact vs. Budget 2 2 2" xfId="25856" xr:uid="{64D02D4D-6CC6-4991-AC7A-9D7DC93A437C}"/>
    <cellStyle name="_news20041210-阳光2号采购成本_CVD_05PLAN_B (EN) 5.31.05_L11K Impact vs. Budget_L42F_MSRP TP mix k_080520" xfId="2604" xr:uid="{B0FC03C6-8DA2-4FEC-8B09-18DD1C384ABA}"/>
    <cellStyle name="_news20041210-阳光2号采购成本_CVD_05PLAN_B (EN) 5.31.05_L11K Impact vs. Budget_L42F_MSRP TP mix k_080520 2" xfId="2605" xr:uid="{B675E4D8-6DBC-44D6-874D-0930671121DB}"/>
    <cellStyle name="_news20041210-阳光2号采购成本_CVD_05PLAN_B (EN) 5.31.05_L11K Impact vs. Budget_L42F_MSRP TP mix k_080520 2 2" xfId="2606" xr:uid="{8B28C905-8C53-4280-8B80-9F138C132CC8}"/>
    <cellStyle name="_news20041210-阳光2号采购成本_CVD_05PLAN_B (EN) 5.31.05_L11K Impact vs. Budget_L42F_MSRP TP mix k_080520 2 2 2" xfId="25857" xr:uid="{F0726B8E-8303-479D-87FA-18BC32D0DD11}"/>
    <cellStyle name="_news20041210-阳光2号采购成本_CVD_05PLAN_B (EN) 5.31.05_L11K Impact vs. Budget_L42F_MSRP TP mix k_080528" xfId="2607" xr:uid="{BFB34806-C5BF-452F-9004-2A9A8E77E334}"/>
    <cellStyle name="_news20041210-阳光2号采购成本_CVD_05PLAN_B (EN) 5.31.05_L11K Impact vs. Budget_L42F_MSRP TP mix k_080528 2" xfId="2608" xr:uid="{30862B53-4E82-4295-B840-5DF2F3DB805F}"/>
    <cellStyle name="_news20041210-阳光2号采购成本_CVD_05PLAN_B (EN) 5.31.05_L11K Impact vs. Budget_L42F_MSRP TP mix k_080528 2 2" xfId="2609" xr:uid="{647113DE-0A59-41C1-B1F6-20F05F2D5601}"/>
    <cellStyle name="_news20041210-阳光2号采购成本_CVD_05PLAN_B (EN) 5.31.05_L11K Impact vs. Budget_L42F_MSRP TP mix k_080528 2 2 2" xfId="25858" xr:uid="{B4994E8D-665B-4F1B-96EB-8063A58635E5}"/>
    <cellStyle name="_news20041210-阳光2号采购成本_CVD_05PLAN_B (EN) 5.31.05_L11K Impact vs. Budget_P32E TDC for Final MPR(080912 31K Base)---from zhangtao" xfId="2610" xr:uid="{609DCF49-3A60-43CF-B1FA-1555843BC23F}"/>
    <cellStyle name="_news20041210-阳光2号采购成本_CVD_05PLAN_B (EN) 5.31.05_L11K Impact vs. Budget_P32E TDC for Final MPR(080912 31K Base)---from zhangtao 2" xfId="2611" xr:uid="{5277D570-7CC5-4521-A2A9-998462276F82}"/>
    <cellStyle name="_news20041210-阳光2号采购成本_CVD_05PLAN_B (EN) 5.31.05_L11K Impact vs. Budget_P32E TDC for Final MPR(080912 31K Base)---from zhangtao 2 2" xfId="2612" xr:uid="{2694FBAC-E112-4DA0-BBF1-38DEAE20E4C4}"/>
    <cellStyle name="_news20041210-阳光2号采购成本_CVD_05PLAN_B (EN) 5.31.05_L11K Impact vs. Budget_P32E TDC for Final MPR(080912 31K Base)---from zhangtao 2 2 2" xfId="25859" xr:uid="{00580236-3358-4C61-ADD8-D2F952407C5C}"/>
    <cellStyle name="_news20041210-阳光2号采购成本_CVD_05PLAN_B (EN) 5.31.05_L42F_MSRP TP mix k_080520" xfId="2613" xr:uid="{237DE9EA-FE5F-4C5D-81A0-940E9B25137C}"/>
    <cellStyle name="_news20041210-阳光2号采购成本_CVD_05PLAN_B (EN) 5.31.05_L42F_MSRP TP mix k_080520 2" xfId="2614" xr:uid="{86B65BA6-7C4A-4BB1-BA7F-1DE3F814B3AB}"/>
    <cellStyle name="_news20041210-阳光2号采购成本_CVD_05PLAN_B (EN) 5.31.05_L42F_MSRP TP mix k_080520 2 2" xfId="2615" xr:uid="{E2016B43-F003-4EBA-84D8-142C6D69CF38}"/>
    <cellStyle name="_news20041210-阳光2号采购成本_CVD_05PLAN_B (EN) 5.31.05_L42F_MSRP TP mix k_080520 2 2 2" xfId="25860" xr:uid="{6C069023-5ABE-4CCF-B77B-37C1BDC33B7B}"/>
    <cellStyle name="_news20041210-阳光2号采购成本_CVD_05PLAN_B (EN) 5.31.05_L42F_MSRP TP mix k_080528" xfId="2616" xr:uid="{F1CA6C56-A49E-46CD-A2B8-A32F5D7F0D89}"/>
    <cellStyle name="_news20041210-阳光2号采购成本_CVD_05PLAN_B (EN) 5.31.05_L42F_MSRP TP mix k_080528 2" xfId="2617" xr:uid="{CA0B3F7F-461C-4047-9F3D-B007F4D2BBAB}"/>
    <cellStyle name="_news20041210-阳光2号采购成本_CVD_05PLAN_B (EN) 5.31.05_L42F_MSRP TP mix k_080528 2 2" xfId="2618" xr:uid="{E8599979-64B2-4ECA-AE88-8C0AFE647032}"/>
    <cellStyle name="_news20041210-阳光2号采购成本_CVD_05PLAN_B (EN) 5.31.05_L42F_MSRP TP mix k_080528 2 2 2" xfId="25861" xr:uid="{574F52BD-1E6F-48FC-B703-25176A9F3734}"/>
    <cellStyle name="_news20041210-阳光2号采购成本_CVD_05PLAN_B (EN) 5.31.05_May_FY09 Retail Volume_090615" xfId="2619" xr:uid="{2E0358EB-A674-46C6-BBAD-C3C5E6F8ECE2}"/>
    <cellStyle name="_news20041210-阳光2号采购成本_CVD_05PLAN_B (EN) 5.31.05_May_FY09 Retail Volume_090615 2" xfId="2620" xr:uid="{71F75395-1A55-4A4D-BBE3-3091085B005F}"/>
    <cellStyle name="_news20041210-阳光2号采购成本_CVD_05PLAN_B (EN) 5.31.05_May_FY09 Retail Volume_090615 2 2" xfId="25862" xr:uid="{B7E0EC66-D8DF-4EFA-AAE0-BEBED14351FB}"/>
    <cellStyle name="_news20041210-阳光2号采购成本_CVD_05PLAN_B (EN) 5.31.05_P32E TDC for Final MPR(080912 31K Base)---from zhangtao" xfId="2621" xr:uid="{9BA12FFE-84D8-497F-9C21-A8EFC0DC7038}"/>
    <cellStyle name="_news20041210-阳光2号采购成本_CVD_05PLAN_B (EN) 5.31.05_P32E TDC for Final MPR(080912 31K Base)---from zhangtao 2" xfId="2622" xr:uid="{9877A38D-ABF2-4259-A8CC-C8D9CEA40C27}"/>
    <cellStyle name="_news20041210-阳光2号采购成本_CVD_05PLAN_B (EN) 5.31.05_P32E TDC for Final MPR(080912 31K Base)---from zhangtao 2 2" xfId="2623" xr:uid="{D4A31F36-1063-4A5A-B448-FA5737FACB44}"/>
    <cellStyle name="_news20041210-阳光2号采购成本_CVD_05PLAN_B (EN) 5.31.05_P32E TDC for Final MPR(080912 31K Base)---from zhangtao 2 2 2" xfId="25863" xr:uid="{836A868E-BB4A-4FC4-B60D-650D52856126}"/>
    <cellStyle name="_news20041210-阳光2号采购成本_CVD_05PLAN_B (EN) 5.31.05_Steel hike calculate base-20080523" xfId="2624" xr:uid="{B046AD5F-D319-4F76-B267-0DB20C1422E6}"/>
    <cellStyle name="_news20041210-阳光2号采购成本_CVD_05PLAN_B (EN) 5.31.05_Steel hike calculate base-20080523 2" xfId="2625" xr:uid="{9B4662B9-3453-4DC9-9251-35C8883E318F}"/>
    <cellStyle name="_news20041210-阳光2号采购成本_CVD_05PLAN_B (EN) 5.31.05_Steel hike calculate base-20080523 2 2" xfId="2626" xr:uid="{DF6BD01A-6457-475E-B26D-4E265027B719}"/>
    <cellStyle name="_news20041210-阳光2号采购成本_CVD_05PLAN_B (EN) 5.31.05_Steel hike calculate base-20080523 2 2 2" xfId="2627" xr:uid="{97B1B8EE-6094-4D41-9A63-27AC811ED201}"/>
    <cellStyle name="_news20041210-阳光2号采购成本_CVD_05PLAN_B (EN) 5.31.05_Steel hike calculate base-20080523 2 2 2 2" xfId="2628" xr:uid="{6433A6F9-89F6-4FE7-ABB0-4DAC37A56E60}"/>
    <cellStyle name="_news20041210-阳光2号采购成本_CVD_05PLAN_B (EN) 5.31.05_Steel hike calculate base-20080523 2 2 2 2 2" xfId="25864" xr:uid="{DD103E32-4929-4D90-B3BD-D5CFACBB3D89}"/>
    <cellStyle name="_news20041210-阳光2号采购成本_CVD_05PLAN_B (EN) 5.31.05_Steel hike calculate base-20080523 2 2 3" xfId="2629" xr:uid="{448E6942-9F69-4288-A22A-38089F47E6A8}"/>
    <cellStyle name="_news20041210-阳光2号采购成本_CVD_05PLAN_B (EN) 5.31.05_Steel hike calculate base-20080523 2 2 4" xfId="2630" xr:uid="{0D55056B-97F6-48BD-8E3A-C523443BEC03}"/>
    <cellStyle name="_news20041210-阳光2号采购成本_CVD_05PLAN_B (EN) 5.31.05_Steel hike calculate base-20080523 2 2 4 2" xfId="25865" xr:uid="{13CCFEBC-BA0B-4A46-8C69-3BA9BD3A14B2}"/>
    <cellStyle name="_news20041210-阳光2号采购成本_CVD_05PLAN_B (EN) 5.31.05_Steel hike calculate base-20080523 2 3" xfId="2631" xr:uid="{7F52E788-9CF6-4BDC-A0EA-F90D6F6FD613}"/>
    <cellStyle name="_news20041210-阳光2号采购成本_CVD_05PLAN_B (EN) 5.31.05_Steel hike calculate base-20080523 2 3 2" xfId="25866" xr:uid="{46962F5C-2FEE-4D03-8255-7A643B992CB1}"/>
    <cellStyle name="_news20041210-阳光2号采购成本_CVD_05PLAN_B (EN) 5.31.05_Steel hike calculate base-20080523 2_FY13 Budget Simulation Excel PKG for Auto by company" xfId="2632" xr:uid="{D39F9AE0-664B-4929-B80F-E2335FE62C6B}"/>
    <cellStyle name="_news20041210-阳光2号采购成本_CVD_05PLAN_B (EN) 5.31.05_Steel hike calculate base-20080523 3" xfId="2633" xr:uid="{92FA4F01-2F39-459E-9E2E-5ADA58CFE76C}"/>
    <cellStyle name="_news20041210-阳光2号采购成本_CVD_05PLAN_B (EN) 5.31.05_Steel hike calculate base-20080523 4" xfId="2634" xr:uid="{E16C8E63-536B-4AD8-BE44-61B27E71E315}"/>
    <cellStyle name="_news20041210-阳光2号采购成本_CVD_05PLAN_B (EN) 5.31.05_Steel hike calculate base-20080523 4 2" xfId="25867" xr:uid="{564DEAB0-D3AD-40B8-8FD8-11E17BCA19BE}"/>
    <cellStyle name="_news20041210-阳光2号采购成本_CVD_05PLAN_B (EN) 5.31.05_Steel hike calculate base-20080523_DFL FY13 Simulation Data version 1010-2(A7C)" xfId="2635" xr:uid="{EEA83867-6D46-4B74-93CB-DE9C973D0ED7}"/>
    <cellStyle name="_news20041210-阳光2号采购成本_CVD_05PLAN_B (EN) 5.31.05_Steel hike calculate base-20080523_DFL FY13 Simulation Data version 1010-2(A7C) 2" xfId="2636" xr:uid="{FAC04555-7635-465F-8041-B8B247F951D4}"/>
    <cellStyle name="_news20041210-阳光2号采购成本_CVD_05PLAN_B (EN) 5.31.05_Steel hike calculate base-20080523_DFL FY13 Simulation Data version 1010-2(A7C) 2 2" xfId="2637" xr:uid="{4DEAE857-3A32-4838-8AFE-E3E42A14B2A2}"/>
    <cellStyle name="_news20041210-阳光2号采购成本_CVD_05PLAN_B (EN) 5.31.05_Steel hike calculate base-20080523_DFL FY13 Simulation Data version 1010-2(A7C) 2 2 2" xfId="2638" xr:uid="{CEE20608-88C3-41C1-87BE-09A15B76BBDC}"/>
    <cellStyle name="_news20041210-阳光2号采购成本_CVD_05PLAN_B (EN) 5.31.05_Steel hike calculate base-20080523_DFL FY13 Simulation Data version 1010-2(A7C) 2 2 2 2" xfId="25868" xr:uid="{758EF6FA-1E87-42DF-A186-848D530A9621}"/>
    <cellStyle name="_news20041210-阳光2号采购成本_CVD_05PLAN_B (EN) 5.31.05_Steel hike calculate base-20080523_DFL FY13 Simulation Data version 1010-2(A7C) 2 3" xfId="2639" xr:uid="{E6904CA1-B212-440A-9E2D-B5F5C4B87AED}"/>
    <cellStyle name="_news20041210-阳光2号采购成本_CVD_05PLAN_B (EN) 5.31.05_Steel hike calculate base-20080523_DFL FY13 Simulation Data version 1010-2(A7C) 2 4" xfId="2640" xr:uid="{663C2422-808F-4434-AB00-493FB2EC29CC}"/>
    <cellStyle name="_news20041210-阳光2号采购成本_CVD_05PLAN_B (EN) 5.31.05_Steel hike calculate base-20080523_DFL FY13 Simulation Data version 1010-2(A7C) 2 4 2" xfId="25869" xr:uid="{F715310D-BF23-4917-8BE5-A7A019135329}"/>
    <cellStyle name="_news20041210-阳光2号采购成本_CVD_05PLAN_B (EN) 5.31.05_Steel hike calculate base-20080523_DFL FY13 Simulation Data version 1010-2(A7C) 3" xfId="2641" xr:uid="{38C561D1-3ADC-4C1F-A990-56E1BEEEE66A}"/>
    <cellStyle name="_news20041210-阳光2号采购成本_CVD_05PLAN_B (EN) 5.31.05_Steel hike calculate base-20080523_DFL FY13 Simulation Data version 1010-2(A7C) 3 2" xfId="25870" xr:uid="{59CC6C34-DF1C-4DE7-9B72-FF80616B26A4}"/>
    <cellStyle name="_news20041210-阳光2号采购成本_CVD_05PLAN_B (EN) 5.31.05_Steel hike calculate base-20080523_DFL FY13 Simulation Data version 1010-2(A7C)_FY13 Budget Simulation Excel PKG for Auto by company" xfId="2642" xr:uid="{2787DF42-4116-4A27-A159-4FD07D3AE982}"/>
    <cellStyle name="_news20041210-阳光2号采购成本_CVD_05PLAN_B (EN) 5.31.05_Steel hike calculate base-20080523_FY13 Budget Simulation Excel PKG for Auto by company" xfId="2643" xr:uid="{2AF78778-1899-4512-BCBC-36B81FABA598}"/>
    <cellStyle name="_news20041210-阳光2号采购成本_DFL FY13 Simulation Data version 1010-2(A7C)" xfId="2644" xr:uid="{F773276A-2E6C-4CD9-B910-13D5151F1F39}"/>
    <cellStyle name="_news20041210-阳光2号采购成本_DFL FY13 Simulation Data version 1010-2(A7C) 2" xfId="2645" xr:uid="{E3F810D1-9E35-4F56-A3E5-697FDC4D2E48}"/>
    <cellStyle name="_news20041210-阳光2号采购成本_DFL FY13 Simulation Data version 1010-2(A7C) 2 2" xfId="2646" xr:uid="{BEC686CE-CD47-47AB-AF9E-05CF6DFDEE03}"/>
    <cellStyle name="_news20041210-阳光2号采购成本_DFL FY13 Simulation Data version 1010-2(A7C) 2 2 2" xfId="2647" xr:uid="{A9BC7E85-2D1F-437C-AE4D-18348ACA91DA}"/>
    <cellStyle name="_news20041210-阳光2号采购成本_DFL FY13 Simulation Data version 1010-2(A7C) 2 2 2 2" xfId="25871" xr:uid="{87726D46-F1AB-43A2-AEA9-E048BCB13654}"/>
    <cellStyle name="_news20041210-阳光2号采购成本_DFL FY13 Simulation Data version 1010-2(A7C) 2 3" xfId="2648" xr:uid="{CC030D7F-6DAF-4EE5-8893-06F05DD62A68}"/>
    <cellStyle name="_news20041210-阳光2号采购成本_DFL FY13 Simulation Data version 1010-2(A7C) 2 4" xfId="2649" xr:uid="{D9C4E0DC-A335-4793-B7D2-4395171A7AAF}"/>
    <cellStyle name="_news20041210-阳光2号采购成本_DFL FY13 Simulation Data version 1010-2(A7C) 2 4 2" xfId="25872" xr:uid="{175F0CA6-89AE-477B-AA92-C39E03659E4B}"/>
    <cellStyle name="_news20041210-阳光2号采购成本_DFL FY13 Simulation Data version 1010-2(A7C) 3" xfId="2650" xr:uid="{D3994A5A-A766-4B6A-A00D-D7858EAEB071}"/>
    <cellStyle name="_news20041210-阳光2号采购成本_DFL FY13 Simulation Data version 1010-2(A7C) 3 2" xfId="25873" xr:uid="{CB8AD049-4184-4F3E-993E-CDB1E62D0F59}"/>
    <cellStyle name="_news20041210-阳光2号采购成本_DFL FY13 Simulation Data version 1010-2(A7C)_FY13 Budget Simulation Excel PKG for Auto by company" xfId="2651" xr:uid="{9534249F-38C8-4E6B-B940-F1C6D5A19B0C}"/>
    <cellStyle name="_news20041210-阳光2号采购成本_FY08 Retail Volume April Report 090409" xfId="2652" xr:uid="{178F0DD8-1BB2-4C08-9574-22224A997115}"/>
    <cellStyle name="_news20041210-阳光2号采购成本_FY08 Retail Volume April Report 090409 2" xfId="2653" xr:uid="{407CC114-B816-4E86-A4B1-244B8684841B}"/>
    <cellStyle name="_news20041210-阳光2号采购成本_FY08 Retail Volume April Report 090409 2 2" xfId="25874" xr:uid="{E5F6EDAD-9F3F-47FF-BC32-E37DC88F9EF5}"/>
    <cellStyle name="_news20041210-阳光2号采购成本_FY09 CNTRL Outlook June-Latest0619-Final Retail" xfId="2654" xr:uid="{6826DE39-9B07-4A8A-81C7-46D725F2A1E2}"/>
    <cellStyle name="_news20041210-阳光2号采购成本_FY09 Landing Scenarios" xfId="2655" xr:uid="{143AB8A4-E241-41D9-BBAD-D0E2E4F18F90}"/>
    <cellStyle name="_news20041210-阳光2号采购成本_FY09 Landing Scenarios_Flash Volume Summary-PER01-rv1" xfId="2656" xr:uid="{DEB7B167-2481-4E3D-B6E7-35DE334C6B41}"/>
    <cellStyle name="_news20041210-阳光2号采购成本_FY09 Landing Scenarios_Flash Volume Summary-PER02" xfId="2657" xr:uid="{A5E11659-A7C9-4BE3-93F4-CF838A75F52E}"/>
    <cellStyle name="_news20041210-阳光2号采购成本_FY09 Landing Scenarios_Flash Volume Summary-PER04" xfId="2658" xr:uid="{D09D76D1-E25D-4CBD-8D68-CCAB32B50D27}"/>
    <cellStyle name="_news20041210-阳光2号采购成本_FY09 Landing Scenarios_Flash Volume Summary-PER0自分用2" xfId="2659" xr:uid="{8E5C6DE7-5188-4F69-96E8-E0B34EC5F4FE}"/>
    <cellStyle name="_news20041210-阳光2号采购成本_FY09 Landing Scenarios_Flash Volume Summary-PER10" xfId="2660" xr:uid="{B21E6425-B0E0-4BA7-AB86-638AFD6F22E7}"/>
    <cellStyle name="_news20041210-阳光2号采购成本_FY09 Landing Scenarios_Flash Volume Summary-PER10 for Central" xfId="2661" xr:uid="{E5D1641C-8246-4883-8FBE-FDEA7DAD6643}"/>
    <cellStyle name="_news20041210-阳光2号采购成本_FY09 Q1 Results_Volume MS Exp_July EC" xfId="2662" xr:uid="{F7F9F3F1-3C5F-4AB3-A7A3-FB5EA3607956}"/>
    <cellStyle name="_news20041210-阳光2号采购成本_FY09 Q1 Results_Volume MS Exp_July EC 2" xfId="2663" xr:uid="{2AB920B3-6E70-4674-B094-497C19129D60}"/>
    <cellStyle name="_news20041210-阳光2号采购成本_FY09 Q1 Results_Volume MS Exp_July EC 2 2" xfId="25875" xr:uid="{56710A7F-CAEA-41A9-A22E-6061EBABEA9B}"/>
    <cellStyle name="_news20041210-阳光2号采购成本_FY09 Q1 Results_Volume MS Exp_July EC v2" xfId="2664" xr:uid="{D01ABB6E-F903-4F8C-AE99-1943673BE161}"/>
    <cellStyle name="_news20041210-阳光2号采购成本_FY09 Retail Volume May Report 090513" xfId="2665" xr:uid="{97FCA4D8-CDD1-4669-8F12-90C3914F89E1}"/>
    <cellStyle name="_news20041210-阳光2号采购成本_FY09 Retail Volume May Report 090513_Flash Volume Summary-PER01-rv1" xfId="2666" xr:uid="{79C22759-EBD5-46EB-90B5-918BDD43717C}"/>
    <cellStyle name="_news20041210-阳光2号采购成本_FY09 Retail Volume May Report 090513_Flash Volume Summary-PER02" xfId="2667" xr:uid="{70A371F7-05A7-4350-A0DE-B23F5766E66A}"/>
    <cellStyle name="_news20041210-阳光2号采购成本_FY09 Retail Volume May Report 090513_Flash Volume Summary-PER04" xfId="2668" xr:uid="{7070122B-A211-446A-AC32-90DB0CA6CD89}"/>
    <cellStyle name="_news20041210-阳光2号采购成本_FY09 Retail Volume May Report 090513_Flash Volume Summary-PER0自分用2" xfId="2669" xr:uid="{AE0AAE45-093B-4E12-98C9-1F62B0ECB69A}"/>
    <cellStyle name="_news20041210-阳光2号采购成本_FY09 Retail Volume May Report 090513_Flash Volume Summary-PER10" xfId="2670" xr:uid="{90F1665C-5A01-4D1C-86BC-803582F68440}"/>
    <cellStyle name="_news20041210-阳光2号采购成本_FY09 Retail Volume May Report 090513_Flash Volume Summary-PER10 for Central" xfId="2671" xr:uid="{EABA9E81-FE8C-4B62-9199-FBD53BFDFBA2}"/>
    <cellStyle name="_news20041210-阳光2号采购成本_FY09 WS Volume Report_April YTD_090527-Monthly Budget Updated" xfId="2672" xr:uid="{359FF9FD-9ED9-4FF6-AB3F-CB1F6EDD01E6}"/>
    <cellStyle name="_news20041210-阳光2号采购成本_FY09 WS Volume Report_April YTD_090527-Monthly Budget Updated 2" xfId="2673" xr:uid="{3761134F-2124-4600-82BC-89D248C20251}"/>
    <cellStyle name="_news20041210-阳光2号采购成本_FY09 WS Volume Report_April YTD_090527-Monthly Budget Updated 2 2" xfId="25876" xr:uid="{5D852E08-0090-41B3-A48A-949EB00DCF38}"/>
    <cellStyle name="_news20041210-阳光2号采购成本_FY10 FC#2 Pricing Analysis to Central" xfId="2674" xr:uid="{07A44BB5-BDF3-490D-8E12-6A247EAEA54C}"/>
    <cellStyle name="_news20041210-阳光2号采购成本_FY10 Q3 YTD_Volume Detail_v2_FINAL" xfId="2675" xr:uid="{C11C6890-98FC-4970-B072-29281461780F}"/>
    <cellStyle name="_news20041210-阳光2号采购成本_FY13 Budget Simulation Excel PKG for Auto by company" xfId="2676" xr:uid="{141B57A7-EB1E-4D89-B5B2-51E55536AA81}"/>
    <cellStyle name="_news20041210-阳光2号采购成本_June_FY09 Retail Volume_090713" xfId="2677" xr:uid="{73049ED2-2FDB-453F-975A-BF641CC1D191}"/>
    <cellStyle name="_news20041210-阳光2号采购成本_June_FY09 Retail Volume_090713 2" xfId="2678" xr:uid="{22F55456-E5F6-40A0-91B4-631863ACCACA}"/>
    <cellStyle name="_news20041210-阳光2号采购成本_June_FY09 Retail Volume_090713 2 2" xfId="25877" xr:uid="{AF7B5672-B2AE-4970-98F4-19DADF93CD37}"/>
    <cellStyle name="_news20041210-阳光2号采购成本_L11K Impact vs. Budget" xfId="2679" xr:uid="{AADDC09F-A0B8-4CBB-98D2-5E0E3611BDBC}"/>
    <cellStyle name="_news20041210-阳光2号采购成本_L11K Impact vs. Budget 2" xfId="2680" xr:uid="{F304A496-20B7-415B-89AA-8EFA89387FE0}"/>
    <cellStyle name="_news20041210-阳光2号采购成本_L11K Impact vs. Budget 2 2" xfId="2681" xr:uid="{49DB0F13-ECE0-4B16-9BC9-9FC94FCC134E}"/>
    <cellStyle name="_news20041210-阳光2号采购成本_L11K Impact vs. Budget 2 2 2" xfId="25878" xr:uid="{30E3D1F6-7D3A-450B-B341-459120B0218A}"/>
    <cellStyle name="_news20041210-阳光2号采购成本_L11K Impact vs. Budget_L42F_MSRP TP mix k_080520" xfId="2682" xr:uid="{4EE7B313-EFFA-4A7E-8418-2AF715531EC6}"/>
    <cellStyle name="_news20041210-阳光2号采购成本_L11K Impact vs. Budget_L42F_MSRP TP mix k_080520 2" xfId="2683" xr:uid="{7827EDE7-1AE4-4F4D-A547-0CB6DC35F108}"/>
    <cellStyle name="_news20041210-阳光2号采购成本_L11K Impact vs. Budget_L42F_MSRP TP mix k_080520 2 2" xfId="2684" xr:uid="{25F3D5EC-8AB9-4F07-A42E-54AA061E4769}"/>
    <cellStyle name="_news20041210-阳光2号采购成本_L11K Impact vs. Budget_L42F_MSRP TP mix k_080520 2 2 2" xfId="25879" xr:uid="{83ED2DF3-4D39-4A77-9264-D0D7F39236A5}"/>
    <cellStyle name="_news20041210-阳光2号采购成本_L11K Impact vs. Budget_L42F_MSRP TP mix k_080528" xfId="2685" xr:uid="{B874CB98-D94D-474E-9F58-62C26D54D2C9}"/>
    <cellStyle name="_news20041210-阳光2号采购成本_L11K Impact vs. Budget_L42F_MSRP TP mix k_080528 2" xfId="2686" xr:uid="{2408872A-D763-4273-A6E5-13ACE58BE341}"/>
    <cellStyle name="_news20041210-阳光2号采购成本_L11K Impact vs. Budget_L42F_MSRP TP mix k_080528 2 2" xfId="2687" xr:uid="{785AA38A-B6F2-4EBC-8D5A-523AB8AC3A28}"/>
    <cellStyle name="_news20041210-阳光2号采购成本_L11K Impact vs. Budget_L42F_MSRP TP mix k_080528 2 2 2" xfId="25880" xr:uid="{6E5D70C1-A721-49A1-B734-09626BA04B07}"/>
    <cellStyle name="_news20041210-阳光2号采购成本_L11K Impact vs. Budget_P32E TDC for Final MPR(080912 31K Base)---from zhangtao" xfId="2688" xr:uid="{92CF5A0E-63C2-4EDC-ACA7-5AF989235462}"/>
    <cellStyle name="_news20041210-阳光2号采购成本_L11K Impact vs. Budget_P32E TDC for Final MPR(080912 31K Base)---from zhangtao 2" xfId="2689" xr:uid="{1A7F4D8B-9734-4D70-8CC5-265A62481102}"/>
    <cellStyle name="_news20041210-阳光2号采购成本_L11K Impact vs. Budget_P32E TDC for Final MPR(080912 31K Base)---from zhangtao 2 2" xfId="2690" xr:uid="{450BAAB4-C560-4D6D-8FF5-A7E6EA69C85C}"/>
    <cellStyle name="_news20041210-阳光2号采购成本_L11K Impact vs. Budget_P32E TDC for Final MPR(080912 31K Base)---from zhangtao 2 2 2" xfId="25881" xr:uid="{995FBDB2-700F-4E38-B6A3-E1054E5B9D19}"/>
    <cellStyle name="_news20041210-阳光2号采购成本_L42F_MSRP TP mix k_080520" xfId="2691" xr:uid="{C38B8D59-C602-46CA-8BCA-1EB054F61032}"/>
    <cellStyle name="_news20041210-阳光2号采购成本_L42F_MSRP TP mix k_080520 2" xfId="2692" xr:uid="{06F29EEF-7FE4-4E97-BFE3-303DD0A2505A}"/>
    <cellStyle name="_news20041210-阳光2号采购成本_L42F_MSRP TP mix k_080520 2 2" xfId="2693" xr:uid="{1B02528F-C684-40D6-AD94-B72EA8DF4A94}"/>
    <cellStyle name="_news20041210-阳光2号采购成本_L42F_MSRP TP mix k_080520 2 2 2" xfId="25882" xr:uid="{D87E0938-C5E2-4BAE-A5E2-5777AF02644C}"/>
    <cellStyle name="_news20041210-阳光2号采购成本_L42F_MSRP TP mix k_080528" xfId="2694" xr:uid="{7ABE9548-F3A1-44BE-A085-FE25D2884025}"/>
    <cellStyle name="_news20041210-阳光2号采购成本_L42F_MSRP TP mix k_080528 2" xfId="2695" xr:uid="{94CA6338-6EE1-4FAF-B5DA-6834C03EA8B6}"/>
    <cellStyle name="_news20041210-阳光2号采购成本_L42F_MSRP TP mix k_080528 2 2" xfId="2696" xr:uid="{658AB57F-9CF0-4C3B-A598-77E4B84BDD93}"/>
    <cellStyle name="_news20041210-阳光2号采购成本_L42F_MSRP TP mix k_080528 2 2 2" xfId="25883" xr:uid="{902B5C24-DA52-4C1D-910F-346FAD6BDA9C}"/>
    <cellStyle name="_news20041210-阳光2号采购成本_May_FY09 Retail Volume_090615" xfId="2697" xr:uid="{AE0D8917-86BD-4CC2-974B-B0E02C2A4343}"/>
    <cellStyle name="_news20041210-阳光2号采购成本_May_FY09 Retail Volume_090615 2" xfId="2698" xr:uid="{CACC7C2E-64B7-4E7D-9CB3-C20ABC6CD1BD}"/>
    <cellStyle name="_news20041210-阳光2号采购成本_May_FY09 Retail Volume_090615 2 2" xfId="25884" xr:uid="{CA8C4924-8F3D-4295-ADEC-78CD37512F37}"/>
    <cellStyle name="_news20041210-阳光2号采购成本_P32E TDC for Final MPR(080912 31K Base)---from zhangtao" xfId="2699" xr:uid="{28024A06-AD48-4763-BB8C-AD8494A81563}"/>
    <cellStyle name="_news20041210-阳光2号采购成本_P32E TDC for Final MPR(080912 31K Base)---from zhangtao 2" xfId="2700" xr:uid="{EB322E7B-F6FA-4D78-BDBC-AA1ED634AC5A}"/>
    <cellStyle name="_news20041210-阳光2号采购成本_P32E TDC for Final MPR(080912 31K Base)---from zhangtao 2 2" xfId="2701" xr:uid="{81E0C383-48E6-4DCC-907E-E1C9D65453CA}"/>
    <cellStyle name="_news20041210-阳光2号采购成本_P32E TDC for Final MPR(080912 31K Base)---from zhangtao 2 2 2" xfId="25885" xr:uid="{92D55D87-0339-48E3-9DD2-DE3695B97980}"/>
    <cellStyle name="_news20041210-阳光2号采购成本_Steel hike calculate base-20080523" xfId="2702" xr:uid="{C971EF8D-5D77-4F12-8DBA-FBCDC27D0F3E}"/>
    <cellStyle name="_news20041210-阳光2号采购成本_Steel hike calculate base-20080523 2" xfId="2703" xr:uid="{3C8F4EFF-999C-4C6A-85AB-E80118652B46}"/>
    <cellStyle name="_news20041210-阳光2号采购成本_Steel hike calculate base-20080523 2 2" xfId="2704" xr:uid="{ABD083B6-88C9-4165-8667-2ADB1CD3B549}"/>
    <cellStyle name="_news20041210-阳光2号采购成本_Steel hike calculate base-20080523 2 2 2" xfId="2705" xr:uid="{7F93EC80-8821-4512-95F2-777D57A26B8E}"/>
    <cellStyle name="_news20041210-阳光2号采购成本_Steel hike calculate base-20080523 2 2 2 2" xfId="2706" xr:uid="{4793BF65-2CFA-428C-9544-91EF2F5AA1E5}"/>
    <cellStyle name="_news20041210-阳光2号采购成本_Steel hike calculate base-20080523 2 2 2 2 2" xfId="25886" xr:uid="{E692F171-2C2D-464C-BDC8-994E9DE919EE}"/>
    <cellStyle name="_news20041210-阳光2号采购成本_Steel hike calculate base-20080523 2 2 3" xfId="2707" xr:uid="{93260B7B-1DE9-4614-B1EA-CF6BFCFBEFAE}"/>
    <cellStyle name="_news20041210-阳光2号采购成本_Steel hike calculate base-20080523 2 2 4" xfId="2708" xr:uid="{FC20F1D0-13F7-499E-AE5B-D1130EBE376E}"/>
    <cellStyle name="_news20041210-阳光2号采购成本_Steel hike calculate base-20080523 2 2 4 2" xfId="25887" xr:uid="{8E6C10C1-A18B-4DB2-B1C1-7634A80EB159}"/>
    <cellStyle name="_news20041210-阳光2号采购成本_Steel hike calculate base-20080523 2 3" xfId="2709" xr:uid="{0A56E835-4127-4B02-B1BB-F69A1826B2B8}"/>
    <cellStyle name="_news20041210-阳光2号采购成本_Steel hike calculate base-20080523 2 3 2" xfId="25888" xr:uid="{2B8F818C-DDCD-4F06-B1F2-8B5C8F1125B5}"/>
    <cellStyle name="_news20041210-阳光2号采购成本_Steel hike calculate base-20080523 2_FY13 Budget Simulation Excel PKG for Auto by company" xfId="2710" xr:uid="{46C17108-B554-4C38-894B-8DAA6B83E287}"/>
    <cellStyle name="_news20041210-阳光2号采购成本_Steel hike calculate base-20080523 3" xfId="2711" xr:uid="{A82DA74D-0C93-46BE-B058-C0E2B99B8213}"/>
    <cellStyle name="_news20041210-阳光2号采购成本_Steel hike calculate base-20080523 4" xfId="2712" xr:uid="{58CCB014-1A39-4739-A785-0CC30F1F2561}"/>
    <cellStyle name="_news20041210-阳光2号采购成本_Steel hike calculate base-20080523 4 2" xfId="25889" xr:uid="{332CC370-BA80-4A96-98DA-8DAD69549829}"/>
    <cellStyle name="_news20041210-阳光2号采购成本_Steel hike calculate base-20080523_DFL FY13 Simulation Data version 1010-2(A7C)" xfId="2713" xr:uid="{DDBECC0A-01DA-42B3-91A9-DDF57B9DFEAA}"/>
    <cellStyle name="_news20041210-阳光2号采购成本_Steel hike calculate base-20080523_DFL FY13 Simulation Data version 1010-2(A7C) 2" xfId="2714" xr:uid="{2146F9AC-5696-4D2C-9506-471A9B22AFD8}"/>
    <cellStyle name="_news20041210-阳光2号采购成本_Steel hike calculate base-20080523_DFL FY13 Simulation Data version 1010-2(A7C) 2 2" xfId="2715" xr:uid="{F18172E4-ED8F-49F1-86B0-A8D4A46F7211}"/>
    <cellStyle name="_news20041210-阳光2号采购成本_Steel hike calculate base-20080523_DFL FY13 Simulation Data version 1010-2(A7C) 2 2 2" xfId="2716" xr:uid="{98BDFA62-A875-4397-BF57-F8B5D4C6F903}"/>
    <cellStyle name="_news20041210-阳光2号采购成本_Steel hike calculate base-20080523_DFL FY13 Simulation Data version 1010-2(A7C) 2 2 2 2" xfId="25890" xr:uid="{7AFDC77E-DC7E-459A-80DD-8D0D8EFA1BF2}"/>
    <cellStyle name="_news20041210-阳光2号采购成本_Steel hike calculate base-20080523_DFL FY13 Simulation Data version 1010-2(A7C) 2 3" xfId="2717" xr:uid="{949F8B50-0ADF-4AB1-8BF5-B94E8E2063B5}"/>
    <cellStyle name="_news20041210-阳光2号采购成本_Steel hike calculate base-20080523_DFL FY13 Simulation Data version 1010-2(A7C) 2 4" xfId="2718" xr:uid="{E07E1478-26D4-48AF-AA9F-3DBEB0C6AE19}"/>
    <cellStyle name="_news20041210-阳光2号采购成本_Steel hike calculate base-20080523_DFL FY13 Simulation Data version 1010-2(A7C) 2 4 2" xfId="25891" xr:uid="{5FED9ADE-A904-48FB-B9AF-0854A7CA5679}"/>
    <cellStyle name="_news20041210-阳光2号采购成本_Steel hike calculate base-20080523_DFL FY13 Simulation Data version 1010-2(A7C) 3" xfId="2719" xr:uid="{45CE6179-16CB-4FF3-9BB5-15BAFF2A9508}"/>
    <cellStyle name="_news20041210-阳光2号采购成本_Steel hike calculate base-20080523_DFL FY13 Simulation Data version 1010-2(A7C) 3 2" xfId="25892" xr:uid="{66D87384-EDE2-4E45-879C-0573A3441885}"/>
    <cellStyle name="_news20041210-阳光2号采购成本_Steel hike calculate base-20080523_DFL FY13 Simulation Data version 1010-2(A7C)_FY13 Budget Simulation Excel PKG for Auto by company" xfId="2720" xr:uid="{4F332022-BAEF-47B4-A29C-7FC271CE8B97}"/>
    <cellStyle name="_news20041210-阳光2号采购成本_Steel hike calculate base-20080523_FY13 Budget Simulation Excel PKG for Auto by company" xfId="2721" xr:uid="{B5208EFE-7601-4752-9A03-32F1DB2EDD67}"/>
    <cellStyle name="_news20041210-阳光2号采购成本_附件二" xfId="2722" xr:uid="{DF3158E0-B2AA-4D9E-9E6B-989A6F0CDD31}"/>
    <cellStyle name="_news20041210-阳光2号采购成本_附件二 2" xfId="2723" xr:uid="{CFB4C252-CB1D-4F94-AAFF-974CEC1EE06B}"/>
    <cellStyle name="_news20041210-阳光2号采购成本_附件二 2 2" xfId="2724" xr:uid="{60B37128-9EA8-4A52-8C5E-8CFC0D56F18C}"/>
    <cellStyle name="_news20041210-阳光2号采购成本_附件二 2 2 2" xfId="2725" xr:uid="{1F1C01DB-1C6D-4BF9-839E-5C5E8658280C}"/>
    <cellStyle name="_news20041210-阳光2号采购成本_附件二 2 2 2 2" xfId="2726" xr:uid="{35C55997-6DE5-4DE7-80E9-06EBC147473C}"/>
    <cellStyle name="_news20041210-阳光2号采购成本_附件二 2 2 2 2 2" xfId="25893" xr:uid="{E239D6EE-4B19-4CDE-A77C-C357536D96E3}"/>
    <cellStyle name="_news20041210-阳光2号采购成本_附件二 2 2 3" xfId="2727" xr:uid="{32B993EC-E4A2-4C86-AD78-DFAFDAE23431}"/>
    <cellStyle name="_news20041210-阳光2号采购成本_附件二 2 2 4" xfId="2728" xr:uid="{DC02AF36-8B6E-471A-BE39-EA849875E94A}"/>
    <cellStyle name="_news20041210-阳光2号采购成本_附件二 2 2 4 2" xfId="25894" xr:uid="{AE798B87-6B2D-4347-80F5-AD60E5C3250C}"/>
    <cellStyle name="_news20041210-阳光2号采购成本_附件二 2 3" xfId="2729" xr:uid="{3687566A-C150-47EE-9D3F-61C3DF8F28D0}"/>
    <cellStyle name="_news20041210-阳光2号采购成本_附件二 2 3 2" xfId="25895" xr:uid="{9D6A6F64-2406-403C-BBAC-102D91B48234}"/>
    <cellStyle name="_news20041210-阳光2号采购成本_附件二 2_FY13 Budget Simulation Excel PKG for Auto by company" xfId="2730" xr:uid="{5D7D622A-739A-4D72-9414-3A1E8077D56B}"/>
    <cellStyle name="_news20041210-阳光2号采购成本_附件二 3" xfId="2731" xr:uid="{BA9C3ADA-0600-4EE0-891C-5E94AA53181A}"/>
    <cellStyle name="_news20041210-阳光2号采购成本_附件二 4" xfId="2732" xr:uid="{F28FFFE6-9839-48DE-A5B2-40C304DB086B}"/>
    <cellStyle name="_news20041210-阳光2号采购成本_附件二 4 2" xfId="25896" xr:uid="{61B3A8D1-0EDE-4C25-94FF-4922CAE529EE}"/>
    <cellStyle name="_news20041210-阳光2号采购成本_附件二_CFT业绩管理表" xfId="2733" xr:uid="{6784E416-E532-4A9C-8626-71A956A10BE4}"/>
    <cellStyle name="_news20041210-阳光2号采购成本_附件二_CFT业绩管理表 2" xfId="2734" xr:uid="{55E67449-098A-462E-9898-EDF0FC80FB89}"/>
    <cellStyle name="_news20041210-阳光2号采购成本_附件二_CFT业绩管理表 2 2" xfId="2735" xr:uid="{7C46052C-290B-4BA4-B6F2-57E67EFB45DB}"/>
    <cellStyle name="_news20041210-阳光2号采购成本_附件二_CFT业绩管理表 2 2 2" xfId="2736" xr:uid="{EE47A75F-EC15-447D-8F54-938C81B4394C}"/>
    <cellStyle name="_news20041210-阳光2号采购成本_附件二_CFT业绩管理表 2 2 2 2" xfId="2737" xr:uid="{0F6D01E7-36B4-41A9-9A35-AEDC105A5261}"/>
    <cellStyle name="_news20041210-阳光2号采购成本_附件二_CFT业绩管理表 2 2 2 2 2" xfId="25897" xr:uid="{0EF49B49-EEA6-4E89-9C8D-EDE734C34850}"/>
    <cellStyle name="_news20041210-阳光2号采购成本_附件二_CFT业绩管理表 2 2 3" xfId="2738" xr:uid="{657071BA-8E92-4E5F-BA15-EC8D2E43E046}"/>
    <cellStyle name="_news20041210-阳光2号采购成本_附件二_CFT业绩管理表 2 2 4" xfId="2739" xr:uid="{4ED2C9FC-6CC6-431F-98EC-BDDAAB22A597}"/>
    <cellStyle name="_news20041210-阳光2号采购成本_附件二_CFT业绩管理表 2 2 4 2" xfId="25898" xr:uid="{5925D367-5879-4EDF-91DC-A314DDD2A70C}"/>
    <cellStyle name="_news20041210-阳光2号采购成本_附件二_CFT业绩管理表 2 3" xfId="2740" xr:uid="{EFA22B99-4236-4BAB-9159-D8F229985EB3}"/>
    <cellStyle name="_news20041210-阳光2号采购成本_附件二_CFT业绩管理表 2 3 2" xfId="25899" xr:uid="{DC43569F-47AC-4AD4-910A-484ACD82E61E}"/>
    <cellStyle name="_news20041210-阳光2号采购成本_附件二_CFT业绩管理表 2_FY13 Budget Simulation Excel PKG for Auto by company" xfId="2741" xr:uid="{6D6AC291-ADE9-498A-9C3C-847C7171CB95}"/>
    <cellStyle name="_news20041210-阳光2号采购成本_附件二_CFT业绩管理表 3" xfId="2742" xr:uid="{C75A33ED-0390-4E55-BA87-9C7E4F7550C7}"/>
    <cellStyle name="_news20041210-阳光2号采购成本_附件二_CFT业绩管理表 4" xfId="2743" xr:uid="{840511D4-7170-4C8A-BF3B-B281E704F4A2}"/>
    <cellStyle name="_news20041210-阳光2号采购成本_附件二_CFT业绩管理表 4 2" xfId="25900" xr:uid="{BA39905A-5CDB-41E1-B0E6-7AFE335DE88C}"/>
    <cellStyle name="_news20041210-阳光2号采购成本_附件二_CFT业绩管理表_DFL FY13 Simulation Data version 1010-2(A7C)" xfId="2744" xr:uid="{CA719D90-7689-4B39-97BC-0EE56044987D}"/>
    <cellStyle name="_news20041210-阳光2号采购成本_附件二_CFT业绩管理表_DFL FY13 Simulation Data version 1010-2(A7C) 2" xfId="2745" xr:uid="{2F740B92-7ACF-4D2B-909F-F8501959C5F9}"/>
    <cellStyle name="_news20041210-阳光2号采购成本_附件二_CFT业绩管理表_DFL FY13 Simulation Data version 1010-2(A7C) 2 2" xfId="2746" xr:uid="{150FDAC2-1BD5-4835-A9B6-3051835F8C85}"/>
    <cellStyle name="_news20041210-阳光2号采购成本_附件二_CFT业绩管理表_DFL FY13 Simulation Data version 1010-2(A7C) 2 2 2" xfId="2747" xr:uid="{6AA1A5A3-56F5-4602-87AF-E76C542A7C20}"/>
    <cellStyle name="_news20041210-阳光2号采购成本_附件二_CFT业绩管理表_DFL FY13 Simulation Data version 1010-2(A7C) 2 2 2 2" xfId="25901" xr:uid="{DBACA3DF-68A7-4955-A908-9B9F251D52F5}"/>
    <cellStyle name="_news20041210-阳光2号采购成本_附件二_CFT业绩管理表_DFL FY13 Simulation Data version 1010-2(A7C) 2 3" xfId="2748" xr:uid="{C7A0B876-673A-4855-A3C3-7C7B75BB0F5E}"/>
    <cellStyle name="_news20041210-阳光2号采购成本_附件二_CFT业绩管理表_DFL FY13 Simulation Data version 1010-2(A7C) 2 4" xfId="2749" xr:uid="{24F0AEC2-4F0F-4F45-AE4F-BE370CCBB64F}"/>
    <cellStyle name="_news20041210-阳光2号采购成本_附件二_CFT业绩管理表_DFL FY13 Simulation Data version 1010-2(A7C) 2 4 2" xfId="25902" xr:uid="{9F0E661C-D8F3-4942-BFE8-4F9388A71474}"/>
    <cellStyle name="_news20041210-阳光2号采购成本_附件二_CFT业绩管理表_DFL FY13 Simulation Data version 1010-2(A7C) 3" xfId="2750" xr:uid="{5318B949-7538-4C82-AF44-1477C9D4E681}"/>
    <cellStyle name="_news20041210-阳光2号采购成本_附件二_CFT业绩管理表_DFL FY13 Simulation Data version 1010-2(A7C) 3 2" xfId="25903" xr:uid="{65345934-F35D-49AC-A019-B788A92695B3}"/>
    <cellStyle name="_news20041210-阳光2号采购成本_附件二_CFT业绩管理表_DFL FY13 Simulation Data version 1010-2(A7C)_FY13 Budget Simulation Excel PKG for Auto by company" xfId="2751" xr:uid="{CEED0FDF-AE02-40EB-9B5E-E232DCE1CC8B}"/>
    <cellStyle name="_news20041210-阳光2号采购成本_附件二_CFT业绩管理表_FY13 Budget Simulation Excel PKG for Auto by company" xfId="2752" xr:uid="{31E9D252-AC7C-4F55-A2C0-552A8591E89E}"/>
    <cellStyle name="_news20041210-阳光2号采购成本_附件二_DFL FY13 Simulation Data version 1010-2(A7C)" xfId="2753" xr:uid="{F1267E75-5FD8-4AB8-A982-339408E94A2F}"/>
    <cellStyle name="_news20041210-阳光2号采购成本_附件二_DFL FY13 Simulation Data version 1010-2(A7C) 2" xfId="2754" xr:uid="{5FE625BE-8A33-44E9-819B-2C45608F3FF1}"/>
    <cellStyle name="_news20041210-阳光2号采购成本_附件二_DFL FY13 Simulation Data version 1010-2(A7C) 2 2" xfId="2755" xr:uid="{44528DFB-174C-4EDF-B19A-A4CACD008D66}"/>
    <cellStyle name="_news20041210-阳光2号采购成本_附件二_DFL FY13 Simulation Data version 1010-2(A7C) 2 2 2" xfId="2756" xr:uid="{56BAAEE6-A3E4-4DE6-A3F5-88EDCF40E9A4}"/>
    <cellStyle name="_news20041210-阳光2号采购成本_附件二_DFL FY13 Simulation Data version 1010-2(A7C) 2 2 2 2" xfId="25904" xr:uid="{2AD00FB4-6285-4C56-9B0F-FFDD0F29011D}"/>
    <cellStyle name="_news20041210-阳光2号采购成本_附件二_DFL FY13 Simulation Data version 1010-2(A7C) 2 3" xfId="2757" xr:uid="{B3D9E416-9DE4-4F6A-9E88-26DA0E03B6BF}"/>
    <cellStyle name="_news20041210-阳光2号采购成本_附件二_DFL FY13 Simulation Data version 1010-2(A7C) 2 4" xfId="2758" xr:uid="{FD50FC8E-3E4F-43B7-A719-37875C09F195}"/>
    <cellStyle name="_news20041210-阳光2号采购成本_附件二_DFL FY13 Simulation Data version 1010-2(A7C) 2 4 2" xfId="25905" xr:uid="{09AEA5A1-9E31-4950-BEAE-72758AE14886}"/>
    <cellStyle name="_news20041210-阳光2号采购成本_附件二_DFL FY13 Simulation Data version 1010-2(A7C) 3" xfId="2759" xr:uid="{0CB3427E-CF5F-417E-9788-E083D6ED90AA}"/>
    <cellStyle name="_news20041210-阳光2号采购成本_附件二_DFL FY13 Simulation Data version 1010-2(A7C) 3 2" xfId="25906" xr:uid="{C04340F4-9D5E-4BBA-8EDC-2E1215F09F70}"/>
    <cellStyle name="_news20041210-阳光2号采购成本_附件二_DFL FY13 Simulation Data version 1010-2(A7C)_FY13 Budget Simulation Excel PKG for Auto by company" xfId="2760" xr:uid="{C2FCBDA1-C10D-4AEB-AF9E-60F26B45BB77}"/>
    <cellStyle name="_news20041210-阳光2号采购成本_附件二_FY13 Budget Simulation Excel PKG for Auto by company" xfId="2761" xr:uid="{03825995-DD6B-4191-A390-AC328F56358C}"/>
    <cellStyle name="_news20041210-阳光2号采购成本_附件二_技术降成本附表" xfId="2762" xr:uid="{60B44383-780E-4828-9C1C-83ADDF91316F}"/>
    <cellStyle name="_news20041210-阳光2号采购成本_附件二_技术降成本附表 2" xfId="2763" xr:uid="{7195924F-5349-454E-B346-5F435854AE09}"/>
    <cellStyle name="_news20041210-阳光2号采购成本_附件二_技术降成本附表 2 2" xfId="2764" xr:uid="{F7034EAC-A43F-4A91-9905-8BC6D9B1E551}"/>
    <cellStyle name="_news20041210-阳光2号采购成本_附件二_技术降成本附表 2 2 2" xfId="2765" xr:uid="{578090EF-EAA9-4DE3-A9BF-A4430B04C50D}"/>
    <cellStyle name="_news20041210-阳光2号采购成本_附件二_技术降成本附表 2 2 2 2" xfId="2766" xr:uid="{52E2C2D7-47A7-489D-B903-43F3102C49F0}"/>
    <cellStyle name="_news20041210-阳光2号采购成本_附件二_技术降成本附表 2 2 2 2 2" xfId="25907" xr:uid="{21B7B82A-3CFC-4F49-9F11-202FA9EC70A8}"/>
    <cellStyle name="_news20041210-阳光2号采购成本_附件二_技术降成本附表 2 2 3" xfId="2767" xr:uid="{DC6CFD39-8548-4A68-867A-37193C21BE1B}"/>
    <cellStyle name="_news20041210-阳光2号采购成本_附件二_技术降成本附表 2 2 4" xfId="2768" xr:uid="{566D129A-E380-4611-B02A-CC84CD96A548}"/>
    <cellStyle name="_news20041210-阳光2号采购成本_附件二_技术降成本附表 2 2 4 2" xfId="25908" xr:uid="{6B6F0426-57B7-4EAA-9357-AEA6AF3428EF}"/>
    <cellStyle name="_news20041210-阳光2号采购成本_附件二_技术降成本附表 2 3" xfId="2769" xr:uid="{FEEA8BF8-8239-4884-802C-6EAB3966431E}"/>
    <cellStyle name="_news20041210-阳光2号采购成本_附件二_技术降成本附表 2 3 2" xfId="25909" xr:uid="{BFE24A0C-53B4-46F2-8230-D9AE75DB4BA1}"/>
    <cellStyle name="_news20041210-阳光2号采购成本_附件二_技术降成本附表 2_FY13 Budget Simulation Excel PKG for Auto by company" xfId="2770" xr:uid="{44108E1D-E5B2-4CBF-9262-B950A0EB78F2}"/>
    <cellStyle name="_news20041210-阳光2号采购成本_附件二_技术降成本附表 3" xfId="2771" xr:uid="{A69E358F-8D09-42AA-B643-4B68E6799631}"/>
    <cellStyle name="_news20041210-阳光2号采购成本_附件二_技术降成本附表 4" xfId="2772" xr:uid="{D410F1A8-5D6B-4DAE-B2A9-D6027C236428}"/>
    <cellStyle name="_news20041210-阳光2号采购成本_附件二_技术降成本附表 4 2" xfId="25910" xr:uid="{BDF97E5B-88C1-4E3F-81B3-11609BDFB12B}"/>
    <cellStyle name="_news20041210-阳光2号采购成本_附件二_技术降成本附表_DFL FY13 Simulation Data version 1010-2(A7C)" xfId="2773" xr:uid="{E8049F90-FC49-4504-A6E2-AB5CE0F2DE69}"/>
    <cellStyle name="_news20041210-阳光2号采购成本_附件二_技术降成本附表_DFL FY13 Simulation Data version 1010-2(A7C) 2" xfId="2774" xr:uid="{87FB0AA6-88DD-4F9B-BE2F-116AB2A9E6E0}"/>
    <cellStyle name="_news20041210-阳光2号采购成本_附件二_技术降成本附表_DFL FY13 Simulation Data version 1010-2(A7C) 2 2" xfId="2775" xr:uid="{9CFA4D47-599F-466C-8A40-EAF958259505}"/>
    <cellStyle name="_news20041210-阳光2号采购成本_附件二_技术降成本附表_DFL FY13 Simulation Data version 1010-2(A7C) 2 2 2" xfId="2776" xr:uid="{0C158FF0-03F7-472F-B260-5F9B4F2C8AFD}"/>
    <cellStyle name="_news20041210-阳光2号采购成本_附件二_技术降成本附表_DFL FY13 Simulation Data version 1010-2(A7C) 2 2 2 2" xfId="25911" xr:uid="{C3F5284A-9B4D-44B7-BA15-06D9AACC05F3}"/>
    <cellStyle name="_news20041210-阳光2号采购成本_附件二_技术降成本附表_DFL FY13 Simulation Data version 1010-2(A7C) 2 3" xfId="2777" xr:uid="{5670A35B-65D4-41D4-9593-2DE33B40A9DD}"/>
    <cellStyle name="_news20041210-阳光2号采购成本_附件二_技术降成本附表_DFL FY13 Simulation Data version 1010-2(A7C) 2 4" xfId="2778" xr:uid="{F700CFBD-3159-43C2-845F-F95EBE622911}"/>
    <cellStyle name="_news20041210-阳光2号采购成本_附件二_技术降成本附表_DFL FY13 Simulation Data version 1010-2(A7C) 2 4 2" xfId="25912" xr:uid="{B28F45A3-58AF-43BE-924D-D33B7AB39918}"/>
    <cellStyle name="_news20041210-阳光2号采购成本_附件二_技术降成本附表_DFL FY13 Simulation Data version 1010-2(A7C) 3" xfId="2779" xr:uid="{D9E81436-6294-4338-8709-5C74B30D5859}"/>
    <cellStyle name="_news20041210-阳光2号采购成本_附件二_技术降成本附表_DFL FY13 Simulation Data version 1010-2(A7C) 3 2" xfId="25913" xr:uid="{E4883FA2-A5E5-4AEE-87C4-2C15EEB613B9}"/>
    <cellStyle name="_news20041210-阳光2号采购成本_附件二_技术降成本附表_DFL FY13 Simulation Data version 1010-2(A7C)_FY13 Budget Simulation Excel PKG for Auto by company" xfId="2780" xr:uid="{DB4E7021-A88B-4B16-BDAF-3CDAD01E7002}"/>
    <cellStyle name="_news20041210-阳光2号采购成本_附件二_技术降成本附表_FY13 Budget Simulation Excel PKG for Auto by company" xfId="2781" xr:uid="{F1B9C5A8-6E34-4DE1-85C3-C57ADA3F9B8C}"/>
    <cellStyle name="_news20041210-阳光2号采购成本_附件二_提案业绩报表" xfId="2782" xr:uid="{7F4D3000-BAF1-4C57-9610-72EFC9382FC9}"/>
    <cellStyle name="_news20041210-阳光2号采购成本_附件二_提案业绩报表 2" xfId="2783" xr:uid="{9CC29748-7234-46E1-8DED-25620B2ECE6C}"/>
    <cellStyle name="_news20041210-阳光2号采购成本_附件二_提案业绩报表 2 2" xfId="2784" xr:uid="{8145CAE4-F04E-4849-A95B-B37E6D713F80}"/>
    <cellStyle name="_news20041210-阳光2号采购成本_附件二_提案业绩报表 2 2 2" xfId="2785" xr:uid="{237E0CB7-B206-4DC3-93AB-E5ECA39F71E9}"/>
    <cellStyle name="_news20041210-阳光2号采购成本_附件二_提案业绩报表 2 2 2 2" xfId="2786" xr:uid="{5EB47DB8-C933-4FE2-B7FC-6710ED0ED10F}"/>
    <cellStyle name="_news20041210-阳光2号采购成本_附件二_提案业绩报表 2 2 2 2 2" xfId="25914" xr:uid="{EAF32BE9-780A-43C3-9C6D-6FD270BAD23E}"/>
    <cellStyle name="_news20041210-阳光2号采购成本_附件二_提案业绩报表 2 2 3" xfId="2787" xr:uid="{8D5C1173-8DB7-4E12-A638-EFB3DFB28074}"/>
    <cellStyle name="_news20041210-阳光2号采购成本_附件二_提案业绩报表 2 2 4" xfId="2788" xr:uid="{F146DB0B-2B52-4655-9412-F31E97DF1055}"/>
    <cellStyle name="_news20041210-阳光2号采购成本_附件二_提案业绩报表 2 2 4 2" xfId="25915" xr:uid="{2259D179-75B1-4511-BDB8-85363B1D1954}"/>
    <cellStyle name="_news20041210-阳光2号采购成本_附件二_提案业绩报表 2 3" xfId="2789" xr:uid="{E00ABBF6-7BB6-4213-B096-05DBD174D5AB}"/>
    <cellStyle name="_news20041210-阳光2号采购成本_附件二_提案业绩报表 2 3 2" xfId="25916" xr:uid="{EC504ABD-B7AD-4070-9C4B-174655044891}"/>
    <cellStyle name="_news20041210-阳光2号采购成本_附件二_提案业绩报表 2_FY13 Budget Simulation Excel PKG for Auto by company" xfId="2790" xr:uid="{68449AB3-F6DC-49E7-A39B-691FC3EBD67F}"/>
    <cellStyle name="_news20041210-阳光2号采购成本_附件二_提案业绩报表 3" xfId="2791" xr:uid="{77FA39D5-A5DF-48CA-B621-C374D91C27B9}"/>
    <cellStyle name="_news20041210-阳光2号采购成本_附件二_提案业绩报表 4" xfId="2792" xr:uid="{679799E6-7EAE-4E28-90CA-6C292E3C9C31}"/>
    <cellStyle name="_news20041210-阳光2号采购成本_附件二_提案业绩报表 4 2" xfId="25917" xr:uid="{EB915293-803D-467D-BB83-D35EF34A4AC3}"/>
    <cellStyle name="_news20041210-阳光2号采购成本_附件二_提案业绩报表_DFL FY13 Simulation Data version 1010-2(A7C)" xfId="2793" xr:uid="{AF0FA22B-F01B-4666-8AA6-E7E010F1AAAD}"/>
    <cellStyle name="_news20041210-阳光2号采购成本_附件二_提案业绩报表_DFL FY13 Simulation Data version 1010-2(A7C) 2" xfId="2794" xr:uid="{073D235F-5B5F-4B7E-B361-A8517A34F217}"/>
    <cellStyle name="_news20041210-阳光2号采购成本_附件二_提案业绩报表_DFL FY13 Simulation Data version 1010-2(A7C) 2 2" xfId="2795" xr:uid="{ACD07CFF-9797-4572-B5FD-420AF6E6F838}"/>
    <cellStyle name="_news20041210-阳光2号采购成本_附件二_提案业绩报表_DFL FY13 Simulation Data version 1010-2(A7C) 2 2 2" xfId="2796" xr:uid="{ED115D02-4559-4D07-ABE2-95B389961779}"/>
    <cellStyle name="_news20041210-阳光2号采购成本_附件二_提案业绩报表_DFL FY13 Simulation Data version 1010-2(A7C) 2 2 2 2" xfId="25918" xr:uid="{D446CD29-A8C3-447C-995F-E45404685BFF}"/>
    <cellStyle name="_news20041210-阳光2号采购成本_附件二_提案业绩报表_DFL FY13 Simulation Data version 1010-2(A7C) 2 3" xfId="2797" xr:uid="{DDA86F4E-B97B-40CD-B661-29B7C9CD11B5}"/>
    <cellStyle name="_news20041210-阳光2号采购成本_附件二_提案业绩报表_DFL FY13 Simulation Data version 1010-2(A7C) 2 4" xfId="2798" xr:uid="{92128B06-70D4-4742-8DEB-EA99E05D1F06}"/>
    <cellStyle name="_news20041210-阳光2号采购成本_附件二_提案业绩报表_DFL FY13 Simulation Data version 1010-2(A7C) 2 4 2" xfId="25919" xr:uid="{A8DCFD72-DFD9-4C6B-B143-22B7E1C7AF25}"/>
    <cellStyle name="_news20041210-阳光2号采购成本_附件二_提案业绩报表_DFL FY13 Simulation Data version 1010-2(A7C) 3" xfId="2799" xr:uid="{FA1E30E1-B6AF-49F5-AE25-35532100D76C}"/>
    <cellStyle name="_news20041210-阳光2号采购成本_附件二_提案业绩报表_DFL FY13 Simulation Data version 1010-2(A7C) 3 2" xfId="25920" xr:uid="{6E4378FA-B5EE-47A2-B02F-804DCE3E2CC8}"/>
    <cellStyle name="_news20041210-阳光2号采购成本_附件二_提案业绩报表_DFL FY13 Simulation Data version 1010-2(A7C)_FY13 Budget Simulation Excel PKG for Auto by company" xfId="2800" xr:uid="{90C52BB0-65B1-4CCA-A2B3-A1F35A81597E}"/>
    <cellStyle name="_news20041210-阳光2号采购成本_附件二_提案业绩报表_FY13 Budget Simulation Excel PKG for Auto by company" xfId="2801" xr:uid="{8527E822-D1B7-49A8-9C5C-7A58F1C0003C}"/>
    <cellStyle name="_Nissan service fee and engagement fee defer" xfId="2802" xr:uid="{52501F57-704A-48F4-ABC0-AAE41ADADBA0}"/>
    <cellStyle name="_NMI Material Risk Item Chart Budget allocation 310507 HC4-HC2-NMI Feedback 0723" xfId="2803" xr:uid="{9F9E6AB6-1ED0-4B63-88BE-106AD674F6E4}"/>
    <cellStyle name="_NMI rates" xfId="2804" xr:uid="{E011F3D5-4A64-4ADB-B0B2-0EE1028551E3}"/>
    <cellStyle name="_NMI rates_P&amp;L Variance analysis" xfId="2805" xr:uid="{3B6B5BAA-1B0C-432C-BC5F-59B51B497A9F}"/>
    <cellStyle name="_NML 7 + 5 Report (2)" xfId="2806" xr:uid="{B35DC88B-DE48-4AE0-BAA7-DF3235E85CD6}"/>
    <cellStyle name="_NMLNS Material Recovery status summary sheet" xfId="2807" xr:uid="{A7050437-AECE-475D-992F-A80324B86B17}"/>
    <cellStyle name="_NMLNS Material Recovery status summary sheet 2" xfId="2808" xr:uid="{A66F1BDC-8578-461E-8AFD-BABD078A19F7}"/>
    <cellStyle name="_NMLNS Material Recovery status summary sheet 2 2" xfId="2809" xr:uid="{A1EC4CF1-F0F0-4EE1-9E10-3B7D5A25BCD6}"/>
    <cellStyle name="_NMLNS Material Recovery status summary sheet 2 2 2" xfId="2810" xr:uid="{DA2FECA4-2A70-4DA0-96AA-3419BDA104A0}"/>
    <cellStyle name="_NMLNS Material Recovery status summary sheet 2 2 2 2" xfId="2811" xr:uid="{FA09C32B-580C-4FAE-9586-E8A81E038360}"/>
    <cellStyle name="_NMLNS Material Recovery status summary sheet 2 2 2 2 2" xfId="25921" xr:uid="{4AD6C23A-AAB4-4D40-A61C-A5D30A778391}"/>
    <cellStyle name="_NMLNS Material Recovery status summary sheet 2 2 3" xfId="2812" xr:uid="{6196D694-0BA6-4094-A690-AAD348147542}"/>
    <cellStyle name="_NMLNS Material Recovery status summary sheet 2 2 4" xfId="2813" xr:uid="{5F9DCB18-63CA-4491-BD20-77F028DEDC78}"/>
    <cellStyle name="_NMLNS Material Recovery status summary sheet 2 2 4 2" xfId="25922" xr:uid="{7C7A74C7-C488-4499-8937-DCED2C253303}"/>
    <cellStyle name="_NMLNS Material Recovery status summary sheet 2 3" xfId="2814" xr:uid="{F64FFD54-537E-4BCD-981A-9912AA86B134}"/>
    <cellStyle name="_NMLNS Material Recovery status summary sheet 2 3 2" xfId="25923" xr:uid="{BFFD14A2-35D5-4FA7-85F7-E92CD172E553}"/>
    <cellStyle name="_NMLNS Material Recovery status summary sheet 2_FY13 Budget Simulation Excel PKG for Auto by company" xfId="2815" xr:uid="{359C4321-843C-43DB-BE2D-D4DDDE4E5F56}"/>
    <cellStyle name="_NMLNS Material Recovery status summary sheet 3" xfId="2816" xr:uid="{027749FD-B84A-4B6D-957B-245F46B97FE5}"/>
    <cellStyle name="_NMLNS Material Recovery status summary sheet 4" xfId="2817" xr:uid="{2A3F7D2E-CB32-47D5-AAB4-46E47F1A416A}"/>
    <cellStyle name="_NMLNS Material Recovery status summary sheet 4 2" xfId="25924" xr:uid="{F874B381-74D0-4029-AEF2-53865FA44A69}"/>
    <cellStyle name="_NMLNS Material Recovery status summary sheet_DFL FY13 Simulation Data version 1010-2(A7C)" xfId="2818" xr:uid="{209D3A32-28FB-4A69-9C31-1161B60FBB13}"/>
    <cellStyle name="_NMLNS Material Recovery status summary sheet_DFL FY13 Simulation Data version 1010-2(A7C) 2" xfId="2819" xr:uid="{848F6200-A496-4ADD-B1E2-41511BAF7524}"/>
    <cellStyle name="_NMLNS Material Recovery status summary sheet_DFL FY13 Simulation Data version 1010-2(A7C) 2 2" xfId="2820" xr:uid="{34170664-EAE6-4BDA-BA79-3F7DD19C8E6A}"/>
    <cellStyle name="_NMLNS Material Recovery status summary sheet_DFL FY13 Simulation Data version 1010-2(A7C) 2 2 2" xfId="2821" xr:uid="{9CECA9DF-A8C5-47CF-943F-D756CBA90A2F}"/>
    <cellStyle name="_NMLNS Material Recovery status summary sheet_DFL FY13 Simulation Data version 1010-2(A7C) 2 2 2 2" xfId="25925" xr:uid="{1162143D-A4DE-414D-8D5E-7BBBAC42C06B}"/>
    <cellStyle name="_NMLNS Material Recovery status summary sheet_DFL FY13 Simulation Data version 1010-2(A7C) 2 3" xfId="2822" xr:uid="{3528C408-FC32-4379-A1A9-7B9CECDFE2F9}"/>
    <cellStyle name="_NMLNS Material Recovery status summary sheet_DFL FY13 Simulation Data version 1010-2(A7C) 2 4" xfId="2823" xr:uid="{15BCD3BE-E898-49DE-A433-85E177C0D269}"/>
    <cellStyle name="_NMLNS Material Recovery status summary sheet_DFL FY13 Simulation Data version 1010-2(A7C) 2 4 2" xfId="25926" xr:uid="{D658CFCA-745D-41DB-AFE4-9EB61F4DC76E}"/>
    <cellStyle name="_NMLNS Material Recovery status summary sheet_DFL FY13 Simulation Data version 1010-2(A7C) 3" xfId="2824" xr:uid="{261F86B3-6FD3-4F9B-BF83-0D743151432E}"/>
    <cellStyle name="_NMLNS Material Recovery status summary sheet_DFL FY13 Simulation Data version 1010-2(A7C) 3 2" xfId="25927" xr:uid="{2F002B6B-CD59-48A4-B541-EFCBF4C47432}"/>
    <cellStyle name="_NMLNS Material Recovery status summary sheet_DFL FY13 Simulation Data version 1010-2(A7C)_FY13 Budget Simulation Excel PKG for Auto by company" xfId="2825" xr:uid="{445BFD73-A6F3-4B79-A59C-8B84DF82BCD4}"/>
    <cellStyle name="_NMLNS Material Recovery status summary sheet_FY13 Budget Simulation Excel PKG for Auto by company" xfId="2826" xr:uid="{CC440E26-FA36-467A-B01E-C389227C73C1}"/>
    <cellStyle name="_NMT Outside profit Sep" xfId="2827" xr:uid="{D3FA3403-3439-4421-8BAE-5FAB242DF436}"/>
    <cellStyle name="_NNA Subconsoli FY08 Fcst #2 Reply PKG_E_CONS_dist" xfId="2828" xr:uid="{7EED45BB-5EC9-43A6-8C38-65475AD2078A}"/>
    <cellStyle name="_Non-Index (2)" xfId="2829" xr:uid="{9329ED0A-D154-4705-A5C8-041EA870615F}"/>
    <cellStyle name="_NS_Outside profit change_simulation_1118_volmix" xfId="2830" xr:uid="{84E3F282-A386-4720-8A96-F8B76A5673CE}"/>
    <cellStyle name="_NS_Outside profit change_simulation_1118_volmix 2" xfId="2831" xr:uid="{7765D689-6901-4A77-BACC-8BF113259390}"/>
    <cellStyle name="_NS_Outside profit change_simulation_1118_volmix 2 2" xfId="2832" xr:uid="{878F4A1B-DDEE-403A-8B30-1200FC109688}"/>
    <cellStyle name="_NS_Outside profit change_simulation_1118_volmix 2 2 2" xfId="25928" xr:uid="{F9BF1F38-E1E1-46CD-A277-7FEE52BA0DF4}"/>
    <cellStyle name="_NS_Outside profit change_simulation_1118_volmix 3" xfId="2833" xr:uid="{C755A416-4FA2-466C-AECD-5B7C199E94BC}"/>
    <cellStyle name="_NS_Outside profit change_simulation_1118_volmix 3 2" xfId="25929" xr:uid="{6C22C297-DEF8-4B42-BB5D-53145DA0CD1E}"/>
    <cellStyle name="_NSA Material budget GM allocation" xfId="2834" xr:uid="{1175094E-3014-4E9C-B1C1-4B58293155AF}"/>
    <cellStyle name="_NSA Material budget GM allocation 2" xfId="2835" xr:uid="{0725F883-9E81-4293-9250-E1403053BB51}"/>
    <cellStyle name="_NSA Material budget GM allocation 2 2" xfId="2836" xr:uid="{12642651-0C86-45AE-BF8E-0DE25544AA11}"/>
    <cellStyle name="_NSA Material budget GM allocation 2 2 2" xfId="2837" xr:uid="{E3B1CDEA-1F84-4C07-AE11-9671A4308368}"/>
    <cellStyle name="_NSA Material budget GM allocation 2 2 2 2" xfId="2838" xr:uid="{6980EAF5-4A82-4705-B7AB-66CF38F43114}"/>
    <cellStyle name="_NSA Material budget GM allocation 2 2 2 2 2" xfId="25930" xr:uid="{B7284710-01B7-4730-A00B-50708EB7F647}"/>
    <cellStyle name="_NSA Material budget GM allocation 2 2 3" xfId="2839" xr:uid="{CEFB4FE4-E945-48F0-AEC0-B3A0179CB9C4}"/>
    <cellStyle name="_NSA Material budget GM allocation 2 2 4" xfId="2840" xr:uid="{5B497496-D502-4E7B-8CB3-5878A489BC10}"/>
    <cellStyle name="_NSA Material budget GM allocation 2 2 4 2" xfId="25931" xr:uid="{25DB7B5F-0DE3-4650-B0ED-37DE3DB99269}"/>
    <cellStyle name="_NSA Material budget GM allocation 2 3" xfId="2841" xr:uid="{6D440BC4-2F1C-436C-8A8A-07846322FC3A}"/>
    <cellStyle name="_NSA Material budget GM allocation 2 3 2" xfId="25932" xr:uid="{FD3E842A-CF14-469B-8CF1-DC230C22A439}"/>
    <cellStyle name="_NSA Material budget GM allocation 2_FY13 Budget Simulation Excel PKG for Auto by company" xfId="2842" xr:uid="{0EA9B07F-9D6D-4C1B-9956-AAF07E5D3745}"/>
    <cellStyle name="_NSA Material budget GM allocation 3" xfId="2843" xr:uid="{D5D0DDBF-FC70-4826-9C49-9F6CF4CAB44B}"/>
    <cellStyle name="_NSA Material budget GM allocation 4" xfId="2844" xr:uid="{6F2B4866-9C1F-47BE-A36D-8ED8AF802252}"/>
    <cellStyle name="_NSA Material budget GM allocation 4 2" xfId="25933" xr:uid="{C1AFF61F-6531-4216-BA05-54C100AA79E6}"/>
    <cellStyle name="_NSA Material budget GM allocation_DFL FY13 Simulation Data version 1010-2(A7C)" xfId="2845" xr:uid="{D2A5EB5F-1AD6-42A5-9107-3F25C59930AB}"/>
    <cellStyle name="_NSA Material budget GM allocation_DFL FY13 Simulation Data version 1010-2(A7C) 2" xfId="2846" xr:uid="{FF4B035F-F43E-4A95-8084-D01E1D1BFA83}"/>
    <cellStyle name="_NSA Material budget GM allocation_DFL FY13 Simulation Data version 1010-2(A7C) 2 2" xfId="2847" xr:uid="{DC570870-BEA0-4B34-A708-B08933A9A765}"/>
    <cellStyle name="_NSA Material budget GM allocation_DFL FY13 Simulation Data version 1010-2(A7C) 2 2 2" xfId="2848" xr:uid="{FB4F0597-3B70-4D23-A8FB-C7A05A122235}"/>
    <cellStyle name="_NSA Material budget GM allocation_DFL FY13 Simulation Data version 1010-2(A7C) 2 2 2 2" xfId="25934" xr:uid="{E6955C21-8569-4891-A81C-BF6F99C95F08}"/>
    <cellStyle name="_NSA Material budget GM allocation_DFL FY13 Simulation Data version 1010-2(A7C) 2 3" xfId="2849" xr:uid="{BAA08196-E876-412E-A673-C32CC85B8D07}"/>
    <cellStyle name="_NSA Material budget GM allocation_DFL FY13 Simulation Data version 1010-2(A7C) 2 4" xfId="2850" xr:uid="{AC46DE07-65F1-436B-A1ED-E28490DC3419}"/>
    <cellStyle name="_NSA Material budget GM allocation_DFL FY13 Simulation Data version 1010-2(A7C) 2 4 2" xfId="25935" xr:uid="{40800412-1EB4-400B-92AA-8338B91D9A67}"/>
    <cellStyle name="_NSA Material budget GM allocation_DFL FY13 Simulation Data version 1010-2(A7C) 3" xfId="2851" xr:uid="{9B10D111-A8FC-4EBD-8628-4124D0D18DC0}"/>
    <cellStyle name="_NSA Material budget GM allocation_DFL FY13 Simulation Data version 1010-2(A7C) 3 2" xfId="25936" xr:uid="{3062F204-BBA5-46F4-996A-D34C239575C4}"/>
    <cellStyle name="_NSA Material budget GM allocation_DFL FY13 Simulation Data version 1010-2(A7C)_FY13 Budget Simulation Excel PKG for Auto by company" xfId="2852" xr:uid="{B87666A9-A8D2-48F3-B6F1-9AF20C45186D}"/>
    <cellStyle name="_NSA Material budget GM allocation_FY13 Budget Simulation Excel PKG for Auto by company" xfId="2853" xr:uid="{EB18D819-34BE-4070-ABF7-932E6534C51F}"/>
    <cellStyle name="_nSIuLYX432mIp4aeNz3U4f9Sr" xfId="2854" xr:uid="{8FAF706F-6EC8-4B5D-B6AC-27956A7F6CAB}"/>
    <cellStyle name="_NSL PL_080911_zhao" xfId="2855" xr:uid="{B9A230E1-9A42-4454-81EA-E3DACF752701}"/>
    <cellStyle name="_NSL PL_080911_zhao 2" xfId="2856" xr:uid="{731012E2-25B4-40A8-B5FE-15D3CA453F22}"/>
    <cellStyle name="_NSL PL_080911_zhao 2 2" xfId="25937" xr:uid="{1754E370-0AD6-42B9-AAA4-FF56C55C79A2}"/>
    <cellStyle name="_OC-D (1 on 1) 090513作製" xfId="2857" xr:uid="{F68112E6-4483-40B0-BCD1-0E1042510411}"/>
    <cellStyle name="_OC-D (1 on 1) 090513作製 2" xfId="2858" xr:uid="{C050BF33-6E8A-4C7B-99F4-3A6C7266C873}"/>
    <cellStyle name="_OP by MC" xfId="2859" xr:uid="{6DDD1511-49FB-4AC9-9F67-B90828D6C0C7}"/>
    <cellStyle name="_Oppotunity List" xfId="2860" xr:uid="{205739EB-A51F-405A-9FAD-5B47F4C5FE40}"/>
    <cellStyle name="_Oppotunity List_0902見直し" xfId="2861" xr:uid="{88F0D629-E1DA-4761-818A-EE60E446E17A}"/>
    <cellStyle name="_Oppotunity List_09budget 081022" xfId="2862" xr:uid="{9E4EEC1D-790B-4032-A988-6B1A5A905CCF}"/>
    <cellStyle name="_Oppotunity List_2009_TDC_MonthlyActual" xfId="2863" xr:uid="{FA5A156E-C0C3-4317-947A-70FE6A3B7D67}"/>
    <cellStyle name="_Oppotunity List_2009年VME車種別(20100303)" xfId="2864" xr:uid="{C2F756E7-B909-464D-991E-871116F2EAAE}"/>
    <cellStyle name="_Oppotunity List_ＣＹ10予算見直し後(600K モデル別)" xfId="2865" xr:uid="{60B1B826-34C3-4196-9F9A-02F906E812BC}"/>
    <cellStyle name="_Oppotunity List_J11J MC+Elongation(松）" xfId="2866" xr:uid="{67B51223-FD8F-40FD-AB84-E187C75FEA62}"/>
    <cellStyle name="_Oppotunity List_L11K MC TDC 090306 (2)" xfId="2867" xr:uid="{143F04AA-3C43-4713-9842-07E9AC38A93A}"/>
    <cellStyle name="_Oppotunity List_L42F TDC KKJ SOP 2010 Dec (090929) with MC (2)" xfId="2868" xr:uid="{07B77EE0-2491-44EB-A2E7-18A6E1241B6A}"/>
    <cellStyle name="_Oppotunity List_N11J MC+Elongation(松）" xfId="2869" xr:uid="{6D463BE0-9BB1-490D-8E9C-9C581060CC77}"/>
    <cellStyle name="_Oppotunity List_P32E MC TDC with MC (100206)" xfId="2870" xr:uid="{721D4CDF-D462-441D-B042-CC6645ED8EB1}"/>
    <cellStyle name="_Oppotunity List_P32L LCP TDC Case3 (0900221)" xfId="2871" xr:uid="{A977305D-B764-47D3-BE7D-03141E2918FD}"/>
    <cellStyle name="_Oppotunity List_TDC SUMMARY SHEET for MTP (version 2.1 100526)" xfId="2872" xr:uid="{FB12ED11-F54B-4DE8-AD0E-6650A4D9BCE2}"/>
    <cellStyle name="_Oppotunity List_TDC SUMMARY SHEET for MTP (version 3.0 100526)" xfId="2873" xr:uid="{8E9B2FFD-B4AC-4BB8-ABC2-DBE5E418D326}"/>
    <cellStyle name="_Oppotunity List_Volume Assumption &amp; Current Models" xfId="2874" xr:uid="{2126BADA-C46A-4D82-AFD6-D1A6CE28AFC5}"/>
    <cellStyle name="_Oppotunity List_コピー ～ 2009年5＋7 售  (47万台）(090619) (予算Ｆｉｎａｌ＆Variable変更　補正版)" xfId="2875" xr:uid="{0756B6EE-6993-40A1-A385-71404A122E4D}"/>
    <cellStyle name="_P32E MC TDC with MC (100206)" xfId="2876" xr:uid="{1E667A57-6EAC-468D-A402-99B64552813E}"/>
    <cellStyle name="_P32E MC TDC with MC (100206) 2" xfId="2877" xr:uid="{0FF99FCA-D1B8-488D-B926-117D420945AF}"/>
    <cellStyle name="_P32L LCP TDC Case3 (0900221)" xfId="2878" xr:uid="{E64AAB09-946A-4CE8-8412-21FB313675B6}"/>
    <cellStyle name="_P32L LCP TDC Case3 (0900221) 2" xfId="2879" xr:uid="{BA91546A-E78C-4477-8616-1D650B5A1F53}"/>
    <cellStyle name="_PDI对精品影响-3月" xfId="2881" xr:uid="{3BDAA940-AFCE-4F54-96A3-71DA78823198}"/>
    <cellStyle name="_PDI影响-考虑08已明确项目071013" xfId="2880" xr:uid="{1F5260E4-369A-4A63-857A-93B30E67AC87}"/>
    <cellStyle name="_Percent" xfId="2882" xr:uid="{6A0EA18F-E14F-44AA-B219-A31FF8A4C458}"/>
    <cellStyle name="_PercentSpace" xfId="2883" xr:uid="{E17E23AD-E5AE-4ED0-8B84-D441454068A0}"/>
    <cellStyle name="_Pipelines 20061229" xfId="2884" xr:uid="{8BA96933-AF46-46B9-879A-7D8203AA37E1}"/>
    <cellStyle name="_Pipelines 20070202" xfId="2885" xr:uid="{163CE2AE-4119-46DB-8FE3-F4CA038F5E0B}"/>
    <cellStyle name="_Pipelines 20070222" xfId="2886" xr:uid="{992EA3DE-F507-46B0-9DAC-D309885DBF75}"/>
    <cellStyle name="_Pipelines 20070319-1" xfId="2887" xr:uid="{E64B708C-1B3A-400B-89AC-D28502C97C11}"/>
    <cellStyle name="_Pipelines 20070322-Eric" xfId="2888" xr:uid="{24F72A81-CF38-4045-800F-1707CF8CE500}"/>
    <cellStyle name="_Pipelines Report0416" xfId="2889" xr:uid="{39005B9C-0DA3-4215-A86B-C5FB042FC60D}"/>
    <cellStyle name="_Pipelines Report0525updated" xfId="2890" xr:uid="{88F0B574-B9A4-4454-A074-B7B7F282F5CC}"/>
    <cellStyle name="_Pipelines Report0618" xfId="2891" xr:uid="{E868CA18-FBD4-4D6B-9D8E-26671DC05733}"/>
    <cellStyle name="_Pipelines Report0619" xfId="2892" xr:uid="{3E123BE8-A96D-4CB2-BE33-1F59CEA0D681}"/>
    <cellStyle name="_Pipelines-NB" xfId="2893" xr:uid="{BCE8FFB5-5035-44BB-843F-CAFA2C373DF6}"/>
    <cellStyle name="_PL_FY06FOR#3FY07Reply#1_Dec 7" xfId="2894" xr:uid="{B6418BFC-069E-4029-B8B1-94400880761F}"/>
    <cellStyle name="_Post Plan 23Assumption070914" xfId="2895" xr:uid="{0ED8AAC0-3ADE-437E-ADCE-5423D52AF35A}"/>
    <cellStyle name="_Post Plan 23Assumption070914 2" xfId="2896" xr:uid="{FA8911C8-DF26-4191-B122-B0FB4E402356}"/>
    <cellStyle name="_Post Plan 23Assumption071112(Volume Update)" xfId="2897" xr:uid="{53F330FE-52E5-4736-9A70-8669B830517F}"/>
    <cellStyle name="_Post Plan 23Assumption071112(Volume Update) 2" xfId="2898" xr:uid="{F92272DD-1765-4CEA-BC2A-65C82C442F5D}"/>
    <cellStyle name="_Presentation" xfId="2899" xr:uid="{F068D9E4-6180-41C6-A586-C7572AC91BEC}"/>
    <cellStyle name="_Product Plan 5月8日会议" xfId="2900" xr:uid="{E882817A-0022-47A8-AE51-B2571AA6745B}"/>
    <cellStyle name="_PT2 LOT1 SED 品確紀錄統計表" xfId="2901" xr:uid="{8D3C37DC-FE3E-4CCC-ADF0-742B07841113}"/>
    <cellStyle name="_PT2 LOT1 SED 品確紀錄統計表 2" xfId="2902" xr:uid="{3D42A3B4-2A57-4BF4-A752-DF386D072376}"/>
    <cellStyle name="_PT2 LOT1 SED 品確紀錄統計表 2 2" xfId="2903" xr:uid="{6B99D743-C233-4630-AF96-E838F9D48B9C}"/>
    <cellStyle name="_PT2 LOT1 SED 品確紀錄統計表 2 2 2" xfId="25938" xr:uid="{3290B7A9-3845-4414-A8C2-8B984DC17768}"/>
    <cellStyle name="_PT2 LOT1 SED 品確紀錄統計表 3" xfId="2904" xr:uid="{03A6AC80-17E5-43E0-A5AB-ABC4F655DC07}"/>
    <cellStyle name="_PT2 LOT1 SED 品確紀錄統計表 3 2" xfId="25939" xr:uid="{EF4A562F-A600-43EB-B29D-4E37E0227974}"/>
    <cellStyle name="_PT2 LOT1 SED 品確紀錄統計表_Fcst#2　FY13台数諸元表13.9.18" xfId="2905" xr:uid="{E1669A14-6561-44AF-9FDC-78BCFD173FF9}"/>
    <cellStyle name="_PT2 LOT1 SED 品確紀錄統計表_FY13 Final ReplyBUD vs Forecast#3_AESC（台数諸元) 単価差Adjust値作成" xfId="2906" xr:uid="{BEBBF8B5-148B-46B5-A0BD-E5B8BBBDBCF0}"/>
    <cellStyle name="_PT2 LOT1 SED 品確紀錄統計表_FY13 Monthly ReplyBUD（台数諸元) ルノー修正13 5 20" xfId="2907" xr:uid="{1E4471C2-A113-4F61-B3C6-EF9A8AD3DCA8}"/>
    <cellStyle name="_PT2 LOT1 SED 品確紀錄統計表_FY13台数諸元表（201307実績-売上金額いり）" xfId="2908" xr:uid="{162A1868-E551-4F7B-B9DA-6077C3931F3C}"/>
    <cellStyle name="_PT2 LOT1 SED 品確紀錄統計表_FY13台数諸元表（予算vs実績）" xfId="2909" xr:uid="{CAFC3534-5A98-44DC-A742-C6AF772F07EE}"/>
    <cellStyle name="_Purple" xfId="2910" xr:uid="{AE99B0E0-4904-4D66-889C-76CE314AFE11}"/>
    <cellStyle name="_Purple_08 Reply#2Update Deck" xfId="2911" xr:uid="{0BD4896A-9507-49D2-8A20-62E003E59611}"/>
    <cellStyle name="_Purple_08 Reply#2Update Deck 2" xfId="2912" xr:uid="{AD86F70E-73F6-4C26-9088-65129E009E1E}"/>
    <cellStyle name="_Purple_08 Reply#2Update Deck_Book2" xfId="2913" xr:uid="{FD93E029-2C39-4842-845A-B1A807A296A3}"/>
    <cellStyle name="_Purple_08 Reply#2Update Deck_NI_Forecast_020110" xfId="2914" xr:uid="{C1908B08-19D5-4D03-AA4C-A8C08510DDFA}"/>
    <cellStyle name="_Purple_08 Reply#2Update Deck_NI_Forecast_112409" xfId="2915" xr:uid="{18C9D3EE-68EB-4FD2-B2A9-E38E772385BC}"/>
    <cellStyle name="_Purple_08 Reply#2Update Deck_NI_Forecast_112409_2010 Reply 3 PXP Report v2 0 DISTv2 (2)" xfId="2916" xr:uid="{3E0C72E7-713A-4490-9CF7-22837B96D080}"/>
    <cellStyle name="_Purple_08 Reply#2Update Deck_NI_Forecast_112409_2010 Reply3b PXP Report v2 0 DISTv1" xfId="2917" xr:uid="{83FBD191-4753-42A4-8CFB-7E6F93E06780}"/>
    <cellStyle name="_Purple_08 Reply#2Update Deck_NI_Forecast_FY10_120110" xfId="2918" xr:uid="{4FE33501-6E9A-46DB-BE74-48D18459C3D2}"/>
    <cellStyle name="_Purple_08 Reply#2Update Deck_NMEX - BP09 R#2b back up Final (Jan 27)26 " xfId="2919" xr:uid="{F3F9F07D-0DE2-4182-822C-241735811272}"/>
    <cellStyle name="_Purple_08 Reply#2Update Deck_NMEX -BP09 R#2b " xfId="2920" xr:uid="{FF4D6B1B-DB4B-45FA-8952-B29114D1EF90}"/>
    <cellStyle name="_Purple_08 Reply#2Update Deck_NMEX Financial Review Aug,05" xfId="2921" xr:uid="{4ABF47B4-83D5-4D25-9770-25FE977EF7BA}"/>
    <cellStyle name="_Purple_08 Reply#2Update Deck_NMEX Financial Review Oct" xfId="2922" xr:uid="{5B33E24B-6A53-4531-9F12-02B0F61EC48E}"/>
    <cellStyle name="_Purple_08 Reply#2Update Deck_NMEX Financial Review Sep" xfId="2923" xr:uid="{A75F1C27-7AEC-418F-871A-7AD6B8448841}"/>
    <cellStyle name="_Purple_08 Reply#2Update Deck_NMEX_Variance Analysis_Aug___" xfId="2924" xr:uid="{6DAAE73A-2425-49D5-A1E3-F70ED44BF6AF}"/>
    <cellStyle name="_Purple_08 Reply#2Update Deck_NRFM NML Video v2" xfId="2925" xr:uid="{ED24D4D4-420F-45FC-A6F0-4CE4AB688F67}"/>
    <cellStyle name="_Purple_08 Reply#2Update Deck_Tax Expense FY10 7x5 to FPA 113010" xfId="2926" xr:uid="{9210FC20-1056-499B-B5E4-B943A9E03BB3}"/>
    <cellStyle name="_Purple_08 Reply#2Update Deck_video deck" xfId="2927" xr:uid="{2694C1F0-3CA5-4626-AD61-9131FE2F9F6F}"/>
    <cellStyle name="_Purple_1SALPEN" xfId="2928" xr:uid="{D199A95A-504D-4326-8F8A-85B36451824D}"/>
    <cellStyle name="_Purple_1SALPEN 2" xfId="2929" xr:uid="{A1213DB3-8FE7-4440-B402-A756E579960D}"/>
    <cellStyle name="_Purple_1SALPEN_08 Reply#2Update Deck" xfId="2930" xr:uid="{BC7A24A5-3B0D-4196-9EF7-D01E203841A9}"/>
    <cellStyle name="_Purple_1SALPEN_08 Reply#2Update Deck 2" xfId="2931" xr:uid="{AB9E0793-D706-4530-B7A8-9BC55CEF7A9D}"/>
    <cellStyle name="_Purple_1SALPEN_08 Reply#2Update Deck_2010 Reply 3 PXP Report v2 0 DISTv2 (2)" xfId="2932" xr:uid="{69B443B7-01E9-46E3-B0E6-6A017AC86757}"/>
    <cellStyle name="_Purple_1SALPEN_08 Reply#2Update Deck_2x10 database" xfId="2933" xr:uid="{87AEEE4D-5391-48AC-A38F-AE81A771C4D2}"/>
    <cellStyle name="_Purple_1SALPEN_08 Reply#2Update Deck_Book2" xfId="2934" xr:uid="{4FB68DA4-5BC6-4CB1-949B-15328FD620A3}"/>
    <cellStyle name="_Purple_1SALPEN_08 Reply#2Update Deck_Book2 2" xfId="2935" xr:uid="{5AA51705-3DC2-4AFC-928F-BA54775FF28C}"/>
    <cellStyle name="_Purple_1SALPEN_08 Reply#2Update Deck_NI_Forecast_020110" xfId="2936" xr:uid="{8A859F95-5048-4F73-874E-CB6708B8F94C}"/>
    <cellStyle name="_Purple_1SALPEN_08 Reply#2Update Deck_NI_Forecast_112409" xfId="2937" xr:uid="{587B4A95-A62E-418F-B70C-D453D0685883}"/>
    <cellStyle name="_Purple_1SALPEN_08 Reply#2Update Deck_NI_Forecast_112409_2010 Reply3b PXP Report v2 0 DISTv1" xfId="2938" xr:uid="{9867B1C6-43C4-49EB-B3BF-030232AA38B8}"/>
    <cellStyle name="_Purple_1SALPEN_08 Reply#2Update Deck_NI_Forecast_FY10_120110" xfId="2939" xr:uid="{8039C62D-FCCE-4579-BBD0-31C34702A475}"/>
    <cellStyle name="_Purple_1SALPEN_08 Reply#2Update Deck_NMEX - BP09 R#2b back up Final (Jan 27)26 " xfId="2940" xr:uid="{A2B11627-F641-406B-B8FD-835D227C9930}"/>
    <cellStyle name="_Purple_1SALPEN_08 Reply#2Update Deck_NMEX -BP09 R#2b " xfId="2941" xr:uid="{731335B2-13D6-42B4-B07C-541D4B5CC7CB}"/>
    <cellStyle name="_Purple_1SALPEN_08 Reply#2Update Deck_NMEX Financial Review Oct" xfId="2942" xr:uid="{03A27B72-4E71-4826-B0B1-44B30D299B7D}"/>
    <cellStyle name="_Purple_1SALPEN_08 Reply#2Update Deck_NMEX Financial Review Oct 2" xfId="2943" xr:uid="{E44A5ADB-5235-4B7C-8A16-C408CB706D90}"/>
    <cellStyle name="_Purple_1SALPEN_08 Reply#2Update Deck_NMEX Financial Review Sep" xfId="2944" xr:uid="{72CE0AD6-DE80-4D83-B1FF-3D9634FF29FA}"/>
    <cellStyle name="_Purple_1SALPEN_08 Reply#2Update Deck_NMEX Financial Review Sep 2" xfId="2945" xr:uid="{7AC99A53-9410-4BBD-A13E-1520905E56DA}"/>
    <cellStyle name="_Purple_1SALPEN_08 Reply#2Update Deck_NRFM NML Video v2" xfId="2946" xr:uid="{8721E380-BD7A-452F-9FA4-D3DB1E0ACDEF}"/>
    <cellStyle name="_Purple_1SALPEN_08 Reply#2Update Deck_NRFM NML Video v2 2" xfId="2947" xr:uid="{335CBFCA-5C94-42CB-A073-135A3F48093A}"/>
    <cellStyle name="_Purple_1SALPEN_08 Reply#2Update Deck_NRFM NML Video v2_2x10 database" xfId="2948" xr:uid="{5FD60D64-046F-4D99-A423-E49245E8DC3C}"/>
    <cellStyle name="_Purple_1SALPEN_08 Reply#2Update Deck_Tax Expense FY10 7x5 to FPA 113010" xfId="2949" xr:uid="{4CB0543B-F702-484A-829F-9A14553D138A}"/>
    <cellStyle name="_Purple_1SALPEN_08 Reply#2Update Deck_video deck" xfId="2950" xr:uid="{E34BD049-18B9-4A82-BCB4-2DE3653E0FBA}"/>
    <cellStyle name="_Purple_1SALPEN_08 Reply#2Update Deck_video deck 2" xfId="2951" xr:uid="{FE19266A-680E-4605-950A-9363E62DF007}"/>
    <cellStyle name="_Purple_1SALPEN_2010 Reply 3 PXP Report v2 0 DISTv2 (2)" xfId="2952" xr:uid="{0DDF7D5F-310E-4BD9-A511-C2E3BD86178A}"/>
    <cellStyle name="_Purple_1SALPEN_Book2" xfId="2953" xr:uid="{D03318B6-D1F0-4145-8E23-28A69AA89815}"/>
    <cellStyle name="_Purple_1SALPEN_Book2_NMEX - Fcst #2 (5+7) Financial analysis" xfId="2954" xr:uid="{8AD87F6E-7549-45FC-9FF5-F32A3C390892}"/>
    <cellStyle name="_Purple_1SALPEN_Consol P&amp;L Full YR Reply 1" xfId="2955" xr:uid="{5D3D12CA-0B40-4BCB-B62D-8E585488C9F7}"/>
    <cellStyle name="_Purple_1SALPEN_Consol P&amp;L Full YR Reply 1 2" xfId="2956" xr:uid="{2B53AA03-D8FD-4DC1-8B7E-2089E508CB37}"/>
    <cellStyle name="_Purple_1SALPEN_Division Walk Template" xfId="2957" xr:uid="{C1CC5AFA-92A0-4C85-9518-2309341A4A24}"/>
    <cellStyle name="_Purple_1SALPEN_Division Walk Template 2" xfId="2958" xr:uid="{796A53B3-8B0B-4ED2-ACA7-DD5F8DE94FE2}"/>
    <cellStyle name="_Purple_1SALPEN_Feb_NML_Video 2" xfId="2959" xr:uid="{DB567379-351B-4534-B808-AF26AC65F356}"/>
    <cellStyle name="_Purple_1SALPEN_Forecast" xfId="2960" xr:uid="{D97670FF-9EFE-4E72-9047-5C224A0DC098}"/>
    <cellStyle name="_Purple_1SALPEN_Forecast 2" xfId="2961" xr:uid="{72774FBB-DB99-47B4-8790-A7B64191C45B}"/>
    <cellStyle name="_Purple_1SALPEN_Forecast_08 Reply#2Update Deck" xfId="2962" xr:uid="{04C0235D-1CD3-4D89-94B0-04D700D1B11D}"/>
    <cellStyle name="_Purple_1SALPEN_Forecast_08 Reply#2Update Deck 2" xfId="2963" xr:uid="{523194A9-92FB-42BF-BBA9-C370F0273FE7}"/>
    <cellStyle name="_Purple_1SALPEN_Forecast_08 Reply#2Update Deck_2010 Reply 3 PXP Report v2 0 DISTv2 (2)" xfId="2964" xr:uid="{97478C7A-F463-435A-952F-FD833F1A0979}"/>
    <cellStyle name="_Purple_1SALPEN_Forecast_08 Reply#2Update Deck_2x10 database" xfId="2965" xr:uid="{490B94FB-9234-464C-9A54-8D121CA67EE1}"/>
    <cellStyle name="_Purple_1SALPEN_Forecast_08 Reply#2Update Deck_Book2" xfId="2966" xr:uid="{DEDC7D94-AD25-4DAD-8CBC-1159C6C99785}"/>
    <cellStyle name="_Purple_1SALPEN_Forecast_08 Reply#2Update Deck_Book2 2" xfId="2967" xr:uid="{CB40CEA8-7021-4BDB-8DB1-B089695A6AA7}"/>
    <cellStyle name="_Purple_1SALPEN_Forecast_08 Reply#2Update Deck_NI_Forecast_020110" xfId="2968" xr:uid="{4813EF7D-BC99-473F-A1F0-21DA9BA7E39D}"/>
    <cellStyle name="_Purple_1SALPEN_Forecast_08 Reply#2Update Deck_NI_Forecast_112409" xfId="2969" xr:uid="{6B1CF469-5C2A-4DD3-9B73-643185E1C104}"/>
    <cellStyle name="_Purple_1SALPEN_Forecast_08 Reply#2Update Deck_NI_Forecast_112409_2010 Reply3b PXP Report v2 0 DISTv1" xfId="2970" xr:uid="{042E42F9-B71F-4300-9DD3-D99CC2E0584E}"/>
    <cellStyle name="_Purple_1SALPEN_Forecast_08 Reply#2Update Deck_NI_Forecast_FY10_120110" xfId="2971" xr:uid="{11883238-E22F-4A9D-AC7B-15835913AE32}"/>
    <cellStyle name="_Purple_1SALPEN_Forecast_08 Reply#2Update Deck_NMEX - BP09 R#2b back up Final (Jan 27)26 " xfId="2972" xr:uid="{3C9730DB-B5EB-4173-B9E9-C67C0BC3C3BA}"/>
    <cellStyle name="_Purple_1SALPEN_Forecast_08 Reply#2Update Deck_NMEX -BP09 R#2b " xfId="2973" xr:uid="{1E2966E7-919C-41E6-B3D6-C81F39A06990}"/>
    <cellStyle name="_Purple_1SALPEN_Forecast_08 Reply#2Update Deck_NMEX Financial Review Oct" xfId="2974" xr:uid="{988FC5BB-5CDA-4919-8101-B6A83A330C8A}"/>
    <cellStyle name="_Purple_1SALPEN_Forecast_08 Reply#2Update Deck_NMEX Financial Review Oct 2" xfId="2975" xr:uid="{616D20DD-16E8-453A-B857-2A9A2AF26D98}"/>
    <cellStyle name="_Purple_1SALPEN_Forecast_08 Reply#2Update Deck_NMEX Financial Review Sep" xfId="2976" xr:uid="{1B761872-2E1A-46D1-AFBE-E8940CCD94B1}"/>
    <cellStyle name="_Purple_1SALPEN_Forecast_08 Reply#2Update Deck_NMEX Financial Review Sep 2" xfId="2977" xr:uid="{F36F96D9-437D-4DDC-AE2B-D3984BB39434}"/>
    <cellStyle name="_Purple_1SALPEN_Forecast_08 Reply#2Update Deck_NRFM NML Video v2" xfId="2978" xr:uid="{CF8E9624-429F-4395-B134-ADD8EF70A140}"/>
    <cellStyle name="_Purple_1SALPEN_Forecast_08 Reply#2Update Deck_NRFM NML Video v2 2" xfId="2979" xr:uid="{5383F554-8686-4B79-92E7-0D5E139DE665}"/>
    <cellStyle name="_Purple_1SALPEN_Forecast_08 Reply#2Update Deck_NRFM NML Video v2_2x10 database" xfId="2980" xr:uid="{60BC4191-919E-4E5C-978C-603415242E26}"/>
    <cellStyle name="_Purple_1SALPEN_Forecast_08 Reply#2Update Deck_Tax Expense FY10 7x5 to FPA 113010" xfId="2981" xr:uid="{33DD150E-19C2-484D-A8F2-72118B932020}"/>
    <cellStyle name="_Purple_1SALPEN_Forecast_08 Reply#2Update Deck_video deck" xfId="2982" xr:uid="{8A00E26D-FF14-4367-8655-104129F42F22}"/>
    <cellStyle name="_Purple_1SALPEN_Forecast_08 Reply#2Update Deck_video deck 2" xfId="2983" xr:uid="{D8F5B3C4-23D2-416D-B1F1-EADEF143C7B1}"/>
    <cellStyle name="_Purple_1SALPEN_Forecast_2010 Reply 3 PXP Report v2 0 DISTv2 (2)" xfId="2984" xr:uid="{C5A7A763-54AA-4570-A007-D9FFFDAE4A51}"/>
    <cellStyle name="_Purple_1SALPEN_Forecast_Book2" xfId="2985" xr:uid="{52E41D08-893E-43DE-BBAF-99E9B6E2027F}"/>
    <cellStyle name="_Purple_1SALPEN_Forecast_Book2_NMEX - Fcst #2 (5+7) Financial analysis" xfId="2986" xr:uid="{9F054786-0C41-46E0-A84D-1C61E87876E8}"/>
    <cellStyle name="_Purple_1SALPEN_Forecast_Consol P&amp;L Full YR Reply 1" xfId="2987" xr:uid="{26A919EE-EFD6-4D6E-A151-E614380963C3}"/>
    <cellStyle name="_Purple_1SALPEN_Forecast_Consol P&amp;L Full YR Reply 1 2" xfId="2988" xr:uid="{B66DC7FD-8F02-4DE0-A439-19709DE0AB5B}"/>
    <cellStyle name="_Purple_1SALPEN_Forecast_Division Walk Template" xfId="2989" xr:uid="{28769685-86CC-4042-B52B-8780577522C3}"/>
    <cellStyle name="_Purple_1SALPEN_Forecast_Division Walk Template 2" xfId="2990" xr:uid="{7718DE80-5D92-4A61-80A9-F83CD0A76901}"/>
    <cellStyle name="_Purple_1SALPEN_Forecast_Feb_NML_Video 2" xfId="2991" xr:uid="{2D1950CB-4C83-4AEB-AE39-24D1303C1E16}"/>
    <cellStyle name="_Purple_1SALPEN_Forecast_FY09 Monthly Budget Excel Package" xfId="2992" xr:uid="{38024ECC-6AAA-4B27-9DF2-5EEFCC6D804D}"/>
    <cellStyle name="_Purple_1SALPEN_Forecast_FY09 Official Fcst 9x3" xfId="2993" xr:uid="{672DC9DF-58A3-42A4-A2BE-58AEC77774EC}"/>
    <cellStyle name="_Purple_1SALPEN_Forecast_FY11 M4 A&amp;O Big 3 Report" xfId="2994" xr:uid="{F480DC4D-1D94-4177-BAF6-4065521D5169}"/>
    <cellStyle name="_Purple_1SALPEN_Forecast_FY11 M4 A&amp;O Big 3 Report 2" xfId="2995" xr:uid="{47724A9A-E740-45E1-8A59-B3EDDDD6E287}"/>
    <cellStyle name="_Purple_1SALPEN_Forecast_Infiniti" xfId="2996" xr:uid="{0281DFDE-E482-4F5D-A40E-8BE223CBB58F}"/>
    <cellStyle name="_Purple_1SALPEN_Forecast_MC-A Management Commitment Detail Calculation (3)" xfId="2997" xr:uid="{C769295B-E401-4F55-936A-9F855A97AB4C}"/>
    <cellStyle name="_Purple_1SALPEN_Forecast_MC-A Management Commitment Detail Calculation (3) 2" xfId="2998" xr:uid="{D00BF54E-77CF-4C1E-9BAB-9F13AE98BC68}"/>
    <cellStyle name="_Purple_1SALPEN_Forecast_MC-A Management Commitment Detail Calculation (3)_2x10 database" xfId="2999" xr:uid="{9BD0553B-D4E5-465F-BACA-E4FDE9A77D3F}"/>
    <cellStyle name="_Purple_1SALPEN_Forecast_MC-A Mgmt Commit_Aug" xfId="3000" xr:uid="{2583501D-C98A-4004-8323-8E7F5EADE000}"/>
    <cellStyle name="_Purple_1SALPEN_Forecast_MCA Template" xfId="3001" xr:uid="{522FC9D2-76D4-4534-A0D1-840D344AF6DD}"/>
    <cellStyle name="_Purple_1SALPEN_Forecast_MP FC#2 Draft v_1 (2)" xfId="3002" xr:uid="{56C343FF-13B0-438B-B805-57B76D75C963}"/>
    <cellStyle name="_Purple_1SALPEN_Forecast_NCI Monthly Cash Flow_7X5" xfId="3003" xr:uid="{1FFAA3EA-C2DA-4DA7-A14B-43866CB626F5}"/>
    <cellStyle name="_Purple_1SALPEN_Forecast_NCI Monthly Cash Flow_9X3 final" xfId="3004" xr:uid="{C290964E-BD8E-4236-A7D0-05189F9CAD49}"/>
    <cellStyle name="_Purple_1SALPEN_Forecast_NCI Mothly Cash Flow_Jul'09-Final" xfId="3005" xr:uid="{834EBC57-5123-49E9-A8E5-9E0A343EE794}"/>
    <cellStyle name="_Purple_1SALPEN_Forecast_NCI Mothly Cash Flow_Jun'09" xfId="3006" xr:uid="{136D8ECE-8C8A-4C7A-A9A9-504079A8DD0A}"/>
    <cellStyle name="_Purple_1SALPEN_Forecast_NMEX - Back up StepchartIFRS_Reerencia (2)_NMEX BP09 R#2 Summary of KPI_NMEX -BP09 R#2b v-1 " xfId="3007" xr:uid="{3776B692-303E-4A41-9286-11CB52FD77A4}"/>
    <cellStyle name="_Purple_1SALPEN_Forecast_NMEX Financial Review Aug,05" xfId="3008" xr:uid="{026FDDAF-E0B9-492F-B993-74A898C09714}"/>
    <cellStyle name="_Purple_1SALPEN_Forecast_NMEX Financial Review Aug,05 2" xfId="3009" xr:uid="{45BC2B93-6FB3-4C0E-9376-041A21600841}"/>
    <cellStyle name="_Purple_1SALPEN_Forecast_NMEX Financial Review Oct" xfId="3010" xr:uid="{51724340-5B8F-4CEC-BB07-59871B39BE40}"/>
    <cellStyle name="_Purple_1SALPEN_Forecast_NMEX Financial Review Oct 2" xfId="3011" xr:uid="{9740DB79-CFDE-4F6C-AC50-A38A3F994CE8}"/>
    <cellStyle name="_Purple_1SALPEN_Forecast_NMEX Financial Review Sep" xfId="3012" xr:uid="{23A13EB1-4E86-431C-BBC0-1E923B71CA80}"/>
    <cellStyle name="_Purple_1SALPEN_Forecast_NMEX Financial Review Sep 2" xfId="3013" xr:uid="{DF570C06-7217-4899-A786-3C1D9087F06A}"/>
    <cellStyle name="_Purple_1SALPEN_Forecast_NMEX_Variance Analysis_Aug___" xfId="3014" xr:uid="{E01EA639-8646-45A1-B162-91DF78BA034E}"/>
    <cellStyle name="_Purple_1SALPEN_Forecast_NMEX_Variance Analysis_Aug___ 2" xfId="3015" xr:uid="{3BDD8E81-D264-4682-BC41-33C35B39F941}"/>
    <cellStyle name="_Purple_1SALPEN_Forecast_NML $524M Walk_NMEX - BP09 R#2b back up Final (Jan 27)26 " xfId="3016" xr:uid="{B2EE226F-4D4B-4A19-BD33-09BEAF1003B3}"/>
    <cellStyle name="_Purple_1SALPEN_Forecast_NRFM NML Video v2" xfId="3017" xr:uid="{B4B98C75-47B7-467B-835A-CD9992994E97}"/>
    <cellStyle name="_Purple_1SALPEN_Forecast_NRFM NML Video v2 2" xfId="3018" xr:uid="{41397402-1DB8-4BCE-8672-7DB991501CBF}"/>
    <cellStyle name="_Purple_1SALPEN_Forecast_Oct 20" xfId="3019" xr:uid="{FD9766FE-E312-4368-820D-F6D3A7D93D44}"/>
    <cellStyle name="_Purple_1SALPEN_Forecast_Oct 29" xfId="3020" xr:uid="{B9692477-8838-4058-99E6-8894E5D6FAAD}"/>
    <cellStyle name="_Purple_1SALPEN_Forecast_Variance Walk for NNA FY08 Reply 2" xfId="3021" xr:uid="{8798DCAA-C8C5-456C-84E5-BBAFE1720BA2}"/>
    <cellStyle name="_Purple_1SALPEN_Forecast_Variance Walk for NNA FY08 Reply 2 2" xfId="3022" xr:uid="{2BE413F8-33EA-4907-A8CA-DED86A3A291E}"/>
    <cellStyle name="_Purple_1SALPEN_Forecast_Variance Walk for NNA FY08 Reply 2_2x10 database" xfId="3023" xr:uid="{57CCCF2B-7517-4E4A-ABEA-A56582FD0674}"/>
    <cellStyle name="_Purple_1SALPEN_Forecast_Volume Variance" xfId="3024" xr:uid="{F0941FAD-FED9-460D-BD32-9A7DF3405523}"/>
    <cellStyle name="_Purple_1SALPEN_Forecast_Volume Variance 2" xfId="3025" xr:uid="{DC419D85-31BE-43DB-868B-19966DF12749}"/>
    <cellStyle name="_Purple_1SALPEN_Forecast_Volume Variance_2010 Reply 3 PXP Report v2 0 DISTv2 (2)" xfId="3026" xr:uid="{84563FAE-E0FA-4D1D-87A0-BF7AAC99718E}"/>
    <cellStyle name="_Purple_1SALPEN_Forecast_Volume Variance_NMEX - Fcst #2 (5+7) Financial analysis" xfId="3027" xr:uid="{D765F2D3-AE29-40B7-B7F9-B8151071E3BB}"/>
    <cellStyle name="_Purple_1SALPEN_Forecast_Volume Variance_NMEX Financial Review Aug,05" xfId="3028" xr:uid="{7361DD32-DB20-4475-9DF7-3D4AD94C034C}"/>
    <cellStyle name="_Purple_1SALPEN_Forecast_Volume Variance_NMEX Financial Review Aug,05 2" xfId="3029" xr:uid="{FBDAF3E9-0F0E-4C76-9B5A-083DFA55D419}"/>
    <cellStyle name="_Purple_1SALPEN_Forecast_Volume Variance_NMEX Financial Review Oct" xfId="3030" xr:uid="{FF25347F-4AB3-4694-870C-B7248282351D}"/>
    <cellStyle name="_Purple_1SALPEN_Forecast_Volume Variance_NMEX Financial Review Oct 2" xfId="3031" xr:uid="{855FC752-7482-41DD-BBCB-CAE6AEED6E2B}"/>
    <cellStyle name="_Purple_1SALPEN_Forecast_Volume Variance_NMEX Financial Review Sep" xfId="3032" xr:uid="{1FF7A9C1-E120-4D8E-A882-EB5B19D0E0CB}"/>
    <cellStyle name="_Purple_1SALPEN_Forecast_Volume Variance_NMEX Financial Review Sep 2" xfId="3033" xr:uid="{9E7857AB-8BDD-4A3C-9EB7-99FD46A99DB9}"/>
    <cellStyle name="_Purple_1SALPEN_Forecast_Volume Variance_NMEX_Variance Analysis_Aug___" xfId="3034" xr:uid="{5B4061E6-CDD6-4560-B23C-3A3FE0A8CEF7}"/>
    <cellStyle name="_Purple_1SALPEN_Forecast_Volume Variance_NMEX_Variance Analysis_Aug___ 2" xfId="3035" xr:uid="{B6518823-3924-4C8A-8BBA-E6361B9A426C}"/>
    <cellStyle name="_Purple_1SALPEN_Forecast_Volume Variance_NRFM NML Video v2" xfId="3036" xr:uid="{D9DFFFDE-25C6-485B-87D4-CFFA09356CEA}"/>
    <cellStyle name="_Purple_1SALPEN_Forecast_Volume Variance_NRFM NML Video v2 2" xfId="3037" xr:uid="{700E8DD2-B09A-4BA4-8EFC-9344AEE15956}"/>
    <cellStyle name="_Purple_1SALPEN_FY09 Monthly Budget Excel Package" xfId="3038" xr:uid="{5E646EE5-1A70-461E-9AA4-C580BFF4A091}"/>
    <cellStyle name="_Purple_1SALPEN_FY09 Official Fcst 9x3" xfId="3039" xr:uid="{C3EDC05F-586A-42C9-9C2F-0F896D08501F}"/>
    <cellStyle name="_Purple_1SALPEN_FY11 M4 A&amp;O Big 3 Report" xfId="3040" xr:uid="{992B2389-9519-400A-AE3A-EB9E6A548166}"/>
    <cellStyle name="_Purple_1SALPEN_FY11 M4 A&amp;O Big 3 Report 2" xfId="3041" xr:uid="{298DD816-4793-488F-A07C-47A98156D3F3}"/>
    <cellStyle name="_Purple_1SALPEN_Infiniti" xfId="3042" xr:uid="{CD8E2097-4620-4207-BBFA-98C829BC638C}"/>
    <cellStyle name="_Purple_1SALPEN_lease" xfId="3043" xr:uid="{8174166A-AE83-44B4-8570-906312BCEEB2}"/>
    <cellStyle name="_Purple_1SALPEN_lease 2" xfId="3044" xr:uid="{6DA78F57-C5BF-4016-B358-29F1384E0CB0}"/>
    <cellStyle name="_Purple_1SALPEN_lease_08 Reply#2Update Deck" xfId="3045" xr:uid="{5B81D711-AC1A-4C4D-9B19-BA017AB30CEE}"/>
    <cellStyle name="_Purple_1SALPEN_lease_08 Reply#2Update Deck 2" xfId="3046" xr:uid="{FF2D48A4-CCB7-4BE1-9AE1-6D7FE159E22B}"/>
    <cellStyle name="_Purple_1SALPEN_lease_08 Reply#2Update Deck_2010 Reply 3 PXP Report v2 0 DISTv2 (2)" xfId="3047" xr:uid="{413F3F4A-0703-4312-AD2C-30ABE3F0B1C7}"/>
    <cellStyle name="_Purple_1SALPEN_lease_08 Reply#2Update Deck_2x10 database" xfId="3048" xr:uid="{060A5244-87F0-4B8E-8B82-DFEA5A513BB6}"/>
    <cellStyle name="_Purple_1SALPEN_lease_08 Reply#2Update Deck_Book2" xfId="3049" xr:uid="{2B62320E-B1F8-4B11-9B0C-C6948ECE2BE7}"/>
    <cellStyle name="_Purple_1SALPEN_lease_08 Reply#2Update Deck_Book2 2" xfId="3050" xr:uid="{9328A40F-3242-4F5F-9125-8313BC67B76E}"/>
    <cellStyle name="_Purple_1SALPEN_lease_08 Reply#2Update Deck_NI_Forecast_020110" xfId="3051" xr:uid="{50F87E87-E863-48F5-9F7E-E0EEA6455C16}"/>
    <cellStyle name="_Purple_1SALPEN_lease_08 Reply#2Update Deck_NI_Forecast_112409" xfId="3052" xr:uid="{DAFEBB78-DE65-444D-8E6E-656390367201}"/>
    <cellStyle name="_Purple_1SALPEN_lease_08 Reply#2Update Deck_NI_Forecast_112409_2010 Reply3b PXP Report v2 0 DISTv1" xfId="3053" xr:uid="{BAA79ED2-F5D5-4D20-ABAB-6C94EB61CF3E}"/>
    <cellStyle name="_Purple_1SALPEN_lease_08 Reply#2Update Deck_NI_Forecast_FY10_120110" xfId="3054" xr:uid="{8DB6BE47-EEDC-4E5C-BCC6-D50065FD47A4}"/>
    <cellStyle name="_Purple_1SALPEN_lease_08 Reply#2Update Deck_NMEX - BP09 R#2b back up Final (Jan 27)26 " xfId="3055" xr:uid="{7555C5F1-D65E-4960-975C-6D50A91E89EA}"/>
    <cellStyle name="_Purple_1SALPEN_lease_08 Reply#2Update Deck_NMEX -BP09 R#2b " xfId="3056" xr:uid="{01510724-87A3-4A27-9518-0943991A2937}"/>
    <cellStyle name="_Purple_1SALPEN_lease_08 Reply#2Update Deck_NMEX Financial Review Oct" xfId="3057" xr:uid="{2BF1A203-770A-48C0-8024-14C339871686}"/>
    <cellStyle name="_Purple_1SALPEN_lease_08 Reply#2Update Deck_NMEX Financial Review Oct 2" xfId="3058" xr:uid="{6798DB5A-4886-471B-A67F-6336338345EF}"/>
    <cellStyle name="_Purple_1SALPEN_lease_08 Reply#2Update Deck_NMEX Financial Review Sep" xfId="3059" xr:uid="{9399EF2A-F4FB-4921-A01A-C82CF33FE0BE}"/>
    <cellStyle name="_Purple_1SALPEN_lease_08 Reply#2Update Deck_NMEX Financial Review Sep 2" xfId="3060" xr:uid="{F2D63150-BE48-437F-8386-E1FA6CC84082}"/>
    <cellStyle name="_Purple_1SALPEN_lease_08 Reply#2Update Deck_NRFM NML Video v2" xfId="3061" xr:uid="{A87D3255-D3A7-4539-A4A8-B7684CE8211D}"/>
    <cellStyle name="_Purple_1SALPEN_lease_08 Reply#2Update Deck_NRFM NML Video v2 2" xfId="3062" xr:uid="{848C1C87-93C1-4B92-8CCF-8B416C97D7CF}"/>
    <cellStyle name="_Purple_1SALPEN_lease_08 Reply#2Update Deck_NRFM NML Video v2_2x10 database" xfId="3063" xr:uid="{3E8C5321-7BA5-4B5F-8097-DA5485667788}"/>
    <cellStyle name="_Purple_1SALPEN_lease_08 Reply#2Update Deck_Tax Expense FY10 7x5 to FPA 113010" xfId="3064" xr:uid="{9276F972-6022-421D-AE9B-8B9A25680E3E}"/>
    <cellStyle name="_Purple_1SALPEN_lease_08 Reply#2Update Deck_video deck" xfId="3065" xr:uid="{5D3515A6-1719-42CE-8628-EA220A15E6FF}"/>
    <cellStyle name="_Purple_1SALPEN_lease_08 Reply#2Update Deck_video deck 2" xfId="3066" xr:uid="{1CDB060E-2484-43DD-BAE3-0E84E32671F0}"/>
    <cellStyle name="_Purple_1SALPEN_lease_2010 Reply 3 PXP Report v2 0 DISTv2 (2)" xfId="3067" xr:uid="{FAD2BD21-FCE6-4C7E-A803-1944BA3F480F}"/>
    <cellStyle name="_Purple_1SALPEN_lease_Book2" xfId="3068" xr:uid="{C949D3AA-615D-4248-A4FC-D1A3BDE6FE9F}"/>
    <cellStyle name="_Purple_1SALPEN_lease_Book2_NMEX - Fcst #2 (5+7) Financial analysis" xfId="3069" xr:uid="{72EB1DDD-4F66-4F54-AA4A-31BDA6B4D519}"/>
    <cellStyle name="_Purple_1SALPEN_lease_Consol P&amp;L Full YR Reply 1" xfId="3070" xr:uid="{55E24FC8-FA20-4DB6-A79F-EDA4EEE07242}"/>
    <cellStyle name="_Purple_1SALPEN_lease_Consol P&amp;L Full YR Reply 1 2" xfId="3071" xr:uid="{68D94204-D5D9-4B73-9200-7EA345C99F88}"/>
    <cellStyle name="_Purple_1SALPEN_lease_Division Walk Template" xfId="3072" xr:uid="{3E6C4566-5472-4452-9031-9D09CE4FD75C}"/>
    <cellStyle name="_Purple_1SALPEN_lease_Division Walk Template 2" xfId="3073" xr:uid="{55652184-46C0-42CA-8484-6F5DF13A0F04}"/>
    <cellStyle name="_Purple_1SALPEN_lease_Feb_NML_Video 2" xfId="3074" xr:uid="{7FBEC4D9-ACE7-469E-BD75-DD33AD09D3BE}"/>
    <cellStyle name="_Purple_1SALPEN_lease_FY09 Monthly Budget Excel Package" xfId="3075" xr:uid="{71BD5682-3956-4686-B81A-83C4BA16450F}"/>
    <cellStyle name="_Purple_1SALPEN_lease_FY09 Official Fcst 9x3" xfId="3076" xr:uid="{06958FAD-F526-4298-AA71-2522D04B0FF0}"/>
    <cellStyle name="_Purple_1SALPEN_lease_FY11 M4 A&amp;O Big 3 Report" xfId="3077" xr:uid="{9E9450A0-5A48-4CD5-91E6-63F46BCCEDFE}"/>
    <cellStyle name="_Purple_1SALPEN_lease_FY11 M4 A&amp;O Big 3 Report 2" xfId="3078" xr:uid="{B446FC10-2C54-4562-8434-DD3A41FAB374}"/>
    <cellStyle name="_Purple_1SALPEN_lease_Infiniti" xfId="3079" xr:uid="{9FB7B282-FF5D-45A1-A2CA-B0E215E4A626}"/>
    <cellStyle name="_Purple_1SALPEN_lease_MC-A Management Commitment Detail Calculation (3)" xfId="3080" xr:uid="{6D381E13-368B-4071-AC92-109C621267D7}"/>
    <cellStyle name="_Purple_1SALPEN_lease_MC-A Management Commitment Detail Calculation (3) 2" xfId="3081" xr:uid="{E6AAD306-B1CF-4C22-BE65-C35D18C56DCF}"/>
    <cellStyle name="_Purple_1SALPEN_lease_MC-A Management Commitment Detail Calculation (3)_2x10 database" xfId="3082" xr:uid="{F914F67E-9383-4786-9A24-31097E585DBF}"/>
    <cellStyle name="_Purple_1SALPEN_lease_MC-A Mgmt Commit_Aug" xfId="3083" xr:uid="{C1AC8D44-E627-4D55-9959-CF8CEB8CA205}"/>
    <cellStyle name="_Purple_1SALPEN_lease_MCA Template" xfId="3084" xr:uid="{7FAFDFE1-CB95-401F-A21D-5D51FBDF4F35}"/>
    <cellStyle name="_Purple_1SALPEN_lease_MP FC#2 Draft v_1 (2)" xfId="3085" xr:uid="{D71D998B-E721-4045-B5AD-E981B9439CA1}"/>
    <cellStyle name="_Purple_1SALPEN_lease_NCI Monthly Cash Flow_7X5" xfId="3086" xr:uid="{0E3AD9F9-56E9-40F5-8750-0D2C857370DF}"/>
    <cellStyle name="_Purple_1SALPEN_lease_NCI Monthly Cash Flow_9X3 final" xfId="3087" xr:uid="{681430D0-4652-4ADD-A8F5-04DF1D00ACEB}"/>
    <cellStyle name="_Purple_1SALPEN_lease_NCI Mothly Cash Flow_Jul'09-Final" xfId="3088" xr:uid="{8F979965-30E3-46A3-9668-A983A70EB85D}"/>
    <cellStyle name="_Purple_1SALPEN_lease_NCI Mothly Cash Flow_Jun'09" xfId="3089" xr:uid="{9A11F006-B063-40C7-B708-2482092F7896}"/>
    <cellStyle name="_Purple_1SALPEN_lease_NMEX - Back up StepchartIFRS_Reerencia (2)_NMEX BP09 R#2 Summary of KPI_NMEX -BP09 R#2b v-1 " xfId="3090" xr:uid="{7AE59954-D6DD-4FB4-ADC8-7BEB31D76B42}"/>
    <cellStyle name="_Purple_1SALPEN_lease_NMEX Financial Review Aug,05" xfId="3091" xr:uid="{5162B5D6-6E23-48B7-B3D0-387AE5F5A0B4}"/>
    <cellStyle name="_Purple_1SALPEN_lease_NMEX Financial Review Aug,05 2" xfId="3092" xr:uid="{D1BD25BB-2BD9-4C18-8766-DE3765F2DF49}"/>
    <cellStyle name="_Purple_1SALPEN_lease_NMEX Financial Review Oct" xfId="3093" xr:uid="{0C579A6E-0245-4B35-B461-395770FAD6E8}"/>
    <cellStyle name="_Purple_1SALPEN_lease_NMEX Financial Review Oct 2" xfId="3094" xr:uid="{B75012E9-7EA6-447C-B209-93127E812C37}"/>
    <cellStyle name="_Purple_1SALPEN_lease_NMEX Financial Review Sep" xfId="3095" xr:uid="{C3DD5FDC-5265-4A50-A096-95EEC2993614}"/>
    <cellStyle name="_Purple_1SALPEN_lease_NMEX Financial Review Sep 2" xfId="3096" xr:uid="{8673C5E4-F139-477C-B535-E8B174BB4344}"/>
    <cellStyle name="_Purple_1SALPEN_lease_NMEX_Variance Analysis_Aug___" xfId="3097" xr:uid="{40CFE05C-287A-41FE-A617-4237A09BFF3C}"/>
    <cellStyle name="_Purple_1SALPEN_lease_NMEX_Variance Analysis_Aug___ 2" xfId="3098" xr:uid="{8977D1DB-8F5C-409E-BC32-A4968F1BA045}"/>
    <cellStyle name="_Purple_1SALPEN_lease_NML $524M Walk_NMEX - BP09 R#2b back up Final (Jan 27)26 " xfId="3099" xr:uid="{F29A3562-909A-4223-980A-AEC0BF6D9B27}"/>
    <cellStyle name="_Purple_1SALPEN_lease_NRFM NML Video v2" xfId="3100" xr:uid="{3B065210-69BA-4F8D-8745-A79F12323D13}"/>
    <cellStyle name="_Purple_1SALPEN_lease_NRFM NML Video v2 2" xfId="3101" xr:uid="{A5F0A88B-4BF9-4CA1-8FEB-168D2250BCD7}"/>
    <cellStyle name="_Purple_1SALPEN_lease_Oct 20" xfId="3102" xr:uid="{0DEB8DCC-4E93-48A0-890A-F95296AE2F28}"/>
    <cellStyle name="_Purple_1SALPEN_lease_Oct 29" xfId="3103" xr:uid="{DE0F0A2A-5990-4550-B078-F96C12013BC6}"/>
    <cellStyle name="_Purple_1SALPEN_lease_Variance Walk for NNA FY08 Reply 2" xfId="3104" xr:uid="{DE854662-C32E-4198-9EF8-89933E201E64}"/>
    <cellStyle name="_Purple_1SALPEN_lease_Variance Walk for NNA FY08 Reply 2 2" xfId="3105" xr:uid="{1BA229D9-D5FD-4793-AFBC-79B0C9D56DF2}"/>
    <cellStyle name="_Purple_1SALPEN_lease_Variance Walk for NNA FY08 Reply 2_2x10 database" xfId="3106" xr:uid="{8199FEF1-D04E-4442-B3DA-680E7E046DD0}"/>
    <cellStyle name="_Purple_1SALPEN_lease_Volume Variance" xfId="3107" xr:uid="{070F641C-C431-4638-85B7-8B1D5A95FBA5}"/>
    <cellStyle name="_Purple_1SALPEN_lease_Volume Variance 2" xfId="3108" xr:uid="{5DD7F0D2-2914-41E9-AB16-1A877254106E}"/>
    <cellStyle name="_Purple_1SALPEN_lease_Volume Variance_2010 Reply 3 PXP Report v2 0 DISTv2 (2)" xfId="3109" xr:uid="{3CD7F2FE-0A25-4523-B656-0008066A309E}"/>
    <cellStyle name="_Purple_1SALPEN_lease_Volume Variance_NMEX - Fcst #2 (5+7) Financial analysis" xfId="3110" xr:uid="{49DCC440-6180-4642-990D-BFDB17FE4681}"/>
    <cellStyle name="_Purple_1SALPEN_lease_Volume Variance_NMEX Financial Review Aug,05" xfId="3111" xr:uid="{B8012055-20BE-46E8-B9B0-04C28E4F0768}"/>
    <cellStyle name="_Purple_1SALPEN_lease_Volume Variance_NMEX Financial Review Aug,05 2" xfId="3112" xr:uid="{92DB2E7E-F426-459C-901E-EEEE37294081}"/>
    <cellStyle name="_Purple_1SALPEN_lease_Volume Variance_NMEX Financial Review Oct" xfId="3113" xr:uid="{FED9FB97-E875-4E66-BB2E-7D4FF2FFAD8A}"/>
    <cellStyle name="_Purple_1SALPEN_lease_Volume Variance_NMEX Financial Review Oct 2" xfId="3114" xr:uid="{629C093A-00E6-4688-BC3B-093A74480890}"/>
    <cellStyle name="_Purple_1SALPEN_lease_Volume Variance_NMEX Financial Review Sep" xfId="3115" xr:uid="{4CBB5AF9-ED7D-431D-98B7-063C4F53E3A4}"/>
    <cellStyle name="_Purple_1SALPEN_lease_Volume Variance_NMEX Financial Review Sep 2" xfId="3116" xr:uid="{D5A9B33A-3E2F-4012-B81B-6B1CFD3FF46A}"/>
    <cellStyle name="_Purple_1SALPEN_lease_Volume Variance_NMEX_Variance Analysis_Aug___" xfId="3117" xr:uid="{1D2EDC7A-2550-4C3E-8AE3-6FBF8ACAF786}"/>
    <cellStyle name="_Purple_1SALPEN_lease_Volume Variance_NMEX_Variance Analysis_Aug___ 2" xfId="3118" xr:uid="{B5AD137C-1CE8-4599-8E40-3B6B0ABE102F}"/>
    <cellStyle name="_Purple_1SALPEN_lease_Volume Variance_NRFM NML Video v2" xfId="3119" xr:uid="{10775914-F0AC-4B23-A742-B0D3259D1C68}"/>
    <cellStyle name="_Purple_1SALPEN_lease_Volume Variance_NRFM NML Video v2 2" xfId="3120" xr:uid="{0B35CF8F-9CFE-49B8-B37D-8F99D7323F34}"/>
    <cellStyle name="_Purple_1SALPEN_MC-A Management Commitment Detail Calculation (3)" xfId="3121" xr:uid="{5B70A656-8CCC-4747-9F41-49A03BB2A0DE}"/>
    <cellStyle name="_Purple_1SALPEN_MC-A Management Commitment Detail Calculation (3) 2" xfId="3122" xr:uid="{7CEA1619-01E7-45B4-81C2-8DA849E18D82}"/>
    <cellStyle name="_Purple_1SALPEN_MC-A Management Commitment Detail Calculation (3)_2x10 database" xfId="3123" xr:uid="{594E3F44-A36D-4F4C-B94B-A1C91D2FD83C}"/>
    <cellStyle name="_Purple_1SALPEN_MC-A Mgmt Commit_Aug" xfId="3124" xr:uid="{5BED5CDC-099C-4A39-A4D1-9D961667B9DE}"/>
    <cellStyle name="_Purple_1SALPEN_MCA Template" xfId="3125" xr:uid="{725295B4-2233-4A68-84B1-B3D959DC65BB}"/>
    <cellStyle name="_Purple_1SALPEN_MP FC#2 Draft v_1 (2)" xfId="3126" xr:uid="{837A6852-C87C-4592-9E72-9D54A3558031}"/>
    <cellStyle name="_Purple_1SALPEN_NCI Monthly Cash Flow_7X5" xfId="3127" xr:uid="{5274FA54-C913-4A60-8AB3-3DE483A18BCE}"/>
    <cellStyle name="_Purple_1SALPEN_NCI Monthly Cash Flow_9X3 final" xfId="3128" xr:uid="{7DDBFF4D-521B-4053-B452-19C7FE88525D}"/>
    <cellStyle name="_Purple_1SALPEN_NCI Mothly Cash Flow_Jul'09-Final" xfId="3129" xr:uid="{9193CCF3-6873-4411-9C0E-1B6078C25A50}"/>
    <cellStyle name="_Purple_1SALPEN_NCI Mothly Cash Flow_Jun'09" xfId="3130" xr:uid="{92B2D58B-98B7-4E18-A059-D87ADE1CDAD1}"/>
    <cellStyle name="_Purple_1SALPEN_NMEX - Back up StepchartIFRS_Reerencia (2)_NMEX BP09 R#2 Summary of KPI_NMEX -BP09 R#2b v-1 " xfId="3131" xr:uid="{F6742D1E-BF4A-4ABA-920C-6F80FDFCF077}"/>
    <cellStyle name="_Purple_1SALPEN_NMEX Financial Review Aug,05" xfId="3132" xr:uid="{E9FFA3D0-C4B7-40F0-B380-37A2204BF492}"/>
    <cellStyle name="_Purple_1SALPEN_NMEX Financial Review Aug,05 2" xfId="3133" xr:uid="{D4509C3E-0DC1-466D-9DFE-98ABDC4EDAD6}"/>
    <cellStyle name="_Purple_1SALPEN_NMEX Financial Review Oct" xfId="3134" xr:uid="{699AD0AF-C2ED-4944-82C6-90FBC2538280}"/>
    <cellStyle name="_Purple_1SALPEN_NMEX Financial Review Oct 2" xfId="3135" xr:uid="{8A3B371A-D468-4275-A762-A56513900188}"/>
    <cellStyle name="_Purple_1SALPEN_NMEX Financial Review Sep" xfId="3136" xr:uid="{4B234702-484D-487F-98C2-7E1399806917}"/>
    <cellStyle name="_Purple_1SALPEN_NMEX Financial Review Sep 2" xfId="3137" xr:uid="{7D67ED33-5D63-445D-82E6-342DED2B6097}"/>
    <cellStyle name="_Purple_1SALPEN_NMEX_Variance Analysis_Aug___" xfId="3138" xr:uid="{FBD2BD45-D17A-4F46-86A0-74E35E216BD8}"/>
    <cellStyle name="_Purple_1SALPEN_NMEX_Variance Analysis_Aug___ 2" xfId="3139" xr:uid="{19DD09C9-03FA-427A-9430-9B1486255389}"/>
    <cellStyle name="_Purple_1SALPEN_NML $524M Walk_NMEX - BP09 R#2b back up Final (Jan 27)26 " xfId="3140" xr:uid="{2332061A-A842-4E4B-B885-075D7BA2F68D}"/>
    <cellStyle name="_Purple_1SALPEN_NNA Sales Calculations" xfId="3141" xr:uid="{25D57A5F-AB40-4723-8C1F-F6719CA19824}"/>
    <cellStyle name="_Purple_1SALPEN_NNA Sales Calculations 2" xfId="3142" xr:uid="{209D95B7-9398-4E45-8A27-30430427D5C1}"/>
    <cellStyle name="_Purple_1SALPEN_NNA Sales Calculations_08 Reply#2Update Deck" xfId="3143" xr:uid="{F8694403-E8E8-4DB1-9916-29E4EB983348}"/>
    <cellStyle name="_Purple_1SALPEN_NNA Sales Calculations_08 Reply#2Update Deck 2" xfId="3144" xr:uid="{9DFA780E-11D0-401F-BC14-74C2C754E103}"/>
    <cellStyle name="_Purple_1SALPEN_NNA Sales Calculations_08 Reply#2Update Deck_2010 Reply 3 PXP Report v2 0 DISTv2 (2)" xfId="3145" xr:uid="{B69AC9C0-D5EA-4CA1-A2A5-A3B077F23D7F}"/>
    <cellStyle name="_Purple_1SALPEN_NNA Sales Calculations_08 Reply#2Update Deck_2x10 database" xfId="3146" xr:uid="{789E63B5-DDF6-4418-85F4-771B890E85EE}"/>
    <cellStyle name="_Purple_1SALPEN_NNA Sales Calculations_08 Reply#2Update Deck_Book2" xfId="3147" xr:uid="{1E7EDE1E-9BA6-4E59-A4ED-98A0D9AED134}"/>
    <cellStyle name="_Purple_1SALPEN_NNA Sales Calculations_08 Reply#2Update Deck_Book2 2" xfId="3148" xr:uid="{4C998FCC-22EF-49BF-9138-78FDD24987AB}"/>
    <cellStyle name="_Purple_1SALPEN_NNA Sales Calculations_08 Reply#2Update Deck_NI_Forecast_020110" xfId="3149" xr:uid="{AAB3738E-577A-464A-876C-4BDD2304812E}"/>
    <cellStyle name="_Purple_1SALPEN_NNA Sales Calculations_08 Reply#2Update Deck_NI_Forecast_112409" xfId="3150" xr:uid="{C08BA967-2022-4C32-8153-816E3A6B82E0}"/>
    <cellStyle name="_Purple_1SALPEN_NNA Sales Calculations_08 Reply#2Update Deck_NI_Forecast_112409_2010 Reply3b PXP Report v2 0 DISTv1" xfId="3151" xr:uid="{929A8685-5CFD-4097-AF77-C201B9C1B395}"/>
    <cellStyle name="_Purple_1SALPEN_NNA Sales Calculations_08 Reply#2Update Deck_NI_Forecast_FY10_120110" xfId="3152" xr:uid="{2BF00C7B-1339-4724-BB81-2CB6012EB852}"/>
    <cellStyle name="_Purple_1SALPEN_NNA Sales Calculations_08 Reply#2Update Deck_NMEX - BP09 R#2b back up Final (Jan 27)26 " xfId="3153" xr:uid="{20E1A8F8-85EA-466B-9368-F7F791F2B5F1}"/>
    <cellStyle name="_Purple_1SALPEN_NNA Sales Calculations_08 Reply#2Update Deck_NMEX -BP09 R#2b " xfId="3154" xr:uid="{03F50D78-3158-482E-941C-887E6C4BC095}"/>
    <cellStyle name="_Purple_1SALPEN_NNA Sales Calculations_08 Reply#2Update Deck_NMEX Financial Review Oct" xfId="3155" xr:uid="{E8EB7E63-0F33-4344-BD66-085C5DBCB586}"/>
    <cellStyle name="_Purple_1SALPEN_NNA Sales Calculations_08 Reply#2Update Deck_NMEX Financial Review Oct 2" xfId="3156" xr:uid="{668FC32A-4848-4B92-ACE7-A822401F6789}"/>
    <cellStyle name="_Purple_1SALPEN_NNA Sales Calculations_08 Reply#2Update Deck_NMEX Financial Review Sep" xfId="3157" xr:uid="{E7E1A15F-9E8B-49A9-A30D-3D912C7BF44E}"/>
    <cellStyle name="_Purple_1SALPEN_NNA Sales Calculations_08 Reply#2Update Deck_NMEX Financial Review Sep 2" xfId="3158" xr:uid="{D6A118D2-9952-472B-8E0E-AE90BA57EDF9}"/>
    <cellStyle name="_Purple_1SALPEN_NNA Sales Calculations_08 Reply#2Update Deck_NRFM NML Video v2" xfId="3159" xr:uid="{3314AF95-0B87-4993-B575-A1A8A9A0FFB4}"/>
    <cellStyle name="_Purple_1SALPEN_NNA Sales Calculations_08 Reply#2Update Deck_NRFM NML Video v2 2" xfId="3160" xr:uid="{23E69629-9879-4C28-B1E6-F34F19452569}"/>
    <cellStyle name="_Purple_1SALPEN_NNA Sales Calculations_08 Reply#2Update Deck_NRFM NML Video v2_2x10 database" xfId="3161" xr:uid="{CD436BE4-D28C-4800-88AE-0B1FF1CECC8C}"/>
    <cellStyle name="_Purple_1SALPEN_NNA Sales Calculations_08 Reply#2Update Deck_Tax Expense FY10 7x5 to FPA 113010" xfId="3162" xr:uid="{DA8C97C1-0084-4129-8141-E41E9035C646}"/>
    <cellStyle name="_Purple_1SALPEN_NNA Sales Calculations_08 Reply#2Update Deck_video deck" xfId="3163" xr:uid="{DA758F17-BFC8-4049-A540-E1B9B060FD7E}"/>
    <cellStyle name="_Purple_1SALPEN_NNA Sales Calculations_08 Reply#2Update Deck_video deck 2" xfId="3164" xr:uid="{83417126-C813-487D-ABE9-8A7E33F6E7CA}"/>
    <cellStyle name="_Purple_1SALPEN_NNA Sales Calculations_2010 Reply 3 PXP Report v2 0 DISTv2 (2)" xfId="3165" xr:uid="{9DA0D8A4-3469-44B3-83AA-6427AA7677FB}"/>
    <cellStyle name="_Purple_1SALPEN_NNA Sales Calculations_Book2" xfId="3166" xr:uid="{4CF71589-3A86-4B08-83F7-82078C10549D}"/>
    <cellStyle name="_Purple_1SALPEN_NNA Sales Calculations_Book2_NMEX - Fcst #2 (5+7) Financial analysis" xfId="3167" xr:uid="{DBF8920D-E559-4BE8-9957-C02F028C8D97}"/>
    <cellStyle name="_Purple_1SALPEN_NNA Sales Calculations_Consol P&amp;L Full YR Reply 1" xfId="3168" xr:uid="{314B3266-7BDD-48EF-9604-5E6EB3BE35AE}"/>
    <cellStyle name="_Purple_1SALPEN_NNA Sales Calculations_Consol P&amp;L Full YR Reply 1 2" xfId="3169" xr:uid="{8E03FD50-1A17-4C31-813E-94DB730BD654}"/>
    <cellStyle name="_Purple_1SALPEN_NNA Sales Calculations_Division Walk Template" xfId="3170" xr:uid="{43694209-0C83-41F4-9FA7-6AE87E32E4D9}"/>
    <cellStyle name="_Purple_1SALPEN_NNA Sales Calculations_Division Walk Template 2" xfId="3171" xr:uid="{0E8FFD92-3914-49E6-8611-9A78FBEDA7C8}"/>
    <cellStyle name="_Purple_1SALPEN_NNA Sales Calculations_Feb_NML_Video 2" xfId="3172" xr:uid="{6ADE57ED-9AA3-4035-80CF-54DF0F6257AC}"/>
    <cellStyle name="_Purple_1SALPEN_NNA Sales Calculations_FY09 Monthly Budget Excel Package" xfId="3173" xr:uid="{9104A501-9D65-4798-9513-88C6FF75A81F}"/>
    <cellStyle name="_Purple_1SALPEN_NNA Sales Calculations_FY09 Official Fcst 9x3" xfId="3174" xr:uid="{9A697429-8BC2-4CB6-8617-0C5792BAB033}"/>
    <cellStyle name="_Purple_1SALPEN_NNA Sales Calculations_FY11 M4 A&amp;O Big 3 Report" xfId="3175" xr:uid="{E0FC325D-C41B-4728-9997-4A351E54F50A}"/>
    <cellStyle name="_Purple_1SALPEN_NNA Sales Calculations_FY11 M4 A&amp;O Big 3 Report 2" xfId="3176" xr:uid="{AE862E14-C111-4195-882E-69124BBDFC27}"/>
    <cellStyle name="_Purple_1SALPEN_NNA Sales Calculations_Infiniti" xfId="3177" xr:uid="{DFA2D4BB-376A-4AA4-AF50-2BBF8529CC73}"/>
    <cellStyle name="_Purple_1SALPEN_NNA Sales Calculations_MC-A Management Commitment Detail Calculation (3)" xfId="3178" xr:uid="{D0F731B7-284A-4658-A2D6-1A59AFC62B56}"/>
    <cellStyle name="_Purple_1SALPEN_NNA Sales Calculations_MC-A Management Commitment Detail Calculation (3) 2" xfId="3179" xr:uid="{23A8C15C-889E-43C6-8206-86244162A0BB}"/>
    <cellStyle name="_Purple_1SALPEN_NNA Sales Calculations_MC-A Management Commitment Detail Calculation (3)_2x10 database" xfId="3180" xr:uid="{5DC23F24-F554-4831-AEDB-CAF0AA4BC3F0}"/>
    <cellStyle name="_Purple_1SALPEN_NNA Sales Calculations_MC-A Mgmt Commit_Aug" xfId="3181" xr:uid="{A5B16F9D-C14D-4CBF-B141-F5F794C0B1D1}"/>
    <cellStyle name="_Purple_1SALPEN_NNA Sales Calculations_MCA Template" xfId="3182" xr:uid="{028469BC-7444-46E0-8A4A-73CA82EC4FBB}"/>
    <cellStyle name="_Purple_1SALPEN_NNA Sales Calculations_MP FC#2 Draft v_1 (2)" xfId="3183" xr:uid="{CF5FF4FF-48FD-4D86-906B-E83D377FE408}"/>
    <cellStyle name="_Purple_1SALPEN_NNA Sales Calculations_NCI Monthly Cash Flow_7X5" xfId="3184" xr:uid="{F9269E73-5A7A-4D60-A0D1-B9E2E8377EC7}"/>
    <cellStyle name="_Purple_1SALPEN_NNA Sales Calculations_NCI Monthly Cash Flow_9X3 final" xfId="3185" xr:uid="{64CFF2F6-2C99-4148-8496-18C297B16E43}"/>
    <cellStyle name="_Purple_1SALPEN_NNA Sales Calculations_NCI Mothly Cash Flow_Jul'09-Final" xfId="3186" xr:uid="{82BBEB81-2691-4C87-A2A1-5E6C50201B01}"/>
    <cellStyle name="_Purple_1SALPEN_NNA Sales Calculations_NCI Mothly Cash Flow_Jun'09" xfId="3187" xr:uid="{15103B68-DD05-4AFA-A0F4-6E0931E272AD}"/>
    <cellStyle name="_Purple_1SALPEN_NNA Sales Calculations_NMEX - Back up StepchartIFRS_Reerencia (2)_NMEX BP09 R#2 Summary of KPI_NMEX -BP09 R#2b v-1 " xfId="3188" xr:uid="{1E418AA4-A7BF-488C-B336-109C44F99D6D}"/>
    <cellStyle name="_Purple_1SALPEN_NNA Sales Calculations_NMEX Financial Review Aug,05" xfId="3189" xr:uid="{97E144DC-4F52-4D05-A28E-A6A11EA0CB2F}"/>
    <cellStyle name="_Purple_1SALPEN_NNA Sales Calculations_NMEX Financial Review Aug,05 2" xfId="3190" xr:uid="{FF5570FE-3856-426E-86F7-134AD87B2F88}"/>
    <cellStyle name="_Purple_1SALPEN_NNA Sales Calculations_NMEX Financial Review Oct" xfId="3191" xr:uid="{E296B703-209E-4EB6-8E8F-641B18695F97}"/>
    <cellStyle name="_Purple_1SALPEN_NNA Sales Calculations_NMEX Financial Review Oct 2" xfId="3192" xr:uid="{75103877-B98C-4714-827B-552C13D24668}"/>
    <cellStyle name="_Purple_1SALPEN_NNA Sales Calculations_NMEX Financial Review Sep" xfId="3193" xr:uid="{02AD86AB-5080-44EA-A154-AF4C894B625D}"/>
    <cellStyle name="_Purple_1SALPEN_NNA Sales Calculations_NMEX Financial Review Sep 2" xfId="3194" xr:uid="{D90C904E-6F30-4685-ACAB-03C01BB952D4}"/>
    <cellStyle name="_Purple_1SALPEN_NNA Sales Calculations_NMEX_Variance Analysis_Aug___" xfId="3195" xr:uid="{EBDA9C81-089E-4AB7-BAEB-B927FE614B04}"/>
    <cellStyle name="_Purple_1SALPEN_NNA Sales Calculations_NMEX_Variance Analysis_Aug___ 2" xfId="3196" xr:uid="{9F8B71F6-283D-482F-B2CA-637EECBD764E}"/>
    <cellStyle name="_Purple_1SALPEN_NNA Sales Calculations_NML $524M Walk_NMEX - BP09 R#2b back up Final (Jan 27)26 " xfId="3197" xr:uid="{2E032340-4825-46E6-AAC5-079F9C9C4C38}"/>
    <cellStyle name="_Purple_1SALPEN_NNA Sales Calculations_NRFM NML Video v2" xfId="3198" xr:uid="{4194315E-623B-45E7-ACC0-0EA273D4534A}"/>
    <cellStyle name="_Purple_1SALPEN_NNA Sales Calculations_NRFM NML Video v2 2" xfId="3199" xr:uid="{EFB4BA25-8A8F-4789-A1AA-AFAB8CAFF51C}"/>
    <cellStyle name="_Purple_1SALPEN_NNA Sales Calculations_Oct 20" xfId="3200" xr:uid="{D9A8B083-A0AF-4587-A868-F659D2AEB32E}"/>
    <cellStyle name="_Purple_1SALPEN_NNA Sales Calculations_Oct 29" xfId="3201" xr:uid="{1B47F668-2F1C-4532-995B-29EE2775F49B}"/>
    <cellStyle name="_Purple_1SALPEN_NNA Sales Calculations_Variance Walk for NNA FY08 Reply 2" xfId="3202" xr:uid="{5064A955-6584-49AF-B962-F89022E295BE}"/>
    <cellStyle name="_Purple_1SALPEN_NNA Sales Calculations_Variance Walk for NNA FY08 Reply 2 2" xfId="3203" xr:uid="{487AA67B-C837-4B0D-BA56-6F3C11B16995}"/>
    <cellStyle name="_Purple_1SALPEN_NNA Sales Calculations_Variance Walk for NNA FY08 Reply 2_2x10 database" xfId="3204" xr:uid="{94C8D398-6E62-459D-BA2D-9446E30A7136}"/>
    <cellStyle name="_Purple_1SALPEN_NNA Sales Calculations_Volume Variance" xfId="3205" xr:uid="{089B1AB3-F38C-4ABE-BB5B-F29D0ED4F5BD}"/>
    <cellStyle name="_Purple_1SALPEN_NNA Sales Calculations_Volume Variance 2" xfId="3206" xr:uid="{E62CC5A0-C276-4C0D-95F2-874478C8C076}"/>
    <cellStyle name="_Purple_1SALPEN_NNA Sales Calculations_Volume Variance_2010 Reply 3 PXP Report v2 0 DISTv2 (2)" xfId="3207" xr:uid="{524E4EFC-F7F2-4F06-9D79-B939A0749B82}"/>
    <cellStyle name="_Purple_1SALPEN_NNA Sales Calculations_Volume Variance_NMEX - Fcst #2 (5+7) Financial analysis" xfId="3208" xr:uid="{4FD5437F-615E-4C31-B609-3D14C20BCAD2}"/>
    <cellStyle name="_Purple_1SALPEN_NNA Sales Calculations_Volume Variance_NMEX Financial Review Aug,05" xfId="3209" xr:uid="{7FD246D0-ADA6-4050-AE3E-0ADFB3DD30B5}"/>
    <cellStyle name="_Purple_1SALPEN_NNA Sales Calculations_Volume Variance_NMEX Financial Review Aug,05 2" xfId="3210" xr:uid="{609158E7-B4EF-4D12-8E0F-D8D90590DCCE}"/>
    <cellStyle name="_Purple_1SALPEN_NNA Sales Calculations_Volume Variance_NMEX Financial Review Oct" xfId="3211" xr:uid="{459C658E-9721-43DD-8676-7F65181FA426}"/>
    <cellStyle name="_Purple_1SALPEN_NNA Sales Calculations_Volume Variance_NMEX Financial Review Oct 2" xfId="3212" xr:uid="{0611D18F-F905-4D3D-B43B-6611E59152BC}"/>
    <cellStyle name="_Purple_1SALPEN_NNA Sales Calculations_Volume Variance_NMEX Financial Review Sep" xfId="3213" xr:uid="{B9BD0F81-83A7-4E40-8A97-CCAC06D0E105}"/>
    <cellStyle name="_Purple_1SALPEN_NNA Sales Calculations_Volume Variance_NMEX Financial Review Sep 2" xfId="3214" xr:uid="{E02B2C3A-F7E0-49E6-B34E-A9404BDBF1FA}"/>
    <cellStyle name="_Purple_1SALPEN_NNA Sales Calculations_Volume Variance_NMEX_Variance Analysis_Aug___" xfId="3215" xr:uid="{947FF8D2-022A-4314-B8E0-23057D9FB557}"/>
    <cellStyle name="_Purple_1SALPEN_NNA Sales Calculations_Volume Variance_NMEX_Variance Analysis_Aug___ 2" xfId="3216" xr:uid="{8FA2E2A4-5738-4980-89C8-5B6DF014F385}"/>
    <cellStyle name="_Purple_1SALPEN_NNA Sales Calculations_Volume Variance_NRFM NML Video v2" xfId="3217" xr:uid="{5E4B1B34-07FE-43D0-B403-27091E3CB6BD}"/>
    <cellStyle name="_Purple_1SALPEN_NNA Sales Calculations_Volume Variance_NRFM NML Video v2 2" xfId="3218" xr:uid="{61BA0067-A8B2-4F35-9F6C-3777BB4A2E7D}"/>
    <cellStyle name="_Purple_1SALPEN_NRFM NML Video v2" xfId="3219" xr:uid="{DB95EEFE-767D-4CC0-A83D-C2F74568EE4B}"/>
    <cellStyle name="_Purple_1SALPEN_NRFM NML Video v2 2" xfId="3220" xr:uid="{AC29183D-7AFE-4818-8C11-F8F7E12BB198}"/>
    <cellStyle name="_Purple_1SALPEN_Oct 20" xfId="3221" xr:uid="{00D9579E-40A1-47FE-B3D8-CDBB9EA147A5}"/>
    <cellStyle name="_Purple_1SALPEN_Oct 29" xfId="3222" xr:uid="{FC9B4980-7EC0-46A4-A339-BC3F615F8E81}"/>
    <cellStyle name="_Purple_1SALPEN_PenRates" xfId="3223" xr:uid="{110208A9-B3D7-4A0D-8CA8-0C9615AB39A5}"/>
    <cellStyle name="_Purple_1SALPEN_PenRates 2" xfId="3224" xr:uid="{1CA7B85C-6A50-4678-AD45-CAB52305DAB3}"/>
    <cellStyle name="_Purple_1SALPEN_PenRates_08 Reply#2Update Deck" xfId="3225" xr:uid="{63884F2E-7C32-4054-82EF-7279541BB2FB}"/>
    <cellStyle name="_Purple_1SALPEN_PenRates_08 Reply#2Update Deck 2" xfId="3226" xr:uid="{1FEC8435-9C22-4DD8-9E39-0FBEFA702896}"/>
    <cellStyle name="_Purple_1SALPEN_PenRates_08 Reply#2Update Deck_2010 Reply 3 PXP Report v2 0 DISTv2 (2)" xfId="3227" xr:uid="{F733D33D-1F9B-4F7E-917A-34EB6AA51E2F}"/>
    <cellStyle name="_Purple_1SALPEN_PenRates_08 Reply#2Update Deck_2x10 database" xfId="3228" xr:uid="{05FEBFCF-27FC-434E-877D-B178681A0569}"/>
    <cellStyle name="_Purple_1SALPEN_PenRates_08 Reply#2Update Deck_Book2" xfId="3229" xr:uid="{12CBC09D-28E2-4074-A018-AD7D492083C8}"/>
    <cellStyle name="_Purple_1SALPEN_PenRates_08 Reply#2Update Deck_Book2 2" xfId="3230" xr:uid="{6E122529-C580-49AB-AF36-5D6B2293843E}"/>
    <cellStyle name="_Purple_1SALPEN_PenRates_08 Reply#2Update Deck_NI_Forecast_020110" xfId="3231" xr:uid="{171836FB-886E-4B6D-96F9-9137F3A374EA}"/>
    <cellStyle name="_Purple_1SALPEN_PenRates_08 Reply#2Update Deck_NI_Forecast_112409" xfId="3232" xr:uid="{3DF1BD4A-9370-4754-B10A-E0C2A30203CC}"/>
    <cellStyle name="_Purple_1SALPEN_PenRates_08 Reply#2Update Deck_NI_Forecast_112409_2010 Reply3b PXP Report v2 0 DISTv1" xfId="3233" xr:uid="{ECAE8367-F464-44B9-B521-DED297BDC067}"/>
    <cellStyle name="_Purple_1SALPEN_PenRates_08 Reply#2Update Deck_NI_Forecast_FY10_120110" xfId="3234" xr:uid="{73CCE2D7-A3B7-418C-BA67-2508BEDD2A51}"/>
    <cellStyle name="_Purple_1SALPEN_PenRates_08 Reply#2Update Deck_NMEX - BP09 R#2b back up Final (Jan 27)26 " xfId="3235" xr:uid="{41460C9B-710B-44B8-BCD4-55FD2BC43746}"/>
    <cellStyle name="_Purple_1SALPEN_PenRates_08 Reply#2Update Deck_NMEX -BP09 R#2b " xfId="3236" xr:uid="{A7287875-451E-493E-B091-43C2C1D03D3A}"/>
    <cellStyle name="_Purple_1SALPEN_PenRates_08 Reply#2Update Deck_NMEX Financial Review Oct" xfId="3237" xr:uid="{EBED1DDB-B86F-42B6-98C3-61213187C2E9}"/>
    <cellStyle name="_Purple_1SALPEN_PenRates_08 Reply#2Update Deck_NMEX Financial Review Oct 2" xfId="3238" xr:uid="{C8941373-7813-44CC-AD4F-6379729EA626}"/>
    <cellStyle name="_Purple_1SALPEN_PenRates_08 Reply#2Update Deck_NMEX Financial Review Sep" xfId="3239" xr:uid="{DF19AF7A-300A-4048-94CF-F1F852DB8C01}"/>
    <cellStyle name="_Purple_1SALPEN_PenRates_08 Reply#2Update Deck_NMEX Financial Review Sep 2" xfId="3240" xr:uid="{F3A3DE9D-34B5-4933-A6B0-BFA8B6DE87C9}"/>
    <cellStyle name="_Purple_1SALPEN_PenRates_08 Reply#2Update Deck_NRFM NML Video v2" xfId="3241" xr:uid="{1B51F796-F97C-43C0-8687-948064B1508F}"/>
    <cellStyle name="_Purple_1SALPEN_PenRates_08 Reply#2Update Deck_NRFM NML Video v2 2" xfId="3242" xr:uid="{9C0BE238-3FFA-48F9-B03C-4E26714144EA}"/>
    <cellStyle name="_Purple_1SALPEN_PenRates_08 Reply#2Update Deck_NRFM NML Video v2_2x10 database" xfId="3243" xr:uid="{6D0BD206-60DE-419E-8868-6DE9E9A0CBE1}"/>
    <cellStyle name="_Purple_1SALPEN_PenRates_08 Reply#2Update Deck_Tax Expense FY10 7x5 to FPA 113010" xfId="3244" xr:uid="{DDE7F7F6-49BF-4462-AB99-579FF2E35C49}"/>
    <cellStyle name="_Purple_1SALPEN_PenRates_08 Reply#2Update Deck_video deck" xfId="3245" xr:uid="{53C60AB1-EC4B-4627-8AEC-22AF97BDE000}"/>
    <cellStyle name="_Purple_1SALPEN_PenRates_08 Reply#2Update Deck_video deck 2" xfId="3246" xr:uid="{318E9153-D7DE-49D8-B948-6623EAC2CFC1}"/>
    <cellStyle name="_Purple_1SALPEN_PenRates_2010 Reply 3 PXP Report v2 0 DISTv2 (2)" xfId="3247" xr:uid="{E7098A11-33FB-4568-93DD-473CDA811072}"/>
    <cellStyle name="_Purple_1SALPEN_PenRates_Book2" xfId="3248" xr:uid="{C57ED6E0-9CE4-40AF-8F8B-C34B4C9C0FC3}"/>
    <cellStyle name="_Purple_1SALPEN_PenRates_Book2_NMEX - Fcst #2 (5+7) Financial analysis" xfId="3249" xr:uid="{24E5C111-5F54-4AED-AB23-A012B0ABF191}"/>
    <cellStyle name="_Purple_1SALPEN_PenRates_Consol P&amp;L Full YR Reply 1" xfId="3250" xr:uid="{AE1C59C9-31C9-43F8-A8D3-8B257063AF3B}"/>
    <cellStyle name="_Purple_1SALPEN_PenRates_Consol P&amp;L Full YR Reply 1 2" xfId="3251" xr:uid="{F36A27EC-1735-4A5A-9200-D2283C905F6D}"/>
    <cellStyle name="_Purple_1SALPEN_PenRates_Division Walk Template" xfId="3252" xr:uid="{20EC7BA5-4614-464D-BDAE-1B1671FBA45F}"/>
    <cellStyle name="_Purple_1SALPEN_PenRates_Division Walk Template 2" xfId="3253" xr:uid="{AB40B270-6F0A-4ED0-B4E7-C4E0E1ADF1CB}"/>
    <cellStyle name="_Purple_1SALPEN_PenRates_Feb_NML_Video 2" xfId="3254" xr:uid="{F661E881-E99C-48F6-85C8-7428E30309B8}"/>
    <cellStyle name="_Purple_1SALPEN_PenRates_FY09 Monthly Budget Excel Package" xfId="3255" xr:uid="{017615F6-C0B5-4FE0-8A57-7EBEE69AEEBA}"/>
    <cellStyle name="_Purple_1SALPEN_PenRates_FY09 Official Fcst 9x3" xfId="3256" xr:uid="{AAA4AD84-0BE5-4184-B989-E531398D360B}"/>
    <cellStyle name="_Purple_1SALPEN_PenRates_FY11 M4 A&amp;O Big 3 Report" xfId="3257" xr:uid="{EA48A773-FF27-4C47-A9D2-CB1CC6E343FB}"/>
    <cellStyle name="_Purple_1SALPEN_PenRates_FY11 M4 A&amp;O Big 3 Report 2" xfId="3258" xr:uid="{C828087C-5049-49AD-8236-37D0944A749F}"/>
    <cellStyle name="_Purple_1SALPEN_PenRates_Infiniti" xfId="3259" xr:uid="{6D579A26-4D4F-41E7-8E66-A18CF10C3EC4}"/>
    <cellStyle name="_Purple_1SALPEN_PenRates_MC-A Management Commitment Detail Calculation (3)" xfId="3260" xr:uid="{66DA2836-28F3-44DE-BB0D-35639DEED5AE}"/>
    <cellStyle name="_Purple_1SALPEN_PenRates_MC-A Management Commitment Detail Calculation (3) 2" xfId="3261" xr:uid="{0026CD95-D6A3-44F1-9BBF-AB420FC89287}"/>
    <cellStyle name="_Purple_1SALPEN_PenRates_MC-A Management Commitment Detail Calculation (3)_2x10 database" xfId="3262" xr:uid="{2156C087-D95A-437C-A5EE-B9AFCCE3CDC2}"/>
    <cellStyle name="_Purple_1SALPEN_PenRates_MC-A Mgmt Commit_Aug" xfId="3263" xr:uid="{214392C4-465E-4FCA-A665-867970F4C993}"/>
    <cellStyle name="_Purple_1SALPEN_PenRates_MCA Template" xfId="3264" xr:uid="{75695041-7F1D-48D8-A81C-ACD8481E9D31}"/>
    <cellStyle name="_Purple_1SALPEN_PenRates_MP FC#2 Draft v_1 (2)" xfId="3265" xr:uid="{58D6DBDF-0432-44E1-8644-04F0CF804505}"/>
    <cellStyle name="_Purple_1SALPEN_PenRates_NCI Monthly Cash Flow_7X5" xfId="3266" xr:uid="{A8DEA2D2-D09A-442B-86E4-B370BC7443B5}"/>
    <cellStyle name="_Purple_1SALPEN_PenRates_NCI Monthly Cash Flow_9X3 final" xfId="3267" xr:uid="{F9DB94A8-4F15-4506-A35F-E0092A691058}"/>
    <cellStyle name="_Purple_1SALPEN_PenRates_NCI Mothly Cash Flow_Jul'09-Final" xfId="3268" xr:uid="{A0FFC136-F86B-404C-8541-74EF5DDC2594}"/>
    <cellStyle name="_Purple_1SALPEN_PenRates_NCI Mothly Cash Flow_Jun'09" xfId="3269" xr:uid="{E8227A1B-5A83-46C9-9D8A-41AF627BA3A1}"/>
    <cellStyle name="_Purple_1SALPEN_PenRates_NMEX - Back up StepchartIFRS_Reerencia (2)_NMEX BP09 R#2 Summary of KPI_NMEX -BP09 R#2b v-1 " xfId="3270" xr:uid="{6791A35D-7A5A-419F-B63B-F812497949F3}"/>
    <cellStyle name="_Purple_1SALPEN_PenRates_NMEX Financial Review Aug,05" xfId="3271" xr:uid="{28F77FD3-9C99-471B-B0D6-B079ECBA83FD}"/>
    <cellStyle name="_Purple_1SALPEN_PenRates_NMEX Financial Review Aug,05 2" xfId="3272" xr:uid="{11252459-A244-42CC-9E10-97CDAE5E599C}"/>
    <cellStyle name="_Purple_1SALPEN_PenRates_NMEX Financial Review Oct" xfId="3273" xr:uid="{82770595-08A4-479A-93A2-0BEE952F2DBA}"/>
    <cellStyle name="_Purple_1SALPEN_PenRates_NMEX Financial Review Oct 2" xfId="3274" xr:uid="{9210CC23-5CD7-40EF-9432-011F4A60F3AA}"/>
    <cellStyle name="_Purple_1SALPEN_PenRates_NMEX Financial Review Sep" xfId="3275" xr:uid="{455D93E6-A3F6-40FD-80B3-34EBCFD2411A}"/>
    <cellStyle name="_Purple_1SALPEN_PenRates_NMEX Financial Review Sep 2" xfId="3276" xr:uid="{CFF98872-7A16-4A71-994F-F1278C748D97}"/>
    <cellStyle name="_Purple_1SALPEN_PenRates_NMEX_Variance Analysis_Aug___" xfId="3277" xr:uid="{4D5E3973-AF05-459A-9790-D2BFEE5CD542}"/>
    <cellStyle name="_Purple_1SALPEN_PenRates_NMEX_Variance Analysis_Aug___ 2" xfId="3278" xr:uid="{240255D1-FC52-48BA-994A-EE04D8C450BC}"/>
    <cellStyle name="_Purple_1SALPEN_PenRates_NML $524M Walk_NMEX - BP09 R#2b back up Final (Jan 27)26 " xfId="3279" xr:uid="{A3C01C41-5ACB-42E4-8AAB-EA99037FEEFF}"/>
    <cellStyle name="_Purple_1SALPEN_PenRates_NRFM NML Video v2" xfId="3280" xr:uid="{72910B3B-1259-4829-AF2D-B63938C38B65}"/>
    <cellStyle name="_Purple_1SALPEN_PenRates_NRFM NML Video v2 2" xfId="3281" xr:uid="{75C0A51C-5935-4FE4-9715-0776AE7E7DA8}"/>
    <cellStyle name="_Purple_1SALPEN_PenRates_Oct 20" xfId="3282" xr:uid="{45EE0461-D4CD-460F-A801-313CEA31C2B3}"/>
    <cellStyle name="_Purple_1SALPEN_PenRates_Oct 29" xfId="3283" xr:uid="{882A3C3F-6365-4FA7-8710-379E9B090E3E}"/>
    <cellStyle name="_Purple_1SALPEN_PenRates_Variance Walk for NNA FY08 Reply 2" xfId="3284" xr:uid="{30239F30-D072-47C6-853B-F6FAA51AC054}"/>
    <cellStyle name="_Purple_1SALPEN_PenRates_Variance Walk for NNA FY08 Reply 2 2" xfId="3285" xr:uid="{D86C566C-D5CC-4713-BDE1-000A6F30F588}"/>
    <cellStyle name="_Purple_1SALPEN_PenRates_Variance Walk for NNA FY08 Reply 2_2x10 database" xfId="3286" xr:uid="{6A1B4C0E-FE4E-482E-860B-5F67A4E333E7}"/>
    <cellStyle name="_Purple_1SALPEN_PenRates_Volume Variance" xfId="3287" xr:uid="{443EEED3-DB71-4EA8-A8E7-07DFE6011F1A}"/>
    <cellStyle name="_Purple_1SALPEN_PenRates_Volume Variance 2" xfId="3288" xr:uid="{B079D798-DF50-4422-96EC-103FC21CB215}"/>
    <cellStyle name="_Purple_1SALPEN_PenRates_Volume Variance_2010 Reply 3 PXP Report v2 0 DISTv2 (2)" xfId="3289" xr:uid="{B912BB31-7ADD-4693-9388-1B871717937A}"/>
    <cellStyle name="_Purple_1SALPEN_PenRates_Volume Variance_NMEX - Fcst #2 (5+7) Financial analysis" xfId="3290" xr:uid="{60221850-5A08-4338-B503-C18524405421}"/>
    <cellStyle name="_Purple_1SALPEN_PenRates_Volume Variance_NMEX Financial Review Aug,05" xfId="3291" xr:uid="{4F97C49D-A2E3-4A8B-AEB7-325D30150AC4}"/>
    <cellStyle name="_Purple_1SALPEN_PenRates_Volume Variance_NMEX Financial Review Aug,05 2" xfId="3292" xr:uid="{4B2C799A-D9A5-433E-AEE9-6EDFE5747634}"/>
    <cellStyle name="_Purple_1SALPEN_PenRates_Volume Variance_NMEX Financial Review Oct" xfId="3293" xr:uid="{F7E21512-690E-4769-AC3B-38B61E824F15}"/>
    <cellStyle name="_Purple_1SALPEN_PenRates_Volume Variance_NMEX Financial Review Oct 2" xfId="3294" xr:uid="{612448A4-6F17-4BB2-AB97-01AC766A69D0}"/>
    <cellStyle name="_Purple_1SALPEN_PenRates_Volume Variance_NMEX Financial Review Sep" xfId="3295" xr:uid="{C4B053B1-B0FB-4B93-86C9-658E9703F78E}"/>
    <cellStyle name="_Purple_1SALPEN_PenRates_Volume Variance_NMEX Financial Review Sep 2" xfId="3296" xr:uid="{CC9A068D-B30E-4DAB-A1F3-4134521913B4}"/>
    <cellStyle name="_Purple_1SALPEN_PenRates_Volume Variance_NMEX_Variance Analysis_Aug___" xfId="3297" xr:uid="{95AC0C3D-7446-437A-8853-CA22FF46627C}"/>
    <cellStyle name="_Purple_1SALPEN_PenRates_Volume Variance_NMEX_Variance Analysis_Aug___ 2" xfId="3298" xr:uid="{478F50CF-0E78-4B87-B631-4BB05B697C4B}"/>
    <cellStyle name="_Purple_1SALPEN_PenRates_Volume Variance_NRFM NML Video v2" xfId="3299" xr:uid="{1C0579F2-B81E-40ED-B1F4-21BF11B417AB}"/>
    <cellStyle name="_Purple_1SALPEN_PenRates_Volume Variance_NRFM NML Video v2 2" xfId="3300" xr:uid="{5A892630-0E59-476E-8F75-2E2E59DB5871}"/>
    <cellStyle name="_Purple_1SALPEN_retail" xfId="3301" xr:uid="{3A371B3E-E0E6-4FE8-9CA6-E3E03C996FF3}"/>
    <cellStyle name="_Purple_1SALPEN_retail 2" xfId="3302" xr:uid="{5C4BC8CF-BBB9-4A56-BB9A-409C3BDB9314}"/>
    <cellStyle name="_Purple_1SALPEN_retail_08 Reply#2Update Deck" xfId="3303" xr:uid="{24D4AE14-BF43-45FA-BBA1-0B6E325C0EB2}"/>
    <cellStyle name="_Purple_1SALPEN_retail_08 Reply#2Update Deck 2" xfId="3304" xr:uid="{3F6FC8EB-FCAE-42BD-B53A-CAEC930DD6CC}"/>
    <cellStyle name="_Purple_1SALPEN_retail_08 Reply#2Update Deck_2010 Reply 3 PXP Report v2 0 DISTv2 (2)" xfId="3305" xr:uid="{08D93832-6EAD-4A60-9939-0FEF3B8F745E}"/>
    <cellStyle name="_Purple_1SALPEN_retail_08 Reply#2Update Deck_2x10 database" xfId="3306" xr:uid="{1642F1A1-3BA6-42F5-994F-EB5D8C9D1E0D}"/>
    <cellStyle name="_Purple_1SALPEN_retail_08 Reply#2Update Deck_Book2" xfId="3307" xr:uid="{359D3129-985C-422F-93E8-40E3DC492654}"/>
    <cellStyle name="_Purple_1SALPEN_retail_08 Reply#2Update Deck_Book2 2" xfId="3308" xr:uid="{0797E041-74C4-4D0C-AF75-29D3E00450A4}"/>
    <cellStyle name="_Purple_1SALPEN_retail_08 Reply#2Update Deck_NI_Forecast_020110" xfId="3309" xr:uid="{BB554560-C5EA-4A7A-B1A1-5A1613B8ED48}"/>
    <cellStyle name="_Purple_1SALPEN_retail_08 Reply#2Update Deck_NI_Forecast_112409" xfId="3310" xr:uid="{973FF6CA-3E91-4E0D-8495-3C43A5BEB974}"/>
    <cellStyle name="_Purple_1SALPEN_retail_08 Reply#2Update Deck_NI_Forecast_112409_2010 Reply3b PXP Report v2 0 DISTv1" xfId="3311" xr:uid="{F29BA230-0C6B-4CC2-B3D1-DA2C3DD27AA8}"/>
    <cellStyle name="_Purple_1SALPEN_retail_08 Reply#2Update Deck_NI_Forecast_FY10_120110" xfId="3312" xr:uid="{25E45470-391C-4C34-89D3-92BA02CBE63E}"/>
    <cellStyle name="_Purple_1SALPEN_retail_08 Reply#2Update Deck_NMEX - BP09 R#2b back up Final (Jan 27)26 " xfId="3313" xr:uid="{0B89E9F8-3C00-4050-B663-089A22236A99}"/>
    <cellStyle name="_Purple_1SALPEN_retail_08 Reply#2Update Deck_NMEX -BP09 R#2b " xfId="3314" xr:uid="{A66771F7-90BE-425F-9C08-3B7D40DFB997}"/>
    <cellStyle name="_Purple_1SALPEN_retail_08 Reply#2Update Deck_NMEX Financial Review Oct" xfId="3315" xr:uid="{27209FAC-D421-4FAC-916E-55BB50952CEB}"/>
    <cellStyle name="_Purple_1SALPEN_retail_08 Reply#2Update Deck_NMEX Financial Review Oct 2" xfId="3316" xr:uid="{A5743D60-A8C5-4F70-BEA1-BBFE0698D71D}"/>
    <cellStyle name="_Purple_1SALPEN_retail_08 Reply#2Update Deck_NMEX Financial Review Sep" xfId="3317" xr:uid="{439AEC45-7B9D-4477-A3EA-20C065F6DB5B}"/>
    <cellStyle name="_Purple_1SALPEN_retail_08 Reply#2Update Deck_NMEX Financial Review Sep 2" xfId="3318" xr:uid="{90F519DD-4CDF-4E97-8C84-3FB0AD4C2120}"/>
    <cellStyle name="_Purple_1SALPEN_retail_08 Reply#2Update Deck_NRFM NML Video v2" xfId="3319" xr:uid="{F732BC93-04A0-4105-8F39-7B82003CA09B}"/>
    <cellStyle name="_Purple_1SALPEN_retail_08 Reply#2Update Deck_NRFM NML Video v2 2" xfId="3320" xr:uid="{0954A86B-C77E-4BED-87C6-194366E7564B}"/>
    <cellStyle name="_Purple_1SALPEN_retail_08 Reply#2Update Deck_NRFM NML Video v2_2x10 database" xfId="3321" xr:uid="{8C8C2B66-40D2-4705-9FE6-54C2BD5109BF}"/>
    <cellStyle name="_Purple_1SALPEN_retail_08 Reply#2Update Deck_Tax Expense FY10 7x5 to FPA 113010" xfId="3322" xr:uid="{BBECC0A1-F305-46A4-BC25-8028C2E0BE6A}"/>
    <cellStyle name="_Purple_1SALPEN_retail_08 Reply#2Update Deck_video deck" xfId="3323" xr:uid="{2377DD34-A025-4EC2-8A2C-BE51E38E4184}"/>
    <cellStyle name="_Purple_1SALPEN_retail_08 Reply#2Update Deck_video deck 2" xfId="3324" xr:uid="{EA39A9FC-715B-4898-A159-1E2A37C2D0E7}"/>
    <cellStyle name="_Purple_1SALPEN_retail_2010 Reply 3 PXP Report v2 0 DISTv2 (2)" xfId="3325" xr:uid="{AEB34DA0-3162-409B-92AF-5B2155F4F47C}"/>
    <cellStyle name="_Purple_1SALPEN_retail_Book2" xfId="3326" xr:uid="{870F5393-38FF-4192-8FC1-EED1866089F6}"/>
    <cellStyle name="_Purple_1SALPEN_retail_Book2_NMEX - Fcst #2 (5+7) Financial analysis" xfId="3327" xr:uid="{78FE4FB7-CCDC-4E15-8ECD-FB4BCA3E2B51}"/>
    <cellStyle name="_Purple_1SALPEN_retail_Consol P&amp;L Full YR Reply 1" xfId="3328" xr:uid="{52782C60-0376-4097-81FE-973248CE64BF}"/>
    <cellStyle name="_Purple_1SALPEN_retail_Consol P&amp;L Full YR Reply 1 2" xfId="3329" xr:uid="{E0D97918-2ACC-4E2D-B204-B1540DBB5085}"/>
    <cellStyle name="_Purple_1SALPEN_retail_Division Walk Template" xfId="3330" xr:uid="{8C788D91-2129-4BC0-9866-0AC332BE382F}"/>
    <cellStyle name="_Purple_1SALPEN_retail_Division Walk Template 2" xfId="3331" xr:uid="{D5AF350C-BB85-479F-956A-A88E44652A89}"/>
    <cellStyle name="_Purple_1SALPEN_retail_Feb_NML_Video 2" xfId="3332" xr:uid="{AA042C27-0CB6-499A-B48B-4E9C77141CDF}"/>
    <cellStyle name="_Purple_1SALPEN_retail_FY09 Monthly Budget Excel Package" xfId="3333" xr:uid="{1FC76C7B-8DB7-43EE-B64A-D6258ED004B3}"/>
    <cellStyle name="_Purple_1SALPEN_retail_FY09 Official Fcst 9x3" xfId="3334" xr:uid="{01DCE71D-B779-40BD-BE32-78E22C7E46B9}"/>
    <cellStyle name="_Purple_1SALPEN_retail_FY11 M4 A&amp;O Big 3 Report" xfId="3335" xr:uid="{848CD664-6826-44CF-BA54-2E8142AB858B}"/>
    <cellStyle name="_Purple_1SALPEN_retail_FY11 M4 A&amp;O Big 3 Report 2" xfId="3336" xr:uid="{E328B580-EB9A-4D11-9849-08A0343D4B84}"/>
    <cellStyle name="_Purple_1SALPEN_retail_Infiniti" xfId="3337" xr:uid="{FA1AFE39-C70E-480B-9988-77B0BD50A0D1}"/>
    <cellStyle name="_Purple_1SALPEN_retail_MC-A Management Commitment Detail Calculation (3)" xfId="3338" xr:uid="{D74A4E1C-8938-4622-AEF9-197695359963}"/>
    <cellStyle name="_Purple_1SALPEN_retail_MC-A Management Commitment Detail Calculation (3) 2" xfId="3339" xr:uid="{53AFE0AC-AB21-4D7F-AE69-821D7AFC83B7}"/>
    <cellStyle name="_Purple_1SALPEN_retail_MC-A Management Commitment Detail Calculation (3)_2x10 database" xfId="3340" xr:uid="{DFC3AE20-D656-4137-8206-B17C791C21F5}"/>
    <cellStyle name="_Purple_1SALPEN_retail_MC-A Mgmt Commit_Aug" xfId="3341" xr:uid="{CE2F54A2-4774-432C-9B17-F88A2EF2F30A}"/>
    <cellStyle name="_Purple_1SALPEN_retail_MCA Template" xfId="3342" xr:uid="{94ADEC20-BC00-4E1F-8E94-2EBD928BBED8}"/>
    <cellStyle name="_Purple_1SALPEN_retail_MP FC#2 Draft v_1 (2)" xfId="3343" xr:uid="{1A705840-2A52-46C1-9BB9-61AC7067F8B2}"/>
    <cellStyle name="_Purple_1SALPEN_retail_NCI Monthly Cash Flow_7X5" xfId="3344" xr:uid="{5A68C31B-0159-47B4-8000-1440A1CFACFE}"/>
    <cellStyle name="_Purple_1SALPEN_retail_NCI Monthly Cash Flow_9X3 final" xfId="3345" xr:uid="{07068CC0-AC0F-4666-B183-C84058527C6A}"/>
    <cellStyle name="_Purple_1SALPEN_retail_NCI Mothly Cash Flow_Jul'09-Final" xfId="3346" xr:uid="{F6A3BE1A-3774-4FBA-8DAA-A3399F476B0C}"/>
    <cellStyle name="_Purple_1SALPEN_retail_NCI Mothly Cash Flow_Jun'09" xfId="3347" xr:uid="{8C8E82D2-7F0E-4B74-A4BD-AAE68E398C7F}"/>
    <cellStyle name="_Purple_1SALPEN_retail_NMEX - Back up StepchartIFRS_Reerencia (2)_NMEX BP09 R#2 Summary of KPI_NMEX -BP09 R#2b v-1 " xfId="3348" xr:uid="{F4C689EE-78DF-4FE3-9749-6F6131B15AB9}"/>
    <cellStyle name="_Purple_1SALPEN_retail_NMEX Financial Review Aug,05" xfId="3349" xr:uid="{AB27CAC7-1A7F-4007-98FF-4A008257C424}"/>
    <cellStyle name="_Purple_1SALPEN_retail_NMEX Financial Review Aug,05 2" xfId="3350" xr:uid="{184DB2F3-FEE2-42B2-9DCD-1B4CBA211F5C}"/>
    <cellStyle name="_Purple_1SALPEN_retail_NMEX Financial Review Oct" xfId="3351" xr:uid="{49BCF386-5851-4C94-B214-15BA75E125C3}"/>
    <cellStyle name="_Purple_1SALPEN_retail_NMEX Financial Review Oct 2" xfId="3352" xr:uid="{156455A0-4560-4E18-B47E-EDB59354804A}"/>
    <cellStyle name="_Purple_1SALPEN_retail_NMEX Financial Review Sep" xfId="3353" xr:uid="{7690617B-F329-4CFE-8A13-B55CAD0A646B}"/>
    <cellStyle name="_Purple_1SALPEN_retail_NMEX Financial Review Sep 2" xfId="3354" xr:uid="{29895212-F83A-4808-9EDB-19BCF4393A10}"/>
    <cellStyle name="_Purple_1SALPEN_retail_NMEX_Variance Analysis_Aug___" xfId="3355" xr:uid="{F7462E1B-7234-48BD-8539-9A1EE1C2911D}"/>
    <cellStyle name="_Purple_1SALPEN_retail_NMEX_Variance Analysis_Aug___ 2" xfId="3356" xr:uid="{6E9F3030-64E7-402D-AADD-E47E2FD7E331}"/>
    <cellStyle name="_Purple_1SALPEN_retail_NML $524M Walk_NMEX - BP09 R#2b back up Final (Jan 27)26 " xfId="3357" xr:uid="{73091C4B-A4BA-40EC-B2A0-076FA9788C92}"/>
    <cellStyle name="_Purple_1SALPEN_retail_NRFM NML Video v2" xfId="3358" xr:uid="{9000EC4F-3AC5-4919-85C4-BA5E0B1E68F1}"/>
    <cellStyle name="_Purple_1SALPEN_retail_NRFM NML Video v2 2" xfId="3359" xr:uid="{A089537A-BE36-432F-88D8-A431CC817A9D}"/>
    <cellStyle name="_Purple_1SALPEN_retail_Oct 20" xfId="3360" xr:uid="{2D8873FE-1061-47B6-AB1E-BCBDD4563CF8}"/>
    <cellStyle name="_Purple_1SALPEN_retail_Oct 29" xfId="3361" xr:uid="{4DE25289-074F-40E0-97C4-501866EC2B53}"/>
    <cellStyle name="_Purple_1SALPEN_retail_Variance Walk for NNA FY08 Reply 2" xfId="3362" xr:uid="{AA43A957-B139-4E7F-9F2F-27637A850F75}"/>
    <cellStyle name="_Purple_1SALPEN_retail_Variance Walk for NNA FY08 Reply 2 2" xfId="3363" xr:uid="{51FCF904-9763-4ED4-A84C-41800AA6FF17}"/>
    <cellStyle name="_Purple_1SALPEN_retail_Variance Walk for NNA FY08 Reply 2_2x10 database" xfId="3364" xr:uid="{0E10BDA1-40CE-4ADC-82C0-C956C0B51BC8}"/>
    <cellStyle name="_Purple_1SALPEN_retail_Volume Variance" xfId="3365" xr:uid="{78098A98-03FD-4954-A5C6-248979A887B3}"/>
    <cellStyle name="_Purple_1SALPEN_retail_Volume Variance 2" xfId="3366" xr:uid="{3AA701C9-C22B-4301-9550-BF4E63913870}"/>
    <cellStyle name="_Purple_1SALPEN_retail_Volume Variance_2010 Reply 3 PXP Report v2 0 DISTv2 (2)" xfId="3367" xr:uid="{B8E6A431-F164-4AA0-B8FA-B6868FE3CAF7}"/>
    <cellStyle name="_Purple_1SALPEN_retail_Volume Variance_NMEX - Fcst #2 (5+7) Financial analysis" xfId="3368" xr:uid="{B4B34B5B-B8A9-4130-9136-83F2DA3B424F}"/>
    <cellStyle name="_Purple_1SALPEN_retail_Volume Variance_NMEX Financial Review Aug,05" xfId="3369" xr:uid="{6F18B3A3-92A1-41D3-A147-DC2DB0524481}"/>
    <cellStyle name="_Purple_1SALPEN_retail_Volume Variance_NMEX Financial Review Aug,05 2" xfId="3370" xr:uid="{8B0FEAC5-85FE-4D6B-9B55-CFDB51A49FE9}"/>
    <cellStyle name="_Purple_1SALPEN_retail_Volume Variance_NMEX Financial Review Oct" xfId="3371" xr:uid="{9868679A-B57E-40C7-81DD-FA03F0D70E0A}"/>
    <cellStyle name="_Purple_1SALPEN_retail_Volume Variance_NMEX Financial Review Oct 2" xfId="3372" xr:uid="{FEA2CEC2-037A-48D7-8243-0339C93DC5C2}"/>
    <cellStyle name="_Purple_1SALPEN_retail_Volume Variance_NMEX Financial Review Sep" xfId="3373" xr:uid="{98C4BC9F-B8A9-414E-B8B0-86AEC87D0137}"/>
    <cellStyle name="_Purple_1SALPEN_retail_Volume Variance_NMEX Financial Review Sep 2" xfId="3374" xr:uid="{26587F61-9F63-408E-B6F1-852FF92BD1AE}"/>
    <cellStyle name="_Purple_1SALPEN_retail_Volume Variance_NMEX_Variance Analysis_Aug___" xfId="3375" xr:uid="{015DDB7D-335D-4A51-8105-C0DD1EA57FC3}"/>
    <cellStyle name="_Purple_1SALPEN_retail_Volume Variance_NMEX_Variance Analysis_Aug___ 2" xfId="3376" xr:uid="{B6CDC38B-F367-4431-95A0-C0AB2366A2B1}"/>
    <cellStyle name="_Purple_1SALPEN_retail_Volume Variance_NRFM NML Video v2" xfId="3377" xr:uid="{97676E01-6547-4A0B-8C24-F769859381FC}"/>
    <cellStyle name="_Purple_1SALPEN_retail_Volume Variance_NRFM NML Video v2 2" xfId="3378" xr:uid="{23EB8B22-11D2-4AB2-876B-6AD8951C69D6}"/>
    <cellStyle name="_Purple_1SALPEN_Variance Walk for NNA FY08 Reply 2" xfId="3379" xr:uid="{E10BC014-BDE3-4AD5-9F92-A42B6F1625E2}"/>
    <cellStyle name="_Purple_1SALPEN_Variance Walk for NNA FY08 Reply 2 2" xfId="3380" xr:uid="{15B6C568-10F7-4E03-B6DF-3AFEC58A2615}"/>
    <cellStyle name="_Purple_1SALPEN_Variance Walk for NNA FY08 Reply 2_2x10 database" xfId="3381" xr:uid="{E59606D5-31AE-475C-BB66-C5FDA76B5D22}"/>
    <cellStyle name="_Purple_1SALPEN_Volume Variance" xfId="3382" xr:uid="{2DFE1798-4DDB-4B92-AE59-1E9D6AB6F88B}"/>
    <cellStyle name="_Purple_1SALPEN_Volume Variance 2" xfId="3383" xr:uid="{24D37FE5-FF02-428A-8BAB-BB7ABC5556D8}"/>
    <cellStyle name="_Purple_1SALPEN_Volume Variance_2010 Reply 3 PXP Report v2 0 DISTv2 (2)" xfId="3384" xr:uid="{1AD038C7-66AC-4E20-93B7-0DF211FDEED2}"/>
    <cellStyle name="_Purple_1SALPEN_Volume Variance_NMEX - Fcst #2 (5+7) Financial analysis" xfId="3385" xr:uid="{0E060C1E-1951-4CE2-8FCF-BF1D2D9C50ED}"/>
    <cellStyle name="_Purple_1SALPEN_Volume Variance_NMEX Financial Review Aug,05" xfId="3386" xr:uid="{A72B4BD8-CA15-4CDD-BB29-C48F458CD289}"/>
    <cellStyle name="_Purple_1SALPEN_Volume Variance_NMEX Financial Review Aug,05 2" xfId="3387" xr:uid="{6D836CD2-8D86-4678-81BF-78F0C0C35660}"/>
    <cellStyle name="_Purple_1SALPEN_Volume Variance_NMEX Financial Review Oct" xfId="3388" xr:uid="{14B5ACE4-BBB1-4E43-9C68-CFBF80D815B9}"/>
    <cellStyle name="_Purple_1SALPEN_Volume Variance_NMEX Financial Review Oct 2" xfId="3389" xr:uid="{5D7AD3FF-5B32-4BA2-B0A8-F105629E067D}"/>
    <cellStyle name="_Purple_1SALPEN_Volume Variance_NMEX Financial Review Sep" xfId="3390" xr:uid="{0DEB3B09-E620-459B-ABB6-1D8EEE96DC8F}"/>
    <cellStyle name="_Purple_1SALPEN_Volume Variance_NMEX Financial Review Sep 2" xfId="3391" xr:uid="{65CADE81-64C7-4F7C-8FB2-779F36D674D1}"/>
    <cellStyle name="_Purple_1SALPEN_Volume Variance_NMEX_Variance Analysis_Aug___" xfId="3392" xr:uid="{285148C0-C7E6-4CEF-87F9-D99293322A9D}"/>
    <cellStyle name="_Purple_1SALPEN_Volume Variance_NMEX_Variance Analysis_Aug___ 2" xfId="3393" xr:uid="{7EAC48D9-C485-4FBE-9B65-53E8572F244F}"/>
    <cellStyle name="_Purple_1SALPEN_Volume Variance_NRFM NML Video v2" xfId="3394" xr:uid="{3FB424E7-42F7-4BFC-B229-527ED7259D25}"/>
    <cellStyle name="_Purple_1SALPEN_Volume Variance_NRFM NML Video v2 2" xfId="3395" xr:uid="{044E904F-40D8-4CCF-A4B2-9FC581E861B1}"/>
    <cellStyle name="_Purple_809_Flash_pkg_F" xfId="3396" xr:uid="{C8EEAFC1-925C-4B1F-A84E-6E91B2C43145}"/>
    <cellStyle name="_Purple_810_Flash_pkg_F" xfId="3397" xr:uid="{0C07678A-70A8-49B1-AAD6-ADC8D7BC4895}"/>
    <cellStyle name="_Purple_Book2" xfId="3398" xr:uid="{51F5C458-00BD-4281-AC43-DA918B3EFF6D}"/>
    <cellStyle name="_Purple_Book2_NMEX - Fcst #2 (5+7) Financial analysis" xfId="3399" xr:uid="{4286239E-4A36-45AA-84D3-6B344D36C04E}"/>
    <cellStyle name="_Purple_CAP-ACT" xfId="3400" xr:uid="{71BE2872-9C56-47A4-B476-1706E7B1608B}"/>
    <cellStyle name="_Purple_CAP-ACT_08 Reply#2Update Deck" xfId="3401" xr:uid="{06A8CF17-3F72-48ED-8C3C-C54351F47656}"/>
    <cellStyle name="_Purple_CAP-ACT_08 Reply#2Update Deck 2" xfId="3402" xr:uid="{8FFE9FF8-AA32-44AA-87B6-0E258A5768F2}"/>
    <cellStyle name="_Purple_CAP-ACT_08 Reply#2Update Deck_Book2" xfId="3403" xr:uid="{4EAAA219-715D-4C07-AE68-6E20E129DB15}"/>
    <cellStyle name="_Purple_CAP-ACT_08 Reply#2Update Deck_NI_Forecast_020110" xfId="3404" xr:uid="{2B855A44-EE02-4DB1-B318-A8CDD30C02ED}"/>
    <cellStyle name="_Purple_CAP-ACT_08 Reply#2Update Deck_NI_Forecast_112409" xfId="3405" xr:uid="{E76F88BF-E488-4D46-893C-771582680385}"/>
    <cellStyle name="_Purple_CAP-ACT_08 Reply#2Update Deck_NI_Forecast_112409_2010 Reply 3 PXP Report v2 0 DISTv2 (2)" xfId="3406" xr:uid="{89615C38-1AF0-4C88-8D9B-4148C7DED615}"/>
    <cellStyle name="_Purple_CAP-ACT_08 Reply#2Update Deck_NI_Forecast_112409_2010 Reply3b PXP Report v2 0 DISTv1" xfId="3407" xr:uid="{9E225566-E7F9-4B1A-8917-25C29EBC311C}"/>
    <cellStyle name="_Purple_CAP-ACT_08 Reply#2Update Deck_NI_Forecast_FY10_120110" xfId="3408" xr:uid="{BA549377-CE59-4D2E-9255-8EC70AC4CECD}"/>
    <cellStyle name="_Purple_CAP-ACT_08 Reply#2Update Deck_NMEX - BP09 R#2b back up Final (Jan 27)26 " xfId="3409" xr:uid="{B411815E-A835-4C79-B2EE-CC781A668B3F}"/>
    <cellStyle name="_Purple_CAP-ACT_08 Reply#2Update Deck_NMEX -BP09 R#2b " xfId="3410" xr:uid="{7F5E563E-8857-4FB6-A8DE-E66B94A4C8B7}"/>
    <cellStyle name="_Purple_CAP-ACT_08 Reply#2Update Deck_NMEX Financial Review Aug,05" xfId="3411" xr:uid="{D32ADAEB-7813-4D2C-9670-8DDE69E19E00}"/>
    <cellStyle name="_Purple_CAP-ACT_08 Reply#2Update Deck_NMEX Financial Review Oct" xfId="3412" xr:uid="{01BFA04B-8FE7-47E0-939E-F8AA10A9E467}"/>
    <cellStyle name="_Purple_CAP-ACT_08 Reply#2Update Deck_NMEX Financial Review Sep" xfId="3413" xr:uid="{38AF49E5-5EE0-4B88-A51C-2AF31667B700}"/>
    <cellStyle name="_Purple_CAP-ACT_08 Reply#2Update Deck_NMEX_Variance Analysis_Aug___" xfId="3414" xr:uid="{58457F18-594F-4667-A9BB-FFD8904890DE}"/>
    <cellStyle name="_Purple_CAP-ACT_08 Reply#2Update Deck_NRFM NML Video v2" xfId="3415" xr:uid="{303BDC30-36DE-4F7F-B64D-6C477C17BC66}"/>
    <cellStyle name="_Purple_CAP-ACT_08 Reply#2Update Deck_Tax Expense FY10 7x5 to FPA 113010" xfId="3416" xr:uid="{09CAE8D2-E241-40F1-93A1-9A80F41B7509}"/>
    <cellStyle name="_Purple_CAP-ACT_08 Reply#2Update Deck_video deck" xfId="3417" xr:uid="{D9198A00-0F1D-458D-9606-CB45DBDF260C}"/>
    <cellStyle name="_Purple_CAP-ACT_2136_NCF FY11 Fcst#2 Excel PKG for Finance NML" xfId="3418" xr:uid="{165BC9E6-DCB5-493F-8175-70D7543E3252}"/>
    <cellStyle name="_Purple_CAP-ACT_2179_NMAC FY11 Fcst#2 Excel PKG for Finance" xfId="3419" xr:uid="{CAEAD84D-1597-4CD5-99B2-4723227F0C4D}"/>
    <cellStyle name="_Purple_CAP-ACT_2576_NFS_FY11 Fcst#2 Excel PKG for Finance_v2(add400M)" xfId="3420" xr:uid="{E7503B45-DF88-455D-B301-6BCC7ACC473B}"/>
    <cellStyle name="_Purple_CAP-ACT_2Q R&amp;O Walk" xfId="3421" xr:uid="{2F3C1B9F-64C3-43CE-84C0-98A9FCB68A6B}"/>
    <cellStyle name="_Purple_CAP-ACT_2Q R&amp;O Walk v2" xfId="3422" xr:uid="{088F2CC0-110C-437C-AB38-AF016CFFE244}"/>
    <cellStyle name="_Purple_CAP-ACT_3908_NLTH FY11 Fcst#2 Excel PKG for Finance" xfId="3423" xr:uid="{F7FFF1D4-63B8-48EB-A0C8-A700048B9729}"/>
    <cellStyle name="_Purple_CAP-ACT_3926_DNAF_FY11 Fcst#2 Excel PKG for Finance_ver4.0_20110928" xfId="3424" xr:uid="{A51E5B14-4165-4246-AF1C-2A025C40FCF6}"/>
    <cellStyle name="_Purple_CAP-ACT_3939_NFSA FY11 Fcst#2 Excel PKG for Finance" xfId="3425" xr:uid="{C9255630-38B9-40E0-8A7B-433A94FFFE2C}"/>
    <cellStyle name="_Purple_CAP-ACT_809_Flash_pkg_F" xfId="3426" xr:uid="{14E1D11A-7404-4A18-A41C-2D9656A63AB8}"/>
    <cellStyle name="_Purple_CAP-ACT_810_Flash_pkg_F" xfId="3427" xr:uid="{FADBF837-C2B8-4801-B37C-3AAC41EDBB4C}"/>
    <cellStyle name="_Purple_CAP-ACT_Assumptions (MTP sub#4)" xfId="3428" xr:uid="{DBF8AB03-C86C-4429-99B4-5C9E8BDC1C40}"/>
    <cellStyle name="_Purple_CAP-ACT_Assumptions (MTP sub#4)_2136_NCF FY11 Fcst#2 Excel PKG for Finance NML" xfId="3429" xr:uid="{440A9545-5A0C-4BE1-9AC7-42845255D0DC}"/>
    <cellStyle name="_Purple_CAP-ACT_Assumptions (MTP sub#4)_2179_NMAC FY11 Fcst#2 Excel PKG for Finance" xfId="3430" xr:uid="{E1701B9A-250F-4211-8F3D-18779C82A26B}"/>
    <cellStyle name="_Purple_CAP-ACT_Assumptions (MTP sub#4)_2576_NFS_FY11 Fcst#2 Excel PKG for Finance_v2(add400M)" xfId="3431" xr:uid="{75CA5057-4025-4143-85B9-2FB040974D4B}"/>
    <cellStyle name="_Purple_CAP-ACT_Assumptions (MTP sub#4)_3908_NLTH FY11 Fcst#2 Excel PKG for Finance" xfId="3432" xr:uid="{B285B1FD-F562-4591-83AA-9DFD4D818132}"/>
    <cellStyle name="_Purple_CAP-ACT_Assumptions (MTP sub#4)_3926_DNAF_FY11 Fcst#2 Excel PKG for Finance_ver4.0_20110928" xfId="3433" xr:uid="{AE9549F7-C60D-45FE-B08B-8463314F1B54}"/>
    <cellStyle name="_Purple_CAP-ACT_Assumptions (MTP sub#4)_3939_NFSA FY11 Fcst#2 Excel PKG for Finance" xfId="3434" xr:uid="{D41E00FA-72DC-4930-9479-B93BF9BDBB9E}"/>
    <cellStyle name="_Purple_CAP-ACT_Assumptions (MTP sub#4)_FY08 Retail Volume April Report 090409" xfId="3435" xr:uid="{7A2E0B7D-BBE4-4AEF-AE1E-C3B790D73F55}"/>
    <cellStyle name="_Purple_CAP-ACT_Assumptions (MTP sub#4)_FY09 CNTRL Outlook June-Latest0619-Final Retail" xfId="3436" xr:uid="{DA8F7937-278D-496D-A2D9-79AAA1729270}"/>
    <cellStyle name="_Purple_CAP-ACT_Assumptions (MTP sub#4)_FY09 Fcst #3_TIV_MS_Volume-Dec11" xfId="3437" xr:uid="{3595CAE4-EE00-43EB-95BD-947E90AC11A6}"/>
    <cellStyle name="_Purple_CAP-ACT_Assumptions (MTP sub#4)_FY09 Landing Scenarios" xfId="3438" xr:uid="{A6708666-787B-4B1E-9FB9-847E233FE9F6}"/>
    <cellStyle name="_Purple_CAP-ACT_Assumptions (MTP sub#4)_FY09 Landing Scenarios_Flash Volume Summary-PER01-rv1" xfId="3439" xr:uid="{08DA89E7-5DB5-4C11-97BE-1DBB65F14BF3}"/>
    <cellStyle name="_Purple_CAP-ACT_Assumptions (MTP sub#4)_FY09 Landing Scenarios_Flash Volume Summary-PER02" xfId="3440" xr:uid="{690B60F7-56D2-44F1-9832-92E409CABF60}"/>
    <cellStyle name="_Purple_CAP-ACT_Assumptions (MTP sub#4)_FY09 Landing Scenarios_Flash Volume Summary-PER04" xfId="3441" xr:uid="{A29367A3-8B05-444D-8957-E7FF75FB94D0}"/>
    <cellStyle name="_Purple_CAP-ACT_Assumptions (MTP sub#4)_FY09 Landing Scenarios_Flash Volume Summary-PER0自分用2" xfId="3442" xr:uid="{19A530E7-7509-4A68-927D-C6EC321E2C32}"/>
    <cellStyle name="_Purple_CAP-ACT_Assumptions (MTP sub#4)_FY09 Landing Scenarios_Flash Volume Summary-PER10" xfId="3443" xr:uid="{FAD34E4B-F214-4615-AC0C-FA00B6EB4870}"/>
    <cellStyle name="_Purple_CAP-ACT_Assumptions (MTP sub#4)_FY09 Landing Scenarios_Flash Volume Summary-PER10 for Central" xfId="3444" xr:uid="{59A4B76C-6E5B-4619-A4FC-C5AD3CFEE9BE}"/>
    <cellStyle name="_Purple_CAP-ACT_Assumptions (MTP sub#4)_FY09 Monthly Budget Excel Package" xfId="3445" xr:uid="{1BF68929-6540-428B-9912-25109B8DDA06}"/>
    <cellStyle name="_Purple_CAP-ACT_Assumptions (MTP sub#4)_FY09 Official Fcst 9x3" xfId="3446" xr:uid="{686589A9-1BBA-4916-9455-3352EFE6CD13}"/>
    <cellStyle name="_Purple_CAP-ACT_Assumptions (MTP sub#4)_FY09 Retail Volume May Report 090513" xfId="3447" xr:uid="{B428ACBF-2DF1-4745-937E-1CDC6FCFA97A}"/>
    <cellStyle name="_Purple_CAP-ACT_Assumptions (MTP sub#4)_FY09 Retail Volume May Report 090513_Flash Volume Summary-PER01-rv1" xfId="3448" xr:uid="{50FFBFC0-0F83-42ED-8655-E44F898EDDCB}"/>
    <cellStyle name="_Purple_CAP-ACT_Assumptions (MTP sub#4)_FY09 Retail Volume May Report 090513_Flash Volume Summary-PER02" xfId="3449" xr:uid="{AC4A1860-95AB-4F86-BE4B-F8FD5244D1BA}"/>
    <cellStyle name="_Purple_CAP-ACT_Assumptions (MTP sub#4)_FY09 Retail Volume May Report 090513_Flash Volume Summary-PER04" xfId="3450" xr:uid="{8D95D55A-33FB-49F2-BF14-99C80FCCB521}"/>
    <cellStyle name="_Purple_CAP-ACT_Assumptions (MTP sub#4)_FY09 Retail Volume May Report 090513_Flash Volume Summary-PER0自分用2" xfId="3451" xr:uid="{0EF28499-0C60-4BD6-A66D-059AE5C44026}"/>
    <cellStyle name="_Purple_CAP-ACT_Assumptions (MTP sub#4)_FY09 Retail Volume May Report 090513_Flash Volume Summary-PER10" xfId="3452" xr:uid="{CA9EA8A4-0AC0-41AA-856D-B6948E8E0443}"/>
    <cellStyle name="_Purple_CAP-ACT_Assumptions (MTP sub#4)_FY09 Retail Volume May Report 090513_Flash Volume Summary-PER10 for Central" xfId="3453" xr:uid="{2D3C1989-C211-43B8-9B83-F691965F2FAC}"/>
    <cellStyle name="_Purple_CAP-ACT_Assumptions (MTP sub#4)_FY09 WS Volume Report_April YTD_090527-Monthly Budget Updated" xfId="3454" xr:uid="{3BE80E38-4CB2-4D1F-B63B-B0B36DDD85CD}"/>
    <cellStyle name="_Purple_CAP-ACT_Assumptions (MTP sub#4)_FY09Q1 Outlook Volume_Jun22-2" xfId="3455" xr:uid="{FEA25760-CDDF-4C15-9D65-23D59FFC06E3}"/>
    <cellStyle name="_Purple_CAP-ACT_Assumptions (MTP sub#4)_FY09Q1 Outlook Volume_Jun24" xfId="3456" xr:uid="{3E4AD941-D0B7-4C7A-8D8F-8E6EED16CD94}"/>
    <cellStyle name="_Purple_CAP-ACT_Assumptions (MTP sub#4)_NCI Monthly Cash Flow_7X5" xfId="3457" xr:uid="{1DAE2D99-9B51-4D6E-8C8D-D5F363A98ECC}"/>
    <cellStyle name="_Purple_CAP-ACT_Assumptions (MTP sub#4)_NCI Monthly Cash Flow_9X3 final" xfId="3458" xr:uid="{2E83A048-042D-463F-B453-DA6DCC2C72FF}"/>
    <cellStyle name="_Purple_CAP-ACT_Assumptions (MTP sub#4)_NCI Mothly Cash Flow_Jul'09-Final" xfId="3459" xr:uid="{1479E6E0-413B-4FB3-B765-35B51B4188E4}"/>
    <cellStyle name="_Purple_CAP-ACT_Assumptions (MTP sub#4)_NCI Mothly Cash Flow_Jun'09" xfId="3460" xr:uid="{E4BBC41B-CA44-4988-AA39-17F0BB5D0AC4}"/>
    <cellStyle name="_Purple_CAP-ACT_Assumptions (MTP sub#4)_NMEX - Fcst #2 (5+7) Financial analysis" xfId="3461" xr:uid="{4B8E9445-FCA7-4C11-97D5-25C12787D4CE}"/>
    <cellStyle name="_Purple_CAP-ACT_Assumptions (MTP sub#4)_NRFM_FY11 Fcst#2 Excel PKG for Finance Sent" xfId="3462" xr:uid="{F1E77195-DD56-4705-9B9B-01C761119EEE}"/>
    <cellStyle name="_Purple_CAP-ACT_Book2 Chart 1" xfId="3463" xr:uid="{23371080-4F9F-466C-84F5-49A5058CD460}"/>
    <cellStyle name="_Purple_CAP-ACT_Book2 Chart 1_2136_NCF FY11 Fcst#2 Excel PKG for Finance NML" xfId="3464" xr:uid="{CBB4FB22-E850-4FB6-826D-F93DCAA6B186}"/>
    <cellStyle name="_Purple_CAP-ACT_Book2 Chart 1_2179_NMAC FY11 Fcst#2 Excel PKG for Finance" xfId="3465" xr:uid="{0CC9CA78-E58C-4159-83BF-B76EF0F77364}"/>
    <cellStyle name="_Purple_CAP-ACT_Book2 Chart 1_2576_NFS_FY11 Fcst#2 Excel PKG for Finance_v2(add400M)" xfId="3466" xr:uid="{B5A19DC3-D772-4FB6-AEEE-8104078BBB38}"/>
    <cellStyle name="_Purple_CAP-ACT_Book2 Chart 1_3908_NLTH FY11 Fcst#2 Excel PKG for Finance" xfId="3467" xr:uid="{2CBA1E89-3FE4-43DF-BE96-7F61CB082CC5}"/>
    <cellStyle name="_Purple_CAP-ACT_Book2 Chart 1_3926_DNAF_FY11 Fcst#2 Excel PKG for Finance_ver4.0_20110928" xfId="3468" xr:uid="{3F20AD43-8B66-497D-8A3C-F7D593E9E74D}"/>
    <cellStyle name="_Purple_CAP-ACT_Book2 Chart 1_3939_NFSA FY11 Fcst#2 Excel PKG for Finance" xfId="3469" xr:uid="{34BA953D-9713-4883-A504-50570A4676D4}"/>
    <cellStyle name="_Purple_CAP-ACT_Book2 Chart 1_FY08 Retail Volume April Report 090409" xfId="3470" xr:uid="{93F5B924-9925-4C86-950E-2FC5999A1C02}"/>
    <cellStyle name="_Purple_CAP-ACT_Book2 Chart 1_FY09 CNTRL Outlook June-Latest0619-Final Retail" xfId="3471" xr:uid="{B64DA349-FD61-44EE-B28F-46BA7C7D3645}"/>
    <cellStyle name="_Purple_CAP-ACT_Book2 Chart 1_FY09 Fcst #3_TIV_MS_Volume-Dec11" xfId="3472" xr:uid="{7F95A540-DA78-4088-B190-4A33B7490F26}"/>
    <cellStyle name="_Purple_CAP-ACT_Book2 Chart 1_FY09 Landing Scenarios" xfId="3473" xr:uid="{07588CA2-CC8C-4B3C-A215-4AF383536496}"/>
    <cellStyle name="_Purple_CAP-ACT_Book2 Chart 1_FY09 Landing Scenarios_Flash Volume Summary-PER01-rv1" xfId="3474" xr:uid="{4101CC1E-9CCD-4005-8BB2-A28EDAD7F0E5}"/>
    <cellStyle name="_Purple_CAP-ACT_Book2 Chart 1_FY09 Landing Scenarios_Flash Volume Summary-PER02" xfId="3475" xr:uid="{9BC8D862-DCB1-420A-A3AC-EFEF37965F77}"/>
    <cellStyle name="_Purple_CAP-ACT_Book2 Chart 1_FY09 Landing Scenarios_Flash Volume Summary-PER04" xfId="3476" xr:uid="{29EC824A-A540-4BE5-9EF0-5DC5EB3EB1EA}"/>
    <cellStyle name="_Purple_CAP-ACT_Book2 Chart 1_FY09 Landing Scenarios_Flash Volume Summary-PER0自分用2" xfId="3477" xr:uid="{1728CDDF-FDEE-44A5-8B86-AAFED928DEFA}"/>
    <cellStyle name="_Purple_CAP-ACT_Book2 Chart 1_FY09 Landing Scenarios_Flash Volume Summary-PER10" xfId="3478" xr:uid="{DE28FAFF-06AF-451F-B01C-830AA178D8B7}"/>
    <cellStyle name="_Purple_CAP-ACT_Book2 Chart 1_FY09 Landing Scenarios_Flash Volume Summary-PER10 for Central" xfId="3479" xr:uid="{E7ED6938-D29B-46B5-A7AD-65549FBD0E17}"/>
    <cellStyle name="_Purple_CAP-ACT_Book2 Chart 1_FY09 Monthly Budget Excel Package" xfId="3480" xr:uid="{088B36D2-5092-4283-ACBA-21B382657B5B}"/>
    <cellStyle name="_Purple_CAP-ACT_Book2 Chart 1_FY09 Official Fcst 9x3" xfId="3481" xr:uid="{FEE64329-E654-4E37-91D0-E859DD518EB6}"/>
    <cellStyle name="_Purple_CAP-ACT_Book2 Chart 1_FY09 Retail Volume May Report 090513" xfId="3482" xr:uid="{ADE80C97-499D-43DF-BFF0-0898F68E03DC}"/>
    <cellStyle name="_Purple_CAP-ACT_Book2 Chart 1_FY09 Retail Volume May Report 090513_Flash Volume Summary-PER01-rv1" xfId="3483" xr:uid="{D96B7E79-2DDB-4BCC-AA75-2DB23BC1364B}"/>
    <cellStyle name="_Purple_CAP-ACT_Book2 Chart 1_FY09 Retail Volume May Report 090513_Flash Volume Summary-PER02" xfId="3484" xr:uid="{B3226D7E-EF91-4E0B-9FCC-8739D3E8021D}"/>
    <cellStyle name="_Purple_CAP-ACT_Book2 Chart 1_FY09 Retail Volume May Report 090513_Flash Volume Summary-PER04" xfId="3485" xr:uid="{93C0C174-8D4C-49D6-90EA-688D43872E1E}"/>
    <cellStyle name="_Purple_CAP-ACT_Book2 Chart 1_FY09 Retail Volume May Report 090513_Flash Volume Summary-PER0自分用2" xfId="3486" xr:uid="{6B88083E-5F22-44EF-9040-9A0D52B67266}"/>
    <cellStyle name="_Purple_CAP-ACT_Book2 Chart 1_FY09 Retail Volume May Report 090513_Flash Volume Summary-PER10" xfId="3487" xr:uid="{05BEDC1D-7810-4591-8ECA-9E04003D922D}"/>
    <cellStyle name="_Purple_CAP-ACT_Book2 Chart 1_FY09 Retail Volume May Report 090513_Flash Volume Summary-PER10 for Central" xfId="3488" xr:uid="{7A4B7836-B708-4EFB-8437-D9F16F29E8D4}"/>
    <cellStyle name="_Purple_CAP-ACT_Book2 Chart 1_FY09 WS Volume Report_April YTD_090527-Monthly Budget Updated" xfId="3489" xr:uid="{E58C0B07-09B3-42F9-A248-1826B2AC39F9}"/>
    <cellStyle name="_Purple_CAP-ACT_Book2 Chart 1_FY09Q1 Outlook Volume_Jun22-2" xfId="3490" xr:uid="{5E786074-70EB-425B-8BCD-71D5FDA3A86F}"/>
    <cellStyle name="_Purple_CAP-ACT_Book2 Chart 1_FY09Q1 Outlook Volume_Jun24" xfId="3491" xr:uid="{FCAB951F-C27A-43E4-8520-4A6729A6AA50}"/>
    <cellStyle name="_Purple_CAP-ACT_Book2 Chart 1_NCI Monthly Cash Flow_7X5" xfId="3492" xr:uid="{9B8AEEF5-4E44-4635-B0DD-D82276DD0F44}"/>
    <cellStyle name="_Purple_CAP-ACT_Book2 Chart 1_NCI Monthly Cash Flow_9X3 final" xfId="3493" xr:uid="{5F167CEE-0D44-4BF3-9755-2F09325FF382}"/>
    <cellStyle name="_Purple_CAP-ACT_Book2 Chart 1_NCI Mothly Cash Flow_Jul'09-Final" xfId="3494" xr:uid="{DBE8D232-C30E-4BA9-8C12-918904A73F19}"/>
    <cellStyle name="_Purple_CAP-ACT_Book2 Chart 1_NCI Mothly Cash Flow_Jun'09" xfId="3495" xr:uid="{D762B82C-9DA5-4E27-8CD3-A0394E105459}"/>
    <cellStyle name="_Purple_CAP-ACT_Book2 Chart 1_NMEX - Fcst #2 (5+7) Financial analysis" xfId="3496" xr:uid="{04D2C7D0-0650-463A-B2EF-FD556AC222D8}"/>
    <cellStyle name="_Purple_CAP-ACT_Book2 Chart 1_NRFM_FY11 Fcst#2 Excel PKG for Finance Sent" xfId="3497" xr:uid="{A8DBADB5-2763-4113-992E-A24813C979AD}"/>
    <cellStyle name="_Purple_CAP-ACT_BP09 R#1 Oct 16 (1st Draft) (2) (2)" xfId="3498" xr:uid="{E1B04628-629C-4550-BADC-7F19BE9C1509}"/>
    <cellStyle name="_Purple_CAP-ACT_BP09 R#1 Oct 16 (1st Draft) (2) (2)_NMEX BP09 R#2 Summary of KPI_NMEX -BP09 R#2b v-1 " xfId="3499" xr:uid="{DCDAB62C-7419-4678-B7FC-F6FC62C58F1F}"/>
    <cellStyle name="_Purple_CAP-ACT_Division Std Templates" xfId="3500" xr:uid="{3A1A3AE8-3BC9-4E16-8FD6-FB852F2056A3}"/>
    <cellStyle name="_Purple_CAP-ACT_Division Std Templates_NI_Forecast_020110" xfId="3501" xr:uid="{44B09DE4-2206-4122-A398-3F7366C2CFD5}"/>
    <cellStyle name="_Purple_CAP-ACT_Division Std Templates_NI_Forecast_112409" xfId="3502" xr:uid="{4F4B067A-06CE-4A5B-8F2A-442178C79F5F}"/>
    <cellStyle name="_Purple_CAP-ACT_Division Std Templates_NI_Forecast_112409_2010 Reply 3 PXP Report v2 0 DISTv2 (2)" xfId="3503" xr:uid="{A02B592E-11C8-41AB-8675-8D98D89FD3C5}"/>
    <cellStyle name="_Purple_CAP-ACT_Division Std Templates_NI_Forecast_112409_2010 Reply3b PXP Report v2 0 DISTv1" xfId="3504" xr:uid="{83ABAA37-23DF-477A-92AE-B6A22B6909C7}"/>
    <cellStyle name="_Purple_CAP-ACT_Division Std Templates_NI_Forecast_FY10_120110" xfId="3505" xr:uid="{704F0F42-49BC-4970-B412-E51E93CDCDF2}"/>
    <cellStyle name="_Purple_CAP-ACT_Division Std Templates_NMEX - BP09 R#2b back up Final (Jan 27)26 " xfId="3506" xr:uid="{3C32850A-86DC-4A3E-A987-279505677BAC}"/>
    <cellStyle name="_Purple_CAP-ACT_Division Std Templates_NMEX BP09 R#2 Summary of KPI_NMEX -BP09 R#2b v-1 " xfId="3507" xr:uid="{BFE0B47F-A257-40B2-BD22-81920A832C55}"/>
    <cellStyle name="_Purple_CAP-ACT_Division Std Templates_NMEX -BP09 R#2b " xfId="3508" xr:uid="{FF2EED49-091B-4397-84A4-095293D8A1EC}"/>
    <cellStyle name="_Purple_CAP-ACT_Division Std Templates_Oct 20_NMEX -BP09 R#2b " xfId="3509" xr:uid="{B88BDE2C-656B-4035-A443-FE1E93A3A519}"/>
    <cellStyle name="_Purple_CAP-ACT_Division Std Templates_Tax Expense FY10 7x5 to FPA 113010" xfId="3510" xr:uid="{B2B9ADB4-5B7F-45B2-90D2-ADD03AED88B1}"/>
    <cellStyle name="_Purple_CAP-ACT_Feb_NML_Video 2" xfId="3511" xr:uid="{66AD07FE-6367-42F9-9826-04EDCA63DE1C}"/>
    <cellStyle name="_Purple_CAP-ACT_FY07 Reply#2 Reply PKG_E (hard coded)" xfId="3512" xr:uid="{5BE5A62A-2EE9-4651-A963-51D15D279883}"/>
    <cellStyle name="_Purple_CAP-ACT_FY07 Reply#2 Reply PKG_E (hard coded)_NMEX - Fcst #2 (5+7) Financial analysis" xfId="3513" xr:uid="{AA7DDA76-C8F8-4556-9A37-BD9887EDCCB7}"/>
    <cellStyle name="_Purple_CAP-ACT_FY08 2x10 Commitment Sub to Consolidated" xfId="3514" xr:uid="{B311C2C1-7205-4886-9FD8-223C01B08A49}"/>
    <cellStyle name="_Purple_CAP-ACT_FY08 Reply 3 Official Fcst 4-Revised" xfId="3515" xr:uid="{FBCEBBDB-3E97-411C-A563-D24A75623890}"/>
    <cellStyle name="_Purple_CAP-ACT_FY08 Reply 3 Official Fcst 4-Revised_NCI Monthly Cash Flow_7X5" xfId="3516" xr:uid="{B42B5F73-44FF-4910-AB72-5C7B08DC09C8}"/>
    <cellStyle name="_Purple_CAP-ACT_FY08 Reply 3 Official Fcst 4-Revised_NCI Monthly Cash Flow_9X3 final" xfId="3517" xr:uid="{E6275A1A-AB9E-415D-8447-FB99FD422AEA}"/>
    <cellStyle name="_Purple_CAP-ACT_FY08 Reply 3 Official Fcst 4-Revised_NCI Mothly Cash Flow_Jul'09-Final" xfId="3518" xr:uid="{D250B57F-3DBD-472B-B652-68DC9130424A}"/>
    <cellStyle name="_Purple_CAP-ACT_FY08 Reply 3 Official Fcst 4-Revised_NCI Mothly Cash Flow_Jun'09" xfId="3519" xr:uid="{9F652A01-C75D-4C4E-AD10-5F5B6DA398BC}"/>
    <cellStyle name="_Purple_CAP-ACT_FY08 Retail Volume April Report 090409" xfId="3520" xr:uid="{975626B6-EF82-4E64-8202-27540666137D}"/>
    <cellStyle name="_Purple_CAP-ACT_FY08__NCI Bud FY08 Commitment" xfId="3521" xr:uid="{3D106F74-87DF-40BC-95C6-50C3412919A6}"/>
    <cellStyle name="_Purple_CAP-ACT_FY08__NCI Parts FY08" xfId="3522" xr:uid="{04B64786-CD6B-47C5-85A8-20E6FB5DCA7A}"/>
    <cellStyle name="_Purple_CAP-ACT_FY09 CNTRL Outlook June-Latest0619-Final Retail" xfId="3523" xr:uid="{16AE938A-2C47-48BE-80AB-B9AF504DE2C0}"/>
    <cellStyle name="_Purple_CAP-ACT_FY09 Fcst #3_TIV_MS_Volume-Dec11" xfId="3524" xr:uid="{619671DC-438C-4E8E-B02E-DCA8951EE84B}"/>
    <cellStyle name="_Purple_CAP-ACT_FY09 Landing Scenarios" xfId="3525" xr:uid="{3194C8E4-19BE-4815-9CA1-DB1770730552}"/>
    <cellStyle name="_Purple_CAP-ACT_FY09 Landing Scenarios_Flash Volume Summary-PER01-rv1" xfId="3526" xr:uid="{51AC7F01-87C6-4A8C-8B3B-F01B5B900C47}"/>
    <cellStyle name="_Purple_CAP-ACT_FY09 Landing Scenarios_Flash Volume Summary-PER02" xfId="3527" xr:uid="{82F9BEDB-22DF-498F-88EB-D9A3883762AB}"/>
    <cellStyle name="_Purple_CAP-ACT_FY09 Landing Scenarios_Flash Volume Summary-PER04" xfId="3528" xr:uid="{9D880001-ADD5-4A65-A212-F4BC05C28A3B}"/>
    <cellStyle name="_Purple_CAP-ACT_FY09 Landing Scenarios_Flash Volume Summary-PER0自分用2" xfId="3529" xr:uid="{84473FCC-4927-45F7-B08E-7CC588051906}"/>
    <cellStyle name="_Purple_CAP-ACT_FY09 Landing Scenarios_Flash Volume Summary-PER10" xfId="3530" xr:uid="{D8B0142F-7363-4EF6-8FB6-F64583333B10}"/>
    <cellStyle name="_Purple_CAP-ACT_FY09 Landing Scenarios_Flash Volume Summary-PER10 for Central" xfId="3531" xr:uid="{B7F961BA-5593-4F8A-A3FC-F9FBC22329EF}"/>
    <cellStyle name="_Purple_CAP-ACT_FY09 Retail Volume May Report 090513" xfId="3532" xr:uid="{B32D40BB-E3F2-44FD-AF35-A9CA6DA95A75}"/>
    <cellStyle name="_Purple_CAP-ACT_FY09 Retail Volume May Report 090513_Flash Volume Summary-PER01-rv1" xfId="3533" xr:uid="{7E3F04E3-F64E-4C01-9C90-F9C08E3BACA8}"/>
    <cellStyle name="_Purple_CAP-ACT_FY09 Retail Volume May Report 090513_Flash Volume Summary-PER02" xfId="3534" xr:uid="{B73B9938-19C3-4394-9700-1BB3A743080B}"/>
    <cellStyle name="_Purple_CAP-ACT_FY09 Retail Volume May Report 090513_Flash Volume Summary-PER04" xfId="3535" xr:uid="{2031E440-E4A7-4D43-A844-DC71F3ACA484}"/>
    <cellStyle name="_Purple_CAP-ACT_FY09 Retail Volume May Report 090513_Flash Volume Summary-PER0自分用2" xfId="3536" xr:uid="{EB510EDE-809A-408B-9B22-1847EB65A6C5}"/>
    <cellStyle name="_Purple_CAP-ACT_FY09 Retail Volume May Report 090513_Flash Volume Summary-PER10" xfId="3537" xr:uid="{5A360ADE-B8A0-437C-BA4C-24C7D1BA7405}"/>
    <cellStyle name="_Purple_CAP-ACT_FY09 Retail Volume May Report 090513_Flash Volume Summary-PER10 for Central" xfId="3538" xr:uid="{18211E3D-7976-4E6E-A109-8D8AC1F735F1}"/>
    <cellStyle name="_Purple_CAP-ACT_FY09 WS Volume Report_April YTD_090527-Monthly Budget Updated" xfId="3539" xr:uid="{448E821E-3A1D-40F0-8EC3-A12735546824}"/>
    <cellStyle name="_Purple_CAP-ACT_FY09Q1 Outlook Volume_Jun22-2" xfId="3540" xr:uid="{141C8C1D-8FEF-4E51-966D-6B0F5C68840E}"/>
    <cellStyle name="_Purple_CAP-ACT_FY09Q1 Outlook Volume_Jun24" xfId="3541" xr:uid="{158C5346-65A6-4B94-B24A-9D172337DCDF}"/>
    <cellStyle name="_Purple_CAP-ACT_interest ,yield assumption (07F 9x3)" xfId="3542" xr:uid="{AA5B435E-DFA7-4258-923B-DCD2D3C90CF0}"/>
    <cellStyle name="_Purple_CAP-ACT_interest ,yield assumption (08B#2) v2" xfId="3543" xr:uid="{B8F33BDB-B2F6-45EF-ABAC-B9E3E7B0B26B}"/>
    <cellStyle name="_Purple_CAP-ACT_interest, yield (04MTP#1)" xfId="3544" xr:uid="{8D323BA1-50FF-4993-9CEB-A969F7F75720}"/>
    <cellStyle name="_Purple_CAP-ACT_interest, yield (04MTP#1)_2136_NCF FY11 Fcst#2 Excel PKG for Finance NML" xfId="3545" xr:uid="{7A71A6B1-746E-4BAA-91AA-A1B5E190A336}"/>
    <cellStyle name="_Purple_CAP-ACT_interest, yield (04MTP#1)_2179_NMAC FY11 Fcst#2 Excel PKG for Finance" xfId="3546" xr:uid="{0C3838F7-B2D3-4889-BB51-E9FFC71F41ED}"/>
    <cellStyle name="_Purple_CAP-ACT_interest, yield (04MTP#1)_2576_NFS_FY11 Fcst#2 Excel PKG for Finance_v2(add400M)" xfId="3547" xr:uid="{B6014B56-29CB-412B-B1F6-74A166E07067}"/>
    <cellStyle name="_Purple_CAP-ACT_interest, yield (04MTP#1)_3908_NLTH FY11 Fcst#2 Excel PKG for Finance" xfId="3548" xr:uid="{D7B41782-D84D-4162-BE58-7DE7DFA95DE1}"/>
    <cellStyle name="_Purple_CAP-ACT_interest, yield (04MTP#1)_3926_DNAF_FY11 Fcst#2 Excel PKG for Finance_ver4.0_20110928" xfId="3549" xr:uid="{9520FF0C-DDCD-4A45-B4F4-73864BEDF23B}"/>
    <cellStyle name="_Purple_CAP-ACT_interest, yield (04MTP#1)_3939_NFSA FY11 Fcst#2 Excel PKG for Finance" xfId="3550" xr:uid="{1FF54CD4-7023-4B20-877B-259DA3A7A95D}"/>
    <cellStyle name="_Purple_CAP-ACT_interest, yield (04MTP#1)_FY08 Retail Volume April Report 090409" xfId="3551" xr:uid="{6F562FB7-E86E-421C-9313-4A595FF1C402}"/>
    <cellStyle name="_Purple_CAP-ACT_interest, yield (04MTP#1)_FY09 CNTRL Outlook June-Latest0619-Final Retail" xfId="3552" xr:uid="{B4150A46-8A44-4674-AE50-94815737CC48}"/>
    <cellStyle name="_Purple_CAP-ACT_interest, yield (04MTP#1)_FY09 Fcst #3_TIV_MS_Volume-Dec11" xfId="3553" xr:uid="{CD3F78AB-EF80-4DF9-810F-36E916514E13}"/>
    <cellStyle name="_Purple_CAP-ACT_interest, yield (04MTP#1)_FY09 Landing Scenarios" xfId="3554" xr:uid="{6B0FF753-D656-4619-B60A-6F0557352BD2}"/>
    <cellStyle name="_Purple_CAP-ACT_interest, yield (04MTP#1)_FY09 Landing Scenarios_Flash Volume Summary-PER01-rv1" xfId="3555" xr:uid="{1E0D40D6-A6E0-47C8-984A-2FD151B9926E}"/>
    <cellStyle name="_Purple_CAP-ACT_interest, yield (04MTP#1)_FY09 Landing Scenarios_Flash Volume Summary-PER02" xfId="3556" xr:uid="{F545F79C-E209-4FEB-8246-B9E21C2802BE}"/>
    <cellStyle name="_Purple_CAP-ACT_interest, yield (04MTP#1)_FY09 Landing Scenarios_Flash Volume Summary-PER04" xfId="3557" xr:uid="{DE2F9719-0BC8-4D95-8F96-85B7A7F8A6B9}"/>
    <cellStyle name="_Purple_CAP-ACT_interest, yield (04MTP#1)_FY09 Landing Scenarios_Flash Volume Summary-PER0自分用2" xfId="3558" xr:uid="{966FE622-BB7C-48A0-AF8C-89D74B10185C}"/>
    <cellStyle name="_Purple_CAP-ACT_interest, yield (04MTP#1)_FY09 Landing Scenarios_Flash Volume Summary-PER10" xfId="3559" xr:uid="{7F57E939-58D8-4EFE-93B2-4E41191A25C4}"/>
    <cellStyle name="_Purple_CAP-ACT_interest, yield (04MTP#1)_FY09 Landing Scenarios_Flash Volume Summary-PER10 for Central" xfId="3560" xr:uid="{CFCAB78E-90AE-4FD4-A859-D00C9BC17A2D}"/>
    <cellStyle name="_Purple_CAP-ACT_interest, yield (04MTP#1)_FY09 Monthly Budget Excel Package" xfId="3561" xr:uid="{F95D2087-4F73-46BC-AF1B-795BBF0F4C2F}"/>
    <cellStyle name="_Purple_CAP-ACT_interest, yield (04MTP#1)_FY09 Official Fcst 9x3" xfId="3562" xr:uid="{DD6ACC27-E8B4-4C96-A312-4DB4CF95A3E8}"/>
    <cellStyle name="_Purple_CAP-ACT_interest, yield (04MTP#1)_FY09 Retail Volume May Report 090513" xfId="3563" xr:uid="{4ED0825F-43DE-4E08-A892-1A919468ABE6}"/>
    <cellStyle name="_Purple_CAP-ACT_interest, yield (04MTP#1)_FY09 Retail Volume May Report 090513_Flash Volume Summary-PER01-rv1" xfId="3564" xr:uid="{7EF58F62-438A-4179-B458-2826AB1C4408}"/>
    <cellStyle name="_Purple_CAP-ACT_interest, yield (04MTP#1)_FY09 Retail Volume May Report 090513_Flash Volume Summary-PER02" xfId="3565" xr:uid="{07D4F757-5DED-47B1-A538-06359D20BFDC}"/>
    <cellStyle name="_Purple_CAP-ACT_interest, yield (04MTP#1)_FY09 Retail Volume May Report 090513_Flash Volume Summary-PER04" xfId="3566" xr:uid="{DAF96D71-A052-41E5-821F-EFA17381EA96}"/>
    <cellStyle name="_Purple_CAP-ACT_interest, yield (04MTP#1)_FY09 Retail Volume May Report 090513_Flash Volume Summary-PER0自分用2" xfId="3567" xr:uid="{64E45758-D084-424B-A45B-F922746F487D}"/>
    <cellStyle name="_Purple_CAP-ACT_interest, yield (04MTP#1)_FY09 Retail Volume May Report 090513_Flash Volume Summary-PER10" xfId="3568" xr:uid="{7FF7106F-9351-4561-A85A-51B4DB504A79}"/>
    <cellStyle name="_Purple_CAP-ACT_interest, yield (04MTP#1)_FY09 Retail Volume May Report 090513_Flash Volume Summary-PER10 for Central" xfId="3569" xr:uid="{E79B751A-D18D-427E-AE73-032185066C5E}"/>
    <cellStyle name="_Purple_CAP-ACT_interest, yield (04MTP#1)_FY09 WS Volume Report_April YTD_090527-Monthly Budget Updated" xfId="3570" xr:uid="{C441E684-542F-4F20-AC85-E5CA86000443}"/>
    <cellStyle name="_Purple_CAP-ACT_interest, yield (04MTP#1)_FY09Q1 Outlook Volume_Jun22-2" xfId="3571" xr:uid="{AB59F957-829F-48D4-8460-09D55491F7C4}"/>
    <cellStyle name="_Purple_CAP-ACT_interest, yield (04MTP#1)_FY09Q1 Outlook Volume_Jun24" xfId="3572" xr:uid="{8EC2E438-0029-4A0E-87EF-0B2AA25F499D}"/>
    <cellStyle name="_Purple_CAP-ACT_interest, yield (04MTP#1)_NCI Monthly Cash Flow_7X5" xfId="3573" xr:uid="{83B151AD-2B62-4CA3-A781-AB11E1A9F8E7}"/>
    <cellStyle name="_Purple_CAP-ACT_interest, yield (04MTP#1)_NCI Monthly Cash Flow_9X3 final" xfId="3574" xr:uid="{B6914175-D521-44B6-AC2A-4E220350D5C5}"/>
    <cellStyle name="_Purple_CAP-ACT_interest, yield (04MTP#1)_NCI Mothly Cash Flow_Jul'09-Final" xfId="3575" xr:uid="{4CD35811-2803-4EE9-9155-233CE9B00281}"/>
    <cellStyle name="_Purple_CAP-ACT_interest, yield (04MTP#1)_NCI Mothly Cash Flow_Jun'09" xfId="3576" xr:uid="{B0431592-A5CB-4C2C-A662-C82B47DFBAB2}"/>
    <cellStyle name="_Purple_CAP-ACT_interest, yield (04MTP#1)_NMEX - Fcst #2 (5+7) Financial analysis" xfId="3577" xr:uid="{76B9D38C-0760-462A-BDEB-A4527C410B5C}"/>
    <cellStyle name="_Purple_CAP-ACT_interest, yield (04MTP#1)_NRFM_FY11 Fcst#2 Excel PKG for Finance Sent" xfId="3578" xr:uid="{E2440665-55EE-4105-99E6-991CAE3DFBBF}"/>
    <cellStyle name="_Purple_CAP-ACT_interest, yield assumtions" xfId="3579" xr:uid="{D0E454CA-B9DF-46F8-ACBB-403CEF7CAEE7}"/>
    <cellStyle name="_Purple_CAP-ACT_interest, yield assumtions (04A,05F,06B)" xfId="3580" xr:uid="{40E69D04-E641-474B-9226-2DFE2100BE58}"/>
    <cellStyle name="_Purple_CAP-ACT_interest, yield assumtions (04A,05F,06B)_?Draft?FY07 Budget Reply PKG_Finance Company_E" xfId="3581" xr:uid="{585CF6D6-15FA-4015-93E0-8E27C5DEAB64}"/>
    <cellStyle name="_Purple_CAP-ACT_interest, yield assumtions (04A,05F,06B)_【Draft】FY07 Budget Reply PKG_Finance Company_E" xfId="3582" xr:uid="{CFF3EC63-F839-45B1-8712-CA13EA8C8955}"/>
    <cellStyle name="_Purple_CAP-ACT_interest, yield assumtions (04A,05F,06B)_【Draft】FY07 Budget Reply PKG_Finance Company_E_2136_NCF FY11 Fcst#2 Excel PKG for Finance NML" xfId="3583" xr:uid="{12B47DFC-3C82-4727-8E10-07177E97EECF}"/>
    <cellStyle name="_Purple_CAP-ACT_interest, yield assumtions (04A,05F,06B)_【Draft】FY07 Budget Reply PKG_Finance Company_E_2179_NMAC FY11 Fcst#2 Excel PKG for Finance" xfId="3584" xr:uid="{A66F673D-B0EC-430E-A1D6-5D5E4841FA46}"/>
    <cellStyle name="_Purple_CAP-ACT_interest, yield assumtions (04A,05F,06B)_【Draft】FY07 Budget Reply PKG_Finance Company_E_2576_NFS_FY11 Fcst#2 Excel PKG for Finance_v2(add400M)" xfId="3585" xr:uid="{688907A1-8903-4992-B71F-3C4F23A4B2DB}"/>
    <cellStyle name="_Purple_CAP-ACT_interest, yield assumtions (04A,05F,06B)_【Draft】FY07 Budget Reply PKG_Finance Company_E_3908_NLTH FY11 Fcst#2 Excel PKG for Finance" xfId="3586" xr:uid="{D23E9C4C-A2D5-4966-B6A9-3A42F2DF4C39}"/>
    <cellStyle name="_Purple_CAP-ACT_interest, yield assumtions (04A,05F,06B)_【Draft】FY07 Budget Reply PKG_Finance Company_E_3926_DNAF_FY11 Fcst#2 Excel PKG for Finance_ver4.0_20110928" xfId="3587" xr:uid="{CA8976D9-2623-4FAA-82C7-41363F6E2AF9}"/>
    <cellStyle name="_Purple_CAP-ACT_interest, yield assumtions (04A,05F,06B)_【Draft】FY07 Budget Reply PKG_Finance Company_E_3939_NFSA FY11 Fcst#2 Excel PKG for Finance" xfId="3588" xr:uid="{98C3C54D-1CEB-4C6E-9A56-1F222D2854C6}"/>
    <cellStyle name="_Purple_CAP-ACT_interest, yield assumtions (04A,05F,06B)_【Draft】FY07 Budget Reply PKG_Finance Company_E_FY08 Retail Volume April Report 090409" xfId="3589" xr:uid="{EAA12ECF-4592-4AD2-8146-99D7F90AEA16}"/>
    <cellStyle name="_Purple_CAP-ACT_interest, yield assumtions (04A,05F,06B)_【Draft】FY07 Budget Reply PKG_Finance Company_E_FY09 CNTRL Outlook June-Latest0619-Final Retail" xfId="3590" xr:uid="{0B912CAD-7F09-4291-B03E-E3F513AA1E5D}"/>
    <cellStyle name="_Purple_CAP-ACT_interest, yield assumtions (04A,05F,06B)_【Draft】FY07 Budget Reply PKG_Finance Company_E_FY09 Fcst #3_TIV_MS_Volume-Dec11" xfId="3591" xr:uid="{071288F8-D630-4BAD-BD71-FBA122C407E8}"/>
    <cellStyle name="_Purple_CAP-ACT_interest, yield assumtions (04A,05F,06B)_【Draft】FY07 Budget Reply PKG_Finance Company_E_FY09 Landing Scenarios" xfId="3592" xr:uid="{E4C63223-9607-4063-AD19-092293598936}"/>
    <cellStyle name="_Purple_CAP-ACT_interest, yield assumtions (04A,05F,06B)_【Draft】FY07 Budget Reply PKG_Finance Company_E_FY09 Landing Scenarios_Flash Volume Summary-PER01-rv1" xfId="3593" xr:uid="{FD0800E3-9874-4343-AF96-8B91DE33150B}"/>
    <cellStyle name="_Purple_CAP-ACT_interest, yield assumtions (04A,05F,06B)_【Draft】FY07 Budget Reply PKG_Finance Company_E_FY09 Landing Scenarios_Flash Volume Summary-PER02" xfId="3594" xr:uid="{BA58DD53-AF60-4DB9-992A-4049057CB087}"/>
    <cellStyle name="_Purple_CAP-ACT_interest, yield assumtions (04A,05F,06B)_【Draft】FY07 Budget Reply PKG_Finance Company_E_FY09 Landing Scenarios_Flash Volume Summary-PER04" xfId="3595" xr:uid="{35F208D1-7BC8-4472-BE54-E55CBFCD4D30}"/>
    <cellStyle name="_Purple_CAP-ACT_interest, yield assumtions (04A,05F,06B)_【Draft】FY07 Budget Reply PKG_Finance Company_E_FY09 Landing Scenarios_Flash Volume Summary-PER0自分用2" xfId="3596" xr:uid="{C3D8E86E-62A7-455F-A6B1-0E2751D8EED8}"/>
    <cellStyle name="_Purple_CAP-ACT_interest, yield assumtions (04A,05F,06B)_【Draft】FY07 Budget Reply PKG_Finance Company_E_FY09 Landing Scenarios_Flash Volume Summary-PER10" xfId="3597" xr:uid="{F1B03FB7-BD93-4A4B-BB68-D4644FE6F482}"/>
    <cellStyle name="_Purple_CAP-ACT_interest, yield assumtions (04A,05F,06B)_【Draft】FY07 Budget Reply PKG_Finance Company_E_FY09 Landing Scenarios_Flash Volume Summary-PER10 for Central" xfId="3598" xr:uid="{C5BA1961-4A96-42C2-B705-2AB37E6AED0D}"/>
    <cellStyle name="_Purple_CAP-ACT_interest, yield assumtions (04A,05F,06B)_【Draft】FY07 Budget Reply PKG_Finance Company_E_FY09 Monthly Budget Excel Package" xfId="3599" xr:uid="{22D30DEE-9741-4663-9B41-A8BC18056D67}"/>
    <cellStyle name="_Purple_CAP-ACT_interest, yield assumtions (04A,05F,06B)_【Draft】FY07 Budget Reply PKG_Finance Company_E_FY09 Official Fcst 9x3" xfId="3600" xr:uid="{BC1D5959-B779-41D4-BBD7-3FF45160E49F}"/>
    <cellStyle name="_Purple_CAP-ACT_interest, yield assumtions (04A,05F,06B)_【Draft】FY07 Budget Reply PKG_Finance Company_E_FY09 Retail Volume May Report 090513" xfId="3601" xr:uid="{2A9EA500-5845-4F5F-9425-9A692A1547E9}"/>
    <cellStyle name="_Purple_CAP-ACT_interest, yield assumtions (04A,05F,06B)_【Draft】FY07 Budget Reply PKG_Finance Company_E_FY09 Retail Volume May Report 090513_Flash Volume Summary-PER01-rv1" xfId="3602" xr:uid="{9892386C-EB73-4F3E-9DC3-102736BCCF6A}"/>
    <cellStyle name="_Purple_CAP-ACT_interest, yield assumtions (04A,05F,06B)_【Draft】FY07 Budget Reply PKG_Finance Company_E_FY09 Retail Volume May Report 090513_Flash Volume Summary-PER02" xfId="3603" xr:uid="{FC9AFC99-B8F9-4485-8BC1-E0E95C9384A3}"/>
    <cellStyle name="_Purple_CAP-ACT_interest, yield assumtions (04A,05F,06B)_【Draft】FY07 Budget Reply PKG_Finance Company_E_FY09 Retail Volume May Report 090513_Flash Volume Summary-PER04" xfId="3604" xr:uid="{DD510132-D5FA-4D94-95F0-64AD8EE923A7}"/>
    <cellStyle name="_Purple_CAP-ACT_interest, yield assumtions (04A,05F,06B)_【Draft】FY07 Budget Reply PKG_Finance Company_E_FY09 Retail Volume May Report 090513_Flash Volume Summary-PER0自分用2" xfId="3605" xr:uid="{9A8B79BF-36B5-442C-A0EA-85B2D7D2FC92}"/>
    <cellStyle name="_Purple_CAP-ACT_interest, yield assumtions (04A,05F,06B)_【Draft】FY07 Budget Reply PKG_Finance Company_E_FY09 Retail Volume May Report 090513_Flash Volume Summary-PER10" xfId="3606" xr:uid="{C2651C2F-8489-4A6A-8F87-812CB1BC1941}"/>
    <cellStyle name="_Purple_CAP-ACT_interest, yield assumtions (04A,05F,06B)_【Draft】FY07 Budget Reply PKG_Finance Company_E_FY09 Retail Volume May Report 090513_Flash Volume Summary-PER10 for Central" xfId="3607" xr:uid="{229211C2-BCBD-4E07-A3B5-41398FD582F5}"/>
    <cellStyle name="_Purple_CAP-ACT_interest, yield assumtions (04A,05F,06B)_【Draft】FY07 Budget Reply PKG_Finance Company_E_FY09 WS Volume Report_April YTD_090527-Monthly Budget Updated" xfId="3608" xr:uid="{A18B1F65-8498-45A0-A790-549C1172DAD6}"/>
    <cellStyle name="_Purple_CAP-ACT_interest, yield assumtions (04A,05F,06B)_【Draft】FY07 Budget Reply PKG_Finance Company_E_FY09Q1 Outlook Volume_Jun22-2" xfId="3609" xr:uid="{46018887-49E1-4D60-A470-BC41105F3C5A}"/>
    <cellStyle name="_Purple_CAP-ACT_interest, yield assumtions (04A,05F,06B)_【Draft】FY07 Budget Reply PKG_Finance Company_E_FY09Q1 Outlook Volume_Jun24" xfId="3610" xr:uid="{9A72CA90-C711-4930-A21E-A037B2363AC7}"/>
    <cellStyle name="_Purple_CAP-ACT_interest, yield assumtions (04A,05F,06B)_【Draft】FY07 Budget Reply PKG_Finance Company_E_NCI Monthly Cash Flow_7X5" xfId="3611" xr:uid="{9A9B8DFC-09FA-468A-A983-7FE548AE4478}"/>
    <cellStyle name="_Purple_CAP-ACT_interest, yield assumtions (04A,05F,06B)_【Draft】FY07 Budget Reply PKG_Finance Company_E_NCI Monthly Cash Flow_9X3 final" xfId="3612" xr:uid="{9AB7A7F3-A05C-4F64-8F2D-D399BF7CC70D}"/>
    <cellStyle name="_Purple_CAP-ACT_interest, yield assumtions (04A,05F,06B)_【Draft】FY07 Budget Reply PKG_Finance Company_E_NCI Mothly Cash Flow_Jul'09-Final" xfId="3613" xr:uid="{E41A8710-0197-400A-BA57-DDD5EA513091}"/>
    <cellStyle name="_Purple_CAP-ACT_interest, yield assumtions (04A,05F,06B)_【Draft】FY07 Budget Reply PKG_Finance Company_E_NCI Mothly Cash Flow_Jun'09" xfId="3614" xr:uid="{9830A8DE-4EFC-4AD5-8B1A-70D6B91DA1FD}"/>
    <cellStyle name="_Purple_CAP-ACT_interest, yield assumtions (04A,05F,06B)_【Draft】FY07 Budget Reply PKG_Finance Company_E_NMEX - Fcst #2 (5+7) Financial analysis" xfId="3615" xr:uid="{A794C070-0A6A-413A-A514-56FD9929EC30}"/>
    <cellStyle name="_Purple_CAP-ACT_interest, yield assumtions (04A,05F,06B)_【Draft】FY07 Budget Reply PKG_Finance Company_E_NRFM_FY11 Fcst#2 Excel PKG for Finance Sent" xfId="3616" xr:uid="{67C3AB75-1934-46E6-BA95-1F425882C3F5}"/>
    <cellStyle name="_Purple_CAP-ACT_interest, yield assumtions (04A,05F,06B)_1. P&amp;L" xfId="3617" xr:uid="{EC01FBDB-91EE-40C9-8F5D-1B8303665B01}"/>
    <cellStyle name="_Purple_CAP-ACT_interest, yield assumtions (04A,05F,06B)_2. BS" xfId="3618" xr:uid="{6580A6B3-B906-41FC-B657-1CBED04A9C49}"/>
    <cellStyle name="_Purple_CAP-ACT_interest, yield assumtions (04A,05F,06B)_2136_NCF FY11 Fcst#2 Excel PKG for Finance NML" xfId="3619" xr:uid="{6A169F45-15FD-4F4F-8BAB-A618084A678B}"/>
    <cellStyle name="_Purple_CAP-ACT_interest, yield assumtions (04A,05F,06B)_2179_NMAC FY11 Fcst#2 Excel PKG for Finance" xfId="3620" xr:uid="{9DE825E1-6A8F-461F-9ECE-8C3EA8AB1D4C}"/>
    <cellStyle name="_Purple_CAP-ACT_interest, yield assumtions (04A,05F,06B)_2576_NFS_FY11 Fcst#2 Excel PKG for Finance_v2(add400M)" xfId="3621" xr:uid="{4960224D-B106-4E5B-8ABD-AB004DB0824D}"/>
    <cellStyle name="_Purple_CAP-ACT_interest, yield assumtions (04A,05F,06B)_2FY06 Fcst#1 Reply PKG for Finance Company②" xfId="3622" xr:uid="{E5027134-B2CD-4306-BE01-21433D08B2BE}"/>
    <cellStyle name="_Purple_CAP-ACT_interest, yield assumtions (04A,05F,06B)_2FY06 Fcst#1 Reply PKG for Finance Company②_2576_NFS_FY11 Fcst#2 Excel PKG for Finance_v2(add400M)" xfId="3623" xr:uid="{C38B11E7-245D-4FF8-9D0D-3E7855F4816B}"/>
    <cellStyle name="_Purple_CAP-ACT_interest, yield assumtions (04A,05F,06B)_3. Variance " xfId="3624" xr:uid="{75055E5F-54E9-4E82-91E5-56F0989E8314}"/>
    <cellStyle name="_Purple_CAP-ACT_interest, yield assumtions (04A,05F,06B)_3908_NLTH FY11 Fcst#2 Excel PKG for Finance" xfId="3625" xr:uid="{78FAD30F-623C-46F9-A05B-07581CEF35B8}"/>
    <cellStyle name="_Purple_CAP-ACT_interest, yield assumtions (04A,05F,06B)_3926_DNAF_FY11 Fcst#2 Excel PKG for Finance_ver4.0_20110928" xfId="3626" xr:uid="{5EB04AD3-8A07-446D-948C-04EEB9B75201}"/>
    <cellStyle name="_Purple_CAP-ACT_interest, yield assumtions (04A,05F,06B)_3939_NFSA FY11 Fcst#2 Excel PKG for Finance" xfId="3627" xr:uid="{57C02264-7A4D-489B-943B-A49F38D73A56}"/>
    <cellStyle name="_Purple_CAP-ACT_interest, yield assumtions (04A,05F,06B)_4 7 BOP_FY09 BUD #1 Reply PKG_E" xfId="3628" xr:uid="{5BDDFE0B-1AF6-4D49-A161-70BBFDE214A7}"/>
    <cellStyle name="_Purple_CAP-ACT_interest, yield assumtions (04A,05F,06B)_4 7 BOP_FY09 BUD #1 Reply PKG_E_2136_NCF FY11 Fcst#2 Excel PKG for Finance NML" xfId="3629" xr:uid="{6E65B1FC-ED9B-48AF-8613-596D628EEB49}"/>
    <cellStyle name="_Purple_CAP-ACT_interest, yield assumtions (04A,05F,06B)_4 7 BOP_FY09 BUD #1 Reply PKG_E_2179_NMAC FY11 Fcst#2 Excel PKG for Finance" xfId="3630" xr:uid="{191E4528-3D25-490D-9F51-8703983A4905}"/>
    <cellStyle name="_Purple_CAP-ACT_interest, yield assumtions (04A,05F,06B)_4 7 BOP_FY09 BUD #1 Reply PKG_E_2576_NFS_FY11 Fcst#2 Excel PKG for Finance_v2(add400M)" xfId="3631" xr:uid="{8628591E-B886-4245-80FF-D0C8F41A776B}"/>
    <cellStyle name="_Purple_CAP-ACT_interest, yield assumtions (04A,05F,06B)_4 7 BOP_FY09 BUD #1 Reply PKG_E_3908_NLTH FY11 Fcst#2 Excel PKG for Finance" xfId="3632" xr:uid="{95351E07-82B2-4B50-9352-B87BFD6D1287}"/>
    <cellStyle name="_Purple_CAP-ACT_interest, yield assumtions (04A,05F,06B)_4 7 BOP_FY09 BUD #1 Reply PKG_E_3926_DNAF_FY11 Fcst#2 Excel PKG for Finance_ver4.0_20110928" xfId="3633" xr:uid="{066DC334-183D-4387-8CDD-270657026E26}"/>
    <cellStyle name="_Purple_CAP-ACT_interest, yield assumtions (04A,05F,06B)_4 7 BOP_FY09 BUD #1 Reply PKG_E_3939_NFSA FY11 Fcst#2 Excel PKG for Finance" xfId="3634" xr:uid="{2040AF0C-1691-46F6-8FAC-171C5CCFC20F}"/>
    <cellStyle name="_Purple_CAP-ACT_interest, yield assumtions (04A,05F,06B)_4 7 BOP_FY09 BUD #1 Reply PKG_E_FY12 TIV_MS_Volume_BP Sim v8 " xfId="3635" xr:uid="{2DF9A463-9C3F-4E5A-A38A-D10B8C84350D}"/>
    <cellStyle name="_Purple_CAP-ACT_interest, yield assumtions (04A,05F,06B)_4 7 BOP_FY09 BUD #1 Reply PKG_E_NRFM_FY11 Fcst#2 Excel PKG for Finance Sent" xfId="3636" xr:uid="{3486E967-6D2B-42DA-999D-263539B3487E}"/>
    <cellStyle name="_Purple_CAP-ACT_interest, yield assumtions (04A,05F,06B)_4. R&amp;O" xfId="3637" xr:uid="{BC612DDF-5E39-4E43-B0B2-80689EA407D4}"/>
    <cellStyle name="_Purple_CAP-ACT_interest, yield assumtions (04A,05F,06B)_4.7 BOP_FY08 Fcst #2 Reply PKG_E" xfId="3638" xr:uid="{13397DA4-D42C-46A1-9C64-F8D64F9E3EA8}"/>
    <cellStyle name="_Purple_CAP-ACT_interest, yield assumtions (04A,05F,06B)_5.1.Volume" xfId="3639" xr:uid="{CF51D3D8-BC2D-4130-B108-2AC0D10C7335}"/>
    <cellStyle name="_Purple_CAP-ACT_interest, yield assumtions (04A,05F,06B)_5.3 Loss Provision" xfId="3640" xr:uid="{4D6338EF-FC02-4361-BA28-61BB15433540}"/>
    <cellStyle name="_Purple_CAP-ACT_interest, yield assumtions (04A,05F,06B)_5.5. IS" xfId="3641" xr:uid="{4A9C2467-2771-4A82-AACD-B79FB2DE4393}"/>
    <cellStyle name="_Purple_CAP-ACT_interest, yield assumtions (04A,05F,06B)_5.6. Below OM" xfId="3642" xr:uid="{631989E7-DB0F-4462-88D4-3F44CA893CD5}"/>
    <cellStyle name="_Purple_CAP-ACT_interest, yield assumtions (04A,05F,06B)_6. Funding" xfId="3643" xr:uid="{8457F75D-03D7-4BF9-AFFE-D99901680E9C}"/>
    <cellStyle name="_Purple_CAP-ACT_interest, yield assumtions (04A,05F,06B)_6.Funding-FIN" xfId="3644" xr:uid="{C7EE26B1-5B2E-4341-9FF4-37CE2FA993CD}"/>
    <cellStyle name="_Purple_CAP-ACT_interest, yield assumtions (04A,05F,06B)_A77 FY09 Budget Reply#2 PKG for Finance" xfId="3645" xr:uid="{EC11561C-ED63-464E-A330-87416B0FBB93}"/>
    <cellStyle name="_Purple_CAP-ACT_interest, yield assumtions (04A,05F,06B)_ASIS FY07 FOR#3BUD#1 PKG" xfId="3646" xr:uid="{F83073CD-0450-4FF6-AD88-7B32F4A3EA78}"/>
    <cellStyle name="_Purple_CAP-ACT_interest, yield assumtions (04A,05F,06B)_ASIS FY07 FOR#3BUD#1 PKG_2576_NFS_FY11 Fcst#2 Excel PKG for Finance_v2(add400M)" xfId="3647" xr:uid="{4AB3E923-8627-4D55-B111-2A4E1F3EB11D}"/>
    <cellStyle name="_Purple_CAP-ACT_interest, yield assumtions (04A,05F,06B)_ASIS FY07 FOR#3BUD#1 PKG_FY09 Monthly Budget Excel Package" xfId="3648" xr:uid="{51ADA673-01E0-4C30-98D4-61173BDB99BC}"/>
    <cellStyle name="_Purple_CAP-ACT_interest, yield assumtions (04A,05F,06B)_ASIS FY07 FOR#3BUD#1 PKG_FY09 Official Fcst 9x3" xfId="3649" xr:uid="{97F8CFC1-8433-4DEC-8EFB-07101DDE7A7C}"/>
    <cellStyle name="_Purple_CAP-ACT_interest, yield assumtions (04A,05F,06B)_ASIS FY07 FOR#3BUD#1 PKG_NCI Monthly Cash Flow_7X5" xfId="3650" xr:uid="{AB2E09FB-4608-481B-82FA-687A943201F4}"/>
    <cellStyle name="_Purple_CAP-ACT_interest, yield assumtions (04A,05F,06B)_ASIS FY07 FOR#3BUD#1 PKG_NCI Monthly Cash Flow_9X3 final" xfId="3651" xr:uid="{BBF55E46-D57E-4145-8652-919E25812A31}"/>
    <cellStyle name="_Purple_CAP-ACT_interest, yield assumtions (04A,05F,06B)_ASIS FY07 FOR#3BUD#1 PKG_NCI Mothly Cash Flow_Jul'09-Final" xfId="3652" xr:uid="{C5D82D6A-A01C-4CC5-9E5E-258CB3A47A38}"/>
    <cellStyle name="_Purple_CAP-ACT_interest, yield assumtions (04A,05F,06B)_ASIS FY07 FOR#3BUD#1 PKG_NCI Mothly Cash Flow_Jun'09" xfId="3653" xr:uid="{80285A96-6AAD-4A09-B61B-69DD10A54AF2}"/>
    <cellStyle name="_Purple_CAP-ACT_interest, yield assumtions (04A,05F,06B)_Book1" xfId="3654" xr:uid="{65AEE0E4-D44A-4324-9D2F-BFEE872E7E88}"/>
    <cellStyle name="_Purple_CAP-ACT_interest, yield assumtions (04A,05F,06B)_Book1_2136_NCF FY11 Fcst#2 Excel PKG for Finance NML" xfId="3655" xr:uid="{508172A1-DFD9-46CC-B972-48B854F80198}"/>
    <cellStyle name="_Purple_CAP-ACT_interest, yield assumtions (04A,05F,06B)_Book1_2179_NMAC FY11 Fcst#2 Excel PKG for Finance" xfId="3656" xr:uid="{4F066E03-C170-4602-B8EB-2DAE3AAB6CDC}"/>
    <cellStyle name="_Purple_CAP-ACT_interest, yield assumtions (04A,05F,06B)_Book1_2576_NFS_FY11 Fcst#2 Excel PKG for Finance_v2(add400M)" xfId="3657" xr:uid="{82DAB5B1-5835-4521-878E-436DBABA18F5}"/>
    <cellStyle name="_Purple_CAP-ACT_interest, yield assumtions (04A,05F,06B)_Book1_3908_NLTH FY11 Fcst#2 Excel PKG for Finance" xfId="3658" xr:uid="{7D33E189-0E50-4501-BBB1-69038D03D4B0}"/>
    <cellStyle name="_Purple_CAP-ACT_interest, yield assumtions (04A,05F,06B)_Book1_3926_DNAF_FY11 Fcst#2 Excel PKG for Finance_ver4.0_20110928" xfId="3659" xr:uid="{36651602-505F-44AD-906A-09716BE9085D}"/>
    <cellStyle name="_Purple_CAP-ACT_interest, yield assumtions (04A,05F,06B)_Book1_3939_NFSA FY11 Fcst#2 Excel PKG for Finance" xfId="3660" xr:uid="{C4375DB9-5F58-40C8-9C32-84A0EE369C6E}"/>
    <cellStyle name="_Purple_CAP-ACT_interest, yield assumtions (04A,05F,06B)_Book1_NRFM_FY11 Fcst#2 Excel PKG for Finance Sent" xfId="3661" xr:uid="{D3EC47EE-B9CD-47AC-9547-7275B8A0E0F3}"/>
    <cellStyle name="_Purple_CAP-ACT_interest, yield assumtions (04A,05F,06B)_Copy of FY08 Budget Reply#1 PKG for Finance" xfId="3662" xr:uid="{DBF33226-349F-4D1D-889E-140F08F4DA88}"/>
    <cellStyle name="_Purple_CAP-ACT_interest, yield assumtions (04A,05F,06B)_Copy of FY08 Fcst #2 for Finance Company" xfId="3663" xr:uid="{A7C6ACD2-916D-4B68-AC5B-3B6106B9B747}"/>
    <cellStyle name="_Purple_CAP-ACT_interest, yield assumtions (04A,05F,06B)_DNAF UPDATED FY08 Fcst#2 (5+7) for Finance Company (2)" xfId="3664" xr:uid="{1A0E936D-DEA0-4B4D-BAC0-5EE7C9669AE1}"/>
    <cellStyle name="_Purple_CAP-ACT_interest, yield assumtions (04A,05F,06B)_DRAFT as of 1101 FY07 Fcst#3 Reply PKG_E" xfId="3665" xr:uid="{DAED5878-F11B-437D-B14E-3012251703D2}"/>
    <cellStyle name="_Purple_CAP-ACT_interest, yield assumtions (04A,05F,06B)_Draft_Excel PKG for FY07 Reply#1 &amp; FY06 FOR#3_E_Oct.21" xfId="3666" xr:uid="{4815CE5E-5A43-401D-BA21-83BF52391B3F}"/>
    <cellStyle name="_Purple_CAP-ACT_interest, yield assumtions (04A,05F,06B)_Draft_Excel PKG for FY07 Reply#1 &amp; FY06 FOR#3_E_Oct.21_2576_NFS_FY11 Fcst#2 Excel PKG for Finance_v2(add400M)" xfId="3667" xr:uid="{A3A28C23-C327-4838-876C-62343AF77194}"/>
    <cellStyle name="_Purple_CAP-ACT_interest, yield assumtions (04A,05F,06B)_Draft_Excel PKG for FY07 Reply#1 &amp; FY06 FOR#3_E_Oct.21_FY09 Monthly Budget Excel Package" xfId="3668" xr:uid="{E8A6E98C-444B-4240-8E58-6BAB93E22132}"/>
    <cellStyle name="_Purple_CAP-ACT_interest, yield assumtions (04A,05F,06B)_Draft_Excel PKG for FY07 Reply#1 &amp; FY06 FOR#3_E_Oct.21_FY09 Official Fcst 9x3" xfId="3669" xr:uid="{EEB8A733-7A10-4DB0-BD05-496729E9F4BB}"/>
    <cellStyle name="_Purple_CAP-ACT_interest, yield assumtions (04A,05F,06B)_Draft_Excel PKG for FY07 Reply#1 &amp; FY06 FOR#3_E_Oct.21_NCI Monthly Cash Flow_7X5" xfId="3670" xr:uid="{2F3BBA92-BDE1-4AA6-A042-B453F0DE4897}"/>
    <cellStyle name="_Purple_CAP-ACT_interest, yield assumtions (04A,05F,06B)_Draft_Excel PKG for FY07 Reply#1 &amp; FY06 FOR#3_E_Oct.21_NCI Monthly Cash Flow_9X3 final" xfId="3671" xr:uid="{BE382B68-8911-4D7D-8FBA-B7FC21F9E135}"/>
    <cellStyle name="_Purple_CAP-ACT_interest, yield assumtions (04A,05F,06B)_Draft_Excel PKG for FY07 Reply#1 &amp; FY06 FOR#3_E_Oct.21_NCI Mothly Cash Flow_Jul'09-Final" xfId="3672" xr:uid="{6738E186-A248-49AB-90AC-98E3087F2520}"/>
    <cellStyle name="_Purple_CAP-ACT_interest, yield assumtions (04A,05F,06B)_Draft_Excel PKG for FY07 Reply#1 &amp; FY06 FOR#3_E_Oct.21_NCI Mothly Cash Flow_Jun'09" xfId="3673" xr:uid="{F2B613D3-5ED7-410D-B72A-CAFA24963180}"/>
    <cellStyle name="_Purple_CAP-ACT_interest, yield assumtions (04A,05F,06B)_Draft_Excel PKG for FY07 Reply#1 &amp; FY06 FOR#3_E_Oct.24v2" xfId="3674" xr:uid="{C9466F35-26CB-4835-85D5-5FB15A1691B9}"/>
    <cellStyle name="_Purple_CAP-ACT_interest, yield assumtions (04A,05F,06B)_Draft_Excel PKG for FY07 Reply#1 &amp; FY06 FOR#3_E_Oct.24v2_2576_NFS_FY11 Fcst#2 Excel PKG for Finance_v2(add400M)" xfId="3675" xr:uid="{892289BF-D0A6-4B0A-A329-3F775E860FFF}"/>
    <cellStyle name="_Purple_CAP-ACT_interest, yield assumtions (04A,05F,06B)_Draft_Excel PKG for FY07 Reply#1 &amp; FY06 FOR#3_E_Oct.24v2_FY09 Monthly Budget Excel Package" xfId="3676" xr:uid="{CDF52C7F-9664-43AF-8F29-A996A5294725}"/>
    <cellStyle name="_Purple_CAP-ACT_interest, yield assumtions (04A,05F,06B)_Draft_Excel PKG for FY07 Reply#1 &amp; FY06 FOR#3_E_Oct.24v2_FY09 Official Fcst 9x3" xfId="3677" xr:uid="{98ED20AD-4C52-4BD2-88C0-C797176FE9AD}"/>
    <cellStyle name="_Purple_CAP-ACT_interest, yield assumtions (04A,05F,06B)_Draft_Excel PKG for FY07 Reply#1 &amp; FY06 FOR#3_E_Oct.24v2_NCI Monthly Cash Flow_7X5" xfId="3678" xr:uid="{DFD67A89-DBE5-425A-ABC6-5CC60DD539FB}"/>
    <cellStyle name="_Purple_CAP-ACT_interest, yield assumtions (04A,05F,06B)_Draft_Excel PKG for FY07 Reply#1 &amp; FY06 FOR#3_E_Oct.24v2_NCI Monthly Cash Flow_9X3 final" xfId="3679" xr:uid="{DA5CE27A-DFE7-4969-973A-2D4EC7546954}"/>
    <cellStyle name="_Purple_CAP-ACT_interest, yield assumtions (04A,05F,06B)_Draft_Excel PKG for FY07 Reply#1 &amp; FY06 FOR#3_E_Oct.24v2_NCI Mothly Cash Flow_Jul'09-Final" xfId="3680" xr:uid="{0B1DD208-3839-46CD-AD9C-84DD4A866BAA}"/>
    <cellStyle name="_Purple_CAP-ACT_interest, yield assumtions (04A,05F,06B)_Draft_Excel PKG for FY07 Reply#1 &amp; FY06 FOR#3_E_Oct.24v2_NCI Mothly Cash Flow_Jun'09" xfId="3681" xr:uid="{B9A551EB-00DC-4DCD-BB0D-620D2D2BF2F1}"/>
    <cellStyle name="_Purple_CAP-ACT_interest, yield assumtions (04A,05F,06B)_Draft_Excel PKG for FY07 Reply#1_E_Oct.16" xfId="3682" xr:uid="{E5F18DEC-822E-49D4-AB9E-6FA6BA822001}"/>
    <cellStyle name="_Purple_CAP-ACT_interest, yield assumtions (04A,05F,06B)_Draft_Excel PKG for FY07 Reply#1_E_Oct.16_2576_NFS_FY11 Fcst#2 Excel PKG for Finance_v2(add400M)" xfId="3683" xr:uid="{C3A9B652-2315-4AC5-A051-DDFEBF1D0685}"/>
    <cellStyle name="_Purple_CAP-ACT_interest, yield assumtions (04A,05F,06B)_Draft_Excel PKG for FY07 Reply#1_E_Oct.16_FY09 Monthly Budget Excel Package" xfId="3684" xr:uid="{155BFCFC-5846-440C-943C-CDC23C31433F}"/>
    <cellStyle name="_Purple_CAP-ACT_interest, yield assumtions (04A,05F,06B)_Draft_Excel PKG for FY07 Reply#1_E_Oct.16_FY09 Official Fcst 9x3" xfId="3685" xr:uid="{F15AF350-C15E-4042-A033-BC2A3EF02590}"/>
    <cellStyle name="_Purple_CAP-ACT_interest, yield assumtions (04A,05F,06B)_Draft_Excel PKG for FY07 Reply#1_E_Oct.16_NCI Monthly Cash Flow_7X5" xfId="3686" xr:uid="{44D2571F-B3B2-45FB-BEBA-926D96B23376}"/>
    <cellStyle name="_Purple_CAP-ACT_interest, yield assumtions (04A,05F,06B)_Draft_Excel PKG for FY07 Reply#1_E_Oct.16_NCI Monthly Cash Flow_9X3 final" xfId="3687" xr:uid="{12B674C3-0006-4B3B-90C5-64593D8C735F}"/>
    <cellStyle name="_Purple_CAP-ACT_interest, yield assumtions (04A,05F,06B)_Draft_Excel PKG for FY07 Reply#1_E_Oct.16_NCI Mothly Cash Flow_Jul'09-Final" xfId="3688" xr:uid="{5BEB32F0-26D5-4160-88AB-47B35E1BD3B2}"/>
    <cellStyle name="_Purple_CAP-ACT_interest, yield assumtions (04A,05F,06B)_Draft_Excel PKG for FY07 Reply#1_E_Oct.16_NCI Mothly Cash Flow_Jun'09" xfId="3689" xr:uid="{FDD9B42B-3C4B-40C1-BA73-369A4A164411}"/>
    <cellStyle name="_Purple_CAP-ACT_interest, yield assumtions (04A,05F,06B)_Draft_FY06 Fcst#2 Reply PKG_E_Aug.25" xfId="3690" xr:uid="{68F754DF-99B7-4547-B792-F1CA8FE10F43}"/>
    <cellStyle name="_Purple_CAP-ACT_interest, yield assumtions (04A,05F,06B)_Draft_FY06 Fcst#2 Reply PKG_E_Aug.25_2576_NFS_FY11 Fcst#2 Excel PKG for Finance_v2(add400M)" xfId="3691" xr:uid="{C26D8D9F-BFD1-47AC-BE6D-BC7F6905FCA6}"/>
    <cellStyle name="_Purple_CAP-ACT_interest, yield assumtions (04A,05F,06B)_Draft_FY06 Fcst#2 Reply PKG_E_Aug.25_FY09 Monthly Budget Excel Package" xfId="3692" xr:uid="{7AD0C067-53A0-4548-9F71-E045B2C6EDF8}"/>
    <cellStyle name="_Purple_CAP-ACT_interest, yield assumtions (04A,05F,06B)_Draft_FY06 Fcst#2 Reply PKG_E_Aug.25_FY09 Official Fcst 9x3" xfId="3693" xr:uid="{875D5FF4-D344-4BD8-8098-52CD255F1D3F}"/>
    <cellStyle name="_Purple_CAP-ACT_interest, yield assumtions (04A,05F,06B)_Draft_FY06 Fcst#2 Reply PKG_E_Aug.25_NCI Monthly Cash Flow_7X5" xfId="3694" xr:uid="{948FDE76-EC6F-431E-873B-377B7DFA6964}"/>
    <cellStyle name="_Purple_CAP-ACT_interest, yield assumtions (04A,05F,06B)_Draft_FY06 Fcst#2 Reply PKG_E_Aug.25_NCI Monthly Cash Flow_9X3 final" xfId="3695" xr:uid="{09057592-50A7-4950-9F0E-EE5DA956BE61}"/>
    <cellStyle name="_Purple_CAP-ACT_interest, yield assumtions (04A,05F,06B)_Draft_FY06 Fcst#2 Reply PKG_E_Aug.25_NCI Mothly Cash Flow_Jul'09-Final" xfId="3696" xr:uid="{16D2E404-669E-461B-89CC-AEA11C1EDD3F}"/>
    <cellStyle name="_Purple_CAP-ACT_interest, yield assumtions (04A,05F,06B)_Draft_FY06 Fcst#2 Reply PKG_E_Aug.25_NCI Mothly Cash Flow_Jun'09" xfId="3697" xr:uid="{D011C0FD-727C-434B-B7E7-A4D88D656389}"/>
    <cellStyle name="_Purple_CAP-ACT_interest, yield assumtions (04A,05F,06B)_Draft_FY07 Bedget Reply PKG for Finance Company_Oct.24" xfId="3698" xr:uid="{C7DBD688-1ED8-4482-BAD8-0AC17F76A1BD}"/>
    <cellStyle name="_Purple_CAP-ACT_interest, yield assumtions (04A,05F,06B)_Draft_FY07 Bedget Reply PKG for Finance Company_Oct.24_2576_NFS_FY11 Fcst#2 Excel PKG for Finance_v2(add400M)" xfId="3699" xr:uid="{4373B7F4-A81D-48B9-A5E2-4E12B89D689B}"/>
    <cellStyle name="_Purple_CAP-ACT_interest, yield assumtions (04A,05F,06B)_Draft_FY07 Bedget Reply PKG for Finance Company_Oct.24_FY09 Monthly Budget Excel Package" xfId="3700" xr:uid="{B1BEFC5D-D643-4866-BAF2-4092564CB627}"/>
    <cellStyle name="_Purple_CAP-ACT_interest, yield assumtions (04A,05F,06B)_Draft_FY07 Bedget Reply PKG for Finance Company_Oct.24_FY09 Official Fcst 9x3" xfId="3701" xr:uid="{6CEF90E9-C24C-463F-B4F1-6FA285332D14}"/>
    <cellStyle name="_Purple_CAP-ACT_interest, yield assumtions (04A,05F,06B)_Draft_FY07 Bedget Reply PKG for Finance Company_Oct.24_NCI Monthly Cash Flow_7X5" xfId="3702" xr:uid="{C5E36F5E-2691-4DDD-A68B-21DD7396D500}"/>
    <cellStyle name="_Purple_CAP-ACT_interest, yield assumtions (04A,05F,06B)_Draft_FY07 Bedget Reply PKG for Finance Company_Oct.24_NCI Monthly Cash Flow_9X3 final" xfId="3703" xr:uid="{2C48DBAD-72B2-4EF1-A1D6-899D1E6A0C81}"/>
    <cellStyle name="_Purple_CAP-ACT_interest, yield assumtions (04A,05F,06B)_Draft_FY07 Bedget Reply PKG for Finance Company_Oct.24_NCI Mothly Cash Flow_Jul'09-Final" xfId="3704" xr:uid="{219B62C7-1A54-45EA-B6C3-F9293BFA3B13}"/>
    <cellStyle name="_Purple_CAP-ACT_interest, yield assumtions (04A,05F,06B)_Draft_FY07 Bedget Reply PKG for Finance Company_Oct.24_NCI Mothly Cash Flow_Jun'09" xfId="3705" xr:uid="{AF9BB9AC-5596-4546-B765-36639D9AB182}"/>
    <cellStyle name="_Purple_CAP-ACT_interest, yield assumtions (04A,05F,06B)_Draft_FY07 Budget Reply PKG_for Finance Company_Oct.16" xfId="3706" xr:uid="{F414FA8D-1F52-4825-9D65-2F09D78E4A66}"/>
    <cellStyle name="_Purple_CAP-ACT_interest, yield assumtions (04A,05F,06B)_Draft_FY07 Budget Reply PKG_for Finance Company_Oct.16_2576_NFS_FY11 Fcst#2 Excel PKG for Finance_v2(add400M)" xfId="3707" xr:uid="{9409540D-42B8-4026-88A4-7CF9CC5CBD47}"/>
    <cellStyle name="_Purple_CAP-ACT_interest, yield assumtions (04A,05F,06B)_Draft_FY07 Budget Reply PKG_for Finance Company_Oct.16_FY09 Monthly Budget Excel Package" xfId="3708" xr:uid="{AC84D4B5-90EC-4D83-9482-F63F8D806AAB}"/>
    <cellStyle name="_Purple_CAP-ACT_interest, yield assumtions (04A,05F,06B)_Draft_FY07 Budget Reply PKG_for Finance Company_Oct.16_FY09 Official Fcst 9x3" xfId="3709" xr:uid="{9A783368-67CB-4403-86E2-C4F6158263BA}"/>
    <cellStyle name="_Purple_CAP-ACT_interest, yield assumtions (04A,05F,06B)_Draft_FY07 Budget Reply PKG_for Finance Company_Oct.16_NCI Monthly Cash Flow_7X5" xfId="3710" xr:uid="{28D9EFB9-5730-4ED0-A730-3F16F73555CC}"/>
    <cellStyle name="_Purple_CAP-ACT_interest, yield assumtions (04A,05F,06B)_Draft_FY07 Budget Reply PKG_for Finance Company_Oct.16_NCI Monthly Cash Flow_9X3 final" xfId="3711" xr:uid="{609D2A8E-9DBF-46D0-9FDC-FE713A2E403E}"/>
    <cellStyle name="_Purple_CAP-ACT_interest, yield assumtions (04A,05F,06B)_Draft_FY07 Budget Reply PKG_for Finance Company_Oct.16_NCI Mothly Cash Flow_Jul'09-Final" xfId="3712" xr:uid="{17DFAFA7-3F6F-46D0-913A-B5EEE27F391E}"/>
    <cellStyle name="_Purple_CAP-ACT_interest, yield assumtions (04A,05F,06B)_Draft_FY07 Budget Reply PKG_for Finance Company_Oct.16_NCI Mothly Cash Flow_Jun'09" xfId="3713" xr:uid="{812AB8AD-0EA8-4297-8782-2A08F1D43C8D}"/>
    <cellStyle name="_Purple_CAP-ACT_interest, yield assumtions (04A,05F,06B)_excelパッケージ (2)" xfId="3714" xr:uid="{C7534839-894E-466C-BE8D-069999CE6F49}"/>
    <cellStyle name="_Purple_CAP-ACT_interest, yield assumtions (04A,05F,06B)_excelパッケージ (2)_2136_NCF FY11 Fcst#2 Excel PKG for Finance NML" xfId="3715" xr:uid="{21B234AD-3725-43E2-94E5-FB0A62590D6A}"/>
    <cellStyle name="_Purple_CAP-ACT_interest, yield assumtions (04A,05F,06B)_excelパッケージ (2)_2179_NMAC FY11 Fcst#2 Excel PKG for Finance" xfId="3716" xr:uid="{9EE3387A-728F-4549-B69A-B90AF9EA920A}"/>
    <cellStyle name="_Purple_CAP-ACT_interest, yield assumtions (04A,05F,06B)_excelパッケージ (2)_2576_NFS_FY11 Fcst#2 Excel PKG for Finance_v2(add400M)" xfId="3717" xr:uid="{77D305F2-6C02-4BF4-A067-88F623E4059D}"/>
    <cellStyle name="_Purple_CAP-ACT_interest, yield assumtions (04A,05F,06B)_excelパッケージ (2)_3908_NLTH FY11 Fcst#2 Excel PKG for Finance" xfId="3718" xr:uid="{2D56B1EF-8D5B-48AC-92C7-5C9B017FD0CE}"/>
    <cellStyle name="_Purple_CAP-ACT_interest, yield assumtions (04A,05F,06B)_excelパッケージ (2)_3926_DNAF_FY11 Fcst#2 Excel PKG for Finance_ver4.0_20110928" xfId="3719" xr:uid="{422AD451-814A-49CC-B0EA-ADE1A5C5424F}"/>
    <cellStyle name="_Purple_CAP-ACT_interest, yield assumtions (04A,05F,06B)_excelパッケージ (2)_3939_NFSA FY11 Fcst#2 Excel PKG for Finance" xfId="3720" xr:uid="{35C74CE2-F1C3-4367-85DA-AD72156782D3}"/>
    <cellStyle name="_Purple_CAP-ACT_interest, yield assumtions (04A,05F,06B)_excelパッケージ (2)_FY12 TIV_MS_Volume_BP Sim v8 " xfId="3721" xr:uid="{16E449CB-AB9E-40A0-95A5-7456F1045867}"/>
    <cellStyle name="_Purple_CAP-ACT_interest, yield assumtions (04A,05F,06B)_excelパッケージ (2)_NRFM_FY11 Fcst#2 Excel PKG for Finance Sent" xfId="3722" xr:uid="{A0A0A172-E77B-411F-B63E-D2C487E12165}"/>
    <cellStyle name="_Purple_CAP-ACT_interest, yield assumtions (04A,05F,06B)_Final) FY09 Reply#2 Labor cost sheet(E)" xfId="3723" xr:uid="{24BD998E-5DF8-4452-BEFD-29A53C0A7A64}"/>
    <cellStyle name="_Purple_CAP-ACT_interest, yield assumtions (04A,05F,06B)_Finance Co's_FY07 Budget Reply PKG_E3" xfId="3724" xr:uid="{8327B9CB-C2F1-41F4-8383-E0318EA22E26}"/>
    <cellStyle name="_Purple_CAP-ACT_interest, yield assumtions (04A,05F,06B)_Finance Co's_FY07 Budget Reply PKG_E3_2576_NFS_FY11 Fcst#2 Excel PKG for Finance_v2(add400M)" xfId="3725" xr:uid="{5F74DF06-760E-4670-88FF-439D23A2114F}"/>
    <cellStyle name="_Purple_CAP-ACT_interest, yield assumtions (04A,05F,06B)_Finance Co's_FY07 Budget Reply PKG_E3_FY09 Monthly Budget Excel Package" xfId="3726" xr:uid="{8F059046-BAB5-4C59-8FD4-1BF6EC712D83}"/>
    <cellStyle name="_Purple_CAP-ACT_interest, yield assumtions (04A,05F,06B)_Finance Co's_FY07 Budget Reply PKG_E3_FY09 Official Fcst 9x3" xfId="3727" xr:uid="{1F1D5552-4507-4662-8B8E-003E9DF51116}"/>
    <cellStyle name="_Purple_CAP-ACT_interest, yield assumtions (04A,05F,06B)_Finance Co's_FY07 Budget Reply PKG_E3_NCI Monthly Cash Flow_7X5" xfId="3728" xr:uid="{208F86D2-40CD-4023-8FF0-2E83E17DB1B3}"/>
    <cellStyle name="_Purple_CAP-ACT_interest, yield assumtions (04A,05F,06B)_Finance Co's_FY07 Budget Reply PKG_E3_NCI Monthly Cash Flow_9X3 final" xfId="3729" xr:uid="{CD0ACC5F-B3ED-4AFE-B035-6277A56CC232}"/>
    <cellStyle name="_Purple_CAP-ACT_interest, yield assumtions (04A,05F,06B)_Finance Co's_FY07 Budget Reply PKG_E3_NCI Mothly Cash Flow_Jul'09-Final" xfId="3730" xr:uid="{B3623FF6-72B4-4D77-AFFC-5F97875ABB05}"/>
    <cellStyle name="_Purple_CAP-ACT_interest, yield assumtions (04A,05F,06B)_Finance Co's_FY07 Budget Reply PKG_E3_NCI Mothly Cash Flow_Jun'09" xfId="3731" xr:uid="{C617BF75-3AAA-4E40-93AA-C220C78CA2AB}"/>
    <cellStyle name="_Purple_CAP-ACT_interest, yield assumtions (04A,05F,06B)_From Takedasan CF FY07 Fcst#2 Reply PKG for Fin_Cash flow最終" xfId="3732" xr:uid="{315C5C5C-A8E3-4BE7-B1AA-CC4C0443F70F}"/>
    <cellStyle name="_Purple_CAP-ACT_interest, yield assumtions (04A,05F,06B)_From Takedasan CF FY07 Fcst#2 Reply PKG for Fin_Cash flow最終_2136_NCF FY11 Fcst#2 Excel PKG for Finance NML" xfId="3733" xr:uid="{27779CBD-1E11-4BCB-A3B5-9254A339C057}"/>
    <cellStyle name="_Purple_CAP-ACT_interest, yield assumtions (04A,05F,06B)_From Takedasan CF FY07 Fcst#2 Reply PKG for Fin_Cash flow最終_2179_NMAC FY11 Fcst#2 Excel PKG for Finance" xfId="3734" xr:uid="{D07783DA-0C03-4E60-9C8C-52C2D3FC89D4}"/>
    <cellStyle name="_Purple_CAP-ACT_interest, yield assumtions (04A,05F,06B)_From Takedasan CF FY07 Fcst#2 Reply PKG for Fin_Cash flow最終_2576_NFS_FY11 Fcst#2 Excel PKG for Finance_v2(add400M)" xfId="3735" xr:uid="{BDE40EA8-D8B0-49CA-AAAE-5ACE77C43155}"/>
    <cellStyle name="_Purple_CAP-ACT_interest, yield assumtions (04A,05F,06B)_From Takedasan CF FY07 Fcst#2 Reply PKG for Fin_Cash flow最終_3908_NLTH FY11 Fcst#2 Excel PKG for Finance" xfId="3736" xr:uid="{2D234F12-07D8-4BDA-9E68-AE8CB825B96F}"/>
    <cellStyle name="_Purple_CAP-ACT_interest, yield assumtions (04A,05F,06B)_From Takedasan CF FY07 Fcst#2 Reply PKG for Fin_Cash flow最終_3926_DNAF_FY11 Fcst#2 Excel PKG for Finance_ver4.0_20110928" xfId="3737" xr:uid="{AF8A0400-9467-4BCA-B03F-1CF5EC891A4B}"/>
    <cellStyle name="_Purple_CAP-ACT_interest, yield assumtions (04A,05F,06B)_From Takedasan CF FY07 Fcst#2 Reply PKG for Fin_Cash flow最終_3939_NFSA FY11 Fcst#2 Excel PKG for Finance" xfId="3738" xr:uid="{71FD9098-618C-4E5D-98EF-8561C1900E46}"/>
    <cellStyle name="_Purple_CAP-ACT_interest, yield assumtions (04A,05F,06B)_From Takedasan CF FY07 Fcst#2 Reply PKG for Fin_Cash flow最終_NRFM_FY11 Fcst#2 Excel PKG for Finance Sent" xfId="3739" xr:uid="{25E838DF-86B7-4B91-B423-12D84E3B83F7}"/>
    <cellStyle name="_Purple_CAP-ACT_interest, yield assumtions (04A,05F,06B)_FY06 Fcst#1 Reply PKG for Finance Company(提出）最終" xfId="3740" xr:uid="{02BBA58C-1B17-4647-86A4-CB8ADA8FCA02}"/>
    <cellStyle name="_Purple_CAP-ACT_interest, yield assumtions (04A,05F,06B)_FY06 Fcst#1 Reply PKG for Finance Company(提出）最終_2576_NFS_FY11 Fcst#2 Excel PKG for Finance_v2(add400M)" xfId="3741" xr:uid="{68AF2DD1-EE81-457D-A8C6-A25D0E158C7C}"/>
    <cellStyle name="_Purple_CAP-ACT_interest, yield assumtions (04A,05F,06B)_FY07 Fcst#1 Reply PKG for Finance Company_v2" xfId="3742" xr:uid="{759DD4BE-DA1B-49E2-B73C-342040915784}"/>
    <cellStyle name="_Purple_CAP-ACT_interest, yield assumtions (04A,05F,06B)_FY07 Fcst#1 Reply PKG_E" xfId="3743" xr:uid="{0B68B6D9-2F79-4CF3-BC3F-A28FD410507B}"/>
    <cellStyle name="_Purple_CAP-ACT_interest, yield assumtions (04A,05F,06B)_FY07 Fcst#1 Reply PKG_E " xfId="3744" xr:uid="{DB394D09-6616-4DB4-BB7B-E48909AEDA2D}"/>
    <cellStyle name="_Purple_CAP-ACT_interest, yield assumtions (04A,05F,06B)_FY07 Fcst#1 Reply PKG_E (2)" xfId="3745" xr:uid="{745F1D6B-D734-4E18-B33D-07AE796142F0}"/>
    <cellStyle name="_Purple_CAP-ACT_interest, yield assumtions (04A,05F,06B)_FY07 Fcst#1 Reply PKG_E_2136_NCF FY11 Fcst#2 Excel PKG for Finance NML" xfId="3746" xr:uid="{6FC0F759-5C06-4BAD-8DBD-BFE0D51B822F}"/>
    <cellStyle name="_Purple_CAP-ACT_interest, yield assumtions (04A,05F,06B)_FY07 Fcst#1 Reply PKG_E_2179_NMAC FY11 Fcst#2 Excel PKG for Finance" xfId="3747" xr:uid="{AE48E023-5727-4108-8373-526EE34E2AEE}"/>
    <cellStyle name="_Purple_CAP-ACT_interest, yield assumtions (04A,05F,06B)_FY07 Fcst#1 Reply PKG_E_2576_NFS_FY11 Fcst#2 Excel PKG for Finance_v2(add400M)" xfId="3748" xr:uid="{199B8CC6-5436-4FC2-A9BD-E8D623542A10}"/>
    <cellStyle name="_Purple_CAP-ACT_interest, yield assumtions (04A,05F,06B)_FY07 Fcst#1 Reply PKG_E_3908_NLTH FY11 Fcst#2 Excel PKG for Finance" xfId="3749" xr:uid="{C9B53950-9C42-45ED-9099-472DBA61649B}"/>
    <cellStyle name="_Purple_CAP-ACT_interest, yield assumtions (04A,05F,06B)_FY07 Fcst#1 Reply PKG_E_3926_DNAF_FY11 Fcst#2 Excel PKG for Finance_ver4.0_20110928" xfId="3750" xr:uid="{37921463-BDA9-499B-BA84-B4A7A487DE41}"/>
    <cellStyle name="_Purple_CAP-ACT_interest, yield assumtions (04A,05F,06B)_FY07 Fcst#1 Reply PKG_E_3939_NFSA FY11 Fcst#2 Excel PKG for Finance" xfId="3751" xr:uid="{9F3350CC-CE99-4201-BF72-67F646795E28}"/>
    <cellStyle name="_Purple_CAP-ACT_interest, yield assumtions (04A,05F,06B)_FY07 Fcst#1 Reply PKG_E_NRFM_FY11 Fcst#2 Excel PKG for Finance Sent" xfId="3752" xr:uid="{15AB4729-6079-4679-B481-E174C8E96C74}"/>
    <cellStyle name="_Purple_CAP-ACT_interest, yield assumtions (04A,05F,06B)_FY07 Fcst#2 Reply PKG for Finance Company (Sep26)" xfId="3753" xr:uid="{B17F7A3C-ADFF-4115-8FE7-37230E028885}"/>
    <cellStyle name="_Purple_CAP-ACT_interest, yield assumtions (04A,05F,06B)_FY07 Fcst#4 Reply PKG for Finance Company" xfId="3754" xr:uid="{18EE43FC-D7AF-442E-92F2-F736D6F4A29B}"/>
    <cellStyle name="_Purple_CAP-ACT_interest, yield assumtions (04A,05F,06B)_FY07 Reply#1  FY06 FOR#3 Reply PKG for Finance Co's_Oct.26-Final" xfId="3755" xr:uid="{5949B8D8-09DE-44D0-8AA0-4CD6DEC93CB3}"/>
    <cellStyle name="_Purple_CAP-ACT_interest, yield assumtions (04A,05F,06B)_FY07 Reply#1  FY06 FOR#3 Reply PKG for Finance Co's_Oct.26-Final_2576_NFS_FY11 Fcst#2 Excel PKG for Finance_v2(add400M)" xfId="3756" xr:uid="{766335CB-1397-4483-9E8A-FD3C61C30175}"/>
    <cellStyle name="_Purple_CAP-ACT_interest, yield assumtions (04A,05F,06B)_FY07 Reply#1 &amp; FY06 FOR#3 Reply PKG for Finance Co's_Oct.26" xfId="3757" xr:uid="{02B359E7-E39C-433A-B2AE-67C75F6E27C0}"/>
    <cellStyle name="_Purple_CAP-ACT_interest, yield assumtions (04A,05F,06B)_FY07 Reply#1 &amp; FY06 FOR#3 Reply PKG for Finance Co's_Oct.26_2576_NFS_FY11 Fcst#2 Excel PKG for Finance_v2(add400M)" xfId="3758" xr:uid="{B5EF7919-FA61-4F14-A4BF-1214574E9B9A}"/>
    <cellStyle name="_Purple_CAP-ACT_interest, yield assumtions (04A,05F,06B)_FY07 Reply#1 &amp; FY06 FOR#3 Reply PKG for Finance Co's_Oct.31-2" xfId="3759" xr:uid="{1FD7A6AB-906F-4E8E-A298-C7F60B2A7A95}"/>
    <cellStyle name="_Purple_CAP-ACT_interest, yield assumtions (04A,05F,06B)_FY07 Reply#1 &amp; FY06 FOR#3 Reply PKG for Finance Co's_Oct.31-2_2576_NFS_FY11 Fcst#2 Excel PKG for Finance_v2(add400M)" xfId="3760" xr:uid="{EC306281-7F56-4FBE-9F54-9F045B522859}"/>
    <cellStyle name="_Purple_CAP-ACT_interest, yield assumtions (04A,05F,06B)_FY08 Budget Reply#2 PKG for Finance" xfId="3761" xr:uid="{9115AA88-93C3-4BC6-A626-1CA1F088444D}"/>
    <cellStyle name="_Purple_CAP-ACT_interest, yield assumtions (04A,05F,06B)_FY08 Budget Reply#2U PKG for Finance - BS Tab" xfId="3762" xr:uid="{66AB0B56-6C28-42DE-8AEA-30A4B60625BA}"/>
    <cellStyle name="_Purple_CAP-ACT_interest, yield assumtions (04A,05F,06B)_FY08 Budget Reply#2U PKG for Finance - Provision Tab" xfId="3763" xr:uid="{7C7683B4-3D6B-44EC-BF7E-014F2C307552}"/>
    <cellStyle name="_Purple_CAP-ACT_interest, yield assumtions (04A,05F,06B)_FY08 Budget Reply#2U PKG for Finance - Volume Tab" xfId="3764" xr:uid="{12BC0230-D169-49A9-86E4-652C85E6B950}"/>
    <cellStyle name="_Purple_CAP-ACT_interest, yield assumtions (04A,05F,06B)_FY08 Fcst #1 Reply PKG_E" xfId="3765" xr:uid="{56CBD1A8-003A-4EC3-BCA2-7ECA33F6832B}"/>
    <cellStyle name="_Purple_CAP-ACT_interest, yield assumtions (04A,05F,06B)_FY08 Fcst #1 Reply PKG_E-IS" xfId="3766" xr:uid="{159A595A-DACD-4765-B155-864AFFB431A0}"/>
    <cellStyle name="_Purple_CAP-ACT_interest, yield assumtions (04A,05F,06B)_FY08 Fcst #2 for Finance Company From A77" xfId="3767" xr:uid="{39CA3A44-5D65-4CFD-86D1-1025D4EBEDED}"/>
    <cellStyle name="_Purple_CAP-ACT_interest, yield assumtions (04A,05F,06B)_FY08 Fcst #2 for Finance Company_NFS( 提出）xls" xfId="3768" xr:uid="{D8448A2B-5FBA-4895-881D-339467994A3C}"/>
    <cellStyle name="_Purple_CAP-ACT_interest, yield assumtions (04A,05F,06B)_FY08 Fcst #2 for Finance Company_NFS(.提出）xls" xfId="3769" xr:uid="{2AC04115-AF0F-40BB-98D1-687C03A5A76E}"/>
    <cellStyle name="_Purple_CAP-ACT_interest, yield assumtions (04A,05F,06B)_FY08 Fcst #2 Reply PKG_E" xfId="3770" xr:uid="{826418B5-E53A-45A0-858B-7094066981FA}"/>
    <cellStyle name="_Purple_CAP-ACT_interest, yield assumtions (04A,05F,06B)_FY08 Fcst#1 for Finance Company new (2)" xfId="3771" xr:uid="{43B61287-EA41-455A-BED9-F5BDE4B96BD7}"/>
    <cellStyle name="_Purple_CAP-ACT_interest, yield assumtions (04A,05F,06B)_FY08 Fcst#1 for Finance Company new draft (3)" xfId="3772" xr:uid="{2BE664E1-7B3E-4A74-80D7-4B890B5C9F2C}"/>
    <cellStyle name="_Purple_CAP-ACT_interest, yield assumtions (04A,05F,06B)_FY08 Retail Volume April Report 090409" xfId="3773" xr:uid="{1844FDC4-5FC2-4755-8A61-36FFC40BD3E5}"/>
    <cellStyle name="_Purple_CAP-ACT_interest, yield assumtions (04A,05F,06B)_FY09 Budget Reply#1 PKG for Auto" xfId="3774" xr:uid="{FB962F80-35DE-4F69-AA92-A07E1BD6BCA2}"/>
    <cellStyle name="_Purple_CAP-ACT_interest, yield assumtions (04A,05F,06B)_FY09 Budget Reply#1 PKG for Auto_2136_NCF FY11 Fcst#2 Excel PKG for Finance NML" xfId="3775" xr:uid="{92BEBCE5-F644-43CA-A7D8-A7A4AB51CDC9}"/>
    <cellStyle name="_Purple_CAP-ACT_interest, yield assumtions (04A,05F,06B)_FY09 Budget Reply#1 PKG for Auto_2179_NMAC FY11 Fcst#2 Excel PKG for Finance" xfId="3776" xr:uid="{6BFEBF32-12A3-4AD7-8E3B-DE45BAF80B1B}"/>
    <cellStyle name="_Purple_CAP-ACT_interest, yield assumtions (04A,05F,06B)_FY09 Budget Reply#1 PKG for Auto_2576_NFS_FY11 Fcst#2 Excel PKG for Finance_v2(add400M)" xfId="3777" xr:uid="{AD3B0120-7E94-4DDB-9591-FE3F72148C2C}"/>
    <cellStyle name="_Purple_CAP-ACT_interest, yield assumtions (04A,05F,06B)_FY09 Budget Reply#1 PKG for Auto_3908_NLTH FY11 Fcst#2 Excel PKG for Finance" xfId="3778" xr:uid="{86AD3DDE-ACE6-4AA5-9F14-71B01C6C728A}"/>
    <cellStyle name="_Purple_CAP-ACT_interest, yield assumtions (04A,05F,06B)_FY09 Budget Reply#1 PKG for Auto_3926_DNAF_FY11 Fcst#2 Excel PKG for Finance_ver4.0_20110928" xfId="3779" xr:uid="{F0ED7B9C-A7B9-48DF-8D6F-69CE74EF5547}"/>
    <cellStyle name="_Purple_CAP-ACT_interest, yield assumtions (04A,05F,06B)_FY09 Budget Reply#1 PKG for Auto_3939_NFSA FY11 Fcst#2 Excel PKG for Finance" xfId="3780" xr:uid="{9A8B29B4-82B4-4849-AD3E-844CB87D97EC}"/>
    <cellStyle name="_Purple_CAP-ACT_interest, yield assumtions (04A,05F,06B)_FY09 Budget Reply#1 PKG for Auto_NRFM_FY11 Fcst#2 Excel PKG for Finance Sent" xfId="3781" xr:uid="{652BBF52-8125-4B0A-AD39-B0999E381F2E}"/>
    <cellStyle name="_Purple_CAP-ACT_interest, yield assumtions (04A,05F,06B)_FY09 Budget Reply#1 PKG for Finance" xfId="3782" xr:uid="{6C78A367-D348-476E-87A3-2772A4991004}"/>
    <cellStyle name="_Purple_CAP-ACT_interest, yield assumtions (04A,05F,06B)_FY09 Budget Reply#1 PKG for Finance(提出）" xfId="3783" xr:uid="{2C4F5F87-C728-418C-9B9F-C2A5E08C88E9}"/>
    <cellStyle name="_Purple_CAP-ACT_interest, yield assumtions (04A,05F,06B)_FY09 Budget Reply#1 PKG for Finance_2136_NCF FY11 Fcst#2 Excel PKG for Finance NML" xfId="3784" xr:uid="{92F984D8-CACF-4B8D-ACE3-DEFDCB742242}"/>
    <cellStyle name="_Purple_CAP-ACT_interest, yield assumtions (04A,05F,06B)_FY09 Budget Reply#1 PKG for Finance_2179_NMAC FY11 Fcst#2 Excel PKG for Finance" xfId="3785" xr:uid="{E5EAD5C1-B3A5-4521-8D9F-80E0686B8831}"/>
    <cellStyle name="_Purple_CAP-ACT_interest, yield assumtions (04A,05F,06B)_FY09 Budget Reply#1 PKG for Finance_2576_NFS_FY11 Fcst#2 Excel PKG for Finance_v2(add400M)" xfId="3786" xr:uid="{5C5CB30F-908E-4835-8641-3A4F300EE387}"/>
    <cellStyle name="_Purple_CAP-ACT_interest, yield assumtions (04A,05F,06B)_FY09 Budget Reply#1 PKG for Finance_3908_NLTH FY11 Fcst#2 Excel PKG for Finance" xfId="3787" xr:uid="{12A65341-D294-4E0D-A170-9A8354A4F146}"/>
    <cellStyle name="_Purple_CAP-ACT_interest, yield assumtions (04A,05F,06B)_FY09 Budget Reply#1 PKG for Finance_3926_DNAF_FY11 Fcst#2 Excel PKG for Finance_ver4.0_20110928" xfId="3788" xr:uid="{9966B31B-0D28-451A-8570-F4517B26A638}"/>
    <cellStyle name="_Purple_CAP-ACT_interest, yield assumtions (04A,05F,06B)_FY09 Budget Reply#1 PKG for Finance_3939_NFSA FY11 Fcst#2 Excel PKG for Finance" xfId="3789" xr:uid="{533E79B4-9656-40E3-8198-658A577A8CA1}"/>
    <cellStyle name="_Purple_CAP-ACT_interest, yield assumtions (04A,05F,06B)_FY09 Budget Reply#1 PKG for Finance_FY12 TIV_MS_Volume_BP Sim v8 " xfId="3790" xr:uid="{D3D40CF2-06D7-4303-A9A5-1CAB406324E9}"/>
    <cellStyle name="_Purple_CAP-ACT_interest, yield assumtions (04A,05F,06B)_FY09 Budget Reply#1 PKG for Finance_NRFM_FY11 Fcst#2 Excel PKG for Finance Sent" xfId="3791" xr:uid="{BBD74AF8-33DB-4A1F-A527-75D6C76BB421}"/>
    <cellStyle name="_Purple_CAP-ACT_interest, yield assumtions (04A,05F,06B)_FY09 Budget Reply#1 PKG for Financea77" xfId="3792" xr:uid="{53EA076A-6D32-4605-A50B-91130B8A7587}"/>
    <cellStyle name="_Purple_CAP-ACT_interest, yield assumtions (04A,05F,06B)_FY09 Budget Reply#1 PKG for Financea77_2136_NCF FY11 Fcst#2 Excel PKG for Finance NML" xfId="3793" xr:uid="{477AEC6C-C656-431F-B5B1-70E18C84D5A4}"/>
    <cellStyle name="_Purple_CAP-ACT_interest, yield assumtions (04A,05F,06B)_FY09 Budget Reply#1 PKG for Financea77_2179_NMAC FY11 Fcst#2 Excel PKG for Finance" xfId="3794" xr:uid="{AE9A24A5-BF0E-4982-8E69-87869E6F5932}"/>
    <cellStyle name="_Purple_CAP-ACT_interest, yield assumtions (04A,05F,06B)_FY09 Budget Reply#1 PKG for Financea77_2576_NFS_FY11 Fcst#2 Excel PKG for Finance_v2(add400M)" xfId="3795" xr:uid="{30974E37-5F14-4997-AD4E-074BB29902E2}"/>
    <cellStyle name="_Purple_CAP-ACT_interest, yield assumtions (04A,05F,06B)_FY09 Budget Reply#1 PKG for Financea77_3908_NLTH FY11 Fcst#2 Excel PKG for Finance" xfId="3796" xr:uid="{1B74C33B-30B1-41F2-86B9-85811530740E}"/>
    <cellStyle name="_Purple_CAP-ACT_interest, yield assumtions (04A,05F,06B)_FY09 Budget Reply#1 PKG for Financea77_3926_DNAF_FY11 Fcst#2 Excel PKG for Finance_ver4.0_20110928" xfId="3797" xr:uid="{256DC44E-C905-4770-BED2-71F13602D1C1}"/>
    <cellStyle name="_Purple_CAP-ACT_interest, yield assumtions (04A,05F,06B)_FY09 Budget Reply#1 PKG for Financea77_3939_NFSA FY11 Fcst#2 Excel PKG for Finance" xfId="3798" xr:uid="{67365948-10F2-4104-A320-DB1099FFA761}"/>
    <cellStyle name="_Purple_CAP-ACT_interest, yield assumtions (04A,05F,06B)_FY09 Budget Reply#1 PKG for Financea77_FY12 TIV_MS_Volume_BP Sim v8 " xfId="3799" xr:uid="{8993B216-03E3-4515-A0B8-4F8AEF0A7E1D}"/>
    <cellStyle name="_Purple_CAP-ACT_interest, yield assumtions (04A,05F,06B)_FY09 Budget Reply#1 PKG for Financea77_NRFM_FY11 Fcst#2 Excel PKG for Finance Sent" xfId="3800" xr:uid="{A93EE606-DAB1-4927-A251-80B0671AEE91}"/>
    <cellStyle name="_Purple_CAP-ACT_interest, yield assumtions (04A,05F,06B)_FY09 Budget Reply#2 PKG for Auto" xfId="3801" xr:uid="{F5A325FA-D3F4-4DB6-BA5F-4301763FC5E3}"/>
    <cellStyle name="_Purple_CAP-ACT_interest, yield assumtions (04A,05F,06B)_FY09 Budget Reply#2 PKG for Finance" xfId="3802" xr:uid="{00749AB3-10B9-4315-8146-B7A8813D8826}"/>
    <cellStyle name="_Purple_CAP-ACT_interest, yield assumtions (04A,05F,06B)_FY09 Budget Reply#2 PKG for NFS" xfId="3803" xr:uid="{A894C386-14E6-45C4-A7D2-DADBA1B07FB3}"/>
    <cellStyle name="_Purple_CAP-ACT_interest, yield assumtions (04A,05F,06B)_FY09 Budget Reply#3 PKG for Auto" xfId="3804" xr:uid="{C3663A2E-D333-42A2-9627-16242007BB99}"/>
    <cellStyle name="_Purple_CAP-ACT_interest, yield assumtions (04A,05F,06B)_FY09 CNTRL Outlook June-Latest0619-Final Retail" xfId="3805" xr:uid="{A9261C86-0A55-414A-A0C6-308B00B41AEE}"/>
    <cellStyle name="_Purple_CAP-ACT_interest, yield assumtions (04A,05F,06B)_FY09 Fcst #3_TIV_MS_Volume-Dec11" xfId="3806" xr:uid="{43C098D4-88ED-4AC9-B3CB-F549D9294626}"/>
    <cellStyle name="_Purple_CAP-ACT_interest, yield assumtions (04A,05F,06B)_FY09 Landing Scenarios" xfId="3807" xr:uid="{6052C9DE-3B6A-49C6-905D-81F06021BC1F}"/>
    <cellStyle name="_Purple_CAP-ACT_interest, yield assumtions (04A,05F,06B)_FY09 Landing Scenarios_Flash Volume Summary-PER01-rv1" xfId="3808" xr:uid="{36A2EE58-6D1B-45B7-9831-F53627C92D0A}"/>
    <cellStyle name="_Purple_CAP-ACT_interest, yield assumtions (04A,05F,06B)_FY09 Landing Scenarios_Flash Volume Summary-PER02" xfId="3809" xr:uid="{417E7D3B-2F70-482C-83A0-5C06048DD7B6}"/>
    <cellStyle name="_Purple_CAP-ACT_interest, yield assumtions (04A,05F,06B)_FY09 Landing Scenarios_Flash Volume Summary-PER04" xfId="3810" xr:uid="{52748E42-7B15-484A-B0B4-E7EAF8F045BF}"/>
    <cellStyle name="_Purple_CAP-ACT_interest, yield assumtions (04A,05F,06B)_FY09 Landing Scenarios_Flash Volume Summary-PER0自分用2" xfId="3811" xr:uid="{DC14CAA3-A82C-4CDE-85BD-8D6EE3110550}"/>
    <cellStyle name="_Purple_CAP-ACT_interest, yield assumtions (04A,05F,06B)_FY09 Landing Scenarios_Flash Volume Summary-PER10" xfId="3812" xr:uid="{CD2A5416-8F07-400D-87DB-FF053EB08F1D}"/>
    <cellStyle name="_Purple_CAP-ACT_interest, yield assumtions (04A,05F,06B)_FY09 Landing Scenarios_Flash Volume Summary-PER10 for Central" xfId="3813" xr:uid="{DB4C8903-81B4-458B-B830-26BCC17669B7}"/>
    <cellStyle name="_Purple_CAP-ACT_interest, yield assumtions (04A,05F,06B)_FY09 Monthly Budget Excel Package" xfId="3814" xr:uid="{0C962535-6FAC-4B70-8ADE-C1AC6FCF53E1}"/>
    <cellStyle name="_Purple_CAP-ACT_interest, yield assumtions (04A,05F,06B)_FY09 Official Fcst 9x3" xfId="3815" xr:uid="{7CE27709-09F4-426B-8241-B5089BF6B118}"/>
    <cellStyle name="_Purple_CAP-ACT_interest, yield assumtions (04A,05F,06B)_FY09 Retail Volume May Report 090513" xfId="3816" xr:uid="{1C72C64F-430F-4467-B9F2-5E0A7348F42A}"/>
    <cellStyle name="_Purple_CAP-ACT_interest, yield assumtions (04A,05F,06B)_FY09 Retail Volume May Report 090513_Flash Volume Summary-PER01-rv1" xfId="3817" xr:uid="{75B19F73-3900-44ED-8DFB-A16AFFD74F61}"/>
    <cellStyle name="_Purple_CAP-ACT_interest, yield assumtions (04A,05F,06B)_FY09 Retail Volume May Report 090513_Flash Volume Summary-PER02" xfId="3818" xr:uid="{CF2BFCA6-717D-4450-8D4B-3033F2988727}"/>
    <cellStyle name="_Purple_CAP-ACT_interest, yield assumtions (04A,05F,06B)_FY09 Retail Volume May Report 090513_Flash Volume Summary-PER04" xfId="3819" xr:uid="{FFC3814B-2BE5-448C-8510-94A8E80922DF}"/>
    <cellStyle name="_Purple_CAP-ACT_interest, yield assumtions (04A,05F,06B)_FY09 Retail Volume May Report 090513_Flash Volume Summary-PER0自分用2" xfId="3820" xr:uid="{24AD8A34-A706-4C48-BF05-6659FEAC1421}"/>
    <cellStyle name="_Purple_CAP-ACT_interest, yield assumtions (04A,05F,06B)_FY09 Retail Volume May Report 090513_Flash Volume Summary-PER10" xfId="3821" xr:uid="{40FF10A9-A63B-4B51-B615-64DCE5351A53}"/>
    <cellStyle name="_Purple_CAP-ACT_interest, yield assumtions (04A,05F,06B)_FY09 Retail Volume May Report 090513_Flash Volume Summary-PER10 for Central" xfId="3822" xr:uid="{5876F6A2-C9D3-4D81-AF49-3E1135167AFF}"/>
    <cellStyle name="_Purple_CAP-ACT_interest, yield assumtions (04A,05F,06B)_FY09 WS Volume Report_April YTD_090527-Monthly Budget Updated" xfId="3823" xr:uid="{86D34DDE-E868-4A93-8370-CFC057C2B4B2}"/>
    <cellStyle name="_Purple_CAP-ACT_interest, yield assumtions (04A,05F,06B)_FY09Q1 Outlook Volume_Jun22-2" xfId="3824" xr:uid="{CB4A270E-7612-4238-8314-1927E01E6A68}"/>
    <cellStyle name="_Purple_CAP-ACT_interest, yield assumtions (04A,05F,06B)_FY09Q1 Outlook Volume_Jun24" xfId="3825" xr:uid="{72CE327E-1315-40A0-8365-4B29586F13C1}"/>
    <cellStyle name="_Purple_CAP-ACT_interest, yield assumtions (04A,05F,06B)_interest ,yield assumption (07F 09x03) for reply pkg" xfId="3826" xr:uid="{FE5779F1-0C46-4016-9288-EAC855089FA1}"/>
    <cellStyle name="_Purple_CAP-ACT_interest, yield assumtions (04A,05F,06B)_interest ,yield assumption (FY08B#3)" xfId="3827" xr:uid="{FBE00BF8-6F1F-469D-A0B3-22F83DD53EE9}"/>
    <cellStyle name="_Purple_CAP-ACT_interest, yield assumtions (04A,05F,06B)_NCI Monthly Cash Flow_7X5" xfId="3828" xr:uid="{86ACBB14-D0F7-4DB7-894E-37EFECD56508}"/>
    <cellStyle name="_Purple_CAP-ACT_interest, yield assumtions (04A,05F,06B)_NCI Monthly Cash Flow_9X3 final" xfId="3829" xr:uid="{8EA165C9-CB8D-4EDF-AA80-638BA51BD675}"/>
    <cellStyle name="_Purple_CAP-ACT_interest, yield assumtions (04A,05F,06B)_NCI Mothly Cash Flow_Jul'09-Final" xfId="3830" xr:uid="{70F18717-1E98-445A-937C-16CD51A5784B}"/>
    <cellStyle name="_Purple_CAP-ACT_interest, yield assumtions (04A,05F,06B)_NCI Mothly Cash Flow_Jun'09" xfId="3831" xr:uid="{38B3BCAA-D0D7-4EB9-8E60-D90B010FDD4B}"/>
    <cellStyle name="_Purple_CAP-ACT_interest, yield assumtions (04A,05F,06B)_NFS　FY06 Fcst#2 Reply PKG for Finance Company" xfId="3832" xr:uid="{8038FA39-A3BE-44E0-A01E-DC90751DE9C5}"/>
    <cellStyle name="_Purple_CAP-ACT_interest, yield assumtions (04A,05F,06B)_NFS　FY06 Fcst#2 Reply PKG for Finance Company(提出）" xfId="3833" xr:uid="{4E459976-6C65-46E9-B533-86AD056BE210}"/>
    <cellStyle name="_Purple_CAP-ACT_interest, yield assumtions (04A,05F,06B)_NFS　FY06 Fcst#2 Reply PKG for Finance Company(提出）_2576_NFS_FY11 Fcst#2 Excel PKG for Finance_v2(add400M)" xfId="3834" xr:uid="{C5B6AB88-E441-4EF7-B0AA-53BF4192E8A3}"/>
    <cellStyle name="_Purple_CAP-ACT_interest, yield assumtions (04A,05F,06B)_NFS　FY06 Fcst#2 Reply PKG for Finance Company(提出）3" xfId="3835" xr:uid="{1FD8C886-C421-445D-8CB0-D5E3EFA7A296}"/>
    <cellStyle name="_Purple_CAP-ACT_interest, yield assumtions (04A,05F,06B)_NFS　FY06 Fcst#2 Reply PKG for Finance Company(提出）3_2576_NFS_FY11 Fcst#2 Excel PKG for Finance_v2(add400M)" xfId="3836" xr:uid="{EF780982-5317-48DC-BD53-6FF8758AE5F7}"/>
    <cellStyle name="_Purple_CAP-ACT_interest, yield assumtions (04A,05F,06B)_NFS　FY06 Fcst#2 Reply PKG for Finance Company(提出）4" xfId="3837" xr:uid="{AE23DD72-DD73-4693-B26A-BFE9E1116FA9}"/>
    <cellStyle name="_Purple_CAP-ACT_interest, yield assumtions (04A,05F,06B)_NFS　FY06 Fcst#2 Reply PKG for Finance Company(提出）4_2576_NFS_FY11 Fcst#2 Excel PKG for Finance_v2(add400M)" xfId="3838" xr:uid="{914545F9-0890-4EA4-86B3-BF78CE0E63F0}"/>
    <cellStyle name="_Purple_CAP-ACT_interest, yield assumtions (04A,05F,06B)_NFS　FY06 Fcst#2 Reply PKG for Finance Company_2576_NFS_FY11 Fcst#2 Excel PKG for Finance_v2(add400M)" xfId="3839" xr:uid="{2350A068-CADC-408F-A851-E2BD795C2E79}"/>
    <cellStyle name="_Purple_CAP-ACT_interest, yield assumtions (04A,05F,06B)_NFS Variance analysis FOR#1" xfId="3840" xr:uid="{DED41D19-A6BE-42C9-A53A-2259D83994B0}"/>
    <cellStyle name="_Purple_CAP-ACT_interest, yield assumtions (04A,05F,06B)_NFS_MC-Jﾁｰﾑ独自の差異分析ﾌｫｰﾑ" xfId="3841" xr:uid="{BD05C5E4-C770-44BF-9F18-622B00F54633}"/>
    <cellStyle name="_Purple_CAP-ACT_interest, yield assumtions (04A,05F,06B)_NMEX - Fcst #2 (5+7) Financial analysis" xfId="3842" xr:uid="{67715141-952F-4047-9B27-BEE8FB1AEE30}"/>
    <cellStyle name="_Purple_CAP-ACT_interest, yield assumtions (04A,05F,06B)_NRFM_FY11 Fcst#2 Excel PKG for Finance Sent" xfId="3843" xr:uid="{E69DC06F-B498-420F-BEFF-EEBE7E5A0282}"/>
    <cellStyle name="_Purple_CAP-ACT_interest, yield assumtions (04A,05F,06B)_Sheet2" xfId="3844" xr:uid="{4E08FAED-7E68-484E-91AC-D3C0539A9CD9}"/>
    <cellStyle name="_Purple_CAP-ACT_interest, yield assumtions (04A,05F,06B)_Variance analysis_NFS_FC#1" xfId="3845" xr:uid="{476A1ECB-21DB-43C0-9E75-1FA7194C0513}"/>
    <cellStyle name="_Purple_CAP-ACT_interest, yield assumtions (04A,05F,06B)_コピーFY08 Fcst #2 Reply PKG_E" xfId="3846" xr:uid="{2A905FFC-8BF3-423B-9388-0252FCFE4F70}"/>
    <cellStyle name="_Purple_CAP-ACT_interest, yield assumtions_2136_NCF FY11 Fcst#2 Excel PKG for Finance NML" xfId="3847" xr:uid="{BB80CD6E-8E72-4A23-8416-2A0EAE99034E}"/>
    <cellStyle name="_Purple_CAP-ACT_interest, yield assumtions_2179_NMAC FY11 Fcst#2 Excel PKG for Finance" xfId="3848" xr:uid="{E9E9B6A9-64FA-4302-B545-46FFE0274323}"/>
    <cellStyle name="_Purple_CAP-ACT_interest, yield assumtions_2576_NFS_FY11 Fcst#2 Excel PKG for Finance_v2(add400M)" xfId="3849" xr:uid="{241F5A1F-B241-41E8-962C-CD22500D5B5D}"/>
    <cellStyle name="_Purple_CAP-ACT_interest, yield assumtions_3908_NLTH FY11 Fcst#2 Excel PKG for Finance" xfId="3850" xr:uid="{6F1A99B8-A7C2-4FDD-B51B-EF12ABE7079B}"/>
    <cellStyle name="_Purple_CAP-ACT_interest, yield assumtions_3926_DNAF_FY11 Fcst#2 Excel PKG for Finance_ver4.0_20110928" xfId="3851" xr:uid="{02244765-90ED-40D1-B23B-138DCF336C7C}"/>
    <cellStyle name="_Purple_CAP-ACT_interest, yield assumtions_3939_NFSA FY11 Fcst#2 Excel PKG for Finance" xfId="3852" xr:uid="{F9804689-3CEF-4432-9C35-BA4F144E6C05}"/>
    <cellStyle name="_Purple_CAP-ACT_interest, yield assumtions_FY08 Retail Volume April Report 090409" xfId="3853" xr:uid="{8040BF45-556C-4B21-8D45-CD9C5D4E240D}"/>
    <cellStyle name="_Purple_CAP-ACT_interest, yield assumtions_FY09 CNTRL Outlook June-Latest0619-Final Retail" xfId="3854" xr:uid="{2431A5E2-A5AE-432E-B9F0-A8CE5056451A}"/>
    <cellStyle name="_Purple_CAP-ACT_interest, yield assumtions_FY09 Fcst #3_TIV_MS_Volume-Dec11" xfId="3855" xr:uid="{6C0580B2-813B-4639-A581-39D9C69EFF5F}"/>
    <cellStyle name="_Purple_CAP-ACT_interest, yield assumtions_FY09 Landing Scenarios" xfId="3856" xr:uid="{B0797E3B-B1EE-40CE-A464-4559219E6E2A}"/>
    <cellStyle name="_Purple_CAP-ACT_interest, yield assumtions_FY09 Landing Scenarios_Flash Volume Summary-PER01-rv1" xfId="3857" xr:uid="{59975DF9-5400-49C0-AEAE-36F1B7650298}"/>
    <cellStyle name="_Purple_CAP-ACT_interest, yield assumtions_FY09 Landing Scenarios_Flash Volume Summary-PER02" xfId="3858" xr:uid="{00BF7025-0B22-415B-BC74-E73297F72ACD}"/>
    <cellStyle name="_Purple_CAP-ACT_interest, yield assumtions_FY09 Landing Scenarios_Flash Volume Summary-PER04" xfId="3859" xr:uid="{C29E5B10-8477-4E5A-8848-93BB13FFEEE0}"/>
    <cellStyle name="_Purple_CAP-ACT_interest, yield assumtions_FY09 Landing Scenarios_Flash Volume Summary-PER0自分用2" xfId="3860" xr:uid="{5184C79D-DB01-456D-916C-B31DFBCB2D5F}"/>
    <cellStyle name="_Purple_CAP-ACT_interest, yield assumtions_FY09 Landing Scenarios_Flash Volume Summary-PER10" xfId="3861" xr:uid="{1EF09571-39A8-4C1A-9C99-7F0E28F485D9}"/>
    <cellStyle name="_Purple_CAP-ACT_interest, yield assumtions_FY09 Landing Scenarios_Flash Volume Summary-PER10 for Central" xfId="3862" xr:uid="{B924F3E1-32EF-4575-A63A-66D8C1F3EAF6}"/>
    <cellStyle name="_Purple_CAP-ACT_interest, yield assumtions_FY09 Monthly Budget Excel Package" xfId="3863" xr:uid="{3F10DD9B-AB9E-4F53-B3DB-B161E3431A9E}"/>
    <cellStyle name="_Purple_CAP-ACT_interest, yield assumtions_FY09 Official Fcst 9x3" xfId="3864" xr:uid="{0F203F05-8642-43CB-B29E-4F9E716B0F11}"/>
    <cellStyle name="_Purple_CAP-ACT_interest, yield assumtions_FY09 Retail Volume May Report 090513" xfId="3865" xr:uid="{0A20B805-5B5A-4F3C-88D6-93851CC655EC}"/>
    <cellStyle name="_Purple_CAP-ACT_interest, yield assumtions_FY09 Retail Volume May Report 090513_Flash Volume Summary-PER01-rv1" xfId="3866" xr:uid="{296069B0-C6DA-446D-8E13-BD9F6813BF82}"/>
    <cellStyle name="_Purple_CAP-ACT_interest, yield assumtions_FY09 Retail Volume May Report 090513_Flash Volume Summary-PER02" xfId="3867" xr:uid="{9D8EC7B3-AE94-4E96-B8C7-742F0CF81E5C}"/>
    <cellStyle name="_Purple_CAP-ACT_interest, yield assumtions_FY09 Retail Volume May Report 090513_Flash Volume Summary-PER04" xfId="3868" xr:uid="{FBFDA4E6-B569-40E5-A41D-154AC7812648}"/>
    <cellStyle name="_Purple_CAP-ACT_interest, yield assumtions_FY09 Retail Volume May Report 090513_Flash Volume Summary-PER0自分用2" xfId="3869" xr:uid="{BEE3FCA6-1144-446C-87B3-220C6C9860BF}"/>
    <cellStyle name="_Purple_CAP-ACT_interest, yield assumtions_FY09 Retail Volume May Report 090513_Flash Volume Summary-PER10" xfId="3870" xr:uid="{20220B83-B4A1-4768-AD9F-E8DBCDF19F8F}"/>
    <cellStyle name="_Purple_CAP-ACT_interest, yield assumtions_FY09 Retail Volume May Report 090513_Flash Volume Summary-PER10 for Central" xfId="3871" xr:uid="{08A7E495-3E47-43C2-BC5D-4CD04EA79473}"/>
    <cellStyle name="_Purple_CAP-ACT_interest, yield assumtions_FY09 WS Volume Report_April YTD_090527-Monthly Budget Updated" xfId="3872" xr:uid="{36141C7E-2DC4-4863-A397-D106FE88C882}"/>
    <cellStyle name="_Purple_CAP-ACT_interest, yield assumtions_FY09Q1 Outlook Volume_Jun22-2" xfId="3873" xr:uid="{593AE19A-DFA2-40C2-88ED-06D6ED5913D0}"/>
    <cellStyle name="_Purple_CAP-ACT_interest, yield assumtions_FY09Q1 Outlook Volume_Jun24" xfId="3874" xr:uid="{4DFBF5E5-D40D-4B1D-A2CA-5161F55C0EF4}"/>
    <cellStyle name="_Purple_CAP-ACT_interest, yield assumtions_NCI Monthly Cash Flow_7X5" xfId="3875" xr:uid="{CD595B07-749C-4E1A-83E5-1BB42D8198C0}"/>
    <cellStyle name="_Purple_CAP-ACT_interest, yield assumtions_NCI Monthly Cash Flow_9X3 final" xfId="3876" xr:uid="{48A1F4FD-C8BA-4890-8E51-0603A693C359}"/>
    <cellStyle name="_Purple_CAP-ACT_interest, yield assumtions_NCI Mothly Cash Flow_Jul'09-Final" xfId="3877" xr:uid="{B68EBA44-1E81-4AEC-891C-59A136035F48}"/>
    <cellStyle name="_Purple_CAP-ACT_interest, yield assumtions_NCI Mothly Cash Flow_Jun'09" xfId="3878" xr:uid="{A1EE1A03-41CC-4707-A73F-63859A155EDD}"/>
    <cellStyle name="_Purple_CAP-ACT_interest, yield assumtions_NMEX - Fcst #2 (5+7) Financial analysis" xfId="3879" xr:uid="{EE5EA038-4DF3-448F-8AD1-DAFE1ECDED7D}"/>
    <cellStyle name="_Purple_CAP-ACT_interest, yield assumtions_NRFM_FY11 Fcst#2 Excel PKG for Finance Sent" xfId="3880" xr:uid="{02397DA0-167C-427B-AF8E-8992AEE06ABC}"/>
    <cellStyle name="_Purple_CAP-ACT_MC-A Management Commitment Detail Calculation (3)" xfId="3881" xr:uid="{2BC9A1A2-8F49-49A6-9F43-B5DC7FD6F3F2}"/>
    <cellStyle name="_Purple_CAP-ACT_MC-A Oct 29 Presentation P&amp;S " xfId="3882" xr:uid="{4510E194-8E7F-4563-A888-4914690B1236}"/>
    <cellStyle name="_Purple_CAP-ACT_MCA Risks-Opps" xfId="3883" xr:uid="{1B081AEF-6316-411A-B104-F575C26D6482}"/>
    <cellStyle name="_Purple_CAP-ACT_MCA Risks-Opps_NI_Forecast_020110" xfId="3884" xr:uid="{34743227-D469-4B84-B57D-A4CFE59D1867}"/>
    <cellStyle name="_Purple_CAP-ACT_MCA Risks-Opps_NI_Forecast_112409" xfId="3885" xr:uid="{4130264F-DC84-4E35-8004-41FED6343788}"/>
    <cellStyle name="_Purple_CAP-ACT_MCA Risks-Opps_NI_Forecast_112409_2010 Reply 3 PXP Report v2 0 DISTv2 (2)" xfId="3886" xr:uid="{E97AAC6F-AFF5-4AD6-9002-7677E2BE809C}"/>
    <cellStyle name="_Purple_CAP-ACT_MCA Risks-Opps_NI_Forecast_112409_2010 Reply3b PXP Report v2 0 DISTv1" xfId="3887" xr:uid="{0228B775-5155-4D1B-9623-C284EB509E9C}"/>
    <cellStyle name="_Purple_CAP-ACT_MCA Risks-Opps_NI_Forecast_FY10_120110" xfId="3888" xr:uid="{40261A4D-0B4E-4715-8879-0683E507D38E}"/>
    <cellStyle name="_Purple_CAP-ACT_MCA Risks-Opps_NMEX - BP09 R#2b back up Final (Jan 27)26 " xfId="3889" xr:uid="{89DBF877-DE2B-4288-9DB5-75E3B61A74C2}"/>
    <cellStyle name="_Purple_CAP-ACT_MCA Risks-Opps_Tax Expense FY10 7x5 to FPA 113010" xfId="3890" xr:uid="{F1DCA38D-33A2-4940-9501-AC62481BDF17}"/>
    <cellStyle name="_Purple_CAP-ACT_MCA Template Dec2 jfv1 (2)" xfId="3891" xr:uid="{2A4F7722-4356-485D-86DC-461EBD85A8EF}"/>
    <cellStyle name="_Purple_CAP-ACT_MCA Template Mar" xfId="3892" xr:uid="{F4DBC2E7-1DEF-412C-B9D9-A0110584BDED}"/>
    <cellStyle name="_Purple_CAP-ACT_MTP sub#2 schedules (thru FY08)" xfId="3893" xr:uid="{70A95B5E-887D-4EF7-BE28-44D7FABCCDA8}"/>
    <cellStyle name="_Purple_CAP-ACT_MTP sub#2 schedules (thru FY08).xls Chart 1" xfId="3894" xr:uid="{D2DB53D6-AC9A-4BB4-9A36-7F546BCBD081}"/>
    <cellStyle name="_Purple_CAP-ACT_MTP sub#2 schedules (thru FY08).xls Chart 1_2136_NCF FY11 Fcst#2 Excel PKG for Finance NML" xfId="3895" xr:uid="{4842054C-8694-4529-B9E7-D3EFEB40EE22}"/>
    <cellStyle name="_Purple_CAP-ACT_MTP sub#2 schedules (thru FY08).xls Chart 1_2179_NMAC FY11 Fcst#2 Excel PKG for Finance" xfId="3896" xr:uid="{EEE2C2F6-2421-4F74-BD57-46D04F38F36B}"/>
    <cellStyle name="_Purple_CAP-ACT_MTP sub#2 schedules (thru FY08).xls Chart 1_2576_NFS_FY11 Fcst#2 Excel PKG for Finance_v2(add400M)" xfId="3897" xr:uid="{30A39FB3-0FDA-441F-8142-374BBB60633E}"/>
    <cellStyle name="_Purple_CAP-ACT_MTP sub#2 schedules (thru FY08).xls Chart 1_3908_NLTH FY11 Fcst#2 Excel PKG for Finance" xfId="3898" xr:uid="{7D4BDD09-32B2-4567-8E4F-ADEE27A0589D}"/>
    <cellStyle name="_Purple_CAP-ACT_MTP sub#2 schedules (thru FY08).xls Chart 1_3926_DNAF_FY11 Fcst#2 Excel PKG for Finance_ver4.0_20110928" xfId="3899" xr:uid="{FBD9EE35-1E32-4B5F-B870-C204EEC6FE8A}"/>
    <cellStyle name="_Purple_CAP-ACT_MTP sub#2 schedules (thru FY08).xls Chart 1_3939_NFSA FY11 Fcst#2 Excel PKG for Finance" xfId="3900" xr:uid="{C9F53292-31D1-4E58-B8EC-242EF4E5BBC1}"/>
    <cellStyle name="_Purple_CAP-ACT_MTP sub#2 schedules (thru FY08).xls Chart 1_FY08 Retail Volume April Report 090409" xfId="3901" xr:uid="{754A84B7-5DE9-4007-8343-D70982752095}"/>
    <cellStyle name="_Purple_CAP-ACT_MTP sub#2 schedules (thru FY08).xls Chart 1_FY09 CNTRL Outlook June-Latest0619-Final Retail" xfId="3902" xr:uid="{376F32A1-E444-457A-AE51-0401D5582EF5}"/>
    <cellStyle name="_Purple_CAP-ACT_MTP sub#2 schedules (thru FY08).xls Chart 1_FY09 Fcst #3_TIV_MS_Volume-Dec11" xfId="3903" xr:uid="{67A3B09A-53DF-4176-A55A-46ED3303962F}"/>
    <cellStyle name="_Purple_CAP-ACT_MTP sub#2 schedules (thru FY08).xls Chart 1_FY09 Landing Scenarios" xfId="3904" xr:uid="{46B2AAD6-8600-418C-9FB4-41CF6A1F7D4A}"/>
    <cellStyle name="_Purple_CAP-ACT_MTP sub#2 schedules (thru FY08).xls Chart 1_FY09 Landing Scenarios_Flash Volume Summary-PER01-rv1" xfId="3905" xr:uid="{8AE203FB-3275-4E42-9840-17A910932B05}"/>
    <cellStyle name="_Purple_CAP-ACT_MTP sub#2 schedules (thru FY08).xls Chart 1_FY09 Landing Scenarios_Flash Volume Summary-PER02" xfId="3906" xr:uid="{7DB1CEE9-6D15-453E-A281-863AE90FFE5A}"/>
    <cellStyle name="_Purple_CAP-ACT_MTP sub#2 schedules (thru FY08).xls Chart 1_FY09 Landing Scenarios_Flash Volume Summary-PER04" xfId="3907" xr:uid="{1893C0EB-C99D-441D-AFC4-E26C2C3FCDD3}"/>
    <cellStyle name="_Purple_CAP-ACT_MTP sub#2 schedules (thru FY08).xls Chart 1_FY09 Landing Scenarios_Flash Volume Summary-PER0自分用2" xfId="3908" xr:uid="{76F971E8-26F3-4069-843F-A03D63F7D60F}"/>
    <cellStyle name="_Purple_CAP-ACT_MTP sub#2 schedules (thru FY08).xls Chart 1_FY09 Landing Scenarios_Flash Volume Summary-PER10" xfId="3909" xr:uid="{6607C1FE-8E29-4DB7-AE26-F8C9A7A21D39}"/>
    <cellStyle name="_Purple_CAP-ACT_MTP sub#2 schedules (thru FY08).xls Chart 1_FY09 Landing Scenarios_Flash Volume Summary-PER10 for Central" xfId="3910" xr:uid="{D2DB01FF-69D4-45DA-B5F7-4B78AF0D7238}"/>
    <cellStyle name="_Purple_CAP-ACT_MTP sub#2 schedules (thru FY08).xls Chart 1_FY09 Monthly Budget Excel Package" xfId="3911" xr:uid="{601D04C8-4EAC-4800-92BB-066DD0330694}"/>
    <cellStyle name="_Purple_CAP-ACT_MTP sub#2 schedules (thru FY08).xls Chart 1_FY09 Official Fcst 9x3" xfId="3912" xr:uid="{635BF803-325C-49D8-8215-78B7909B136E}"/>
    <cellStyle name="_Purple_CAP-ACT_MTP sub#2 schedules (thru FY08).xls Chart 1_FY09 Retail Volume May Report 090513" xfId="3913" xr:uid="{CEE1CB90-FBA8-4954-9FF8-021EF142462C}"/>
    <cellStyle name="_Purple_CAP-ACT_MTP sub#2 schedules (thru FY08).xls Chart 1_FY09 Retail Volume May Report 090513_Flash Volume Summary-PER01-rv1" xfId="3914" xr:uid="{85BCC2CD-984C-42A1-B68F-8DA04D0DF79F}"/>
    <cellStyle name="_Purple_CAP-ACT_MTP sub#2 schedules (thru FY08).xls Chart 1_FY09 Retail Volume May Report 090513_Flash Volume Summary-PER02" xfId="3915" xr:uid="{071FF02D-4A99-4F5D-A905-48C72712409B}"/>
    <cellStyle name="_Purple_CAP-ACT_MTP sub#2 schedules (thru FY08).xls Chart 1_FY09 Retail Volume May Report 090513_Flash Volume Summary-PER04" xfId="3916" xr:uid="{ABC69680-87D0-4621-AFCB-CD2C5E6B7CD0}"/>
    <cellStyle name="_Purple_CAP-ACT_MTP sub#2 schedules (thru FY08).xls Chart 1_FY09 Retail Volume May Report 090513_Flash Volume Summary-PER0自分用2" xfId="3917" xr:uid="{CF71DAE5-0CDD-438A-897F-77C65BC403A9}"/>
    <cellStyle name="_Purple_CAP-ACT_MTP sub#2 schedules (thru FY08).xls Chart 1_FY09 Retail Volume May Report 090513_Flash Volume Summary-PER10" xfId="3918" xr:uid="{18B250CA-E42A-49B3-9213-19FBE94A8C1D}"/>
    <cellStyle name="_Purple_CAP-ACT_MTP sub#2 schedules (thru FY08).xls Chart 1_FY09 Retail Volume May Report 090513_Flash Volume Summary-PER10 for Central" xfId="3919" xr:uid="{0140FB15-37ED-45E1-8BAF-A3C475023608}"/>
    <cellStyle name="_Purple_CAP-ACT_MTP sub#2 schedules (thru FY08).xls Chart 1_FY09 WS Volume Report_April YTD_090527-Monthly Budget Updated" xfId="3920" xr:uid="{54019D02-4281-4F9B-A116-8366F1DB4EDA}"/>
    <cellStyle name="_Purple_CAP-ACT_MTP sub#2 schedules (thru FY08).xls Chart 1_FY09Q1 Outlook Volume_Jun22-2" xfId="3921" xr:uid="{AD760E31-A022-402F-89A3-F48B897478B6}"/>
    <cellStyle name="_Purple_CAP-ACT_MTP sub#2 schedules (thru FY08).xls Chart 1_FY09Q1 Outlook Volume_Jun24" xfId="3922" xr:uid="{266A1DB3-C235-4EF8-88FB-0EB37515D673}"/>
    <cellStyle name="_Purple_CAP-ACT_MTP sub#2 schedules (thru FY08).xls Chart 1_NCI Monthly Cash Flow_7X5" xfId="3923" xr:uid="{AB35C158-A731-42A7-9C74-0B59E1FBF991}"/>
    <cellStyle name="_Purple_CAP-ACT_MTP sub#2 schedules (thru FY08).xls Chart 1_NCI Monthly Cash Flow_9X3 final" xfId="3924" xr:uid="{FBC0EEA3-527A-4678-BE8E-DC73C4350698}"/>
    <cellStyle name="_Purple_CAP-ACT_MTP sub#2 schedules (thru FY08).xls Chart 1_NCI Mothly Cash Flow_Jul'09-Final" xfId="3925" xr:uid="{A5F5CC0E-AE69-4FA9-9EBD-991E7D629A26}"/>
    <cellStyle name="_Purple_CAP-ACT_MTP sub#2 schedules (thru FY08).xls Chart 1_NCI Mothly Cash Flow_Jun'09" xfId="3926" xr:uid="{9D68330A-D6D1-490E-8A49-535AF4D7C577}"/>
    <cellStyle name="_Purple_CAP-ACT_MTP sub#2 schedules (thru FY08).xls Chart 1_NMEX - Fcst #2 (5+7) Financial analysis" xfId="3927" xr:uid="{B2251971-CAE6-46AD-BF36-1BAC05D3068D}"/>
    <cellStyle name="_Purple_CAP-ACT_MTP sub#2 schedules (thru FY08).xls Chart 1_NRFM_FY11 Fcst#2 Excel PKG for Finance Sent" xfId="3928" xr:uid="{6BE97E24-72A3-4DF6-AAA5-F2705CBDD29C}"/>
    <cellStyle name="_Purple_CAP-ACT_MTP sub#2 schedules (thru FY08)_2136_NCF FY11 Fcst#2 Excel PKG for Finance NML" xfId="3929" xr:uid="{DEA7ADDB-CCD5-4E77-BB68-04F153E57F9E}"/>
    <cellStyle name="_Purple_CAP-ACT_MTP sub#2 schedules (thru FY08)_2179_NMAC FY11 Fcst#2 Excel PKG for Finance" xfId="3930" xr:uid="{ECCD869E-06AE-4FFE-9CAC-7AA3AC4BF232}"/>
    <cellStyle name="_Purple_CAP-ACT_MTP sub#2 schedules (thru FY08)_2576_NFS_FY11 Fcst#2 Excel PKG for Finance_v2(add400M)" xfId="3931" xr:uid="{8C7EA3A4-AA41-412B-AF23-252A98E048A5}"/>
    <cellStyle name="_Purple_CAP-ACT_MTP sub#2 schedules (thru FY08)_3908_NLTH FY11 Fcst#2 Excel PKG for Finance" xfId="3932" xr:uid="{FEF89E23-550D-4F60-96C1-7E732061D430}"/>
    <cellStyle name="_Purple_CAP-ACT_MTP sub#2 schedules (thru FY08)_3926_DNAF_FY11 Fcst#2 Excel PKG for Finance_ver4.0_20110928" xfId="3933" xr:uid="{8D394B4C-C811-41C2-B259-D34778C1952F}"/>
    <cellStyle name="_Purple_CAP-ACT_MTP sub#2 schedules (thru FY08)_3939_NFSA FY11 Fcst#2 Excel PKG for Finance" xfId="3934" xr:uid="{FB2F36DF-297E-4593-8948-D506B5E32445}"/>
    <cellStyle name="_Purple_CAP-ACT_MTP sub#2 schedules (thru FY08)_FY08 Retail Volume April Report 090409" xfId="3935" xr:uid="{984AB8C8-87A9-4365-864B-53307C2EF8A9}"/>
    <cellStyle name="_Purple_CAP-ACT_MTP sub#2 schedules (thru FY08)_FY09 CNTRL Outlook June-Latest0619-Final Retail" xfId="3936" xr:uid="{5E1BD564-AFF5-4B34-A03C-4128578751F1}"/>
    <cellStyle name="_Purple_CAP-ACT_MTP sub#2 schedules (thru FY08)_FY09 Fcst #3_TIV_MS_Volume-Dec11" xfId="3937" xr:uid="{F23F04A1-0266-4AD4-A6CC-298EB0FEF3FE}"/>
    <cellStyle name="_Purple_CAP-ACT_MTP sub#2 schedules (thru FY08)_FY09 Landing Scenarios" xfId="3938" xr:uid="{2777EEF2-DDC3-4368-88E7-6AB876F3A32F}"/>
    <cellStyle name="_Purple_CAP-ACT_MTP sub#2 schedules (thru FY08)_FY09 Landing Scenarios_Flash Volume Summary-PER01-rv1" xfId="3939" xr:uid="{4E096083-7BE9-4B47-9CFD-392E23C752E3}"/>
    <cellStyle name="_Purple_CAP-ACT_MTP sub#2 schedules (thru FY08)_FY09 Landing Scenarios_Flash Volume Summary-PER02" xfId="3940" xr:uid="{8A48B505-4382-4591-9144-E10100803D58}"/>
    <cellStyle name="_Purple_CAP-ACT_MTP sub#2 schedules (thru FY08)_FY09 Landing Scenarios_Flash Volume Summary-PER04" xfId="3941" xr:uid="{8FC0FD90-F085-462F-9FC8-646927BDC138}"/>
    <cellStyle name="_Purple_CAP-ACT_MTP sub#2 schedules (thru FY08)_FY09 Landing Scenarios_Flash Volume Summary-PER0自分用2" xfId="3942" xr:uid="{F107B40F-7E04-4E2A-AC7D-F3190E7370BD}"/>
    <cellStyle name="_Purple_CAP-ACT_MTP sub#2 schedules (thru FY08)_FY09 Landing Scenarios_Flash Volume Summary-PER10" xfId="3943" xr:uid="{0A442C9D-4011-4B5C-AF30-976D1F2883F4}"/>
    <cellStyle name="_Purple_CAP-ACT_MTP sub#2 schedules (thru FY08)_FY09 Landing Scenarios_Flash Volume Summary-PER10 for Central" xfId="3944" xr:uid="{CCB17E97-A521-491E-A3C5-2644468A3B73}"/>
    <cellStyle name="_Purple_CAP-ACT_MTP sub#2 schedules (thru FY08)_FY09 Monthly Budget Excel Package" xfId="3945" xr:uid="{BB3C627F-BB3F-4F49-B513-2F2915423571}"/>
    <cellStyle name="_Purple_CAP-ACT_MTP sub#2 schedules (thru FY08)_FY09 Official Fcst 9x3" xfId="3946" xr:uid="{2C4BD2FB-B158-480B-9B4A-52E567C525F4}"/>
    <cellStyle name="_Purple_CAP-ACT_MTP sub#2 schedules (thru FY08)_FY09 Retail Volume May Report 090513" xfId="3947" xr:uid="{DB7B0E24-AC36-4848-981D-4299E1BB197A}"/>
    <cellStyle name="_Purple_CAP-ACT_MTP sub#2 schedules (thru FY08)_FY09 Retail Volume May Report 090513_Flash Volume Summary-PER01-rv1" xfId="3948" xr:uid="{96A0BB8B-E747-42B4-9DFE-2114021AE257}"/>
    <cellStyle name="_Purple_CAP-ACT_MTP sub#2 schedules (thru FY08)_FY09 Retail Volume May Report 090513_Flash Volume Summary-PER02" xfId="3949" xr:uid="{EB13309E-DCA5-4B61-9E65-440A99440804}"/>
    <cellStyle name="_Purple_CAP-ACT_MTP sub#2 schedules (thru FY08)_FY09 Retail Volume May Report 090513_Flash Volume Summary-PER04" xfId="3950" xr:uid="{6874E642-9749-49D1-A9C2-CAF6194D098D}"/>
    <cellStyle name="_Purple_CAP-ACT_MTP sub#2 schedules (thru FY08)_FY09 Retail Volume May Report 090513_Flash Volume Summary-PER0自分用2" xfId="3951" xr:uid="{C5F3FA66-E7B1-406E-A219-56467C6D453B}"/>
    <cellStyle name="_Purple_CAP-ACT_MTP sub#2 schedules (thru FY08)_FY09 Retail Volume May Report 090513_Flash Volume Summary-PER10" xfId="3952" xr:uid="{EC0A8F52-BFA6-4B0E-BDC0-721AA3C71B48}"/>
    <cellStyle name="_Purple_CAP-ACT_MTP sub#2 schedules (thru FY08)_FY09 Retail Volume May Report 090513_Flash Volume Summary-PER10 for Central" xfId="3953" xr:uid="{4844D8A2-B8E9-4F5B-92E4-8E3DAF70A5BB}"/>
    <cellStyle name="_Purple_CAP-ACT_MTP sub#2 schedules (thru FY08)_FY09 WS Volume Report_April YTD_090527-Monthly Budget Updated" xfId="3954" xr:uid="{78A159EB-C6FA-49CF-9A4D-BFCBF05695BA}"/>
    <cellStyle name="_Purple_CAP-ACT_MTP sub#2 schedules (thru FY08)_FY09Q1 Outlook Volume_Jun22-2" xfId="3955" xr:uid="{87145095-A78F-4B60-8C6D-EFFF05FD297F}"/>
    <cellStyle name="_Purple_CAP-ACT_MTP sub#2 schedules (thru FY08)_FY09Q1 Outlook Volume_Jun24" xfId="3956" xr:uid="{A0562568-2C71-465A-99DC-ACB7A77EED19}"/>
    <cellStyle name="_Purple_CAP-ACT_MTP sub#2 schedules (thru FY08)_interest ,yield assumption (08B#2) v2" xfId="3957" xr:uid="{4B6BA275-A432-40BA-902F-8A3CB24E5EB4}"/>
    <cellStyle name="_Purple_CAP-ACT_MTP sub#2 schedules (thru FY08)_interest, yield assumtions (04A,05F,06B)" xfId="3958" xr:uid="{BA46D5C5-5D43-432C-8F4C-ED1F2ED4121C}"/>
    <cellStyle name="_Purple_CAP-ACT_MTP sub#2 schedules (thru FY08)_interest, yield assumtions (04A,05F,06B)_?Draft?FY07 Budget Reply PKG_Finance Company_E" xfId="3959" xr:uid="{5D29C191-DD72-4843-BD79-145948CF5349}"/>
    <cellStyle name="_Purple_CAP-ACT_MTP sub#2 schedules (thru FY08)_interest, yield assumtions (04A,05F,06B)_【Draft】FY07 Budget Reply PKG_Finance Company_E" xfId="3960" xr:uid="{CEA3AF1E-D4AD-47F0-8484-A1DB52FA70B4}"/>
    <cellStyle name="_Purple_CAP-ACT_MTP sub#2 schedules (thru FY08)_interest, yield assumtions (04A,05F,06B)_【Draft】FY07 Budget Reply PKG_Finance Company_E_2136_NCF FY11 Fcst#2 Excel PKG for Finance NML" xfId="3961" xr:uid="{E49AFDD6-3C9B-4822-99DE-7B1ADABA62AE}"/>
    <cellStyle name="_Purple_CAP-ACT_MTP sub#2 schedules (thru FY08)_interest, yield assumtions (04A,05F,06B)_【Draft】FY07 Budget Reply PKG_Finance Company_E_2179_NMAC FY11 Fcst#2 Excel PKG for Finance" xfId="3962" xr:uid="{88A5935B-8033-4C53-BFC5-17C4B264A6EB}"/>
    <cellStyle name="_Purple_CAP-ACT_MTP sub#2 schedules (thru FY08)_interest, yield assumtions (04A,05F,06B)_【Draft】FY07 Budget Reply PKG_Finance Company_E_2576_NFS_FY11 Fcst#2 Excel PKG for Finance_v2(add400M)" xfId="3963" xr:uid="{E45F07ED-4A02-445C-ACB4-4F3CA6CDA109}"/>
    <cellStyle name="_Purple_CAP-ACT_MTP sub#2 schedules (thru FY08)_interest, yield assumtions (04A,05F,06B)_【Draft】FY07 Budget Reply PKG_Finance Company_E_3908_NLTH FY11 Fcst#2 Excel PKG for Finance" xfId="3964" xr:uid="{2B0A54BC-FEA2-46F3-8992-DBE8CF331B5B}"/>
    <cellStyle name="_Purple_CAP-ACT_MTP sub#2 schedules (thru FY08)_interest, yield assumtions (04A,05F,06B)_【Draft】FY07 Budget Reply PKG_Finance Company_E_3926_DNAF_FY11 Fcst#2 Excel PKG for Finance_ver4.0_20110928" xfId="3965" xr:uid="{1087C946-0077-4D57-9406-0E9D3D716ACE}"/>
    <cellStyle name="_Purple_CAP-ACT_MTP sub#2 schedules (thru FY08)_interest, yield assumtions (04A,05F,06B)_【Draft】FY07 Budget Reply PKG_Finance Company_E_3939_NFSA FY11 Fcst#2 Excel PKG for Finance" xfId="3966" xr:uid="{030E564D-F977-44D2-938E-892E24E808B9}"/>
    <cellStyle name="_Purple_CAP-ACT_MTP sub#2 schedules (thru FY08)_interest, yield assumtions (04A,05F,06B)_【Draft】FY07 Budget Reply PKG_Finance Company_E_FY08 Retail Volume April Report 090409" xfId="3967" xr:uid="{8D000905-32C6-4E15-A08F-BE70E723155F}"/>
    <cellStyle name="_Purple_CAP-ACT_MTP sub#2 schedules (thru FY08)_interest, yield assumtions (04A,05F,06B)_【Draft】FY07 Budget Reply PKG_Finance Company_E_FY09 CNTRL Outlook June-Latest0619-Final Retail" xfId="3968" xr:uid="{1CEFA077-7F69-4808-9629-76C32F28801B}"/>
    <cellStyle name="_Purple_CAP-ACT_MTP sub#2 schedules (thru FY08)_interest, yield assumtions (04A,05F,06B)_【Draft】FY07 Budget Reply PKG_Finance Company_E_FY09 Fcst #3_TIV_MS_Volume-Dec11" xfId="3969" xr:uid="{02EBA423-CD49-4BB7-9798-A62C7786D859}"/>
    <cellStyle name="_Purple_CAP-ACT_MTP sub#2 schedules (thru FY08)_interest, yield assumtions (04A,05F,06B)_【Draft】FY07 Budget Reply PKG_Finance Company_E_FY09 Landing Scenarios" xfId="3970" xr:uid="{2E67BC16-6DBE-4FA0-86F8-03328BAE13DE}"/>
    <cellStyle name="_Purple_CAP-ACT_MTP sub#2 schedules (thru FY08)_interest, yield assumtions (04A,05F,06B)_【Draft】FY07 Budget Reply PKG_Finance Company_E_FY09 Landing Scenarios_Flash Volume Summary-PER01-rv1" xfId="3971" xr:uid="{5EEEDBD2-4B0E-4E6D-9BFC-1827E8130176}"/>
    <cellStyle name="_Purple_CAP-ACT_MTP sub#2 schedules (thru FY08)_interest, yield assumtions (04A,05F,06B)_【Draft】FY07 Budget Reply PKG_Finance Company_E_FY09 Landing Scenarios_Flash Volume Summary-PER02" xfId="3972" xr:uid="{18CA3CB0-92F4-4DD4-8313-36728DBA60AC}"/>
    <cellStyle name="_Purple_CAP-ACT_MTP sub#2 schedules (thru FY08)_interest, yield assumtions (04A,05F,06B)_【Draft】FY07 Budget Reply PKG_Finance Company_E_FY09 Landing Scenarios_Flash Volume Summary-PER04" xfId="3973" xr:uid="{086E73E1-9835-4165-94C3-C52AD9C8B24E}"/>
    <cellStyle name="_Purple_CAP-ACT_MTP sub#2 schedules (thru FY08)_interest, yield assumtions (04A,05F,06B)_【Draft】FY07 Budget Reply PKG_Finance Company_E_FY09 Landing Scenarios_Flash Volume Summary-PER0自分用2" xfId="3974" xr:uid="{C61BDE87-75CC-47AE-A788-703C7DBED10E}"/>
    <cellStyle name="_Purple_CAP-ACT_MTP sub#2 schedules (thru FY08)_interest, yield assumtions (04A,05F,06B)_【Draft】FY07 Budget Reply PKG_Finance Company_E_FY09 Landing Scenarios_Flash Volume Summary-PER10" xfId="3975" xr:uid="{DDCFDA18-4337-4155-A4B6-082485F0C333}"/>
    <cellStyle name="_Purple_CAP-ACT_MTP sub#2 schedules (thru FY08)_interest, yield assumtions (04A,05F,06B)_【Draft】FY07 Budget Reply PKG_Finance Company_E_FY09 Landing Scenarios_Flash Volume Summary-PER10 for Central" xfId="3976" xr:uid="{7FED88C2-535E-4474-80B0-4AC3F6953FAB}"/>
    <cellStyle name="_Purple_CAP-ACT_MTP sub#2 schedules (thru FY08)_interest, yield assumtions (04A,05F,06B)_【Draft】FY07 Budget Reply PKG_Finance Company_E_FY09 Monthly Budget Excel Package" xfId="3977" xr:uid="{BF2519EC-11DE-4818-A66C-BEE200A76320}"/>
    <cellStyle name="_Purple_CAP-ACT_MTP sub#2 schedules (thru FY08)_interest, yield assumtions (04A,05F,06B)_【Draft】FY07 Budget Reply PKG_Finance Company_E_FY09 Official Fcst 9x3" xfId="3978" xr:uid="{BAF2C9CD-7F85-4F36-8DC4-6B10D6B2ACFF}"/>
    <cellStyle name="_Purple_CAP-ACT_MTP sub#2 schedules (thru FY08)_interest, yield assumtions (04A,05F,06B)_【Draft】FY07 Budget Reply PKG_Finance Company_E_FY09 Retail Volume May Report 090513" xfId="3979" xr:uid="{DEC1886A-1426-47F5-B56B-43B2F672569F}"/>
    <cellStyle name="_Purple_CAP-ACT_MTP sub#2 schedules (thru FY08)_interest, yield assumtions (04A,05F,06B)_【Draft】FY07 Budget Reply PKG_Finance Company_E_FY09 Retail Volume May Report 090513_Flash Volume Summary-PER01-rv1" xfId="3980" xr:uid="{FC26F303-BF9A-4B48-BE08-D7483BC9E1A9}"/>
    <cellStyle name="_Purple_CAP-ACT_MTP sub#2 schedules (thru FY08)_interest, yield assumtions (04A,05F,06B)_【Draft】FY07 Budget Reply PKG_Finance Company_E_FY09 Retail Volume May Report 090513_Flash Volume Summary-PER02" xfId="3981" xr:uid="{7F441CF6-3F3F-4B0F-8965-27105E79FBC4}"/>
    <cellStyle name="_Purple_CAP-ACT_MTP sub#2 schedules (thru FY08)_interest, yield assumtions (04A,05F,06B)_【Draft】FY07 Budget Reply PKG_Finance Company_E_FY09 Retail Volume May Report 090513_Flash Volume Summary-PER04" xfId="3982" xr:uid="{06E7DD02-34BE-40C9-9F09-0F96AFB85840}"/>
    <cellStyle name="_Purple_CAP-ACT_MTP sub#2 schedules (thru FY08)_interest, yield assumtions (04A,05F,06B)_【Draft】FY07 Budget Reply PKG_Finance Company_E_FY09 Retail Volume May Report 090513_Flash Volume Summary-PER0自分用2" xfId="3983" xr:uid="{4B1D5491-77BB-4F51-9B07-7B5F3FE1BC02}"/>
    <cellStyle name="_Purple_CAP-ACT_MTP sub#2 schedules (thru FY08)_interest, yield assumtions (04A,05F,06B)_【Draft】FY07 Budget Reply PKG_Finance Company_E_FY09 Retail Volume May Report 090513_Flash Volume Summary-PER10" xfId="3984" xr:uid="{13D80856-D74C-4344-A9C4-5EDEF15FDF3C}"/>
    <cellStyle name="_Purple_CAP-ACT_MTP sub#2 schedules (thru FY08)_interest, yield assumtions (04A,05F,06B)_【Draft】FY07 Budget Reply PKG_Finance Company_E_FY09 Retail Volume May Report 090513_Flash Volume Summary-PER10 for Central" xfId="3985" xr:uid="{67778B3F-3F33-4199-9CC8-BE3788E85A64}"/>
    <cellStyle name="_Purple_CAP-ACT_MTP sub#2 schedules (thru FY08)_interest, yield assumtions (04A,05F,06B)_【Draft】FY07 Budget Reply PKG_Finance Company_E_FY09 WS Volume Report_April YTD_090527-Monthly Budget Updated" xfId="3986" xr:uid="{23928111-0B15-45D4-88B5-55E4D9998B3A}"/>
    <cellStyle name="_Purple_CAP-ACT_MTP sub#2 schedules (thru FY08)_interest, yield assumtions (04A,05F,06B)_【Draft】FY07 Budget Reply PKG_Finance Company_E_FY09Q1 Outlook Volume_Jun22-2" xfId="3987" xr:uid="{48895BBD-79EA-40C9-8810-4282088A83C1}"/>
    <cellStyle name="_Purple_CAP-ACT_MTP sub#2 schedules (thru FY08)_interest, yield assumtions (04A,05F,06B)_【Draft】FY07 Budget Reply PKG_Finance Company_E_FY09Q1 Outlook Volume_Jun24" xfId="3988" xr:uid="{738C0A06-CA15-4B5A-B4AB-CBBFD73D88F8}"/>
    <cellStyle name="_Purple_CAP-ACT_MTP sub#2 schedules (thru FY08)_interest, yield assumtions (04A,05F,06B)_【Draft】FY07 Budget Reply PKG_Finance Company_E_NCI Monthly Cash Flow_7X5" xfId="3989" xr:uid="{E27ADFA7-C6BA-4D61-B4EF-1F48EDEF7509}"/>
    <cellStyle name="_Purple_CAP-ACT_MTP sub#2 schedules (thru FY08)_interest, yield assumtions (04A,05F,06B)_【Draft】FY07 Budget Reply PKG_Finance Company_E_NCI Monthly Cash Flow_9X3 final" xfId="3990" xr:uid="{FCB2EDC6-CBCD-4B39-ACE6-C2A1383396D8}"/>
    <cellStyle name="_Purple_CAP-ACT_MTP sub#2 schedules (thru FY08)_interest, yield assumtions (04A,05F,06B)_【Draft】FY07 Budget Reply PKG_Finance Company_E_NCI Mothly Cash Flow_Jul'09-Final" xfId="3991" xr:uid="{0C34FCB0-8AD5-4FD3-959C-2DA5480DBAE1}"/>
    <cellStyle name="_Purple_CAP-ACT_MTP sub#2 schedules (thru FY08)_interest, yield assumtions (04A,05F,06B)_【Draft】FY07 Budget Reply PKG_Finance Company_E_NCI Mothly Cash Flow_Jun'09" xfId="3992" xr:uid="{58D2651C-A0C1-4B4A-ACF6-B9F15E973DB5}"/>
    <cellStyle name="_Purple_CAP-ACT_MTP sub#2 schedules (thru FY08)_interest, yield assumtions (04A,05F,06B)_【Draft】FY07 Budget Reply PKG_Finance Company_E_NMEX - Fcst #2 (5+7) Financial analysis" xfId="3993" xr:uid="{CD241336-7D9F-4369-93BA-82EFE1A60F4A}"/>
    <cellStyle name="_Purple_CAP-ACT_MTP sub#2 schedules (thru FY08)_interest, yield assumtions (04A,05F,06B)_【Draft】FY07 Budget Reply PKG_Finance Company_E_NRFM_FY11 Fcst#2 Excel PKG for Finance Sent" xfId="3994" xr:uid="{9FFBB29B-52CD-45EA-8FAA-8C6332805A08}"/>
    <cellStyle name="_Purple_CAP-ACT_MTP sub#2 schedules (thru FY08)_interest, yield assumtions (04A,05F,06B)_1. P&amp;L" xfId="3995" xr:uid="{BB353CFD-23F8-4D8E-AC55-35144ABC6439}"/>
    <cellStyle name="_Purple_CAP-ACT_MTP sub#2 schedules (thru FY08)_interest, yield assumtions (04A,05F,06B)_2. BS" xfId="3996" xr:uid="{EE277DBE-8C4F-4571-A944-2173429E4BB7}"/>
    <cellStyle name="_Purple_CAP-ACT_MTP sub#2 schedules (thru FY08)_interest, yield assumtions (04A,05F,06B)_2136_NCF FY11 Fcst#2 Excel PKG for Finance NML" xfId="3997" xr:uid="{623292B8-F97A-45AD-A5EB-92A6D1C2FF43}"/>
    <cellStyle name="_Purple_CAP-ACT_MTP sub#2 schedules (thru FY08)_interest, yield assumtions (04A,05F,06B)_2179_NMAC FY11 Fcst#2 Excel PKG for Finance" xfId="3998" xr:uid="{2524622F-7A2C-44C6-9A78-EDC20A6CA6E4}"/>
    <cellStyle name="_Purple_CAP-ACT_MTP sub#2 schedules (thru FY08)_interest, yield assumtions (04A,05F,06B)_2576_NFS_FY11 Fcst#2 Excel PKG for Finance_v2(add400M)" xfId="3999" xr:uid="{C8828BB5-54A2-4738-911E-2DD045ED6758}"/>
    <cellStyle name="_Purple_CAP-ACT_MTP sub#2 schedules (thru FY08)_interest, yield assumtions (04A,05F,06B)_2FY06 Fcst#1 Reply PKG for Finance Company②" xfId="4000" xr:uid="{3177627A-8DA8-4C6A-8C0A-18047C0C2692}"/>
    <cellStyle name="_Purple_CAP-ACT_MTP sub#2 schedules (thru FY08)_interest, yield assumtions (04A,05F,06B)_2FY06 Fcst#1 Reply PKG for Finance Company②_2576_NFS_FY11 Fcst#2 Excel PKG for Finance_v2(add400M)" xfId="4001" xr:uid="{E3779F71-9032-4229-B554-C175F5329424}"/>
    <cellStyle name="_Purple_CAP-ACT_MTP sub#2 schedules (thru FY08)_interest, yield assumtions (04A,05F,06B)_3. Variance " xfId="4002" xr:uid="{68E1373D-5BA0-40E1-85C6-3F37F420E913}"/>
    <cellStyle name="_Purple_CAP-ACT_MTP sub#2 schedules (thru FY08)_interest, yield assumtions (04A,05F,06B)_3908_NLTH FY11 Fcst#2 Excel PKG for Finance" xfId="4003" xr:uid="{BEC3630E-E61B-421D-9A01-380A896A451D}"/>
    <cellStyle name="_Purple_CAP-ACT_MTP sub#2 schedules (thru FY08)_interest, yield assumtions (04A,05F,06B)_3926_DNAF_FY11 Fcst#2 Excel PKG for Finance_ver4.0_20110928" xfId="4004" xr:uid="{251B9E84-DBB6-4559-B153-5C10F8151F2B}"/>
    <cellStyle name="_Purple_CAP-ACT_MTP sub#2 schedules (thru FY08)_interest, yield assumtions (04A,05F,06B)_3939_NFSA FY11 Fcst#2 Excel PKG for Finance" xfId="4005" xr:uid="{995D91A2-CD55-4F94-9263-23C78BD1F05F}"/>
    <cellStyle name="_Purple_CAP-ACT_MTP sub#2 schedules (thru FY08)_interest, yield assumtions (04A,05F,06B)_4 7 BOP_FY09 BUD #1 Reply PKG_E" xfId="4006" xr:uid="{D72145B1-010F-4AA5-B74A-3374F61DC6DC}"/>
    <cellStyle name="_Purple_CAP-ACT_MTP sub#2 schedules (thru FY08)_interest, yield assumtions (04A,05F,06B)_4 7 BOP_FY09 BUD #1 Reply PKG_E_2136_NCF FY11 Fcst#2 Excel PKG for Finance NML" xfId="4007" xr:uid="{2F92700E-33F3-487F-8959-A095FAE3AFB8}"/>
    <cellStyle name="_Purple_CAP-ACT_MTP sub#2 schedules (thru FY08)_interest, yield assumtions (04A,05F,06B)_4 7 BOP_FY09 BUD #1 Reply PKG_E_2179_NMAC FY11 Fcst#2 Excel PKG for Finance" xfId="4008" xr:uid="{43802202-5AC9-4A00-AECC-C1FEBF4433DE}"/>
    <cellStyle name="_Purple_CAP-ACT_MTP sub#2 schedules (thru FY08)_interest, yield assumtions (04A,05F,06B)_4 7 BOP_FY09 BUD #1 Reply PKG_E_2576_NFS_FY11 Fcst#2 Excel PKG for Finance_v2(add400M)" xfId="4009" xr:uid="{38A9E8C9-3D70-4AE8-9F9B-318BDDC4131F}"/>
    <cellStyle name="_Purple_CAP-ACT_MTP sub#2 schedules (thru FY08)_interest, yield assumtions (04A,05F,06B)_4 7 BOP_FY09 BUD #1 Reply PKG_E_3908_NLTH FY11 Fcst#2 Excel PKG for Finance" xfId="4010" xr:uid="{EEE58682-FF28-446F-B9EB-F9D4F903742D}"/>
    <cellStyle name="_Purple_CAP-ACT_MTP sub#2 schedules (thru FY08)_interest, yield assumtions (04A,05F,06B)_4 7 BOP_FY09 BUD #1 Reply PKG_E_3926_DNAF_FY11 Fcst#2 Excel PKG for Finance_ver4.0_20110928" xfId="4011" xr:uid="{3989A7A0-A48A-4B20-8B84-A1CF64B5C283}"/>
    <cellStyle name="_Purple_CAP-ACT_MTP sub#2 schedules (thru FY08)_interest, yield assumtions (04A,05F,06B)_4 7 BOP_FY09 BUD #1 Reply PKG_E_3939_NFSA FY11 Fcst#2 Excel PKG for Finance" xfId="4012" xr:uid="{182AC016-3589-4526-A0C1-988E44D6A0BD}"/>
    <cellStyle name="_Purple_CAP-ACT_MTP sub#2 schedules (thru FY08)_interest, yield assumtions (04A,05F,06B)_4 7 BOP_FY09 BUD #1 Reply PKG_E_FY12 TIV_MS_Volume_BP Sim v8 " xfId="4013" xr:uid="{53C5CE14-214D-4B34-9F58-2B7A1AB0D0EA}"/>
    <cellStyle name="_Purple_CAP-ACT_MTP sub#2 schedules (thru FY08)_interest, yield assumtions (04A,05F,06B)_4 7 BOP_FY09 BUD #1 Reply PKG_E_NRFM_FY11 Fcst#2 Excel PKG for Finance Sent" xfId="4014" xr:uid="{C2EF7064-7D79-438B-9764-2DEBB4010FE1}"/>
    <cellStyle name="_Purple_CAP-ACT_MTP sub#2 schedules (thru FY08)_interest, yield assumtions (04A,05F,06B)_4. R&amp;O" xfId="4015" xr:uid="{3911143F-FB4D-488B-90C5-5F43D3070CA5}"/>
    <cellStyle name="_Purple_CAP-ACT_MTP sub#2 schedules (thru FY08)_interest, yield assumtions (04A,05F,06B)_4.7 BOP_FY08 Fcst #2 Reply PKG_E" xfId="4016" xr:uid="{7B88441C-EA24-49D4-A9DA-BFE4D799A20A}"/>
    <cellStyle name="_Purple_CAP-ACT_MTP sub#2 schedules (thru FY08)_interest, yield assumtions (04A,05F,06B)_5.1.Volume" xfId="4017" xr:uid="{F734F57B-7B8C-44C4-9F96-AF69E3B094A1}"/>
    <cellStyle name="_Purple_CAP-ACT_MTP sub#2 schedules (thru FY08)_interest, yield assumtions (04A,05F,06B)_5.3 Loss Provision" xfId="4018" xr:uid="{92D550B6-845E-441A-B687-C563A6D75A69}"/>
    <cellStyle name="_Purple_CAP-ACT_MTP sub#2 schedules (thru FY08)_interest, yield assumtions (04A,05F,06B)_5.5. IS" xfId="4019" xr:uid="{089B648B-4733-4A03-9BA8-3439F3BB0492}"/>
    <cellStyle name="_Purple_CAP-ACT_MTP sub#2 schedules (thru FY08)_interest, yield assumtions (04A,05F,06B)_5.6. Below OM" xfId="4020" xr:uid="{EEBD0C86-999F-4EEC-93E7-25AFC473A72D}"/>
    <cellStyle name="_Purple_CAP-ACT_MTP sub#2 schedules (thru FY08)_interest, yield assumtions (04A,05F,06B)_6. Funding" xfId="4021" xr:uid="{B29055F5-2C6C-4EB3-AFE2-1C2480179603}"/>
    <cellStyle name="_Purple_CAP-ACT_MTP sub#2 schedules (thru FY08)_interest, yield assumtions (04A,05F,06B)_6.Funding-FIN" xfId="4022" xr:uid="{915C96DF-8D1A-421B-8DBE-88ED60EFBDBA}"/>
    <cellStyle name="_Purple_CAP-ACT_MTP sub#2 schedules (thru FY08)_interest, yield assumtions (04A,05F,06B)_A77 FY09 Budget Reply#2 PKG for Finance" xfId="4023" xr:uid="{732B2E51-6FD9-46AA-BA1F-C9648F7D6E95}"/>
    <cellStyle name="_Purple_CAP-ACT_MTP sub#2 schedules (thru FY08)_interest, yield assumtions (04A,05F,06B)_ASIS FY07 FOR#3BUD#1 PKG" xfId="4024" xr:uid="{C2BDAD40-7A6B-47AD-A3AE-0DDBE557C330}"/>
    <cellStyle name="_Purple_CAP-ACT_MTP sub#2 schedules (thru FY08)_interest, yield assumtions (04A,05F,06B)_ASIS FY07 FOR#3BUD#1 PKG_2576_NFS_FY11 Fcst#2 Excel PKG for Finance_v2(add400M)" xfId="4025" xr:uid="{266E67F5-C6BC-4DF9-8721-802D909A9AB1}"/>
    <cellStyle name="_Purple_CAP-ACT_MTP sub#2 schedules (thru FY08)_interest, yield assumtions (04A,05F,06B)_ASIS FY07 FOR#3BUD#1 PKG_FY09 Monthly Budget Excel Package" xfId="4026" xr:uid="{1038FCC9-6C88-43CD-AE99-694D4D0218A9}"/>
    <cellStyle name="_Purple_CAP-ACT_MTP sub#2 schedules (thru FY08)_interest, yield assumtions (04A,05F,06B)_ASIS FY07 FOR#3BUD#1 PKG_FY09 Official Fcst 9x3" xfId="4027" xr:uid="{21FE9363-D513-4732-A00E-8878A5FF8CED}"/>
    <cellStyle name="_Purple_CAP-ACT_MTP sub#2 schedules (thru FY08)_interest, yield assumtions (04A,05F,06B)_ASIS FY07 FOR#3BUD#1 PKG_NCI Monthly Cash Flow_7X5" xfId="4028" xr:uid="{C2584843-FB21-4D89-B554-1D46FEEF35E1}"/>
    <cellStyle name="_Purple_CAP-ACT_MTP sub#2 schedules (thru FY08)_interest, yield assumtions (04A,05F,06B)_ASIS FY07 FOR#3BUD#1 PKG_NCI Monthly Cash Flow_9X3 final" xfId="4029" xr:uid="{6B62BD95-F6F7-400B-A891-07C812405768}"/>
    <cellStyle name="_Purple_CAP-ACT_MTP sub#2 schedules (thru FY08)_interest, yield assumtions (04A,05F,06B)_ASIS FY07 FOR#3BUD#1 PKG_NCI Mothly Cash Flow_Jul'09-Final" xfId="4030" xr:uid="{3168DAB2-EE6C-4D8C-920D-B5EC881B86BE}"/>
    <cellStyle name="_Purple_CAP-ACT_MTP sub#2 schedules (thru FY08)_interest, yield assumtions (04A,05F,06B)_ASIS FY07 FOR#3BUD#1 PKG_NCI Mothly Cash Flow_Jun'09" xfId="4031" xr:uid="{E848FC2C-3424-434B-B6B3-CDAA6F543B01}"/>
    <cellStyle name="_Purple_CAP-ACT_MTP sub#2 schedules (thru FY08)_interest, yield assumtions (04A,05F,06B)_Book1" xfId="4032" xr:uid="{3AF3EE0E-A987-4522-81DC-DA4CFACE6A3A}"/>
    <cellStyle name="_Purple_CAP-ACT_MTP sub#2 schedules (thru FY08)_interest, yield assumtions (04A,05F,06B)_Book1_2136_NCF FY11 Fcst#2 Excel PKG for Finance NML" xfId="4033" xr:uid="{1D64CF8F-3570-4A2D-98AB-B4F5A3FC46AA}"/>
    <cellStyle name="_Purple_CAP-ACT_MTP sub#2 schedules (thru FY08)_interest, yield assumtions (04A,05F,06B)_Book1_2179_NMAC FY11 Fcst#2 Excel PKG for Finance" xfId="4034" xr:uid="{48D8E2F1-0F05-4F28-8673-E08AD3A97FC3}"/>
    <cellStyle name="_Purple_CAP-ACT_MTP sub#2 schedules (thru FY08)_interest, yield assumtions (04A,05F,06B)_Book1_2576_NFS_FY11 Fcst#2 Excel PKG for Finance_v2(add400M)" xfId="4035" xr:uid="{DA382691-EEA3-4ED0-8496-618C8EA4CBFA}"/>
    <cellStyle name="_Purple_CAP-ACT_MTP sub#2 schedules (thru FY08)_interest, yield assumtions (04A,05F,06B)_Book1_3908_NLTH FY11 Fcst#2 Excel PKG for Finance" xfId="4036" xr:uid="{93D714B8-C6E1-4C57-BF5A-9132BD257762}"/>
    <cellStyle name="_Purple_CAP-ACT_MTP sub#2 schedules (thru FY08)_interest, yield assumtions (04A,05F,06B)_Book1_3926_DNAF_FY11 Fcst#2 Excel PKG for Finance_ver4.0_20110928" xfId="4037" xr:uid="{3C5E269B-98B1-4BA1-8B6D-CF2C248CDADF}"/>
    <cellStyle name="_Purple_CAP-ACT_MTP sub#2 schedules (thru FY08)_interest, yield assumtions (04A,05F,06B)_Book1_3939_NFSA FY11 Fcst#2 Excel PKG for Finance" xfId="4038" xr:uid="{6AB835B6-7841-4936-A748-ACCAC21DEB13}"/>
    <cellStyle name="_Purple_CAP-ACT_MTP sub#2 schedules (thru FY08)_interest, yield assumtions (04A,05F,06B)_Book1_NRFM_FY11 Fcst#2 Excel PKG for Finance Sent" xfId="4039" xr:uid="{A8CBD662-DD8B-4309-81A8-8C1AD9C7CB85}"/>
    <cellStyle name="_Purple_CAP-ACT_MTP sub#2 schedules (thru FY08)_interest, yield assumtions (04A,05F,06B)_Copy of FY08 Budget Reply#1 PKG for Finance" xfId="4040" xr:uid="{9E85147B-B3FF-43B4-9E7C-9D64576A6E16}"/>
    <cellStyle name="_Purple_CAP-ACT_MTP sub#2 schedules (thru FY08)_interest, yield assumtions (04A,05F,06B)_Copy of FY08 Fcst #2 for Finance Company" xfId="4041" xr:uid="{EEBCD14A-5509-4F29-A72F-3CB1311A391B}"/>
    <cellStyle name="_Purple_CAP-ACT_MTP sub#2 schedules (thru FY08)_interest, yield assumtions (04A,05F,06B)_DNAF UPDATED FY08 Fcst#2 (5+7) for Finance Company (2)" xfId="4042" xr:uid="{C73031CE-0B20-488E-A83B-E012DA3832F6}"/>
    <cellStyle name="_Purple_CAP-ACT_MTP sub#2 schedules (thru FY08)_interest, yield assumtions (04A,05F,06B)_DRAFT as of 1101 FY07 Fcst#3 Reply PKG_E" xfId="4043" xr:uid="{BCAC99BE-11C4-4E7A-80BA-E4B412588BDD}"/>
    <cellStyle name="_Purple_CAP-ACT_MTP sub#2 schedules (thru FY08)_interest, yield assumtions (04A,05F,06B)_Draft_Excel PKG for FY07 Reply#1 &amp; FY06 FOR#3_E_Oct.21" xfId="4044" xr:uid="{FE637750-C7EB-48DD-B16D-8619949847F3}"/>
    <cellStyle name="_Purple_CAP-ACT_MTP sub#2 schedules (thru FY08)_interest, yield assumtions (04A,05F,06B)_Draft_Excel PKG for FY07 Reply#1 &amp; FY06 FOR#3_E_Oct.21_2576_NFS_FY11 Fcst#2 Excel PKG for Finance_v2(add400M)" xfId="4045" xr:uid="{283FFE11-C5FE-4D80-91F5-B106A24926FA}"/>
    <cellStyle name="_Purple_CAP-ACT_MTP sub#2 schedules (thru FY08)_interest, yield assumtions (04A,05F,06B)_Draft_Excel PKG for FY07 Reply#1 &amp; FY06 FOR#3_E_Oct.21_FY09 Monthly Budget Excel Package" xfId="4046" xr:uid="{DB6F356C-FDC0-4DA1-8556-6016771B1754}"/>
    <cellStyle name="_Purple_CAP-ACT_MTP sub#2 schedules (thru FY08)_interest, yield assumtions (04A,05F,06B)_Draft_Excel PKG for FY07 Reply#1 &amp; FY06 FOR#3_E_Oct.21_FY09 Official Fcst 9x3" xfId="4047" xr:uid="{99FB0F23-DAAB-42AD-8D83-9D4B437929F3}"/>
    <cellStyle name="_Purple_CAP-ACT_MTP sub#2 schedules (thru FY08)_interest, yield assumtions (04A,05F,06B)_Draft_Excel PKG for FY07 Reply#1 &amp; FY06 FOR#3_E_Oct.21_NCI Monthly Cash Flow_7X5" xfId="4048" xr:uid="{6665461A-6070-4DCF-AE40-7B9CD63F0DD4}"/>
    <cellStyle name="_Purple_CAP-ACT_MTP sub#2 schedules (thru FY08)_interest, yield assumtions (04A,05F,06B)_Draft_Excel PKG for FY07 Reply#1 &amp; FY06 FOR#3_E_Oct.21_NCI Monthly Cash Flow_9X3 final" xfId="4049" xr:uid="{CB5F4C0D-5C3F-4ECD-9960-386364F00822}"/>
    <cellStyle name="_Purple_CAP-ACT_MTP sub#2 schedules (thru FY08)_interest, yield assumtions (04A,05F,06B)_Draft_Excel PKG for FY07 Reply#1 &amp; FY06 FOR#3_E_Oct.21_NCI Mothly Cash Flow_Jul'09-Final" xfId="4050" xr:uid="{35124DBE-1357-4947-A2E8-737627139D8A}"/>
    <cellStyle name="_Purple_CAP-ACT_MTP sub#2 schedules (thru FY08)_interest, yield assumtions (04A,05F,06B)_Draft_Excel PKG for FY07 Reply#1 &amp; FY06 FOR#3_E_Oct.21_NCI Mothly Cash Flow_Jun'09" xfId="4051" xr:uid="{09A44C20-AAFD-41F2-94BD-B85F04CA6764}"/>
    <cellStyle name="_Purple_CAP-ACT_MTP sub#2 schedules (thru FY08)_interest, yield assumtions (04A,05F,06B)_Draft_Excel PKG for FY07 Reply#1 &amp; FY06 FOR#3_E_Oct.24v2" xfId="4052" xr:uid="{2E2CDF82-E92E-434F-9259-C06F9EC76891}"/>
    <cellStyle name="_Purple_CAP-ACT_MTP sub#2 schedules (thru FY08)_interest, yield assumtions (04A,05F,06B)_Draft_Excel PKG for FY07 Reply#1 &amp; FY06 FOR#3_E_Oct.24v2_2576_NFS_FY11 Fcst#2 Excel PKG for Finance_v2(add400M)" xfId="4053" xr:uid="{6E996005-FB27-43DF-9393-F353FD08FA97}"/>
    <cellStyle name="_Purple_CAP-ACT_MTP sub#2 schedules (thru FY08)_interest, yield assumtions (04A,05F,06B)_Draft_Excel PKG for FY07 Reply#1 &amp; FY06 FOR#3_E_Oct.24v2_FY09 Monthly Budget Excel Package" xfId="4054" xr:uid="{4B47D55F-4EAE-490C-B3AF-3EBE23E7675C}"/>
    <cellStyle name="_Purple_CAP-ACT_MTP sub#2 schedules (thru FY08)_interest, yield assumtions (04A,05F,06B)_Draft_Excel PKG for FY07 Reply#1 &amp; FY06 FOR#3_E_Oct.24v2_FY09 Official Fcst 9x3" xfId="4055" xr:uid="{CFF05C62-A06D-4190-AD2D-B2C9F83DC59A}"/>
    <cellStyle name="_Purple_CAP-ACT_MTP sub#2 schedules (thru FY08)_interest, yield assumtions (04A,05F,06B)_Draft_Excel PKG for FY07 Reply#1 &amp; FY06 FOR#3_E_Oct.24v2_NCI Monthly Cash Flow_7X5" xfId="4056" xr:uid="{3254F5BD-1115-4563-AB59-EF8A81E7FF58}"/>
    <cellStyle name="_Purple_CAP-ACT_MTP sub#2 schedules (thru FY08)_interest, yield assumtions (04A,05F,06B)_Draft_Excel PKG for FY07 Reply#1 &amp; FY06 FOR#3_E_Oct.24v2_NCI Monthly Cash Flow_9X3 final" xfId="4057" xr:uid="{B2DF40C0-FFCD-44DB-B54D-E11CF12600D6}"/>
    <cellStyle name="_Purple_CAP-ACT_MTP sub#2 schedules (thru FY08)_interest, yield assumtions (04A,05F,06B)_Draft_Excel PKG for FY07 Reply#1 &amp; FY06 FOR#3_E_Oct.24v2_NCI Mothly Cash Flow_Jul'09-Final" xfId="4058" xr:uid="{C1189A71-5AB1-4D05-99D5-6B90B6349D5C}"/>
    <cellStyle name="_Purple_CAP-ACT_MTP sub#2 schedules (thru FY08)_interest, yield assumtions (04A,05F,06B)_Draft_Excel PKG for FY07 Reply#1 &amp; FY06 FOR#3_E_Oct.24v2_NCI Mothly Cash Flow_Jun'09" xfId="4059" xr:uid="{6A5F34C5-5612-4F50-BAB7-876D34090B56}"/>
    <cellStyle name="_Purple_CAP-ACT_MTP sub#2 schedules (thru FY08)_interest, yield assumtions (04A,05F,06B)_Draft_Excel PKG for FY07 Reply#1_E_Oct.16" xfId="4060" xr:uid="{461367C0-DBAA-4118-B90C-D4FF1CBB1D54}"/>
    <cellStyle name="_Purple_CAP-ACT_MTP sub#2 schedules (thru FY08)_interest, yield assumtions (04A,05F,06B)_Draft_Excel PKG for FY07 Reply#1_E_Oct.16_2576_NFS_FY11 Fcst#2 Excel PKG for Finance_v2(add400M)" xfId="4061" xr:uid="{045EFC5A-6415-4698-A363-7DAFC2EC06FC}"/>
    <cellStyle name="_Purple_CAP-ACT_MTP sub#2 schedules (thru FY08)_interest, yield assumtions (04A,05F,06B)_Draft_Excel PKG for FY07 Reply#1_E_Oct.16_FY09 Monthly Budget Excel Package" xfId="4062" xr:uid="{3D5D588C-8557-4D19-BAA2-490F873E6F61}"/>
    <cellStyle name="_Purple_CAP-ACT_MTP sub#2 schedules (thru FY08)_interest, yield assumtions (04A,05F,06B)_Draft_Excel PKG for FY07 Reply#1_E_Oct.16_FY09 Official Fcst 9x3" xfId="4063" xr:uid="{31C2A3FE-3FFB-41F2-B8BF-3BAB91D8178D}"/>
    <cellStyle name="_Purple_CAP-ACT_MTP sub#2 schedules (thru FY08)_interest, yield assumtions (04A,05F,06B)_Draft_Excel PKG for FY07 Reply#1_E_Oct.16_NCI Monthly Cash Flow_7X5" xfId="4064" xr:uid="{7612792B-3E21-4A26-8DA5-6C5B6EE59BAE}"/>
    <cellStyle name="_Purple_CAP-ACT_MTP sub#2 schedules (thru FY08)_interest, yield assumtions (04A,05F,06B)_Draft_Excel PKG for FY07 Reply#1_E_Oct.16_NCI Monthly Cash Flow_9X3 final" xfId="4065" xr:uid="{BA754406-F95F-4957-AFF9-45F0B087C4EE}"/>
    <cellStyle name="_Purple_CAP-ACT_MTP sub#2 schedules (thru FY08)_interest, yield assumtions (04A,05F,06B)_Draft_Excel PKG for FY07 Reply#1_E_Oct.16_NCI Mothly Cash Flow_Jul'09-Final" xfId="4066" xr:uid="{1E24A0CC-8FD1-40BC-A419-74BA8CC2FC54}"/>
    <cellStyle name="_Purple_CAP-ACT_MTP sub#2 schedules (thru FY08)_interest, yield assumtions (04A,05F,06B)_Draft_Excel PKG for FY07 Reply#1_E_Oct.16_NCI Mothly Cash Flow_Jun'09" xfId="4067" xr:uid="{3893F633-B1A5-46BD-AADF-ADA3A9E98D2A}"/>
    <cellStyle name="_Purple_CAP-ACT_MTP sub#2 schedules (thru FY08)_interest, yield assumtions (04A,05F,06B)_Draft_FY06 Fcst#2 Reply PKG_E_Aug.25" xfId="4068" xr:uid="{00D8CAAC-BFB7-43A3-B7E8-6622298C065C}"/>
    <cellStyle name="_Purple_CAP-ACT_MTP sub#2 schedules (thru FY08)_interest, yield assumtions (04A,05F,06B)_Draft_FY06 Fcst#2 Reply PKG_E_Aug.25_2576_NFS_FY11 Fcst#2 Excel PKG for Finance_v2(add400M)" xfId="4069" xr:uid="{FCB87F6F-87CB-4275-A1BC-EAB708AB2D90}"/>
    <cellStyle name="_Purple_CAP-ACT_MTP sub#2 schedules (thru FY08)_interest, yield assumtions (04A,05F,06B)_Draft_FY06 Fcst#2 Reply PKG_E_Aug.25_FY09 Monthly Budget Excel Package" xfId="4070" xr:uid="{D6C0FFC9-C347-4FA7-BB9B-BA95BD8589CC}"/>
    <cellStyle name="_Purple_CAP-ACT_MTP sub#2 schedules (thru FY08)_interest, yield assumtions (04A,05F,06B)_Draft_FY06 Fcst#2 Reply PKG_E_Aug.25_FY09 Official Fcst 9x3" xfId="4071" xr:uid="{F20E918A-A5D6-40D8-820E-A42641AA80F2}"/>
    <cellStyle name="_Purple_CAP-ACT_MTP sub#2 schedules (thru FY08)_interest, yield assumtions (04A,05F,06B)_Draft_FY06 Fcst#2 Reply PKG_E_Aug.25_NCI Monthly Cash Flow_7X5" xfId="4072" xr:uid="{727AB7DD-4990-4564-A840-D0ECC50CB597}"/>
    <cellStyle name="_Purple_CAP-ACT_MTP sub#2 schedules (thru FY08)_interest, yield assumtions (04A,05F,06B)_Draft_FY06 Fcst#2 Reply PKG_E_Aug.25_NCI Monthly Cash Flow_9X3 final" xfId="4073" xr:uid="{9871064F-0B7F-4AFE-B948-447EEE21B889}"/>
    <cellStyle name="_Purple_CAP-ACT_MTP sub#2 schedules (thru FY08)_interest, yield assumtions (04A,05F,06B)_Draft_FY06 Fcst#2 Reply PKG_E_Aug.25_NCI Mothly Cash Flow_Jul'09-Final" xfId="4074" xr:uid="{ADEC1A2F-EB5D-4640-99D9-E4D2D349CC60}"/>
    <cellStyle name="_Purple_CAP-ACT_MTP sub#2 schedules (thru FY08)_interest, yield assumtions (04A,05F,06B)_Draft_FY06 Fcst#2 Reply PKG_E_Aug.25_NCI Mothly Cash Flow_Jun'09" xfId="4075" xr:uid="{EE2C01F0-F78A-49EA-B5F7-9BF9B096A4ED}"/>
    <cellStyle name="_Purple_CAP-ACT_MTP sub#2 schedules (thru FY08)_interest, yield assumtions (04A,05F,06B)_Draft_FY07 Bedget Reply PKG for Finance Company_Oct.24" xfId="4076" xr:uid="{681F6DE3-FBF9-41CC-8E16-FEF5EF57DD80}"/>
    <cellStyle name="_Purple_CAP-ACT_MTP sub#2 schedules (thru FY08)_interest, yield assumtions (04A,05F,06B)_Draft_FY07 Bedget Reply PKG for Finance Company_Oct.24_2576_NFS_FY11 Fcst#2 Excel PKG for Finance_v2(add400M)" xfId="4077" xr:uid="{59B4225B-C240-4058-AFEB-26EE00760CA8}"/>
    <cellStyle name="_Purple_CAP-ACT_MTP sub#2 schedules (thru FY08)_interest, yield assumtions (04A,05F,06B)_Draft_FY07 Bedget Reply PKG for Finance Company_Oct.24_FY09 Monthly Budget Excel Package" xfId="4078" xr:uid="{44CAF568-1137-4574-BE69-9B097A5E9AA3}"/>
    <cellStyle name="_Purple_CAP-ACT_MTP sub#2 schedules (thru FY08)_interest, yield assumtions (04A,05F,06B)_Draft_FY07 Bedget Reply PKG for Finance Company_Oct.24_FY09 Official Fcst 9x3" xfId="4079" xr:uid="{752003DD-4636-4901-9395-76E41E5CD63F}"/>
    <cellStyle name="_Purple_CAP-ACT_MTP sub#2 schedules (thru FY08)_interest, yield assumtions (04A,05F,06B)_Draft_FY07 Bedget Reply PKG for Finance Company_Oct.24_NCI Monthly Cash Flow_7X5" xfId="4080" xr:uid="{D7577C74-7E98-4C53-9CF3-258B1D19D07E}"/>
    <cellStyle name="_Purple_CAP-ACT_MTP sub#2 schedules (thru FY08)_interest, yield assumtions (04A,05F,06B)_Draft_FY07 Bedget Reply PKG for Finance Company_Oct.24_NCI Monthly Cash Flow_9X3 final" xfId="4081" xr:uid="{8113FDEF-4F51-4319-AD57-8711BA7047EB}"/>
    <cellStyle name="_Purple_CAP-ACT_MTP sub#2 schedules (thru FY08)_interest, yield assumtions (04A,05F,06B)_Draft_FY07 Bedget Reply PKG for Finance Company_Oct.24_NCI Mothly Cash Flow_Jul'09-Final" xfId="4082" xr:uid="{ED19491F-D7CC-448C-9683-58CED277489B}"/>
    <cellStyle name="_Purple_CAP-ACT_MTP sub#2 schedules (thru FY08)_interest, yield assumtions (04A,05F,06B)_Draft_FY07 Bedget Reply PKG for Finance Company_Oct.24_NCI Mothly Cash Flow_Jun'09" xfId="4083" xr:uid="{65DF154B-CC93-43AD-AA3A-01BF2A371C73}"/>
    <cellStyle name="_Purple_CAP-ACT_MTP sub#2 schedules (thru FY08)_interest, yield assumtions (04A,05F,06B)_Draft_FY07 Budget Reply PKG_for Finance Company_Oct.16" xfId="4084" xr:uid="{349C59AA-852C-4637-B98E-919CB770B45B}"/>
    <cellStyle name="_Purple_CAP-ACT_MTP sub#2 schedules (thru FY08)_interest, yield assumtions (04A,05F,06B)_Draft_FY07 Budget Reply PKG_for Finance Company_Oct.16_2576_NFS_FY11 Fcst#2 Excel PKG for Finance_v2(add400M)" xfId="4085" xr:uid="{C30D0F92-17CF-4470-8C11-972D6126052E}"/>
    <cellStyle name="_Purple_CAP-ACT_MTP sub#2 schedules (thru FY08)_interest, yield assumtions (04A,05F,06B)_Draft_FY07 Budget Reply PKG_for Finance Company_Oct.16_FY09 Monthly Budget Excel Package" xfId="4086" xr:uid="{2F7B1745-11D8-4967-8459-B116EEA31DFE}"/>
    <cellStyle name="_Purple_CAP-ACT_MTP sub#2 schedules (thru FY08)_interest, yield assumtions (04A,05F,06B)_Draft_FY07 Budget Reply PKG_for Finance Company_Oct.16_FY09 Official Fcst 9x3" xfId="4087" xr:uid="{EC9BC40B-CFCD-4BA9-AF92-3168690C45B6}"/>
    <cellStyle name="_Purple_CAP-ACT_MTP sub#2 schedules (thru FY08)_interest, yield assumtions (04A,05F,06B)_Draft_FY07 Budget Reply PKG_for Finance Company_Oct.16_NCI Monthly Cash Flow_7X5" xfId="4088" xr:uid="{35161895-B2BD-48BF-B70A-D52ABFBFB246}"/>
    <cellStyle name="_Purple_CAP-ACT_MTP sub#2 schedules (thru FY08)_interest, yield assumtions (04A,05F,06B)_Draft_FY07 Budget Reply PKG_for Finance Company_Oct.16_NCI Monthly Cash Flow_9X3 final" xfId="4089" xr:uid="{FD3AA558-1DB3-429B-9F9E-F5251DF00990}"/>
    <cellStyle name="_Purple_CAP-ACT_MTP sub#2 schedules (thru FY08)_interest, yield assumtions (04A,05F,06B)_Draft_FY07 Budget Reply PKG_for Finance Company_Oct.16_NCI Mothly Cash Flow_Jul'09-Final" xfId="4090" xr:uid="{8956B6AE-5A90-478A-ACD0-25F8F5E20282}"/>
    <cellStyle name="_Purple_CAP-ACT_MTP sub#2 schedules (thru FY08)_interest, yield assumtions (04A,05F,06B)_Draft_FY07 Budget Reply PKG_for Finance Company_Oct.16_NCI Mothly Cash Flow_Jun'09" xfId="4091" xr:uid="{FD30217F-DDEC-489A-A43C-D5C2957D2B56}"/>
    <cellStyle name="_Purple_CAP-ACT_MTP sub#2 schedules (thru FY08)_interest, yield assumtions (04A,05F,06B)_excelパッケージ (2)" xfId="4092" xr:uid="{A5A64B4D-15EC-439C-8DB4-325FBE3293A7}"/>
    <cellStyle name="_Purple_CAP-ACT_MTP sub#2 schedules (thru FY08)_interest, yield assumtions (04A,05F,06B)_excelパッケージ (2)_2136_NCF FY11 Fcst#2 Excel PKG for Finance NML" xfId="4093" xr:uid="{45F13D99-8E68-4990-AE61-314424770AFC}"/>
    <cellStyle name="_Purple_CAP-ACT_MTP sub#2 schedules (thru FY08)_interest, yield assumtions (04A,05F,06B)_excelパッケージ (2)_2179_NMAC FY11 Fcst#2 Excel PKG for Finance" xfId="4094" xr:uid="{49EE0969-0E02-4AB5-AA62-DF7BF98DA771}"/>
    <cellStyle name="_Purple_CAP-ACT_MTP sub#2 schedules (thru FY08)_interest, yield assumtions (04A,05F,06B)_excelパッケージ (2)_2576_NFS_FY11 Fcst#2 Excel PKG for Finance_v2(add400M)" xfId="4095" xr:uid="{B5EA1CB8-6DB9-4746-91C3-ED6629F5A770}"/>
    <cellStyle name="_Purple_CAP-ACT_MTP sub#2 schedules (thru FY08)_interest, yield assumtions (04A,05F,06B)_excelパッケージ (2)_3908_NLTH FY11 Fcst#2 Excel PKG for Finance" xfId="4096" xr:uid="{559E906A-DA29-42CA-8739-4954005A6212}"/>
    <cellStyle name="_Purple_CAP-ACT_MTP sub#2 schedules (thru FY08)_interest, yield assumtions (04A,05F,06B)_excelパッケージ (2)_3926_DNAF_FY11 Fcst#2 Excel PKG for Finance_ver4.0_20110928" xfId="4097" xr:uid="{B2218F87-9CE4-4DFF-9D78-C29A0ABACB2E}"/>
    <cellStyle name="_Purple_CAP-ACT_MTP sub#2 schedules (thru FY08)_interest, yield assumtions (04A,05F,06B)_excelパッケージ (2)_3939_NFSA FY11 Fcst#2 Excel PKG for Finance" xfId="4098" xr:uid="{D84021CF-59E7-41E0-B549-1A9E231E0507}"/>
    <cellStyle name="_Purple_CAP-ACT_MTP sub#2 schedules (thru FY08)_interest, yield assumtions (04A,05F,06B)_excelパッケージ (2)_FY12 TIV_MS_Volume_BP Sim v8 " xfId="4099" xr:uid="{466594AF-3D12-45E1-BA54-B9662062C2B9}"/>
    <cellStyle name="_Purple_CAP-ACT_MTP sub#2 schedules (thru FY08)_interest, yield assumtions (04A,05F,06B)_excelパッケージ (2)_NRFM_FY11 Fcst#2 Excel PKG for Finance Sent" xfId="4100" xr:uid="{0B02D75B-6EA9-4246-8E92-BDE3DBF5C212}"/>
    <cellStyle name="_Purple_CAP-ACT_MTP sub#2 schedules (thru FY08)_interest, yield assumtions (04A,05F,06B)_Final) FY09 Reply#2 Labor cost sheet(E)" xfId="4101" xr:uid="{128FDCC7-2451-4941-B0A4-289F7E44D747}"/>
    <cellStyle name="_Purple_CAP-ACT_MTP sub#2 schedules (thru FY08)_interest, yield assumtions (04A,05F,06B)_Finance Co's_FY07 Budget Reply PKG_E3" xfId="4102" xr:uid="{6525CC1F-10FF-4B06-89DD-5B55DE7FC8A9}"/>
    <cellStyle name="_Purple_CAP-ACT_MTP sub#2 schedules (thru FY08)_interest, yield assumtions (04A,05F,06B)_Finance Co's_FY07 Budget Reply PKG_E3_2576_NFS_FY11 Fcst#2 Excel PKG for Finance_v2(add400M)" xfId="4103" xr:uid="{88486778-6A03-4D59-9AC8-E09B2E196C22}"/>
    <cellStyle name="_Purple_CAP-ACT_MTP sub#2 schedules (thru FY08)_interest, yield assumtions (04A,05F,06B)_Finance Co's_FY07 Budget Reply PKG_E3_FY09 Monthly Budget Excel Package" xfId="4104" xr:uid="{6EFF158A-CD2B-4A3A-858B-380E5515D38B}"/>
    <cellStyle name="_Purple_CAP-ACT_MTP sub#2 schedules (thru FY08)_interest, yield assumtions (04A,05F,06B)_Finance Co's_FY07 Budget Reply PKG_E3_FY09 Official Fcst 9x3" xfId="4105" xr:uid="{A6EF7228-D44D-4C34-88FC-5D3A4F415971}"/>
    <cellStyle name="_Purple_CAP-ACT_MTP sub#2 schedules (thru FY08)_interest, yield assumtions (04A,05F,06B)_Finance Co's_FY07 Budget Reply PKG_E3_NCI Monthly Cash Flow_7X5" xfId="4106" xr:uid="{7D7EDAF2-7C49-441D-86E2-6A6C305D20F7}"/>
    <cellStyle name="_Purple_CAP-ACT_MTP sub#2 schedules (thru FY08)_interest, yield assumtions (04A,05F,06B)_Finance Co's_FY07 Budget Reply PKG_E3_NCI Monthly Cash Flow_9X3 final" xfId="4107" xr:uid="{61E9FE80-138B-448C-AB22-0B1600456EDA}"/>
    <cellStyle name="_Purple_CAP-ACT_MTP sub#2 schedules (thru FY08)_interest, yield assumtions (04A,05F,06B)_Finance Co's_FY07 Budget Reply PKG_E3_NCI Mothly Cash Flow_Jul'09-Final" xfId="4108" xr:uid="{FDF44A32-F2DC-470B-8D11-6FDA8C3B90D6}"/>
    <cellStyle name="_Purple_CAP-ACT_MTP sub#2 schedules (thru FY08)_interest, yield assumtions (04A,05F,06B)_Finance Co's_FY07 Budget Reply PKG_E3_NCI Mothly Cash Flow_Jun'09" xfId="4109" xr:uid="{51E782D2-8460-41C7-94D3-CE2F42DFD179}"/>
    <cellStyle name="_Purple_CAP-ACT_MTP sub#2 schedules (thru FY08)_interest, yield assumtions (04A,05F,06B)_From Takedasan CF FY07 Fcst#2 Reply PKG for Fin_Cash flow最終" xfId="4110" xr:uid="{95F55F12-1256-4401-B4B3-11EA7FE3F6C0}"/>
    <cellStyle name="_Purple_CAP-ACT_MTP sub#2 schedules (thru FY08)_interest, yield assumtions (04A,05F,06B)_From Takedasan CF FY07 Fcst#2 Reply PKG for Fin_Cash flow最終_2136_NCF FY11 Fcst#2 Excel PKG for Finance NML" xfId="4111" xr:uid="{731C580A-F304-470E-A20C-5C74B7A6888D}"/>
    <cellStyle name="_Purple_CAP-ACT_MTP sub#2 schedules (thru FY08)_interest, yield assumtions (04A,05F,06B)_From Takedasan CF FY07 Fcst#2 Reply PKG for Fin_Cash flow最終_2179_NMAC FY11 Fcst#2 Excel PKG for Finance" xfId="4112" xr:uid="{3E7DD84A-1AF6-4718-B12E-FB5F0DA942CE}"/>
    <cellStyle name="_Purple_CAP-ACT_MTP sub#2 schedules (thru FY08)_interest, yield assumtions (04A,05F,06B)_From Takedasan CF FY07 Fcst#2 Reply PKG for Fin_Cash flow最終_2576_NFS_FY11 Fcst#2 Excel PKG for Finance_v2(add400M)" xfId="4113" xr:uid="{3FAEF10D-D9EF-45A1-A1E9-D7745DEE6D60}"/>
    <cellStyle name="_Purple_CAP-ACT_MTP sub#2 schedules (thru FY08)_interest, yield assumtions (04A,05F,06B)_From Takedasan CF FY07 Fcst#2 Reply PKG for Fin_Cash flow最終_3908_NLTH FY11 Fcst#2 Excel PKG for Finance" xfId="4114" xr:uid="{5AB10150-8261-4879-8484-77834F4A3973}"/>
    <cellStyle name="_Purple_CAP-ACT_MTP sub#2 schedules (thru FY08)_interest, yield assumtions (04A,05F,06B)_From Takedasan CF FY07 Fcst#2 Reply PKG for Fin_Cash flow最終_3926_DNAF_FY11 Fcst#2 Excel PKG for Finance_ver4.0_20110928" xfId="4115" xr:uid="{206BC251-E0E0-4BA6-9C75-F9C933F196CE}"/>
    <cellStyle name="_Purple_CAP-ACT_MTP sub#2 schedules (thru FY08)_interest, yield assumtions (04A,05F,06B)_From Takedasan CF FY07 Fcst#2 Reply PKG for Fin_Cash flow最終_3939_NFSA FY11 Fcst#2 Excel PKG for Finance" xfId="4116" xr:uid="{5095FF06-54A9-4A63-90CA-703EB229AE42}"/>
    <cellStyle name="_Purple_CAP-ACT_MTP sub#2 schedules (thru FY08)_interest, yield assumtions (04A,05F,06B)_From Takedasan CF FY07 Fcst#2 Reply PKG for Fin_Cash flow最終_NRFM_FY11 Fcst#2 Excel PKG for Finance Sent" xfId="4117" xr:uid="{45A5F585-9125-40E6-87F6-52B7FD129339}"/>
    <cellStyle name="_Purple_CAP-ACT_MTP sub#2 schedules (thru FY08)_interest, yield assumtions (04A,05F,06B)_FY06 Fcst#1 Reply PKG for Finance Company(提出）最終" xfId="4118" xr:uid="{4CF59602-01B2-4408-83E2-75E5C39076CC}"/>
    <cellStyle name="_Purple_CAP-ACT_MTP sub#2 schedules (thru FY08)_interest, yield assumtions (04A,05F,06B)_FY06 Fcst#1 Reply PKG for Finance Company(提出）最終_2576_NFS_FY11 Fcst#2 Excel PKG for Finance_v2(add400M)" xfId="4119" xr:uid="{81A2E39F-97E4-4501-9BA4-71FF60AFC561}"/>
    <cellStyle name="_Purple_CAP-ACT_MTP sub#2 schedules (thru FY08)_interest, yield assumtions (04A,05F,06B)_FY07 Fcst#1 Reply PKG for Finance Company_v2" xfId="4120" xr:uid="{2CF093BE-F877-44EE-BDFC-2D8C42A4CC1D}"/>
    <cellStyle name="_Purple_CAP-ACT_MTP sub#2 schedules (thru FY08)_interest, yield assumtions (04A,05F,06B)_FY07 Fcst#1 Reply PKG_E" xfId="4121" xr:uid="{27FEA85C-4B3D-4853-B36D-7BC9DF54FAFB}"/>
    <cellStyle name="_Purple_CAP-ACT_MTP sub#2 schedules (thru FY08)_interest, yield assumtions (04A,05F,06B)_FY07 Fcst#1 Reply PKG_E " xfId="4122" xr:uid="{E1C26814-FF54-42B0-8E1E-6DDDE60C82AD}"/>
    <cellStyle name="_Purple_CAP-ACT_MTP sub#2 schedules (thru FY08)_interest, yield assumtions (04A,05F,06B)_FY07 Fcst#1 Reply PKG_E (2)" xfId="4123" xr:uid="{7AFD4BE1-19D4-49B6-820A-B4A43A374F42}"/>
    <cellStyle name="_Purple_CAP-ACT_MTP sub#2 schedules (thru FY08)_interest, yield assumtions (04A,05F,06B)_FY07 Fcst#1 Reply PKG_E_2136_NCF FY11 Fcst#2 Excel PKG for Finance NML" xfId="4124" xr:uid="{9FDB2782-BD69-4292-A6A1-774CDDA48E89}"/>
    <cellStyle name="_Purple_CAP-ACT_MTP sub#2 schedules (thru FY08)_interest, yield assumtions (04A,05F,06B)_FY07 Fcst#1 Reply PKG_E_2179_NMAC FY11 Fcst#2 Excel PKG for Finance" xfId="4125" xr:uid="{BAA6973E-2987-4C41-8F81-A50DD6A6D316}"/>
    <cellStyle name="_Purple_CAP-ACT_MTP sub#2 schedules (thru FY08)_interest, yield assumtions (04A,05F,06B)_FY07 Fcst#1 Reply PKG_E_2576_NFS_FY11 Fcst#2 Excel PKG for Finance_v2(add400M)" xfId="4126" xr:uid="{86825A7B-2B36-4BE5-AD80-FC6179742656}"/>
    <cellStyle name="_Purple_CAP-ACT_MTP sub#2 schedules (thru FY08)_interest, yield assumtions (04A,05F,06B)_FY07 Fcst#1 Reply PKG_E_3908_NLTH FY11 Fcst#2 Excel PKG for Finance" xfId="4127" xr:uid="{A1313C16-2C3C-4A40-A3D2-861967BFA429}"/>
    <cellStyle name="_Purple_CAP-ACT_MTP sub#2 schedules (thru FY08)_interest, yield assumtions (04A,05F,06B)_FY07 Fcst#1 Reply PKG_E_3926_DNAF_FY11 Fcst#2 Excel PKG for Finance_ver4.0_20110928" xfId="4128" xr:uid="{C04D11A2-4CDA-4AD2-A38F-E23EADA07042}"/>
    <cellStyle name="_Purple_CAP-ACT_MTP sub#2 schedules (thru FY08)_interest, yield assumtions (04A,05F,06B)_FY07 Fcst#1 Reply PKG_E_3939_NFSA FY11 Fcst#2 Excel PKG for Finance" xfId="4129" xr:uid="{13A3E41C-E837-49EA-944A-2E773D8177FC}"/>
    <cellStyle name="_Purple_CAP-ACT_MTP sub#2 schedules (thru FY08)_interest, yield assumtions (04A,05F,06B)_FY07 Fcst#1 Reply PKG_E_NRFM_FY11 Fcst#2 Excel PKG for Finance Sent" xfId="4130" xr:uid="{647338D8-08B9-453C-8EF8-E33B9ABF00F1}"/>
    <cellStyle name="_Purple_CAP-ACT_MTP sub#2 schedules (thru FY08)_interest, yield assumtions (04A,05F,06B)_FY07 Fcst#2 Reply PKG for Finance Company (Sep26)" xfId="4131" xr:uid="{39951756-4342-483E-A0C5-AF29B55D86A1}"/>
    <cellStyle name="_Purple_CAP-ACT_MTP sub#2 schedules (thru FY08)_interest, yield assumtions (04A,05F,06B)_FY07 Fcst#4 Reply PKG for Finance Company" xfId="4132" xr:uid="{633BB252-2DC6-4487-848B-BD7552468CDE}"/>
    <cellStyle name="_Purple_CAP-ACT_MTP sub#2 schedules (thru FY08)_interest, yield assumtions (04A,05F,06B)_FY07 Reply#1  FY06 FOR#3 Reply PKG for Finance Co's_Oct.26-Final" xfId="4133" xr:uid="{BE95F8F6-F33C-46E9-A0F5-C46A34778188}"/>
    <cellStyle name="_Purple_CAP-ACT_MTP sub#2 schedules (thru FY08)_interest, yield assumtions (04A,05F,06B)_FY07 Reply#1  FY06 FOR#3 Reply PKG for Finance Co's_Oct.26-Final_2576_NFS_FY11 Fcst#2 Excel PKG for Finance_v2(add400M)" xfId="4134" xr:uid="{6E4EAC3F-BA0C-4B1D-BACF-5AD408F7AF45}"/>
    <cellStyle name="_Purple_CAP-ACT_MTP sub#2 schedules (thru FY08)_interest, yield assumtions (04A,05F,06B)_FY07 Reply#1 &amp; FY06 FOR#3 Reply PKG for Finance Co's_Oct.26" xfId="4135" xr:uid="{F58FF239-3E2C-4BE2-A1BE-C43673756D8C}"/>
    <cellStyle name="_Purple_CAP-ACT_MTP sub#2 schedules (thru FY08)_interest, yield assumtions (04A,05F,06B)_FY07 Reply#1 &amp; FY06 FOR#3 Reply PKG for Finance Co's_Oct.26_2576_NFS_FY11 Fcst#2 Excel PKG for Finance_v2(add400M)" xfId="4136" xr:uid="{D8235D17-3669-4A51-A8A2-6AA126C4476B}"/>
    <cellStyle name="_Purple_CAP-ACT_MTP sub#2 schedules (thru FY08)_interest, yield assumtions (04A,05F,06B)_FY07 Reply#1 &amp; FY06 FOR#3 Reply PKG for Finance Co's_Oct.31-2" xfId="4137" xr:uid="{2302E72D-21DA-4C36-8EF1-C617D5AE671C}"/>
    <cellStyle name="_Purple_CAP-ACT_MTP sub#2 schedules (thru FY08)_interest, yield assumtions (04A,05F,06B)_FY07 Reply#1 &amp; FY06 FOR#3 Reply PKG for Finance Co's_Oct.31-2_2576_NFS_FY11 Fcst#2 Excel PKG for Finance_v2(add400M)" xfId="4138" xr:uid="{F54B6548-1F95-40C9-B8C8-67E58797EF0E}"/>
    <cellStyle name="_Purple_CAP-ACT_MTP sub#2 schedules (thru FY08)_interest, yield assumtions (04A,05F,06B)_FY08 Budget Reply#2 PKG for Finance" xfId="4139" xr:uid="{BAC639FA-0983-45BE-A732-A7B90BFD8FAF}"/>
    <cellStyle name="_Purple_CAP-ACT_MTP sub#2 schedules (thru FY08)_interest, yield assumtions (04A,05F,06B)_FY08 Budget Reply#2U PKG for Finance - BS Tab" xfId="4140" xr:uid="{E374E052-8F20-4C13-8D7B-89689CB8B8B8}"/>
    <cellStyle name="_Purple_CAP-ACT_MTP sub#2 schedules (thru FY08)_interest, yield assumtions (04A,05F,06B)_FY08 Budget Reply#2U PKG for Finance - Provision Tab" xfId="4141" xr:uid="{DB6B7CE6-F9ED-465B-967A-7FC7F2E66406}"/>
    <cellStyle name="_Purple_CAP-ACT_MTP sub#2 schedules (thru FY08)_interest, yield assumtions (04A,05F,06B)_FY08 Budget Reply#2U PKG for Finance - Volume Tab" xfId="4142" xr:uid="{4EF24D2B-9A7D-47B0-B4D1-8CBDA2E6DFBF}"/>
    <cellStyle name="_Purple_CAP-ACT_MTP sub#2 schedules (thru FY08)_interest, yield assumtions (04A,05F,06B)_FY08 Fcst #1 Reply PKG_E" xfId="4143" xr:uid="{0F932754-9CC6-4B06-BC94-A79C5BFEB05F}"/>
    <cellStyle name="_Purple_CAP-ACT_MTP sub#2 schedules (thru FY08)_interest, yield assumtions (04A,05F,06B)_FY08 Fcst #1 Reply PKG_E-IS" xfId="4144" xr:uid="{FDB14320-5DB8-42D6-BA04-6610DFFB5B13}"/>
    <cellStyle name="_Purple_CAP-ACT_MTP sub#2 schedules (thru FY08)_interest, yield assumtions (04A,05F,06B)_FY08 Fcst #2 for Finance Company From A77" xfId="4145" xr:uid="{151335B7-785C-47B2-8207-94EDFAB50687}"/>
    <cellStyle name="_Purple_CAP-ACT_MTP sub#2 schedules (thru FY08)_interest, yield assumtions (04A,05F,06B)_FY08 Fcst #2 for Finance Company_NFS( 提出）xls" xfId="4146" xr:uid="{E8E04063-B63E-4FF6-A6B0-DC2314A81CCC}"/>
    <cellStyle name="_Purple_CAP-ACT_MTP sub#2 schedules (thru FY08)_interest, yield assumtions (04A,05F,06B)_FY08 Fcst #2 for Finance Company_NFS(.提出）xls" xfId="4147" xr:uid="{ECEB694E-3572-498D-9440-B36C3A672EFC}"/>
    <cellStyle name="_Purple_CAP-ACT_MTP sub#2 schedules (thru FY08)_interest, yield assumtions (04A,05F,06B)_FY08 Fcst #2 Reply PKG_E" xfId="4148" xr:uid="{2E58460F-DDAC-4E69-AFB7-BD284AB68442}"/>
    <cellStyle name="_Purple_CAP-ACT_MTP sub#2 schedules (thru FY08)_interest, yield assumtions (04A,05F,06B)_FY08 Fcst#1 for Finance Company new (2)" xfId="4149" xr:uid="{0402404F-8E6A-46E8-8010-08CE1F05887F}"/>
    <cellStyle name="_Purple_CAP-ACT_MTP sub#2 schedules (thru FY08)_interest, yield assumtions (04A,05F,06B)_FY08 Fcst#1 for Finance Company new draft (3)" xfId="4150" xr:uid="{015D02B4-F46E-468E-8724-A8241C12774C}"/>
    <cellStyle name="_Purple_CAP-ACT_MTP sub#2 schedules (thru FY08)_interest, yield assumtions (04A,05F,06B)_FY08 Retail Volume April Report 090409" xfId="4151" xr:uid="{B619E6B1-9A33-41B8-912A-60439FA48023}"/>
    <cellStyle name="_Purple_CAP-ACT_MTP sub#2 schedules (thru FY08)_interest, yield assumtions (04A,05F,06B)_FY09 Budget Reply#1 PKG for Auto" xfId="4152" xr:uid="{4E23AEBE-A277-4009-901B-6FA8CB67AE70}"/>
    <cellStyle name="_Purple_CAP-ACT_MTP sub#2 schedules (thru FY08)_interest, yield assumtions (04A,05F,06B)_FY09 Budget Reply#1 PKG for Auto_2136_NCF FY11 Fcst#2 Excel PKG for Finance NML" xfId="4153" xr:uid="{83000DA2-3881-43E6-B11F-E463F3015E27}"/>
    <cellStyle name="_Purple_CAP-ACT_MTP sub#2 schedules (thru FY08)_interest, yield assumtions (04A,05F,06B)_FY09 Budget Reply#1 PKG for Auto_2179_NMAC FY11 Fcst#2 Excel PKG for Finance" xfId="4154" xr:uid="{7F9414A9-BA41-44D0-A79B-580234E2C1C2}"/>
    <cellStyle name="_Purple_CAP-ACT_MTP sub#2 schedules (thru FY08)_interest, yield assumtions (04A,05F,06B)_FY09 Budget Reply#1 PKG for Auto_2576_NFS_FY11 Fcst#2 Excel PKG for Finance_v2(add400M)" xfId="4155" xr:uid="{132EA135-3560-45FC-957C-DCDE79F2CE71}"/>
    <cellStyle name="_Purple_CAP-ACT_MTP sub#2 schedules (thru FY08)_interest, yield assumtions (04A,05F,06B)_FY09 Budget Reply#1 PKG for Auto_3908_NLTH FY11 Fcst#2 Excel PKG for Finance" xfId="4156" xr:uid="{97C92EBA-7EF0-4E6E-B704-EE88BF29DDC7}"/>
    <cellStyle name="_Purple_CAP-ACT_MTP sub#2 schedules (thru FY08)_interest, yield assumtions (04A,05F,06B)_FY09 Budget Reply#1 PKG for Auto_3926_DNAF_FY11 Fcst#2 Excel PKG for Finance_ver4.0_20110928" xfId="4157" xr:uid="{80D75466-4BE7-4DCC-98C8-8B5B8AE3563D}"/>
    <cellStyle name="_Purple_CAP-ACT_MTP sub#2 schedules (thru FY08)_interest, yield assumtions (04A,05F,06B)_FY09 Budget Reply#1 PKG for Auto_3939_NFSA FY11 Fcst#2 Excel PKG for Finance" xfId="4158" xr:uid="{C58753FD-D3A7-4A41-A5E2-41362159C67D}"/>
    <cellStyle name="_Purple_CAP-ACT_MTP sub#2 schedules (thru FY08)_interest, yield assumtions (04A,05F,06B)_FY09 Budget Reply#1 PKG for Auto_NRFM_FY11 Fcst#2 Excel PKG for Finance Sent" xfId="4159" xr:uid="{4CB619C9-8FC2-49B7-9DF9-DD22D49AE612}"/>
    <cellStyle name="_Purple_CAP-ACT_MTP sub#2 schedules (thru FY08)_interest, yield assumtions (04A,05F,06B)_FY09 Budget Reply#1 PKG for Finance" xfId="4160" xr:uid="{CD88A962-6DE4-4850-8D30-6552C6F7B720}"/>
    <cellStyle name="_Purple_CAP-ACT_MTP sub#2 schedules (thru FY08)_interest, yield assumtions (04A,05F,06B)_FY09 Budget Reply#1 PKG for Finance(提出）" xfId="4161" xr:uid="{6075F253-8ACF-4A03-A647-565A4030F664}"/>
    <cellStyle name="_Purple_CAP-ACT_MTP sub#2 schedules (thru FY08)_interest, yield assumtions (04A,05F,06B)_FY09 Budget Reply#1 PKG for Finance_2136_NCF FY11 Fcst#2 Excel PKG for Finance NML" xfId="4162" xr:uid="{C3F9DF4A-77AF-478C-86C0-E2F12A275152}"/>
    <cellStyle name="_Purple_CAP-ACT_MTP sub#2 schedules (thru FY08)_interest, yield assumtions (04A,05F,06B)_FY09 Budget Reply#1 PKG for Finance_2179_NMAC FY11 Fcst#2 Excel PKG for Finance" xfId="4163" xr:uid="{65AE9888-AE35-4048-B3DF-420C560733D2}"/>
    <cellStyle name="_Purple_CAP-ACT_MTP sub#2 schedules (thru FY08)_interest, yield assumtions (04A,05F,06B)_FY09 Budget Reply#1 PKG for Finance_2576_NFS_FY11 Fcst#2 Excel PKG for Finance_v2(add400M)" xfId="4164" xr:uid="{943A23C6-24BF-4452-BF46-DC37A235034B}"/>
    <cellStyle name="_Purple_CAP-ACT_MTP sub#2 schedules (thru FY08)_interest, yield assumtions (04A,05F,06B)_FY09 Budget Reply#1 PKG for Finance_3908_NLTH FY11 Fcst#2 Excel PKG for Finance" xfId="4165" xr:uid="{75C5C272-268B-4E85-90ED-D791C6D04FFD}"/>
    <cellStyle name="_Purple_CAP-ACT_MTP sub#2 schedules (thru FY08)_interest, yield assumtions (04A,05F,06B)_FY09 Budget Reply#1 PKG for Finance_3926_DNAF_FY11 Fcst#2 Excel PKG for Finance_ver4.0_20110928" xfId="4166" xr:uid="{96D74003-F347-4FBC-B3EA-AAB551B059EC}"/>
    <cellStyle name="_Purple_CAP-ACT_MTP sub#2 schedules (thru FY08)_interest, yield assumtions (04A,05F,06B)_FY09 Budget Reply#1 PKG for Finance_3939_NFSA FY11 Fcst#2 Excel PKG for Finance" xfId="4167" xr:uid="{8E1A7DA2-F9F1-411D-89F4-F793960B09B3}"/>
    <cellStyle name="_Purple_CAP-ACT_MTP sub#2 schedules (thru FY08)_interest, yield assumtions (04A,05F,06B)_FY09 Budget Reply#1 PKG for Finance_FY12 TIV_MS_Volume_BP Sim v8 " xfId="4168" xr:uid="{B85383F3-3D66-41F8-B93B-1725FCDC604F}"/>
    <cellStyle name="_Purple_CAP-ACT_MTP sub#2 schedules (thru FY08)_interest, yield assumtions (04A,05F,06B)_FY09 Budget Reply#1 PKG for Finance_NRFM_FY11 Fcst#2 Excel PKG for Finance Sent" xfId="4169" xr:uid="{7C5406DD-904F-45B0-B6E4-175DA2752E52}"/>
    <cellStyle name="_Purple_CAP-ACT_MTP sub#2 schedules (thru FY08)_interest, yield assumtions (04A,05F,06B)_FY09 Budget Reply#1 PKG for Financea77" xfId="4170" xr:uid="{9CA23597-3BEE-4FD4-BD67-B004E8E6664D}"/>
    <cellStyle name="_Purple_CAP-ACT_MTP sub#2 schedules (thru FY08)_interest, yield assumtions (04A,05F,06B)_FY09 Budget Reply#1 PKG for Financea77_2136_NCF FY11 Fcst#2 Excel PKG for Finance NML" xfId="4171" xr:uid="{ABE9E77D-D25B-4FE6-BBBF-D99660932B56}"/>
    <cellStyle name="_Purple_CAP-ACT_MTP sub#2 schedules (thru FY08)_interest, yield assumtions (04A,05F,06B)_FY09 Budget Reply#1 PKG for Financea77_2179_NMAC FY11 Fcst#2 Excel PKG for Finance" xfId="4172" xr:uid="{AD0A6CBF-9660-41F4-AAE8-B4E860AF7496}"/>
    <cellStyle name="_Purple_CAP-ACT_MTP sub#2 schedules (thru FY08)_interest, yield assumtions (04A,05F,06B)_FY09 Budget Reply#1 PKG for Financea77_2576_NFS_FY11 Fcst#2 Excel PKG for Finance_v2(add400M)" xfId="4173" xr:uid="{82BACE8A-0786-46CF-85A0-7F2C84F7BBF7}"/>
    <cellStyle name="_Purple_CAP-ACT_MTP sub#2 schedules (thru FY08)_interest, yield assumtions (04A,05F,06B)_FY09 Budget Reply#1 PKG for Financea77_3908_NLTH FY11 Fcst#2 Excel PKG for Finance" xfId="4174" xr:uid="{D16A58EF-CBC8-4579-838C-1B6964CDDFD8}"/>
    <cellStyle name="_Purple_CAP-ACT_MTP sub#2 schedules (thru FY08)_interest, yield assumtions (04A,05F,06B)_FY09 Budget Reply#1 PKG for Financea77_3926_DNAF_FY11 Fcst#2 Excel PKG for Finance_ver4.0_20110928" xfId="4175" xr:uid="{77A95F1C-966B-42E9-879E-96CD862EED4F}"/>
    <cellStyle name="_Purple_CAP-ACT_MTP sub#2 schedules (thru FY08)_interest, yield assumtions (04A,05F,06B)_FY09 Budget Reply#1 PKG for Financea77_3939_NFSA FY11 Fcst#2 Excel PKG for Finance" xfId="4176" xr:uid="{5646DD2C-0818-499A-968F-3DDF5ECF6024}"/>
    <cellStyle name="_Purple_CAP-ACT_MTP sub#2 schedules (thru FY08)_interest, yield assumtions (04A,05F,06B)_FY09 Budget Reply#1 PKG for Financea77_FY12 TIV_MS_Volume_BP Sim v8 " xfId="4177" xr:uid="{6C0F748C-3575-48B7-B622-3753714D8F0B}"/>
    <cellStyle name="_Purple_CAP-ACT_MTP sub#2 schedules (thru FY08)_interest, yield assumtions (04A,05F,06B)_FY09 Budget Reply#1 PKG for Financea77_NRFM_FY11 Fcst#2 Excel PKG for Finance Sent" xfId="4178" xr:uid="{D5F8A10F-3A55-4EC5-B111-E2AB2BFED7FA}"/>
    <cellStyle name="_Purple_CAP-ACT_MTP sub#2 schedules (thru FY08)_interest, yield assumtions (04A,05F,06B)_FY09 Budget Reply#2 PKG for Auto" xfId="4179" xr:uid="{4EDB66B6-5AB1-4EEF-9834-1A2603228F4A}"/>
    <cellStyle name="_Purple_CAP-ACT_MTP sub#2 schedules (thru FY08)_interest, yield assumtions (04A,05F,06B)_FY09 Budget Reply#2 PKG for Finance" xfId="4180" xr:uid="{962FB9B9-90DF-4B5E-8DD4-26E6139B6E23}"/>
    <cellStyle name="_Purple_CAP-ACT_MTP sub#2 schedules (thru FY08)_interest, yield assumtions (04A,05F,06B)_FY09 Budget Reply#2 PKG for NFS" xfId="4181" xr:uid="{9F34AEE9-E86E-4C7D-997B-9755392CF9C2}"/>
    <cellStyle name="_Purple_CAP-ACT_MTP sub#2 schedules (thru FY08)_interest, yield assumtions (04A,05F,06B)_FY09 Budget Reply#3 PKG for Auto" xfId="4182" xr:uid="{E3FC1913-52FC-4BA0-9757-E4BB132974AE}"/>
    <cellStyle name="_Purple_CAP-ACT_MTP sub#2 schedules (thru FY08)_interest, yield assumtions (04A,05F,06B)_FY09 CNTRL Outlook June-Latest0619-Final Retail" xfId="4183" xr:uid="{8F281FFA-A753-407F-BFD4-7F52F3E0A95A}"/>
    <cellStyle name="_Purple_CAP-ACT_MTP sub#2 schedules (thru FY08)_interest, yield assumtions (04A,05F,06B)_FY09 Fcst #3_TIV_MS_Volume-Dec11" xfId="4184" xr:uid="{733CB3D0-004B-434F-8E7E-92EEF85427CF}"/>
    <cellStyle name="_Purple_CAP-ACT_MTP sub#2 schedules (thru FY08)_interest, yield assumtions (04A,05F,06B)_FY09 Landing Scenarios" xfId="4185" xr:uid="{46C9E575-DC88-40D3-A915-7074D632D1FD}"/>
    <cellStyle name="_Purple_CAP-ACT_MTP sub#2 schedules (thru FY08)_interest, yield assumtions (04A,05F,06B)_FY09 Landing Scenarios_Flash Volume Summary-PER01-rv1" xfId="4186" xr:uid="{B145D41E-F026-4A9B-BE79-FA1C7A1A5371}"/>
    <cellStyle name="_Purple_CAP-ACT_MTP sub#2 schedules (thru FY08)_interest, yield assumtions (04A,05F,06B)_FY09 Landing Scenarios_Flash Volume Summary-PER02" xfId="4187" xr:uid="{3F1E435E-4F57-4D49-AE79-6D73B79BF1DB}"/>
    <cellStyle name="_Purple_CAP-ACT_MTP sub#2 schedules (thru FY08)_interest, yield assumtions (04A,05F,06B)_FY09 Landing Scenarios_Flash Volume Summary-PER04" xfId="4188" xr:uid="{96E3097A-3FD5-47F3-B5C7-9055F876E95F}"/>
    <cellStyle name="_Purple_CAP-ACT_MTP sub#2 schedules (thru FY08)_interest, yield assumtions (04A,05F,06B)_FY09 Landing Scenarios_Flash Volume Summary-PER0自分用2" xfId="4189" xr:uid="{21D878EA-2044-4F58-B4D1-C25F1F3FE490}"/>
    <cellStyle name="_Purple_CAP-ACT_MTP sub#2 schedules (thru FY08)_interest, yield assumtions (04A,05F,06B)_FY09 Landing Scenarios_Flash Volume Summary-PER10" xfId="4190" xr:uid="{5AEF0343-B91D-4085-BAA0-363F936D8A3E}"/>
    <cellStyle name="_Purple_CAP-ACT_MTP sub#2 schedules (thru FY08)_interest, yield assumtions (04A,05F,06B)_FY09 Landing Scenarios_Flash Volume Summary-PER10 for Central" xfId="4191" xr:uid="{7BE5F94E-2A1A-4C8C-87C9-D036F19E70BF}"/>
    <cellStyle name="_Purple_CAP-ACT_MTP sub#2 schedules (thru FY08)_interest, yield assumtions (04A,05F,06B)_FY09 Monthly Budget Excel Package" xfId="4192" xr:uid="{BFA7A961-086C-4C19-A99C-A8AD8099213F}"/>
    <cellStyle name="_Purple_CAP-ACT_MTP sub#2 schedules (thru FY08)_interest, yield assumtions (04A,05F,06B)_FY09 Official Fcst 9x3" xfId="4193" xr:uid="{53171054-D19F-4B2A-B812-F70718E2F816}"/>
    <cellStyle name="_Purple_CAP-ACT_MTP sub#2 schedules (thru FY08)_interest, yield assumtions (04A,05F,06B)_FY09 Retail Volume May Report 090513" xfId="4194" xr:uid="{D0439474-FE08-4580-B74E-1593755F9217}"/>
    <cellStyle name="_Purple_CAP-ACT_MTP sub#2 schedules (thru FY08)_interest, yield assumtions (04A,05F,06B)_FY09 Retail Volume May Report 090513_Flash Volume Summary-PER01-rv1" xfId="4195" xr:uid="{678930E0-FAFA-4A11-A2B9-26E2F1523FAD}"/>
    <cellStyle name="_Purple_CAP-ACT_MTP sub#2 schedules (thru FY08)_interest, yield assumtions (04A,05F,06B)_FY09 Retail Volume May Report 090513_Flash Volume Summary-PER02" xfId="4196" xr:uid="{23578DC7-B581-4520-B915-DA84BD3C6826}"/>
    <cellStyle name="_Purple_CAP-ACT_MTP sub#2 schedules (thru FY08)_interest, yield assumtions (04A,05F,06B)_FY09 Retail Volume May Report 090513_Flash Volume Summary-PER04" xfId="4197" xr:uid="{C6BF491B-0F5F-4172-8A15-AE75FA159C1B}"/>
    <cellStyle name="_Purple_CAP-ACT_MTP sub#2 schedules (thru FY08)_interest, yield assumtions (04A,05F,06B)_FY09 Retail Volume May Report 090513_Flash Volume Summary-PER0自分用2" xfId="4198" xr:uid="{6CD0AA4B-7C4B-4C8F-A09E-5EB949D8C4FE}"/>
    <cellStyle name="_Purple_CAP-ACT_MTP sub#2 schedules (thru FY08)_interest, yield assumtions (04A,05F,06B)_FY09 Retail Volume May Report 090513_Flash Volume Summary-PER10" xfId="4199" xr:uid="{D5E9C5DF-3601-4247-AECF-1B79F75A99CE}"/>
    <cellStyle name="_Purple_CAP-ACT_MTP sub#2 schedules (thru FY08)_interest, yield assumtions (04A,05F,06B)_FY09 Retail Volume May Report 090513_Flash Volume Summary-PER10 for Central" xfId="4200" xr:uid="{E5CB758A-C6C6-48AB-A232-913C116E1CF8}"/>
    <cellStyle name="_Purple_CAP-ACT_MTP sub#2 schedules (thru FY08)_interest, yield assumtions (04A,05F,06B)_FY09 WS Volume Report_April YTD_090527-Monthly Budget Updated" xfId="4201" xr:uid="{DBB05F76-D579-44B7-8634-B3143357B2E8}"/>
    <cellStyle name="_Purple_CAP-ACT_MTP sub#2 schedules (thru FY08)_interest, yield assumtions (04A,05F,06B)_FY09Q1 Outlook Volume_Jun22-2" xfId="4202" xr:uid="{5F6AA1AF-961E-4197-B339-CCB7CD73EB6A}"/>
    <cellStyle name="_Purple_CAP-ACT_MTP sub#2 schedules (thru FY08)_interest, yield assumtions (04A,05F,06B)_FY09Q1 Outlook Volume_Jun24" xfId="4203" xr:uid="{2B41A9D0-8796-4C19-B7E8-5F77E9C1A885}"/>
    <cellStyle name="_Purple_CAP-ACT_MTP sub#2 schedules (thru FY08)_interest, yield assumtions (04A,05F,06B)_interest ,yield assumption (07F 09x03) for reply pkg" xfId="4204" xr:uid="{2374CA20-01E6-4E09-B2D7-68737962BE1F}"/>
    <cellStyle name="_Purple_CAP-ACT_MTP sub#2 schedules (thru FY08)_interest, yield assumtions (04A,05F,06B)_interest ,yield assumption (FY08B#3)" xfId="4205" xr:uid="{630EB0A9-99BD-4CAD-A177-89755CBF2C84}"/>
    <cellStyle name="_Purple_CAP-ACT_MTP sub#2 schedules (thru FY08)_interest, yield assumtions (04A,05F,06B)_NCI Monthly Cash Flow_7X5" xfId="4206" xr:uid="{96586059-AE1F-44DC-A414-CD89906082F1}"/>
    <cellStyle name="_Purple_CAP-ACT_MTP sub#2 schedules (thru FY08)_interest, yield assumtions (04A,05F,06B)_NCI Monthly Cash Flow_9X3 final" xfId="4207" xr:uid="{FA3B91C8-A7BB-43CC-8397-D68E6BC6DC8C}"/>
    <cellStyle name="_Purple_CAP-ACT_MTP sub#2 schedules (thru FY08)_interest, yield assumtions (04A,05F,06B)_NCI Mothly Cash Flow_Jul'09-Final" xfId="4208" xr:uid="{9BE2F721-2AD1-4934-AC5D-7A22CF7A1718}"/>
    <cellStyle name="_Purple_CAP-ACT_MTP sub#2 schedules (thru FY08)_interest, yield assumtions (04A,05F,06B)_NCI Mothly Cash Flow_Jun'09" xfId="4209" xr:uid="{5DAA3F53-47E5-4CB4-BCB4-4B463DA50C53}"/>
    <cellStyle name="_Purple_CAP-ACT_MTP sub#2 schedules (thru FY08)_interest, yield assumtions (04A,05F,06B)_NFS　FY06 Fcst#2 Reply PKG for Finance Company" xfId="4210" xr:uid="{59F4426E-7F70-4397-B25C-1FD54A78FD6A}"/>
    <cellStyle name="_Purple_CAP-ACT_MTP sub#2 schedules (thru FY08)_interest, yield assumtions (04A,05F,06B)_NFS　FY06 Fcst#2 Reply PKG for Finance Company(提出）" xfId="4211" xr:uid="{FD69B914-EFB1-4FC8-BA9D-D6FFB4C0C76D}"/>
    <cellStyle name="_Purple_CAP-ACT_MTP sub#2 schedules (thru FY08)_interest, yield assumtions (04A,05F,06B)_NFS　FY06 Fcst#2 Reply PKG for Finance Company(提出）_2576_NFS_FY11 Fcst#2 Excel PKG for Finance_v2(add400M)" xfId="4212" xr:uid="{F0BFD523-65A1-4E05-A9C4-5AA6BBA70B80}"/>
    <cellStyle name="_Purple_CAP-ACT_MTP sub#2 schedules (thru FY08)_interest, yield assumtions (04A,05F,06B)_NFS　FY06 Fcst#2 Reply PKG for Finance Company(提出）3" xfId="4213" xr:uid="{52C95F44-4AE4-41FF-AAAB-E1A63D5765D5}"/>
    <cellStyle name="_Purple_CAP-ACT_MTP sub#2 schedules (thru FY08)_interest, yield assumtions (04A,05F,06B)_NFS　FY06 Fcst#2 Reply PKG for Finance Company(提出）3_2576_NFS_FY11 Fcst#2 Excel PKG for Finance_v2(add400M)" xfId="4214" xr:uid="{A58D64AD-2A2C-49BD-8F29-4318F6C4787C}"/>
    <cellStyle name="_Purple_CAP-ACT_MTP sub#2 schedules (thru FY08)_interest, yield assumtions (04A,05F,06B)_NFS　FY06 Fcst#2 Reply PKG for Finance Company(提出）4" xfId="4215" xr:uid="{86B8255A-41D3-4FDE-A6CE-ACB950B8FFF8}"/>
    <cellStyle name="_Purple_CAP-ACT_MTP sub#2 schedules (thru FY08)_interest, yield assumtions (04A,05F,06B)_NFS　FY06 Fcst#2 Reply PKG for Finance Company(提出）4_2576_NFS_FY11 Fcst#2 Excel PKG for Finance_v2(add400M)" xfId="4216" xr:uid="{BF63AB46-C66B-460C-9E14-237F9D644117}"/>
    <cellStyle name="_Purple_CAP-ACT_MTP sub#2 schedules (thru FY08)_interest, yield assumtions (04A,05F,06B)_NFS　FY06 Fcst#2 Reply PKG for Finance Company_2576_NFS_FY11 Fcst#2 Excel PKG for Finance_v2(add400M)" xfId="4217" xr:uid="{B7947B73-BDB2-4D40-838C-C75DA170478A}"/>
    <cellStyle name="_Purple_CAP-ACT_MTP sub#2 schedules (thru FY08)_interest, yield assumtions (04A,05F,06B)_NFS Variance analysis FOR#1" xfId="4218" xr:uid="{923EB637-3042-43D2-9FC3-49E1DAC56184}"/>
    <cellStyle name="_Purple_CAP-ACT_MTP sub#2 schedules (thru FY08)_interest, yield assumtions (04A,05F,06B)_NFS_MC-Jﾁｰﾑ独自の差異分析ﾌｫｰﾑ" xfId="4219" xr:uid="{82E87F87-F434-4145-9B42-BEC0A97FE44B}"/>
    <cellStyle name="_Purple_CAP-ACT_MTP sub#2 schedules (thru FY08)_interest, yield assumtions (04A,05F,06B)_NMEX - Fcst #2 (5+7) Financial analysis" xfId="4220" xr:uid="{23F17ECF-7EAB-4399-B38F-0B6DFE28A670}"/>
    <cellStyle name="_Purple_CAP-ACT_MTP sub#2 schedules (thru FY08)_interest, yield assumtions (04A,05F,06B)_NRFM_FY11 Fcst#2 Excel PKG for Finance Sent" xfId="4221" xr:uid="{55E27819-1102-4BA1-8765-A610FEEF57AE}"/>
    <cellStyle name="_Purple_CAP-ACT_MTP sub#2 schedules (thru FY08)_interest, yield assumtions (04A,05F,06B)_Sheet2" xfId="4222" xr:uid="{1BEFE72E-77D3-482A-AB7F-A9F8DD090691}"/>
    <cellStyle name="_Purple_CAP-ACT_MTP sub#2 schedules (thru FY08)_interest, yield assumtions (04A,05F,06B)_Variance analysis_NFS_FC#1" xfId="4223" xr:uid="{F3E5FBEC-D1DD-4B63-8269-663EA0B308F3}"/>
    <cellStyle name="_Purple_CAP-ACT_MTP sub#2 schedules (thru FY08)_interest, yield assumtions (04A,05F,06B)_コピーFY08 Fcst #2 Reply PKG_E" xfId="4224" xr:uid="{4C078F34-E732-4DFE-847A-4EDCD6F57921}"/>
    <cellStyle name="_Purple_CAP-ACT_MTP sub#2 schedules (thru FY08)_NCI Monthly Cash Flow_7X5" xfId="4225" xr:uid="{E7F32930-6CF5-43B4-9177-E4313C2015FF}"/>
    <cellStyle name="_Purple_CAP-ACT_MTP sub#2 schedules (thru FY08)_NCI Monthly Cash Flow_9X3 final" xfId="4226" xr:uid="{0FA846AD-7BD8-4BD2-AE59-9E08A0FB8E1B}"/>
    <cellStyle name="_Purple_CAP-ACT_MTP sub#2 schedules (thru FY08)_NCI Mothly Cash Flow_Jul'09-Final" xfId="4227" xr:uid="{E16EA66E-FC13-4904-B5F6-992A227740B5}"/>
    <cellStyle name="_Purple_CAP-ACT_MTP sub#2 schedules (thru FY08)_NCI Mothly Cash Flow_Jun'09" xfId="4228" xr:uid="{9A183246-1D81-4239-9F1C-964CC99ADC81}"/>
    <cellStyle name="_Purple_CAP-ACT_MTP sub#2 schedules (thru FY08)_NMEX - Fcst #2 (5+7) Financial analysis" xfId="4229" xr:uid="{DB20039C-22BD-4BC3-93F8-657C81709C6A}"/>
    <cellStyle name="_Purple_CAP-ACT_MTP sub#2 schedules (thru FY08)_NRFM_FY11 Fcst#2 Excel PKG for Finance Sent" xfId="4230" xr:uid="{06CDB8F5-570E-4770-AE11-9A98BE41F12D}"/>
    <cellStyle name="_Purple_CAP-ACT_NBA MCA Slides v1" xfId="4231" xr:uid="{24D4A7DF-124B-42A1-AE3E-5C0A346337C4}"/>
    <cellStyle name="_Purple_CAP-ACT_NI_Forecast_5x7_092408" xfId="4232" xr:uid="{2B4FB9A4-25F6-4464-AD7A-74AE63592CAA}"/>
    <cellStyle name="_Purple_CAP-ACT_NI_Forecast_5x7_092408_NI_Forecast_020110" xfId="4233" xr:uid="{3775DE39-672A-40B2-AA38-FCF81084B3BA}"/>
    <cellStyle name="_Purple_CAP-ACT_NI_Forecast_5x7_092408_NI_Forecast_112409" xfId="4234" xr:uid="{7ADA5AE4-5BBF-4CA2-93CB-7CA8D32B3CFF}"/>
    <cellStyle name="_Purple_CAP-ACT_NI_Forecast_5x7_092408_NI_Forecast_112409_2010 Reply 3 PXP Report v2 0 DISTv2 (2)" xfId="4235" xr:uid="{2FE34163-8EF0-41F9-8B2A-3F7C34150173}"/>
    <cellStyle name="_Purple_CAP-ACT_NI_Forecast_5x7_092408_NI_Forecast_112409_2010 Reply3b PXP Report v2 0 DISTv1" xfId="4236" xr:uid="{C63458DA-7EAA-49CD-9575-E42E93BE4FF0}"/>
    <cellStyle name="_Purple_CAP-ACT_NI_Forecast_5x7_092408_NI_Forecast_FY10_120110" xfId="4237" xr:uid="{649876E9-B731-4D6F-A5BD-38C3709D3AB9}"/>
    <cellStyle name="_Purple_CAP-ACT_NI_Forecast_5x7_092408_Tax Expense FY10 7x5 to FPA 113010" xfId="4238" xr:uid="{ED44DD11-4B3F-4293-8C03-BF475223079D}"/>
    <cellStyle name="_Purple_CAP-ACT_NMEX - Back up StepchartIFRS_Reerencia (2)_NMEX BP09 R#2 Summary of KPI_NMEX -BP09 R#2b v-1 " xfId="4239" xr:uid="{44F34113-49A6-46C2-8860-C3F6572E3F01}"/>
    <cellStyle name="_Purple_CAP-ACT_NMEX - BP09 R#2b back up Final (Jan 27)26 " xfId="4240" xr:uid="{36C19BF4-0FC6-4929-BEB6-E93665766011}"/>
    <cellStyle name="_Purple_CAP-ACT_NMEX BP09 R#1 Variance analysis_NMEX BP09 R#2 Summary of KPI_NMEX -BP09 R#2b v-1 " xfId="4241" xr:uid="{80033ADB-3CAB-4F25-847B-5020A7006A3B}"/>
    <cellStyle name="_Purple_CAP-ACT_NMEX -BP09 R#2b " xfId="4242" xr:uid="{37A39B28-F199-4387-B572-113EE4EEA699}"/>
    <cellStyle name="_Purple_CAP-ACT_NOE_May_dist" xfId="4243" xr:uid="{89F40EE6-A1AB-4710-A67E-E04301EAE81F}"/>
    <cellStyle name="_Purple_CAP-ACT_Nov MCA KPIs by Region (3)" xfId="4244" xr:uid="{674AAF9A-83D5-4962-AB3E-92142AF03DAE}"/>
    <cellStyle name="_Purple_CAP-ACT_NRFM_FY11 Fcst#2 Excel PKG for Finance Sent" xfId="4245" xr:uid="{21FDDA03-2A74-4592-BFC2-9AD76AB51DB4}"/>
    <cellStyle name="_Purple_CAP-ACT_Oct 20_NMEX -BP09 R#2b " xfId="4246" xr:uid="{F1E72E9E-F0E5-4471-89CD-6EC63F081CEE}"/>
    <cellStyle name="_Purple_CAP-ACT_Oct MCA KPIs" xfId="4247" xr:uid="{2EA41F16-182B-4A24-94AB-D66B643FA638}"/>
    <cellStyle name="_Purple_CAP-ACT_Q3 Landing Point" xfId="4248" xr:uid="{18241493-F01B-4974-AB9E-25B5FBAA7070}"/>
    <cellStyle name="_Purple_CAP-ACT_Sep 2008 Flash Dist2" xfId="4249" xr:uid="{7593DD6A-4F79-4151-AB88-154E26EED428}"/>
    <cellStyle name="_Purple_CAP-ACT_supplemental chart(Mtp_9w)" xfId="4250" xr:uid="{B117D729-F6A4-47DC-B2BA-A4AB8E0E068E}"/>
    <cellStyle name="_Purple_CAP-ACT_supplemental chart(Mtp_9w)_2136_NCF FY11 Fcst#2 Excel PKG for Finance NML" xfId="4251" xr:uid="{5F19B6A6-D4AB-4464-9A18-9DBA67A3A481}"/>
    <cellStyle name="_Purple_CAP-ACT_supplemental chart(Mtp_9w)_2179_NMAC FY11 Fcst#2 Excel PKG for Finance" xfId="4252" xr:uid="{E2C25683-2047-4BC0-BAAB-31D41A58BE89}"/>
    <cellStyle name="_Purple_CAP-ACT_supplemental chart(Mtp_9w)_2576_NFS_FY11 Fcst#2 Excel PKG for Finance_v2(add400M)" xfId="4253" xr:uid="{E5ECAFF7-4E2C-4F4C-AC7F-5E86F7836538}"/>
    <cellStyle name="_Purple_CAP-ACT_supplemental chart(Mtp_9w)_3908_NLTH FY11 Fcst#2 Excel PKG for Finance" xfId="4254" xr:uid="{3489BCFE-94B2-4278-867A-EE7AB3EA8C10}"/>
    <cellStyle name="_Purple_CAP-ACT_supplemental chart(Mtp_9w)_3926_DNAF_FY11 Fcst#2 Excel PKG for Finance_ver4.0_20110928" xfId="4255" xr:uid="{67CD816D-88F9-411A-A368-65252C2F10B8}"/>
    <cellStyle name="_Purple_CAP-ACT_supplemental chart(Mtp_9w)_3939_NFSA FY11 Fcst#2 Excel PKG for Finance" xfId="4256" xr:uid="{055E8F43-316F-4B53-8D47-726004AC150D}"/>
    <cellStyle name="_Purple_CAP-ACT_supplemental chart(Mtp_9w)_FY08 Retail Volume April Report 090409" xfId="4257" xr:uid="{0922F664-8556-4D54-984A-8D7B4066A1B9}"/>
    <cellStyle name="_Purple_CAP-ACT_supplemental chart(Mtp_9w)_FY09 CNTRL Outlook June-Latest0619-Final Retail" xfId="4258" xr:uid="{558AC5D9-1D25-4348-A9B4-F7D26C705153}"/>
    <cellStyle name="_Purple_CAP-ACT_supplemental chart(Mtp_9w)_FY09 Fcst #3_TIV_MS_Volume-Dec11" xfId="4259" xr:uid="{429CD7B2-305D-4A14-8C64-A7C8E20311AD}"/>
    <cellStyle name="_Purple_CAP-ACT_supplemental chart(Mtp_9w)_FY09 Landing Scenarios" xfId="4260" xr:uid="{14994682-2D45-43DB-AEE1-FB23BA4A4F70}"/>
    <cellStyle name="_Purple_CAP-ACT_supplemental chart(Mtp_9w)_FY09 Landing Scenarios_Flash Volume Summary-PER01-rv1" xfId="4261" xr:uid="{A5BD1E6F-BEC7-46A2-8A71-4291446A8A7F}"/>
    <cellStyle name="_Purple_CAP-ACT_supplemental chart(Mtp_9w)_FY09 Landing Scenarios_Flash Volume Summary-PER02" xfId="4262" xr:uid="{8E69F4C9-179A-4008-B09D-B27CB6547607}"/>
    <cellStyle name="_Purple_CAP-ACT_supplemental chart(Mtp_9w)_FY09 Landing Scenarios_Flash Volume Summary-PER04" xfId="4263" xr:uid="{DD462A49-993D-4AEE-A6D8-9B56FC9FD428}"/>
    <cellStyle name="_Purple_CAP-ACT_supplemental chart(Mtp_9w)_FY09 Landing Scenarios_Flash Volume Summary-PER0自分用2" xfId="4264" xr:uid="{FB0329B4-963A-4525-8BEB-C65C466DF9FF}"/>
    <cellStyle name="_Purple_CAP-ACT_supplemental chart(Mtp_9w)_FY09 Landing Scenarios_Flash Volume Summary-PER10" xfId="4265" xr:uid="{A6E756A8-FB1B-466F-9560-2069E56B05EB}"/>
    <cellStyle name="_Purple_CAP-ACT_supplemental chart(Mtp_9w)_FY09 Landing Scenarios_Flash Volume Summary-PER10 for Central" xfId="4266" xr:uid="{1DE8D734-6DA5-4313-A337-D46FE39AE4F3}"/>
    <cellStyle name="_Purple_CAP-ACT_supplemental chart(Mtp_9w)_FY09 Monthly Budget Excel Package" xfId="4267" xr:uid="{6FC16758-9D0C-4817-99F2-A518110AF212}"/>
    <cellStyle name="_Purple_CAP-ACT_supplemental chart(Mtp_9w)_FY09 Official Fcst 9x3" xfId="4268" xr:uid="{BABBE548-2465-44C9-8109-23F69023614A}"/>
    <cellStyle name="_Purple_CAP-ACT_supplemental chart(Mtp_9w)_FY09 Retail Volume May Report 090513" xfId="4269" xr:uid="{F9E6B0C7-A7BF-4408-AABC-4D0DEB06EA5A}"/>
    <cellStyle name="_Purple_CAP-ACT_supplemental chart(Mtp_9w)_FY09 Retail Volume May Report 090513_Flash Volume Summary-PER01-rv1" xfId="4270" xr:uid="{8318378D-0789-4093-AF6C-9D096984FF67}"/>
    <cellStyle name="_Purple_CAP-ACT_supplemental chart(Mtp_9w)_FY09 Retail Volume May Report 090513_Flash Volume Summary-PER02" xfId="4271" xr:uid="{366D9ADF-B30C-476E-BB98-0528E76E8295}"/>
    <cellStyle name="_Purple_CAP-ACT_supplemental chart(Mtp_9w)_FY09 Retail Volume May Report 090513_Flash Volume Summary-PER04" xfId="4272" xr:uid="{3519961C-B404-4A08-880B-ECDB3D7460A1}"/>
    <cellStyle name="_Purple_CAP-ACT_supplemental chart(Mtp_9w)_FY09 Retail Volume May Report 090513_Flash Volume Summary-PER0自分用2" xfId="4273" xr:uid="{8FFADE6E-897E-4485-B372-A60DE83688F8}"/>
    <cellStyle name="_Purple_CAP-ACT_supplemental chart(Mtp_9w)_FY09 Retail Volume May Report 090513_Flash Volume Summary-PER10" xfId="4274" xr:uid="{63FC951D-5BA7-4A48-A7CA-35227FDE2B3A}"/>
    <cellStyle name="_Purple_CAP-ACT_supplemental chart(Mtp_9w)_FY09 Retail Volume May Report 090513_Flash Volume Summary-PER10 for Central" xfId="4275" xr:uid="{8E813289-33A8-4CC1-8232-100F3F027815}"/>
    <cellStyle name="_Purple_CAP-ACT_supplemental chart(Mtp_9w)_FY09 WS Volume Report_April YTD_090527-Monthly Budget Updated" xfId="4276" xr:uid="{0D0BFBC3-264F-4E5B-BDAF-A79B5E6D509B}"/>
    <cellStyle name="_Purple_CAP-ACT_supplemental chart(Mtp_9w)_FY09Q1 Outlook Volume_Jun22-2" xfId="4277" xr:uid="{A708D0C8-85F1-4167-B6B7-CCB09F13989F}"/>
    <cellStyle name="_Purple_CAP-ACT_supplemental chart(Mtp_9w)_FY09Q1 Outlook Volume_Jun24" xfId="4278" xr:uid="{9DE659D5-5E3F-43BB-8860-71C267E6A94A}"/>
    <cellStyle name="_Purple_CAP-ACT_supplemental chart(Mtp_9w)_NCI Monthly Cash Flow_7X5" xfId="4279" xr:uid="{2DA555A6-2D4F-4748-BCBE-B511350B5BB4}"/>
    <cellStyle name="_Purple_CAP-ACT_supplemental chart(Mtp_9w)_NCI Monthly Cash Flow_9X3 final" xfId="4280" xr:uid="{40B4F6D4-5F13-4CE9-ADAB-708DAFA39BD6}"/>
    <cellStyle name="_Purple_CAP-ACT_supplemental chart(Mtp_9w)_NCI Mothly Cash Flow_Jul'09-Final" xfId="4281" xr:uid="{80E69587-641C-4D00-AA96-0C9ECABA348C}"/>
    <cellStyle name="_Purple_CAP-ACT_supplemental chart(Mtp_9w)_NCI Mothly Cash Flow_Jun'09" xfId="4282" xr:uid="{F8B0CE07-07E5-4171-9DAD-E8C13A813E80}"/>
    <cellStyle name="_Purple_CAP-ACT_supplemental chart(Mtp_9w)_NMEX - Fcst #2 (5+7) Financial analysis" xfId="4283" xr:uid="{E848525E-0A29-4A31-A03B-D88489A6B54F}"/>
    <cellStyle name="_Purple_CAP-ACT_supplemental chart(Mtp_9w)_NRFM_FY11 Fcst#2 Excel PKG for Finance Sent" xfId="4284" xr:uid="{294A673B-3691-46BB-9DEA-60B49DB97D56}"/>
    <cellStyle name="_Purple_CAP-ACT_Volume Variance" xfId="4285" xr:uid="{3DC1D056-E81E-4903-B6B5-E80C77362EEE}"/>
    <cellStyle name="_Purple_CAP-ACT_Volume Variance_NMEX - Fcst #2 (5+7) Financial analysis" xfId="4286" xr:uid="{0EF2DB93-6B26-4509-AEFB-7768ECC171A2}"/>
    <cellStyle name="_Purple_CAP-ACT_XXXX" xfId="4287" xr:uid="{775009E7-81D2-4464-80A1-0400BC0A70A8}"/>
    <cellStyle name="_Purple_Consol P&amp;L Full YR Reply 1" xfId="4288" xr:uid="{21522855-71F2-42A3-B6DA-25E333FF4E72}"/>
    <cellStyle name="_Purple_Division Walk Template" xfId="4289" xr:uid="{01EBF471-25EF-4D07-BD8F-595837471CDB}"/>
    <cellStyle name="_Purple_Division Walk Template 2" xfId="4290" xr:uid="{DFECAE80-6D0A-4D64-AB84-9DA3DFB311E1}"/>
    <cellStyle name="_Purple_Feb_NML_Video 2" xfId="4291" xr:uid="{97DCCDAC-5287-4176-B938-EC4C3C788F4F}"/>
    <cellStyle name="_Purple_FY08 Retail Volume April Report 090409" xfId="4292" xr:uid="{08554712-9F6C-49A1-9988-8D4CB78E244A}"/>
    <cellStyle name="_Purple_FY09 CNTRL Outlook June-Latest0619-Final Retail" xfId="4293" xr:uid="{873CB93A-2477-4C2D-9FC3-2D6E717C1DE1}"/>
    <cellStyle name="_Purple_FY09 Fcst #3_TIV_MS_Volume-Dec11" xfId="4294" xr:uid="{0B37232F-98D0-4269-B555-88AFA992338E}"/>
    <cellStyle name="_Purple_FY09 Landing Scenarios" xfId="4295" xr:uid="{A84BF3C8-BFDC-4BFD-B352-9B329FA8DAFE}"/>
    <cellStyle name="_Purple_FY09 Landing Scenarios_Flash Volume Summary-PER01-rv1" xfId="4296" xr:uid="{FBE74E7E-E188-4FD2-B70E-0B7EB1BD2F6E}"/>
    <cellStyle name="_Purple_FY09 Landing Scenarios_Flash Volume Summary-PER02" xfId="4297" xr:uid="{ED30DAEE-3B0D-41EB-800D-4B712A3827A2}"/>
    <cellStyle name="_Purple_FY09 Landing Scenarios_Flash Volume Summary-PER04" xfId="4298" xr:uid="{49BE28FD-67B2-4A94-9A69-C649579029D4}"/>
    <cellStyle name="_Purple_FY09 Landing Scenarios_Flash Volume Summary-PER0自分用2" xfId="4299" xr:uid="{50221166-7F6D-4E83-B3BF-C423D660A585}"/>
    <cellStyle name="_Purple_FY09 Landing Scenarios_Flash Volume Summary-PER10" xfId="4300" xr:uid="{093084CA-C5DE-4362-96CC-3BB90EB2A8A7}"/>
    <cellStyle name="_Purple_FY09 Landing Scenarios_Flash Volume Summary-PER10 for Central" xfId="4301" xr:uid="{96385E73-24E7-4FCC-A82D-4BCDD0E63725}"/>
    <cellStyle name="_Purple_FY09 Retail Volume May Report 090513" xfId="4302" xr:uid="{E6F76C6F-05B2-453E-A88E-47A045F5374B}"/>
    <cellStyle name="_Purple_FY09 Retail Volume May Report 090513_Flash Volume Summary-PER01-rv1" xfId="4303" xr:uid="{A97CD9C1-41D7-4D44-9791-B4801EB8910B}"/>
    <cellStyle name="_Purple_FY09 Retail Volume May Report 090513_Flash Volume Summary-PER02" xfId="4304" xr:uid="{418AEE72-CCE2-4889-947C-EF612B41DC82}"/>
    <cellStyle name="_Purple_FY09 Retail Volume May Report 090513_Flash Volume Summary-PER04" xfId="4305" xr:uid="{660BEBFB-B7AD-4D70-8B66-737C3DAB9FE6}"/>
    <cellStyle name="_Purple_FY09 Retail Volume May Report 090513_Flash Volume Summary-PER0自分用2" xfId="4306" xr:uid="{16581939-C3FE-4363-85D5-CE7F900CFFC7}"/>
    <cellStyle name="_Purple_FY09 Retail Volume May Report 090513_Flash Volume Summary-PER10" xfId="4307" xr:uid="{A619908F-96E9-4170-8826-1BD201F75692}"/>
    <cellStyle name="_Purple_FY09 Retail Volume May Report 090513_Flash Volume Summary-PER10 for Central" xfId="4308" xr:uid="{DBB30800-4448-4171-B48E-BF6602A87CC6}"/>
    <cellStyle name="_Purple_FY09 WS Volume Report_April YTD_090527-Monthly Budget Updated" xfId="4309" xr:uid="{BAE85C45-4050-4359-8DF4-26180CCDD870}"/>
    <cellStyle name="_Purple_FY09Q1 Outlook Volume_Jun22-2" xfId="4310" xr:uid="{B1459D45-2248-442F-8838-5C7B55BA27AB}"/>
    <cellStyle name="_Purple_FY09Q1 Outlook Volume_Jun24" xfId="4311" xr:uid="{A509159E-61D4-4455-83AC-CD45742259DC}"/>
    <cellStyle name="_Purple_Infiniti" xfId="4312" xr:uid="{81D78486-8380-4487-A366-E44857DC8F19}"/>
    <cellStyle name="_Purple_MC-A Management Commitment Detail Calculation (3)" xfId="4313" xr:uid="{0D2C0A66-F4E4-4F6F-91F4-E124B62B055D}"/>
    <cellStyle name="_Purple_MC-A Mgmt Commit_Aug" xfId="4314" xr:uid="{07C55423-7FD2-4C59-B140-6226354E893D}"/>
    <cellStyle name="_Purple_MCA Template" xfId="4315" xr:uid="{F3D3D4D8-2D57-40C4-98B8-4E4D577F79A5}"/>
    <cellStyle name="_Purple_NMEX - Back up StepchartIFRS_Reerencia (2)_NMEX BP09 R#2 Summary of KPI_NMEX -BP09 R#2b v-1 " xfId="4316" xr:uid="{80CF82C9-E6E0-4D68-BA4B-C38F31EBB8B7}"/>
    <cellStyle name="_Purple_NML $524M Walk_NMEX - BP09 R#2b back up Final (Jan 27)26 " xfId="4317" xr:uid="{297EB8FA-3684-4AB7-B1A8-237873756CF7}"/>
    <cellStyle name="_Purple_Oct 20" xfId="4318" xr:uid="{F8410128-AD50-4D0B-8471-C840986B428F}"/>
    <cellStyle name="_Purple_Oct 29" xfId="4319" xr:uid="{783AA501-9FB1-41FD-9EA0-38583C49ECFA}"/>
    <cellStyle name="_Purple_S&amp;P_COMP" xfId="4320" xr:uid="{A6BA01A7-E676-4ECC-923C-BB7028E0C557}"/>
    <cellStyle name="_Purple_S&amp;P_COMP_08 Reply#2Update Deck" xfId="4321" xr:uid="{D0F66CDD-5A01-448F-B331-E733FFF290AB}"/>
    <cellStyle name="_Purple_S&amp;P_COMP_08 Reply#2Update Deck 2" xfId="4322" xr:uid="{362E4053-BC4F-4170-BF10-5FE328D59EBF}"/>
    <cellStyle name="_Purple_S&amp;P_COMP_08 Reply#2Update Deck_Book2" xfId="4323" xr:uid="{AEE66D20-308C-402C-B3E1-F39E0E7A43D9}"/>
    <cellStyle name="_Purple_S&amp;P_COMP_08 Reply#2Update Deck_NI_Forecast_020110" xfId="4324" xr:uid="{08DB05D1-E8AB-4BC7-99C3-8D05A99240EC}"/>
    <cellStyle name="_Purple_S&amp;P_COMP_08 Reply#2Update Deck_NI_Forecast_112409" xfId="4325" xr:uid="{7AB92CC6-0631-4EFC-AAC3-EA338BA5D6FF}"/>
    <cellStyle name="_Purple_S&amp;P_COMP_08 Reply#2Update Deck_NI_Forecast_112409_2010 Reply 3 PXP Report v2 0 DISTv2 (2)" xfId="4326" xr:uid="{E2ACCE56-BA82-471D-80DF-0F2B051FA1E9}"/>
    <cellStyle name="_Purple_S&amp;P_COMP_08 Reply#2Update Deck_NI_Forecast_112409_2010 Reply3b PXP Report v2 0 DISTv1" xfId="4327" xr:uid="{98763861-17E0-4C18-BCCA-80CBB2048FC4}"/>
    <cellStyle name="_Purple_S&amp;P_COMP_08 Reply#2Update Deck_NI_Forecast_FY10_120110" xfId="4328" xr:uid="{EDA97E05-4384-4F3A-8B49-23D6A5529821}"/>
    <cellStyle name="_Purple_S&amp;P_COMP_08 Reply#2Update Deck_NMEX - BP09 R#2b back up Final (Jan 27)26 " xfId="4329" xr:uid="{1AC79B67-0137-49A2-B2CE-013BC9F1E951}"/>
    <cellStyle name="_Purple_S&amp;P_COMP_08 Reply#2Update Deck_NMEX -BP09 R#2b " xfId="4330" xr:uid="{5CB813FB-6F8B-445F-9C71-BBE657901FCF}"/>
    <cellStyle name="_Purple_S&amp;P_COMP_08 Reply#2Update Deck_NMEX Financial Review Aug,05" xfId="4331" xr:uid="{5B956A33-FE66-499C-869B-0EA9E4C7B21A}"/>
    <cellStyle name="_Purple_S&amp;P_COMP_08 Reply#2Update Deck_NMEX Financial Review Oct" xfId="4332" xr:uid="{58AD36CD-BE27-4699-A4BA-F39E8B9B63E8}"/>
    <cellStyle name="_Purple_S&amp;P_COMP_08 Reply#2Update Deck_NMEX Financial Review Sep" xfId="4333" xr:uid="{9BE84DBF-597C-403E-98DF-67846918AFF4}"/>
    <cellStyle name="_Purple_S&amp;P_COMP_08 Reply#2Update Deck_NMEX_Variance Analysis_Aug___" xfId="4334" xr:uid="{3EE78E1C-BA6D-4551-8C21-F3557B7550F0}"/>
    <cellStyle name="_Purple_S&amp;P_COMP_08 Reply#2Update Deck_NRFM NML Video v2" xfId="4335" xr:uid="{9A3A2692-09B7-4483-B3E3-AC8FFFAEFCD3}"/>
    <cellStyle name="_Purple_S&amp;P_COMP_08 Reply#2Update Deck_Tax Expense FY10 7x5 to FPA 113010" xfId="4336" xr:uid="{FF85BD08-38AE-4989-9260-19C3A3DC3D72}"/>
    <cellStyle name="_Purple_S&amp;P_COMP_08 Reply#2Update Deck_video deck" xfId="4337" xr:uid="{4A00BD3A-8F4C-470C-A5F9-BC770E9956D0}"/>
    <cellStyle name="_Purple_S&amp;P_COMP_2136_NCF FY11 Fcst#2 Excel PKG for Finance NML" xfId="4338" xr:uid="{1EEACFFD-B2D4-4068-8137-4B4F12A8233E}"/>
    <cellStyle name="_Purple_S&amp;P_COMP_2179_NMAC FY11 Fcst#2 Excel PKG for Finance" xfId="4339" xr:uid="{07FB352C-797C-4C32-8047-EC444F416BD9}"/>
    <cellStyle name="_Purple_S&amp;P_COMP_2576_NFS_FY11 Fcst#2 Excel PKG for Finance_v2(add400M)" xfId="4340" xr:uid="{0005C5B0-0BC1-41DF-A32D-2E8A21A80964}"/>
    <cellStyle name="_Purple_S&amp;P_COMP_3908_NLTH FY11 Fcst#2 Excel PKG for Finance" xfId="4341" xr:uid="{1625A4ED-BEA1-4F6E-A7A8-C9B4B168891E}"/>
    <cellStyle name="_Purple_S&amp;P_COMP_3926_DNAF_FY11 Fcst#2 Excel PKG for Finance_ver4.0_20110928" xfId="4342" xr:uid="{5187BA7D-09BF-4B24-8575-E609B3F3132E}"/>
    <cellStyle name="_Purple_S&amp;P_COMP_3939_NFSA FY11 Fcst#2 Excel PKG for Finance" xfId="4343" xr:uid="{25288CF7-4C8E-4957-AF69-F3B5E266C9B7}"/>
    <cellStyle name="_Purple_S&amp;P_COMP_Book2" xfId="4344" xr:uid="{24471EA6-8FE8-4A2E-AE69-9D4ACD96ABED}"/>
    <cellStyle name="_Purple_S&amp;P_COMP_Book2_NMEX - Fcst #2 (5+7) Financial analysis" xfId="4345" xr:uid="{720825DB-D280-4679-A1A7-D27BF7DD9388}"/>
    <cellStyle name="_Purple_S&amp;P_COMP_Consol P&amp;L Full YR Reply 1" xfId="4346" xr:uid="{5E2BC935-8EEC-414A-92C6-37387659B45E}"/>
    <cellStyle name="_Purple_S&amp;P_COMP_Division Walk Template" xfId="4347" xr:uid="{02533BF1-32AC-4CF0-B261-DCC2BD759D97}"/>
    <cellStyle name="_Purple_S&amp;P_COMP_Division Walk Template 2" xfId="4348" xr:uid="{EBC7E4FC-C7A1-4D30-8C9C-36DF4659EFEE}"/>
    <cellStyle name="_Purple_S&amp;P_COMP_Feb_NML_Video 2" xfId="4349" xr:uid="{B55EB533-9FBB-4D78-8601-4B2008E0ADEA}"/>
    <cellStyle name="_Purple_S&amp;P_COMP_FY08 Retail Volume April Report 090409" xfId="4350" xr:uid="{BBB93BEA-F367-4C54-A21C-97AD9AFFE1DF}"/>
    <cellStyle name="_Purple_S&amp;P_COMP_FY09 CNTRL Outlook June-Latest0619-Final Retail" xfId="4351" xr:uid="{5E53CAF3-65BB-4AE2-9011-2DEDF6718B65}"/>
    <cellStyle name="_Purple_S&amp;P_COMP_FY09 Fcst #3_TIV_MS_Volume-Dec11" xfId="4352" xr:uid="{B22FAC97-926C-477C-AB68-9FA446C364C6}"/>
    <cellStyle name="_Purple_S&amp;P_COMP_FY09 Landing Scenarios" xfId="4353" xr:uid="{2B5EDD09-CA66-492C-8DC4-D6FAF0627260}"/>
    <cellStyle name="_Purple_S&amp;P_COMP_FY09 Landing Scenarios_Flash Volume Summary-PER01-rv1" xfId="4354" xr:uid="{C0AD60BE-8EDC-4645-8F94-463E48DAACB6}"/>
    <cellStyle name="_Purple_S&amp;P_COMP_FY09 Landing Scenarios_Flash Volume Summary-PER02" xfId="4355" xr:uid="{D12F8B4E-2963-4879-8DAC-C37193955DFF}"/>
    <cellStyle name="_Purple_S&amp;P_COMP_FY09 Landing Scenarios_Flash Volume Summary-PER04" xfId="4356" xr:uid="{16B6C22B-5653-4011-980C-6287EA0F3D22}"/>
    <cellStyle name="_Purple_S&amp;P_COMP_FY09 Landing Scenarios_Flash Volume Summary-PER0自分用2" xfId="4357" xr:uid="{AC64DBC7-8CA5-4991-84F7-7EBFF54C7846}"/>
    <cellStyle name="_Purple_S&amp;P_COMP_FY09 Landing Scenarios_Flash Volume Summary-PER10" xfId="4358" xr:uid="{4A82254D-2AC5-4C3A-A0F9-E62DA1AA5E4C}"/>
    <cellStyle name="_Purple_S&amp;P_COMP_FY09 Landing Scenarios_Flash Volume Summary-PER10 for Central" xfId="4359" xr:uid="{C49E429C-EB95-4F67-9074-3733154784E1}"/>
    <cellStyle name="_Purple_S&amp;P_COMP_FY09 Monthly Budget Excel Package" xfId="4360" xr:uid="{B2AAD8CC-3D27-4B6D-9E8C-10826342B67D}"/>
    <cellStyle name="_Purple_S&amp;P_COMP_FY09 Official Fcst 9x3" xfId="4361" xr:uid="{D6F4CC85-FF30-4EBC-8508-4A5882B9777F}"/>
    <cellStyle name="_Purple_S&amp;P_COMP_FY09 Retail Volume May Report 090513" xfId="4362" xr:uid="{80CC36FE-008C-4D33-9F61-A54BBC7090A1}"/>
    <cellStyle name="_Purple_S&amp;P_COMP_FY09 Retail Volume May Report 090513_Flash Volume Summary-PER01-rv1" xfId="4363" xr:uid="{4F70F065-677B-4924-BEBE-776E8432251C}"/>
    <cellStyle name="_Purple_S&amp;P_COMP_FY09 Retail Volume May Report 090513_Flash Volume Summary-PER02" xfId="4364" xr:uid="{36718620-EE08-402F-82F8-1462973228A1}"/>
    <cellStyle name="_Purple_S&amp;P_COMP_FY09 Retail Volume May Report 090513_Flash Volume Summary-PER04" xfId="4365" xr:uid="{B8D9E7CC-65A2-4829-81E1-4A76D191A0D6}"/>
    <cellStyle name="_Purple_S&amp;P_COMP_FY09 Retail Volume May Report 090513_Flash Volume Summary-PER0自分用2" xfId="4366" xr:uid="{9532D7DC-87B0-47EE-B7DB-6BD3FE9EE676}"/>
    <cellStyle name="_Purple_S&amp;P_COMP_FY09 Retail Volume May Report 090513_Flash Volume Summary-PER10" xfId="4367" xr:uid="{BE810791-6BDC-4645-B92A-13F7FCB6E1A9}"/>
    <cellStyle name="_Purple_S&amp;P_COMP_FY09 Retail Volume May Report 090513_Flash Volume Summary-PER10 for Central" xfId="4368" xr:uid="{5E0C6336-51D2-4EEE-9ED2-384AEFE7B534}"/>
    <cellStyle name="_Purple_S&amp;P_COMP_FY09 WS Volume Report_April YTD_090527-Monthly Budget Updated" xfId="4369" xr:uid="{58E68A60-8A8D-44C0-BA5E-8A2768E42603}"/>
    <cellStyle name="_Purple_S&amp;P_COMP_FY09Q1 Outlook Volume_Jun22-2" xfId="4370" xr:uid="{ACA1309B-BA17-454C-A440-E9351ABE1EB9}"/>
    <cellStyle name="_Purple_S&amp;P_COMP_FY09Q1 Outlook Volume_Jun24" xfId="4371" xr:uid="{5B10C71B-86C3-42D5-A132-D5CD3129405B}"/>
    <cellStyle name="_Purple_S&amp;P_COMP_Infiniti" xfId="4372" xr:uid="{F7F65AB4-31AB-46D6-8FA1-958149CC6500}"/>
    <cellStyle name="_Purple_S&amp;P_COMP_MC-A Management Commitment Detail Calculation (3)" xfId="4373" xr:uid="{78807418-472A-476B-82B2-05BAB8F6C8ED}"/>
    <cellStyle name="_Purple_S&amp;P_COMP_MC-A Mgmt Commit_Aug" xfId="4374" xr:uid="{B32411FB-EBC4-472D-9302-F15C99214FCD}"/>
    <cellStyle name="_Purple_S&amp;P_COMP_MCA Template" xfId="4375" xr:uid="{183211CD-16D7-469A-A0A3-73BBD58FAB05}"/>
    <cellStyle name="_Purple_S&amp;P_COMP_NCI Monthly Cash Flow_7X5" xfId="4376" xr:uid="{2F414C28-D789-4103-89EF-A20E0BD0A75B}"/>
    <cellStyle name="_Purple_S&amp;P_COMP_NCI Monthly Cash Flow_9X3 final" xfId="4377" xr:uid="{DF91117E-9E89-4293-9FE5-41594ABB6A31}"/>
    <cellStyle name="_Purple_S&amp;P_COMP_NCI Mothly Cash Flow_Jul'09-Final" xfId="4378" xr:uid="{8CFC49BB-8653-4E96-A969-1863EECEE0B1}"/>
    <cellStyle name="_Purple_S&amp;P_COMP_NCI Mothly Cash Flow_Jun'09" xfId="4379" xr:uid="{496F2403-FAD8-445D-9481-1AD2E811FC16}"/>
    <cellStyle name="_Purple_S&amp;P_COMP_NMEX - Back up StepchartIFRS_Reerencia (2)_NMEX BP09 R#2 Summary of KPI_NMEX -BP09 R#2b v-1 " xfId="4380" xr:uid="{BDE5831C-B814-47CF-9C5A-30554552CB8C}"/>
    <cellStyle name="_Purple_S&amp;P_COMP_NML $524M Walk_NMEX - BP09 R#2b back up Final (Jan 27)26 " xfId="4381" xr:uid="{2F91893F-C30A-4DBC-978A-018AD46EDEDC}"/>
    <cellStyle name="_Purple_S&amp;P_COMP_NRFM_FY11 Fcst#2 Excel PKG for Finance Sent" xfId="4382" xr:uid="{13481D30-BE14-4739-A1ED-E6BC994A2198}"/>
    <cellStyle name="_Purple_S&amp;P_COMP_Oct 20" xfId="4383" xr:uid="{186CA29F-A0BB-4EC8-B51B-A840CAA1BF67}"/>
    <cellStyle name="_Purple_S&amp;P_COMP_Oct 29" xfId="4384" xr:uid="{F3A6E6F8-BC28-4178-BF4E-336A3CA951CA}"/>
    <cellStyle name="_Purple_S&amp;P_COMP_Variance Walk for NNA FY08 Reply 2" xfId="4385" xr:uid="{184D2D80-A0A5-456C-9776-8E55E973E4CD}"/>
    <cellStyle name="_Purple_S&amp;P_COMP_Volume Variance" xfId="4386" xr:uid="{7A086DE1-C28A-41AC-A7C2-E1FAC5DEE4FB}"/>
    <cellStyle name="_Purple_S&amp;P_COMP_Volume Variance_NMEX - Fcst #2 (5+7) Financial analysis" xfId="4387" xr:uid="{8EF8B575-B484-486E-8A00-E383736AB371}"/>
    <cellStyle name="_Purple_S&amp;P_MDL" xfId="4388" xr:uid="{6246878A-41C1-4805-9B26-F7EF032436BE}"/>
    <cellStyle name="_Purple_S&amp;P_MDL_08 Reply#2Update Deck" xfId="4389" xr:uid="{83A4AF44-0DD1-4183-AFFD-9AE314651B72}"/>
    <cellStyle name="_Purple_S&amp;P_MDL_08 Reply#2Update Deck 2" xfId="4390" xr:uid="{4F53C2F5-C1F3-450C-9A50-9930888547E7}"/>
    <cellStyle name="_Purple_S&amp;P_MDL_08 Reply#2Update Deck_Book2" xfId="4391" xr:uid="{820F2539-1684-4C43-AB17-D7472D222EBE}"/>
    <cellStyle name="_Purple_S&amp;P_MDL_08 Reply#2Update Deck_NI_Forecast_020110" xfId="4392" xr:uid="{BD60401D-DF2B-49BC-A50A-FB927A240BEF}"/>
    <cellStyle name="_Purple_S&amp;P_MDL_08 Reply#2Update Deck_NI_Forecast_112409" xfId="4393" xr:uid="{E1F68C2B-9B9A-4F13-8F4B-88571D98F397}"/>
    <cellStyle name="_Purple_S&amp;P_MDL_08 Reply#2Update Deck_NI_Forecast_112409_2010 Reply 3 PXP Report v2 0 DISTv2 (2)" xfId="4394" xr:uid="{3A9DACE6-B033-4A5C-A14B-A80689B20CBD}"/>
    <cellStyle name="_Purple_S&amp;P_MDL_08 Reply#2Update Deck_NI_Forecast_112409_2010 Reply3b PXP Report v2 0 DISTv1" xfId="4395" xr:uid="{7367AFB1-7DE4-4341-8709-A9DDF40C838D}"/>
    <cellStyle name="_Purple_S&amp;P_MDL_08 Reply#2Update Deck_NI_Forecast_FY10_120110" xfId="4396" xr:uid="{F9803138-AEB7-4FA9-AE3A-7A7F47E7D396}"/>
    <cellStyle name="_Purple_S&amp;P_MDL_08 Reply#2Update Deck_NMEX - BP09 R#2b back up Final (Jan 27)26 " xfId="4397" xr:uid="{535AFF4C-7C9C-4D2A-B16E-46B44488C261}"/>
    <cellStyle name="_Purple_S&amp;P_MDL_08 Reply#2Update Deck_NMEX -BP09 R#2b " xfId="4398" xr:uid="{3D1C5306-9A8D-4DCB-B4FD-83BFBE09A9D9}"/>
    <cellStyle name="_Purple_S&amp;P_MDL_08 Reply#2Update Deck_NMEX Financial Review Aug,05" xfId="4399" xr:uid="{59DC64D3-1591-4E2E-8640-3366F991CB0C}"/>
    <cellStyle name="_Purple_S&amp;P_MDL_08 Reply#2Update Deck_NMEX Financial Review Oct" xfId="4400" xr:uid="{A28E6851-4179-4E20-8565-96366FE820BD}"/>
    <cellStyle name="_Purple_S&amp;P_MDL_08 Reply#2Update Deck_NMEX Financial Review Sep" xfId="4401" xr:uid="{151BD7E6-83AE-442F-83A5-C0FE8F65358F}"/>
    <cellStyle name="_Purple_S&amp;P_MDL_08 Reply#2Update Deck_NMEX_Variance Analysis_Aug___" xfId="4402" xr:uid="{A742AA27-33BB-412E-8F7C-E188FF277C8F}"/>
    <cellStyle name="_Purple_S&amp;P_MDL_08 Reply#2Update Deck_NRFM NML Video v2" xfId="4403" xr:uid="{285CA9E3-7CC0-4DEB-9498-B9B165398945}"/>
    <cellStyle name="_Purple_S&amp;P_MDL_08 Reply#2Update Deck_Tax Expense FY10 7x5 to FPA 113010" xfId="4404" xr:uid="{EB763E5B-627E-4084-966E-9B4CFCA8B476}"/>
    <cellStyle name="_Purple_S&amp;P_MDL_08 Reply#2Update Deck_video deck" xfId="4405" xr:uid="{EC77E97D-2562-4D9A-8D4D-1C3F1729FBA0}"/>
    <cellStyle name="_Purple_S&amp;P_MDL_2136_NCF FY11 Fcst#2 Excel PKG for Finance NML" xfId="4406" xr:uid="{C67A947A-FC81-4638-A5EB-EA1B9D7F50F6}"/>
    <cellStyle name="_Purple_S&amp;P_MDL_2179_NMAC FY11 Fcst#2 Excel PKG for Finance" xfId="4407" xr:uid="{8252C597-5EC0-46A2-ACED-A921EDD9B6D8}"/>
    <cellStyle name="_Purple_S&amp;P_MDL_2576_NFS_FY11 Fcst#2 Excel PKG for Finance_v2(add400M)" xfId="4408" xr:uid="{30DE524E-9526-49C7-8867-B991D1207F65}"/>
    <cellStyle name="_Purple_S&amp;P_MDL_3908_NLTH FY11 Fcst#2 Excel PKG for Finance" xfId="4409" xr:uid="{2D32E0BD-16EF-46B4-93C5-CC21CC161866}"/>
    <cellStyle name="_Purple_S&amp;P_MDL_3926_DNAF_FY11 Fcst#2 Excel PKG for Finance_ver4.0_20110928" xfId="4410" xr:uid="{3AD02C66-4483-4821-9707-21FC93BD5697}"/>
    <cellStyle name="_Purple_S&amp;P_MDL_3939_NFSA FY11 Fcst#2 Excel PKG for Finance" xfId="4411" xr:uid="{A190CFFF-5F28-45C1-8A3A-61CF4A6A2A7C}"/>
    <cellStyle name="_Purple_S&amp;P_MDL_Book2" xfId="4412" xr:uid="{DD9BF4DA-0D18-4C65-9912-9235FC863B7B}"/>
    <cellStyle name="_Purple_S&amp;P_MDL_Book2_NMEX - Fcst #2 (5+7) Financial analysis" xfId="4413" xr:uid="{4002B9B2-463A-4086-8F14-C8773837B3AE}"/>
    <cellStyle name="_Purple_S&amp;P_MDL_Consol P&amp;L Full YR Reply 1" xfId="4414" xr:uid="{A3CEA2F8-02DA-49EB-8BC8-BDAA267AC320}"/>
    <cellStyle name="_Purple_S&amp;P_MDL_Division Walk Template" xfId="4415" xr:uid="{22BBBEEE-A988-4BC0-8B2B-F76BC9FCB11A}"/>
    <cellStyle name="_Purple_S&amp;P_MDL_Division Walk Template 2" xfId="4416" xr:uid="{FE8BD7B5-7095-4E44-8521-10D79B0479AD}"/>
    <cellStyle name="_Purple_S&amp;P_MDL_Feb_NML_Video 2" xfId="4417" xr:uid="{BDE0613C-2846-4F7C-AF88-BD37D050C913}"/>
    <cellStyle name="_Purple_S&amp;P_MDL_FY08 Retail Volume April Report 090409" xfId="4418" xr:uid="{BAFDF9A1-7E0C-493D-A93C-0CA891591964}"/>
    <cellStyle name="_Purple_S&amp;P_MDL_FY09 CNTRL Outlook June-Latest0619-Final Retail" xfId="4419" xr:uid="{E505A544-5AE0-449B-9329-914E02CB6C06}"/>
    <cellStyle name="_Purple_S&amp;P_MDL_FY09 Fcst #3_TIV_MS_Volume-Dec11" xfId="4420" xr:uid="{963C8E4C-A5A6-4804-9820-DF057E3DD4DD}"/>
    <cellStyle name="_Purple_S&amp;P_MDL_FY09 Landing Scenarios" xfId="4421" xr:uid="{508F1F15-BC7B-4047-9AAD-83CC3A0430A2}"/>
    <cellStyle name="_Purple_S&amp;P_MDL_FY09 Landing Scenarios_Flash Volume Summary-PER01-rv1" xfId="4422" xr:uid="{56A86C1F-9328-4625-BDAF-29FFB886043E}"/>
    <cellStyle name="_Purple_S&amp;P_MDL_FY09 Landing Scenarios_Flash Volume Summary-PER02" xfId="4423" xr:uid="{DC0C09F0-6CE1-46DD-82C6-FA559B5B7377}"/>
    <cellStyle name="_Purple_S&amp;P_MDL_FY09 Landing Scenarios_Flash Volume Summary-PER04" xfId="4424" xr:uid="{E15EF698-E43F-4169-84B6-711E6D347416}"/>
    <cellStyle name="_Purple_S&amp;P_MDL_FY09 Landing Scenarios_Flash Volume Summary-PER0自分用2" xfId="4425" xr:uid="{AF735C3F-524A-4F88-AB10-46C6B2214196}"/>
    <cellStyle name="_Purple_S&amp;P_MDL_FY09 Landing Scenarios_Flash Volume Summary-PER10" xfId="4426" xr:uid="{1817AB5D-AE56-4BBE-8DEF-84BB63AEDD5D}"/>
    <cellStyle name="_Purple_S&amp;P_MDL_FY09 Landing Scenarios_Flash Volume Summary-PER10 for Central" xfId="4427" xr:uid="{C16E3BD2-C141-424A-88A5-358F26236602}"/>
    <cellStyle name="_Purple_S&amp;P_MDL_FY09 Monthly Budget Excel Package" xfId="4428" xr:uid="{52DBA865-3350-4F56-B673-F3EC1233277D}"/>
    <cellStyle name="_Purple_S&amp;P_MDL_FY09 Official Fcst 9x3" xfId="4429" xr:uid="{0E99FC8C-3AAF-42AF-8EFC-AFBD7D9D54C9}"/>
    <cellStyle name="_Purple_S&amp;P_MDL_FY09 Retail Volume May Report 090513" xfId="4430" xr:uid="{BBD17F27-8147-4FC1-9676-4DA246144C00}"/>
    <cellStyle name="_Purple_S&amp;P_MDL_FY09 Retail Volume May Report 090513_Flash Volume Summary-PER01-rv1" xfId="4431" xr:uid="{5495D4F5-E0D6-49F8-B792-09005D5299E3}"/>
    <cellStyle name="_Purple_S&amp;P_MDL_FY09 Retail Volume May Report 090513_Flash Volume Summary-PER02" xfId="4432" xr:uid="{D2A2D511-F504-42CD-B8ED-40F419681B9A}"/>
    <cellStyle name="_Purple_S&amp;P_MDL_FY09 Retail Volume May Report 090513_Flash Volume Summary-PER04" xfId="4433" xr:uid="{D7398FB3-014D-4B14-AB6C-466FEDACC59D}"/>
    <cellStyle name="_Purple_S&amp;P_MDL_FY09 Retail Volume May Report 090513_Flash Volume Summary-PER0自分用2" xfId="4434" xr:uid="{E8EEC460-ED93-4325-9028-36D4387287BE}"/>
    <cellStyle name="_Purple_S&amp;P_MDL_FY09 Retail Volume May Report 090513_Flash Volume Summary-PER10" xfId="4435" xr:uid="{3B332A81-2C69-4093-A601-F0867DB190BE}"/>
    <cellStyle name="_Purple_S&amp;P_MDL_FY09 Retail Volume May Report 090513_Flash Volume Summary-PER10 for Central" xfId="4436" xr:uid="{F5825B86-26EE-4375-B37B-CDBC23CD79FA}"/>
    <cellStyle name="_Purple_S&amp;P_MDL_FY09 WS Volume Report_April YTD_090527-Monthly Budget Updated" xfId="4437" xr:uid="{B81790CA-79C9-4B13-97CB-C7DC30C5A3F6}"/>
    <cellStyle name="_Purple_S&amp;P_MDL_FY09Q1 Outlook Volume_Jun22-2" xfId="4438" xr:uid="{02AFA35D-62ED-4965-8280-5F887268F199}"/>
    <cellStyle name="_Purple_S&amp;P_MDL_FY09Q1 Outlook Volume_Jun24" xfId="4439" xr:uid="{DC554112-2409-42C1-9AFE-D63FD27B9EE2}"/>
    <cellStyle name="_Purple_S&amp;P_MDL_Infiniti" xfId="4440" xr:uid="{2E2617F2-E05A-4968-8A4C-90D61E78F594}"/>
    <cellStyle name="_Purple_S&amp;P_MDL_MC-A Management Commitment Detail Calculation (3)" xfId="4441" xr:uid="{6C83DF5C-0468-4F10-A576-63C2859B705E}"/>
    <cellStyle name="_Purple_S&amp;P_MDL_MC-A Mgmt Commit_Aug" xfId="4442" xr:uid="{0F47D3EB-F170-4AF0-B821-4AB99C413ABD}"/>
    <cellStyle name="_Purple_S&amp;P_MDL_MCA Template" xfId="4443" xr:uid="{D3C31665-A3E0-4166-8F36-05F6094D6CF1}"/>
    <cellStyle name="_Purple_S&amp;P_MDL_NCI Monthly Cash Flow_7X5" xfId="4444" xr:uid="{ECAFAFE8-44EF-41BC-AB81-8C60ACCE7A09}"/>
    <cellStyle name="_Purple_S&amp;P_MDL_NCI Monthly Cash Flow_9X3 final" xfId="4445" xr:uid="{1067B710-E75A-4BFB-9072-DDFD77145B71}"/>
    <cellStyle name="_Purple_S&amp;P_MDL_NCI Mothly Cash Flow_Jul'09-Final" xfId="4446" xr:uid="{C4F15C7E-07A9-4617-B324-C3BCECA09946}"/>
    <cellStyle name="_Purple_S&amp;P_MDL_NCI Mothly Cash Flow_Jun'09" xfId="4447" xr:uid="{CC7B5032-4029-4521-A80E-6B2FCE9E5AEB}"/>
    <cellStyle name="_Purple_S&amp;P_MDL_NMEX - Back up StepchartIFRS_Reerencia (2)_NMEX BP09 R#2 Summary of KPI_NMEX -BP09 R#2b v-1 " xfId="4448" xr:uid="{E0AE0668-16FF-448A-A073-6C0AE6EDEF23}"/>
    <cellStyle name="_Purple_S&amp;P_MDL_NML $524M Walk_NMEX - BP09 R#2b back up Final (Jan 27)26 " xfId="4449" xr:uid="{252F369B-5EB4-44EC-9A8F-0AB941569522}"/>
    <cellStyle name="_Purple_S&amp;P_MDL_NRFM_FY11 Fcst#2 Excel PKG for Finance Sent" xfId="4450" xr:uid="{F0B863AA-6698-4FCC-8B1A-0F9EA4800A58}"/>
    <cellStyle name="_Purple_S&amp;P_MDL_Oct 20" xfId="4451" xr:uid="{69851B16-DC80-4AC9-960E-FBE6B3E94047}"/>
    <cellStyle name="_Purple_S&amp;P_MDL_Oct 29" xfId="4452" xr:uid="{B66906D9-2B30-4333-93BC-C41B3C301D26}"/>
    <cellStyle name="_Purple_S&amp;P_MDL_Variance Walk for NNA FY08 Reply 2" xfId="4453" xr:uid="{259AC7D0-36A3-4F9B-A8DD-4D751592494B}"/>
    <cellStyle name="_Purple_S&amp;P_MDL_Volume Variance" xfId="4454" xr:uid="{FD3E0315-F488-41EB-8D5D-381265B80CFB}"/>
    <cellStyle name="_Purple_S&amp;P_MDL_Volume Variance_NMEX - Fcst #2 (5+7) Financial analysis" xfId="4455" xr:uid="{61C82344-4AF8-43D7-9D24-A825D9AB41B0}"/>
    <cellStyle name="_Purple_Variance Walk for NNA FY08 Reply 2" xfId="4456" xr:uid="{A0A67D62-D338-44FC-BD22-2D79D5B2CC32}"/>
    <cellStyle name="_Purple_Volume Variance" xfId="4457" xr:uid="{1366DC3D-1268-4261-B8E5-46C5579034D0}"/>
    <cellStyle name="_Purple_Volume Variance_NMEX - Fcst #2 (5+7) Financial analysis" xfId="4458" xr:uid="{25F5A097-860B-48F8-9260-14842FD72420}"/>
    <cellStyle name="_pv" xfId="4459" xr:uid="{6F2F564F-B4A1-4AA0-85B5-FDCEC933A6A0}"/>
    <cellStyle name="_pv_(for confirmation to Regin team) FX impact (Simu vs Updated) by MC" xfId="4460" xr:uid="{BEE3B9B0-ED49-4BBB-AB5C-741048FF132A}"/>
    <cellStyle name="_pv_FCF_FY12 BUD Simulation Excel PKG for Auto_v2" xfId="4461" xr:uid="{F600A5F0-AEFA-46E6-B71D-014887CDD7E7}"/>
    <cellStyle name="_pv_FY10 FC#2 Pricing Analysis to Central" xfId="4462" xr:uid="{43BAD018-477C-4788-87B3-9315D28920B1}"/>
    <cellStyle name="_pv_FY12 BP_Simulation information PKG_R" xfId="4463" xr:uid="{A9DC0B90-A4BD-419D-A9C0-1B6FF8C8CB59}"/>
    <cellStyle name="_pv_NI_Forecast_FY10_120110" xfId="4464" xr:uid="{67F41C8D-49E6-486E-A8A2-4482A8C870E5}"/>
    <cellStyle name="_pv_Tax Expense FY10 7x5 to FPA 113010" xfId="4465" xr:uid="{21814F73-72CB-4E88-84C5-3CB6144EC5A0}"/>
    <cellStyle name="_PV-投20060619" xfId="4466" xr:uid="{9D9A0E5A-6886-417E-AFD7-09A075B519D1}"/>
    <cellStyle name="_PV损益表" xfId="4467" xr:uid="{4870E35E-BDF2-4538-921B-A34ECAFF87B4}"/>
    <cellStyle name="_PV损益表_(for confirmation to Regin team) FX impact (Simu vs Updated) by MC" xfId="4468" xr:uid="{8ACADDC4-1D57-4657-86CD-378BE77020CB}"/>
    <cellStyle name="_PV损益表_【0207】BP_reply_Outside profit_Price List_R" xfId="4469" xr:uid="{86ABB239-3A7D-4410-AD5C-4252B775974C}"/>
    <cellStyle name="_PV损益表_08 budget 071018" xfId="4470" xr:uid="{78474D7D-2BD6-4047-8B52-F104D44E0CBD}"/>
    <cellStyle name="_PV损益表_0902見直し" xfId="4471" xr:uid="{44E7ECB3-F6D3-45D7-B3E6-55A8AB84651A}"/>
    <cellStyle name="_PV损益表_09budget 081022" xfId="4472" xr:uid="{AE8AD8FC-FD6B-4F1B-A507-BE2A61A31769}"/>
    <cellStyle name="_PV损益表_09'CV市况(按11.08发布值测算)" xfId="4473" xr:uid="{432D62A4-5FA0-4620-BA87-CAB47AFB35CD}"/>
    <cellStyle name="_PV损益表_2009_TDC_MonthlyActual" xfId="4474" xr:uid="{E88FE0F9-2772-47EE-A304-A2DF7DAA8141}"/>
    <cellStyle name="_PV损益表_2009年VME車種別(20100303)" xfId="4475" xr:uid="{55463855-02CA-4DE8-B5C2-3DC9F87C7FE0}"/>
    <cellStyle name="_PV损益表_CY09 material risk compare-0615-16 LP" xfId="4476" xr:uid="{00F851B0-E706-453F-A93C-0DC713C5B371}"/>
    <cellStyle name="_PV损益表_ＣＹ10予算見直し後(600K モデル別)" xfId="4477" xr:uid="{AD4337BE-30F2-44FA-B0E3-73FCEF047DC6}"/>
    <cellStyle name="_PV损益表_FCF_FY12 BUD Simulation Excel PKG for Auto_v2" xfId="4478" xr:uid="{5A9B39BE-E00B-4D4C-961E-F4E704BF45BB}"/>
    <cellStyle name="_PV损益表_FY09 material forecast5+7 0616 for financial report" xfId="4479" xr:uid="{F6D7031A-7559-47FF-9AC5-59432E050634}"/>
    <cellStyle name="_PV损益表_FY10 FC#2 Pricing Analysis to Central" xfId="4480" xr:uid="{3C29EF7D-D497-4974-A4BE-DD14E9C8EBB5}"/>
    <cellStyle name="_PV损益表_FY12 BP_Simulation information PKG_R" xfId="4481" xr:uid="{5DA7E82E-5AA6-4D7D-88E7-30CEE6970E72}"/>
    <cellStyle name="_PV损益表_J11J MC+Elongation(松）" xfId="4482" xr:uid="{F369D292-DCB1-4193-8E81-E91150EB8C39}"/>
    <cellStyle name="_PV损益表_L11K MC TDC 090306 (2)" xfId="4483" xr:uid="{DBAB7C9F-4031-4DAE-AB81-FE6D65D129B3}"/>
    <cellStyle name="_PV损益表_L42F TDC KKJ SOP 2010 Dec (090929) with MC (2)" xfId="4484" xr:uid="{1DA40269-781B-408A-87E6-8F1BB29B298C}"/>
    <cellStyle name="_PV损益表_N11J MC+Elongation(松）" xfId="4485" xr:uid="{B75B0BAE-588B-4D08-BB42-1E7DA4455B79}"/>
    <cellStyle name="_PV损益表_NI_Forecast_FY10_120110" xfId="4486" xr:uid="{63E6791C-016D-4289-A668-B844AC36D264}"/>
    <cellStyle name="_PV损益表_P32E MC TDC with MC (100206)" xfId="4487" xr:uid="{342E697F-9F7A-495D-A411-5FAC63BDB5C0}"/>
    <cellStyle name="_PV损益表_P32L LCP TDC Case3 (0900221)" xfId="4488" xr:uid="{6C6397C2-ACC7-445B-9D48-898429C7879D}"/>
    <cellStyle name="_PV损益表_Tax Expense FY10 7x5 to FPA 113010" xfId="4489" xr:uid="{198391AC-148C-43B7-8D8F-F7A09FF2F84E}"/>
    <cellStyle name="_PV损益表_TDC SUMMARY SHEET for MTP (version 2.1 100526)" xfId="4490" xr:uid="{70304C4B-E1B5-4BE5-8E04-40EDA4924A86}"/>
    <cellStyle name="_PV损益表_TDC SUMMARY SHEET for MTP (version 3.0 100526)" xfId="4491" xr:uid="{FB486B80-0721-42EF-AF27-0FE8578DC681}"/>
    <cellStyle name="_PV损益表_Volume Assumption &amp; Current Models" xfId="4492" xr:uid="{C3D2A882-C8F4-4915-A1C6-05791DC97E0E}"/>
    <cellStyle name="_PV损益表_コピー ～ 2009年5＋7 售  (47万台）(090619) (予算Ｆｉｎａｌ＆Variable変更　補正版)" xfId="4493" xr:uid="{A011BBA6-67B1-4F39-83E1-403BCC75694A}"/>
    <cellStyle name="_Red" xfId="4494" xr:uid="{6DBA03F6-0433-4C33-813E-4F220D6FC138}"/>
    <cellStyle name="_Red_08 Reply#2Update Deck" xfId="4495" xr:uid="{9AB2BE11-EC08-4495-93BC-2E128C74A295}"/>
    <cellStyle name="_Red_08 Reply#2Update Deck 2" xfId="4496" xr:uid="{38AC4FC4-3C1C-41F0-97B0-718751E58D83}"/>
    <cellStyle name="_Red_08 Reply#2Update Deck_Book2" xfId="4497" xr:uid="{3BCB58F6-334B-4C65-B0B7-CDD888F1C865}"/>
    <cellStyle name="_Red_08 Reply#2Update Deck_NI_Forecast_020110" xfId="4498" xr:uid="{D1D910B1-B6C4-4671-8082-B2DDD5D44A10}"/>
    <cellStyle name="_Red_08 Reply#2Update Deck_NI_Forecast_112409" xfId="4499" xr:uid="{0A07ED2A-AC95-4455-AED4-2EC4B37ED4C9}"/>
    <cellStyle name="_Red_08 Reply#2Update Deck_NI_Forecast_112409_2010 Reply 3 PXP Report v2 0 DISTv2 (2)" xfId="4500" xr:uid="{F9F2F8B4-913E-4018-81E3-E708FB9BA3C0}"/>
    <cellStyle name="_Red_08 Reply#2Update Deck_NI_Forecast_112409_2010 Reply3b PXP Report v2 0 DISTv1" xfId="4501" xr:uid="{3E096DEB-C38B-4FD4-8F92-4BD8ACA4D57D}"/>
    <cellStyle name="_Red_08 Reply#2Update Deck_NI_Forecast_FY10_120110" xfId="4502" xr:uid="{A250EBB3-AC5E-43A2-92AF-4A7150FFC228}"/>
    <cellStyle name="_Red_08 Reply#2Update Deck_NMEX - BP09 R#2b back up Final (Jan 27)26 " xfId="4503" xr:uid="{35F96421-43B3-45C7-9C40-9FC6A583DA75}"/>
    <cellStyle name="_Red_08 Reply#2Update Deck_NMEX -BP09 R#2b " xfId="4504" xr:uid="{400D3904-6167-4E04-A694-876CC2F3BD0C}"/>
    <cellStyle name="_Red_08 Reply#2Update Deck_NMEX Financial Review Aug,05" xfId="4505" xr:uid="{FFD36299-2ABB-4C56-B144-1550FECB19F7}"/>
    <cellStyle name="_Red_08 Reply#2Update Deck_NMEX Financial Review Oct" xfId="4506" xr:uid="{E2B48481-D20C-4D7C-9700-3F2FA16FF50D}"/>
    <cellStyle name="_Red_08 Reply#2Update Deck_NMEX Financial Review Sep" xfId="4507" xr:uid="{280E15F8-A02C-44D6-B0ED-B815842BCBB8}"/>
    <cellStyle name="_Red_08 Reply#2Update Deck_NMEX_Variance Analysis_Aug___" xfId="4508" xr:uid="{7D8B1DD0-7E0C-4A81-AB9E-6F286D861391}"/>
    <cellStyle name="_Red_08 Reply#2Update Deck_NRFM NML Video v2" xfId="4509" xr:uid="{3BFDB3C3-18CA-4863-A023-20817C8AA05E}"/>
    <cellStyle name="_Red_08 Reply#2Update Deck_Tax Expense FY10 7x5 to FPA 113010" xfId="4510" xr:uid="{C9739D30-96CF-41C7-AF7A-B808B3809D5C}"/>
    <cellStyle name="_Red_08 Reply#2Update Deck_video deck" xfId="4511" xr:uid="{0D010E00-2385-41C1-97F7-7A8C699643DB}"/>
    <cellStyle name="_Red_1SALPEN" xfId="4512" xr:uid="{6097E8B5-0FE9-40DD-9267-23F06CB2F24A}"/>
    <cellStyle name="_Red_1SALPEN_08 Reply#2Update Deck" xfId="4513" xr:uid="{79EE5F8A-A8FA-4E32-B333-9964F5A1FCB2}"/>
    <cellStyle name="_Red_1SALPEN_08 Reply#2Update Deck 2" xfId="4514" xr:uid="{5020AC56-2DCA-47D8-9D76-25361BE3C766}"/>
    <cellStyle name="_Red_1SALPEN_08 Reply#2Update Deck_Book2" xfId="4515" xr:uid="{48866A99-FC21-4CB6-8CA9-A3D0C8FAE616}"/>
    <cellStyle name="_Red_1SALPEN_08 Reply#2Update Deck_NI_Forecast_020110" xfId="4516" xr:uid="{1AAC55AC-A6E5-4100-9502-A459AA4AD926}"/>
    <cellStyle name="_Red_1SALPEN_08 Reply#2Update Deck_NI_Forecast_112409" xfId="4517" xr:uid="{693E4FD3-65F4-4E91-A28D-D5908B757FCA}"/>
    <cellStyle name="_Red_1SALPEN_08 Reply#2Update Deck_NI_Forecast_112409_2010 Reply 3 PXP Report v2 0 DISTv2 (2)" xfId="4518" xr:uid="{73604D03-AD1A-4640-B65D-26E65FCED8F4}"/>
    <cellStyle name="_Red_1SALPEN_08 Reply#2Update Deck_NI_Forecast_112409_2010 Reply3b PXP Report v2 0 DISTv1" xfId="4519" xr:uid="{9FC47A7E-DA5E-4F50-8C71-4785EEB4A596}"/>
    <cellStyle name="_Red_1SALPEN_08 Reply#2Update Deck_NI_Forecast_FY10_120110" xfId="4520" xr:uid="{1344D41C-A8B2-45D6-BF7B-B3FA2E69BC7A}"/>
    <cellStyle name="_Red_1SALPEN_08 Reply#2Update Deck_NMEX - BP09 R#2b back up Final (Jan 27)26 " xfId="4521" xr:uid="{DB57696E-A4C2-4BA5-9B2E-790C88F8F901}"/>
    <cellStyle name="_Red_1SALPEN_08 Reply#2Update Deck_NMEX -BP09 R#2b " xfId="4522" xr:uid="{E4AEE7E1-EA01-44D0-969B-78782D153FB3}"/>
    <cellStyle name="_Red_1SALPEN_08 Reply#2Update Deck_NMEX Financial Review Aug,05" xfId="4523" xr:uid="{1FAAAEE6-5196-41C3-B917-1D4DB2036DE4}"/>
    <cellStyle name="_Red_1SALPEN_08 Reply#2Update Deck_NMEX Financial Review Oct" xfId="4524" xr:uid="{5C7D666C-9DB3-4BFD-A33D-3A08C039BB6E}"/>
    <cellStyle name="_Red_1SALPEN_08 Reply#2Update Deck_NMEX Financial Review Sep" xfId="4525" xr:uid="{2F3BCBEC-1FBF-4E69-A692-932D5A0D1097}"/>
    <cellStyle name="_Red_1SALPEN_08 Reply#2Update Deck_NMEX_Variance Analysis_Aug___" xfId="4526" xr:uid="{896027A2-6581-4A65-B48C-5697484FA5DE}"/>
    <cellStyle name="_Red_1SALPEN_08 Reply#2Update Deck_NRFM NML Video v2" xfId="4527" xr:uid="{F5000F9A-821F-47C1-A320-9F2025AEA74A}"/>
    <cellStyle name="_Red_1SALPEN_08 Reply#2Update Deck_Tax Expense FY10 7x5 to FPA 113010" xfId="4528" xr:uid="{F528050A-E23E-4F7B-A0F3-0F3153127BBA}"/>
    <cellStyle name="_Red_1SALPEN_08 Reply#2Update Deck_video deck" xfId="4529" xr:uid="{BA0EF902-F64F-43FF-86D4-14FF129DC23B}"/>
    <cellStyle name="_Red_1SALPEN_Book2" xfId="4530" xr:uid="{925DCD0F-543E-45DB-90A1-98F3B1C5BA93}"/>
    <cellStyle name="_Red_1SALPEN_Book2_NMEX - Fcst #2 (5+7) Financial analysis" xfId="4531" xr:uid="{2F5EFBC6-EC05-4C24-BED7-DDE4744CDF99}"/>
    <cellStyle name="_Red_1SALPEN_Consol P&amp;L Full YR Reply 1" xfId="4532" xr:uid="{2ABDF6FF-3D69-4B36-83BD-7C1FFAD7471F}"/>
    <cellStyle name="_Red_1SALPEN_Division Walk Template" xfId="4533" xr:uid="{047D440E-0383-4BC6-A850-5071C4EE2E0D}"/>
    <cellStyle name="_Red_1SALPEN_Division Walk Template 2" xfId="4534" xr:uid="{E7746385-C978-41F6-9D45-FD3D979521A5}"/>
    <cellStyle name="_Red_1SALPEN_Feb_NML_Video 2" xfId="4535" xr:uid="{519E3C45-AF61-47BC-B464-BF611B5F7A17}"/>
    <cellStyle name="_Red_1SALPEN_FY08 Retail Volume April Report 090409" xfId="4536" xr:uid="{B0C80180-C629-4FB2-A0F5-A1D259166F4F}"/>
    <cellStyle name="_Red_1SALPEN_FY09 CNTRL Outlook June-Latest0619-Final Retail" xfId="4537" xr:uid="{17EF55FD-F50D-453E-9C39-3DE5C4F6F4F1}"/>
    <cellStyle name="_Red_1SALPEN_FY09 Fcst #3_TIV_MS_Volume-Dec11" xfId="4538" xr:uid="{53F3226A-35FA-4AD0-9015-3DCE91B5E129}"/>
    <cellStyle name="_Red_1SALPEN_FY09 Landing Scenarios" xfId="4539" xr:uid="{E5769221-2021-4607-A9DD-555D40D46C15}"/>
    <cellStyle name="_Red_1SALPEN_FY09 Landing Scenarios_Flash Volume Summary-PER01-rv1" xfId="4540" xr:uid="{537C079E-DC6D-4B96-8896-DA13DC4F4A2D}"/>
    <cellStyle name="_Red_1SALPEN_FY09 Landing Scenarios_Flash Volume Summary-PER02" xfId="4541" xr:uid="{4B6C1888-53B4-43C2-99DF-0074080F10F6}"/>
    <cellStyle name="_Red_1SALPEN_FY09 Landing Scenarios_Flash Volume Summary-PER04" xfId="4542" xr:uid="{BA6097A8-0052-4DB1-8B30-CE1FAE831900}"/>
    <cellStyle name="_Red_1SALPEN_FY09 Landing Scenarios_Flash Volume Summary-PER0自分用2" xfId="4543" xr:uid="{3161D736-09BD-46E5-B288-9B9450A9D631}"/>
    <cellStyle name="_Red_1SALPEN_FY09 Landing Scenarios_Flash Volume Summary-PER10" xfId="4544" xr:uid="{F3BF7D46-DACD-4F88-809B-5501B6F00A7C}"/>
    <cellStyle name="_Red_1SALPEN_FY09 Landing Scenarios_Flash Volume Summary-PER10 for Central" xfId="4545" xr:uid="{ED30BAE7-8AA1-48F6-888A-E1C4ED56CE2F}"/>
    <cellStyle name="_Red_1SALPEN_FY09 Retail Volume May Report 090513" xfId="4546" xr:uid="{FBFEC498-D11C-45B8-A431-4E2C98D699B1}"/>
    <cellStyle name="_Red_1SALPEN_FY09 Retail Volume May Report 090513_Flash Volume Summary-PER01-rv1" xfId="4547" xr:uid="{16C46E90-C45A-48C0-A81D-74212A94679E}"/>
    <cellStyle name="_Red_1SALPEN_FY09 Retail Volume May Report 090513_Flash Volume Summary-PER02" xfId="4548" xr:uid="{BB7F0073-5B9C-4CC1-8613-DA25CB2C9E3B}"/>
    <cellStyle name="_Red_1SALPEN_FY09 Retail Volume May Report 090513_Flash Volume Summary-PER04" xfId="4549" xr:uid="{DD06034C-C56C-4C25-9DF7-0818B4E3921E}"/>
    <cellStyle name="_Red_1SALPEN_FY09 Retail Volume May Report 090513_Flash Volume Summary-PER0自分用2" xfId="4550" xr:uid="{93DB2C0E-0264-4DB3-A113-6A191CBCF258}"/>
    <cellStyle name="_Red_1SALPEN_FY09 Retail Volume May Report 090513_Flash Volume Summary-PER10" xfId="4551" xr:uid="{E06C64DE-530D-46A3-8881-0B3B181B1975}"/>
    <cellStyle name="_Red_1SALPEN_FY09 Retail Volume May Report 090513_Flash Volume Summary-PER10 for Central" xfId="4552" xr:uid="{EE97FBC6-4077-4C30-914C-16187F55B4E8}"/>
    <cellStyle name="_Red_1SALPEN_FY09 WS Volume Report_April YTD_090527-Monthly Budget Updated" xfId="4553" xr:uid="{2E3D19BD-5314-4EB3-9909-674863A97B9F}"/>
    <cellStyle name="_Red_1SALPEN_FY09Q1 Outlook Volume_Jun22-2" xfId="4554" xr:uid="{01933AFC-BC83-4269-A695-51E2AA7E9743}"/>
    <cellStyle name="_Red_1SALPEN_FY09Q1 Outlook Volume_Jun24" xfId="4555" xr:uid="{C8EB118F-5CEB-46DE-9B79-A02C2AC3CF3D}"/>
    <cellStyle name="_Red_1SALPEN_Infiniti" xfId="4556" xr:uid="{E0EB336F-1F18-4F02-A3D2-DAD52D154FAB}"/>
    <cellStyle name="_Red_1SALPEN_MC-A Management Commitment Detail Calculation (3)" xfId="4557" xr:uid="{FADC1047-F89F-4AB7-A7B7-1BF39FDF097A}"/>
    <cellStyle name="_Red_1SALPEN_MC-A Mgmt Commit_Aug" xfId="4558" xr:uid="{ECA581B6-440F-4CE4-98F0-8B63472E85F2}"/>
    <cellStyle name="_Red_1SALPEN_MCA Template" xfId="4559" xr:uid="{A4ED4580-20A5-4EF3-8844-6965FEA4D0AB}"/>
    <cellStyle name="_Red_1SALPEN_NMEX - Back up StepchartIFRS_Reerencia (2)_NMEX BP09 R#2 Summary of KPI_NMEX -BP09 R#2b v-1 " xfId="4560" xr:uid="{9FED0760-016B-49E8-89EC-4FDEEAF1DFF1}"/>
    <cellStyle name="_Red_1SALPEN_NML $524M Walk_NMEX - BP09 R#2b back up Final (Jan 27)26 " xfId="4561" xr:uid="{E1CFAAF7-ED78-41DD-A578-DD7003BD0E2A}"/>
    <cellStyle name="_Red_1SALPEN_Oct 20" xfId="4562" xr:uid="{54D20816-BB2C-4705-9ED2-BFE237C8683C}"/>
    <cellStyle name="_Red_1SALPEN_Oct 29" xfId="4563" xr:uid="{DA037051-B75B-48A7-A6BE-D670CAF146D9}"/>
    <cellStyle name="_Red_1SALPEN_Variance Walk for NNA FY08 Reply 2" xfId="4564" xr:uid="{EC12C79C-D1B0-4982-BAB0-70CDA2AEAA1D}"/>
    <cellStyle name="_Red_1SALPEN_Volume Variance" xfId="4565" xr:uid="{25A3C6AB-8F09-484E-A932-7433A821DAA0}"/>
    <cellStyle name="_Red_1SALPEN_Volume Variance_NMEX - Fcst #2 (5+7) Financial analysis" xfId="4566" xr:uid="{2ABA87BC-2181-410A-8DA0-AEDCEE775E2B}"/>
    <cellStyle name="_Red_809_Flash_pkg_F" xfId="4567" xr:uid="{5812EAF2-1EFE-4D1F-B26A-D6EF607ED597}"/>
    <cellStyle name="_Red_810_Flash_pkg_F" xfId="4568" xr:uid="{050C1801-D9EB-401A-B5E6-62EE1D84291F}"/>
    <cellStyle name="_Red_Book2" xfId="4569" xr:uid="{4D213B1D-C856-4E74-80DF-113BB81CB4A0}"/>
    <cellStyle name="_Red_Book2_NMEX - Fcst #2 (5+7) Financial analysis" xfId="4570" xr:uid="{9AD7E8A5-AC92-4FFE-AE05-0C44AEF95B20}"/>
    <cellStyle name="_Red_Consol P&amp;L Full YR Reply 1" xfId="4571" xr:uid="{707BD6B1-645B-4D49-8EE5-A026A9E0367A}"/>
    <cellStyle name="_Red_Division Walk Template" xfId="4572" xr:uid="{586C81E7-343B-4465-A97F-8C48E8BA9353}"/>
    <cellStyle name="_Red_Division Walk Template 2" xfId="4573" xr:uid="{A061B8C7-19E1-4102-8B40-A1D97AB79888}"/>
    <cellStyle name="_Red_Feb_NML_Video 2" xfId="4574" xr:uid="{8FB93A97-AA83-4ADF-8248-F860C0E5CF5F}"/>
    <cellStyle name="_Red_FY08 Retail Volume April Report 090409" xfId="4575" xr:uid="{A6A6679C-653A-4EBF-9CEB-42CF0C1FC6B7}"/>
    <cellStyle name="_Red_FY09 CNTRL Outlook June-Latest0619-Final Retail" xfId="4576" xr:uid="{92B2E99C-0B08-407A-9B89-2A68CC0CCAE4}"/>
    <cellStyle name="_Red_FY09 Fcst #3_TIV_MS_Volume-Dec11" xfId="4577" xr:uid="{648E77EE-706D-4262-A8F2-E4EDE9563B1B}"/>
    <cellStyle name="_Red_FY09 Landing Scenarios" xfId="4578" xr:uid="{D7A50C73-5F69-40C5-AD80-865233657FE9}"/>
    <cellStyle name="_Red_FY09 Landing Scenarios_Flash Volume Summary-PER01-rv1" xfId="4579" xr:uid="{F0B01C95-5EC9-4554-96EE-DA6514747192}"/>
    <cellStyle name="_Red_FY09 Landing Scenarios_Flash Volume Summary-PER02" xfId="4580" xr:uid="{EF9FB6CD-1B7E-4C02-83AE-C2DF783F5882}"/>
    <cellStyle name="_Red_FY09 Landing Scenarios_Flash Volume Summary-PER04" xfId="4581" xr:uid="{0AD27D47-A92F-46B6-8574-D9C679CE2EE5}"/>
    <cellStyle name="_Red_FY09 Landing Scenarios_Flash Volume Summary-PER0自分用2" xfId="4582" xr:uid="{AED83054-9B2A-4420-87E6-365BE3DC2141}"/>
    <cellStyle name="_Red_FY09 Landing Scenarios_Flash Volume Summary-PER10" xfId="4583" xr:uid="{484002EB-C463-4A36-A9AA-9DC17066CCAF}"/>
    <cellStyle name="_Red_FY09 Landing Scenarios_Flash Volume Summary-PER10 for Central" xfId="4584" xr:uid="{B6E8DA39-9AD1-4915-8E74-9E9FB0E19DFC}"/>
    <cellStyle name="_Red_FY09 Retail Volume May Report 090513" xfId="4585" xr:uid="{DAB98BA2-0F85-48F3-83BD-D4B30B99CB0B}"/>
    <cellStyle name="_Red_FY09 Retail Volume May Report 090513_Flash Volume Summary-PER01-rv1" xfId="4586" xr:uid="{5A38E8B7-08B8-4A4D-80E4-53EACF43C780}"/>
    <cellStyle name="_Red_FY09 Retail Volume May Report 090513_Flash Volume Summary-PER02" xfId="4587" xr:uid="{F9A2F531-2CA8-4FFC-A460-60E57674FF69}"/>
    <cellStyle name="_Red_FY09 Retail Volume May Report 090513_Flash Volume Summary-PER04" xfId="4588" xr:uid="{619B4162-96B1-4D34-8F57-9D1F0180B5BB}"/>
    <cellStyle name="_Red_FY09 Retail Volume May Report 090513_Flash Volume Summary-PER0自分用2" xfId="4589" xr:uid="{333F18FE-55BD-4DCD-B8BD-286C339819AD}"/>
    <cellStyle name="_Red_FY09 Retail Volume May Report 090513_Flash Volume Summary-PER10" xfId="4590" xr:uid="{CCEB256D-AE65-4815-9E05-798C1B9EB027}"/>
    <cellStyle name="_Red_FY09 Retail Volume May Report 090513_Flash Volume Summary-PER10 for Central" xfId="4591" xr:uid="{06F7CC4F-FD6F-4536-8D3F-19CFC1ED2AA6}"/>
    <cellStyle name="_Red_FY09 WS Volume Report_April YTD_090527-Monthly Budget Updated" xfId="4592" xr:uid="{831227DA-5F44-4F26-9B02-95B94F856B72}"/>
    <cellStyle name="_Red_FY09Q1 Outlook Volume_Jun22-2" xfId="4593" xr:uid="{18701F6B-C558-47AD-AA07-FD9672BD51B4}"/>
    <cellStyle name="_Red_FY09Q1 Outlook Volume_Jun24" xfId="4594" xr:uid="{EE136DAF-10F4-445A-8CF8-F46F71FFEA13}"/>
    <cellStyle name="_Red_Infiniti" xfId="4595" xr:uid="{89A9BC8E-32AA-42E7-8EB2-241AFBFC61A9}"/>
    <cellStyle name="_Red_MC-A Management Commitment Detail Calculation (3)" xfId="4596" xr:uid="{89FFF870-CF3A-48ED-B51A-9C35453DB3FD}"/>
    <cellStyle name="_Red_MC-A Mgmt Commit_Aug" xfId="4597" xr:uid="{2F9C5238-3095-494C-80CF-15291AD911EF}"/>
    <cellStyle name="_Red_MCA Template" xfId="4598" xr:uid="{FEB18E4E-8506-4AFF-BD2E-CA3E7F8EC669}"/>
    <cellStyle name="_Red_NMEX - Back up StepchartIFRS_Reerencia (2)_NMEX BP09 R#2 Summary of KPI_NMEX -BP09 R#2b v-1 " xfId="4599" xr:uid="{459396CF-1264-4293-BC78-B50B99F65A48}"/>
    <cellStyle name="_Red_NML $524M Walk_NMEX - BP09 R#2b back up Final (Jan 27)26 " xfId="4600" xr:uid="{14AD6CED-5E02-4F93-9113-0742725970FE}"/>
    <cellStyle name="_Red_Oct 20" xfId="4601" xr:uid="{50B9F068-CFF2-49A9-91AE-B51AA802F8AA}"/>
    <cellStyle name="_Red_Oct 29" xfId="4602" xr:uid="{31836A0B-D340-4903-BF7F-46A8B8F27E6A}"/>
    <cellStyle name="_Red_Variance Walk for NNA FY08 Reply 2" xfId="4603" xr:uid="{654F5936-37AC-49D2-A4F6-9F9083C1506F}"/>
    <cellStyle name="_Red_Volume Variance" xfId="4604" xr:uid="{7DB16DC7-FD18-454F-A7E0-A89D4EF7D2DA}"/>
    <cellStyle name="_Red_Volume Variance_NMEX - Fcst #2 (5+7) Financial analysis" xfId="4605" xr:uid="{09486E9C-76B1-4759-9F00-959A1EACE544}"/>
    <cellStyle name="_report to Nissan globle" xfId="4606" xr:uid="{87F8B893-FC63-439F-83BB-54CD819482A1}"/>
    <cellStyle name="_revenue" xfId="4607" xr:uid="{BC504F6C-D832-4812-ACC0-1C562D7E7F3F}"/>
    <cellStyle name="_S0P caculation base sheet" xfId="4608" xr:uid="{6AEA3A89-F6A2-47BC-AA16-53CE31CF504C}"/>
    <cellStyle name="_S0P-0330" xfId="4609" xr:uid="{5CB0B9F0-C2A6-4F9D-A09F-87B9C8592198}"/>
    <cellStyle name="_SCM" xfId="4610" xr:uid="{2D61AEE2-FAFB-4317-92A2-703534AB0D4C}"/>
    <cellStyle name="_SCM_(for confirmation to Regin team) FX impact (Simu vs Updated) by MC" xfId="4611" xr:uid="{80FEC20B-71BA-45C5-9EA4-8D99EB12B2C7}"/>
    <cellStyle name="_SCM_【0207】BP_reply_Outside profit_Price List_R" xfId="4612" xr:uid="{7DC898AA-8A4C-4D23-9093-734C066C65B4}"/>
    <cellStyle name="_SCM_08 budget 071018" xfId="4613" xr:uid="{682DC992-1907-4A4A-B9D2-38C4557EF72E}"/>
    <cellStyle name="_SCM_0902見直し" xfId="4614" xr:uid="{81550552-6B40-482C-89A2-75E80962B90D}"/>
    <cellStyle name="_SCM_09budget 081022" xfId="4615" xr:uid="{77719761-B73D-46A2-8AB8-EEDCE4B7F3BA}"/>
    <cellStyle name="_SCM_2008年PDI预算 (销售部0)" xfId="4616" xr:uid="{08C38971-ED2B-4DB6-88AC-8C489C44F19B}"/>
    <cellStyle name="_SCM_2009_TDC_MonthlyActual" xfId="4617" xr:uid="{B2A020CC-1D2F-47C4-A768-AB0EADD0ABC7}"/>
    <cellStyle name="_SCM_2009年VME車種別(20100303)" xfId="4618" xr:uid="{2B40E244-595B-4075-A085-0E867659A437}"/>
    <cellStyle name="_SCM_CY09 material risk compare-0615-16 LP" xfId="4619" xr:uid="{897E9D8E-41B2-4A4E-80D9-A9814400732F}"/>
    <cellStyle name="_SCM_ＣＹ10予算見直し後(600K モデル別)" xfId="4620" xr:uid="{152CF2D5-E22B-497E-9C08-DD2859D6AA6C}"/>
    <cellStyle name="_SCM_FCF_FY12 BUD Simulation Excel PKG for Auto_v2" xfId="4621" xr:uid="{91D7AC72-C848-4B8B-8649-F4E6D9B3FC5B}"/>
    <cellStyle name="_SCM_FY09 material forecast5+7 0616 for financial report" xfId="4622" xr:uid="{0D54A9CF-08FC-484A-A849-A4CD3D58F97D}"/>
    <cellStyle name="_SCM_FY11 Reply#1_FY11 3X9" xfId="4623" xr:uid="{5A902290-F61A-4B0C-922D-101FF553106C}"/>
    <cellStyle name="_SCM_FY12 BP_Simulation information PKG_R" xfId="4624" xr:uid="{AD135EDF-32FC-4ADC-888A-9FF09E282DC6}"/>
    <cellStyle name="_SCM_J11J MC+Elongation(松）" xfId="4625" xr:uid="{28FFCB0B-B897-4195-9B1E-F1B99293B804}"/>
    <cellStyle name="_SCM_KD_PWT_20111128" xfId="4626" xr:uid="{E73847A0-BA29-44F9-95F1-AA4ABEFCF767}"/>
    <cellStyle name="_SCM_L11K MC TDC 090306 (2)" xfId="4627" xr:uid="{71C1C90B-6B9C-434D-A44D-EFC72095860A}"/>
    <cellStyle name="_SCM_L42F TDC KKJ SOP 2010 Dec (090929) with MC (2)" xfId="4628" xr:uid="{26BBFA39-7DED-4378-B617-48491137E2D3}"/>
    <cellStyle name="_SCM_N11J MC+Elongation(松）" xfId="4629" xr:uid="{4B7A7683-5FB6-4B0B-AAC6-24B5DE90BB76}"/>
    <cellStyle name="_SCM_NMEF_Accessory" xfId="4630" xr:uid="{A093F1EA-6818-49ED-B8BA-03B3FC92272E}"/>
    <cellStyle name="_SCM_NMT Outside profit Sep" xfId="4631" xr:uid="{B7B3A850-E52B-4D55-AE4C-1D02DC648DC4}"/>
    <cellStyle name="_SCM_NS_Outside profit change_simulation_1118_volmix" xfId="4632" xr:uid="{886B882E-745C-4BA8-A8D1-19F36CF7DD68}"/>
    <cellStyle name="_SCM_P32E MC TDC with MC (100206)" xfId="4633" xr:uid="{52283BFC-C054-4BBE-9FA0-A3CB5AFCD79A}"/>
    <cellStyle name="_SCM_P32L LCP TDC Case3 (0900221)" xfId="4634" xr:uid="{893A3CE4-D5E1-436C-B3BE-FC1BA9B17067}"/>
    <cellStyle name="_SCM_TDC SUMMARY SHEET for MTP (version 2.1 100526)" xfId="4635" xr:uid="{EEFD2B34-0A1D-4A6F-BA18-3486D0D0054D}"/>
    <cellStyle name="_SCM_TDC SUMMARY SHEET for MTP (version 3.0 100526)" xfId="4636" xr:uid="{3A5E030C-E79C-42ED-8122-DECE0D365506}"/>
    <cellStyle name="_SCM_Volume Assumption &amp; Current Models" xfId="4637" xr:uid="{9DF37AD7-2611-4375-9B93-722DB7999BE6}"/>
    <cellStyle name="_SCM_コピー ～ 2009年5＋7 售  (47万台）(090619) (予算Ｆｉｎａｌ＆Variable変更　補正版)" xfId="4638" xr:uid="{0F92D3FB-9BF9-4FE2-82B0-6E7A264865BC}"/>
    <cellStyle name="_SCM部出国培训计划（2005）" xfId="4639" xr:uid="{71556F92-BD7C-4DFC-AD76-E870B1C5BB3B}"/>
    <cellStyle name="_setp23投资材料清单" xfId="4640" xr:uid="{D0016A7A-0908-4F46-9C5E-7F4DA26514A6}"/>
    <cellStyle name="_Shank" xfId="4641" xr:uid="{0F60320A-96DF-45E9-B3F5-8A8963CF4C9D}"/>
    <cellStyle name="_Sheet1" xfId="4642" xr:uid="{711D4BB0-F2EC-4050-994A-DFE36759534E}"/>
    <cellStyle name="_Sheet1 2" xfId="4643" xr:uid="{EAA7121D-879E-4999-AFD6-992B138E1AE9}"/>
    <cellStyle name="_Sheet1 2 2" xfId="4644" xr:uid="{F6543E00-3EE3-4163-88DC-1DB93CA0E18B}"/>
    <cellStyle name="_Sheet1 2 2 2" xfId="4645" xr:uid="{101942D1-8784-47D1-8AF4-41789C9E2E6B}"/>
    <cellStyle name="_Sheet1 2 2 2 2" xfId="4646" xr:uid="{E1FF1431-057C-49CB-BE4B-61A89B1F694F}"/>
    <cellStyle name="_Sheet1 2 2 2 2 2" xfId="25940" xr:uid="{D97ACAC5-C1EA-414B-8BCD-996003ACDB7E}"/>
    <cellStyle name="_Sheet1 2 2 3" xfId="4647" xr:uid="{77E0FCB2-D942-46AA-85D5-520EC2D387DC}"/>
    <cellStyle name="_Sheet1 2 2 4" xfId="4648" xr:uid="{8DCAA32E-9D4A-4902-B8D3-2853187C0FFF}"/>
    <cellStyle name="_Sheet1 2 2 4 2" xfId="25941" xr:uid="{60E79773-3C70-4D46-B2EA-07D7D9DE2F4C}"/>
    <cellStyle name="_Sheet1 2_FY13 Budget Simulation Excel PKG for Auto by company" xfId="4649" xr:uid="{5991B21F-3B7B-4D51-A58A-A280AB7D6E8C}"/>
    <cellStyle name="_Sheet1 3" xfId="4650" xr:uid="{A6F06775-4A7D-426D-935B-F4CC0F8D01F3}"/>
    <cellStyle name="_Sheet1 3 2" xfId="4651" xr:uid="{B66BB801-83BE-4825-9C63-38C6E9F21D08}"/>
    <cellStyle name="_Sheet1_06BP SM Assumption060830（draft）" xfId="4652" xr:uid="{CC91F386-D891-44E3-AB61-5F3A4C1AE00E}"/>
    <cellStyle name="_Sheet1_06BP SM Assumption060830（draft） 2" xfId="4653" xr:uid="{8A42387E-8D59-429B-B150-B5361EDEC62A}"/>
    <cellStyle name="_Sheet1_06BP SM Assumption060830（draft） 2 2" xfId="4654" xr:uid="{F333E404-4617-4666-BD9C-DB433BCEA423}"/>
    <cellStyle name="_Sheet1_06BP SM Assumption060830（draft） 2 2 2" xfId="4655" xr:uid="{6DD12264-1B48-4379-9CA6-05E7B5003D48}"/>
    <cellStyle name="_Sheet1_06BP SM Assumption060830（draft） 2 2 2 2" xfId="4656" xr:uid="{5997A7C7-65BE-4DCE-8919-BEA46FE564CA}"/>
    <cellStyle name="_Sheet1_06BP SM Assumption060830（draft） 2 2 2 2 2" xfId="25942" xr:uid="{D9F3B1E5-BBC1-4F8E-B447-3C44BE8BCC57}"/>
    <cellStyle name="_Sheet1_06BP SM Assumption060830（draft） 2 2 3" xfId="4657" xr:uid="{15AB5B85-0236-4704-BB9C-C4014B14B7B2}"/>
    <cellStyle name="_Sheet1_06BP SM Assumption060830（draft） 2 2 4" xfId="4658" xr:uid="{65D077CF-8438-403F-9A6E-B9B1A0112819}"/>
    <cellStyle name="_Sheet1_06BP SM Assumption060830（draft） 2 2 4 2" xfId="25943" xr:uid="{0D79304A-ABA1-4A77-BEB0-F29BFFB90484}"/>
    <cellStyle name="_Sheet1_06BP SM Assumption060830（draft） 2 3" xfId="4659" xr:uid="{DDD4AAFC-9F78-4D1B-AFBD-E2242E70A077}"/>
    <cellStyle name="_Sheet1_06BP SM Assumption060830（draft） 2 3 2" xfId="25944" xr:uid="{95D63667-2174-4A1C-9ED5-DD6FC819E7CF}"/>
    <cellStyle name="_Sheet1_06BP SM Assumption060830（draft） 2_FY13 Budget Simulation Excel PKG for Auto by company" xfId="4660" xr:uid="{8FDD9F98-B11B-44A0-8339-3D4C8F6199B2}"/>
    <cellStyle name="_Sheet1_06BP SM Assumption060830（draft） 3" xfId="4661" xr:uid="{EAF0E75A-BDDC-4DB4-95C8-94BE305E31A4}"/>
    <cellStyle name="_Sheet1_06BP SM Assumption060830（draft） 4" xfId="4662" xr:uid="{ED59B5DD-C1D9-4AA8-953C-0F81E596C23A}"/>
    <cellStyle name="_Sheet1_06BP SM Assumption060830（draft） 4 2" xfId="25945" xr:uid="{9A08DD75-6A36-4B80-BC54-43056414A0FD}"/>
    <cellStyle name="_Sheet1_06BP SM Assumption060830（draft）_DFL FY13 Simulation Data version 1010-2(A7C)" xfId="4663" xr:uid="{BA57C37A-3205-41DE-982B-107B487440D1}"/>
    <cellStyle name="_Sheet1_06BP SM Assumption060830（draft）_DFL FY13 Simulation Data version 1010-2(A7C) 2" xfId="4664" xr:uid="{FE0A56CF-5C7B-411D-811F-9D05923919C5}"/>
    <cellStyle name="_Sheet1_06BP SM Assumption060830（draft）_DFL FY13 Simulation Data version 1010-2(A7C) 2 2" xfId="4665" xr:uid="{888103B5-E335-4BAA-BB8C-21ABF36F5FA6}"/>
    <cellStyle name="_Sheet1_06BP SM Assumption060830（draft）_DFL FY13 Simulation Data version 1010-2(A7C) 2 2 2" xfId="4666" xr:uid="{99AF2BAA-285C-4BF2-8C80-31E6E865CB9C}"/>
    <cellStyle name="_Sheet1_06BP SM Assumption060830（draft）_DFL FY13 Simulation Data version 1010-2(A7C) 2 2 2 2" xfId="25946" xr:uid="{63588DBE-A478-4242-A1D3-2E469A4864A6}"/>
    <cellStyle name="_Sheet1_06BP SM Assumption060830（draft）_DFL FY13 Simulation Data version 1010-2(A7C) 2 3" xfId="4667" xr:uid="{098E018A-BC4F-4148-962F-B241C6089F43}"/>
    <cellStyle name="_Sheet1_06BP SM Assumption060830（draft）_DFL FY13 Simulation Data version 1010-2(A7C) 2 4" xfId="4668" xr:uid="{2672BB7C-C5E6-4D09-BDED-FDAD43F679CD}"/>
    <cellStyle name="_Sheet1_06BP SM Assumption060830（draft）_DFL FY13 Simulation Data version 1010-2(A7C) 2 4 2" xfId="25947" xr:uid="{785364E5-4E04-4D45-9F08-5ACEF9376221}"/>
    <cellStyle name="_Sheet1_06BP SM Assumption060830（draft）_DFL FY13 Simulation Data version 1010-2(A7C) 3" xfId="4669" xr:uid="{D1A241A2-51D0-4AB9-8156-F61C50E36282}"/>
    <cellStyle name="_Sheet1_06BP SM Assumption060830（draft）_DFL FY13 Simulation Data version 1010-2(A7C) 3 2" xfId="25948" xr:uid="{EC4DD408-C658-46EA-A33A-B99AC25068FB}"/>
    <cellStyle name="_Sheet1_06BP SM Assumption060830（draft）_DFL FY13 Simulation Data version 1010-2(A7C)_FY13 Budget Simulation Excel PKG for Auto by company" xfId="4670" xr:uid="{0E14C616-137A-453B-B107-F80EC55E1A10}"/>
    <cellStyle name="_Sheet1_06BP SM Assumption060830（draft）_FY13 Budget Simulation Excel PKG for Auto by company" xfId="4671" xr:uid="{B86A698F-1B50-44FA-BF9E-D2D0611B605C}"/>
    <cellStyle name="_Sheet1_06BP SM Assumption060830（draft）_Steel hike calculate base-20080523" xfId="4672" xr:uid="{03475D3F-8CBB-4F94-9FAE-E709936E4756}"/>
    <cellStyle name="_Sheet1_06BP SM Assumption060830（draft）_Steel hike calculate base-20080523 2" xfId="4673" xr:uid="{C20929A1-1E58-4EDF-8294-7CAFBC80193C}"/>
    <cellStyle name="_Sheet1_06BP SM Assumption060830（draft）_Steel hike calculate base-20080523 2 2" xfId="4674" xr:uid="{13F6E107-F927-4B28-B399-AB66C873CB72}"/>
    <cellStyle name="_Sheet1_06BP SM Assumption060830（draft）_Steel hike calculate base-20080523 2 2 2" xfId="4675" xr:uid="{8A384C01-4675-4BB7-81D3-C0C204FCE5A1}"/>
    <cellStyle name="_Sheet1_06BP SM Assumption060830（draft）_Steel hike calculate base-20080523 2 2 2 2" xfId="4676" xr:uid="{04277FC6-BA19-4583-BB22-77C19E3E1E23}"/>
    <cellStyle name="_Sheet1_06BP SM Assumption060830（draft）_Steel hike calculate base-20080523 2 2 2 2 2" xfId="25949" xr:uid="{771F505D-8D69-449B-B5F2-21DB7D86DC46}"/>
    <cellStyle name="_Sheet1_06BP SM Assumption060830（draft）_Steel hike calculate base-20080523 2 2 3" xfId="4677" xr:uid="{A8DBC8C7-6C70-4D04-919E-E8CF71D7A1DC}"/>
    <cellStyle name="_Sheet1_06BP SM Assumption060830（draft）_Steel hike calculate base-20080523 2 2 4" xfId="4678" xr:uid="{83306B5E-A362-4C82-93B9-A46B6CCAA877}"/>
    <cellStyle name="_Sheet1_06BP SM Assumption060830（draft）_Steel hike calculate base-20080523 2 2 4 2" xfId="25950" xr:uid="{BECE949C-9CF4-4BCD-A3FA-35C8CB355746}"/>
    <cellStyle name="_Sheet1_06BP SM Assumption060830（draft）_Steel hike calculate base-20080523 2 3" xfId="4679" xr:uid="{3911326C-B3DC-4F84-B0E9-BDF120625A65}"/>
    <cellStyle name="_Sheet1_06BP SM Assumption060830（draft）_Steel hike calculate base-20080523 2 3 2" xfId="25951" xr:uid="{556FDDBC-F50A-4BB1-B7A1-A5B6EAE3E4F7}"/>
    <cellStyle name="_Sheet1_06BP SM Assumption060830（draft）_Steel hike calculate base-20080523 2_FY13 Budget Simulation Excel PKG for Auto by company" xfId="4680" xr:uid="{776B4249-9F8C-416D-9971-41BCFB0E7C3F}"/>
    <cellStyle name="_Sheet1_06BP SM Assumption060830（draft）_Steel hike calculate base-20080523 3" xfId="4681" xr:uid="{83F4E048-5571-42FF-A9B8-28D6C2BBABCA}"/>
    <cellStyle name="_Sheet1_06BP SM Assumption060830（draft）_Steel hike calculate base-20080523 4" xfId="4682" xr:uid="{D605373F-B6F8-4082-86E8-B57FB497C1B6}"/>
    <cellStyle name="_Sheet1_06BP SM Assumption060830（draft）_Steel hike calculate base-20080523 4 2" xfId="25952" xr:uid="{FA16CC7D-FF2E-4632-A6A6-B5841D07C9AA}"/>
    <cellStyle name="_Sheet1_06BP SM Assumption060830（draft）_Steel hike calculate base-20080523_DFL FY13 Simulation Data version 1010-2(A7C)" xfId="4683" xr:uid="{575C90B3-0E28-417E-97D4-EBB337393676}"/>
    <cellStyle name="_Sheet1_06BP SM Assumption060830（draft）_Steel hike calculate base-20080523_DFL FY13 Simulation Data version 1010-2(A7C) 2" xfId="4684" xr:uid="{E0B2B967-7EC4-44C9-88AE-DE495338F777}"/>
    <cellStyle name="_Sheet1_06BP SM Assumption060830（draft）_Steel hike calculate base-20080523_DFL FY13 Simulation Data version 1010-2(A7C) 2 2" xfId="4685" xr:uid="{570F9E35-41C4-4B28-BECB-D80D1103AF0D}"/>
    <cellStyle name="_Sheet1_06BP SM Assumption060830（draft）_Steel hike calculate base-20080523_DFL FY13 Simulation Data version 1010-2(A7C) 2 2 2" xfId="4686" xr:uid="{A49EBED7-BA21-46CE-9F5E-1E1AB6A94352}"/>
    <cellStyle name="_Sheet1_06BP SM Assumption060830（draft）_Steel hike calculate base-20080523_DFL FY13 Simulation Data version 1010-2(A7C) 2 2 2 2" xfId="25953" xr:uid="{60BB5E13-3531-4AF4-926B-4FEBB9DF87DB}"/>
    <cellStyle name="_Sheet1_06BP SM Assumption060830（draft）_Steel hike calculate base-20080523_DFL FY13 Simulation Data version 1010-2(A7C) 2 3" xfId="4687" xr:uid="{1EE31014-14AB-4025-946E-0FCC241F989C}"/>
    <cellStyle name="_Sheet1_06BP SM Assumption060830（draft）_Steel hike calculate base-20080523_DFL FY13 Simulation Data version 1010-2(A7C) 2 4" xfId="4688" xr:uid="{48792E5E-8190-4009-AF4C-1582762224DF}"/>
    <cellStyle name="_Sheet1_06BP SM Assumption060830（draft）_Steel hike calculate base-20080523_DFL FY13 Simulation Data version 1010-2(A7C) 2 4 2" xfId="25954" xr:uid="{BA0A4327-C5B4-463E-B385-641176FE82EF}"/>
    <cellStyle name="_Sheet1_06BP SM Assumption060830（draft）_Steel hike calculate base-20080523_DFL FY13 Simulation Data version 1010-2(A7C) 3" xfId="4689" xr:uid="{F87391FF-F604-4C15-9A64-F2C20782BA60}"/>
    <cellStyle name="_Sheet1_06BP SM Assumption060830（draft）_Steel hike calculate base-20080523_DFL FY13 Simulation Data version 1010-2(A7C) 3 2" xfId="25955" xr:uid="{7C8972C0-4E1A-41E3-B18A-32D232B0062E}"/>
    <cellStyle name="_Sheet1_06BP SM Assumption060830（draft）_Steel hike calculate base-20080523_DFL FY13 Simulation Data version 1010-2(A7C)_FY13 Budget Simulation Excel PKG for Auto by company" xfId="4690" xr:uid="{93ED7DC9-EAC6-45D5-9825-00196422CA28}"/>
    <cellStyle name="_Sheet1_06BP SM Assumption060830（draft）_Steel hike calculate base-20080523_FY13 Budget Simulation Excel PKG for Auto by company" xfId="4691" xr:uid="{F3E79001-3216-4655-A378-1D8C587DB257}"/>
    <cellStyle name="_Sheet1_08 budget 071018" xfId="4692" xr:uid="{AD5F8C20-84DF-46A5-933D-C921DC06EA2B}"/>
    <cellStyle name="_Sheet1_08 budget 071018 2" xfId="4693" xr:uid="{4DF34352-D53F-4294-BCF3-9D9A86D11037}"/>
    <cellStyle name="_Sheet1_08 budget 071018 2 2" xfId="4694" xr:uid="{A1A3A0F0-561F-44B9-9272-5B2242C25B7B}"/>
    <cellStyle name="_Sheet1_08 budget 071018 2 2 2" xfId="25956" xr:uid="{81E8944C-312A-4DA7-B9FE-83FB12E8078A}"/>
    <cellStyle name="_Sheet1_'08 budget TDC" xfId="4695" xr:uid="{E1B9C3E0-6102-46A4-9C72-D1AE51C1AED0}"/>
    <cellStyle name="_Sheet1_'08 budget TDC 2" xfId="4696" xr:uid="{D3C8D5F6-ED90-44FC-9C83-95CA67C355BE}"/>
    <cellStyle name="_Sheet1_'08 budget TDC 2 2" xfId="4697" xr:uid="{4C76AC45-8281-47DF-9DFD-3BDDFD721B1B}"/>
    <cellStyle name="_Sheet1_'08 budget TDC 2 2 2" xfId="25957" xr:uid="{DCB0555D-88EF-45C1-AAE8-4AB636855AB0}"/>
    <cellStyle name="_Sheet1_1" xfId="4698" xr:uid="{47074F79-48E2-47C4-A07E-B527E5CCB2CF}"/>
    <cellStyle name="_Sheet1_DFL FY13 Simulation Data version 1010-2(A7C)" xfId="4699" xr:uid="{A05DC046-FB71-46B7-91CD-B538AD2A801E}"/>
    <cellStyle name="_Sheet1_DFL FY13 Simulation Data version 1010-2(A7C) 2" xfId="4700" xr:uid="{EEFA657C-5C67-40FA-949E-D1B0A2356DD0}"/>
    <cellStyle name="_Sheet1_DFL FY13 Simulation Data version 1010-2(A7C) 2 2" xfId="4701" xr:uid="{93C45955-719B-42DD-8093-E1F539D2F3EA}"/>
    <cellStyle name="_Sheet1_DFL FY13 Simulation Data version 1010-2(A7C) 2 2 2" xfId="4702" xr:uid="{B645B3F5-BD53-459F-A8B7-EC7BAAE2668F}"/>
    <cellStyle name="_Sheet1_DFL FY13 Simulation Data version 1010-2(A7C) 2 2 2 2" xfId="25958" xr:uid="{19A2073B-8699-4073-8012-4838F4F24779}"/>
    <cellStyle name="_Sheet1_DFL FY13 Simulation Data version 1010-2(A7C) 2 3" xfId="4703" xr:uid="{8125EC8E-5122-400F-A0B8-C4F7C45BF148}"/>
    <cellStyle name="_Sheet1_DFL FY13 Simulation Data version 1010-2(A7C) 2 4" xfId="4704" xr:uid="{ACA61E51-D1C6-48EF-9E28-2E92745AFBA2}"/>
    <cellStyle name="_Sheet1_DFL FY13 Simulation Data version 1010-2(A7C) 2 4 2" xfId="25959" xr:uid="{70281496-ACC1-45B7-BE8B-22223E8A14AD}"/>
    <cellStyle name="_Sheet1_DFL FY13 Simulation Data version 1010-2(A7C) 3" xfId="4705" xr:uid="{19F57786-3C6D-4303-9AB5-2D9C4A16B564}"/>
    <cellStyle name="_Sheet1_DFL FY13 Simulation Data version 1010-2(A7C) 3 2" xfId="25960" xr:uid="{CEA2CD47-EC70-4280-9124-3CD8E3CE4570}"/>
    <cellStyle name="_Sheet1_DFL FY13 Simulation Data version 1010-2(A7C)_FY13 Budget Simulation Excel PKG for Auto by company" xfId="4706" xr:uid="{1C2B40E5-28C1-49C7-A9AC-A9A65E4DAE43}"/>
    <cellStyle name="_Sheet1_FY13 Budget Simulation Excel PKG for Auto by company" xfId="4707" xr:uid="{62BED0C8-A114-45A2-9D29-5A8E540A2E0B}"/>
    <cellStyle name="_Sheet1_Investment 05MTP-制造类050621" xfId="4708" xr:uid="{B12D1A0B-B73F-4170-947B-F2AC2285C18A}"/>
    <cellStyle name="_Sheet1_Investment 05MTP-制造类050621 2" xfId="4709" xr:uid="{EDE61EC6-C215-4663-BF41-81C6B41592F6}"/>
    <cellStyle name="_Sheet1_Investment 05MTP-制造类050621 2 2" xfId="4710" xr:uid="{BF2101CE-2673-4A83-8474-D024336E420C}"/>
    <cellStyle name="_Sheet1_Investment 05MTP-制造类050621 2 2 2" xfId="4711" xr:uid="{245CA4F3-2A8F-4C7F-BE85-3ED59B94729B}"/>
    <cellStyle name="_Sheet1_Investment 05MTP-制造类050621 2 2 2 2" xfId="4712" xr:uid="{E2DD5BC1-8F27-4289-8243-4DF3A7DCD3C8}"/>
    <cellStyle name="_Sheet1_Investment 05MTP-制造类050621 2 2 2 2 2" xfId="25961" xr:uid="{C3021C14-C75F-4EC1-A8A4-EFA5120016B9}"/>
    <cellStyle name="_Sheet1_Investment 05MTP-制造类050621 2 2 3" xfId="4713" xr:uid="{7D642C80-49D0-45E0-B28F-6CC540387CB8}"/>
    <cellStyle name="_Sheet1_Investment 05MTP-制造类050621 2 2 4" xfId="4714" xr:uid="{B68DF47A-8768-4EFD-940B-6B51002147EE}"/>
    <cellStyle name="_Sheet1_Investment 05MTP-制造类050621 2 2 4 2" xfId="25962" xr:uid="{89D2EAE6-1329-4A27-A678-2DDA0F3E3D2B}"/>
    <cellStyle name="_Sheet1_Investment 05MTP-制造类050621 2 3" xfId="4715" xr:uid="{CEC7CF39-1F64-42CF-874F-E9B8DD02F954}"/>
    <cellStyle name="_Sheet1_Investment 05MTP-制造类050621 2 3 2" xfId="25963" xr:uid="{50CDFFD1-B622-4550-A673-92526AAE4EB7}"/>
    <cellStyle name="_Sheet1_Investment 05MTP-制造类050621 2_FY13 Budget Simulation Excel PKG for Auto by company" xfId="4716" xr:uid="{0DB25B8C-00FA-4B3C-95CE-A937D4C1C459}"/>
    <cellStyle name="_Sheet1_Investment 05MTP-制造类050621 3" xfId="4717" xr:uid="{1A5D9809-7230-4307-A385-A42D1F351D48}"/>
    <cellStyle name="_Sheet1_Investment 05MTP-制造类050621_DFL FY13 Simulation Data version 1010-2(A7C)" xfId="4718" xr:uid="{1C4AC41B-E0DA-4C6A-BC2B-7B3CE6961763}"/>
    <cellStyle name="_Sheet1_Investment 05MTP-制造类050621_DFL FY13 Simulation Data version 1010-2(A7C) 2" xfId="4719" xr:uid="{12A07150-20F7-44BF-B6BB-17298E70B8ED}"/>
    <cellStyle name="_Sheet1_Investment 05MTP-制造类050621_DFL FY13 Simulation Data version 1010-2(A7C) 2 2" xfId="4720" xr:uid="{650C5A9D-4612-40A4-A76F-8709F09C6423}"/>
    <cellStyle name="_Sheet1_Investment 05MTP-制造类050621_DFL FY13 Simulation Data version 1010-2(A7C) 2 2 2" xfId="4721" xr:uid="{81A580BD-C926-4195-A980-8CC402802F2A}"/>
    <cellStyle name="_Sheet1_Investment 05MTP-制造类050621_DFL FY13 Simulation Data version 1010-2(A7C) 2 2 2 2" xfId="25964" xr:uid="{32FBADB1-85D6-40D4-B118-AC80E661FA67}"/>
    <cellStyle name="_Sheet1_Investment 05MTP-制造类050621_DFL FY13 Simulation Data version 1010-2(A7C) 2 3" xfId="4722" xr:uid="{64DBCEE5-CB8F-4432-A20C-35B6DA5C636D}"/>
    <cellStyle name="_Sheet1_Investment 05MTP-制造类050621_DFL FY13 Simulation Data version 1010-2(A7C) 2 4" xfId="4723" xr:uid="{5A9F9EFA-9B78-49BA-AF7F-3C7F91A21A08}"/>
    <cellStyle name="_Sheet1_Investment 05MTP-制造类050621_DFL FY13 Simulation Data version 1010-2(A7C) 2 4 2" xfId="25965" xr:uid="{C78D86EF-E601-4E34-98B1-A57B0B3A5311}"/>
    <cellStyle name="_Sheet1_Investment 05MTP-制造类050621_DFL FY13 Simulation Data version 1010-2(A7C) 3" xfId="4724" xr:uid="{00D78EE6-06DD-4181-933E-0C558B0037E8}"/>
    <cellStyle name="_Sheet1_Investment 05MTP-制造类050621_DFL FY13 Simulation Data version 1010-2(A7C) 3 2" xfId="25966" xr:uid="{AF3F4631-6933-4075-87EB-32F12DF5D363}"/>
    <cellStyle name="_Sheet1_Investment 05MTP-制造类050621_DFL FY13 Simulation Data version 1010-2(A7C)_FY13 Budget Simulation Excel PKG for Auto by company" xfId="4725" xr:uid="{C6FC0D65-BA9A-407A-ACF0-0E6EC0D5C520}"/>
    <cellStyle name="_Sheet1_Investment 05MTP-制造类050621_FY13 Budget Simulation Excel PKG for Auto by company" xfId="4726" xr:uid="{35930997-2056-47F6-87E0-AED504653F11}"/>
    <cellStyle name="_Sheet1_Investment 05MTP-制造类050621_Steel hike calculate base-20080523" xfId="4727" xr:uid="{D6EBD76A-7D0B-46BA-81A3-A6A87DB76396}"/>
    <cellStyle name="_Sheet1_Investment 05MTP-制造类050621_Steel hike calculate base-20080523 2" xfId="4728" xr:uid="{CAD86F30-1CA4-4B88-AA42-D290D4E243E8}"/>
    <cellStyle name="_Sheet1_Investment 05MTP-制造类050621_Steel hike calculate base-20080523 2 2" xfId="4729" xr:uid="{9B2E94D0-BDC6-4136-B500-365E86C1179A}"/>
    <cellStyle name="_Sheet1_Investment 05MTP-制造类050621_Steel hike calculate base-20080523 2 2 2" xfId="4730" xr:uid="{CE3E93E2-C669-48D9-9B30-D7886C0B35E6}"/>
    <cellStyle name="_Sheet1_Investment 05MTP-制造类050621_Steel hike calculate base-20080523 2 2 2 2" xfId="4731" xr:uid="{BAF9873D-0F53-4BDA-9E60-2D6B88B6F34B}"/>
    <cellStyle name="_Sheet1_Investment 05MTP-制造类050621_Steel hike calculate base-20080523 2 2 2 2 2" xfId="25967" xr:uid="{E3DB3EE3-51A0-47DD-9EE3-4216AEFD8502}"/>
    <cellStyle name="_Sheet1_Investment 05MTP-制造类050621_Steel hike calculate base-20080523 2 2 3" xfId="4732" xr:uid="{07A90C05-056E-4CBD-8471-AFD84A1451BD}"/>
    <cellStyle name="_Sheet1_Investment 05MTP-制造类050621_Steel hike calculate base-20080523 2 2 4" xfId="4733" xr:uid="{9C559555-DC64-44A0-94A3-749B86CFC271}"/>
    <cellStyle name="_Sheet1_Investment 05MTP-制造类050621_Steel hike calculate base-20080523 2 2 4 2" xfId="25968" xr:uid="{519F29B2-9525-4CC6-AEBD-80362652D8D0}"/>
    <cellStyle name="_Sheet1_Investment 05MTP-制造类050621_Steel hike calculate base-20080523 2 3" xfId="4734" xr:uid="{5C3BA71D-80CB-44FC-8D1B-E81D9C58AE97}"/>
    <cellStyle name="_Sheet1_Investment 05MTP-制造类050621_Steel hike calculate base-20080523 2 3 2" xfId="25969" xr:uid="{3D59E209-7430-4C5E-BDEA-9CE5A7161909}"/>
    <cellStyle name="_Sheet1_Investment 05MTP-制造类050621_Steel hike calculate base-20080523 2_FY13 Budget Simulation Excel PKG for Auto by company" xfId="4735" xr:uid="{706D6C71-708B-425A-BAD5-CDA14A52E35E}"/>
    <cellStyle name="_Sheet1_Investment 05MTP-制造类050621_Steel hike calculate base-20080523 3" xfId="4736" xr:uid="{064E763D-97D4-4FD4-B742-AFA788C98FFE}"/>
    <cellStyle name="_Sheet1_Investment 05MTP-制造类050621_Steel hike calculate base-20080523 4" xfId="4737" xr:uid="{6B649A21-7A5C-4C87-BD18-D5F3319790D0}"/>
    <cellStyle name="_Sheet1_Investment 05MTP-制造类050621_Steel hike calculate base-20080523 4 2" xfId="25970" xr:uid="{10D74BB8-F055-4CCB-8C58-8E5DBEAAF4B4}"/>
    <cellStyle name="_Sheet1_Investment 05MTP-制造类050621_Steel hike calculate base-20080523_DFL FY13 Simulation Data version 1010-2(A7C)" xfId="4738" xr:uid="{ED39EA0E-09E9-493F-B727-93CC923C3E22}"/>
    <cellStyle name="_Sheet1_Investment 05MTP-制造类050621_Steel hike calculate base-20080523_DFL FY13 Simulation Data version 1010-2(A7C) 2" xfId="4739" xr:uid="{3EF9CF23-B13F-464A-AC9D-B7F266EE3B9A}"/>
    <cellStyle name="_Sheet1_Investment 05MTP-制造类050621_Steel hike calculate base-20080523_DFL FY13 Simulation Data version 1010-2(A7C) 2 2" xfId="4740" xr:uid="{C95D36E5-0812-4220-9C1C-BC7382AD5028}"/>
    <cellStyle name="_Sheet1_Investment 05MTP-制造类050621_Steel hike calculate base-20080523_DFL FY13 Simulation Data version 1010-2(A7C) 2 2 2" xfId="4741" xr:uid="{DAAE4061-5AF1-4222-B4C0-D375832BFC79}"/>
    <cellStyle name="_Sheet1_Investment 05MTP-制造类050621_Steel hike calculate base-20080523_DFL FY13 Simulation Data version 1010-2(A7C) 2 2 2 2" xfId="25971" xr:uid="{BB20CF05-CA4A-4F00-9E86-9AD6C5A2546C}"/>
    <cellStyle name="_Sheet1_Investment 05MTP-制造类050621_Steel hike calculate base-20080523_DFL FY13 Simulation Data version 1010-2(A7C) 2 3" xfId="4742" xr:uid="{9D3EA57F-5F4B-4DF5-BBCB-952E974755A4}"/>
    <cellStyle name="_Sheet1_Investment 05MTP-制造类050621_Steel hike calculate base-20080523_DFL FY13 Simulation Data version 1010-2(A7C) 2 4" xfId="4743" xr:uid="{FEE834B0-549D-4E95-9E5F-BE94D2CE1997}"/>
    <cellStyle name="_Sheet1_Investment 05MTP-制造类050621_Steel hike calculate base-20080523_DFL FY13 Simulation Data version 1010-2(A7C) 2 4 2" xfId="25972" xr:uid="{3D57F204-ABA8-46D5-9C14-9FAF84C79D2F}"/>
    <cellStyle name="_Sheet1_Investment 05MTP-制造类050621_Steel hike calculate base-20080523_DFL FY13 Simulation Data version 1010-2(A7C) 3" xfId="4744" xr:uid="{D81D36CE-52F2-4538-A65B-0F4FD15738E4}"/>
    <cellStyle name="_Sheet1_Investment 05MTP-制造类050621_Steel hike calculate base-20080523_DFL FY13 Simulation Data version 1010-2(A7C) 3 2" xfId="25973" xr:uid="{13125A99-144A-4E3D-BACA-DB400C81BBC5}"/>
    <cellStyle name="_Sheet1_Investment 05MTP-制造类050621_Steel hike calculate base-20080523_DFL FY13 Simulation Data version 1010-2(A7C)_FY13 Budget Simulation Excel PKG for Auto by company" xfId="4745" xr:uid="{634E8123-2506-4A00-BFC8-8A23FB8136FB}"/>
    <cellStyle name="_Sheet1_Investment 05MTP-制造类050621_Steel hike calculate base-20080523_FY13 Budget Simulation Excel PKG for Auto by company" xfId="4746" xr:uid="{9BA3B3BF-10F2-414E-AD5D-49C76D765573}"/>
    <cellStyle name="_Sheet1_Investment 05MTP-制造类050621_新規投資分償却費05Plan(生产）" xfId="4747" xr:uid="{9F33CAD4-C31F-498C-919A-4DA75CD66C4D}"/>
    <cellStyle name="_Sheet1_Investment 05MTP-制造类050621_新規投資分償却費05Plan(生产） 2" xfId="4748" xr:uid="{CFB91361-9D1F-4D07-9728-B32EFDB42417}"/>
    <cellStyle name="_Sheet1_Investment 05MTP-制造类050621_新規投資分償却費05Plan(生产） 2 2" xfId="4749" xr:uid="{8FB674F1-AA61-414C-9FA6-A6C477BFD35F}"/>
    <cellStyle name="_Sheet1_Investment 05MTP-制造类050621_新規投資分償却費05Plan(生产） 2 2 2" xfId="4750" xr:uid="{A6C29D24-1914-4857-9BA0-3D49DC35C305}"/>
    <cellStyle name="_Sheet1_Investment 05MTP-制造类050621_新規投資分償却費05Plan(生产） 2 2 2 2" xfId="4751" xr:uid="{30278F04-CFD3-400E-9BD3-6FA5E0788AD2}"/>
    <cellStyle name="_Sheet1_Investment 05MTP-制造类050621_新規投資分償却費05Plan(生产） 2 2 2 2 2" xfId="25974" xr:uid="{472CC3CB-144C-4E78-AAB4-73F70411F676}"/>
    <cellStyle name="_Sheet1_Investment 05MTP-制造类050621_新規投資分償却費05Plan(生产） 2 2 3" xfId="4752" xr:uid="{C1AAE5C1-1753-42EF-AC32-D669F0094E0A}"/>
    <cellStyle name="_Sheet1_Investment 05MTP-制造类050621_新規投資分償却費05Plan(生产） 2 2 4" xfId="4753" xr:uid="{39737AA2-7728-4DAB-AAF1-6EF1A02B01E1}"/>
    <cellStyle name="_Sheet1_Investment 05MTP-制造类050621_新規投資分償却費05Plan(生产） 2 2 4 2" xfId="25975" xr:uid="{5B57669A-E325-4005-B1A9-82C6248EA2B1}"/>
    <cellStyle name="_Sheet1_Investment 05MTP-制造类050621_新規投資分償却費05Plan(生产） 2 3" xfId="4754" xr:uid="{6FE1FF34-4736-4865-906E-FDF7DEF3C9F5}"/>
    <cellStyle name="_Sheet1_Investment 05MTP-制造类050621_新規投資分償却費05Plan(生产） 2 3 2" xfId="25976" xr:uid="{9C41DE87-1D30-4812-BC50-DC0EC2F3EDB6}"/>
    <cellStyle name="_Sheet1_Investment 05MTP-制造类050621_新規投資分償却費05Plan(生产） 2_FY13 Budget Simulation Excel PKG for Auto by company" xfId="4755" xr:uid="{D29A422F-6060-4C6C-8B6E-493AA29D2F72}"/>
    <cellStyle name="_Sheet1_Investment 05MTP-制造类050621_新規投資分償却費05Plan(生产） 3" xfId="4756" xr:uid="{A4CA0323-5B87-492B-820D-A3EA4D75E90F}"/>
    <cellStyle name="_Sheet1_Investment 05MTP-制造类050621_新規投資分償却費05Plan(生产）_DFL FY13 Simulation Data version 1010-2(A7C)" xfId="4757" xr:uid="{593C3676-715D-485F-AB46-EC9CB5C22092}"/>
    <cellStyle name="_Sheet1_Investment 05MTP-制造类050621_新規投資分償却費05Plan(生产）_DFL FY13 Simulation Data version 1010-2(A7C) 2" xfId="4758" xr:uid="{06521251-9057-46CE-8E13-635F81074960}"/>
    <cellStyle name="_Sheet1_Investment 05MTP-制造类050621_新規投資分償却費05Plan(生产）_DFL FY13 Simulation Data version 1010-2(A7C) 2 2" xfId="4759" xr:uid="{E48CC9A0-C120-4E38-B036-7C603CBD3282}"/>
    <cellStyle name="_Sheet1_Investment 05MTP-制造类050621_新規投資分償却費05Plan(生产）_DFL FY13 Simulation Data version 1010-2(A7C) 2 2 2" xfId="4760" xr:uid="{6CA90E5E-3656-43D9-899C-2B52D5591078}"/>
    <cellStyle name="_Sheet1_Investment 05MTP-制造类050621_新規投資分償却費05Plan(生产）_DFL FY13 Simulation Data version 1010-2(A7C) 2 2 2 2" xfId="25977" xr:uid="{F1D6B8E0-B49E-43E3-B705-7A42BF71DCAA}"/>
    <cellStyle name="_Sheet1_Investment 05MTP-制造类050621_新規投資分償却費05Plan(生产）_DFL FY13 Simulation Data version 1010-2(A7C) 2 3" xfId="4761" xr:uid="{BB4E644A-BBF2-44C8-A1C8-DB8526ABB8BC}"/>
    <cellStyle name="_Sheet1_Investment 05MTP-制造类050621_新規投資分償却費05Plan(生产）_DFL FY13 Simulation Data version 1010-2(A7C) 2 4" xfId="4762" xr:uid="{9324E1EF-0FC5-4A7E-862A-572C0875C19A}"/>
    <cellStyle name="_Sheet1_Investment 05MTP-制造类050621_新規投資分償却費05Plan(生产）_DFL FY13 Simulation Data version 1010-2(A7C) 2 4 2" xfId="25978" xr:uid="{011E8462-F8C4-4186-A8A3-A9384E6C9036}"/>
    <cellStyle name="_Sheet1_Investment 05MTP-制造类050621_新規投資分償却費05Plan(生产）_DFL FY13 Simulation Data version 1010-2(A7C) 3" xfId="4763" xr:uid="{108D90FA-2328-42BF-8E17-C5F36B278AFE}"/>
    <cellStyle name="_Sheet1_Investment 05MTP-制造类050621_新規投資分償却費05Plan(生产）_DFL FY13 Simulation Data version 1010-2(A7C) 3 2" xfId="25979" xr:uid="{2B090D9B-2EE3-4A3E-8BF8-F890CD18FC6D}"/>
    <cellStyle name="_Sheet1_Investment 05MTP-制造类050621_新規投資分償却費05Plan(生产）_DFL FY13 Simulation Data version 1010-2(A7C)_FY13 Budget Simulation Excel PKG for Auto by company" xfId="4764" xr:uid="{5F1CD176-DD13-44EE-B833-4E1A13391529}"/>
    <cellStyle name="_Sheet1_Investment 05MTP-制造类050621_新規投資分償却費05Plan(生产）_FY13 Budget Simulation Excel PKG for Auto by company" xfId="4765" xr:uid="{554402A5-665A-449B-A3EF-853551F40F77}"/>
    <cellStyle name="_Sheet1_Investment 05MTP-制造类050621_新規投資分償却費05Plan(生产）_Steel hike calculate base-20080523" xfId="4766" xr:uid="{02D99CCB-52E7-4F05-B7F8-E25540DC39BF}"/>
    <cellStyle name="_Sheet1_Investment 05MTP-制造类050621_新規投資分償却費05Plan(生产）_Steel hike calculate base-20080523 2" xfId="4767" xr:uid="{D115AC67-FCE1-49BF-A25F-91C6D754397A}"/>
    <cellStyle name="_Sheet1_Investment 05MTP-制造类050621_新規投資分償却費05Plan(生产）_Steel hike calculate base-20080523 2 2" xfId="4768" xr:uid="{C8594AC0-9115-46F8-85D4-C5312A6D5CCC}"/>
    <cellStyle name="_Sheet1_Investment 05MTP-制造类050621_新規投資分償却費05Plan(生产）_Steel hike calculate base-20080523 2 2 2" xfId="4769" xr:uid="{965F5311-05E7-41AF-B192-89A9A3080526}"/>
    <cellStyle name="_Sheet1_Investment 05MTP-制造类050621_新規投資分償却費05Plan(生产）_Steel hike calculate base-20080523 2 2 2 2" xfId="4770" xr:uid="{41959B0E-9764-46CA-AF45-EA5F6453777D}"/>
    <cellStyle name="_Sheet1_Investment 05MTP-制造类050621_新規投資分償却費05Plan(生产）_Steel hike calculate base-20080523 2 2 2 2 2" xfId="25980" xr:uid="{1327FAB0-C8FE-4BCA-96A7-EDFBCA4EAC9E}"/>
    <cellStyle name="_Sheet1_Investment 05MTP-制造类050621_新規投資分償却費05Plan(生产）_Steel hike calculate base-20080523 2 2 3" xfId="4771" xr:uid="{8CBDF477-A5E9-497A-9E75-2E333A428126}"/>
    <cellStyle name="_Sheet1_Investment 05MTP-制造类050621_新規投資分償却費05Plan(生产）_Steel hike calculate base-20080523 2 2 4" xfId="4772" xr:uid="{BB940C94-5DAA-4426-8F33-465351DB7FC5}"/>
    <cellStyle name="_Sheet1_Investment 05MTP-制造类050621_新規投資分償却費05Plan(生产）_Steel hike calculate base-20080523 2 2 4 2" xfId="25981" xr:uid="{CFE3562D-6307-40FD-8D11-99DACACD9FC0}"/>
    <cellStyle name="_Sheet1_Investment 05MTP-制造类050621_新規投資分償却費05Plan(生产）_Steel hike calculate base-20080523 2 3" xfId="4773" xr:uid="{A9174295-724F-45B1-8338-594D985DE7A2}"/>
    <cellStyle name="_Sheet1_Investment 05MTP-制造类050621_新規投資分償却費05Plan(生产）_Steel hike calculate base-20080523 2 3 2" xfId="25982" xr:uid="{58CDCF1D-F14D-4172-A107-5708E1016155}"/>
    <cellStyle name="_Sheet1_Investment 05MTP-制造类050621_新規投資分償却費05Plan(生产）_Steel hike calculate base-20080523 2_FY13 Budget Simulation Excel PKG for Auto by company" xfId="4774" xr:uid="{E28A498B-1F44-47BA-AC80-F1F2A8B3A417}"/>
    <cellStyle name="_Sheet1_Investment 05MTP-制造类050621_新規投資分償却費05Plan(生产）_Steel hike calculate base-20080523 3" xfId="4775" xr:uid="{E3A116F0-982A-4E3C-BBC1-12BDFDAE67A9}"/>
    <cellStyle name="_Sheet1_Investment 05MTP-制造类050621_新規投資分償却費05Plan(生产）_Steel hike calculate base-20080523 4" xfId="4776" xr:uid="{C3AFC5A9-8CAE-4E4E-ADA4-DD6969DBA73F}"/>
    <cellStyle name="_Sheet1_Investment 05MTP-制造类050621_新規投資分償却費05Plan(生产）_Steel hike calculate base-20080523 4 2" xfId="25983" xr:uid="{E94BF09C-5C93-4602-8225-4535CB93F887}"/>
    <cellStyle name="_Sheet1_Investment 05MTP-制造类050621_新規投資分償却費05Plan(生产）_Steel hike calculate base-20080523_DFL FY13 Simulation Data version 1010-2(A7C)" xfId="4777" xr:uid="{E7920D7D-5C35-4E6F-804D-6B544ECBA7A8}"/>
    <cellStyle name="_Sheet1_Investment 05MTP-制造类050621_新規投資分償却費05Plan(生产）_Steel hike calculate base-20080523_DFL FY13 Simulation Data version 1010-2(A7C) 2" xfId="4778" xr:uid="{4EDDB348-B611-4C94-A51E-9E806DD9469A}"/>
    <cellStyle name="_Sheet1_Investment 05MTP-制造类050621_新規投資分償却費05Plan(生产）_Steel hike calculate base-20080523_DFL FY13 Simulation Data version 1010-2(A7C) 2 2" xfId="4779" xr:uid="{9E28FA5B-F371-4D01-B17C-18DCDCDE9B8D}"/>
    <cellStyle name="_Sheet1_Investment 05MTP-制造类050621_新規投資分償却費05Plan(生产）_Steel hike calculate base-20080523_DFL FY13 Simulation Data version 1010-2(A7C) 2 2 2" xfId="4780" xr:uid="{2C2A6C92-9F16-4BAD-8699-F46AAD11C022}"/>
    <cellStyle name="_Sheet1_Investment 05MTP-制造类050621_新規投資分償却費05Plan(生产）_Steel hike calculate base-20080523_DFL FY13 Simulation Data version 1010-2(A7C) 2 2 2 2" xfId="25984" xr:uid="{C1EF7EBA-E962-4400-907D-77575DCA954D}"/>
    <cellStyle name="_Sheet1_Investment 05MTP-制造类050621_新規投資分償却費05Plan(生产）_Steel hike calculate base-20080523_DFL FY13 Simulation Data version 1010-2(A7C) 2 3" xfId="4781" xr:uid="{37F48135-235C-4E48-8EDF-6C5D237A10FA}"/>
    <cellStyle name="_Sheet1_Investment 05MTP-制造类050621_新規投資分償却費05Plan(生产）_Steel hike calculate base-20080523_DFL FY13 Simulation Data version 1010-2(A7C) 2 4" xfId="4782" xr:uid="{97FA7BC7-B60B-4659-B003-FE08F116042A}"/>
    <cellStyle name="_Sheet1_Investment 05MTP-制造类050621_新規投資分償却費05Plan(生产）_Steel hike calculate base-20080523_DFL FY13 Simulation Data version 1010-2(A7C) 2 4 2" xfId="25985" xr:uid="{446AB6D2-EE2C-48E5-9CAF-1E1DE8582BA7}"/>
    <cellStyle name="_Sheet1_Investment 05MTP-制造类050621_新規投資分償却費05Plan(生产）_Steel hike calculate base-20080523_DFL FY13 Simulation Data version 1010-2(A7C) 3" xfId="4783" xr:uid="{CCF16196-6892-4756-9EB0-37AA686DF1A4}"/>
    <cellStyle name="_Sheet1_Investment 05MTP-制造类050621_新規投資分償却費05Plan(生产）_Steel hike calculate base-20080523_DFL FY13 Simulation Data version 1010-2(A7C) 3 2" xfId="25986" xr:uid="{E167C440-98E0-4BC0-8E6B-798FCEFF225C}"/>
    <cellStyle name="_Sheet1_Investment 05MTP-制造类050621_新規投資分償却費05Plan(生产）_Steel hike calculate base-20080523_DFL FY13 Simulation Data version 1010-2(A7C)_FY13 Budget Simulation Excel PKG for Auto by company" xfId="4784" xr:uid="{3586C0CA-6EE4-4A05-AA68-6CB25F873E3B}"/>
    <cellStyle name="_Sheet1_Investment 05MTP-制造类050621_新規投資分償却費05Plan(生产）_Steel hike calculate base-20080523_FY13 Budget Simulation Excel PKG for Auto by company" xfId="4785" xr:uid="{65F52450-3E0A-4D17-9128-C5A4CC0AE174}"/>
    <cellStyle name="_Sheet1_L11K Impact vs. Budget" xfId="4786" xr:uid="{4854E450-FD1F-4603-A894-1FF462289A09}"/>
    <cellStyle name="_Sheet1_L11K Impact vs. Budget 2" xfId="4787" xr:uid="{43824876-2324-47A1-9E45-348F66A9ABB3}"/>
    <cellStyle name="_Sheet1_L11K Impact vs. Budget 2 2" xfId="4788" xr:uid="{DFC93F38-DE08-4C28-9F90-C5A7DFB6B6C9}"/>
    <cellStyle name="_Sheet1_L11K Impact vs. Budget 2 2 2" xfId="25987" xr:uid="{C7C90B30-4657-4E39-87BB-ECB031F8C65A}"/>
    <cellStyle name="_Sheet1_L11K Impact vs. Budget_L42F_MSRP TP mix k_080520" xfId="4789" xr:uid="{7C4181B7-CF49-4B85-AD02-9F8EAB302807}"/>
    <cellStyle name="_Sheet1_L11K Impact vs. Budget_L42F_MSRP TP mix k_080520 2" xfId="4790" xr:uid="{5EAD52B3-6CFE-4685-A1CC-370A5DC3132B}"/>
    <cellStyle name="_Sheet1_L11K Impact vs. Budget_L42F_MSRP TP mix k_080520 2 2" xfId="4791" xr:uid="{1EC74830-D906-4DD0-B9A3-E9890940E963}"/>
    <cellStyle name="_Sheet1_L11K Impact vs. Budget_L42F_MSRP TP mix k_080520 2 2 2" xfId="25988" xr:uid="{9CACEA12-207F-48A0-9D7B-D00D0A799409}"/>
    <cellStyle name="_Sheet1_L11K Impact vs. Budget_L42F_MSRP TP mix k_080528" xfId="4792" xr:uid="{AA1DB16A-2A86-47C7-A9C2-8BFB2472678E}"/>
    <cellStyle name="_Sheet1_L11K Impact vs. Budget_L42F_MSRP TP mix k_080528 2" xfId="4793" xr:uid="{6F97FD4A-FEDE-48AD-A4C1-C79C84DB0A1C}"/>
    <cellStyle name="_Sheet1_L11K Impact vs. Budget_L42F_MSRP TP mix k_080528 2 2" xfId="4794" xr:uid="{6FCBB86E-633E-4F84-B08D-2ADD3C622C21}"/>
    <cellStyle name="_Sheet1_L11K Impact vs. Budget_L42F_MSRP TP mix k_080528 2 2 2" xfId="25989" xr:uid="{FBF221EC-0E0F-4609-9D7E-9725388C50F8}"/>
    <cellStyle name="_Sheet1_L11K Impact vs. Budget_P32E TDC for Final MPR(080912 31K Base)---from zhangtao" xfId="4795" xr:uid="{DD915FD2-FD3F-44C3-9B7D-C554526CF97A}"/>
    <cellStyle name="_Sheet1_L11K Impact vs. Budget_P32E TDC for Final MPR(080912 31K Base)---from zhangtao 2" xfId="4796" xr:uid="{29932006-FB2A-477C-97B7-3B51E43D72DB}"/>
    <cellStyle name="_Sheet1_L11K Impact vs. Budget_P32E TDC for Final MPR(080912 31K Base)---from zhangtao 2 2" xfId="4797" xr:uid="{D1BE8E41-76E8-4CAE-98E9-E263E79A3D3D}"/>
    <cellStyle name="_Sheet1_L11K Impact vs. Budget_P32E TDC for Final MPR(080912 31K Base)---from zhangtao 2 2 2" xfId="25990" xr:uid="{A0846574-5D6A-460F-9284-CFAA49D447C5}"/>
    <cellStyle name="_Sheet1_L42F_MSRP TP mix k_080520" xfId="4798" xr:uid="{F1F4C751-1C0C-4FE5-B8D0-5CE340DD10B1}"/>
    <cellStyle name="_Sheet1_L42F_MSRP TP mix k_080520 2" xfId="4799" xr:uid="{BC6DFA94-8A54-42AD-99B4-9AC891F927E4}"/>
    <cellStyle name="_Sheet1_L42F_MSRP TP mix k_080520 2 2" xfId="4800" xr:uid="{A9F4EB8B-3C03-4B95-91DD-E7AED51B0F18}"/>
    <cellStyle name="_Sheet1_L42F_MSRP TP mix k_080520 2 2 2" xfId="25991" xr:uid="{4429BEE5-77B9-4A0F-B0EF-1EF73AAFBF93}"/>
    <cellStyle name="_Sheet1_L42F_MSRP TP mix k_080528" xfId="4801" xr:uid="{D9350B73-0E05-4C6A-BCDC-4E5F6F088A77}"/>
    <cellStyle name="_Sheet1_L42F_MSRP TP mix k_080528 2" xfId="4802" xr:uid="{92C3F9C0-0767-46F7-B9E7-31FCD7A009FE}"/>
    <cellStyle name="_Sheet1_L42F_MSRP TP mix k_080528 2 2" xfId="4803" xr:uid="{26B420B1-9F8A-4B62-8BC4-2FCFCA97678D}"/>
    <cellStyle name="_Sheet1_L42F_MSRP TP mix k_080528 2 2 2" xfId="25992" xr:uid="{0E0EDBC7-D52D-46FB-BF1E-C3A5B55AEDE9}"/>
    <cellStyle name="_Sheet1_P32E TDC for Final MPR(080912 31K Base)---from zhangtao" xfId="4804" xr:uid="{48437FA9-9D77-4EF3-A8F2-99241CF588ED}"/>
    <cellStyle name="_Sheet1_P32E TDC for Final MPR(080912 31K Base)---from zhangtao 2" xfId="4805" xr:uid="{1D27A843-A772-4998-9CA3-68A1121E67D0}"/>
    <cellStyle name="_Sheet1_P32E TDC for Final MPR(080912 31K Base)---from zhangtao 2 2" xfId="4806" xr:uid="{313B1AD6-C327-4A81-A6F2-130A4574DF67}"/>
    <cellStyle name="_Sheet1_P32E TDC for Final MPR(080912 31K Base)---from zhangtao 2 2 2" xfId="25993" xr:uid="{D37E4FEE-F2C7-44AD-96C8-713B4FBFB849}"/>
    <cellStyle name="_Sheet1_Sheet3" xfId="4807" xr:uid="{15AC3D9E-46A6-49E4-9726-517E1AF3A753}"/>
    <cellStyle name="_Sheet1_Sheet3 2" xfId="4808" xr:uid="{30E76C05-9E0E-4CE6-AFAF-E7F3A5457E35}"/>
    <cellStyle name="_Sheet1_Sheet3 2 2" xfId="4809" xr:uid="{31D42335-4B24-4D1D-BD1E-9E9EED76316B}"/>
    <cellStyle name="_Sheet1_Sheet3 2 2 2" xfId="4810" xr:uid="{A1F61D97-5586-4BC3-89D4-8C28BC97919A}"/>
    <cellStyle name="_Sheet1_Sheet3 2 2 2 2" xfId="25994" xr:uid="{4823E3AD-06EE-4132-8470-7648AF68507B}"/>
    <cellStyle name="_Sheet1_Sheet3 3" xfId="4811" xr:uid="{4117C050-833F-4AC2-963B-B0E207646787}"/>
    <cellStyle name="_Sheet1_Steel hike calculate base-20080523" xfId="4812" xr:uid="{37E37556-1512-4BC2-AC8B-5C28AEED5C7C}"/>
    <cellStyle name="_Sheet1_Steel hike calculate base-20080523 2" xfId="4813" xr:uid="{91AF6D68-0DF1-477D-BA48-5B3F79A9FCC1}"/>
    <cellStyle name="_Sheet1_Steel hike calculate base-20080523 2 2" xfId="4814" xr:uid="{B725A9B7-3E8B-4533-ADC9-86817109F81A}"/>
    <cellStyle name="_Sheet1_Steel hike calculate base-20080523 2 2 2" xfId="4815" xr:uid="{2C0D3F42-B730-40CF-A824-4651764A70CC}"/>
    <cellStyle name="_Sheet1_Steel hike calculate base-20080523 2 2 2 2" xfId="4816" xr:uid="{ABD88834-DFCA-4F77-BA5E-4FF8D401E523}"/>
    <cellStyle name="_Sheet1_Steel hike calculate base-20080523 2 2 2 2 2" xfId="25995" xr:uid="{79D6AE18-569A-4FC6-BC1A-05099C391A76}"/>
    <cellStyle name="_Sheet1_Steel hike calculate base-20080523 2 2 3" xfId="4817" xr:uid="{3D1CB34E-8675-45A3-97B2-1ADC7A8FA016}"/>
    <cellStyle name="_Sheet1_Steel hike calculate base-20080523 2 2 4" xfId="4818" xr:uid="{5F91D301-CF93-44C1-9F6A-513142D10B12}"/>
    <cellStyle name="_Sheet1_Steel hike calculate base-20080523 2 2 4 2" xfId="25996" xr:uid="{A69E9732-1795-4CCB-9031-5DE2AB387EA2}"/>
    <cellStyle name="_Sheet1_Steel hike calculate base-20080523 2 3" xfId="4819" xr:uid="{0FE5F2FE-8751-441E-8479-1DA9D2F49390}"/>
    <cellStyle name="_Sheet1_Steel hike calculate base-20080523 2 3 2" xfId="25997" xr:uid="{C3922213-6638-4D02-A5CD-BC2B5ACE7E8C}"/>
    <cellStyle name="_Sheet1_Steel hike calculate base-20080523 2_FY13 Budget Simulation Excel PKG for Auto by company" xfId="4820" xr:uid="{2031F8F6-0C79-448B-9242-5AB88C92A945}"/>
    <cellStyle name="_Sheet1_Steel hike calculate base-20080523 3" xfId="4821" xr:uid="{A9AA6AD8-040A-48C3-AD13-E500822491A3}"/>
    <cellStyle name="_Sheet1_Steel hike calculate base-20080523 4" xfId="4822" xr:uid="{17A969CB-D1BC-4972-A93D-A2F3964A2D52}"/>
    <cellStyle name="_Sheet1_Steel hike calculate base-20080523 4 2" xfId="25998" xr:uid="{4B928F06-359C-42DB-9D65-1C6FD0F312FA}"/>
    <cellStyle name="_Sheet1_Steel hike calculate base-20080523_DFL FY13 Simulation Data version 1010-2(A7C)" xfId="4823" xr:uid="{06179851-5ECD-4174-80BA-62BB58D150A9}"/>
    <cellStyle name="_Sheet1_Steel hike calculate base-20080523_DFL FY13 Simulation Data version 1010-2(A7C) 2" xfId="4824" xr:uid="{214E6261-E130-47AF-83D3-4D02A7B8701E}"/>
    <cellStyle name="_Sheet1_Steel hike calculate base-20080523_DFL FY13 Simulation Data version 1010-2(A7C) 2 2" xfId="4825" xr:uid="{5F457EB6-1339-445B-99C4-4A81D5ADE6DD}"/>
    <cellStyle name="_Sheet1_Steel hike calculate base-20080523_DFL FY13 Simulation Data version 1010-2(A7C) 2 2 2" xfId="4826" xr:uid="{1B00D663-C70F-4ED3-96BE-9E3F65400647}"/>
    <cellStyle name="_Sheet1_Steel hike calculate base-20080523_DFL FY13 Simulation Data version 1010-2(A7C) 2 2 2 2" xfId="25999" xr:uid="{17852C90-5F32-4DF4-9856-7A5DF0D8BAC9}"/>
    <cellStyle name="_Sheet1_Steel hike calculate base-20080523_DFL FY13 Simulation Data version 1010-2(A7C) 2 3" xfId="4827" xr:uid="{3262939D-239E-4A12-9C03-3A769CAE7E91}"/>
    <cellStyle name="_Sheet1_Steel hike calculate base-20080523_DFL FY13 Simulation Data version 1010-2(A7C) 2 4" xfId="4828" xr:uid="{D1FEF2FA-F953-41FB-932A-58C63C7D0FFA}"/>
    <cellStyle name="_Sheet1_Steel hike calculate base-20080523_DFL FY13 Simulation Data version 1010-2(A7C) 2 4 2" xfId="26000" xr:uid="{9F14C2D2-2548-461F-A933-108859BE3073}"/>
    <cellStyle name="_Sheet1_Steel hike calculate base-20080523_DFL FY13 Simulation Data version 1010-2(A7C) 3" xfId="4829" xr:uid="{831F5837-0D82-4ED9-A9E5-BB2482A54CA0}"/>
    <cellStyle name="_Sheet1_Steel hike calculate base-20080523_DFL FY13 Simulation Data version 1010-2(A7C) 3 2" xfId="26001" xr:uid="{90BA0E66-B41E-4E2E-BE8A-8EA52A6BFD67}"/>
    <cellStyle name="_Sheet1_Steel hike calculate base-20080523_DFL FY13 Simulation Data version 1010-2(A7C)_FY13 Budget Simulation Excel PKG for Auto by company" xfId="4830" xr:uid="{366AAD48-4CCB-4351-AFC7-E78A9141087E}"/>
    <cellStyle name="_Sheet1_Steel hike calculate base-20080523_FY13 Budget Simulation Excel PKG for Auto by company" xfId="4831" xr:uid="{B97F92E5-D3F7-4A85-8FF0-33AC2752761A}"/>
    <cellStyle name="_Sheet1_实际完成" xfId="4876" xr:uid="{4DACB9A6-3B77-4853-9B1C-D15086A07599}"/>
    <cellStyle name="_Sheet1_实际完成_【0207】BP_reply_Outside profit_Price List_R" xfId="4877" xr:uid="{B627C731-291A-471E-B454-051285518377}"/>
    <cellStyle name="_Sheet1_实际完成_FCF_FY12 BUD Simulation Excel PKG for Auto_v2" xfId="4878" xr:uid="{85614A2B-778F-4644-9056-697630ED1E41}"/>
    <cellStyle name="_Sheet1_实际完成_FY11 Reply#1_FY11 3X9" xfId="4879" xr:uid="{32D97DA7-6BA6-49C5-9225-0F9EC8923CEB}"/>
    <cellStyle name="_Sheet1_实际完成_FY12 BP_Simulation information PKG_R" xfId="4880" xr:uid="{D33623E8-3E1E-477A-86BF-414959A494AC}"/>
    <cellStyle name="_Sheet1_新規投資分償却費05Plan(生产）" xfId="4837" xr:uid="{EC9ACAD6-EA02-4B5E-8727-D203F43F6865}"/>
    <cellStyle name="_Sheet1_新規投資分償却費05Plan(生产） 2" xfId="4838" xr:uid="{0FF7E8EB-BA1F-4EA3-95CC-67D36A3774D2}"/>
    <cellStyle name="_Sheet1_新規投資分償却費05Plan(生产） 2 2" xfId="4839" xr:uid="{DD18073B-73CA-48F9-B37B-A6D05A93703C}"/>
    <cellStyle name="_Sheet1_新規投資分償却費05Plan(生产） 2 2 2" xfId="4840" xr:uid="{AFD83DF3-C141-41EB-8A96-1A2BE146A9E5}"/>
    <cellStyle name="_Sheet1_新規投資分償却費05Plan(生产） 2 2 2 2" xfId="4841" xr:uid="{5540296C-F55A-4DE4-8C61-A8C48D189A93}"/>
    <cellStyle name="_Sheet1_新規投資分償却費05Plan(生产） 2 2 2 2 2" xfId="26002" xr:uid="{F485232D-128F-4C23-8FD8-A09DD5030C46}"/>
    <cellStyle name="_Sheet1_新規投資分償却費05Plan(生产） 2 2 3" xfId="4842" xr:uid="{802CE7E6-FA8D-4602-A0FA-B7B4911C423A}"/>
    <cellStyle name="_Sheet1_新規投資分償却費05Plan(生产） 2 2 4" xfId="4843" xr:uid="{6FD71B89-BD71-4DAF-A6F5-A3D9B70BA7B6}"/>
    <cellStyle name="_Sheet1_新規投資分償却費05Plan(生产） 2 2 4 2" xfId="26003" xr:uid="{0E233BF1-998F-4E2F-9564-A9B59C94F86A}"/>
    <cellStyle name="_Sheet1_新規投資分償却費05Plan(生产） 2 3" xfId="4844" xr:uid="{D4CFB94A-359E-4724-9240-02D07FA8A152}"/>
    <cellStyle name="_Sheet1_新規投資分償却費05Plan(生产） 2 3 2" xfId="26004" xr:uid="{24BF2594-33D4-4937-A363-AA62B01B05FD}"/>
    <cellStyle name="_Sheet1_新規投資分償却費05Plan(生产） 2_FY13 Budget Simulation Excel PKG for Auto by company" xfId="4845" xr:uid="{EB1EB702-EEDB-4EBE-8D1A-CC41649EDE75}"/>
    <cellStyle name="_Sheet1_新規投資分償却費05Plan(生产） 3" xfId="4846" xr:uid="{CFC4A9D1-1124-4C08-B45A-66B5DE940ADF}"/>
    <cellStyle name="_Sheet1_新規投資分償却費05Plan(生产）_DFL FY13 Simulation Data version 1010-2(A7C)" xfId="4847" xr:uid="{39E99E47-D105-4DDC-BACE-FE0BE23E216B}"/>
    <cellStyle name="_Sheet1_新規投資分償却費05Plan(生产）_DFL FY13 Simulation Data version 1010-2(A7C) 2" xfId="4848" xr:uid="{1AF06C6F-E537-442F-9D72-04B0588718FA}"/>
    <cellStyle name="_Sheet1_新規投資分償却費05Plan(生产）_DFL FY13 Simulation Data version 1010-2(A7C) 2 2" xfId="4849" xr:uid="{484ED4A3-B312-402B-B248-63A5BCE2B1B3}"/>
    <cellStyle name="_Sheet1_新規投資分償却費05Plan(生产）_DFL FY13 Simulation Data version 1010-2(A7C) 2 2 2" xfId="4850" xr:uid="{6F3E6D3F-E3AF-4643-837C-EA07284DF2B9}"/>
    <cellStyle name="_Sheet1_新規投資分償却費05Plan(生产）_DFL FY13 Simulation Data version 1010-2(A7C) 2 2 2 2" xfId="26005" xr:uid="{7314B87A-69E0-48EF-80C0-024B5073C75C}"/>
    <cellStyle name="_Sheet1_新規投資分償却費05Plan(生产）_DFL FY13 Simulation Data version 1010-2(A7C) 2 3" xfId="4851" xr:uid="{F43305D7-3353-4532-AFF5-8526E0C9D4C0}"/>
    <cellStyle name="_Sheet1_新規投資分償却費05Plan(生产）_DFL FY13 Simulation Data version 1010-2(A7C) 2 4" xfId="4852" xr:uid="{19D7B5E5-733A-436D-B329-867C5F644F0A}"/>
    <cellStyle name="_Sheet1_新規投資分償却費05Plan(生产）_DFL FY13 Simulation Data version 1010-2(A7C) 2 4 2" xfId="26006" xr:uid="{8BD6AF3A-F7FD-4187-98CC-EE288C7BDB14}"/>
    <cellStyle name="_Sheet1_新規投資分償却費05Plan(生产）_DFL FY13 Simulation Data version 1010-2(A7C) 3" xfId="4853" xr:uid="{32264B41-0F8E-43F5-8D3E-796371754322}"/>
    <cellStyle name="_Sheet1_新規投資分償却費05Plan(生产）_DFL FY13 Simulation Data version 1010-2(A7C) 3 2" xfId="26007" xr:uid="{DE0FF6C1-0879-4D86-8B1B-17B4473F9B36}"/>
    <cellStyle name="_Sheet1_新規投資分償却費05Plan(生产）_DFL FY13 Simulation Data version 1010-2(A7C)_FY13 Budget Simulation Excel PKG for Auto by company" xfId="4854" xr:uid="{632FA588-0827-4A90-BC79-87AEDF255B86}"/>
    <cellStyle name="_Sheet1_新規投資分償却費05Plan(生产）_FY13 Budget Simulation Excel PKG for Auto by company" xfId="4855" xr:uid="{25AACFBB-63C4-4205-B593-91689E497D23}"/>
    <cellStyle name="_Sheet1_新規投資分償却費05Plan(生产）_Steel hike calculate base-20080523" xfId="4856" xr:uid="{E77465D1-2C1C-46C4-BD6A-5AFDAD22DA1F}"/>
    <cellStyle name="_Sheet1_新規投資分償却費05Plan(生产）_Steel hike calculate base-20080523 2" xfId="4857" xr:uid="{F43D5138-5511-4265-999B-5F2E54F46580}"/>
    <cellStyle name="_Sheet1_新規投資分償却費05Plan(生产）_Steel hike calculate base-20080523 2 2" xfId="4858" xr:uid="{8458F758-44ED-43B0-9C38-A39438CAD6BA}"/>
    <cellStyle name="_Sheet1_新規投資分償却費05Plan(生产）_Steel hike calculate base-20080523 2 2 2" xfId="4859" xr:uid="{477EFF31-F564-46F7-A48E-FCD055D532F8}"/>
    <cellStyle name="_Sheet1_新規投資分償却費05Plan(生产）_Steel hike calculate base-20080523 2 2 2 2" xfId="4860" xr:uid="{7610D3BE-E896-46FE-9946-998EFD82E8C4}"/>
    <cellStyle name="_Sheet1_新規投資分償却費05Plan(生产）_Steel hike calculate base-20080523 2 2 2 2 2" xfId="26008" xr:uid="{ED21658E-41CC-48DC-809A-960B90593D9A}"/>
    <cellStyle name="_Sheet1_新規投資分償却費05Plan(生产）_Steel hike calculate base-20080523 2 2 3" xfId="4861" xr:uid="{138F2A93-3461-4D5A-AB10-108F6189D4D9}"/>
    <cellStyle name="_Sheet1_新規投資分償却費05Plan(生产）_Steel hike calculate base-20080523 2 2 4" xfId="4862" xr:uid="{7C1E963E-7C08-4E81-B804-3B35701C628C}"/>
    <cellStyle name="_Sheet1_新規投資分償却費05Plan(生产）_Steel hike calculate base-20080523 2 2 4 2" xfId="26009" xr:uid="{8D5273DA-490C-462F-B27A-D35EA38A5066}"/>
    <cellStyle name="_Sheet1_新規投資分償却費05Plan(生产）_Steel hike calculate base-20080523 2 3" xfId="4863" xr:uid="{6BC03EA3-8807-431A-8D4A-2032B9D76DDD}"/>
    <cellStyle name="_Sheet1_新規投資分償却費05Plan(生产）_Steel hike calculate base-20080523 2 3 2" xfId="26010" xr:uid="{3D8416CF-66D9-480F-87D7-DF92B4548ED0}"/>
    <cellStyle name="_Sheet1_新規投資分償却費05Plan(生产）_Steel hike calculate base-20080523 2_FY13 Budget Simulation Excel PKG for Auto by company" xfId="4864" xr:uid="{E56BA9A1-A9E6-4B98-AAF5-099466B84AFD}"/>
    <cellStyle name="_Sheet1_新規投資分償却費05Plan(生产）_Steel hike calculate base-20080523 3" xfId="4865" xr:uid="{5225CB97-E12F-4E86-969E-C4ADF582C091}"/>
    <cellStyle name="_Sheet1_新規投資分償却費05Plan(生产）_Steel hike calculate base-20080523 4" xfId="4866" xr:uid="{93BFEB53-D1FE-4874-AE9E-B1187805B4DD}"/>
    <cellStyle name="_Sheet1_新規投資分償却費05Plan(生产）_Steel hike calculate base-20080523 4 2" xfId="26011" xr:uid="{C34FA159-2894-4288-9538-08AAE9EFFCCF}"/>
    <cellStyle name="_Sheet1_新規投資分償却費05Plan(生产）_Steel hike calculate base-20080523_DFL FY13 Simulation Data version 1010-2(A7C)" xfId="4867" xr:uid="{FD059730-29E6-4C9D-B664-C4CA31FDEDB1}"/>
    <cellStyle name="_Sheet1_新規投資分償却費05Plan(生产）_Steel hike calculate base-20080523_DFL FY13 Simulation Data version 1010-2(A7C) 2" xfId="4868" xr:uid="{3F9315EF-1995-4331-81D0-99710150F9DD}"/>
    <cellStyle name="_Sheet1_新規投資分償却費05Plan(生产）_Steel hike calculate base-20080523_DFL FY13 Simulation Data version 1010-2(A7C) 2 2" xfId="4869" xr:uid="{14C2D88E-CE78-42FB-BF03-2C38B3B9693F}"/>
    <cellStyle name="_Sheet1_新規投資分償却費05Plan(生产）_Steel hike calculate base-20080523_DFL FY13 Simulation Data version 1010-2(A7C) 2 2 2" xfId="4870" xr:uid="{EF96BB56-E5F4-4C79-BCB9-49E8EBAC5703}"/>
    <cellStyle name="_Sheet1_新規投資分償却費05Plan(生产）_Steel hike calculate base-20080523_DFL FY13 Simulation Data version 1010-2(A7C) 2 2 2 2" xfId="26012" xr:uid="{AF6731F4-4C53-4C67-9020-42EB6F615F6F}"/>
    <cellStyle name="_Sheet1_新規投資分償却費05Plan(生产）_Steel hike calculate base-20080523_DFL FY13 Simulation Data version 1010-2(A7C) 2 3" xfId="4871" xr:uid="{14337906-4DFB-4577-BD94-FCCCC91668D3}"/>
    <cellStyle name="_Sheet1_新規投資分償却費05Plan(生产）_Steel hike calculate base-20080523_DFL FY13 Simulation Data version 1010-2(A7C) 2 4" xfId="4872" xr:uid="{53C5FF3F-132A-4EBE-97C7-B64DCA36ACA0}"/>
    <cellStyle name="_Sheet1_新規投資分償却費05Plan(生产）_Steel hike calculate base-20080523_DFL FY13 Simulation Data version 1010-2(A7C) 2 4 2" xfId="26013" xr:uid="{EC858234-9BFA-460E-8E54-E8EBBDDA2FB0}"/>
    <cellStyle name="_Sheet1_新規投資分償却費05Plan(生产）_Steel hike calculate base-20080523_DFL FY13 Simulation Data version 1010-2(A7C) 3" xfId="4873" xr:uid="{3BC5A929-72CA-4882-9A95-3BC057DB3D6C}"/>
    <cellStyle name="_Sheet1_新規投資分償却費05Plan(生产）_Steel hike calculate base-20080523_DFL FY13 Simulation Data version 1010-2(A7C) 3 2" xfId="26014" xr:uid="{FFEA5400-CA11-4533-9423-0FF8338E303B}"/>
    <cellStyle name="_Sheet1_新規投資分償却費05Plan(生产）_Steel hike calculate base-20080523_DFL FY13 Simulation Data version 1010-2(A7C)_FY13 Budget Simulation Excel PKG for Auto by company" xfId="4874" xr:uid="{E6AEF9C9-32D2-4DD2-8AE9-19AEAC9D6C05}"/>
    <cellStyle name="_Sheet1_新規投資分償却費05Plan(生产）_Steel hike calculate base-20080523_FY13 Budget Simulation Excel PKG for Auto by company" xfId="4875" xr:uid="{9036DB5F-991B-4BE1-8D5E-7AEEA6513E81}"/>
    <cellStyle name="_Sheet1_月度分解" xfId="4832" xr:uid="{47FE6E18-0065-495A-B299-39B0C58652DE}"/>
    <cellStyle name="_Sheet1_月度分解_【0207】BP_reply_Outside profit_Price List_R" xfId="4833" xr:uid="{A72F306A-8B45-4485-840F-12048DC18FDA}"/>
    <cellStyle name="_Sheet1_月度分解_FCF_FY12 BUD Simulation Excel PKG for Auto_v2" xfId="4834" xr:uid="{D80CE3DB-6C49-45D7-9E23-366BE8672CDC}"/>
    <cellStyle name="_Sheet1_月度分解_FY11 Reply#1_FY11 3X9" xfId="4835" xr:uid="{5A9797AD-A76C-4633-9030-4CE88D348119}"/>
    <cellStyle name="_Sheet1_月度分解_FY12 BP_Simulation information PKG_R" xfId="4836" xr:uid="{CB1BF33A-6C89-45B8-95B1-F6B1D4B59E67}"/>
    <cellStyle name="_Sheet10" xfId="4881" xr:uid="{E67883F8-851D-4C7D-B88F-5F2CF17D21DE}"/>
    <cellStyle name="_Sheet15" xfId="4882" xr:uid="{CBFFA252-EF54-468D-8594-838384C40450}"/>
    <cellStyle name="_Sheet18" xfId="4883" xr:uid="{6EB774ED-A8AE-4947-86DC-FE481A93204A}"/>
    <cellStyle name="_Sheet2" xfId="4884" xr:uid="{A8995459-D759-4B4B-A85F-7C22A3CE6A0D}"/>
    <cellStyle name="_Sheet2_【0207】BP_reply_Outside profit_Price List_R" xfId="4885" xr:uid="{14874E88-ED9C-43A3-AC2F-EA44B9F8D8A2}"/>
    <cellStyle name="_Sheet2_05BP" xfId="4886" xr:uid="{3FF5389E-548A-49DB-972C-3BB770C42706}"/>
    <cellStyle name="_Sheet2_1" xfId="4887" xr:uid="{ABE4D812-FD5F-4FA4-BC91-5F5F3C1CCAA6}"/>
    <cellStyle name="_Sheet2_1 2" xfId="4888" xr:uid="{63449663-D290-4607-A030-07E5E893B8BC}"/>
    <cellStyle name="_Sheet2_1 2 2" xfId="4889" xr:uid="{935CCCFC-F042-42E7-99E4-68F36709390A}"/>
    <cellStyle name="_Sheet2_1 2 2 2" xfId="26015" xr:uid="{27BE254B-693C-4FE3-9EA2-CC3A48677F33}"/>
    <cellStyle name="_Sheet2_FCF_FY12 BUD Simulation Excel PKG for Auto_v2" xfId="4890" xr:uid="{A9E8A016-734D-4D5B-BBE1-22F5C80C4CE4}"/>
    <cellStyle name="_Sheet2_FY11 Reply#1_FY11 3X9" xfId="4891" xr:uid="{DA8FD91B-D900-4126-A802-D81009AF0F0D}"/>
    <cellStyle name="_Sheet2_FY12 BP_Simulation information PKG_R" xfId="4892" xr:uid="{19E96ED5-B524-4F7F-99B1-0FA151FBAE15}"/>
    <cellStyle name="_Sheet2_Sheet1" xfId="4893" xr:uid="{519B9F7B-E9CD-4AF7-BA82-10DCA6DE91CD}"/>
    <cellStyle name="_Sheet2_Sheet8" xfId="4894" xr:uid="{7C46310C-171A-4A2A-AF88-D71EDDDAC692}"/>
    <cellStyle name="_Sheet2_比较" xfId="4897" xr:uid="{24A22562-2115-4C27-9D60-0907594539C0}"/>
    <cellStyle name="_Sheet2_相关分析" xfId="4896" xr:uid="{E369DF5B-ECBC-46A2-BCBB-8C20EA6DDC3A}"/>
    <cellStyle name="_Sheet2_管理部05BP计划(人工、成本、管理费）" xfId="4895" xr:uid="{BF022B9E-E2A3-42ED-80B6-D0FAD5287E01}"/>
    <cellStyle name="_Sheet3" xfId="4898" xr:uid="{56A0C1BF-A71B-4309-93BF-FED4F0498D6F}"/>
    <cellStyle name="_Sheet8" xfId="4899" xr:uid="{D9988213-146E-433F-B441-8255F787B8EE}"/>
    <cellStyle name="_Simon" xfId="4900" xr:uid="{792EEA68-EBE3-4E52-ACC1-51C0185EB568}"/>
    <cellStyle name="_simulation testing July1" xfId="4901" xr:uid="{094E670E-33AD-4157-B89A-14272620991F}"/>
    <cellStyle name="_SM3 profit" xfId="4902" xr:uid="{40488B8C-E06E-4AE1-A0F2-A93FB80558B0}"/>
    <cellStyle name="_SNP Management Sheet 0221" xfId="4903" xr:uid="{BDBEADCA-837E-45EF-9E12-68F035A934F0}"/>
    <cellStyle name="_SNP Management Sheet 0221 2" xfId="4904" xr:uid="{B81D0587-7951-4895-BC97-4D9ACBB58F1B}"/>
    <cellStyle name="_SNP Management Sheet 0221 2 2" xfId="26016" xr:uid="{23ACC7D3-3D34-4AB9-82F8-3390DA114390}"/>
    <cellStyle name="_SR4 (NNA vs JMEX)" xfId="4905" xr:uid="{5826599A-9F32-4852-8106-0C6E5DA06EBE}"/>
    <cellStyle name="_STANLEY-0610-0709产能调查回复" xfId="4906" xr:uid="{3AE154C5-66F2-4757-BDD9-6784F27C854E}"/>
    <cellStyle name="_STANLEY-0610-0709产能调查回复 2" xfId="4907" xr:uid="{FDB1312D-2F58-40BE-AA25-A5BDADCA2AC5}"/>
    <cellStyle name="_STANLEY-0610-0709产能调查回复 2 2" xfId="26017" xr:uid="{9449D208-58C9-4C10-AD87-4B7E30553E85}"/>
    <cellStyle name="_Steel hike calculate base-20080523" xfId="4908" xr:uid="{DCB4C020-76E8-4927-B878-D3E41322529A}"/>
    <cellStyle name="_Subconsoli (NNA) FY09 Budget Reply#1 PKG_NNA_CONS_Dist" xfId="4909" xr:uid="{643BE120-2D11-4B42-A7E5-0734862C70C9}"/>
    <cellStyle name="_SubHeading" xfId="4910" xr:uid="{E00BBE02-1B27-41D6-A038-018BC0728FAA}"/>
    <cellStyle name="_Summary" xfId="4911" xr:uid="{212BA267-156B-48B2-A838-4F3175F9D513}"/>
    <cellStyle name="_Sylphy 07 Activity Plan061218" xfId="4912" xr:uid="{24CACB43-5E5A-4DD9-B980-436B02F1E201}"/>
    <cellStyle name="_Table" xfId="4913" xr:uid="{B1D1C61E-65C3-4A6D-8E11-8CD931F5F228}"/>
    <cellStyle name="_Table 2" xfId="4914" xr:uid="{2AA7526D-DDED-406B-A6EA-8E9B4097AF2A}"/>
    <cellStyle name="_Table 2 2" xfId="4915" xr:uid="{C0EE9D88-F540-4138-8BE6-BA816A47D33A}"/>
    <cellStyle name="_Table 2 2 2" xfId="4916" xr:uid="{EEA169B5-CAB6-46F3-8BDF-33381AA9921E}"/>
    <cellStyle name="_Table 2 2 2 2" xfId="28076" xr:uid="{D447A62D-764D-4DD4-BB55-C5355C7C4D44}"/>
    <cellStyle name="_Table 2 2 2 3" xfId="35161" xr:uid="{202683C4-3D3F-43DB-8FE9-0C12B9BC293E}"/>
    <cellStyle name="_Table 2 2 2 4" xfId="28067" xr:uid="{95BC3911-E837-4E23-911B-341884D3E4A2}"/>
    <cellStyle name="_Table 2 2 3" xfId="28075" xr:uid="{2D94F7F2-4E21-4B7E-B80E-7E65FCC188F4}"/>
    <cellStyle name="_Table 2 2 4" xfId="35162" xr:uid="{8C6D5EB2-6587-4CFA-A793-B1B452C94D8D}"/>
    <cellStyle name="_Table 2 2 5" xfId="28066" xr:uid="{B68B8A81-8865-4FCC-A796-4A76F0F8E5D0}"/>
    <cellStyle name="_Table 2 3" xfId="4917" xr:uid="{9D053B33-9D07-49B8-986B-87F8F2382F65}"/>
    <cellStyle name="_Table 2 3 2" xfId="28077" xr:uid="{F06315E3-0FBD-4792-83C7-99AB232DA74C}"/>
    <cellStyle name="_Table 2 3 3" xfId="35160" xr:uid="{F7E9FE01-B939-4A28-BC66-7D83995A7FDC}"/>
    <cellStyle name="_Table 2 3 4" xfId="28068" xr:uid="{E93D0F7F-2CDD-4CD7-B721-0EA7987C32A2}"/>
    <cellStyle name="_Table 2 4" xfId="28074" xr:uid="{A2C8654B-3074-4281-AB4C-60B4BA5A71B1}"/>
    <cellStyle name="_Table 2 5" xfId="35163" xr:uid="{39ED2BB9-D185-478D-8B8A-EDE3773A3690}"/>
    <cellStyle name="_Table 2 6" xfId="37858" xr:uid="{F26B1FC9-9684-4DC3-A5CC-E3E8C4148C6F}"/>
    <cellStyle name="_Table 3" xfId="4918" xr:uid="{8DBD03D6-66D9-44B7-8335-854046EA71F3}"/>
    <cellStyle name="_Table 3 2" xfId="4919" xr:uid="{039CABCB-0AE2-43F5-8AD3-D088AF6ACE28}"/>
    <cellStyle name="_Table 3 2 2" xfId="28079" xr:uid="{606E7127-09C7-441E-BDD4-CA762F6D4B1B}"/>
    <cellStyle name="_Table 3 2 3" xfId="35158" xr:uid="{C53DFE5A-4EBC-46F5-8B1D-DFE34683BE42}"/>
    <cellStyle name="_Table 3 2 4" xfId="28070" xr:uid="{DF343CED-E466-4F6E-B08F-D1FBC25752BA}"/>
    <cellStyle name="_Table 3 3" xfId="28078" xr:uid="{7AEA40F0-4F92-4BF2-A1A4-05B636F8C72B}"/>
    <cellStyle name="_Table 3 4" xfId="35159" xr:uid="{6E766F20-A405-4BB9-976F-9A09A44F25F3}"/>
    <cellStyle name="_Table 3 5" xfId="28069" xr:uid="{F999F87C-2005-4BA5-84A4-7E3862FE8C57}"/>
    <cellStyle name="_Table 4" xfId="4920" xr:uid="{D813187E-C03C-4973-9DCC-155DA6D58F17}"/>
    <cellStyle name="_Table 4 2" xfId="4921" xr:uid="{CA8E7C8D-0C5F-4998-8ABF-AA9521B4B3F2}"/>
    <cellStyle name="_Table 4 2 2" xfId="28081" xr:uid="{5D9EBDA8-F6CC-415E-8106-B790ACAB56A1}"/>
    <cellStyle name="_Table 4 2 3" xfId="35156" xr:uid="{91AB28DE-007A-4B05-A2EC-2EB307049760}"/>
    <cellStyle name="_Table 4 2 4" xfId="28072" xr:uid="{443EC0EF-32EA-406B-BE61-42EB52B475D3}"/>
    <cellStyle name="_Table 4 3" xfId="28080" xr:uid="{60A3E08B-DF85-4ECA-B3D9-D781F78B0F1A}"/>
    <cellStyle name="_Table 4 4" xfId="35157" xr:uid="{04CA7B33-A5FC-4B10-B374-2E5A7AE34B4D}"/>
    <cellStyle name="_Table 4 5" xfId="28071" xr:uid="{EC3F48FA-73E3-43C9-883C-A479FB1B5D49}"/>
    <cellStyle name="_Table 5" xfId="4922" xr:uid="{14FAE214-DB21-4550-BC17-4CF05770575F}"/>
    <cellStyle name="_Table 5 2" xfId="28082" xr:uid="{59EED49F-F6C1-46AC-B401-ED8E3AC2757B}"/>
    <cellStyle name="_Table 5 3" xfId="35155" xr:uid="{2A07F76D-B309-46C7-ADF3-E3C701C19E0C}"/>
    <cellStyle name="_Table 5 4" xfId="37859" xr:uid="{EB296C45-6590-4109-85D5-99C5F8639EB8}"/>
    <cellStyle name="_Table 6" xfId="28073" xr:uid="{BF418218-B842-4ABE-A529-4DB0E8779F84}"/>
    <cellStyle name="_Table 7" xfId="35164" xr:uid="{713E72BC-EDEA-455A-A34B-F6300F2DD031}"/>
    <cellStyle name="_Table 8" xfId="28065" xr:uid="{78D8381A-BA4A-43E5-824C-922DDC19D752}"/>
    <cellStyle name="_Table_Fcst#2　FY13台数諸元表13 9 19" xfId="4923" xr:uid="{785CB6AA-D03F-4F39-B59D-36CA28F88762}"/>
    <cellStyle name="_Table_FY13台数諸元表（9月実績）201310" xfId="4924" xr:uid="{A43D0321-DD24-4564-B021-2A7B799864ED}"/>
    <cellStyle name="_TableHead" xfId="4925" xr:uid="{99353830-14DE-453A-9A7B-FAF0E24C3CD1}"/>
    <cellStyle name="_TableRowBorder" xfId="4926" xr:uid="{AEE1FD59-F22E-44C4-B73B-4A9DA742B565}"/>
    <cellStyle name="_TableRowBorder 2" xfId="4927" xr:uid="{3F45967A-0CDA-4CC9-B612-622C5A9765C0}"/>
    <cellStyle name="_TableRowBorder 3" xfId="4928" xr:uid="{01BA74D9-7487-47B5-920D-464E421A0DC7}"/>
    <cellStyle name="_TableRowBorder 4" xfId="4929" xr:uid="{1DEC20BD-AC00-46DB-A330-1239020B6349}"/>
    <cellStyle name="_TableRowHead" xfId="4930" xr:uid="{A7D6CD6B-E4A8-4AA3-80E6-DFB9EDD3C251}"/>
    <cellStyle name="_TableSuperHead" xfId="4931" xr:uid="{913E1485-9235-4C45-B79A-E9C3349A3345}"/>
    <cellStyle name="_Taget Cost案" xfId="4932" xr:uid="{AB3FF016-EB1F-4904-AFDE-3E86965FCA39}"/>
    <cellStyle name="_TDC SUMMARY SHEET for MTP (version 2.1 100526)" xfId="4933" xr:uid="{1B318CA3-B820-4139-BE94-A40BC05D8C28}"/>
    <cellStyle name="_TDC SUMMARY SHEET for MTP (version 3.0 100526)" xfId="4934" xr:uid="{34D07DF5-F8DC-44FE-86BA-41DD1C3E54C1}"/>
    <cellStyle name="_TDC trial" xfId="4935" xr:uid="{31A20F3F-9936-4CAA-9C02-89671F69B19B}"/>
    <cellStyle name="_TDC trial_(for confirmation to Regin team) FX impact (Simu vs Updated) by MC" xfId="4936" xr:uid="{56399483-8D11-4992-A05B-926D25D39A4A}"/>
    <cellStyle name="_TDC trial_【0207】BP_reply_Outside profit_Price List_R" xfId="4937" xr:uid="{936C848C-DCDA-4718-93DA-1D00DA038BBA}"/>
    <cellStyle name="_TDC trial_08 budget 071018" xfId="4938" xr:uid="{D84FC245-9E53-444A-85BD-490640117B29}"/>
    <cellStyle name="_TDC trial_0902見直し" xfId="4939" xr:uid="{6E544E8E-AFCF-4985-A19B-F158C673F1C9}"/>
    <cellStyle name="_TDC trial_09budget 081022" xfId="4940" xr:uid="{B7CD7693-27B2-452D-96AE-48102D0CD43F}"/>
    <cellStyle name="_TDC trial_2009_TDC_MonthlyActual" xfId="4941" xr:uid="{E5F67197-8A94-43EC-B8E2-82F2A1D71CC3}"/>
    <cellStyle name="_TDC trial_2009年VME車種別(20100303)" xfId="4942" xr:uid="{1D83FFF5-DF42-4BD6-BC3D-FA54A4DE84D1}"/>
    <cellStyle name="_TDC trial_CY09 material risk compare-0615-16 LP" xfId="4943" xr:uid="{C72D91A2-54D4-48FB-886A-D3F5570A5DAC}"/>
    <cellStyle name="_TDC trial_ＣＹ10予算見直し後(600K モデル別)" xfId="4944" xr:uid="{B36164D7-0245-4CEA-82C6-E534A32976FC}"/>
    <cellStyle name="_TDC trial_FCF_FY12 BUD Simulation Excel PKG for Auto_v2" xfId="4945" xr:uid="{EE7D455E-5F52-4D6F-A900-A93ABF37C486}"/>
    <cellStyle name="_TDC trial_FY09 material forecast5+7 0616 for financial report" xfId="4946" xr:uid="{90049A96-B4FD-4C56-91BF-B47BBF62A444}"/>
    <cellStyle name="_TDC trial_FY11 Reply#1_FY11 3X9" xfId="4947" xr:uid="{98FE911E-5F8D-45A8-821D-47E6E801C692}"/>
    <cellStyle name="_TDC trial_FY12 BP_Simulation information PKG_R" xfId="4948" xr:uid="{53FA43B9-E13D-40F7-89BB-B074ABA37B53}"/>
    <cellStyle name="_TDC trial_J11J MC+Elongation(松）" xfId="4949" xr:uid="{29A74B49-9B4A-4FDA-94CD-723A7B6F8E90}"/>
    <cellStyle name="_TDC trial_KD_PWT_20111128" xfId="4950" xr:uid="{1F512C77-18DC-4FF6-9252-FFEAAECB12E2}"/>
    <cellStyle name="_TDC trial_L11K MC TDC 090306 (2)" xfId="4951" xr:uid="{C6704535-A2D9-4E62-92C5-C680200FFC84}"/>
    <cellStyle name="_TDC trial_L42F TDC KKJ SOP 2010 Dec (090929) with MC (2)" xfId="4952" xr:uid="{06C57346-3442-433D-B2A0-962EA8A6F2BA}"/>
    <cellStyle name="_TDC trial_N11J MC+Elongation(松）" xfId="4953" xr:uid="{9F1FFC05-E673-4253-A30E-D1FAAC2F46C8}"/>
    <cellStyle name="_TDC trial_NMT Outside profit Sep" xfId="4954" xr:uid="{9FB59F98-EC2A-4957-9596-E9E4DED6A351}"/>
    <cellStyle name="_TDC trial_NS_Outside profit change_simulation_1118_volmix" xfId="4955" xr:uid="{9A196E16-B626-49B0-AA1E-F3FD23F9D09D}"/>
    <cellStyle name="_TDC trial_P32E MC TDC with MC (100206)" xfId="4956" xr:uid="{44682B9A-E0A4-4372-89C3-6987E8A9DFCF}"/>
    <cellStyle name="_TDC trial_P32L LCP TDC Case3 (0900221)" xfId="4957" xr:uid="{00DDA211-C332-4EFB-9871-497903CBA29B}"/>
    <cellStyle name="_TDC trial_TDC SUMMARY SHEET for MTP (version 2.1 100526)" xfId="4958" xr:uid="{1197F45D-4D93-43C6-A5B3-1AD05ACED836}"/>
    <cellStyle name="_TDC trial_TDC SUMMARY SHEET for MTP (version 3.0 100526)" xfId="4959" xr:uid="{98232295-D33F-489A-A069-41015C6A7D96}"/>
    <cellStyle name="_TDC trial_Volume Assumption &amp; Current Models" xfId="4960" xr:uid="{45041FC5-732C-4909-83DB-E7EBDEE5B16C}"/>
    <cellStyle name="_TDC trial_コピー ～ 2009年5＋7 售  (47万台）(090619) (予算Ｆｉｎａｌ＆Variable変更　補正版)" xfId="4961" xr:uid="{067163FA-AC3D-4BE0-BF20-790954F8BC26}"/>
    <cellStyle name="_TSK (1)" xfId="4962" xr:uid="{3E3B9A54-7132-401F-910B-FDE91D3B5775}"/>
    <cellStyle name="_TSK (1) 2" xfId="4963" xr:uid="{55424399-2781-4707-86F4-57F38AC1EC61}"/>
    <cellStyle name="_TSK (1) 2 2" xfId="26018" xr:uid="{DC38D8A1-4924-4BA0-AF45-0B059575CAA8}"/>
    <cellStyle name="_U13,N16 CY06最好预测2006.03.28" xfId="4964" xr:uid="{C72B7085-7AAB-4483-9317-17264E0FA898}"/>
    <cellStyle name="_U13,N16 CY06最好预测2006.03.28 2" xfId="4965" xr:uid="{1AEEE911-EC64-4095-A6F4-062C5CDDFFB2}"/>
    <cellStyle name="_U13,N16 CY06最好预测2006.03.28 2 2" xfId="4966" xr:uid="{5C52C44E-1A8D-443B-9699-F12D7A04879A}"/>
    <cellStyle name="_U13,N16 CY06最好预测2006.03.28 2 2 2" xfId="4967" xr:uid="{38E5D570-47AE-47DB-9E6E-AE95129DA6A5}"/>
    <cellStyle name="_U13,N16 CY06最好预测2006.03.28 2 2 2 2" xfId="4968" xr:uid="{D40DF155-B5EA-49ED-AB9C-C6EE6D42D49B}"/>
    <cellStyle name="_U13,N16 CY06最好预测2006.03.28 2 2 2 2 2" xfId="26019" xr:uid="{F6407471-34AC-4631-A115-5192AC460094}"/>
    <cellStyle name="_U13,N16 CY06最好预测2006.03.28 2 2 3" xfId="4969" xr:uid="{2B600E19-013E-45FA-9CB5-1E936CA4ACEC}"/>
    <cellStyle name="_U13,N16 CY06最好预测2006.03.28 2 2 4" xfId="4970" xr:uid="{125B2644-A215-4486-B30E-8D30B641C729}"/>
    <cellStyle name="_U13,N16 CY06最好预测2006.03.28 2 2 4 2" xfId="26020" xr:uid="{3EEE4EFD-58C6-4095-AD4A-BB913D4F35A2}"/>
    <cellStyle name="_U13,N16 CY06最好预测2006.03.28 2 3" xfId="4971" xr:uid="{364813C1-DCFD-43DA-828F-CD5D0108F95F}"/>
    <cellStyle name="_U13,N16 CY06最好预测2006.03.28 2 3 2" xfId="26021" xr:uid="{BEBE57A3-082A-4441-A04E-2892E2EDA539}"/>
    <cellStyle name="_U13,N16 CY06最好预测2006.03.28 2_FY13 Budget Simulation Excel PKG for Auto by company" xfId="4972" xr:uid="{B1D79980-4005-4A6E-B3B0-DB69C0435D4D}"/>
    <cellStyle name="_U13,N16 CY06最好预测2006.03.28 3" xfId="4973" xr:uid="{5BE131DA-DBDD-4024-BAB4-EF3743F98EDF}"/>
    <cellStyle name="_U13,N16 CY06最好预测2006.03.28 4" xfId="4974" xr:uid="{BF1D6B00-F4C7-4F0A-9709-0012165B2F89}"/>
    <cellStyle name="_U13,N16 CY06最好预测2006.03.28 4 2" xfId="26022" xr:uid="{2386CCB6-5968-4AB1-949C-9694549C5B8E}"/>
    <cellStyle name="_U13,N16 CY06最好预测2006.03.28_DFL FY13 Simulation Data version 1010-2(A7C)" xfId="4975" xr:uid="{4C8F7360-0C3D-4C76-93F2-B7553103F2FA}"/>
    <cellStyle name="_U13,N16 CY06最好预测2006.03.28_DFL FY13 Simulation Data version 1010-2(A7C) 2" xfId="4976" xr:uid="{FFF96C63-58AB-48B1-91BC-1007EF12EFCC}"/>
    <cellStyle name="_U13,N16 CY06最好预测2006.03.28_DFL FY13 Simulation Data version 1010-2(A7C) 2 2" xfId="4977" xr:uid="{B0A4361B-3F9E-4A84-A337-772693387140}"/>
    <cellStyle name="_U13,N16 CY06最好预测2006.03.28_DFL FY13 Simulation Data version 1010-2(A7C) 2 2 2" xfId="4978" xr:uid="{DFE0A6F2-E69D-44DD-A62A-52FA14409D0F}"/>
    <cellStyle name="_U13,N16 CY06最好预测2006.03.28_DFL FY13 Simulation Data version 1010-2(A7C) 2 2 2 2" xfId="26023" xr:uid="{40BBC686-7F4C-4591-A321-188913625825}"/>
    <cellStyle name="_U13,N16 CY06最好预测2006.03.28_DFL FY13 Simulation Data version 1010-2(A7C) 2 3" xfId="4979" xr:uid="{176E2917-17E9-4D44-9D4F-A22F41F7EEFD}"/>
    <cellStyle name="_U13,N16 CY06最好预测2006.03.28_DFL FY13 Simulation Data version 1010-2(A7C) 2 4" xfId="4980" xr:uid="{F4EB5C21-E602-40C3-B1D2-E07C01EB6144}"/>
    <cellStyle name="_U13,N16 CY06最好预测2006.03.28_DFL FY13 Simulation Data version 1010-2(A7C) 2 4 2" xfId="26024" xr:uid="{CAE6C42B-0C24-4CB6-9A08-2A8F526BDCAC}"/>
    <cellStyle name="_U13,N16 CY06最好预测2006.03.28_DFL FY13 Simulation Data version 1010-2(A7C) 3" xfId="4981" xr:uid="{CAD1C35E-DA9B-49E6-9042-19BC275F2E2A}"/>
    <cellStyle name="_U13,N16 CY06最好预测2006.03.28_DFL FY13 Simulation Data version 1010-2(A7C) 3 2" xfId="26025" xr:uid="{C54ACBA1-8E31-44EF-AE3C-E502C78D0B47}"/>
    <cellStyle name="_U13,N16 CY06最好预测2006.03.28_DFL FY13 Simulation Data version 1010-2(A7C)_FY13 Budget Simulation Excel PKG for Auto by company" xfId="4982" xr:uid="{9D9C799F-193A-4C43-B180-B8060D1CABFE}"/>
    <cellStyle name="_U13,N16 CY06最好预测2006.03.28_FY13 Budget Simulation Excel PKG for Auto by company" xfId="4983" xr:uid="{8DC7E06E-6525-485A-9B26-ED5472CB4C20}"/>
    <cellStyle name="_Unsign SLA updated version" xfId="4984" xr:uid="{5BEA80DD-8AC1-4622-8E07-4E6C627CD1C2}"/>
    <cellStyle name="_Unsigned SOW 29,June" xfId="4985" xr:uid="{9C1C46BE-D68A-4EDB-9977-EF342D0ED12B}"/>
    <cellStyle name="_Unsigned SOW-Jan26th2007" xfId="4986" xr:uid="{F0E08A9B-95B9-4FD8-8D56-4DEDA4B85A56}"/>
    <cellStyle name="_Unsigned SOWs" xfId="4987" xr:uid="{ED05FC48-8674-4BB7-AED2-7639BCB55931}"/>
    <cellStyle name="_Usage per vehicle-1020-1103" xfId="4988" xr:uid="{3038719A-3BAD-4DBC-A537-C4D8E35CBEFC}"/>
    <cellStyle name="_Vehicle by vehicle-0711" xfId="4989" xr:uid="{0ABC8C7B-6E61-4FBF-88D3-2F31816D2DAE}"/>
    <cellStyle name="_Volume Assumption &amp; Current Models" xfId="4990" xr:uid="{93FA87B2-89B4-445C-87A3-A3CC86F64D52}"/>
    <cellStyle name="_VT080304" xfId="4991" xr:uid="{26B558CC-9DF5-4B58-9791-8D57493847ED}"/>
    <cellStyle name="_VT080304 2" xfId="4992" xr:uid="{CAE922EA-0A33-4557-97B2-4D0E2588EFDB}"/>
    <cellStyle name="_VT080304 2 2" xfId="26026" xr:uid="{BFC40630-70FC-4DF7-9011-313706A08854}"/>
    <cellStyle name="_VTT(SHGZ-IN)-20061103" xfId="4993" xr:uid="{FF9666DE-82BB-41AF-A96D-9C4F67E32658}"/>
    <cellStyle name="_VTT(SHGZ-IN)-20061103_08BP Volume 7-26" xfId="4994" xr:uid="{1D5A0A1F-B463-4DF9-84DB-FB7718CC8797}"/>
    <cellStyle name="_VTT(SHGZ-IN)-20061103_NCIC FORMAL PARTS LIST(20070718)" xfId="4995" xr:uid="{8DE9158C-0755-4659-9310-B95257C6886A}"/>
    <cellStyle name="_VTT(SHGZ-IN)-20061103_NCIC FORMAL PARTS LIST(20070718)_08BP Volume 7-26" xfId="4996" xr:uid="{E392EE42-9E29-4820-AF81-BCE00DE8CAFC}"/>
    <cellStyle name="_VTT(SHGZ-IN)-20061103_NCIC FORMAL PARTS LIST(20070822)" xfId="4997" xr:uid="{98D49BAC-3266-4396-85AD-560773199BF7}"/>
    <cellStyle name="_VTT(SHGZ-IN)-20061103_NCIC FORMAL PARTS LIST(20070910)" xfId="4998" xr:uid="{07034C4E-66FF-4F2C-8154-C0FC0CAE454C}"/>
    <cellStyle name="_VTT(SHGZ-IN)-20061103_NCIC FORMAL PARTS LIST(200710)" xfId="4999" xr:uid="{2DBE292F-9AC8-471E-AFF1-6C84379D949B}"/>
    <cellStyle name="_VTT(SHGZ-IN)-20061103_NCIC FORMAL PARTS LIST(200711)" xfId="5000" xr:uid="{6EF36379-0F6A-470E-B67B-FB638A013F64}"/>
    <cellStyle name="_VTT(SHGZ-IN)-20061103_NCIC FORMAL PARTS LIST(200801)" xfId="5001" xr:uid="{24E8A22C-7229-48B2-BF77-75AC2E05A61B}"/>
    <cellStyle name="_VTT(SHGZ-IN)-20061103_NCIC FORMAL PARTS LIST(200803027)" xfId="5002" xr:uid="{C53705E8-01A6-4917-B128-B3D4ACBE39DA}"/>
    <cellStyle name="_VTT(SHGZ-IN)-20061103_NCIC FORMAL PARTS LIST-IPO(20080401)" xfId="5003" xr:uid="{58B83C27-02B8-4923-8483-08D061BDE787}"/>
    <cellStyle name="_VTT(SHGZ-IN)-20061103_NCIC FORMAL PARTS LIST-IPO(20080505)Master" xfId="5004" xr:uid="{CC9B509A-4E87-4E76-BD79-0C0F92ED7CDE}"/>
    <cellStyle name="_VTT(SHGZ-IN)-20061103_PARTS LIST7-30" xfId="5005" xr:uid="{468D1F84-7225-4A5A-8CF0-2381CB3B9659}"/>
    <cellStyle name="_VTT(SHGZ-IN)-20061103_X11J PARTS LIST-070822" xfId="5006" xr:uid="{9EBADA67-5435-4DC2-8EA3-287E25AA7D75}"/>
    <cellStyle name="_VTT(SHGZ-IN)-20061103_X12B tekiyo list" xfId="5007" xr:uid="{633EF106-3896-4FE1-8D82-3530D96B436B}"/>
    <cellStyle name="_X11C PT1品確日期941027" xfId="5008" xr:uid="{13CEB81D-283E-4F28-947A-64DC16F3F13C}"/>
    <cellStyle name="_X11C PT1品確日期941027 2" xfId="5009" xr:uid="{C837B0AF-F59C-4B2E-B6C6-CE60F1CBE479}"/>
    <cellStyle name="_X11C PT1品確日期941027 2 2" xfId="5010" xr:uid="{CD001DF1-EF98-42ED-9379-11DEB4F2C43B}"/>
    <cellStyle name="_X11C PT1品確日期941027 2 2 2" xfId="26027" xr:uid="{47532C89-B64A-4B22-BB61-8534149DEC79}"/>
    <cellStyle name="_X11C PT1品確日期941027 3" xfId="5011" xr:uid="{B2547A46-ECD6-4EA2-B3FF-97768A90994F}"/>
    <cellStyle name="_X11C PT1品確日期941027 3 2" xfId="26028" xr:uid="{A24D7563-521B-478B-9FFE-F3A997863F1E}"/>
    <cellStyle name="_X11C PT1品確日期941027_Fcst#2　FY13台数諸元表13.9.18" xfId="5012" xr:uid="{4C1768CA-D06F-4716-AE5D-4CE59C71497B}"/>
    <cellStyle name="_X11C PT1品確日期941027_FY13 Final ReplyBUD vs Forecast#3_AESC（台数諸元) 単価差Adjust値作成" xfId="5013" xr:uid="{8CE04D98-57FD-4B00-94EA-14B12C8ED9FD}"/>
    <cellStyle name="_X11C PT1品確日期941027_FY13 Monthly ReplyBUD（台数諸元) ルノー修正13 5 20" xfId="5014" xr:uid="{99AC4D92-5DA4-44E2-A704-BE0567C90DCF}"/>
    <cellStyle name="_X11C PT1品確日期941027_FY13台数諸元表（201307実績-売上金額いり）" xfId="5015" xr:uid="{5BFBD05C-6D33-4C88-81E8-986D6C1CA4B9}"/>
    <cellStyle name="_X11C PT1品確日期941027_FY13台数諸元表（予算vs実績）" xfId="5016" xr:uid="{508CD26F-8BDB-48BC-B68F-813D56B6DC40}"/>
    <cellStyle name="_X11C ＳＥＤlocal 050608" xfId="5017" xr:uid="{BC3CE8F2-EDD8-48D3-9591-6DB4D771BC0C}"/>
    <cellStyle name="_X11C 国产化率&amp;效果额-TC-2006.03.24" xfId="5018" xr:uid="{9D63A8EA-971E-40A8-8F53-6B2C8D869D07}"/>
    <cellStyle name="_X11C 国产化率&amp;效果额-TC-2006.03.31(新计划产量)" xfId="5019" xr:uid="{39BF4821-6166-4403-80B2-5BDAAAE960AF}"/>
    <cellStyle name="_X11C 国产化率效果额-20060515" xfId="5020" xr:uid="{5AB4F103-ACFC-40FB-91BE-DDF02C6CA242}"/>
    <cellStyle name="_X11C-CY06采购额计算20051223" xfId="5021" xr:uid="{046C7968-707E-4C4A-93EB-99FE36595B16}"/>
    <cellStyle name="_X11C交貨問題點彙整 060224" xfId="5023" xr:uid="{9CEE37C6-F52F-4370-A565-D581A8E53ADB}"/>
    <cellStyle name="_X11C交貨問題點彙整 060224 2" xfId="5024" xr:uid="{9E8B690D-F7B2-43B0-8627-775A604DA6DA}"/>
    <cellStyle name="_X11C交貨問題點彙整 060224 2 2" xfId="5025" xr:uid="{12891540-7E2F-4807-B66D-95E4936E61B7}"/>
    <cellStyle name="_X11C交貨問題點彙整 060224 2 2 2" xfId="26030" xr:uid="{5DC08BC4-B249-452D-970C-005E79EDAC70}"/>
    <cellStyle name="_X11C交貨問題點彙整 060224 3" xfId="5026" xr:uid="{1DC09BF6-98C5-46D6-9563-B8557B09060F}"/>
    <cellStyle name="_X11C交貨問題點彙整 060224 3 2" xfId="26031" xr:uid="{EC34D6D5-3B5D-44FB-A347-95EA73BC0E45}"/>
    <cellStyle name="_X11C交貨問題點彙整 060224_Fcst#2　FY13台数諸元表13.9.18" xfId="5027" xr:uid="{79648959-B11D-4ADD-B23D-5D4BB75BE48A}"/>
    <cellStyle name="_X11C交貨問題點彙整 060224_FY13 Final ReplyBUD vs Forecast#3_AESC（台数諸元) 単価差Adjust値作成" xfId="5028" xr:uid="{8556338B-32E2-4D78-BBC4-AD23E8268808}"/>
    <cellStyle name="_X11C交貨問題點彙整 060224_FY13 Monthly ReplyBUD（台数諸元) ルノー修正13 5 20" xfId="5029" xr:uid="{51D4A323-2878-464D-98BE-6A4CA6A4A5BA}"/>
    <cellStyle name="_X11C交貨問題點彙整 060224_FY13台数諸元表（201307実績-売上金額いり）" xfId="5030" xr:uid="{93C2ABFE-016C-458B-A8D4-BED6D7D57C55}"/>
    <cellStyle name="_X11C交貨問題點彙整 060224_FY13台数諸元表（予算vs実績）" xfId="5031" xr:uid="{F283F699-B85C-4B9C-A6F0-B3080244E346}"/>
    <cellStyle name="_X11C元華&amp;永仁&amp;協欣&amp;茂雄 合格率" xfId="5022" xr:uid="{1359F081-667F-4BB3-A778-44E184EE5AEF}"/>
    <cellStyle name="_X11C元華&amp;永仁&amp;協欣&amp;茂雄 合格率 2" xfId="26029" xr:uid="{900AB9AD-D05E-42C2-8794-7AEA53C576A8}"/>
    <cellStyle name="_X11C国产化减货时间采用时间rn 个数统计20060412" xfId="5032" xr:uid="{F72BC956-7599-41A1-8609-60A2BAF49141}"/>
    <cellStyle name="_X12G原価（100527）" xfId="5033" xr:uid="{4FB051D0-5B77-417A-8F5B-F99A2A86C4D8}"/>
    <cellStyle name="_X90 IL Contrat MSU v3 à 2.86" xfId="5034" xr:uid="{37A27B0D-D875-489B-99D4-452B4B515234}"/>
    <cellStyle name="_X90 IL Contrat MSU v3 à 3.71" xfId="5035" xr:uid="{5CFD3137-7D12-491C-B6DA-FB86B1CCE68B}"/>
    <cellStyle name="_xf05年工厂?益?算表格3-1215" xfId="5036" xr:uid="{39599CD4-D62A-49FA-925A-7D2841BD10F4}"/>
    <cellStyle name="_xf05年工厂?益?算表格3-1215_#1 Forecast Summary" xfId="5037" xr:uid="{DB4B8ED7-85B6-4A2F-B693-65CC4E6E32DC}"/>
    <cellStyle name="_xf05年工厂?益?算表格3-1215_#1 Forecast Summary_FY12 Budget Final OC-China" xfId="5038" xr:uid="{51015551-BA06-40AD-9F8A-8794BD01E51E}"/>
    <cellStyle name="_xf05年工厂?益?算表格3-1215_#1 Forecast Summary_Sample Format" xfId="5039" xr:uid="{56215E54-1996-4C27-A93C-68AE69A29AA0}"/>
    <cellStyle name="_xf05年工厂?益?算表格3-1215_#1 Forecast Summary_Sample Format_Ａ&amp;O Consolidation Format_FCST3+9_v3" xfId="5040" xr:uid="{F94E4F4F-2021-4212-83B6-67FB32F2DDF2}"/>
    <cellStyle name="_xf05年工厂?益?算表格3-1215_#1 Forecast Summary_Sample Format_A&amp;O Format" xfId="5041" xr:uid="{BED5B8FC-E9AC-4AAC-BB51-B47A6D8C822A}"/>
    <cellStyle name="_xf05年工厂?益?算表格3-1215_#1 Forecast Summary_Sample Format_A&amp;O Format_FCST3+9" xfId="5042" xr:uid="{17D6011B-575D-46CC-B1BA-B1100A34273B}"/>
    <cellStyle name="_xf05年工厂?益?算表格3-1215_#1 Forecast Summary_Sample Format_A&amp;O Format_FCST3+9_v1" xfId="5043" xr:uid="{16D509EF-1874-492F-B9A1-0501CAA32080}"/>
    <cellStyle name="_xf05年工厂?益?算表格3-1215_(CHAO) FY10 Forecast#1 Regional Comment" xfId="5044" xr:uid="{B25B195D-A768-4BEE-97F9-057309B1CA11}"/>
    <cellStyle name="_xf05年工厂?益?算表格3-1215_(CHAO) FY10 Forecast#1 Regional Comment_FY12 Budget Final OC-China" xfId="5045" xr:uid="{7115A92E-C1B6-4C79-AD84-9C92CFA363DE}"/>
    <cellStyle name="_xf05年工厂?益?算表格3-1215_(CHAO) FY10 Forecast#1 Regional Comment_Sample Format" xfId="5046" xr:uid="{66BC6C95-8D28-419C-8211-0847423319AE}"/>
    <cellStyle name="_xf05年工厂?益?算表格3-1215_(CHAO) FY10 Forecast#1 Regional Comment_Sample Format_Ａ&amp;O Consolidation Format_FCST3+9_v3" xfId="5047" xr:uid="{5EB16DBD-C9BF-4078-9996-69984894A82B}"/>
    <cellStyle name="_xf05年工厂?益?算表格3-1215_(CHAO) FY10 Forecast#1 Regional Comment_Sample Format_A&amp;O Format" xfId="5048" xr:uid="{86FB1F55-859F-4427-99D6-98BE6EC3F11B}"/>
    <cellStyle name="_xf05年工厂?益?算表格3-1215_(CHAO) FY10 Forecast#1 Regional Comment_Sample Format_A&amp;O Format_FCST3+9" xfId="5049" xr:uid="{E2DF6B18-4E7E-4AAA-95FE-A70E1C4D6FCF}"/>
    <cellStyle name="_xf05年工厂?益?算表格3-1215_(CHAO) FY10 Forecast#1 Regional Comment_Sample Format_A&amp;O Format_FCST3+9_v1" xfId="5050" xr:uid="{EE8A846A-2111-4902-9F74-2AAB8A6E120B}"/>
    <cellStyle name="_xf05年工厂?益?算表格3-1215_【Master】 FY12 Simulation Excel PKG for Auto" xfId="5051" xr:uid="{361DF05F-9423-4EB0-A259-C450E8B185AC}"/>
    <cellStyle name="_xf05年工厂?益?算表格3-1215_【Master】 FY12 Simulation Excel PKG for Auto (2)" xfId="5052" xr:uid="{E2DAF53D-D92A-4620-BE52-59EE1D6A3C41}"/>
    <cellStyle name="_xf05年工厂?益?算表格3-1215_【Master】 FY12 Simulation Excel PKG for Auto_sugii" xfId="5053" xr:uid="{732A2A83-707B-4358-8537-789C7CCD8EEE}"/>
    <cellStyle name="_xf05年工厂?益?算表格3-1215_【Master】 FY12 Simulation Excel PKG for Auto_sugii (2)" xfId="5054" xr:uid="{98D57D19-BFAF-404A-8CD0-FE2A1DD1FF4D}"/>
    <cellStyle name="_xf05年工厂?益?算表格3-1215_【Shibayama】 FY12 Simulation Excel PKG for Auto" xfId="5055" xr:uid="{84D75492-BB45-4FA3-AE39-FB7550927EFD}"/>
    <cellStyle name="_xf05年工厂?益?算表格3-1215_Ａ&amp;O Consolidation Format_FCST3+9_v3" xfId="5056" xr:uid="{745D791B-2574-469C-BC63-C08C2431068A}"/>
    <cellStyle name="_xf05年工厂?益?算表格3-1215_A&amp;O Format" xfId="5057" xr:uid="{DD62CAF5-3808-44F9-B4D4-5135DC6B9B96}"/>
    <cellStyle name="_xf05年工厂?益?算表格3-1215_A&amp;O Format_FCST3+9" xfId="5058" xr:uid="{0A05EB13-B795-4C23-80A8-9FD84938660C}"/>
    <cellStyle name="_xf05年工厂?益?算表格3-1215_A&amp;O Format_FCST3+9_v1" xfId="5059" xr:uid="{9DA83AB7-D3C9-4112-B95C-EA0C84B9161F}"/>
    <cellStyle name="_xf05年工厂?益?算表格3-1215_CHAO #2 Forecast Summary" xfId="5060" xr:uid="{D6494A02-E638-4A3A-913A-5EE909F66E24}"/>
    <cellStyle name="_xf05年工厂?益?算表格3-1215_CHAO #2 Forecast Summary_FY12 Budget Final OC-China" xfId="5061" xr:uid="{815D24EB-E070-4DEE-9176-7CA358C52C3F}"/>
    <cellStyle name="_xf05年工厂?益?算表格3-1215_CHAO #2 Forecast Summary_Sample Format" xfId="5062" xr:uid="{F7909914-5CEB-45F1-B706-4BD9188AF620}"/>
    <cellStyle name="_xf05年工厂?益?算表格3-1215_CHAO #2 Forecast Summary_Sample Format_Ａ&amp;O Consolidation Format_FCST3+9_v3" xfId="5063" xr:uid="{E6676E1E-BDAD-40A5-A71D-8439432E277E}"/>
    <cellStyle name="_xf05年工厂?益?算表格3-1215_CHAO #2 Forecast Summary_Sample Format_A&amp;O Format" xfId="5064" xr:uid="{AEEFB7C7-8333-49E9-9D39-1A65ADC410D5}"/>
    <cellStyle name="_xf05年工厂?益?算表格3-1215_CHAO #2 Forecast Summary_Sample Format_A&amp;O Format_FCST3+9" xfId="5065" xr:uid="{7220559B-BCDD-4125-85A5-27545563BBDE}"/>
    <cellStyle name="_xf05年工厂?益?算表格3-1215_CHAO #2 Forecast Summary_Sample Format_A&amp;O Format_FCST3+9_v1" xfId="5066" xr:uid="{906193A9-C871-4A8B-82CB-87F23389F182}"/>
    <cellStyle name="_xf05年工厂?益?算表格3-1215_Correct FC#2 AO OP" xfId="5067" xr:uid="{7BCAFCE0-D24F-4D14-9416-A280C7251197}"/>
    <cellStyle name="_xf05年工厂?益?算表格3-1215_Correct FC#2 AO OP_FY12 Budget Final OC-China" xfId="5068" xr:uid="{3967A448-FAEA-4DEB-B28B-EEF3D9612A62}"/>
    <cellStyle name="_xf05年工厂?益?算表格3-1215_Correct FC#2 AO OP_Sample Format" xfId="5069" xr:uid="{9B5C753D-8D1B-4449-A021-021A65680495}"/>
    <cellStyle name="_xf05年工厂?益?算表格3-1215_Correct FC#2 AO OP_Sample Format_Ａ&amp;O Consolidation Format_FCST3+9_v3" xfId="5070" xr:uid="{A4C15256-0525-4492-BF4D-0D81A0A6B0B2}"/>
    <cellStyle name="_xf05年工厂?益?算表格3-1215_Correct FC#2 AO OP_Sample Format_A&amp;O Format" xfId="5071" xr:uid="{17CADC41-FA83-4E3F-ACA9-C2417BDA34C8}"/>
    <cellStyle name="_xf05年工厂?益?算表格3-1215_Correct FC#2 AO OP_Sample Format_A&amp;O Format_FCST3+9" xfId="5072" xr:uid="{B5C83963-40F9-48E7-AE88-BADE5EBF7BFB}"/>
    <cellStyle name="_xf05年工厂?益?算表格3-1215_Correct FC#2 AO OP_Sample Format_A&amp;O Format_FCST3+9_v1" xfId="5073" xr:uid="{5CB7B25C-C6D6-4A82-8E12-DA0131AB26CD}"/>
    <cellStyle name="_xf05年工厂?益?算表格3-1215_DFL FY05　Budget" xfId="5074" xr:uid="{1A7EDB57-8AD6-4A52-A73E-7717B6752D9C}"/>
    <cellStyle name="_xf05年工厂?益?算表格3-1215_DFL FY05　Budget_#1 Forecast Summary" xfId="5075" xr:uid="{20A0D864-9D54-404D-A514-853B2EFB1D01}"/>
    <cellStyle name="_xf05年工厂?益?算表格3-1215_DFL FY05　Budget_#1 Forecast Summary_FY12 Budget Final OC-China" xfId="5076" xr:uid="{4617271B-295A-47C0-900E-E361A1660FBD}"/>
    <cellStyle name="_xf05年工厂?益?算表格3-1215_DFL FY05　Budget_#1 Forecast Summary_Sample Format" xfId="5077" xr:uid="{E81619BF-30A9-40F3-BF62-2CDC5E62EF20}"/>
    <cellStyle name="_xf05年工厂?益?算表格3-1215_DFL FY05　Budget_#1 Forecast Summary_Sample Format_Ａ&amp;O Consolidation Format_FCST3+9_v3" xfId="5078" xr:uid="{19B6FA40-4204-4267-B233-96DE17E68499}"/>
    <cellStyle name="_xf05年工厂?益?算表格3-1215_DFL FY05　Budget_#1 Forecast Summary_Sample Format_A&amp;O Format" xfId="5079" xr:uid="{F8BD0381-8911-42D7-9830-6E39A5DE537B}"/>
    <cellStyle name="_xf05年工厂?益?算表格3-1215_DFL FY05　Budget_#1 Forecast Summary_Sample Format_A&amp;O Format_FCST3+9" xfId="5080" xr:uid="{620A1746-B29D-44B4-84AD-124DBC689E88}"/>
    <cellStyle name="_xf05年工厂?益?算表格3-1215_DFL FY05　Budget_#1 Forecast Summary_Sample Format_A&amp;O Format_FCST3+9_v1" xfId="5081" xr:uid="{820514E7-FADF-4E2B-9B2D-0575FE1967DC}"/>
    <cellStyle name="_xf05年工厂?益?算表格3-1215_DFL FY05　Budget_(CHAO) FY10 Forecast#1 Regional Comment" xfId="5082" xr:uid="{49B168C5-C85A-4569-B38F-44A73707009A}"/>
    <cellStyle name="_xf05年工厂?益?算表格3-1215_DFL FY05　Budget_(CHAO) FY10 Forecast#1 Regional Comment_FY12 Budget Final OC-China" xfId="5083" xr:uid="{3575EBB9-5C64-4879-81D8-AC11BADA7FB7}"/>
    <cellStyle name="_xf05年工厂?益?算表格3-1215_DFL FY05　Budget_(CHAO) FY10 Forecast#1 Regional Comment_Sample Format" xfId="5084" xr:uid="{9E1D8BC5-BC9D-4559-9089-4CD0F92D0AE9}"/>
    <cellStyle name="_xf05年工厂?益?算表格3-1215_DFL FY05　Budget_(CHAO) FY10 Forecast#1 Regional Comment_Sample Format_Ａ&amp;O Consolidation Format_FCST3+9_v3" xfId="5085" xr:uid="{4FFC21C8-DDE2-433C-BC3D-C2B0056D4896}"/>
    <cellStyle name="_xf05年工厂?益?算表格3-1215_DFL FY05　Budget_(CHAO) FY10 Forecast#1 Regional Comment_Sample Format_A&amp;O Format" xfId="5086" xr:uid="{F2BDA6DA-5967-4844-9BE5-4E1AB22C880C}"/>
    <cellStyle name="_xf05年工厂?益?算表格3-1215_DFL FY05　Budget_(CHAO) FY10 Forecast#1 Regional Comment_Sample Format_A&amp;O Format_FCST3+9" xfId="5087" xr:uid="{B652CFBC-3399-4F51-9D78-38E9AE813D1A}"/>
    <cellStyle name="_xf05年工厂?益?算表格3-1215_DFL FY05　Budget_(CHAO) FY10 Forecast#1 Regional Comment_Sample Format_A&amp;O Format_FCST3+9_v1" xfId="5088" xr:uid="{D1DAA6BD-7E66-43AE-AB7D-34CA801632F0}"/>
    <cellStyle name="_xf05年工厂?益?算表格3-1215_DFL FY05　Budget_【Master】 FY12 Simulation Excel PKG for Auto" xfId="5089" xr:uid="{C80B9EA8-4CD4-4312-A166-A5FD8FB3785A}"/>
    <cellStyle name="_xf05年工厂?益?算表格3-1215_DFL FY05　Budget_【Master】 FY12 Simulation Excel PKG for Auto (2)" xfId="5090" xr:uid="{7E1E6A98-7E6F-47DF-8381-36637D5D74B0}"/>
    <cellStyle name="_xf05年工厂?益?算表格3-1215_DFL FY05　Budget_【Master】 FY12 Simulation Excel PKG for Auto_sugii" xfId="5091" xr:uid="{90CAF2C6-C234-4616-9E30-E54F6FB70262}"/>
    <cellStyle name="_xf05年工厂?益?算表格3-1215_DFL FY05　Budget_【Master】 FY12 Simulation Excel PKG for Auto_sugii (2)" xfId="5092" xr:uid="{0BD515DC-1A17-468A-93FD-F87ECC14EB05}"/>
    <cellStyle name="_xf05年工厂?益?算表格3-1215_DFL FY05　Budget_【Shibayama】 FY12 Simulation Excel PKG for Auto" xfId="5093" xr:uid="{B0135919-598B-4CAB-82F4-E6F2E9B9772C}"/>
    <cellStyle name="_xf05年工厂?益?算表格3-1215_DFL FY05　Budget_Ａ&amp;O Consolidation Format_FCST3+9_v3" xfId="5094" xr:uid="{155C0241-E0D4-472E-A577-F0CD5F5C77E1}"/>
    <cellStyle name="_xf05年工厂?益?算表格3-1215_DFL FY05　Budget_A&amp;O Format" xfId="5095" xr:uid="{4C56D8E8-CA9F-4A7F-ADD8-A65AD119DFBF}"/>
    <cellStyle name="_xf05年工厂?益?算表格3-1215_DFL FY05　Budget_A&amp;O Format_FCST3+9" xfId="5096" xr:uid="{912D45CB-3E2A-41A5-A1DA-BF03EC4FA2B2}"/>
    <cellStyle name="_xf05年工厂?益?算表格3-1215_DFL FY05　Budget_A&amp;O Format_FCST3+9_v1" xfId="5097" xr:uid="{795A38E9-B756-496F-A99A-F6F67993E82D}"/>
    <cellStyle name="_xf05年工厂?益?算表格3-1215_DFL FY05　Budget_CHAO #2 Forecast Summary" xfId="5098" xr:uid="{F5E86BFA-4FF5-46E8-8E4C-3A4DD3D5985D}"/>
    <cellStyle name="_xf05年工厂?益?算表格3-1215_DFL FY05　Budget_CHAO #2 Forecast Summary_FY12 Budget Final OC-China" xfId="5099" xr:uid="{AC565833-5F02-4ED9-9792-F3763C6687BA}"/>
    <cellStyle name="_xf05年工厂?益?算表格3-1215_DFL FY05　Budget_CHAO #2 Forecast Summary_Sample Format" xfId="5100" xr:uid="{1B11CE04-0955-44E2-87BE-72BE98671890}"/>
    <cellStyle name="_xf05年工厂?益?算表格3-1215_DFL FY05　Budget_CHAO #2 Forecast Summary_Sample Format_Ａ&amp;O Consolidation Format_FCST3+9_v3" xfId="5101" xr:uid="{DA419DEE-9B6D-4D05-82B6-931D67E39ECE}"/>
    <cellStyle name="_xf05年工厂?益?算表格3-1215_DFL FY05　Budget_CHAO #2 Forecast Summary_Sample Format_A&amp;O Format" xfId="5102" xr:uid="{55DEBD23-41B6-42D6-8C44-28FD65304A70}"/>
    <cellStyle name="_xf05年工厂?益?算表格3-1215_DFL FY05　Budget_CHAO #2 Forecast Summary_Sample Format_A&amp;O Format_FCST3+9" xfId="5103" xr:uid="{3E17EC03-7840-45C5-8812-F31B0DE55011}"/>
    <cellStyle name="_xf05年工厂?益?算表格3-1215_DFL FY05　Budget_CHAO #2 Forecast Summary_Sample Format_A&amp;O Format_FCST3+9_v1" xfId="5104" xr:uid="{86D86C47-40ED-4726-AFE9-0EE77D2824A7}"/>
    <cellStyle name="_xf05年工厂?益?算表格3-1215_DFL FY05　Budget_Correct FC#2 AO OP" xfId="5105" xr:uid="{A4A94253-DC52-4266-A6FB-D858838AEB00}"/>
    <cellStyle name="_xf05年工厂?益?算表格3-1215_DFL FY05　Budget_Correct FC#2 AO OP_FY12 Budget Final OC-China" xfId="5106" xr:uid="{854013F8-ADC1-4FEE-96CB-6CD8AC28F3EB}"/>
    <cellStyle name="_xf05年工厂?益?算表格3-1215_DFL FY05　Budget_Correct FC#2 AO OP_Sample Format" xfId="5107" xr:uid="{A081E2EA-1BB9-4F78-9A0F-C24DD4B8D660}"/>
    <cellStyle name="_xf05年工厂?益?算表格3-1215_DFL FY05　Budget_Correct FC#2 AO OP_Sample Format_Ａ&amp;O Consolidation Format_FCST3+9_v3" xfId="5108" xr:uid="{3DCC17B8-8D06-4EE0-A3EE-7560FF9A61F4}"/>
    <cellStyle name="_xf05年工厂?益?算表格3-1215_DFL FY05　Budget_Correct FC#2 AO OP_Sample Format_A&amp;O Format" xfId="5109" xr:uid="{2092AD70-78AA-4F51-9B7C-7A9E04A1432A}"/>
    <cellStyle name="_xf05年工厂?益?算表格3-1215_DFL FY05　Budget_Correct FC#2 AO OP_Sample Format_A&amp;O Format_FCST3+9" xfId="5110" xr:uid="{974BBAF5-3D12-416E-B9C9-9CFE203D2783}"/>
    <cellStyle name="_xf05年工厂?益?算表格3-1215_DFL FY05　Budget_Correct FC#2 AO OP_Sample Format_A&amp;O Format_FCST3+9_v1" xfId="5111" xr:uid="{5ADB8610-BF77-4A0C-919F-8784D0F0466B}"/>
    <cellStyle name="_xf05年工厂?益?算表格3-1215_DFL FY05　Budget_FY08 PIC guideline(07.10.02KPI)" xfId="5112" xr:uid="{C09A40B7-0FC8-4543-A979-9605E55518DA}"/>
    <cellStyle name="_xf05年工厂?益?算表格3-1215_DFL FY05　Budget_FY08 PIC guideline(07.10.02KPI)_#1 Forecast Summary" xfId="5113" xr:uid="{DDF111AE-EA7E-4500-AA1D-53024D033A7E}"/>
    <cellStyle name="_xf05年工厂?益?算表格3-1215_DFL FY05　Budget_FY08 PIC guideline(07.10.02KPI)_#1 Forecast Summary_FY12 Budget Final OC-China" xfId="5114" xr:uid="{FA7C2B6C-72B9-4B2A-8D97-EAC9DF8CB909}"/>
    <cellStyle name="_xf05年工厂?益?算表格3-1215_DFL FY05　Budget_FY08 PIC guideline(07.10.02KPI)_#1 Forecast Summary_Sample Format" xfId="5115" xr:uid="{D5A97967-B39F-4216-B443-BBC166833F79}"/>
    <cellStyle name="_xf05年工厂?益?算表格3-1215_DFL FY05　Budget_FY08 PIC guideline(07.10.02KPI)_#1 Forecast Summary_Sample Format_Ａ&amp;O Consolidation Format_FCST3+9_v3" xfId="5116" xr:uid="{CA4B9343-3ADB-4420-B7F0-AD328D53B476}"/>
    <cellStyle name="_xf05年工厂?益?算表格3-1215_DFL FY05　Budget_FY08 PIC guideline(07.10.02KPI)_#1 Forecast Summary_Sample Format_A&amp;O Format" xfId="5117" xr:uid="{D1699635-492E-4104-90AF-B67CFA299E6E}"/>
    <cellStyle name="_xf05年工厂?益?算表格3-1215_DFL FY05　Budget_FY08 PIC guideline(07.10.02KPI)_#1 Forecast Summary_Sample Format_A&amp;O Format_FCST3+9" xfId="5118" xr:uid="{8988D025-6E91-4300-814F-79E815B241F4}"/>
    <cellStyle name="_xf05年工厂?益?算表格3-1215_DFL FY05　Budget_FY08 PIC guideline(07.10.02KPI)_#1 Forecast Summary_Sample Format_A&amp;O Format_FCST3+9_v1" xfId="5119" xr:uid="{E564FA1C-5567-4E1A-BCE1-26D24B06109F}"/>
    <cellStyle name="_xf05年工厂?益?算表格3-1215_DFL FY05　Budget_FY08 PIC guideline(07.10.02KPI)_(CHAO) FY10 Forecast#1 Regional Comment" xfId="5120" xr:uid="{153628E2-6993-4936-9C7B-AE4557F9DA7D}"/>
    <cellStyle name="_xf05年工厂?益?算表格3-1215_DFL FY05　Budget_FY08 PIC guideline(07.10.02KPI)_(CHAO) FY10 Forecast#1 Regional Comment_FY12 Budget Final OC-China" xfId="5121" xr:uid="{4698D56B-F6CC-4E32-A1CC-7625AB051C43}"/>
    <cellStyle name="_xf05年工厂?益?算表格3-1215_DFL FY05　Budget_FY08 PIC guideline(07.10.02KPI)_(CHAO) FY10 Forecast#1 Regional Comment_Sample Format" xfId="5122" xr:uid="{A167006A-146C-44EC-82E0-F2FAB356B30B}"/>
    <cellStyle name="_xf05年工厂?益?算表格3-1215_DFL FY05　Budget_FY08 PIC guideline(07.10.02KPI)_(CHAO) FY10 Forecast#1 Regional Comment_Sample Format_Ａ&amp;O Consolidation Format_FCST3+9_v3" xfId="5123" xr:uid="{3571A046-84C3-4C76-8A32-1BF90EE2CD91}"/>
    <cellStyle name="_xf05年工厂?益?算表格3-1215_DFL FY05　Budget_FY08 PIC guideline(07.10.02KPI)_(CHAO) FY10 Forecast#1 Regional Comment_Sample Format_A&amp;O Format" xfId="5124" xr:uid="{53F17EBC-48C6-4E85-B98B-DAA3800EE215}"/>
    <cellStyle name="_xf05年工厂?益?算表格3-1215_DFL FY05　Budget_FY08 PIC guideline(07.10.02KPI)_(CHAO) FY10 Forecast#1 Regional Comment_Sample Format_A&amp;O Format_FCST3+9" xfId="5125" xr:uid="{662B4741-7F00-4009-BF53-B6B003AAA98F}"/>
    <cellStyle name="_xf05年工厂?益?算表格3-1215_DFL FY05　Budget_FY08 PIC guideline(07.10.02KPI)_(CHAO) FY10 Forecast#1 Regional Comment_Sample Format_A&amp;O Format_FCST3+9_v1" xfId="5126" xr:uid="{74B12942-7F2B-4105-BA7D-3C051DB49190}"/>
    <cellStyle name="_xf05年工厂?益?算表格3-1215_DFL FY05　Budget_FY08 PIC guideline(07.10.02KPI)_【Master】 FY12 Simulation Excel PKG for Auto" xfId="5127" xr:uid="{2CE1C895-7562-4F06-AAEF-3461DECCEAB5}"/>
    <cellStyle name="_xf05年工厂?益?算表格3-1215_DFL FY05　Budget_FY08 PIC guideline(07.10.02KPI)_【Master】 FY12 Simulation Excel PKG for Auto (2)" xfId="5128" xr:uid="{A3639E19-B22C-428A-AD25-084137AB3FD5}"/>
    <cellStyle name="_xf05年工厂?益?算表格3-1215_DFL FY05　Budget_FY08 PIC guideline(07.10.02KPI)_【Master】 FY12 Simulation Excel PKG for Auto_sugii" xfId="5129" xr:uid="{04C0AA8B-527C-4C8E-9347-1C9DCA0F7953}"/>
    <cellStyle name="_xf05年工厂?益?算表格3-1215_DFL FY05　Budget_FY08 PIC guideline(07.10.02KPI)_【Master】 FY12 Simulation Excel PKG for Auto_sugii (2)" xfId="5130" xr:uid="{4D19D97C-5B50-4238-ABA5-78084A75788F}"/>
    <cellStyle name="_xf05年工厂?益?算表格3-1215_DFL FY05　Budget_FY08 PIC guideline(07.10.02KPI)_【Shibayama】 FY12 Simulation Excel PKG for Auto" xfId="5131" xr:uid="{305BDCDF-5BD4-4915-AFAA-655DA8D2C7DF}"/>
    <cellStyle name="_xf05年工厂?益?算表格3-1215_DFL FY05　Budget_FY08 PIC guideline(07.10.02KPI)_Ａ&amp;O Consolidation Format_FCST3+9_v3" xfId="5132" xr:uid="{B9A59627-190A-411E-A480-E6BB4662CC0B}"/>
    <cellStyle name="_xf05年工厂?益?算表格3-1215_DFL FY05　Budget_FY08 PIC guideline(07.10.02KPI)_A&amp;O Format" xfId="5133" xr:uid="{4A62A316-F6E2-44F0-A32F-117FE461E663}"/>
    <cellStyle name="_xf05年工厂?益?算表格3-1215_DFL FY05　Budget_FY08 PIC guideline(07.10.02KPI)_A&amp;O Format_FCST3+9" xfId="5134" xr:uid="{3FFBA186-8370-4400-A069-294480ABCD84}"/>
    <cellStyle name="_xf05年工厂?益?算表格3-1215_DFL FY05　Budget_FY08 PIC guideline(07.10.02KPI)_A&amp;O Format_FCST3+9_v1" xfId="5135" xr:uid="{97606686-A96A-42E5-825E-96DAF8BAD040}"/>
    <cellStyle name="_xf05年工厂?益?算表格3-1215_DFL FY05　Budget_FY08 PIC guideline(07.10.02KPI)_CHAO #2 Forecast Summary" xfId="5136" xr:uid="{D6C30D83-E2BE-4C32-90B2-41D97B2360A3}"/>
    <cellStyle name="_xf05年工厂?益?算表格3-1215_DFL FY05　Budget_FY08 PIC guideline(07.10.02KPI)_CHAO #2 Forecast Summary_FY12 Budget Final OC-China" xfId="5137" xr:uid="{CB1DEC9B-E615-4FE0-9508-42B0F7236BFB}"/>
    <cellStyle name="_xf05年工厂?益?算表格3-1215_DFL FY05　Budget_FY08 PIC guideline(07.10.02KPI)_CHAO #2 Forecast Summary_Sample Format" xfId="5138" xr:uid="{CD25FF58-DE94-46B0-B731-1E8EA67B8606}"/>
    <cellStyle name="_xf05年工厂?益?算表格3-1215_DFL FY05　Budget_FY08 PIC guideline(07.10.02KPI)_CHAO #2 Forecast Summary_Sample Format_Ａ&amp;O Consolidation Format_FCST3+9_v3" xfId="5139" xr:uid="{17B819CD-B946-4BE6-ABC1-571AD3EF9CCF}"/>
    <cellStyle name="_xf05年工厂?益?算表格3-1215_DFL FY05　Budget_FY08 PIC guideline(07.10.02KPI)_CHAO #2 Forecast Summary_Sample Format_A&amp;O Format" xfId="5140" xr:uid="{C603AAC1-0248-47C3-87A0-3CED9FF87C04}"/>
    <cellStyle name="_xf05年工厂?益?算表格3-1215_DFL FY05　Budget_FY08 PIC guideline(07.10.02KPI)_CHAO #2 Forecast Summary_Sample Format_A&amp;O Format_FCST3+9" xfId="5141" xr:uid="{BCC24265-D05E-487F-9E8D-C016D691E9A7}"/>
    <cellStyle name="_xf05年工厂?益?算表格3-1215_DFL FY05　Budget_FY08 PIC guideline(07.10.02KPI)_CHAO #2 Forecast Summary_Sample Format_A&amp;O Format_FCST3+9_v1" xfId="5142" xr:uid="{FF545534-1375-43D9-B83E-4503200BE5B0}"/>
    <cellStyle name="_xf05年工厂?益?算表格3-1215_DFL FY05　Budget_FY08 PIC guideline(07.10.02KPI)_Correct FC#2 AO OP" xfId="5143" xr:uid="{E0665C2A-CF21-4834-B8DD-65ABF9B47772}"/>
    <cellStyle name="_xf05年工厂?益?算表格3-1215_DFL FY05　Budget_FY08 PIC guideline(07.10.02KPI)_Correct FC#2 AO OP_FY12 Budget Final OC-China" xfId="5144" xr:uid="{C6B8485A-E33D-4FA3-861C-14960A7D2A44}"/>
    <cellStyle name="_xf05年工厂?益?算表格3-1215_DFL FY05　Budget_FY08 PIC guideline(07.10.02KPI)_Correct FC#2 AO OP_Sample Format" xfId="5145" xr:uid="{49EC604C-F034-407F-8176-270D73C19791}"/>
    <cellStyle name="_xf05年工厂?益?算表格3-1215_DFL FY05　Budget_FY08 PIC guideline(07.10.02KPI)_Correct FC#2 AO OP_Sample Format_Ａ&amp;O Consolidation Format_FCST3+9_v3" xfId="5146" xr:uid="{52351527-9ED1-4B8A-90EB-775441D9F6BF}"/>
    <cellStyle name="_xf05年工厂?益?算表格3-1215_DFL FY05　Budget_FY08 PIC guideline(07.10.02KPI)_Correct FC#2 AO OP_Sample Format_A&amp;O Format" xfId="5147" xr:uid="{1A69A732-D0E1-4621-97B9-E750A7CF9F4F}"/>
    <cellStyle name="_xf05年工厂?益?算表格3-1215_DFL FY05　Budget_FY08 PIC guideline(07.10.02KPI)_Correct FC#2 AO OP_Sample Format_A&amp;O Format_FCST3+9" xfId="5148" xr:uid="{28627912-218C-4497-BE93-930FF29634E4}"/>
    <cellStyle name="_xf05年工厂?益?算表格3-1215_DFL FY05　Budget_FY08 PIC guideline(07.10.02KPI)_Correct FC#2 AO OP_Sample Format_A&amp;O Format_FCST3+9_v1" xfId="5149" xr:uid="{099DD345-585D-4A4F-8BEA-7B99AFE1CB0B}"/>
    <cellStyle name="_xf05年工厂?益?算表格3-1215_DFL FY05　Budget_FY08 PIC guideline(07.10.02KPI)_FY10 FC#2_OP_Variance" xfId="5150" xr:uid="{F7B3BDB9-B47A-4F25-A2B0-C139AD2D2D95}"/>
    <cellStyle name="_xf05年工厂?益?算表格3-1215_DFL FY05　Budget_FY08 PIC guideline(07.10.02KPI)_FY10 FC#2_OP_Variance_FY12 Budget Final OC-China" xfId="5151" xr:uid="{0F5E33DE-ADE2-4D57-8D34-C220EF9EB97B}"/>
    <cellStyle name="_xf05年工厂?益?算表格3-1215_DFL FY05　Budget_FY08 PIC guideline(07.10.02KPI)_FY10 FC#2_OP_Variance_Sample Format" xfId="5152" xr:uid="{B3E60115-64E0-428F-A46B-677CA78D59DB}"/>
    <cellStyle name="_xf05年工厂?益?算表格3-1215_DFL FY05　Budget_FY08 PIC guideline(07.10.02KPI)_FY10 FC#2_OP_Variance_Sample Format_Ａ&amp;O Consolidation Format_FCST3+9_v3" xfId="5153" xr:uid="{BE3D145A-59DE-4C24-9187-024CA037428D}"/>
    <cellStyle name="_xf05年工厂?益?算表格3-1215_DFL FY05　Budget_FY08 PIC guideline(07.10.02KPI)_FY10 FC#2_OP_Variance_Sample Format_A&amp;O Format" xfId="5154" xr:uid="{3A4AF320-118D-4878-9C4C-C45563D507DB}"/>
    <cellStyle name="_xf05年工厂?益?算表格3-1215_DFL FY05　Budget_FY08 PIC guideline(07.10.02KPI)_FY10 FC#2_OP_Variance_Sample Format_A&amp;O Format_FCST3+9" xfId="5155" xr:uid="{E12F4305-6CAB-4B55-A569-2F4ED322B351}"/>
    <cellStyle name="_xf05年工厂?益?算表格3-1215_DFL FY05　Budget_FY08 PIC guideline(07.10.02KPI)_FY10 FC#2_OP_Variance_Sample Format_A&amp;O Format_FCST3+9_v1" xfId="5156" xr:uid="{3F066587-2756-409F-BC41-1DB8E35B560A}"/>
    <cellStyle name="_xf05年工厂?益?算表格3-1215_DFL FY05　Budget_FY08 PIC guideline(07.10.02KPI)_FY12 BP_Simulation information PKG_R" xfId="5157" xr:uid="{84C510BF-1647-4AC8-802D-7E0695E3CA17}"/>
    <cellStyle name="_xf05年工厂?益?算表格3-1215_DFL FY05　Budget_FY08 PIC guideline(07.10.02KPI)_FY12 BP_Simulation information PKG_R（SGA）" xfId="5158" xr:uid="{51B97EE9-1DEA-4258-9D47-E362A3ABF310}"/>
    <cellStyle name="_xf05年工厂?益?算表格3-1215_DFL FY05　Budget_FY08 PIC guideline(07.10.02KPI)_v1 FY11 Budget Sim summary" xfId="5159" xr:uid="{78095141-E534-402B-BB03-C8191520C9FC}"/>
    <cellStyle name="_xf05年工厂?益?算表格3-1215_DFL FY05　Budget_FY08 PIC guideline(07.10.02KPI)_v1 FY11 Budget Sim summary_FY12 Budget Final OC-China" xfId="5160" xr:uid="{A4DCF635-1B82-4A46-8054-77CA39DBC8D6}"/>
    <cellStyle name="_xf05年工厂?益?算表格3-1215_DFL FY05　Budget_FY08 PIC guideline(07.10.02KPI)_v1 FY11 Budget Sim summary_Sample Format" xfId="5161" xr:uid="{40AB57B3-CF41-44BE-98A4-C835CEBC84D6}"/>
    <cellStyle name="_xf05年工厂?益?算表格3-1215_DFL FY05　Budget_FY08 PIC guideline(07.10.02KPI)_v1 FY11 Budget Sim summary_Sample Format_Ａ&amp;O Consolidation Format_FCST3+9_v3" xfId="5162" xr:uid="{88760F0F-FE13-4D3F-88B2-2D817472787A}"/>
    <cellStyle name="_xf05年工厂?益?算表格3-1215_DFL FY05　Budget_FY08 PIC guideline(07.10.02KPI)_v1 FY11 Budget Sim summary_Sample Format_A&amp;O Format" xfId="5163" xr:uid="{9E700E00-F18F-4F51-A2D8-57476A509CB4}"/>
    <cellStyle name="_xf05年工厂?益?算表格3-1215_DFL FY05　Budget_FY08 PIC guideline(07.10.02KPI)_v1 FY11 Budget Sim summary_Sample Format_A&amp;O Format_FCST3+9" xfId="5164" xr:uid="{0AA837F2-B76E-40F2-A99E-B3F9898A5430}"/>
    <cellStyle name="_xf05年工厂?益?算表格3-1215_DFL FY05　Budget_FY08 PIC guideline(07.10.02KPI)_v1 FY11 Budget Sim summary_Sample Format_A&amp;O Format_FCST3+9_v1" xfId="5165" xr:uid="{BBBF12EA-BD75-467E-A09A-CF801A36B6FE}"/>
    <cellStyle name="_xf05年工厂?益?算表格3-1215_DFL FY05　Budget_FY08 PIC guideline(07.10.02KPI)_v2 CHAO #2 Forecast Summary" xfId="5166" xr:uid="{75A34812-0B87-4FDB-93E7-B5BB0666946B}"/>
    <cellStyle name="_xf05年工厂?益?算表格3-1215_DFL FY05　Budget_FY08 PIC guideline(07.10.02KPI)_v2 CHAO #2 Forecast Summary_FY12 Budget Final OC-China" xfId="5167" xr:uid="{7EEB3345-6F92-4440-9A81-667AF3C97D9D}"/>
    <cellStyle name="_xf05年工厂?益?算表格3-1215_DFL FY05　Budget_FY08 PIC guideline(07.10.02KPI)_v2 CHAO #2 Forecast Summary_Sample Format" xfId="5168" xr:uid="{D430D941-9229-4178-AA7F-43C7A315B916}"/>
    <cellStyle name="_xf05年工厂?益?算表格3-1215_DFL FY05　Budget_FY08 PIC guideline(07.10.02KPI)_v2 CHAO #2 Forecast Summary_Sample Format_Ａ&amp;O Consolidation Format_FCST3+9_v3" xfId="5169" xr:uid="{28F3E833-0DEE-40BD-99F4-B78964EEB2D4}"/>
    <cellStyle name="_xf05年工厂?益?算表格3-1215_DFL FY05　Budget_FY08 PIC guideline(07.10.02KPI)_v2 CHAO #2 Forecast Summary_Sample Format_A&amp;O Format" xfId="5170" xr:uid="{56999F9F-FB7F-4F5B-BBED-4F8B9663880D}"/>
    <cellStyle name="_xf05年工厂?益?算表格3-1215_DFL FY05　Budget_FY08 PIC guideline(07.10.02KPI)_v2 CHAO #2 Forecast Summary_Sample Format_A&amp;O Format_FCST3+9" xfId="5171" xr:uid="{60A99F83-9333-45D2-84A6-7FE3DA03EFB8}"/>
    <cellStyle name="_xf05年工厂?益?算表格3-1215_DFL FY05　Budget_FY08 PIC guideline(07.10.02KPI)_v2 CHAO #2 Forecast Summary_Sample Format_A&amp;O Format_FCST3+9_v1" xfId="5172" xr:uid="{903532B3-4230-4AF0-8232-122C10D2A393}"/>
    <cellStyle name="_xf05年工厂?益?算表格3-1215_DFL FY05　Budget_FY08 PIC guideline(07.10.02KPI)_v2 FY10 FC#2_OP_Variance" xfId="5173" xr:uid="{8828431A-592B-4FAD-84C6-725224E281AC}"/>
    <cellStyle name="_xf05年工厂?益?算表格3-1215_DFL FY05　Budget_FY08 PIC guideline(07.10.02KPI)_v2 FY10 FC#2_OP_Variance_FY12 Budget Final OC-China" xfId="5174" xr:uid="{A6DBC9FB-C200-4E95-8A52-34079D5E7738}"/>
    <cellStyle name="_xf05年工厂?益?算表格3-1215_DFL FY05　Budget_FY08 PIC guideline(07.10.02KPI)_v2 FY10 FC#2_OP_Variance_Sample Format" xfId="5175" xr:uid="{E67DC706-C39B-45B1-B0C1-DB5F946CFE7E}"/>
    <cellStyle name="_xf05年工厂?益?算表格3-1215_DFL FY05　Budget_FY08 PIC guideline(07.10.02KPI)_v2 FY10 FC#2_OP_Variance_Sample Format_Ａ&amp;O Consolidation Format_FCST3+9_v3" xfId="5176" xr:uid="{E006C0EF-95E5-4DD2-B6D6-43D6B8155D58}"/>
    <cellStyle name="_xf05年工厂?益?算表格3-1215_DFL FY05　Budget_FY08 PIC guideline(07.10.02KPI)_v2 FY10 FC#2_OP_Variance_Sample Format_A&amp;O Format" xfId="5177" xr:uid="{1BB107A8-4D42-4485-B501-6BFB34D448FD}"/>
    <cellStyle name="_xf05年工厂?益?算表格3-1215_DFL FY05　Budget_FY08 PIC guideline(07.10.02KPI)_v2 FY10 FC#2_OP_Variance_Sample Format_A&amp;O Format_FCST3+9" xfId="5178" xr:uid="{433E5C45-0655-460A-96F4-23624C8D39E2}"/>
    <cellStyle name="_xf05年工厂?益?算表格3-1215_DFL FY05　Budget_FY08 PIC guideline(07.10.02KPI)_v2 FY10 FC#2_OP_Variance_Sample Format_A&amp;O Format_FCST3+9_v1" xfId="5179" xr:uid="{EBB6445A-3982-4EF5-8EDC-66F539C21A08}"/>
    <cellStyle name="_xf05年工厂?益?算表格3-1215_DFL FY05　Budget_FY08 PIC guideline(07.10.02KPI)_v5 FY11 Budget Sim summary" xfId="5180" xr:uid="{14CC426D-DB00-4D3C-A261-B9937FBC5B43}"/>
    <cellStyle name="_xf05年工厂?益?算表格3-1215_DFL FY05　Budget_FY08 PIC guideline(07.10.02KPI)_v5 FY11 Budget Sim summary_FY12 Budget Final OC-China" xfId="5181" xr:uid="{418AD8CD-E178-46EF-85F8-CB68FE24DC7D}"/>
    <cellStyle name="_xf05年工厂?益?算表格3-1215_DFL FY05　Budget_FY08 PIC guideline(07.10.02KPI)_v5 FY11 Budget Sim summary_Sample Format" xfId="5182" xr:uid="{41E48DC3-EA96-4865-829F-2C122E394084}"/>
    <cellStyle name="_xf05年工厂?益?算表格3-1215_DFL FY05　Budget_FY08 PIC guideline(07.10.02KPI)_v5 FY11 Budget Sim summary_Sample Format_Ａ&amp;O Consolidation Format_FCST3+9_v3" xfId="5183" xr:uid="{3C4FB12E-1975-4393-BB99-4052862B1F4F}"/>
    <cellStyle name="_xf05年工厂?益?算表格3-1215_DFL FY05　Budget_FY08 PIC guideline(07.10.02KPI)_v5 FY11 Budget Sim summary_Sample Format_A&amp;O Format" xfId="5184" xr:uid="{F2997EFF-7734-4217-914E-4A55B365E43F}"/>
    <cellStyle name="_xf05年工厂?益?算表格3-1215_DFL FY05　Budget_FY08 PIC guideline(07.10.02KPI)_v5 FY11 Budget Sim summary_Sample Format_A&amp;O Format_FCST3+9" xfId="5185" xr:uid="{D6FFACBD-2591-4071-B01A-FEE91E87300C}"/>
    <cellStyle name="_xf05年工厂?益?算表格3-1215_DFL FY05　Budget_FY08 PIC guideline(07.10.02KPI)_v5 FY11 Budget Sim summary_Sample Format_A&amp;O Format_FCST3+9_v1" xfId="5186" xr:uid="{25DC4866-75C6-4F5A-9F1E-26EEE0A8CC3F}"/>
    <cellStyle name="_xf05年工厂?益?算表格3-1215_DFL FY05　Budget_FY08 PIC guideline(07.10.02KPI)_コピー【Master】 FY12 Simula tion Excel PKG for Auto" xfId="5187" xr:uid="{22A07DCB-C18E-47E5-9CE3-77BD3FA24A1B}"/>
    <cellStyle name="_xf05年工厂?益?算表格3-1215_DFL FY05　Budget_FY08 PIC guideline(07.10.02KPI)_これマスター　FCF_FY12 Simulation Excel PKG for Auto" xfId="5188" xr:uid="{CB8C06C7-93B3-45C2-AEFE-6FE6820FE1FB}"/>
    <cellStyle name="_xf05年工厂?益?算表格3-1215_DFL FY05　Budget_FY10 FC#2_OP_Variance" xfId="5189" xr:uid="{1F4DE2B6-CB61-45FC-908E-55E7EFE81127}"/>
    <cellStyle name="_xf05年工厂?益?算表格3-1215_DFL FY05　Budget_FY10 FC#2_OP_Variance_FY12 Budget Final OC-China" xfId="5190" xr:uid="{4FAD133F-7CE4-419F-960C-E6D7FCF77AF7}"/>
    <cellStyle name="_xf05年工厂?益?算表格3-1215_DFL FY05　Budget_FY10 FC#2_OP_Variance_Sample Format" xfId="5191" xr:uid="{61FE373E-03CE-411B-B157-A84BCEC196B6}"/>
    <cellStyle name="_xf05年工厂?益?算表格3-1215_DFL FY05　Budget_FY10 FC#2_OP_Variance_Sample Format_Ａ&amp;O Consolidation Format_FCST3+9_v3" xfId="5192" xr:uid="{5DE31803-0AF5-4DB2-88CE-CF16193ED11A}"/>
    <cellStyle name="_xf05年工厂?益?算表格3-1215_DFL FY05　Budget_FY10 FC#2_OP_Variance_Sample Format_A&amp;O Format" xfId="5193" xr:uid="{F0086493-8F0C-4F7D-AC6E-428D55CE9305}"/>
    <cellStyle name="_xf05年工厂?益?算表格3-1215_DFL FY05　Budget_FY10 FC#2_OP_Variance_Sample Format_A&amp;O Format_FCST3+9" xfId="5194" xr:uid="{3A989239-1EA9-47BD-9E11-67D4395B545E}"/>
    <cellStyle name="_xf05年工厂?益?算表格3-1215_DFL FY05　Budget_FY10 FC#2_OP_Variance_Sample Format_A&amp;O Format_FCST3+9_v1" xfId="5195" xr:uid="{128CB9CE-7512-4D27-96C9-CB21AE167E67}"/>
    <cellStyle name="_xf05年工厂?益?算表格3-1215_DFL FY05　Budget_FY12 BP_Simulation information PKG_R" xfId="5196" xr:uid="{D2465410-EA5C-40C1-ABDD-714C06096E43}"/>
    <cellStyle name="_xf05年工厂?益?算表格3-1215_DFL FY05　Budget_FY12 BP_Simulation information PKG_R（SGA）" xfId="5197" xr:uid="{5CF9AB7A-42C9-45DE-990A-E9B56D85210A}"/>
    <cellStyle name="_xf05年工厂?益?算表格3-1215_DFL FY05　Budget_MFG_Reply_Summary(07-11-02版)" xfId="5198" xr:uid="{5DEF25EF-4849-4C3D-B315-1C9BBE0426EC}"/>
    <cellStyle name="_xf05年工厂?益?算表格3-1215_DFL FY05　Budget_MFG_Reply_Summary(07-11-02版)_#1 Forecast Summary" xfId="5199" xr:uid="{AC328DAA-C7B6-4167-9060-9F207B7282DC}"/>
    <cellStyle name="_xf05年工厂?益?算表格3-1215_DFL FY05　Budget_MFG_Reply_Summary(07-11-02版)_#1 Forecast Summary_FY12 Budget Final OC-China" xfId="5200" xr:uid="{15CE66D4-32DA-4672-8B3F-C8C402802825}"/>
    <cellStyle name="_xf05年工厂?益?算表格3-1215_DFL FY05　Budget_MFG_Reply_Summary(07-11-02版)_#1 Forecast Summary_Sample Format" xfId="5201" xr:uid="{4F2C9AD8-2593-467F-A3BD-6713308B7194}"/>
    <cellStyle name="_xf05年工厂?益?算表格3-1215_DFL FY05　Budget_MFG_Reply_Summary(07-11-02版)_#1 Forecast Summary_Sample Format_Ａ&amp;O Consolidation Format_FCST3+9_v3" xfId="5202" xr:uid="{8834ED86-F699-42E4-AD0B-6FE99457F07D}"/>
    <cellStyle name="_xf05年工厂?益?算表格3-1215_DFL FY05　Budget_MFG_Reply_Summary(07-11-02版)_#1 Forecast Summary_Sample Format_A&amp;O Format" xfId="5203" xr:uid="{C2EC039C-DA28-41A9-B36F-41744ADC3AC0}"/>
    <cellStyle name="_xf05年工厂?益?算表格3-1215_DFL FY05　Budget_MFG_Reply_Summary(07-11-02版)_#1 Forecast Summary_Sample Format_A&amp;O Format_FCST3+9" xfId="5204" xr:uid="{DB57D7D4-1FB3-4970-AE9F-340ACCA31743}"/>
    <cellStyle name="_xf05年工厂?益?算表格3-1215_DFL FY05　Budget_MFG_Reply_Summary(07-11-02版)_#1 Forecast Summary_Sample Format_A&amp;O Format_FCST3+9_v1" xfId="5205" xr:uid="{742E7029-302E-4029-BAF7-3D62D7EB7969}"/>
    <cellStyle name="_xf05年工厂?益?算表格3-1215_DFL FY05　Budget_MFG_Reply_Summary(07-11-02版)_(CHAO) FY10 Forecast#1 Regional Comment" xfId="5206" xr:uid="{81CF7017-6EAF-42C6-8518-AD54C1D27D47}"/>
    <cellStyle name="_xf05年工厂?益?算表格3-1215_DFL FY05　Budget_MFG_Reply_Summary(07-11-02版)_(CHAO) FY10 Forecast#1 Regional Comment_FY12 Budget Final OC-China" xfId="5207" xr:uid="{4269825F-2F4A-4B2E-B6D3-C95001E86EA4}"/>
    <cellStyle name="_xf05年工厂?益?算表格3-1215_DFL FY05　Budget_MFG_Reply_Summary(07-11-02版)_(CHAO) FY10 Forecast#1 Regional Comment_Sample Format" xfId="5208" xr:uid="{81579664-7AA7-40E3-9823-8307010AE56E}"/>
    <cellStyle name="_xf05年工厂?益?算表格3-1215_DFL FY05　Budget_MFG_Reply_Summary(07-11-02版)_(CHAO) FY10 Forecast#1 Regional Comment_Sample Format_Ａ&amp;O Consolidation Format_FCST3+9_v3" xfId="5209" xr:uid="{8B1D403E-CA31-4C88-9CF7-26EB2D7F999E}"/>
    <cellStyle name="_xf05年工厂?益?算表格3-1215_DFL FY05　Budget_MFG_Reply_Summary(07-11-02版)_(CHAO) FY10 Forecast#1 Regional Comment_Sample Format_A&amp;O Format" xfId="5210" xr:uid="{249AE889-F000-4BE8-A282-5BC849A00612}"/>
    <cellStyle name="_xf05年工厂?益?算表格3-1215_DFL FY05　Budget_MFG_Reply_Summary(07-11-02版)_(CHAO) FY10 Forecast#1 Regional Comment_Sample Format_A&amp;O Format_FCST3+9" xfId="5211" xr:uid="{2DE79521-B0D6-454F-9778-3FF63BD7FE67}"/>
    <cellStyle name="_xf05年工厂?益?算表格3-1215_DFL FY05　Budget_MFG_Reply_Summary(07-11-02版)_(CHAO) FY10 Forecast#1 Regional Comment_Sample Format_A&amp;O Format_FCST3+9_v1" xfId="5212" xr:uid="{FD03C153-521E-4A36-AFBD-1C68FB5A20A5}"/>
    <cellStyle name="_xf05年工厂?益?算表格3-1215_DFL FY05　Budget_MFG_Reply_Summary(07-11-02版)_【Master】 FY12 Simulation Excel PKG for Auto" xfId="5213" xr:uid="{F33208D1-67E5-4EF5-AF41-4746AA1EC520}"/>
    <cellStyle name="_xf05年工厂?益?算表格3-1215_DFL FY05　Budget_MFG_Reply_Summary(07-11-02版)_【Master】 FY12 Simulation Excel PKG for Auto (2)" xfId="5214" xr:uid="{7FAB6D89-3A59-4710-A647-6A300F470AED}"/>
    <cellStyle name="_xf05年工厂?益?算表格3-1215_DFL FY05　Budget_MFG_Reply_Summary(07-11-02版)_【Master】 FY12 Simulation Excel PKG for Auto_sugii" xfId="5215" xr:uid="{C53F3EEA-E70F-4276-97AB-FBE0DDE0430B}"/>
    <cellStyle name="_xf05年工厂?益?算表格3-1215_DFL FY05　Budget_MFG_Reply_Summary(07-11-02版)_【Master】 FY12 Simulation Excel PKG for Auto_sugii (2)" xfId="5216" xr:uid="{E7879482-6E9D-48E1-A4AB-D5327E7C43BB}"/>
    <cellStyle name="_xf05年工厂?益?算表格3-1215_DFL FY05　Budget_MFG_Reply_Summary(07-11-02版)_【Shibayama】 FY12 Simulation Excel PKG for Auto" xfId="5217" xr:uid="{3066E0BC-CFF9-411B-A7F3-ECA75F1F963C}"/>
    <cellStyle name="_xf05年工厂?益?算表格3-1215_DFL FY05　Budget_MFG_Reply_Summary(07-11-02版)_Ａ&amp;O Consolidation Format_FCST3+9_v3" xfId="5218" xr:uid="{A892B86A-6591-4325-8C5D-3DC404572113}"/>
    <cellStyle name="_xf05年工厂?益?算表格3-1215_DFL FY05　Budget_MFG_Reply_Summary(07-11-02版)_A&amp;O Format" xfId="5219" xr:uid="{8AAC32E6-E65E-4ECC-86A5-0F15E10DCCE5}"/>
    <cellStyle name="_xf05年工厂?益?算表格3-1215_DFL FY05　Budget_MFG_Reply_Summary(07-11-02版)_A&amp;O Format_FCST3+9" xfId="5220" xr:uid="{AA35ABCE-B130-480E-968D-386AC2668A71}"/>
    <cellStyle name="_xf05年工厂?益?算表格3-1215_DFL FY05　Budget_MFG_Reply_Summary(07-11-02版)_A&amp;O Format_FCST3+9_v1" xfId="5221" xr:uid="{629E2120-92F5-444A-97F8-AC0E0FEC2FAD}"/>
    <cellStyle name="_xf05年工厂?益?算表格3-1215_DFL FY05　Budget_MFG_Reply_Summary(07-11-02版)_CHAO #2 Forecast Summary" xfId="5222" xr:uid="{DAAA6AE2-D237-4764-80E0-9BB33701CECD}"/>
    <cellStyle name="_xf05年工厂?益?算表格3-1215_DFL FY05　Budget_MFG_Reply_Summary(07-11-02版)_CHAO #2 Forecast Summary_FY12 Budget Final OC-China" xfId="5223" xr:uid="{CF9A8BAE-391D-4D4D-A1E8-88553A57C57E}"/>
    <cellStyle name="_xf05年工厂?益?算表格3-1215_DFL FY05　Budget_MFG_Reply_Summary(07-11-02版)_CHAO #2 Forecast Summary_Sample Format" xfId="5224" xr:uid="{282E1826-33BE-42E4-988E-B963D6B67922}"/>
    <cellStyle name="_xf05年工厂?益?算表格3-1215_DFL FY05　Budget_MFG_Reply_Summary(07-11-02版)_CHAO #2 Forecast Summary_Sample Format_Ａ&amp;O Consolidation Format_FCST3+9_v3" xfId="5225" xr:uid="{D6B151C6-FEF3-4E90-931D-D56CAEBE69C0}"/>
    <cellStyle name="_xf05年工厂?益?算表格3-1215_DFL FY05　Budget_MFG_Reply_Summary(07-11-02版)_CHAO #2 Forecast Summary_Sample Format_A&amp;O Format" xfId="5226" xr:uid="{47A39A35-35BC-48EA-B4C2-5BA345E01984}"/>
    <cellStyle name="_xf05年工厂?益?算表格3-1215_DFL FY05　Budget_MFG_Reply_Summary(07-11-02版)_CHAO #2 Forecast Summary_Sample Format_A&amp;O Format_FCST3+9" xfId="5227" xr:uid="{3DDA1FE6-C160-48A4-A5AE-1198A27E02CB}"/>
    <cellStyle name="_xf05年工厂?益?算表格3-1215_DFL FY05　Budget_MFG_Reply_Summary(07-11-02版)_CHAO #2 Forecast Summary_Sample Format_A&amp;O Format_FCST3+9_v1" xfId="5228" xr:uid="{7DC3A8AF-3061-49F0-8B25-6075AC713D57}"/>
    <cellStyle name="_xf05年工厂?益?算表格3-1215_DFL FY05　Budget_MFG_Reply_Summary(07-11-02版)_Correct FC#2 AO OP" xfId="5229" xr:uid="{B023EA24-6492-4FFC-98AB-680D3E534623}"/>
    <cellStyle name="_xf05年工厂?益?算表格3-1215_DFL FY05　Budget_MFG_Reply_Summary(07-11-02版)_Correct FC#2 AO OP_FY12 Budget Final OC-China" xfId="5230" xr:uid="{50DCB90A-97C0-45B5-B8E0-2BED3752FC2C}"/>
    <cellStyle name="_xf05年工厂?益?算表格3-1215_DFL FY05　Budget_MFG_Reply_Summary(07-11-02版)_Correct FC#2 AO OP_Sample Format" xfId="5231" xr:uid="{1FE12B2F-4521-45A7-8254-C37BEF31AA3B}"/>
    <cellStyle name="_xf05年工厂?益?算表格3-1215_DFL FY05　Budget_MFG_Reply_Summary(07-11-02版)_Correct FC#2 AO OP_Sample Format_Ａ&amp;O Consolidation Format_FCST3+9_v3" xfId="5232" xr:uid="{89EA3FE7-FBCE-406C-AE85-C2AA57DB14FA}"/>
    <cellStyle name="_xf05年工厂?益?算表格3-1215_DFL FY05　Budget_MFG_Reply_Summary(07-11-02版)_Correct FC#2 AO OP_Sample Format_A&amp;O Format" xfId="5233" xr:uid="{58D48325-F9F1-461D-A32E-1E3D30640EC9}"/>
    <cellStyle name="_xf05年工厂?益?算表格3-1215_DFL FY05　Budget_MFG_Reply_Summary(07-11-02版)_Correct FC#2 AO OP_Sample Format_A&amp;O Format_FCST3+9" xfId="5234" xr:uid="{A8FDE745-6CFD-4E94-8649-BE7C8BC563A4}"/>
    <cellStyle name="_xf05年工厂?益?算表格3-1215_DFL FY05　Budget_MFG_Reply_Summary(07-11-02版)_Correct FC#2 AO OP_Sample Format_A&amp;O Format_FCST3+9_v1" xfId="5235" xr:uid="{DA5F33A1-11A5-4D34-96E7-B5EB61584612}"/>
    <cellStyle name="_xf05年工厂?益?算表格3-1215_DFL FY05　Budget_MFG_Reply_Summary(07-11-02版)_FY10 FC#2_OP_Variance" xfId="5236" xr:uid="{FAFA0B01-5A67-41BA-A5B3-DCB3D9CA03D8}"/>
    <cellStyle name="_xf05年工厂?益?算表格3-1215_DFL FY05　Budget_MFG_Reply_Summary(07-11-02版)_FY10 FC#2_OP_Variance_FY12 Budget Final OC-China" xfId="5237" xr:uid="{B570B464-3C31-48D3-B390-AFB69A29B07D}"/>
    <cellStyle name="_xf05年工厂?益?算表格3-1215_DFL FY05　Budget_MFG_Reply_Summary(07-11-02版)_FY10 FC#2_OP_Variance_Sample Format" xfId="5238" xr:uid="{2D733328-1F0C-4B70-B14F-F0A470C651DE}"/>
    <cellStyle name="_xf05年工厂?益?算表格3-1215_DFL FY05　Budget_MFG_Reply_Summary(07-11-02版)_FY10 FC#2_OP_Variance_Sample Format_Ａ&amp;O Consolidation Format_FCST3+9_v3" xfId="5239" xr:uid="{401A513C-C831-4E34-98B3-B7280208E758}"/>
    <cellStyle name="_xf05年工厂?益?算表格3-1215_DFL FY05　Budget_MFG_Reply_Summary(07-11-02版)_FY10 FC#2_OP_Variance_Sample Format_A&amp;O Format" xfId="5240" xr:uid="{AE63F50B-B322-4F7C-9465-1080C2AACDC7}"/>
    <cellStyle name="_xf05年工厂?益?算表格3-1215_DFL FY05　Budget_MFG_Reply_Summary(07-11-02版)_FY10 FC#2_OP_Variance_Sample Format_A&amp;O Format_FCST3+9" xfId="5241" xr:uid="{328BA078-80FF-4BF9-AA08-782BF05BA7F7}"/>
    <cellStyle name="_xf05年工厂?益?算表格3-1215_DFL FY05　Budget_MFG_Reply_Summary(07-11-02版)_FY10 FC#2_OP_Variance_Sample Format_A&amp;O Format_FCST3+9_v1" xfId="5242" xr:uid="{D67E5391-E124-45EC-93F8-4BB60EC25F6E}"/>
    <cellStyle name="_xf05年工厂?益?算表格3-1215_DFL FY05　Budget_MFG_Reply_Summary(07-11-02版)_FY12 BP_Simulation information PKG_R" xfId="5243" xr:uid="{6FB5290A-869E-43B3-9CEA-C895165D7675}"/>
    <cellStyle name="_xf05年工厂?益?算表格3-1215_DFL FY05　Budget_MFG_Reply_Summary(07-11-02版)_FY12 BP_Simulation information PKG_R（SGA）" xfId="5244" xr:uid="{E93DCB83-5A72-4718-A338-D0CF7A9B6BE7}"/>
    <cellStyle name="_xf05年工厂?益?算表格3-1215_DFL FY05　Budget_MFG_Reply_Summary(07-11-02版)_v1 FY11 Budget Sim summary" xfId="5245" xr:uid="{D97FB567-D4A1-401E-A21F-A6E2E8B5D681}"/>
    <cellStyle name="_xf05年工厂?益?算表格3-1215_DFL FY05　Budget_MFG_Reply_Summary(07-11-02版)_v1 FY11 Budget Sim summary_FY12 Budget Final OC-China" xfId="5246" xr:uid="{DA6C6AC9-43DA-44C7-A176-B3CEA1731C3B}"/>
    <cellStyle name="_xf05年工厂?益?算表格3-1215_DFL FY05　Budget_MFG_Reply_Summary(07-11-02版)_v1 FY11 Budget Sim summary_Sample Format" xfId="5247" xr:uid="{3556EF69-9194-4358-BD72-A3808DBD595C}"/>
    <cellStyle name="_xf05年工厂?益?算表格3-1215_DFL FY05　Budget_MFG_Reply_Summary(07-11-02版)_v1 FY11 Budget Sim summary_Sample Format_Ａ&amp;O Consolidation Format_FCST3+9_v3" xfId="5248" xr:uid="{C9ED4805-5E6E-416B-BEF0-74CA10676EF0}"/>
    <cellStyle name="_xf05年工厂?益?算表格3-1215_DFL FY05　Budget_MFG_Reply_Summary(07-11-02版)_v1 FY11 Budget Sim summary_Sample Format_A&amp;O Format" xfId="5249" xr:uid="{7046149E-2738-4B1A-95C4-2EF99657DEA1}"/>
    <cellStyle name="_xf05年工厂?益?算表格3-1215_DFL FY05　Budget_MFG_Reply_Summary(07-11-02版)_v1 FY11 Budget Sim summary_Sample Format_A&amp;O Format_FCST3+9" xfId="5250" xr:uid="{04B4A01B-4640-4617-A621-E9B4622FA917}"/>
    <cellStyle name="_xf05年工厂?益?算表格3-1215_DFL FY05　Budget_MFG_Reply_Summary(07-11-02版)_v1 FY11 Budget Sim summary_Sample Format_A&amp;O Format_FCST3+9_v1" xfId="5251" xr:uid="{367FF8B3-244D-478F-9A71-57B3AFD09B0A}"/>
    <cellStyle name="_xf05年工厂?益?算表格3-1215_DFL FY05　Budget_MFG_Reply_Summary(07-11-02版)_v2 CHAO #2 Forecast Summary" xfId="5252" xr:uid="{5B18AFC2-A5FC-4F2C-8205-060B4FFD5BB1}"/>
    <cellStyle name="_xf05年工厂?益?算表格3-1215_DFL FY05　Budget_MFG_Reply_Summary(07-11-02版)_v2 CHAO #2 Forecast Summary_FY12 Budget Final OC-China" xfId="5253" xr:uid="{9315E5CB-1CA9-4361-BBAC-7A541EF741FD}"/>
    <cellStyle name="_xf05年工厂?益?算表格3-1215_DFL FY05　Budget_MFG_Reply_Summary(07-11-02版)_v2 CHAO #2 Forecast Summary_Sample Format" xfId="5254" xr:uid="{C113DA85-3FF8-40C3-9699-3132C922B1FB}"/>
    <cellStyle name="_xf05年工厂?益?算表格3-1215_DFL FY05　Budget_MFG_Reply_Summary(07-11-02版)_v2 CHAO #2 Forecast Summary_Sample Format_Ａ&amp;O Consolidation Format_FCST3+9_v3" xfId="5255" xr:uid="{044E8ED7-333B-411E-82DF-9A1DF1A8A085}"/>
    <cellStyle name="_xf05年工厂?益?算表格3-1215_DFL FY05　Budget_MFG_Reply_Summary(07-11-02版)_v2 CHAO #2 Forecast Summary_Sample Format_A&amp;O Format" xfId="5256" xr:uid="{FD67FE59-881C-4678-B222-F378ABA2610F}"/>
    <cellStyle name="_xf05年工厂?益?算表格3-1215_DFL FY05　Budget_MFG_Reply_Summary(07-11-02版)_v2 CHAO #2 Forecast Summary_Sample Format_A&amp;O Format_FCST3+9" xfId="5257" xr:uid="{327F7C16-F157-4BE5-B581-EFFF62E0AB6D}"/>
    <cellStyle name="_xf05年工厂?益?算表格3-1215_DFL FY05　Budget_MFG_Reply_Summary(07-11-02版)_v2 CHAO #2 Forecast Summary_Sample Format_A&amp;O Format_FCST3+9_v1" xfId="5258" xr:uid="{3B84F294-A0FD-463C-B9EA-79051106F1C2}"/>
    <cellStyle name="_xf05年工厂?益?算表格3-1215_DFL FY05　Budget_MFG_Reply_Summary(07-11-02版)_v2 FY10 FC#2_OP_Variance" xfId="5259" xr:uid="{1AD6482B-2962-4BAE-9EA8-08721D6ED18F}"/>
    <cellStyle name="_xf05年工厂?益?算表格3-1215_DFL FY05　Budget_MFG_Reply_Summary(07-11-02版)_v2 FY10 FC#2_OP_Variance_FY12 Budget Final OC-China" xfId="5260" xr:uid="{60049CC9-EC0A-4E0A-BBAE-508DBA1738F2}"/>
    <cellStyle name="_xf05年工厂?益?算表格3-1215_DFL FY05　Budget_MFG_Reply_Summary(07-11-02版)_v2 FY10 FC#2_OP_Variance_Sample Format" xfId="5261" xr:uid="{49BE5510-4C7A-4E9A-92C0-E1F7B0880FBE}"/>
    <cellStyle name="_xf05年工厂?益?算表格3-1215_DFL FY05　Budget_MFG_Reply_Summary(07-11-02版)_v2 FY10 FC#2_OP_Variance_Sample Format_Ａ&amp;O Consolidation Format_FCST3+9_v3" xfId="5262" xr:uid="{22CBD1B4-35F5-4E38-9A78-478D2734034D}"/>
    <cellStyle name="_xf05年工厂?益?算表格3-1215_DFL FY05　Budget_MFG_Reply_Summary(07-11-02版)_v2 FY10 FC#2_OP_Variance_Sample Format_A&amp;O Format" xfId="5263" xr:uid="{7FE9E546-5B9C-49A7-9E09-A9FDEBDE119C}"/>
    <cellStyle name="_xf05年工厂?益?算表格3-1215_DFL FY05　Budget_MFG_Reply_Summary(07-11-02版)_v2 FY10 FC#2_OP_Variance_Sample Format_A&amp;O Format_FCST3+9" xfId="5264" xr:uid="{CF35229C-08E5-480F-8C95-CBDDE65D367C}"/>
    <cellStyle name="_xf05年工厂?益?算表格3-1215_DFL FY05　Budget_MFG_Reply_Summary(07-11-02版)_v2 FY10 FC#2_OP_Variance_Sample Format_A&amp;O Format_FCST3+9_v1" xfId="5265" xr:uid="{78C9BA13-5F99-4E09-97C0-7A5D6C6580A5}"/>
    <cellStyle name="_xf05年工厂?益?算表格3-1215_DFL FY05　Budget_MFG_Reply_Summary(07-11-02版)_v5 FY11 Budget Sim summary" xfId="5266" xr:uid="{CC0B6084-9E87-4F1C-9DFC-9511B05C528B}"/>
    <cellStyle name="_xf05年工厂?益?算表格3-1215_DFL FY05　Budget_MFG_Reply_Summary(07-11-02版)_v5 FY11 Budget Sim summary_FY12 Budget Final OC-China" xfId="5267" xr:uid="{F50046B2-F5FB-4D39-A938-508142D59377}"/>
    <cellStyle name="_xf05年工厂?益?算表格3-1215_DFL FY05　Budget_MFG_Reply_Summary(07-11-02版)_v5 FY11 Budget Sim summary_Sample Format" xfId="5268" xr:uid="{8A17CB40-F5CF-4278-AD1C-7DF75CD0EBB5}"/>
    <cellStyle name="_xf05年工厂?益?算表格3-1215_DFL FY05　Budget_MFG_Reply_Summary(07-11-02版)_v5 FY11 Budget Sim summary_Sample Format_Ａ&amp;O Consolidation Format_FCST3+9_v3" xfId="5269" xr:uid="{89E99589-D083-49C7-A2B7-3FE255A888EB}"/>
    <cellStyle name="_xf05年工厂?益?算表格3-1215_DFL FY05　Budget_MFG_Reply_Summary(07-11-02版)_v5 FY11 Budget Sim summary_Sample Format_A&amp;O Format" xfId="5270" xr:uid="{48C523EA-826B-462D-9D5D-722E1C7C2443}"/>
    <cellStyle name="_xf05年工厂?益?算表格3-1215_DFL FY05　Budget_MFG_Reply_Summary(07-11-02版)_v5 FY11 Budget Sim summary_Sample Format_A&amp;O Format_FCST3+9" xfId="5271" xr:uid="{D819A2C3-284C-442E-B525-B2AF0CC71024}"/>
    <cellStyle name="_xf05年工厂?益?算表格3-1215_DFL FY05　Budget_MFG_Reply_Summary(07-11-02版)_v5 FY11 Budget Sim summary_Sample Format_A&amp;O Format_FCST3+9_v1" xfId="5272" xr:uid="{6983A104-85D1-44B3-ADAF-DC6AF66A20C8}"/>
    <cellStyle name="_xf05年工厂?益?算表格3-1215_DFL FY05　Budget_MFG_Reply_Summary(07-11-02版)_コピー【Master】 FY12 Simula tion Excel PKG for Auto" xfId="5273" xr:uid="{D3AE33C1-2C6E-4103-B362-BC4F220FC58D}"/>
    <cellStyle name="_xf05年工厂?益?算表格3-1215_DFL FY05　Budget_MFG_Reply_Summary(07-11-02版)_これマスター　FCF_FY12 Simulation Excel PKG for Auto" xfId="5274" xr:uid="{62C851CD-6CE9-44FF-8288-BF20A59BFFA4}"/>
    <cellStyle name="_xf05年工厂?益?算表格3-1215_DFL FY05　Budget_MFG_Reply_Suumary" xfId="5275" xr:uid="{02E62744-CE91-448A-B9F4-B6B7AFA22BF1}"/>
    <cellStyle name="_xf05年工厂?益?算表格3-1215_DFL FY05　Budget_MFG_Reply_Suumary_#1 Forecast Summary" xfId="5276" xr:uid="{260863C1-8AAB-4DF5-B48E-DC69EA772ACE}"/>
    <cellStyle name="_xf05年工厂?益?算表格3-1215_DFL FY05　Budget_MFG_Reply_Suumary_#1 Forecast Summary_FY12 Budget Final OC-China" xfId="5277" xr:uid="{AFE48D2B-3D9B-4F8A-BB2D-A0C8AB8B8833}"/>
    <cellStyle name="_xf05年工厂?益?算表格3-1215_DFL FY05　Budget_MFG_Reply_Suumary_#1 Forecast Summary_Sample Format" xfId="5278" xr:uid="{BCC9DB74-EAD3-4A6D-BB3A-474256965402}"/>
    <cellStyle name="_xf05年工厂?益?算表格3-1215_DFL FY05　Budget_MFG_Reply_Suumary_#1 Forecast Summary_Sample Format_Ａ&amp;O Consolidation Format_FCST3+9_v3" xfId="5279" xr:uid="{8B2DE0AD-2F1E-4E8E-AF06-5691B14ECD1F}"/>
    <cellStyle name="_xf05年工厂?益?算表格3-1215_DFL FY05　Budget_MFG_Reply_Suumary_#1 Forecast Summary_Sample Format_A&amp;O Format" xfId="5280" xr:uid="{9C8F67F8-A0F6-4E24-BDB1-5C8659994498}"/>
    <cellStyle name="_xf05年工厂?益?算表格3-1215_DFL FY05　Budget_MFG_Reply_Suumary_#1 Forecast Summary_Sample Format_A&amp;O Format_FCST3+9" xfId="5281" xr:uid="{CEAF86AE-EF06-4EA3-B8A7-A89841DDE132}"/>
    <cellStyle name="_xf05年工厂?益?算表格3-1215_DFL FY05　Budget_MFG_Reply_Suumary_#1 Forecast Summary_Sample Format_A&amp;O Format_FCST3+9_v1" xfId="5282" xr:uid="{C804D56B-2594-414F-B8EE-7CD11BBE1F0E}"/>
    <cellStyle name="_xf05年工厂?益?算表格3-1215_DFL FY05　Budget_MFG_Reply_Suumary_(CHAO) FY10 Forecast#1 Regional Comment" xfId="5283" xr:uid="{7086CF73-F287-402B-8B0F-82FA1045F7C2}"/>
    <cellStyle name="_xf05年工厂?益?算表格3-1215_DFL FY05　Budget_MFG_Reply_Suumary_(CHAO) FY10 Forecast#1 Regional Comment_FY12 Budget Final OC-China" xfId="5284" xr:uid="{2E0A8492-F332-48E3-8ECF-04F6CF37CA60}"/>
    <cellStyle name="_xf05年工厂?益?算表格3-1215_DFL FY05　Budget_MFG_Reply_Suumary_(CHAO) FY10 Forecast#1 Regional Comment_Sample Format" xfId="5285" xr:uid="{CBA3C467-9C9E-4AEB-A500-44F27EEF21CE}"/>
    <cellStyle name="_xf05年工厂?益?算表格3-1215_DFL FY05　Budget_MFG_Reply_Suumary_(CHAO) FY10 Forecast#1 Regional Comment_Sample Format_Ａ&amp;O Consolidation Format_FCST3+9_v3" xfId="5286" xr:uid="{F1F19780-C27A-416C-A9DD-D7E7CEAE1D19}"/>
    <cellStyle name="_xf05年工厂?益?算表格3-1215_DFL FY05　Budget_MFG_Reply_Suumary_(CHAO) FY10 Forecast#1 Regional Comment_Sample Format_A&amp;O Format" xfId="5287" xr:uid="{EE365CF9-6E1C-468A-870D-E37F509AEBC2}"/>
    <cellStyle name="_xf05年工厂?益?算表格3-1215_DFL FY05　Budget_MFG_Reply_Suumary_(CHAO) FY10 Forecast#1 Regional Comment_Sample Format_A&amp;O Format_FCST3+9" xfId="5288" xr:uid="{8C6AED78-1039-41CC-BAA7-92118184A1D3}"/>
    <cellStyle name="_xf05年工厂?益?算表格3-1215_DFL FY05　Budget_MFG_Reply_Suumary_(CHAO) FY10 Forecast#1 Regional Comment_Sample Format_A&amp;O Format_FCST3+9_v1" xfId="5289" xr:uid="{772A8416-91EB-4272-90AE-57C94E1385F8}"/>
    <cellStyle name="_xf05年工厂?益?算表格3-1215_DFL FY05　Budget_MFG_Reply_Suumary_【Master】 FY12 Simulation Excel PKG for Auto" xfId="5290" xr:uid="{99D0567E-AC98-44B0-84F5-12E3FBCFDE4D}"/>
    <cellStyle name="_xf05年工厂?益?算表格3-1215_DFL FY05　Budget_MFG_Reply_Suumary_【Master】 FY12 Simulation Excel PKG for Auto (2)" xfId="5291" xr:uid="{E371BF1B-F546-4385-B5D9-468628E442CF}"/>
    <cellStyle name="_xf05年工厂?益?算表格3-1215_DFL FY05　Budget_MFG_Reply_Suumary_【Master】 FY12 Simulation Excel PKG for Auto_sugii" xfId="5292" xr:uid="{E200AEC5-B093-42F3-BA84-B8E4FF44114F}"/>
    <cellStyle name="_xf05年工厂?益?算表格3-1215_DFL FY05　Budget_MFG_Reply_Suumary_【Master】 FY12 Simulation Excel PKG for Auto_sugii (2)" xfId="5293" xr:uid="{B7B74645-EE96-4BBA-95FD-BB27D979610E}"/>
    <cellStyle name="_xf05年工厂?益?算表格3-1215_DFL FY05　Budget_MFG_Reply_Suumary_【Shibayama】 FY12 Simulation Excel PKG for Auto" xfId="5294" xr:uid="{1698F8BB-33A2-40D4-B119-E7FFC0BB808C}"/>
    <cellStyle name="_xf05年工厂?益?算表格3-1215_DFL FY05　Budget_MFG_Reply_Suumary_Ａ&amp;O Consolidation Format_FCST3+9_v3" xfId="5295" xr:uid="{49ABA803-EFE8-464E-86A0-F49CD3B39DC2}"/>
    <cellStyle name="_xf05年工厂?益?算表格3-1215_DFL FY05　Budget_MFG_Reply_Suumary_A&amp;O Format" xfId="5296" xr:uid="{503BB9E2-F81C-4F54-99F0-E8CF4107F625}"/>
    <cellStyle name="_xf05年工厂?益?算表格3-1215_DFL FY05　Budget_MFG_Reply_Suumary_A&amp;O Format_FCST3+9" xfId="5297" xr:uid="{417059B2-7794-455F-9786-2B8A141E9EF7}"/>
    <cellStyle name="_xf05年工厂?益?算表格3-1215_DFL FY05　Budget_MFG_Reply_Suumary_A&amp;O Format_FCST3+9_v1" xfId="5298" xr:uid="{8FC655B8-8DCB-4769-AED4-CB3638954D76}"/>
    <cellStyle name="_xf05年工厂?益?算表格3-1215_DFL FY05　Budget_MFG_Reply_Suumary_CHAO #2 Forecast Summary" xfId="5299" xr:uid="{92E65D2E-E508-4656-BBDE-E7D37331A18D}"/>
    <cellStyle name="_xf05年工厂?益?算表格3-1215_DFL FY05　Budget_MFG_Reply_Suumary_CHAO #2 Forecast Summary_FY12 Budget Final OC-China" xfId="5300" xr:uid="{F70EB7F8-8168-4DB0-8274-D6FB5B2F7D89}"/>
    <cellStyle name="_xf05年工厂?益?算表格3-1215_DFL FY05　Budget_MFG_Reply_Suumary_CHAO #2 Forecast Summary_Sample Format" xfId="5301" xr:uid="{05E94B11-3F01-4079-B6AB-B8CE56E05746}"/>
    <cellStyle name="_xf05年工厂?益?算表格3-1215_DFL FY05　Budget_MFG_Reply_Suumary_CHAO #2 Forecast Summary_Sample Format_Ａ&amp;O Consolidation Format_FCST3+9_v3" xfId="5302" xr:uid="{BC96AB5D-D012-4FB2-873F-DD979B423A1F}"/>
    <cellStyle name="_xf05年工厂?益?算表格3-1215_DFL FY05　Budget_MFG_Reply_Suumary_CHAO #2 Forecast Summary_Sample Format_A&amp;O Format" xfId="5303" xr:uid="{B44808EE-D850-456A-83A0-2A6601C2D612}"/>
    <cellStyle name="_xf05年工厂?益?算表格3-1215_DFL FY05　Budget_MFG_Reply_Suumary_CHAO #2 Forecast Summary_Sample Format_A&amp;O Format_FCST3+9" xfId="5304" xr:uid="{F2C1F571-15A1-4E55-9678-4D62CD815D85}"/>
    <cellStyle name="_xf05年工厂?益?算表格3-1215_DFL FY05　Budget_MFG_Reply_Suumary_CHAO #2 Forecast Summary_Sample Format_A&amp;O Format_FCST3+9_v1" xfId="5305" xr:uid="{156A79E8-8A6E-4DC9-A0C5-16E63BD6A239}"/>
    <cellStyle name="_xf05年工厂?益?算表格3-1215_DFL FY05　Budget_MFG_Reply_Suumary_Correct FC#2 AO OP" xfId="5306" xr:uid="{267BF366-1EC7-4528-A973-5730979563BE}"/>
    <cellStyle name="_xf05年工厂?益?算表格3-1215_DFL FY05　Budget_MFG_Reply_Suumary_Correct FC#2 AO OP_FY12 Budget Final OC-China" xfId="5307" xr:uid="{AD690401-4279-42B1-AF3A-430932BBD8EE}"/>
    <cellStyle name="_xf05年工厂?益?算表格3-1215_DFL FY05　Budget_MFG_Reply_Suumary_Correct FC#2 AO OP_Sample Format" xfId="5308" xr:uid="{4E8957ED-46B0-44BB-B777-CBA6D36617A5}"/>
    <cellStyle name="_xf05年工厂?益?算表格3-1215_DFL FY05　Budget_MFG_Reply_Suumary_Correct FC#2 AO OP_Sample Format_Ａ&amp;O Consolidation Format_FCST3+9_v3" xfId="5309" xr:uid="{E6D1842C-8F90-4BC2-9591-C3D24F9F2A74}"/>
    <cellStyle name="_xf05年工厂?益?算表格3-1215_DFL FY05　Budget_MFG_Reply_Suumary_Correct FC#2 AO OP_Sample Format_A&amp;O Format" xfId="5310" xr:uid="{62AA0807-9EF9-44CE-B807-CC567F9E9EC7}"/>
    <cellStyle name="_xf05年工厂?益?算表格3-1215_DFL FY05　Budget_MFG_Reply_Suumary_Correct FC#2 AO OP_Sample Format_A&amp;O Format_FCST3+9" xfId="5311" xr:uid="{A1D318E9-6A53-4478-B990-4105A090DD4A}"/>
    <cellStyle name="_xf05年工厂?益?算表格3-1215_DFL FY05　Budget_MFG_Reply_Suumary_Correct FC#2 AO OP_Sample Format_A&amp;O Format_FCST3+9_v1" xfId="5312" xr:uid="{8383291C-990C-4FF9-86EB-973761BD6303}"/>
    <cellStyle name="_xf05年工厂?益?算表格3-1215_DFL FY05　Budget_MFG_Reply_Suumary_FY10 FC#2_OP_Variance" xfId="5313" xr:uid="{AA947507-96BA-4BA3-BA54-582C33A41917}"/>
    <cellStyle name="_xf05年工厂?益?算表格3-1215_DFL FY05　Budget_MFG_Reply_Suumary_FY10 FC#2_OP_Variance_FY12 Budget Final OC-China" xfId="5314" xr:uid="{804FB924-7A2D-4BF1-B2A2-2732B0D3B348}"/>
    <cellStyle name="_xf05年工厂?益?算表格3-1215_DFL FY05　Budget_MFG_Reply_Suumary_FY10 FC#2_OP_Variance_Sample Format" xfId="5315" xr:uid="{DC51B3B0-D089-4BAF-8517-D8AFD69761B5}"/>
    <cellStyle name="_xf05年工厂?益?算表格3-1215_DFL FY05　Budget_MFG_Reply_Suumary_FY10 FC#2_OP_Variance_Sample Format_Ａ&amp;O Consolidation Format_FCST3+9_v3" xfId="5316" xr:uid="{45608DE6-8C46-47A8-9481-BDD5F042C02B}"/>
    <cellStyle name="_xf05年工厂?益?算表格3-1215_DFL FY05　Budget_MFG_Reply_Suumary_FY10 FC#2_OP_Variance_Sample Format_A&amp;O Format" xfId="5317" xr:uid="{EC2F56E8-8B4B-4A39-9203-C141C97F3B31}"/>
    <cellStyle name="_xf05年工厂?益?算表格3-1215_DFL FY05　Budget_MFG_Reply_Suumary_FY10 FC#2_OP_Variance_Sample Format_A&amp;O Format_FCST3+9" xfId="5318" xr:uid="{F0BC6B7D-D2B0-41B3-9B21-B6F5E9DE85FE}"/>
    <cellStyle name="_xf05年工厂?益?算表格3-1215_DFL FY05　Budget_MFG_Reply_Suumary_FY10 FC#2_OP_Variance_Sample Format_A&amp;O Format_FCST3+9_v1" xfId="5319" xr:uid="{50BFD2CE-078F-4E63-BBE4-8F3F5D4C2E5A}"/>
    <cellStyle name="_xf05年工厂?益?算表格3-1215_DFL FY05　Budget_MFG_Reply_Suumary_FY12 BP_Simulation information PKG_R" xfId="5320" xr:uid="{0ECD5654-BEBA-4265-A17D-645054FFBEDD}"/>
    <cellStyle name="_xf05年工厂?益?算表格3-1215_DFL FY05　Budget_MFG_Reply_Suumary_FY12 BP_Simulation information PKG_R（SGA）" xfId="5321" xr:uid="{1ED39C99-9538-4C10-9036-D90EDB17402A}"/>
    <cellStyle name="_xf05年工厂?益?算表格3-1215_DFL FY05　Budget_MFG_Reply_Suumary_v1 FY11 Budget Sim summary" xfId="5322" xr:uid="{8B44F8DA-FF90-4048-A8A1-4A73E2A82E7E}"/>
    <cellStyle name="_xf05年工厂?益?算表格3-1215_DFL FY05　Budget_MFG_Reply_Suumary_v1 FY11 Budget Sim summary_FY12 Budget Final OC-China" xfId="5323" xr:uid="{279773C0-F04B-40BD-A320-72189EB54E45}"/>
    <cellStyle name="_xf05年工厂?益?算表格3-1215_DFL FY05　Budget_MFG_Reply_Suumary_v1 FY11 Budget Sim summary_Sample Format" xfId="5324" xr:uid="{44535A4F-F835-4F35-AF3E-08D6DD6AFBA9}"/>
    <cellStyle name="_xf05年工厂?益?算表格3-1215_DFL FY05　Budget_MFG_Reply_Suumary_v1 FY11 Budget Sim summary_Sample Format_Ａ&amp;O Consolidation Format_FCST3+9_v3" xfId="5325" xr:uid="{D2AA5AC5-9374-4967-BAB4-9A85E9DDB4CC}"/>
    <cellStyle name="_xf05年工厂?益?算表格3-1215_DFL FY05　Budget_MFG_Reply_Suumary_v1 FY11 Budget Sim summary_Sample Format_A&amp;O Format" xfId="5326" xr:uid="{ACF9B3F5-F86E-4134-9588-2C3AF508E287}"/>
    <cellStyle name="_xf05年工厂?益?算表格3-1215_DFL FY05　Budget_MFG_Reply_Suumary_v1 FY11 Budget Sim summary_Sample Format_A&amp;O Format_FCST3+9" xfId="5327" xr:uid="{A899CFCC-062E-4B5B-94C1-7F7E7674F4E9}"/>
    <cellStyle name="_xf05年工厂?益?算表格3-1215_DFL FY05　Budget_MFG_Reply_Suumary_v1 FY11 Budget Sim summary_Sample Format_A&amp;O Format_FCST3+9_v1" xfId="5328" xr:uid="{B05B9E18-B7F1-4AC9-844B-0E81D7A4C8A2}"/>
    <cellStyle name="_xf05年工厂?益?算表格3-1215_DFL FY05　Budget_MFG_Reply_Suumary_v2 CHAO #2 Forecast Summary" xfId="5329" xr:uid="{FB751185-9879-428E-8D8A-80EE53D87750}"/>
    <cellStyle name="_xf05年工厂?益?算表格3-1215_DFL FY05　Budget_MFG_Reply_Suumary_v2 CHAO #2 Forecast Summary_FY12 Budget Final OC-China" xfId="5330" xr:uid="{E1A993A6-23F0-4D9B-8EAF-9E3A9327CD87}"/>
    <cellStyle name="_xf05年工厂?益?算表格3-1215_DFL FY05　Budget_MFG_Reply_Suumary_v2 CHAO #2 Forecast Summary_Sample Format" xfId="5331" xr:uid="{DAECC21F-1106-445C-8F1C-151EA2900B6E}"/>
    <cellStyle name="_xf05年工厂?益?算表格3-1215_DFL FY05　Budget_MFG_Reply_Suumary_v2 CHAO #2 Forecast Summary_Sample Format_Ａ&amp;O Consolidation Format_FCST3+9_v3" xfId="5332" xr:uid="{6E3A8CB9-0925-45A8-B839-E6083EA15270}"/>
    <cellStyle name="_xf05年工厂?益?算表格3-1215_DFL FY05　Budget_MFG_Reply_Suumary_v2 CHAO #2 Forecast Summary_Sample Format_A&amp;O Format" xfId="5333" xr:uid="{CADCE2D2-2527-455C-8A98-B5EF9A06E374}"/>
    <cellStyle name="_xf05年工厂?益?算表格3-1215_DFL FY05　Budget_MFG_Reply_Suumary_v2 CHAO #2 Forecast Summary_Sample Format_A&amp;O Format_FCST3+9" xfId="5334" xr:uid="{672A0775-3552-4F0F-B1F7-FECC337B6E93}"/>
    <cellStyle name="_xf05年工厂?益?算表格3-1215_DFL FY05　Budget_MFG_Reply_Suumary_v2 CHAO #2 Forecast Summary_Sample Format_A&amp;O Format_FCST3+9_v1" xfId="5335" xr:uid="{010A8E21-56C6-4538-80A9-4AD5D6608E10}"/>
    <cellStyle name="_xf05年工厂?益?算表格3-1215_DFL FY05　Budget_MFG_Reply_Suumary_v2 FY10 FC#2_OP_Variance" xfId="5336" xr:uid="{146F2745-3334-4FF5-8FC3-F3B6687F7434}"/>
    <cellStyle name="_xf05年工厂?益?算表格3-1215_DFL FY05　Budget_MFG_Reply_Suumary_v2 FY10 FC#2_OP_Variance_FY12 Budget Final OC-China" xfId="5337" xr:uid="{5D377891-65BE-43D7-82A2-4B28B911C16F}"/>
    <cellStyle name="_xf05年工厂?益?算表格3-1215_DFL FY05　Budget_MFG_Reply_Suumary_v2 FY10 FC#2_OP_Variance_Sample Format" xfId="5338" xr:uid="{7DB0EC81-3DEE-4055-A17E-47AF4BE8F07F}"/>
    <cellStyle name="_xf05年工厂?益?算表格3-1215_DFL FY05　Budget_MFG_Reply_Suumary_v2 FY10 FC#2_OP_Variance_Sample Format_Ａ&amp;O Consolidation Format_FCST3+9_v3" xfId="5339" xr:uid="{A85BE163-1054-41CC-88D6-CD0136C45831}"/>
    <cellStyle name="_xf05年工厂?益?算表格3-1215_DFL FY05　Budget_MFG_Reply_Suumary_v2 FY10 FC#2_OP_Variance_Sample Format_A&amp;O Format" xfId="5340" xr:uid="{F017A548-7189-4F82-8EED-49AEFDDD411B}"/>
    <cellStyle name="_xf05年工厂?益?算表格3-1215_DFL FY05　Budget_MFG_Reply_Suumary_v2 FY10 FC#2_OP_Variance_Sample Format_A&amp;O Format_FCST3+9" xfId="5341" xr:uid="{1524C124-3688-4F45-8FBF-05D4ECDD96DD}"/>
    <cellStyle name="_xf05年工厂?益?算表格3-1215_DFL FY05　Budget_MFG_Reply_Suumary_v2 FY10 FC#2_OP_Variance_Sample Format_A&amp;O Format_FCST3+9_v1" xfId="5342" xr:uid="{F399CC9E-7920-42F8-924C-BC72D4B39BE1}"/>
    <cellStyle name="_xf05年工厂?益?算表格3-1215_DFL FY05　Budget_MFG_Reply_Suumary_v5 FY11 Budget Sim summary" xfId="5343" xr:uid="{383242C4-AECD-44C5-808E-9B042CAA5BB7}"/>
    <cellStyle name="_xf05年工厂?益?算表格3-1215_DFL FY05　Budget_MFG_Reply_Suumary_v5 FY11 Budget Sim summary_FY12 Budget Final OC-China" xfId="5344" xr:uid="{52E5E362-90E1-464E-89DE-A784ECDD3691}"/>
    <cellStyle name="_xf05年工厂?益?算表格3-1215_DFL FY05　Budget_MFG_Reply_Suumary_v5 FY11 Budget Sim summary_Sample Format" xfId="5345" xr:uid="{32F72322-2067-40F8-B986-71B669653C82}"/>
    <cellStyle name="_xf05年工厂?益?算表格3-1215_DFL FY05　Budget_MFG_Reply_Suumary_v5 FY11 Budget Sim summary_Sample Format_Ａ&amp;O Consolidation Format_FCST3+9_v3" xfId="5346" xr:uid="{E73E243A-AA80-4D8C-9B20-AF01D571D389}"/>
    <cellStyle name="_xf05年工厂?益?算表格3-1215_DFL FY05　Budget_MFG_Reply_Suumary_v5 FY11 Budget Sim summary_Sample Format_A&amp;O Format" xfId="5347" xr:uid="{EB202F6D-E006-476E-9488-E96C376C1982}"/>
    <cellStyle name="_xf05年工厂?益?算表格3-1215_DFL FY05　Budget_MFG_Reply_Suumary_v5 FY11 Budget Sim summary_Sample Format_A&amp;O Format_FCST3+9" xfId="5348" xr:uid="{21A73514-B350-4BF6-AF76-4EB8CE0E2F00}"/>
    <cellStyle name="_xf05年工厂?益?算表格3-1215_DFL FY05　Budget_MFG_Reply_Suumary_v5 FY11 Budget Sim summary_Sample Format_A&amp;O Format_FCST3+9_v1" xfId="5349" xr:uid="{6DD84A9F-E6B8-43CB-87E2-D3A0A0431FBA}"/>
    <cellStyle name="_xf05年工厂?益?算表格3-1215_DFL FY05　Budget_MFG_Reply_Suumary_コピー【Master】 FY12 Simula tion Excel PKG for Auto" xfId="5350" xr:uid="{B7A5D479-9BA5-4EF0-B20F-0D145A84B093}"/>
    <cellStyle name="_xf05年工厂?益?算表格3-1215_DFL FY05　Budget_MFG_Reply_Suumary_これマスター　FCF_FY12 Simulation Excel PKG for Auto" xfId="5351" xr:uid="{635C1213-2C4E-42BE-96EB-993B8E45C0AC}"/>
    <cellStyle name="_xf05年工厂?益?算表格3-1215_DFL FY05　Budget_v1 FY11 Budget Sim summary" xfId="5352" xr:uid="{010CAAB8-45F8-4FB4-A385-022B415ED2A2}"/>
    <cellStyle name="_xf05年工厂?益?算表格3-1215_DFL FY05　Budget_v1 FY11 Budget Sim summary_FY12 Budget Final OC-China" xfId="5353" xr:uid="{3D89CB76-A034-40EC-B4D1-3672279EA2D5}"/>
    <cellStyle name="_xf05年工厂?益?算表格3-1215_DFL FY05　Budget_v1 FY11 Budget Sim summary_Sample Format" xfId="5354" xr:uid="{1C45B3B0-826B-4861-8A30-E502D6F0AE23}"/>
    <cellStyle name="_xf05年工厂?益?算表格3-1215_DFL FY05　Budget_v1 FY11 Budget Sim summary_Sample Format_Ａ&amp;O Consolidation Format_FCST3+9_v3" xfId="5355" xr:uid="{A25BB102-93CC-4553-B779-A02F90E08B45}"/>
    <cellStyle name="_xf05年工厂?益?算表格3-1215_DFL FY05　Budget_v1 FY11 Budget Sim summary_Sample Format_A&amp;O Format" xfId="5356" xr:uid="{2BDF0EB6-A685-405D-8A27-B658AC57E805}"/>
    <cellStyle name="_xf05年工厂?益?算表格3-1215_DFL FY05　Budget_v1 FY11 Budget Sim summary_Sample Format_A&amp;O Format_FCST3+9" xfId="5357" xr:uid="{5727B2F6-2721-400E-A288-D1B2B10E892C}"/>
    <cellStyle name="_xf05年工厂?益?算表格3-1215_DFL FY05　Budget_v1 FY11 Budget Sim summary_Sample Format_A&amp;O Format_FCST3+9_v1" xfId="5358" xr:uid="{23C5C4C7-35AF-42AA-AE35-9104F5B0FE05}"/>
    <cellStyle name="_xf05年工厂?益?算表格3-1215_DFL FY05　Budget_v2 CHAO #2 Forecast Summary" xfId="5359" xr:uid="{E602F3B9-1DC4-4951-80D3-DD8E3EA951DE}"/>
    <cellStyle name="_xf05年工厂?益?算表格3-1215_DFL FY05　Budget_v2 CHAO #2 Forecast Summary_FY12 Budget Final OC-China" xfId="5360" xr:uid="{872347DF-7426-499E-B184-881EE02194B2}"/>
    <cellStyle name="_xf05年工厂?益?算表格3-1215_DFL FY05　Budget_v2 CHAO #2 Forecast Summary_Sample Format" xfId="5361" xr:uid="{BE70BC33-40C7-49A5-B0EE-68F4D5A2B2EC}"/>
    <cellStyle name="_xf05年工厂?益?算表格3-1215_DFL FY05　Budget_v2 CHAO #2 Forecast Summary_Sample Format_Ａ&amp;O Consolidation Format_FCST3+9_v3" xfId="5362" xr:uid="{DDB6AB1D-AD62-4738-9994-C83C61B48E8A}"/>
    <cellStyle name="_xf05年工厂?益?算表格3-1215_DFL FY05　Budget_v2 CHAO #2 Forecast Summary_Sample Format_A&amp;O Format" xfId="5363" xr:uid="{713AA121-3B5C-49FA-B020-F9076413EF15}"/>
    <cellStyle name="_xf05年工厂?益?算表格3-1215_DFL FY05　Budget_v2 CHAO #2 Forecast Summary_Sample Format_A&amp;O Format_FCST3+9" xfId="5364" xr:uid="{B747C067-B703-4B2E-8F6A-707B914739C0}"/>
    <cellStyle name="_xf05年工厂?益?算表格3-1215_DFL FY05　Budget_v2 CHAO #2 Forecast Summary_Sample Format_A&amp;O Format_FCST3+9_v1" xfId="5365" xr:uid="{0DAF2C57-C65D-4F31-A734-DA3614A92786}"/>
    <cellStyle name="_xf05年工厂?益?算表格3-1215_DFL FY05　Budget_v2 FY10 FC#2_OP_Variance" xfId="5366" xr:uid="{5387FDB0-4DAA-4FDD-A51C-02DB0A328D14}"/>
    <cellStyle name="_xf05年工厂?益?算表格3-1215_DFL FY05　Budget_v2 FY10 FC#2_OP_Variance_FY12 Budget Final OC-China" xfId="5367" xr:uid="{F7D97B1F-43D3-4A0F-8791-51496D04A28B}"/>
    <cellStyle name="_xf05年工厂?益?算表格3-1215_DFL FY05　Budget_v2 FY10 FC#2_OP_Variance_Sample Format" xfId="5368" xr:uid="{F1AD685C-9CA2-4B66-A789-F6FAD73B1E22}"/>
    <cellStyle name="_xf05年工厂?益?算表格3-1215_DFL FY05　Budget_v2 FY10 FC#2_OP_Variance_Sample Format_Ａ&amp;O Consolidation Format_FCST3+9_v3" xfId="5369" xr:uid="{3694FF1A-7F2F-46C7-9454-1968FC59837C}"/>
    <cellStyle name="_xf05年工厂?益?算表格3-1215_DFL FY05　Budget_v2 FY10 FC#2_OP_Variance_Sample Format_A&amp;O Format" xfId="5370" xr:uid="{C110863E-2719-42EE-A947-0BF22F238A68}"/>
    <cellStyle name="_xf05年工厂?益?算表格3-1215_DFL FY05　Budget_v2 FY10 FC#2_OP_Variance_Sample Format_A&amp;O Format_FCST3+9" xfId="5371" xr:uid="{45A1652C-1A45-4E61-9481-17F62A228CFC}"/>
    <cellStyle name="_xf05年工厂?益?算表格3-1215_DFL FY05　Budget_v2 FY10 FC#2_OP_Variance_Sample Format_A&amp;O Format_FCST3+9_v1" xfId="5372" xr:uid="{673199B0-340B-4CCE-9E6F-CF8127E5691D}"/>
    <cellStyle name="_xf05年工厂?益?算表格3-1215_DFL FY05　Budget_v5 FY11 Budget Sim summary" xfId="5373" xr:uid="{F6F1BDB1-FADC-47CE-8559-F3E0FAF85813}"/>
    <cellStyle name="_xf05年工厂?益?算表格3-1215_DFL FY05　Budget_v5 FY11 Budget Sim summary_FY12 Budget Final OC-China" xfId="5374" xr:uid="{D3D8FA82-9594-4227-809E-2D5550BB2C6B}"/>
    <cellStyle name="_xf05年工厂?益?算表格3-1215_DFL FY05　Budget_v5 FY11 Budget Sim summary_Sample Format" xfId="5375" xr:uid="{44839589-4DC9-46F6-9C90-6BCA786E1710}"/>
    <cellStyle name="_xf05年工厂?益?算表格3-1215_DFL FY05　Budget_v5 FY11 Budget Sim summary_Sample Format_Ａ&amp;O Consolidation Format_FCST3+9_v3" xfId="5376" xr:uid="{DD41703A-A169-4E94-822B-C44C293B1149}"/>
    <cellStyle name="_xf05年工厂?益?算表格3-1215_DFL FY05　Budget_v5 FY11 Budget Sim summary_Sample Format_A&amp;O Format" xfId="5377" xr:uid="{E6D44821-1A37-48FF-808C-578B7266152A}"/>
    <cellStyle name="_xf05年工厂?益?算表格3-1215_DFL FY05　Budget_v5 FY11 Budget Sim summary_Sample Format_A&amp;O Format_FCST3+9" xfId="5378" xr:uid="{12ADFF00-B365-42B0-B68C-81AA9B1F255D}"/>
    <cellStyle name="_xf05年工厂?益?算表格3-1215_DFL FY05　Budget_v5 FY11 Budget Sim summary_Sample Format_A&amp;O Format_FCST3+9_v1" xfId="5379" xr:uid="{04171045-3199-48BB-B015-4AFCA117B2AB}"/>
    <cellStyle name="_xf05年工厂?益?算表格3-1215_DFL FY05　Budget_コピー【Master】 FY12 Simula tion Excel PKG for Auto" xfId="5380" xr:uid="{B70DB63B-92FA-4F94-9EFF-70D9014C15EE}"/>
    <cellStyle name="_xf05年工厂?益?算表格3-1215_DFL FY05　Budget_これマスター　FCF_FY12 Simulation Excel PKG for Auto" xfId="5381" xr:uid="{CC6A5C71-47F9-4EBB-A50B-A2F9D3979D7B}"/>
    <cellStyle name="_xf05年工厂?益?算表格3-1215_DFL FY05 MFG Budget Monthly" xfId="5382" xr:uid="{EFBA28E6-B751-4254-82E5-DC3E50FE835F}"/>
    <cellStyle name="_xf05年工厂?益?算表格3-1215_DFL FY05 MFG Budget Monthly_#1 Forecast Summary" xfId="5383" xr:uid="{25A3C88E-52F7-4029-97A6-1A4B783BBD98}"/>
    <cellStyle name="_xf05年工厂?益?算表格3-1215_DFL FY05 MFG Budget Monthly_#1 Forecast Summary_FY12 Budget Final OC-China" xfId="5384" xr:uid="{E3C87A93-4DBC-4A46-9E5C-7CBD55B57DDB}"/>
    <cellStyle name="_xf05年工厂?益?算表格3-1215_DFL FY05 MFG Budget Monthly_#1 Forecast Summary_Sample Format" xfId="5385" xr:uid="{59432F49-0B72-461B-914C-00696F24C7C9}"/>
    <cellStyle name="_xf05年工厂?益?算表格3-1215_DFL FY05 MFG Budget Monthly_#1 Forecast Summary_Sample Format_Ａ&amp;O Consolidation Format_FCST3+9_v3" xfId="5386" xr:uid="{C8737DCF-48B7-441F-A0AB-D3AFC2C18740}"/>
    <cellStyle name="_xf05年工厂?益?算表格3-1215_DFL FY05 MFG Budget Monthly_#1 Forecast Summary_Sample Format_A&amp;O Format" xfId="5387" xr:uid="{218C3297-BA75-434D-BABC-4E9FD05E3895}"/>
    <cellStyle name="_xf05年工厂?益?算表格3-1215_DFL FY05 MFG Budget Monthly_#1 Forecast Summary_Sample Format_A&amp;O Format_FCST3+9" xfId="5388" xr:uid="{FE8ED0E5-292D-4A35-B2C3-DC29DB761826}"/>
    <cellStyle name="_xf05年工厂?益?算表格3-1215_DFL FY05 MFG Budget Monthly_#1 Forecast Summary_Sample Format_A&amp;O Format_FCST3+9_v1" xfId="5389" xr:uid="{7BCEE66B-D977-49A1-B055-052C42BDBE8D}"/>
    <cellStyle name="_xf05年工厂?益?算表格3-1215_DFL FY05 MFG Budget Monthly_(CHAO) FY10 Forecast#1 Regional Comment" xfId="5390" xr:uid="{ADF2BE4B-8310-4FE4-8584-4F3A200E339E}"/>
    <cellStyle name="_xf05年工厂?益?算表格3-1215_DFL FY05 MFG Budget Monthly_(CHAO) FY10 Forecast#1 Regional Comment_FY12 Budget Final OC-China" xfId="5391" xr:uid="{3CF56804-ABB5-4B3F-AAB6-7A8E53E3D63C}"/>
    <cellStyle name="_xf05年工厂?益?算表格3-1215_DFL FY05 MFG Budget Monthly_(CHAO) FY10 Forecast#1 Regional Comment_Sample Format" xfId="5392" xr:uid="{85422D8F-1F24-439B-B5F0-99D84D3138F8}"/>
    <cellStyle name="_xf05年工厂?益?算表格3-1215_DFL FY05 MFG Budget Monthly_(CHAO) FY10 Forecast#1 Regional Comment_Sample Format_Ａ&amp;O Consolidation Format_FCST3+9_v3" xfId="5393" xr:uid="{62B21162-3DD7-4220-85A2-F46EE88109C6}"/>
    <cellStyle name="_xf05年工厂?益?算表格3-1215_DFL FY05 MFG Budget Monthly_(CHAO) FY10 Forecast#1 Regional Comment_Sample Format_A&amp;O Format" xfId="5394" xr:uid="{CCB41C63-FD0A-411F-936B-DD5DC2412E00}"/>
    <cellStyle name="_xf05年工厂?益?算表格3-1215_DFL FY05 MFG Budget Monthly_(CHAO) FY10 Forecast#1 Regional Comment_Sample Format_A&amp;O Format_FCST3+9" xfId="5395" xr:uid="{73E565C2-CFF0-48C9-B3FC-5EE47364E72D}"/>
    <cellStyle name="_xf05年工厂?益?算表格3-1215_DFL FY05 MFG Budget Monthly_(CHAO) FY10 Forecast#1 Regional Comment_Sample Format_A&amp;O Format_FCST3+9_v1" xfId="5396" xr:uid="{595316AF-907B-4D98-AE91-2B210B58667D}"/>
    <cellStyle name="_xf05年工厂?益?算表格3-1215_DFL FY05 MFG Budget Monthly_【Master】 FY12 Simulation Excel PKG for Auto" xfId="5397" xr:uid="{3F0AF74D-A42F-4EDA-8B3E-461A85CF04F2}"/>
    <cellStyle name="_xf05年工厂?益?算表格3-1215_DFL FY05 MFG Budget Monthly_【Master】 FY12 Simulation Excel PKG for Auto (2)" xfId="5398" xr:uid="{02B875F7-5F40-47AA-AC4C-30F6ED575CFA}"/>
    <cellStyle name="_xf05年工厂?益?算表格3-1215_DFL FY05 MFG Budget Monthly_【Master】 FY12 Simulation Excel PKG for Auto_sugii" xfId="5399" xr:uid="{B6E49668-EF4D-4713-AE8F-EA4CC56A95CB}"/>
    <cellStyle name="_xf05年工厂?益?算表格3-1215_DFL FY05 MFG Budget Monthly_【Master】 FY12 Simulation Excel PKG for Auto_sugii (2)" xfId="5400" xr:uid="{F624FEC6-CDF7-4077-8792-B6A375821989}"/>
    <cellStyle name="_xf05年工厂?益?算表格3-1215_DFL FY05 MFG Budget Monthly_【Shibayama】 FY12 Simulation Excel PKG for Auto" xfId="5401" xr:uid="{6C4A41E0-B65E-4BB3-B973-DDDD8C9257A9}"/>
    <cellStyle name="_xf05年工厂?益?算表格3-1215_DFL FY05 MFG Budget Monthly_Ａ&amp;O Consolidation Format_FCST3+9_v3" xfId="5402" xr:uid="{40C9FFBA-1A8F-4A4C-9879-E12969FEAC22}"/>
    <cellStyle name="_xf05年工厂?益?算表格3-1215_DFL FY05 MFG Budget Monthly_A&amp;O Format" xfId="5403" xr:uid="{2806929F-AC22-4506-AEAF-4620CF3DCC0B}"/>
    <cellStyle name="_xf05年工厂?益?算表格3-1215_DFL FY05 MFG Budget Monthly_A&amp;O Format_FCST3+9" xfId="5404" xr:uid="{264684A2-4DFE-44DE-B98D-DF6B4D73FE69}"/>
    <cellStyle name="_xf05年工厂?益?算表格3-1215_DFL FY05 MFG Budget Monthly_A&amp;O Format_FCST3+9_v1" xfId="5405" xr:uid="{C9F90B0D-4017-4B46-8629-9FEA17B36186}"/>
    <cellStyle name="_xf05年工厂?益?算表格3-1215_DFL FY05 MFG Budget Monthly_CHAO #2 Forecast Summary" xfId="5406" xr:uid="{26AF1F7F-2BDA-4B41-B0EE-4B3D6CB62166}"/>
    <cellStyle name="_xf05年工厂?益?算表格3-1215_DFL FY05 MFG Budget Monthly_CHAO #2 Forecast Summary_FY12 Budget Final OC-China" xfId="5407" xr:uid="{9447F66D-0DA5-45CD-9386-E0E935BF0D28}"/>
    <cellStyle name="_xf05年工厂?益?算表格3-1215_DFL FY05 MFG Budget Monthly_CHAO #2 Forecast Summary_Sample Format" xfId="5408" xr:uid="{0C47B937-7218-4C6B-BA9F-51D50B1892D7}"/>
    <cellStyle name="_xf05年工厂?益?算表格3-1215_DFL FY05 MFG Budget Monthly_CHAO #2 Forecast Summary_Sample Format_Ａ&amp;O Consolidation Format_FCST3+9_v3" xfId="5409" xr:uid="{4DA845F9-76D2-4536-AF40-A85EEDE23B10}"/>
    <cellStyle name="_xf05年工厂?益?算表格3-1215_DFL FY05 MFG Budget Monthly_CHAO #2 Forecast Summary_Sample Format_A&amp;O Format" xfId="5410" xr:uid="{46F164C9-1AE4-4987-9FAD-39538C457CCA}"/>
    <cellStyle name="_xf05年工厂?益?算表格3-1215_DFL FY05 MFG Budget Monthly_CHAO #2 Forecast Summary_Sample Format_A&amp;O Format_FCST3+9" xfId="5411" xr:uid="{544B4207-E2F6-4FD5-B637-78C51AEE08EF}"/>
    <cellStyle name="_xf05年工厂?益?算表格3-1215_DFL FY05 MFG Budget Monthly_CHAO #2 Forecast Summary_Sample Format_A&amp;O Format_FCST3+9_v1" xfId="5412" xr:uid="{D6C0C72A-31E8-4B40-997B-2F2057E37E03}"/>
    <cellStyle name="_xf05年工厂?益?算表格3-1215_DFL FY05 MFG Budget Monthly_Correct FC#2 AO OP" xfId="5413" xr:uid="{16FD8278-EA61-4754-A965-943CA3B0D5E8}"/>
    <cellStyle name="_xf05年工厂?益?算表格3-1215_DFL FY05 MFG Budget Monthly_Correct FC#2 AO OP_FY12 Budget Final OC-China" xfId="5414" xr:uid="{DF740122-E0A6-4242-A657-A81EC162D691}"/>
    <cellStyle name="_xf05年工厂?益?算表格3-1215_DFL FY05 MFG Budget Monthly_Correct FC#2 AO OP_Sample Format" xfId="5415" xr:uid="{ACBCDA60-0667-43EC-9594-5795734EA36F}"/>
    <cellStyle name="_xf05年工厂?益?算表格3-1215_DFL FY05 MFG Budget Monthly_Correct FC#2 AO OP_Sample Format_Ａ&amp;O Consolidation Format_FCST3+9_v3" xfId="5416" xr:uid="{1CE318F6-1719-4A43-94A6-86B9C79AD4A8}"/>
    <cellStyle name="_xf05年工厂?益?算表格3-1215_DFL FY05 MFG Budget Monthly_Correct FC#2 AO OP_Sample Format_A&amp;O Format" xfId="5417" xr:uid="{3ED7E57B-FD67-49D0-A64B-DFCF665B3833}"/>
    <cellStyle name="_xf05年工厂?益?算表格3-1215_DFL FY05 MFG Budget Monthly_Correct FC#2 AO OP_Sample Format_A&amp;O Format_FCST3+9" xfId="5418" xr:uid="{87A6A4F0-BD3D-4224-B977-D0886745391D}"/>
    <cellStyle name="_xf05年工厂?益?算表格3-1215_DFL FY05 MFG Budget Monthly_Correct FC#2 AO OP_Sample Format_A&amp;O Format_FCST3+9_v1" xfId="5419" xr:uid="{123122B7-759A-468A-8110-8244E75414A1}"/>
    <cellStyle name="_xf05年工厂?益?算表格3-1215_DFL FY05 MFG Budget Monthly_FY08 PIC guideline(07.10.02KPI)" xfId="5420" xr:uid="{F7900F33-B7A0-48C0-859D-186A7F602C5D}"/>
    <cellStyle name="_xf05年工厂?益?算表格3-1215_DFL FY05 MFG Budget Monthly_FY08 PIC guideline(07.10.02KPI)_#1 Forecast Summary" xfId="5421" xr:uid="{268F6B88-FDA1-44D7-8FAA-3D06BAC729ED}"/>
    <cellStyle name="_xf05年工厂?益?算表格3-1215_DFL FY05 MFG Budget Monthly_FY08 PIC guideline(07.10.02KPI)_#1 Forecast Summary_FY12 Budget Final OC-China" xfId="5422" xr:uid="{C293D96F-E0D4-4B7F-B3B4-622BED14D50D}"/>
    <cellStyle name="_xf05年工厂?益?算表格3-1215_DFL FY05 MFG Budget Monthly_FY08 PIC guideline(07.10.02KPI)_#1 Forecast Summary_Sample Format" xfId="5423" xr:uid="{955757E0-DE96-4A32-8644-9319F0F3F144}"/>
    <cellStyle name="_xf05年工厂?益?算表格3-1215_DFL FY05 MFG Budget Monthly_FY08 PIC guideline(07.10.02KPI)_#1 Forecast Summary_Sample Format_Ａ&amp;O Consolidation Format_FCST3+9_v3" xfId="5424" xr:uid="{06C24744-7083-4672-A636-F961E4BC7ACF}"/>
    <cellStyle name="_xf05年工厂?益?算表格3-1215_DFL FY05 MFG Budget Monthly_FY08 PIC guideline(07.10.02KPI)_#1 Forecast Summary_Sample Format_A&amp;O Format" xfId="5425" xr:uid="{D038350E-FF0C-4612-AE61-6C1D198D27A5}"/>
    <cellStyle name="_xf05年工厂?益?算表格3-1215_DFL FY05 MFG Budget Monthly_FY08 PIC guideline(07.10.02KPI)_#1 Forecast Summary_Sample Format_A&amp;O Format_FCST3+9" xfId="5426" xr:uid="{44AFBB16-1E41-41D9-9C2B-48407BFD2250}"/>
    <cellStyle name="_xf05年工厂?益?算表格3-1215_DFL FY05 MFG Budget Monthly_FY08 PIC guideline(07.10.02KPI)_#1 Forecast Summary_Sample Format_A&amp;O Format_FCST3+9_v1" xfId="5427" xr:uid="{9244065F-E340-48B7-9421-85068B84BDBC}"/>
    <cellStyle name="_xf05年工厂?益?算表格3-1215_DFL FY05 MFG Budget Monthly_FY08 PIC guideline(07.10.02KPI)_(CHAO) FY10 Forecast#1 Regional Comment" xfId="5428" xr:uid="{73CDFCEC-35FD-49AE-A2E3-45A62EC67C37}"/>
    <cellStyle name="_xf05年工厂?益?算表格3-1215_DFL FY05 MFG Budget Monthly_FY08 PIC guideline(07.10.02KPI)_(CHAO) FY10 Forecast#1 Regional Comment_FY12 Budget Final OC-China" xfId="5429" xr:uid="{52BA7C24-8372-42DA-8EFD-EC2B6A247197}"/>
    <cellStyle name="_xf05年工厂?益?算表格3-1215_DFL FY05 MFG Budget Monthly_FY08 PIC guideline(07.10.02KPI)_(CHAO) FY10 Forecast#1 Regional Comment_Sample Format" xfId="5430" xr:uid="{A051B206-CF91-4142-B769-3787AB857BBF}"/>
    <cellStyle name="_xf05年工厂?益?算表格3-1215_DFL FY05 MFG Budget Monthly_FY08 PIC guideline(07.10.02KPI)_(CHAO) FY10 Forecast#1 Regional Comment_Sample Format_Ａ&amp;O Consolidation Format_FCST3+9_v3" xfId="5431" xr:uid="{5B4763A6-3B7B-4677-9713-4DE065B5C269}"/>
    <cellStyle name="_xf05年工厂?益?算表格3-1215_DFL FY05 MFG Budget Monthly_FY08 PIC guideline(07.10.02KPI)_(CHAO) FY10 Forecast#1 Regional Comment_Sample Format_A&amp;O Format" xfId="5432" xr:uid="{AF463C85-31BD-4F2F-8654-6293FBBBC7D1}"/>
    <cellStyle name="_xf05年工厂?益?算表格3-1215_DFL FY05 MFG Budget Monthly_FY08 PIC guideline(07.10.02KPI)_(CHAO) FY10 Forecast#1 Regional Comment_Sample Format_A&amp;O Format_FCST3+9" xfId="5433" xr:uid="{AA3EC8EF-39C7-477E-A246-11F2DE5C49B6}"/>
    <cellStyle name="_xf05年工厂?益?算表格3-1215_DFL FY05 MFG Budget Monthly_FY08 PIC guideline(07.10.02KPI)_(CHAO) FY10 Forecast#1 Regional Comment_Sample Format_A&amp;O Format_FCST3+9_v1" xfId="5434" xr:uid="{25650362-9A56-488C-ACD4-57F1F9537609}"/>
    <cellStyle name="_xf05年工厂?益?算表格3-1215_DFL FY05 MFG Budget Monthly_FY08 PIC guideline(07.10.02KPI)_【Master】 FY12 Simulation Excel PKG for Auto" xfId="5435" xr:uid="{253786B9-69A9-4DC1-8535-187B99756726}"/>
    <cellStyle name="_xf05年工厂?益?算表格3-1215_DFL FY05 MFG Budget Monthly_FY08 PIC guideline(07.10.02KPI)_【Master】 FY12 Simulation Excel PKG for Auto (2)" xfId="5436" xr:uid="{92F37031-0B08-4F9B-873C-85FC88D40436}"/>
    <cellStyle name="_xf05年工厂?益?算表格3-1215_DFL FY05 MFG Budget Monthly_FY08 PIC guideline(07.10.02KPI)_【Master】 FY12 Simulation Excel PKG for Auto_sugii" xfId="5437" xr:uid="{D9112992-9C74-4327-87E6-15DE5187C183}"/>
    <cellStyle name="_xf05年工厂?益?算表格3-1215_DFL FY05 MFG Budget Monthly_FY08 PIC guideline(07.10.02KPI)_【Master】 FY12 Simulation Excel PKG for Auto_sugii (2)" xfId="5438" xr:uid="{E935BE67-68DE-4A6F-8CCD-0C9D5423EED6}"/>
    <cellStyle name="_xf05年工厂?益?算表格3-1215_DFL FY05 MFG Budget Monthly_FY08 PIC guideline(07.10.02KPI)_【Shibayama】 FY12 Simulation Excel PKG for Auto" xfId="5439" xr:uid="{20A53EF5-B387-49F7-8417-25AFF603EE5A}"/>
    <cellStyle name="_xf05年工厂?益?算表格3-1215_DFL FY05 MFG Budget Monthly_FY08 PIC guideline(07.10.02KPI)_Ａ&amp;O Consolidation Format_FCST3+9_v3" xfId="5440" xr:uid="{37EA1EC0-AB3E-492F-B9F7-4040F746979B}"/>
    <cellStyle name="_xf05年工厂?益?算表格3-1215_DFL FY05 MFG Budget Monthly_FY08 PIC guideline(07.10.02KPI)_A&amp;O Format" xfId="5441" xr:uid="{E8CFAD7A-258B-4B2E-8FBE-B2A7354B7522}"/>
    <cellStyle name="_xf05年工厂?益?算表格3-1215_DFL FY05 MFG Budget Monthly_FY08 PIC guideline(07.10.02KPI)_A&amp;O Format_FCST3+9" xfId="5442" xr:uid="{51B33ED5-75A8-4200-BFFD-1CA3F5961568}"/>
    <cellStyle name="_xf05年工厂?益?算表格3-1215_DFL FY05 MFG Budget Monthly_FY08 PIC guideline(07.10.02KPI)_A&amp;O Format_FCST3+9_v1" xfId="5443" xr:uid="{E234109E-5C29-471D-9A8E-01DABEE5AC94}"/>
    <cellStyle name="_xf05年工厂?益?算表格3-1215_DFL FY05 MFG Budget Monthly_FY08 PIC guideline(07.10.02KPI)_CHAO #2 Forecast Summary" xfId="5444" xr:uid="{99A73C69-AE3A-471E-B65E-8BAC1AFF078A}"/>
    <cellStyle name="_xf05年工厂?益?算表格3-1215_DFL FY05 MFG Budget Monthly_FY08 PIC guideline(07.10.02KPI)_CHAO #2 Forecast Summary_FY12 Budget Final OC-China" xfId="5445" xr:uid="{19E58518-3B2F-48EE-9575-4CCFB86DCEA8}"/>
    <cellStyle name="_xf05年工厂?益?算表格3-1215_DFL FY05 MFG Budget Monthly_FY08 PIC guideline(07.10.02KPI)_CHAO #2 Forecast Summary_Sample Format" xfId="5446" xr:uid="{F4772954-49E7-4BED-8781-91F5AD01414F}"/>
    <cellStyle name="_xf05年工厂?益?算表格3-1215_DFL FY05 MFG Budget Monthly_FY08 PIC guideline(07.10.02KPI)_CHAO #2 Forecast Summary_Sample Format_Ａ&amp;O Consolidation Format_FCST3+9_v3" xfId="5447" xr:uid="{384BB0CA-FA50-48FB-8077-4C32FB1D162F}"/>
    <cellStyle name="_xf05年工厂?益?算表格3-1215_DFL FY05 MFG Budget Monthly_FY08 PIC guideline(07.10.02KPI)_CHAO #2 Forecast Summary_Sample Format_A&amp;O Format" xfId="5448" xr:uid="{B5D5D738-39AE-4C4A-B22C-FB79C5B67231}"/>
    <cellStyle name="_xf05年工厂?益?算表格3-1215_DFL FY05 MFG Budget Monthly_FY08 PIC guideline(07.10.02KPI)_CHAO #2 Forecast Summary_Sample Format_A&amp;O Format_FCST3+9" xfId="5449" xr:uid="{65F21B55-8486-482D-B057-29D491674A97}"/>
    <cellStyle name="_xf05年工厂?益?算表格3-1215_DFL FY05 MFG Budget Monthly_FY08 PIC guideline(07.10.02KPI)_CHAO #2 Forecast Summary_Sample Format_A&amp;O Format_FCST3+9_v1" xfId="5450" xr:uid="{CB686A0D-8070-40BD-9F2B-16D0F708CDA0}"/>
    <cellStyle name="_xf05年工厂?益?算表格3-1215_DFL FY05 MFG Budget Monthly_FY08 PIC guideline(07.10.02KPI)_Correct FC#2 AO OP" xfId="5451" xr:uid="{2DC9C80F-55C3-4798-8E97-9F2B47AAF672}"/>
    <cellStyle name="_xf05年工厂?益?算表格3-1215_DFL FY05 MFG Budget Monthly_FY08 PIC guideline(07.10.02KPI)_Correct FC#2 AO OP_FY12 Budget Final OC-China" xfId="5452" xr:uid="{29A75465-C9C6-411D-BE57-551243AC4A2F}"/>
    <cellStyle name="_xf05年工厂?益?算表格3-1215_DFL FY05 MFG Budget Monthly_FY08 PIC guideline(07.10.02KPI)_Correct FC#2 AO OP_Sample Format" xfId="5453" xr:uid="{A56847E0-F1B3-462D-8AFA-61DBC7000BC9}"/>
    <cellStyle name="_xf05年工厂?益?算表格3-1215_DFL FY05 MFG Budget Monthly_FY08 PIC guideline(07.10.02KPI)_Correct FC#2 AO OP_Sample Format_Ａ&amp;O Consolidation Format_FCST3+9_v3" xfId="5454" xr:uid="{F19F98B1-28B6-458B-82DD-F6AD01E2D781}"/>
    <cellStyle name="_xf05年工厂?益?算表格3-1215_DFL FY05 MFG Budget Monthly_FY08 PIC guideline(07.10.02KPI)_Correct FC#2 AO OP_Sample Format_A&amp;O Format" xfId="5455" xr:uid="{7D3AC3E6-F72E-4123-9E7D-8B26BA864D61}"/>
    <cellStyle name="_xf05年工厂?益?算表格3-1215_DFL FY05 MFG Budget Monthly_FY08 PIC guideline(07.10.02KPI)_Correct FC#2 AO OP_Sample Format_A&amp;O Format_FCST3+9" xfId="5456" xr:uid="{CE0DA8B7-CAE0-4F9F-87E3-CAA94B9C80EE}"/>
    <cellStyle name="_xf05年工厂?益?算表格3-1215_DFL FY05 MFG Budget Monthly_FY08 PIC guideline(07.10.02KPI)_Correct FC#2 AO OP_Sample Format_A&amp;O Format_FCST3+9_v1" xfId="5457" xr:uid="{8A541078-C302-449E-9843-9ECB0F259BCF}"/>
    <cellStyle name="_xf05年工厂?益?算表格3-1215_DFL FY05 MFG Budget Monthly_FY08 PIC guideline(07.10.02KPI)_FY10 FC#2_OP_Variance" xfId="5458" xr:uid="{E675E0A9-134A-420F-B32A-28751709B0AE}"/>
    <cellStyle name="_xf05年工厂?益?算表格3-1215_DFL FY05 MFG Budget Monthly_FY08 PIC guideline(07.10.02KPI)_FY10 FC#2_OP_Variance_FY12 Budget Final OC-China" xfId="5459" xr:uid="{983E4798-D7F5-405C-9B3A-943F3F6084F8}"/>
    <cellStyle name="_xf05年工厂?益?算表格3-1215_DFL FY05 MFG Budget Monthly_FY08 PIC guideline(07.10.02KPI)_FY10 FC#2_OP_Variance_Sample Format" xfId="5460" xr:uid="{BC0D8B03-374D-4CBB-9442-48E921FB33EF}"/>
    <cellStyle name="_xf05年工厂?益?算表格3-1215_DFL FY05 MFG Budget Monthly_FY08 PIC guideline(07.10.02KPI)_FY10 FC#2_OP_Variance_Sample Format_Ａ&amp;O Consolidation Format_FCST3+9_v3" xfId="5461" xr:uid="{F58DC943-CDED-41CD-A889-0A89236BE5C3}"/>
    <cellStyle name="_xf05年工厂?益?算表格3-1215_DFL FY05 MFG Budget Monthly_FY08 PIC guideline(07.10.02KPI)_FY10 FC#2_OP_Variance_Sample Format_A&amp;O Format" xfId="5462" xr:uid="{797CAAB4-B6D2-47C7-B1EF-36A76522412E}"/>
    <cellStyle name="_xf05年工厂?益?算表格3-1215_DFL FY05 MFG Budget Monthly_FY08 PIC guideline(07.10.02KPI)_FY10 FC#2_OP_Variance_Sample Format_A&amp;O Format_FCST3+9" xfId="5463" xr:uid="{92B95C9E-4F57-465A-A8E8-8123716AB041}"/>
    <cellStyle name="_xf05年工厂?益?算表格3-1215_DFL FY05 MFG Budget Monthly_FY08 PIC guideline(07.10.02KPI)_FY10 FC#2_OP_Variance_Sample Format_A&amp;O Format_FCST3+9_v1" xfId="5464" xr:uid="{3F6361C1-08EB-4708-9F9D-BB62D2279A00}"/>
    <cellStyle name="_xf05年工厂?益?算表格3-1215_DFL FY05 MFG Budget Monthly_FY08 PIC guideline(07.10.02KPI)_FY12 BP_Simulation information PKG_R" xfId="5465" xr:uid="{F2E9216A-40B3-4B69-9751-CD140BB7C27B}"/>
    <cellStyle name="_xf05年工厂?益?算表格3-1215_DFL FY05 MFG Budget Monthly_FY08 PIC guideline(07.10.02KPI)_FY12 BP_Simulation information PKG_R（SGA）" xfId="5466" xr:uid="{756D4263-F3D2-452A-BDCF-315D4A264EAA}"/>
    <cellStyle name="_xf05年工厂?益?算表格3-1215_DFL FY05 MFG Budget Monthly_FY08 PIC guideline(07.10.02KPI)_v1 FY11 Budget Sim summary" xfId="5467" xr:uid="{C49818E4-CC70-4EE2-B9AB-571FBA6F6F41}"/>
    <cellStyle name="_xf05年工厂?益?算表格3-1215_DFL FY05 MFG Budget Monthly_FY08 PIC guideline(07.10.02KPI)_v1 FY11 Budget Sim summary_FY12 Budget Final OC-China" xfId="5468" xr:uid="{01C540E5-48C0-4976-8940-B7FC852B0AC2}"/>
    <cellStyle name="_xf05年工厂?益?算表格3-1215_DFL FY05 MFG Budget Monthly_FY08 PIC guideline(07.10.02KPI)_v1 FY11 Budget Sim summary_Sample Format" xfId="5469" xr:uid="{214F9DD8-82D9-47B9-A28C-71FE56CA19FC}"/>
    <cellStyle name="_xf05年工厂?益?算表格3-1215_DFL FY05 MFG Budget Monthly_FY08 PIC guideline(07.10.02KPI)_v1 FY11 Budget Sim summary_Sample Format_Ａ&amp;O Consolidation Format_FCST3+9_v3" xfId="5470" xr:uid="{7AEF89C2-3FC7-4089-A024-44B219CC2467}"/>
    <cellStyle name="_xf05年工厂?益?算表格3-1215_DFL FY05 MFG Budget Monthly_FY08 PIC guideline(07.10.02KPI)_v1 FY11 Budget Sim summary_Sample Format_A&amp;O Format" xfId="5471" xr:uid="{E3E1E273-CFDB-40C3-98A0-9891D3805206}"/>
    <cellStyle name="_xf05年工厂?益?算表格3-1215_DFL FY05 MFG Budget Monthly_FY08 PIC guideline(07.10.02KPI)_v1 FY11 Budget Sim summary_Sample Format_A&amp;O Format_FCST3+9" xfId="5472" xr:uid="{775B60BE-773C-418B-9E59-51BE0AE3F79E}"/>
    <cellStyle name="_xf05年工厂?益?算表格3-1215_DFL FY05 MFG Budget Monthly_FY08 PIC guideline(07.10.02KPI)_v1 FY11 Budget Sim summary_Sample Format_A&amp;O Format_FCST3+9_v1" xfId="5473" xr:uid="{7E371224-4DF4-4DCF-B1D8-FC59167981CF}"/>
    <cellStyle name="_xf05年工厂?益?算表格3-1215_DFL FY05 MFG Budget Monthly_FY08 PIC guideline(07.10.02KPI)_v2 CHAO #2 Forecast Summary" xfId="5474" xr:uid="{CE6B1FAD-4F38-43FB-B4FB-6AF80B651A5D}"/>
    <cellStyle name="_xf05年工厂?益?算表格3-1215_DFL FY05 MFG Budget Monthly_FY08 PIC guideline(07.10.02KPI)_v2 CHAO #2 Forecast Summary_FY12 Budget Final OC-China" xfId="5475" xr:uid="{AF04EAF0-F1E0-4692-B7A5-1BFBF41C75EC}"/>
    <cellStyle name="_xf05年工厂?益?算表格3-1215_DFL FY05 MFG Budget Monthly_FY08 PIC guideline(07.10.02KPI)_v2 CHAO #2 Forecast Summary_Sample Format" xfId="5476" xr:uid="{B2F190C5-D29B-4843-9878-B5F0814E3B0C}"/>
    <cellStyle name="_xf05年工厂?益?算表格3-1215_DFL FY05 MFG Budget Monthly_FY08 PIC guideline(07.10.02KPI)_v2 CHAO #2 Forecast Summary_Sample Format_Ａ&amp;O Consolidation Format_FCST3+9_v3" xfId="5477" xr:uid="{7FB899AF-181A-4580-A218-71CC8B6684C3}"/>
    <cellStyle name="_xf05年工厂?益?算表格3-1215_DFL FY05 MFG Budget Monthly_FY08 PIC guideline(07.10.02KPI)_v2 CHAO #2 Forecast Summary_Sample Format_A&amp;O Format" xfId="5478" xr:uid="{15CAC205-9012-4EF7-8F64-E70AB1FE5D77}"/>
    <cellStyle name="_xf05年工厂?益?算表格3-1215_DFL FY05 MFG Budget Monthly_FY08 PIC guideline(07.10.02KPI)_v2 CHAO #2 Forecast Summary_Sample Format_A&amp;O Format_FCST3+9" xfId="5479" xr:uid="{4F5ACA62-3654-4382-9EAD-B370B948A9AB}"/>
    <cellStyle name="_xf05年工厂?益?算表格3-1215_DFL FY05 MFG Budget Monthly_FY08 PIC guideline(07.10.02KPI)_v2 CHAO #2 Forecast Summary_Sample Format_A&amp;O Format_FCST3+9_v1" xfId="5480" xr:uid="{F92C0F3D-520D-46D1-97ED-8DA9DC31D5A2}"/>
    <cellStyle name="_xf05年工厂?益?算表格3-1215_DFL FY05 MFG Budget Monthly_FY08 PIC guideline(07.10.02KPI)_v2 FY10 FC#2_OP_Variance" xfId="5481" xr:uid="{67FB150C-B2DF-441E-A7BB-EEB784DAB79D}"/>
    <cellStyle name="_xf05年工厂?益?算表格3-1215_DFL FY05 MFG Budget Monthly_FY08 PIC guideline(07.10.02KPI)_v2 FY10 FC#2_OP_Variance_FY12 Budget Final OC-China" xfId="5482" xr:uid="{91C2D343-9E97-482C-BD5C-C3908BC9F7D3}"/>
    <cellStyle name="_xf05年工厂?益?算表格3-1215_DFL FY05 MFG Budget Monthly_FY08 PIC guideline(07.10.02KPI)_v2 FY10 FC#2_OP_Variance_Sample Format" xfId="5483" xr:uid="{443B3F4B-1A49-404D-B054-E2C4BDB4013E}"/>
    <cellStyle name="_xf05年工厂?益?算表格3-1215_DFL FY05 MFG Budget Monthly_FY08 PIC guideline(07.10.02KPI)_v2 FY10 FC#2_OP_Variance_Sample Format_Ａ&amp;O Consolidation Format_FCST3+9_v3" xfId="5484" xr:uid="{76D00823-5933-43A1-B6BC-F30B3367BE8D}"/>
    <cellStyle name="_xf05年工厂?益?算表格3-1215_DFL FY05 MFG Budget Monthly_FY08 PIC guideline(07.10.02KPI)_v2 FY10 FC#2_OP_Variance_Sample Format_A&amp;O Format" xfId="5485" xr:uid="{71A73E57-A6EF-4840-8458-29DFEA4FA76A}"/>
    <cellStyle name="_xf05年工厂?益?算表格3-1215_DFL FY05 MFG Budget Monthly_FY08 PIC guideline(07.10.02KPI)_v2 FY10 FC#2_OP_Variance_Sample Format_A&amp;O Format_FCST3+9" xfId="5486" xr:uid="{39D6F876-AB68-4D18-A03E-E84EC367596E}"/>
    <cellStyle name="_xf05年工厂?益?算表格3-1215_DFL FY05 MFG Budget Monthly_FY08 PIC guideline(07.10.02KPI)_v2 FY10 FC#2_OP_Variance_Sample Format_A&amp;O Format_FCST3+9_v1" xfId="5487" xr:uid="{672E1CFD-0DCF-4FF5-8862-3B6408507D00}"/>
    <cellStyle name="_xf05年工厂?益?算表格3-1215_DFL FY05 MFG Budget Monthly_FY08 PIC guideline(07.10.02KPI)_v5 FY11 Budget Sim summary" xfId="5488" xr:uid="{D94132C4-81CC-4A02-96E6-B1FDDA1C5FFD}"/>
    <cellStyle name="_xf05年工厂?益?算表格3-1215_DFL FY05 MFG Budget Monthly_FY08 PIC guideline(07.10.02KPI)_v5 FY11 Budget Sim summary_FY12 Budget Final OC-China" xfId="5489" xr:uid="{4DFB9130-8A6E-43B9-A412-B30B09539F18}"/>
    <cellStyle name="_xf05年工厂?益?算表格3-1215_DFL FY05 MFG Budget Monthly_FY08 PIC guideline(07.10.02KPI)_v5 FY11 Budget Sim summary_Sample Format" xfId="5490" xr:uid="{708565E0-6166-4DF1-973F-935BD052171F}"/>
    <cellStyle name="_xf05年工厂?益?算表格3-1215_DFL FY05 MFG Budget Monthly_FY08 PIC guideline(07.10.02KPI)_v5 FY11 Budget Sim summary_Sample Format_Ａ&amp;O Consolidation Format_FCST3+9_v3" xfId="5491" xr:uid="{A1F3189B-7411-4FDA-96A9-5F5A5DE4CF5B}"/>
    <cellStyle name="_xf05年工厂?益?算表格3-1215_DFL FY05 MFG Budget Monthly_FY08 PIC guideline(07.10.02KPI)_v5 FY11 Budget Sim summary_Sample Format_A&amp;O Format" xfId="5492" xr:uid="{8F5775D4-34D0-43FE-8662-14BE17677709}"/>
    <cellStyle name="_xf05年工厂?益?算表格3-1215_DFL FY05 MFG Budget Monthly_FY08 PIC guideline(07.10.02KPI)_v5 FY11 Budget Sim summary_Sample Format_A&amp;O Format_FCST3+9" xfId="5493" xr:uid="{F263298F-FE83-4807-900C-F405A342DF93}"/>
    <cellStyle name="_xf05年工厂?益?算表格3-1215_DFL FY05 MFG Budget Monthly_FY08 PIC guideline(07.10.02KPI)_v5 FY11 Budget Sim summary_Sample Format_A&amp;O Format_FCST3+9_v1" xfId="5494" xr:uid="{8C86745A-E206-41C3-9BE1-60D4BB52E810}"/>
    <cellStyle name="_xf05年工厂?益?算表格3-1215_DFL FY05 MFG Budget Monthly_FY08 PIC guideline(07.10.02KPI)_コピー【Master】 FY12 Simula tion Excel PKG for Auto" xfId="5495" xr:uid="{F2D5F5DB-A29B-4D8C-8BC5-B87C3EBAA7B1}"/>
    <cellStyle name="_xf05年工厂?益?算表格3-1215_DFL FY05 MFG Budget Monthly_FY08 PIC guideline(07.10.02KPI)_これマスター　FCF_FY12 Simulation Excel PKG for Auto" xfId="5496" xr:uid="{C054A178-257D-41EA-A979-69287E24D10F}"/>
    <cellStyle name="_xf05年工厂?益?算表格3-1215_DFL FY05 MFG Budget Monthly_FY10 FC#2_OP_Variance" xfId="5497" xr:uid="{AC73C27D-F70C-4806-ABE2-52F7BDECD167}"/>
    <cellStyle name="_xf05年工厂?益?算表格3-1215_DFL FY05 MFG Budget Monthly_FY10 FC#2_OP_Variance_FY12 Budget Final OC-China" xfId="5498" xr:uid="{0BAE9B34-6A63-4B37-833A-1F9BDB5554CC}"/>
    <cellStyle name="_xf05年工厂?益?算表格3-1215_DFL FY05 MFG Budget Monthly_FY10 FC#2_OP_Variance_Sample Format" xfId="5499" xr:uid="{85C41DC2-4199-4DEF-8869-C9B4E86C6188}"/>
    <cellStyle name="_xf05年工厂?益?算表格3-1215_DFL FY05 MFG Budget Monthly_FY10 FC#2_OP_Variance_Sample Format_Ａ&amp;O Consolidation Format_FCST3+9_v3" xfId="5500" xr:uid="{B6A42EA7-FBF6-4981-B762-E4FB27EF988C}"/>
    <cellStyle name="_xf05年工厂?益?算表格3-1215_DFL FY05 MFG Budget Monthly_FY10 FC#2_OP_Variance_Sample Format_A&amp;O Format" xfId="5501" xr:uid="{ECD626AA-AC35-4195-8737-91240843C32D}"/>
    <cellStyle name="_xf05年工厂?益?算表格3-1215_DFL FY05 MFG Budget Monthly_FY10 FC#2_OP_Variance_Sample Format_A&amp;O Format_FCST3+9" xfId="5502" xr:uid="{A1264167-22BF-4D73-A868-3C7B8F465B01}"/>
    <cellStyle name="_xf05年工厂?益?算表格3-1215_DFL FY05 MFG Budget Monthly_FY10 FC#2_OP_Variance_Sample Format_A&amp;O Format_FCST3+9_v1" xfId="5503" xr:uid="{15DFA3A1-0F97-4E06-B28F-72194B2C10C1}"/>
    <cellStyle name="_xf05年工厂?益?算表格3-1215_DFL FY05 MFG Budget Monthly_FY12 BP_Simulation information PKG_R" xfId="5504" xr:uid="{C2000769-205B-4F9C-822F-9E5D0B370198}"/>
    <cellStyle name="_xf05年工厂?益?算表格3-1215_DFL FY05 MFG Budget Monthly_FY12 BP_Simulation information PKG_R（SGA）" xfId="5505" xr:uid="{75E87DFC-0CBF-42DC-9946-3D94189F74E8}"/>
    <cellStyle name="_xf05年工厂?益?算表格3-1215_DFL FY05 MFG Budget Monthly_MFG_Reply_Summary(07-11-02版)" xfId="5506" xr:uid="{DDFA5735-52C6-4C8C-8C95-089F12A110AA}"/>
    <cellStyle name="_xf05年工厂?益?算表格3-1215_DFL FY05 MFG Budget Monthly_MFG_Reply_Summary(07-11-02版)_#1 Forecast Summary" xfId="5507" xr:uid="{40637753-24A9-4E38-ACC6-EE18ED95C9C3}"/>
    <cellStyle name="_xf05年工厂?益?算表格3-1215_DFL FY05 MFG Budget Monthly_MFG_Reply_Summary(07-11-02版)_#1 Forecast Summary_FY12 Budget Final OC-China" xfId="5508" xr:uid="{344D01E8-A98A-4731-B7C6-DE45FFE38678}"/>
    <cellStyle name="_xf05年工厂?益?算表格3-1215_DFL FY05 MFG Budget Monthly_MFG_Reply_Summary(07-11-02版)_#1 Forecast Summary_Sample Format" xfId="5509" xr:uid="{1EF635CA-9A6A-4A14-8416-481EA412C72C}"/>
    <cellStyle name="_xf05年工厂?益?算表格3-1215_DFL FY05 MFG Budget Monthly_MFG_Reply_Summary(07-11-02版)_#1 Forecast Summary_Sample Format_Ａ&amp;O Consolidation Format_FCST3+9_v3" xfId="5510" xr:uid="{EFA4FF48-0448-41BC-AB89-7B6A4735CA94}"/>
    <cellStyle name="_xf05年工厂?益?算表格3-1215_DFL FY05 MFG Budget Monthly_MFG_Reply_Summary(07-11-02版)_#1 Forecast Summary_Sample Format_A&amp;O Format" xfId="5511" xr:uid="{70E880F5-C017-45B5-B018-84FB09BC2B99}"/>
    <cellStyle name="_xf05年工厂?益?算表格3-1215_DFL FY05 MFG Budget Monthly_MFG_Reply_Summary(07-11-02版)_#1 Forecast Summary_Sample Format_A&amp;O Format_FCST3+9" xfId="5512" xr:uid="{F057659B-0312-4B6A-A4DB-ADE2BC4A1FCA}"/>
    <cellStyle name="_xf05年工厂?益?算表格3-1215_DFL FY05 MFG Budget Monthly_MFG_Reply_Summary(07-11-02版)_#1 Forecast Summary_Sample Format_A&amp;O Format_FCST3+9_v1" xfId="5513" xr:uid="{491D085D-9F26-4B8C-A30E-CC62B8F8AD60}"/>
    <cellStyle name="_xf05年工厂?益?算表格3-1215_DFL FY05 MFG Budget Monthly_MFG_Reply_Summary(07-11-02版)_(CHAO) FY10 Forecast#1 Regional Comment" xfId="5514" xr:uid="{FE240B6E-8B2C-4811-9C99-BF8EB15CF2EF}"/>
    <cellStyle name="_xf05年工厂?益?算表格3-1215_DFL FY05 MFG Budget Monthly_MFG_Reply_Summary(07-11-02版)_(CHAO) FY10 Forecast#1 Regional Comment_FY12 Budget Final OC-China" xfId="5515" xr:uid="{C065242B-27AA-4BE2-920C-D8F6A907611E}"/>
    <cellStyle name="_xf05年工厂?益?算表格3-1215_DFL FY05 MFG Budget Monthly_MFG_Reply_Summary(07-11-02版)_(CHAO) FY10 Forecast#1 Regional Comment_Sample Format" xfId="5516" xr:uid="{B05060B2-264F-427D-8E2F-7EBB01203E1F}"/>
    <cellStyle name="_xf05年工厂?益?算表格3-1215_DFL FY05 MFG Budget Monthly_MFG_Reply_Summary(07-11-02版)_(CHAO) FY10 Forecast#1 Regional Comment_Sample Format_Ａ&amp;O Consolidation Format_FCST3+9_v3" xfId="5517" xr:uid="{CA4AEB79-F127-421B-9187-66FB0148BC10}"/>
    <cellStyle name="_xf05年工厂?益?算表格3-1215_DFL FY05 MFG Budget Monthly_MFG_Reply_Summary(07-11-02版)_(CHAO) FY10 Forecast#1 Regional Comment_Sample Format_A&amp;O Format" xfId="5518" xr:uid="{2A0732A3-5ADA-4BE7-B5EC-65FA0A843084}"/>
    <cellStyle name="_xf05年工厂?益?算表格3-1215_DFL FY05 MFG Budget Monthly_MFG_Reply_Summary(07-11-02版)_(CHAO) FY10 Forecast#1 Regional Comment_Sample Format_A&amp;O Format_FCST3+9" xfId="5519" xr:uid="{6A8B00B1-8808-4CB9-A301-4A238824D77C}"/>
    <cellStyle name="_xf05年工厂?益?算表格3-1215_DFL FY05 MFG Budget Monthly_MFG_Reply_Summary(07-11-02版)_(CHAO) FY10 Forecast#1 Regional Comment_Sample Format_A&amp;O Format_FCST3+9_v1" xfId="5520" xr:uid="{8ECEBC54-5ED5-40E7-AB3A-DA46DC974674}"/>
    <cellStyle name="_xf05年工厂?益?算表格3-1215_DFL FY05 MFG Budget Monthly_MFG_Reply_Summary(07-11-02版)_【Master】 FY12 Simulation Excel PKG for Auto" xfId="5521" xr:uid="{DB7BADD0-2787-4D58-B190-24D4E223FFA2}"/>
    <cellStyle name="_xf05年工厂?益?算表格3-1215_DFL FY05 MFG Budget Monthly_MFG_Reply_Summary(07-11-02版)_【Master】 FY12 Simulation Excel PKG for Auto (2)" xfId="5522" xr:uid="{6FF14684-7ED8-4F2F-A06B-19BE2A8BBCCC}"/>
    <cellStyle name="_xf05年工厂?益?算表格3-1215_DFL FY05 MFG Budget Monthly_MFG_Reply_Summary(07-11-02版)_【Master】 FY12 Simulation Excel PKG for Auto_sugii" xfId="5523" xr:uid="{81F27CBE-F825-4F95-AC70-8DFECDABEA67}"/>
    <cellStyle name="_xf05年工厂?益?算表格3-1215_DFL FY05 MFG Budget Monthly_MFG_Reply_Summary(07-11-02版)_【Master】 FY12 Simulation Excel PKG for Auto_sugii (2)" xfId="5524" xr:uid="{EC1C8CC1-BE0F-43F4-87E8-9213E951CE98}"/>
    <cellStyle name="_xf05年工厂?益?算表格3-1215_DFL FY05 MFG Budget Monthly_MFG_Reply_Summary(07-11-02版)_【Shibayama】 FY12 Simulation Excel PKG for Auto" xfId="5525" xr:uid="{FDDEDFEF-862D-43C4-A890-2D88CCE3D46B}"/>
    <cellStyle name="_xf05年工厂?益?算表格3-1215_DFL FY05 MFG Budget Monthly_MFG_Reply_Summary(07-11-02版)_Ａ&amp;O Consolidation Format_FCST3+9_v3" xfId="5526" xr:uid="{68143E06-74C2-4374-9065-FF2D44B7481C}"/>
    <cellStyle name="_xf05年工厂?益?算表格3-1215_DFL FY05 MFG Budget Monthly_MFG_Reply_Summary(07-11-02版)_A&amp;O Format" xfId="5527" xr:uid="{A25195F1-1B24-4C7B-84E8-50F6FD08DD47}"/>
    <cellStyle name="_xf05年工厂?益?算表格3-1215_DFL FY05 MFG Budget Monthly_MFG_Reply_Summary(07-11-02版)_A&amp;O Format_FCST3+9" xfId="5528" xr:uid="{4C2B9D04-F33A-4F4F-A42E-3451FC2EB616}"/>
    <cellStyle name="_xf05年工厂?益?算表格3-1215_DFL FY05 MFG Budget Monthly_MFG_Reply_Summary(07-11-02版)_A&amp;O Format_FCST3+9_v1" xfId="5529" xr:uid="{4D5E0EA3-4B87-4434-8F59-3297A35B01A1}"/>
    <cellStyle name="_xf05年工厂?益?算表格3-1215_DFL FY05 MFG Budget Monthly_MFG_Reply_Summary(07-11-02版)_CHAO #2 Forecast Summary" xfId="5530" xr:uid="{EFD33F20-861E-4C03-983C-6056D15EE133}"/>
    <cellStyle name="_xf05年工厂?益?算表格3-1215_DFL FY05 MFG Budget Monthly_MFG_Reply_Summary(07-11-02版)_CHAO #2 Forecast Summary_FY12 Budget Final OC-China" xfId="5531" xr:uid="{FC2F0307-DE74-4FED-85E6-82ECB7785062}"/>
    <cellStyle name="_xf05年工厂?益?算表格3-1215_DFL FY05 MFG Budget Monthly_MFG_Reply_Summary(07-11-02版)_CHAO #2 Forecast Summary_Sample Format" xfId="5532" xr:uid="{90BCA975-C8E9-4684-990E-A7686FB29536}"/>
    <cellStyle name="_xf05年工厂?益?算表格3-1215_DFL FY05 MFG Budget Monthly_MFG_Reply_Summary(07-11-02版)_CHAO #2 Forecast Summary_Sample Format_Ａ&amp;O Consolidation Format_FCST3+9_v3" xfId="5533" xr:uid="{2441B2FC-C22E-4B9C-B407-AE8AE2799C57}"/>
    <cellStyle name="_xf05年工厂?益?算表格3-1215_DFL FY05 MFG Budget Monthly_MFG_Reply_Summary(07-11-02版)_CHAO #2 Forecast Summary_Sample Format_A&amp;O Format" xfId="5534" xr:uid="{99244531-32A3-480C-A30F-D05054BF49CF}"/>
    <cellStyle name="_xf05年工厂?益?算表格3-1215_DFL FY05 MFG Budget Monthly_MFG_Reply_Summary(07-11-02版)_CHAO #2 Forecast Summary_Sample Format_A&amp;O Format_FCST3+9" xfId="5535" xr:uid="{620AE6D8-2EEB-4656-918D-6BA4017005BB}"/>
    <cellStyle name="_xf05年工厂?益?算表格3-1215_DFL FY05 MFG Budget Monthly_MFG_Reply_Summary(07-11-02版)_CHAO #2 Forecast Summary_Sample Format_A&amp;O Format_FCST3+9_v1" xfId="5536" xr:uid="{C2C794FC-2F81-44B2-A9F9-7431AB2927DC}"/>
    <cellStyle name="_xf05年工厂?益?算表格3-1215_DFL FY05 MFG Budget Monthly_MFG_Reply_Summary(07-11-02版)_Correct FC#2 AO OP" xfId="5537" xr:uid="{6922183B-D110-48FC-8E66-A9184E68437C}"/>
    <cellStyle name="_xf05年工厂?益?算表格3-1215_DFL FY05 MFG Budget Monthly_MFG_Reply_Summary(07-11-02版)_Correct FC#2 AO OP_FY12 Budget Final OC-China" xfId="5538" xr:uid="{4EC65B39-6B6D-479C-B591-C8C03F1848BD}"/>
    <cellStyle name="_xf05年工厂?益?算表格3-1215_DFL FY05 MFG Budget Monthly_MFG_Reply_Summary(07-11-02版)_Correct FC#2 AO OP_Sample Format" xfId="5539" xr:uid="{D91C8E47-BE25-4659-8B0E-6FC670E2975E}"/>
    <cellStyle name="_xf05年工厂?益?算表格3-1215_DFL FY05 MFG Budget Monthly_MFG_Reply_Summary(07-11-02版)_Correct FC#2 AO OP_Sample Format_Ａ&amp;O Consolidation Format_FCST3+9_v3" xfId="5540" xr:uid="{356C7B9A-B300-4B69-BB2F-27F5D2E6710B}"/>
    <cellStyle name="_xf05年工厂?益?算表格3-1215_DFL FY05 MFG Budget Monthly_MFG_Reply_Summary(07-11-02版)_Correct FC#2 AO OP_Sample Format_A&amp;O Format" xfId="5541" xr:uid="{B4CE2179-B4F9-4034-8F3B-F3A4B7878132}"/>
    <cellStyle name="_xf05年工厂?益?算表格3-1215_DFL FY05 MFG Budget Monthly_MFG_Reply_Summary(07-11-02版)_Correct FC#2 AO OP_Sample Format_A&amp;O Format_FCST3+9" xfId="5542" xr:uid="{C30E44D4-5419-43B8-853D-C1FA3FAA914B}"/>
    <cellStyle name="_xf05年工厂?益?算表格3-1215_DFL FY05 MFG Budget Monthly_MFG_Reply_Summary(07-11-02版)_Correct FC#2 AO OP_Sample Format_A&amp;O Format_FCST3+9_v1" xfId="5543" xr:uid="{4E978E94-9E1C-472F-A336-57909E421912}"/>
    <cellStyle name="_xf05年工厂?益?算表格3-1215_DFL FY05 MFG Budget Monthly_MFG_Reply_Summary(07-11-02版)_FY10 FC#2_OP_Variance" xfId="5544" xr:uid="{11DB1AE0-38D6-4E70-ABA1-B71EF9BBC53B}"/>
    <cellStyle name="_xf05年工厂?益?算表格3-1215_DFL FY05 MFG Budget Monthly_MFG_Reply_Summary(07-11-02版)_FY10 FC#2_OP_Variance_FY12 Budget Final OC-China" xfId="5545" xr:uid="{DF4C247C-C8E2-47BC-9DE8-F4199C4DAC8D}"/>
    <cellStyle name="_xf05年工厂?益?算表格3-1215_DFL FY05 MFG Budget Monthly_MFG_Reply_Summary(07-11-02版)_FY10 FC#2_OP_Variance_Sample Format" xfId="5546" xr:uid="{F1C5D684-6B65-4311-834E-38105FC3D72B}"/>
    <cellStyle name="_xf05年工厂?益?算表格3-1215_DFL FY05 MFG Budget Monthly_MFG_Reply_Summary(07-11-02版)_FY10 FC#2_OP_Variance_Sample Format_Ａ&amp;O Consolidation Format_FCST3+9_v3" xfId="5547" xr:uid="{CAF30947-1861-48E6-835A-FF38B56C920B}"/>
    <cellStyle name="_xf05年工厂?益?算表格3-1215_DFL FY05 MFG Budget Monthly_MFG_Reply_Summary(07-11-02版)_FY10 FC#2_OP_Variance_Sample Format_A&amp;O Format" xfId="5548" xr:uid="{9B9F5B7E-239A-4457-9A7C-988F8F18E45B}"/>
    <cellStyle name="_xf05年工厂?益?算表格3-1215_DFL FY05 MFG Budget Monthly_MFG_Reply_Summary(07-11-02版)_FY10 FC#2_OP_Variance_Sample Format_A&amp;O Format_FCST3+9" xfId="5549" xr:uid="{BCF0C494-46B9-4FC7-A8A4-5F3DCBC6F2FF}"/>
    <cellStyle name="_xf05年工厂?益?算表格3-1215_DFL FY05 MFG Budget Monthly_MFG_Reply_Summary(07-11-02版)_FY10 FC#2_OP_Variance_Sample Format_A&amp;O Format_FCST3+9_v1" xfId="5550" xr:uid="{FBBE7111-0C6F-46C0-A3A5-7E575530AA37}"/>
    <cellStyle name="_xf05年工厂?益?算表格3-1215_DFL FY05 MFG Budget Monthly_MFG_Reply_Summary(07-11-02版)_FY12 BP_Simulation information PKG_R" xfId="5551" xr:uid="{67F19A22-23BD-416E-A51F-A70B2CBAF50C}"/>
    <cellStyle name="_xf05年工厂?益?算表格3-1215_DFL FY05 MFG Budget Monthly_MFG_Reply_Summary(07-11-02版)_FY12 BP_Simulation information PKG_R（SGA）" xfId="5552" xr:uid="{61D9503E-CA41-4E53-A31F-EC9827B10326}"/>
    <cellStyle name="_xf05年工厂?益?算表格3-1215_DFL FY05 MFG Budget Monthly_MFG_Reply_Summary(07-11-02版)_v1 FY11 Budget Sim summary" xfId="5553" xr:uid="{B17F6994-F85C-4A8D-83AF-5EF06EC1110A}"/>
    <cellStyle name="_xf05年工厂?益?算表格3-1215_DFL FY05 MFG Budget Monthly_MFG_Reply_Summary(07-11-02版)_v1 FY11 Budget Sim summary_FY12 Budget Final OC-China" xfId="5554" xr:uid="{2E2E5DAE-4B2F-4BB5-831F-18527A409DCA}"/>
    <cellStyle name="_xf05年工厂?益?算表格3-1215_DFL FY05 MFG Budget Monthly_MFG_Reply_Summary(07-11-02版)_v1 FY11 Budget Sim summary_Sample Format" xfId="5555" xr:uid="{D2D6B642-0B80-4DB2-9456-3D139A6CE194}"/>
    <cellStyle name="_xf05年工厂?益?算表格3-1215_DFL FY05 MFG Budget Monthly_MFG_Reply_Summary(07-11-02版)_v1 FY11 Budget Sim summary_Sample Format_Ａ&amp;O Consolidation Format_FCST3+9_v3" xfId="5556" xr:uid="{5AABAB09-DDBB-468F-83C3-350E2D3BBFE3}"/>
    <cellStyle name="_xf05年工厂?益?算表格3-1215_DFL FY05 MFG Budget Monthly_MFG_Reply_Summary(07-11-02版)_v1 FY11 Budget Sim summary_Sample Format_A&amp;O Format" xfId="5557" xr:uid="{6E49EEC7-B338-41EB-8C21-82954D68C80E}"/>
    <cellStyle name="_xf05年工厂?益?算表格3-1215_DFL FY05 MFG Budget Monthly_MFG_Reply_Summary(07-11-02版)_v1 FY11 Budget Sim summary_Sample Format_A&amp;O Format_FCST3+9" xfId="5558" xr:uid="{E5B93E12-3B5F-4186-B4DD-1B935515A94A}"/>
    <cellStyle name="_xf05年工厂?益?算表格3-1215_DFL FY05 MFG Budget Monthly_MFG_Reply_Summary(07-11-02版)_v1 FY11 Budget Sim summary_Sample Format_A&amp;O Format_FCST3+9_v1" xfId="5559" xr:uid="{4BEEE56F-D927-49B4-A708-72AA027F5EF7}"/>
    <cellStyle name="_xf05年工厂?益?算表格3-1215_DFL FY05 MFG Budget Monthly_MFG_Reply_Summary(07-11-02版)_v2 CHAO #2 Forecast Summary" xfId="5560" xr:uid="{27CA7ECE-E78E-4EC2-B563-F47C19FB505B}"/>
    <cellStyle name="_xf05年工厂?益?算表格3-1215_DFL FY05 MFG Budget Monthly_MFG_Reply_Summary(07-11-02版)_v2 CHAO #2 Forecast Summary_FY12 Budget Final OC-China" xfId="5561" xr:uid="{58A4FA76-134C-49AD-B196-AE20C9DF6A44}"/>
    <cellStyle name="_xf05年工厂?益?算表格3-1215_DFL FY05 MFG Budget Monthly_MFG_Reply_Summary(07-11-02版)_v2 CHAO #2 Forecast Summary_Sample Format" xfId="5562" xr:uid="{BE3419E8-4F32-495E-84F1-A7FD67AAAD5B}"/>
    <cellStyle name="_xf05年工厂?益?算表格3-1215_DFL FY05 MFG Budget Monthly_MFG_Reply_Summary(07-11-02版)_v2 CHAO #2 Forecast Summary_Sample Format_Ａ&amp;O Consolidation Format_FCST3+9_v3" xfId="5563" xr:uid="{6E728A8C-C946-45A6-A732-4D0243A1EAAB}"/>
    <cellStyle name="_xf05年工厂?益?算表格3-1215_DFL FY05 MFG Budget Monthly_MFG_Reply_Summary(07-11-02版)_v2 CHAO #2 Forecast Summary_Sample Format_A&amp;O Format" xfId="5564" xr:uid="{0A74C94F-5DC3-4582-92D9-53D7C7F7131B}"/>
    <cellStyle name="_xf05年工厂?益?算表格3-1215_DFL FY05 MFG Budget Monthly_MFG_Reply_Summary(07-11-02版)_v2 CHAO #2 Forecast Summary_Sample Format_A&amp;O Format_FCST3+9" xfId="5565" xr:uid="{A99DBECA-3C81-41FA-B955-2E144663ADAB}"/>
    <cellStyle name="_xf05年工厂?益?算表格3-1215_DFL FY05 MFG Budget Monthly_MFG_Reply_Summary(07-11-02版)_v2 CHAO #2 Forecast Summary_Sample Format_A&amp;O Format_FCST3+9_v1" xfId="5566" xr:uid="{EF05AE94-A792-4EDC-B254-9FAE4E08379F}"/>
    <cellStyle name="_xf05年工厂?益?算表格3-1215_DFL FY05 MFG Budget Monthly_MFG_Reply_Summary(07-11-02版)_v2 FY10 FC#2_OP_Variance" xfId="5567" xr:uid="{FF8532EA-DA7A-49C0-918E-3621C4D91CEF}"/>
    <cellStyle name="_xf05年工厂?益?算表格3-1215_DFL FY05 MFG Budget Monthly_MFG_Reply_Summary(07-11-02版)_v2 FY10 FC#2_OP_Variance_FY12 Budget Final OC-China" xfId="5568" xr:uid="{14D66017-055F-4F3F-B0BA-A7C5A2D1B2F4}"/>
    <cellStyle name="_xf05年工厂?益?算表格3-1215_DFL FY05 MFG Budget Monthly_MFG_Reply_Summary(07-11-02版)_v2 FY10 FC#2_OP_Variance_Sample Format" xfId="5569" xr:uid="{E754F8F4-D149-4C27-A0CC-EFC74E06F0A9}"/>
    <cellStyle name="_xf05年工厂?益?算表格3-1215_DFL FY05 MFG Budget Monthly_MFG_Reply_Summary(07-11-02版)_v2 FY10 FC#2_OP_Variance_Sample Format_Ａ&amp;O Consolidation Format_FCST3+9_v3" xfId="5570" xr:uid="{A6F1A854-C1B4-4035-8398-D9C6E5EC5CA8}"/>
    <cellStyle name="_xf05年工厂?益?算表格3-1215_DFL FY05 MFG Budget Monthly_MFG_Reply_Summary(07-11-02版)_v2 FY10 FC#2_OP_Variance_Sample Format_A&amp;O Format" xfId="5571" xr:uid="{B9E350AF-A315-44BD-92D6-B6CB0D42F47A}"/>
    <cellStyle name="_xf05年工厂?益?算表格3-1215_DFL FY05 MFG Budget Monthly_MFG_Reply_Summary(07-11-02版)_v2 FY10 FC#2_OP_Variance_Sample Format_A&amp;O Format_FCST3+9" xfId="5572" xr:uid="{30A0A3B5-38F8-4DA1-8EDC-0C48EDE1C8B4}"/>
    <cellStyle name="_xf05年工厂?益?算表格3-1215_DFL FY05 MFG Budget Monthly_MFG_Reply_Summary(07-11-02版)_v2 FY10 FC#2_OP_Variance_Sample Format_A&amp;O Format_FCST3+9_v1" xfId="5573" xr:uid="{17BC3FFA-AC22-406D-8D9E-EB4B7B3EF3B6}"/>
    <cellStyle name="_xf05年工厂?益?算表格3-1215_DFL FY05 MFG Budget Monthly_MFG_Reply_Summary(07-11-02版)_v5 FY11 Budget Sim summary" xfId="5574" xr:uid="{0395EE80-5752-454E-9C64-BD8AD3C4062B}"/>
    <cellStyle name="_xf05年工厂?益?算表格3-1215_DFL FY05 MFG Budget Monthly_MFG_Reply_Summary(07-11-02版)_v5 FY11 Budget Sim summary_FY12 Budget Final OC-China" xfId="5575" xr:uid="{364A5AA2-A264-4706-8221-7294439111C4}"/>
    <cellStyle name="_xf05年工厂?益?算表格3-1215_DFL FY05 MFG Budget Monthly_MFG_Reply_Summary(07-11-02版)_v5 FY11 Budget Sim summary_Sample Format" xfId="5576" xr:uid="{F32773E9-9E12-4FA5-AC53-22556905B6DF}"/>
    <cellStyle name="_xf05年工厂?益?算表格3-1215_DFL FY05 MFG Budget Monthly_MFG_Reply_Summary(07-11-02版)_v5 FY11 Budget Sim summary_Sample Format_Ａ&amp;O Consolidation Format_FCST3+9_v3" xfId="5577" xr:uid="{6EAF832B-3782-4FA4-AD43-FF4140598979}"/>
    <cellStyle name="_xf05年工厂?益?算表格3-1215_DFL FY05 MFG Budget Monthly_MFG_Reply_Summary(07-11-02版)_v5 FY11 Budget Sim summary_Sample Format_A&amp;O Format" xfId="5578" xr:uid="{E20E33EE-FAD9-4397-8521-CE90D136430E}"/>
    <cellStyle name="_xf05年工厂?益?算表格3-1215_DFL FY05 MFG Budget Monthly_MFG_Reply_Summary(07-11-02版)_v5 FY11 Budget Sim summary_Sample Format_A&amp;O Format_FCST3+9" xfId="5579" xr:uid="{892F6117-4E1D-4FE5-9824-AFA556DC9CC5}"/>
    <cellStyle name="_xf05年工厂?益?算表格3-1215_DFL FY05 MFG Budget Monthly_MFG_Reply_Summary(07-11-02版)_v5 FY11 Budget Sim summary_Sample Format_A&amp;O Format_FCST3+9_v1" xfId="5580" xr:uid="{1005A7E8-34E2-48CE-A02A-9444E55AA7C6}"/>
    <cellStyle name="_xf05年工厂?益?算表格3-1215_DFL FY05 MFG Budget Monthly_MFG_Reply_Summary(07-11-02版)_コピー【Master】 FY12 Simula tion Excel PKG for Auto" xfId="5581" xr:uid="{2A6E2559-B18F-4B8D-B6AA-A80CE00FAECE}"/>
    <cellStyle name="_xf05年工厂?益?算表格3-1215_DFL FY05 MFG Budget Monthly_MFG_Reply_Summary(07-11-02版)_これマスター　FCF_FY12 Simulation Excel PKG for Auto" xfId="5582" xr:uid="{39FB1302-EAE3-4471-899F-0AF8EA2273D5}"/>
    <cellStyle name="_xf05年工厂?益?算表格3-1215_DFL FY05 MFG Budget Monthly_MFG_Reply_Suumary" xfId="5583" xr:uid="{640E0378-7B8D-4631-95B7-5AF55893D537}"/>
    <cellStyle name="_xf05年工厂?益?算表格3-1215_DFL FY05 MFG Budget Monthly_MFG_Reply_Suumary_#1 Forecast Summary" xfId="5584" xr:uid="{DAD3E836-1DC4-43F0-8CF8-4E1CC93ED7EF}"/>
    <cellStyle name="_xf05年工厂?益?算表格3-1215_DFL FY05 MFG Budget Monthly_MFG_Reply_Suumary_#1 Forecast Summary_FY12 Budget Final OC-China" xfId="5585" xr:uid="{C381A53B-6FB9-49DA-AD02-97A583681F25}"/>
    <cellStyle name="_xf05年工厂?益?算表格3-1215_DFL FY05 MFG Budget Monthly_MFG_Reply_Suumary_#1 Forecast Summary_Sample Format" xfId="5586" xr:uid="{3AA39FCF-9B3A-423F-8FAA-42FCD4BC28E6}"/>
    <cellStyle name="_xf05年工厂?益?算表格3-1215_DFL FY05 MFG Budget Monthly_MFG_Reply_Suumary_#1 Forecast Summary_Sample Format_Ａ&amp;O Consolidation Format_FCST3+9_v3" xfId="5587" xr:uid="{839DC2B1-B04D-4425-A4DE-8A3A670E09D9}"/>
    <cellStyle name="_xf05年工厂?益?算表格3-1215_DFL FY05 MFG Budget Monthly_MFG_Reply_Suumary_#1 Forecast Summary_Sample Format_A&amp;O Format" xfId="5588" xr:uid="{E2096344-0722-4BEF-BC9E-04E5A918D1EF}"/>
    <cellStyle name="_xf05年工厂?益?算表格3-1215_DFL FY05 MFG Budget Monthly_MFG_Reply_Suumary_#1 Forecast Summary_Sample Format_A&amp;O Format_FCST3+9" xfId="5589" xr:uid="{F2BC8B4E-EB58-46F6-AA6E-41B98D1FD4CD}"/>
    <cellStyle name="_xf05年工厂?益?算表格3-1215_DFL FY05 MFG Budget Monthly_MFG_Reply_Suumary_#1 Forecast Summary_Sample Format_A&amp;O Format_FCST3+9_v1" xfId="5590" xr:uid="{76709985-6C20-4C65-9DE5-0FA171F7FD42}"/>
    <cellStyle name="_xf05年工厂?益?算表格3-1215_DFL FY05 MFG Budget Monthly_MFG_Reply_Suumary_(CHAO) FY10 Forecast#1 Regional Comment" xfId="5591" xr:uid="{00646D9C-1DF4-4A62-B974-62A41B276944}"/>
    <cellStyle name="_xf05年工厂?益?算表格3-1215_DFL FY05 MFG Budget Monthly_MFG_Reply_Suumary_(CHAO) FY10 Forecast#1 Regional Comment_FY12 Budget Final OC-China" xfId="5592" xr:uid="{7A91F4B2-3153-4CC6-B6CD-F704DC93E2FB}"/>
    <cellStyle name="_xf05年工厂?益?算表格3-1215_DFL FY05 MFG Budget Monthly_MFG_Reply_Suumary_(CHAO) FY10 Forecast#1 Regional Comment_Sample Format" xfId="5593" xr:uid="{54844FF8-3969-4B82-927C-F5A82B8CBDAF}"/>
    <cellStyle name="_xf05年工厂?益?算表格3-1215_DFL FY05 MFG Budget Monthly_MFG_Reply_Suumary_(CHAO) FY10 Forecast#1 Regional Comment_Sample Format_Ａ&amp;O Consolidation Format_FCST3+9_v3" xfId="5594" xr:uid="{6E31ACB4-88F0-4197-A294-C2CA0AB380CD}"/>
    <cellStyle name="_xf05年工厂?益?算表格3-1215_DFL FY05 MFG Budget Monthly_MFG_Reply_Suumary_(CHAO) FY10 Forecast#1 Regional Comment_Sample Format_A&amp;O Format" xfId="5595" xr:uid="{F3747F2C-CDE9-4C24-895A-FED69227261C}"/>
    <cellStyle name="_xf05年工厂?益?算表格3-1215_DFL FY05 MFG Budget Monthly_MFG_Reply_Suumary_(CHAO) FY10 Forecast#1 Regional Comment_Sample Format_A&amp;O Format_FCST3+9" xfId="5596" xr:uid="{90BA2803-70E1-439E-B997-3FDD5CFBB8D3}"/>
    <cellStyle name="_xf05年工厂?益?算表格3-1215_DFL FY05 MFG Budget Monthly_MFG_Reply_Suumary_(CHAO) FY10 Forecast#1 Regional Comment_Sample Format_A&amp;O Format_FCST3+9_v1" xfId="5597" xr:uid="{9EC3F156-3039-43FD-A8F4-023B6B104F41}"/>
    <cellStyle name="_xf05年工厂?益?算表格3-1215_DFL FY05 MFG Budget Monthly_MFG_Reply_Suumary_【Master】 FY12 Simulation Excel PKG for Auto" xfId="5598" xr:uid="{4B825A04-3811-4DFD-8646-F097664FC0B0}"/>
    <cellStyle name="_xf05年工厂?益?算表格3-1215_DFL FY05 MFG Budget Monthly_MFG_Reply_Suumary_【Master】 FY12 Simulation Excel PKG for Auto (2)" xfId="5599" xr:uid="{7FCDB0C4-F899-494C-B4A2-B7E498BDD1DE}"/>
    <cellStyle name="_xf05年工厂?益?算表格3-1215_DFL FY05 MFG Budget Monthly_MFG_Reply_Suumary_【Master】 FY12 Simulation Excel PKG for Auto_sugii" xfId="5600" xr:uid="{10623F89-1FC0-46A4-B567-60F8D10D77BA}"/>
    <cellStyle name="_xf05年工厂?益?算表格3-1215_DFL FY05 MFG Budget Monthly_MFG_Reply_Suumary_【Master】 FY12 Simulation Excel PKG for Auto_sugii (2)" xfId="5601" xr:uid="{2B0F31DF-076F-42E0-B90A-CAB9B0028EDC}"/>
    <cellStyle name="_xf05年工厂?益?算表格3-1215_DFL FY05 MFG Budget Monthly_MFG_Reply_Suumary_【Shibayama】 FY12 Simulation Excel PKG for Auto" xfId="5602" xr:uid="{8E40C12E-26F6-40B8-A36D-E2CCAF1509BE}"/>
    <cellStyle name="_xf05年工厂?益?算表格3-1215_DFL FY05 MFG Budget Monthly_MFG_Reply_Suumary_Ａ&amp;O Consolidation Format_FCST3+9_v3" xfId="5603" xr:uid="{B35BE01B-B37D-4A1C-9A8F-418DA9578EB6}"/>
    <cellStyle name="_xf05年工厂?益?算表格3-1215_DFL FY05 MFG Budget Monthly_MFG_Reply_Suumary_A&amp;O Format" xfId="5604" xr:uid="{87FB2CA7-CBCB-4E3C-8BE2-4AD4303D9622}"/>
    <cellStyle name="_xf05年工厂?益?算表格3-1215_DFL FY05 MFG Budget Monthly_MFG_Reply_Suumary_A&amp;O Format_FCST3+9" xfId="5605" xr:uid="{2F1C4EAC-9111-49F1-B175-D97369580678}"/>
    <cellStyle name="_xf05年工厂?益?算表格3-1215_DFL FY05 MFG Budget Monthly_MFG_Reply_Suumary_A&amp;O Format_FCST3+9_v1" xfId="5606" xr:uid="{FFC49606-493C-454A-A27E-76E6F9E60045}"/>
    <cellStyle name="_xf05年工厂?益?算表格3-1215_DFL FY05 MFG Budget Monthly_MFG_Reply_Suumary_CHAO #2 Forecast Summary" xfId="5607" xr:uid="{7B7E6431-3190-4D8D-B897-95CB30167EEA}"/>
    <cellStyle name="_xf05年工厂?益?算表格3-1215_DFL FY05 MFG Budget Monthly_MFG_Reply_Suumary_CHAO #2 Forecast Summary_FY12 Budget Final OC-China" xfId="5608" xr:uid="{E03F2669-EC27-4177-9C17-CBEC2CE5AEEF}"/>
    <cellStyle name="_xf05年工厂?益?算表格3-1215_DFL FY05 MFG Budget Monthly_MFG_Reply_Suumary_CHAO #2 Forecast Summary_Sample Format" xfId="5609" xr:uid="{C104D980-6C2F-47D6-8D2C-5E89923F8FF6}"/>
    <cellStyle name="_xf05年工厂?益?算表格3-1215_DFL FY05 MFG Budget Monthly_MFG_Reply_Suumary_CHAO #2 Forecast Summary_Sample Format_Ａ&amp;O Consolidation Format_FCST3+9_v3" xfId="5610" xr:uid="{CC6A0E82-E672-4B88-936D-CBBF22EE4B3F}"/>
    <cellStyle name="_xf05年工厂?益?算表格3-1215_DFL FY05 MFG Budget Monthly_MFG_Reply_Suumary_CHAO #2 Forecast Summary_Sample Format_A&amp;O Format" xfId="5611" xr:uid="{CCC49451-CCE4-46F1-B46B-554C2872AEBA}"/>
    <cellStyle name="_xf05年工厂?益?算表格3-1215_DFL FY05 MFG Budget Monthly_MFG_Reply_Suumary_CHAO #2 Forecast Summary_Sample Format_A&amp;O Format_FCST3+9" xfId="5612" xr:uid="{E4EE8348-1C2E-4000-BBC8-ED909FA6F3F6}"/>
    <cellStyle name="_xf05年工厂?益?算表格3-1215_DFL FY05 MFG Budget Monthly_MFG_Reply_Suumary_CHAO #2 Forecast Summary_Sample Format_A&amp;O Format_FCST3+9_v1" xfId="5613" xr:uid="{71385AC0-5409-4549-97BA-0D56E473D517}"/>
    <cellStyle name="_xf05年工厂?益?算表格3-1215_DFL FY05 MFG Budget Monthly_MFG_Reply_Suumary_Correct FC#2 AO OP" xfId="5614" xr:uid="{137F3A89-2CD5-4364-9B9F-5BFACB674E95}"/>
    <cellStyle name="_xf05年工厂?益?算表格3-1215_DFL FY05 MFG Budget Monthly_MFG_Reply_Suumary_Correct FC#2 AO OP_FY12 Budget Final OC-China" xfId="5615" xr:uid="{54DDAC64-89F8-4A45-BD43-945CDCD21CEB}"/>
    <cellStyle name="_xf05年工厂?益?算表格3-1215_DFL FY05 MFG Budget Monthly_MFG_Reply_Suumary_Correct FC#2 AO OP_Sample Format" xfId="5616" xr:uid="{EB1FAEC5-25F4-49DA-AD62-518BAEC9F9B1}"/>
    <cellStyle name="_xf05年工厂?益?算表格3-1215_DFL FY05 MFG Budget Monthly_MFG_Reply_Suumary_Correct FC#2 AO OP_Sample Format_Ａ&amp;O Consolidation Format_FCST3+9_v3" xfId="5617" xr:uid="{B08F5FD4-F695-4334-BCC2-CB2A29F2CDF8}"/>
    <cellStyle name="_xf05年工厂?益?算表格3-1215_DFL FY05 MFG Budget Monthly_MFG_Reply_Suumary_Correct FC#2 AO OP_Sample Format_A&amp;O Format" xfId="5618" xr:uid="{9DFB466F-C345-4A59-A32D-D3996DF48AAB}"/>
    <cellStyle name="_xf05年工厂?益?算表格3-1215_DFL FY05 MFG Budget Monthly_MFG_Reply_Suumary_Correct FC#2 AO OP_Sample Format_A&amp;O Format_FCST3+9" xfId="5619" xr:uid="{88AE5CED-499D-42F4-A8EA-CAD1B6F08178}"/>
    <cellStyle name="_xf05年工厂?益?算表格3-1215_DFL FY05 MFG Budget Monthly_MFG_Reply_Suumary_Correct FC#2 AO OP_Sample Format_A&amp;O Format_FCST3+9_v1" xfId="5620" xr:uid="{ED1B9B54-BE13-4EF8-BFC0-D637C7F14EE2}"/>
    <cellStyle name="_xf05年工厂?益?算表格3-1215_DFL FY05 MFG Budget Monthly_MFG_Reply_Suumary_FY10 FC#2_OP_Variance" xfId="5621" xr:uid="{91229654-5883-4B5C-8ED6-C88AB6BE24E6}"/>
    <cellStyle name="_xf05年工厂?益?算表格3-1215_DFL FY05 MFG Budget Monthly_MFG_Reply_Suumary_FY10 FC#2_OP_Variance_FY12 Budget Final OC-China" xfId="5622" xr:uid="{4CE66338-0B5F-4B0D-842F-3C9DEAD38DAC}"/>
    <cellStyle name="_xf05年工厂?益?算表格3-1215_DFL FY05 MFG Budget Monthly_MFG_Reply_Suumary_FY10 FC#2_OP_Variance_Sample Format" xfId="5623" xr:uid="{AD2769D5-6041-4F8C-86D8-6557E3BFD60E}"/>
    <cellStyle name="_xf05年工厂?益?算表格3-1215_DFL FY05 MFG Budget Monthly_MFG_Reply_Suumary_FY10 FC#2_OP_Variance_Sample Format_Ａ&amp;O Consolidation Format_FCST3+9_v3" xfId="5624" xr:uid="{D4941C32-AB73-4FA6-8EF1-9884834D12E2}"/>
    <cellStyle name="_xf05年工厂?益?算表格3-1215_DFL FY05 MFG Budget Monthly_MFG_Reply_Suumary_FY10 FC#2_OP_Variance_Sample Format_A&amp;O Format" xfId="5625" xr:uid="{86C9F04E-A1D4-497E-92C2-96DBA64AFB5C}"/>
    <cellStyle name="_xf05年工厂?益?算表格3-1215_DFL FY05 MFG Budget Monthly_MFG_Reply_Suumary_FY10 FC#2_OP_Variance_Sample Format_A&amp;O Format_FCST3+9" xfId="5626" xr:uid="{4D8A28C6-656D-4B77-90AF-BFFB0B3FAE5A}"/>
    <cellStyle name="_xf05年工厂?益?算表格3-1215_DFL FY05 MFG Budget Monthly_MFG_Reply_Suumary_FY10 FC#2_OP_Variance_Sample Format_A&amp;O Format_FCST3+9_v1" xfId="5627" xr:uid="{938C3093-9E90-4F18-AE77-980597B631A2}"/>
    <cellStyle name="_xf05年工厂?益?算表格3-1215_DFL FY05 MFG Budget Monthly_MFG_Reply_Suumary_FY12 BP_Simulation information PKG_R" xfId="5628" xr:uid="{623374D5-24DA-4B37-9B4F-FD5D0EE8FE5C}"/>
    <cellStyle name="_xf05年工厂?益?算表格3-1215_DFL FY05 MFG Budget Monthly_MFG_Reply_Suumary_FY12 BP_Simulation information PKG_R（SGA）" xfId="5629" xr:uid="{9D43875E-69C2-4BD4-B3E8-5CDF196A341B}"/>
    <cellStyle name="_xf05年工厂?益?算表格3-1215_DFL FY05 MFG Budget Monthly_MFG_Reply_Suumary_v1 FY11 Budget Sim summary" xfId="5630" xr:uid="{F129DDFE-4429-4B02-B519-A92441B9DDAC}"/>
    <cellStyle name="_xf05年工厂?益?算表格3-1215_DFL FY05 MFG Budget Monthly_MFG_Reply_Suumary_v1 FY11 Budget Sim summary_FY12 Budget Final OC-China" xfId="5631" xr:uid="{2F966B0B-ED30-48E0-A7C6-8FE5FDD4688F}"/>
    <cellStyle name="_xf05年工厂?益?算表格3-1215_DFL FY05 MFG Budget Monthly_MFG_Reply_Suumary_v1 FY11 Budget Sim summary_Sample Format" xfId="5632" xr:uid="{B93FB1A6-2CFF-4D43-B995-860091188F47}"/>
    <cellStyle name="_xf05年工厂?益?算表格3-1215_DFL FY05 MFG Budget Monthly_MFG_Reply_Suumary_v1 FY11 Budget Sim summary_Sample Format_Ａ&amp;O Consolidation Format_FCST3+9_v3" xfId="5633" xr:uid="{48E94E97-B3D4-491B-AC19-14F2C67CB70A}"/>
    <cellStyle name="_xf05年工厂?益?算表格3-1215_DFL FY05 MFG Budget Monthly_MFG_Reply_Suumary_v1 FY11 Budget Sim summary_Sample Format_A&amp;O Format" xfId="5634" xr:uid="{85D4D73D-39CE-4B29-A383-54543DF036AF}"/>
    <cellStyle name="_xf05年工厂?益?算表格3-1215_DFL FY05 MFG Budget Monthly_MFG_Reply_Suumary_v1 FY11 Budget Sim summary_Sample Format_A&amp;O Format_FCST3+9" xfId="5635" xr:uid="{A1243B76-F929-4527-B30E-F2C3EFC59CA6}"/>
    <cellStyle name="_xf05年工厂?益?算表格3-1215_DFL FY05 MFG Budget Monthly_MFG_Reply_Suumary_v1 FY11 Budget Sim summary_Sample Format_A&amp;O Format_FCST3+9_v1" xfId="5636" xr:uid="{533FFA44-232E-4FC4-AB0E-C879C23B1BCA}"/>
    <cellStyle name="_xf05年工厂?益?算表格3-1215_DFL FY05 MFG Budget Monthly_MFG_Reply_Suumary_v2 CHAO #2 Forecast Summary" xfId="5637" xr:uid="{EDF0E295-D8BC-404C-89CF-A2261DFE8D53}"/>
    <cellStyle name="_xf05年工厂?益?算表格3-1215_DFL FY05 MFG Budget Monthly_MFG_Reply_Suumary_v2 CHAO #2 Forecast Summary_FY12 Budget Final OC-China" xfId="5638" xr:uid="{828B6CF3-59BC-4B63-A3CC-9F3CB290C17D}"/>
    <cellStyle name="_xf05年工厂?益?算表格3-1215_DFL FY05 MFG Budget Monthly_MFG_Reply_Suumary_v2 CHAO #2 Forecast Summary_Sample Format" xfId="5639" xr:uid="{CCAFC7A4-28E1-4E26-93A5-31E688C921F5}"/>
    <cellStyle name="_xf05年工厂?益?算表格3-1215_DFL FY05 MFG Budget Monthly_MFG_Reply_Suumary_v2 CHAO #2 Forecast Summary_Sample Format_Ａ&amp;O Consolidation Format_FCST3+9_v3" xfId="5640" xr:uid="{AD6B5D55-E4F5-412C-B0BA-F0FD8D7D9C75}"/>
    <cellStyle name="_xf05年工厂?益?算表格3-1215_DFL FY05 MFG Budget Monthly_MFG_Reply_Suumary_v2 CHAO #2 Forecast Summary_Sample Format_A&amp;O Format" xfId="5641" xr:uid="{059716C0-65C0-41EF-8C24-8DF958D34DA2}"/>
    <cellStyle name="_xf05年工厂?益?算表格3-1215_DFL FY05 MFG Budget Monthly_MFG_Reply_Suumary_v2 CHAO #2 Forecast Summary_Sample Format_A&amp;O Format_FCST3+9" xfId="5642" xr:uid="{042C74C7-4AD6-4251-8B36-7F99DEA96574}"/>
    <cellStyle name="_xf05年工厂?益?算表格3-1215_DFL FY05 MFG Budget Monthly_MFG_Reply_Suumary_v2 CHAO #2 Forecast Summary_Sample Format_A&amp;O Format_FCST3+9_v1" xfId="5643" xr:uid="{CB6431D3-B6B7-4F42-A4D1-80746E3B2B26}"/>
    <cellStyle name="_xf05年工厂?益?算表格3-1215_DFL FY05 MFG Budget Monthly_MFG_Reply_Suumary_v2 FY10 FC#2_OP_Variance" xfId="5644" xr:uid="{271942E5-0022-4A3F-B012-B45B986771D2}"/>
    <cellStyle name="_xf05年工厂?益?算表格3-1215_DFL FY05 MFG Budget Monthly_MFG_Reply_Suumary_v2 FY10 FC#2_OP_Variance_FY12 Budget Final OC-China" xfId="5645" xr:uid="{265D41C3-4B7B-4E66-A5C0-D5B0B7251D66}"/>
    <cellStyle name="_xf05年工厂?益?算表格3-1215_DFL FY05 MFG Budget Monthly_MFG_Reply_Suumary_v2 FY10 FC#2_OP_Variance_Sample Format" xfId="5646" xr:uid="{A3F85872-B5A7-4393-B538-6AF869E7CE50}"/>
    <cellStyle name="_xf05年工厂?益?算表格3-1215_DFL FY05 MFG Budget Monthly_MFG_Reply_Suumary_v2 FY10 FC#2_OP_Variance_Sample Format_Ａ&amp;O Consolidation Format_FCST3+9_v3" xfId="5647" xr:uid="{5BF8E2FD-B716-4EB0-80B8-B114B6BF8D52}"/>
    <cellStyle name="_xf05年工厂?益?算表格3-1215_DFL FY05 MFG Budget Monthly_MFG_Reply_Suumary_v2 FY10 FC#2_OP_Variance_Sample Format_A&amp;O Format" xfId="5648" xr:uid="{F58B9D3F-423C-40AE-A042-15659FF32216}"/>
    <cellStyle name="_xf05年工厂?益?算表格3-1215_DFL FY05 MFG Budget Monthly_MFG_Reply_Suumary_v2 FY10 FC#2_OP_Variance_Sample Format_A&amp;O Format_FCST3+9" xfId="5649" xr:uid="{A409D3FC-BEA1-4F00-88DB-355143411B22}"/>
    <cellStyle name="_xf05年工厂?益?算表格3-1215_DFL FY05 MFG Budget Monthly_MFG_Reply_Suumary_v2 FY10 FC#2_OP_Variance_Sample Format_A&amp;O Format_FCST3+9_v1" xfId="5650" xr:uid="{074ED08B-DBB2-4D46-A9C5-7A5B95063388}"/>
    <cellStyle name="_xf05年工厂?益?算表格3-1215_DFL FY05 MFG Budget Monthly_MFG_Reply_Suumary_v5 FY11 Budget Sim summary" xfId="5651" xr:uid="{5756D35B-ACA0-449D-AEF7-98A8A1FC6384}"/>
    <cellStyle name="_xf05年工厂?益?算表格3-1215_DFL FY05 MFG Budget Monthly_MFG_Reply_Suumary_v5 FY11 Budget Sim summary_FY12 Budget Final OC-China" xfId="5652" xr:uid="{AD34C051-03C0-4680-8AD0-1B00084DF994}"/>
    <cellStyle name="_xf05年工厂?益?算表格3-1215_DFL FY05 MFG Budget Monthly_MFG_Reply_Suumary_v5 FY11 Budget Sim summary_Sample Format" xfId="5653" xr:uid="{0E3A2CC6-D57E-4100-BF4D-ECE1FEC4735E}"/>
    <cellStyle name="_xf05年工厂?益?算表格3-1215_DFL FY05 MFG Budget Monthly_MFG_Reply_Suumary_v5 FY11 Budget Sim summary_Sample Format_Ａ&amp;O Consolidation Format_FCST3+9_v3" xfId="5654" xr:uid="{3AFBAC2B-6275-4504-9142-1E27303CA861}"/>
    <cellStyle name="_xf05年工厂?益?算表格3-1215_DFL FY05 MFG Budget Monthly_MFG_Reply_Suumary_v5 FY11 Budget Sim summary_Sample Format_A&amp;O Format" xfId="5655" xr:uid="{42F8B7AE-12ED-49EE-8FC9-91E25570E957}"/>
    <cellStyle name="_xf05年工厂?益?算表格3-1215_DFL FY05 MFG Budget Monthly_MFG_Reply_Suumary_v5 FY11 Budget Sim summary_Sample Format_A&amp;O Format_FCST3+9" xfId="5656" xr:uid="{3B9614FD-577A-4F3A-B2B7-D0FAB95C8BBF}"/>
    <cellStyle name="_xf05年工厂?益?算表格3-1215_DFL FY05 MFG Budget Monthly_MFG_Reply_Suumary_v5 FY11 Budget Sim summary_Sample Format_A&amp;O Format_FCST3+9_v1" xfId="5657" xr:uid="{A391C674-59BD-464C-A0C8-3A01A0D8BAE4}"/>
    <cellStyle name="_xf05年工厂?益?算表格3-1215_DFL FY05 MFG Budget Monthly_MFG_Reply_Suumary_コピー【Master】 FY12 Simula tion Excel PKG for Auto" xfId="5658" xr:uid="{AFD5D935-921D-404D-BA56-659EE9789C8C}"/>
    <cellStyle name="_xf05年工厂?益?算表格3-1215_DFL FY05 MFG Budget Monthly_MFG_Reply_Suumary_これマスター　FCF_FY12 Simulation Excel PKG for Auto" xfId="5659" xr:uid="{543F6204-BB5F-4CFC-9945-11A8EF0DBF30}"/>
    <cellStyle name="_xf05年工厂?益?算表格3-1215_DFL FY05 MFG Budget Monthly_v1 FY11 Budget Sim summary" xfId="5660" xr:uid="{514DFA51-3F7C-4350-9D5F-31F36AF98122}"/>
    <cellStyle name="_xf05年工厂?益?算表格3-1215_DFL FY05 MFG Budget Monthly_v1 FY11 Budget Sim summary_FY12 Budget Final OC-China" xfId="5661" xr:uid="{256A8B6D-AB8F-4F0D-A2E5-24C1FB828729}"/>
    <cellStyle name="_xf05年工厂?益?算表格3-1215_DFL FY05 MFG Budget Monthly_v1 FY11 Budget Sim summary_Sample Format" xfId="5662" xr:uid="{A65AD716-037F-40EB-8B98-B22D4573B6B5}"/>
    <cellStyle name="_xf05年工厂?益?算表格3-1215_DFL FY05 MFG Budget Monthly_v1 FY11 Budget Sim summary_Sample Format_Ａ&amp;O Consolidation Format_FCST3+9_v3" xfId="5663" xr:uid="{70EAB2B0-A0C5-40FB-8407-1FDEAA617A64}"/>
    <cellStyle name="_xf05年工厂?益?算表格3-1215_DFL FY05 MFG Budget Monthly_v1 FY11 Budget Sim summary_Sample Format_A&amp;O Format" xfId="5664" xr:uid="{87A8F210-732D-4C5B-9176-36C9636325E9}"/>
    <cellStyle name="_xf05年工厂?益?算表格3-1215_DFL FY05 MFG Budget Monthly_v1 FY11 Budget Sim summary_Sample Format_A&amp;O Format_FCST3+9" xfId="5665" xr:uid="{9F27FC40-D043-469D-8372-5B8D829EED99}"/>
    <cellStyle name="_xf05年工厂?益?算表格3-1215_DFL FY05 MFG Budget Monthly_v1 FY11 Budget Sim summary_Sample Format_A&amp;O Format_FCST3+9_v1" xfId="5666" xr:uid="{6BE68546-1006-4F57-AE60-87676452856F}"/>
    <cellStyle name="_xf05年工厂?益?算表格3-1215_DFL FY05 MFG Budget Monthly_v2 CHAO #2 Forecast Summary" xfId="5667" xr:uid="{86408409-1CB1-4A06-8924-0FE58D887E9B}"/>
    <cellStyle name="_xf05年工厂?益?算表格3-1215_DFL FY05 MFG Budget Monthly_v2 CHAO #2 Forecast Summary_FY12 Budget Final OC-China" xfId="5668" xr:uid="{7EE00784-74C7-4C9E-BFE9-2894FD4F52AA}"/>
    <cellStyle name="_xf05年工厂?益?算表格3-1215_DFL FY05 MFG Budget Monthly_v2 CHAO #2 Forecast Summary_Sample Format" xfId="5669" xr:uid="{BB0E4CAA-04E3-4518-845E-23672DEE51B1}"/>
    <cellStyle name="_xf05年工厂?益?算表格3-1215_DFL FY05 MFG Budget Monthly_v2 CHAO #2 Forecast Summary_Sample Format_Ａ&amp;O Consolidation Format_FCST3+9_v3" xfId="5670" xr:uid="{D3A1988E-14E0-4E7C-B419-08B86A8AD5E6}"/>
    <cellStyle name="_xf05年工厂?益?算表格3-1215_DFL FY05 MFG Budget Monthly_v2 CHAO #2 Forecast Summary_Sample Format_A&amp;O Format" xfId="5671" xr:uid="{E0136408-0B1A-4F3F-B57B-46F84177D314}"/>
    <cellStyle name="_xf05年工厂?益?算表格3-1215_DFL FY05 MFG Budget Monthly_v2 CHAO #2 Forecast Summary_Sample Format_A&amp;O Format_FCST3+9" xfId="5672" xr:uid="{56508309-0691-4211-BF22-8C9E6407811B}"/>
    <cellStyle name="_xf05年工厂?益?算表格3-1215_DFL FY05 MFG Budget Monthly_v2 CHAO #2 Forecast Summary_Sample Format_A&amp;O Format_FCST3+9_v1" xfId="5673" xr:uid="{19BC61FD-44E5-4625-8F33-A565F856B402}"/>
    <cellStyle name="_xf05年工厂?益?算表格3-1215_DFL FY05 MFG Budget Monthly_v2 FY10 FC#2_OP_Variance" xfId="5674" xr:uid="{7196DDA5-2F42-4621-AAE9-16603873DCF5}"/>
    <cellStyle name="_xf05年工厂?益?算表格3-1215_DFL FY05 MFG Budget Monthly_v2 FY10 FC#2_OP_Variance_FY12 Budget Final OC-China" xfId="5675" xr:uid="{3AAA38D2-155A-4B00-BE8C-C365D744A694}"/>
    <cellStyle name="_xf05年工厂?益?算表格3-1215_DFL FY05 MFG Budget Monthly_v2 FY10 FC#2_OP_Variance_Sample Format" xfId="5676" xr:uid="{50D11311-E92B-4E2B-9774-D731775CC3B0}"/>
    <cellStyle name="_xf05年工厂?益?算表格3-1215_DFL FY05 MFG Budget Monthly_v2 FY10 FC#2_OP_Variance_Sample Format_Ａ&amp;O Consolidation Format_FCST3+9_v3" xfId="5677" xr:uid="{053A8C7A-9192-4592-857A-40B8C4B8C4B7}"/>
    <cellStyle name="_xf05年工厂?益?算表格3-1215_DFL FY05 MFG Budget Monthly_v2 FY10 FC#2_OP_Variance_Sample Format_A&amp;O Format" xfId="5678" xr:uid="{68C3582A-ADF5-4CDB-AC1F-36B00716C8ED}"/>
    <cellStyle name="_xf05年工厂?益?算表格3-1215_DFL FY05 MFG Budget Monthly_v2 FY10 FC#2_OP_Variance_Sample Format_A&amp;O Format_FCST3+9" xfId="5679" xr:uid="{31772640-ED37-431A-8930-E8C457BD17CB}"/>
    <cellStyle name="_xf05年工厂?益?算表格3-1215_DFL FY05 MFG Budget Monthly_v2 FY10 FC#2_OP_Variance_Sample Format_A&amp;O Format_FCST3+9_v1" xfId="5680" xr:uid="{27137159-C213-4E1A-9FB6-1FCBA5E374E3}"/>
    <cellStyle name="_xf05年工厂?益?算表格3-1215_DFL FY05 MFG Budget Monthly_v5 FY11 Budget Sim summary" xfId="5681" xr:uid="{F922AD45-B43E-4BC3-8AF3-90F74E0ED86C}"/>
    <cellStyle name="_xf05年工厂?益?算表格3-1215_DFL FY05 MFG Budget Monthly_v5 FY11 Budget Sim summary_FY12 Budget Final OC-China" xfId="5682" xr:uid="{6B70C013-07C3-4C67-92A4-3DE857B9B072}"/>
    <cellStyle name="_xf05年工厂?益?算表格3-1215_DFL FY05 MFG Budget Monthly_v5 FY11 Budget Sim summary_Sample Format" xfId="5683" xr:uid="{3598C8F3-9EED-4F6B-9A44-FD9E84D2EB01}"/>
    <cellStyle name="_xf05年工厂?益?算表格3-1215_DFL FY05 MFG Budget Monthly_v5 FY11 Budget Sim summary_Sample Format_Ａ&amp;O Consolidation Format_FCST3+9_v3" xfId="5684" xr:uid="{D98B8A85-8E01-4BFB-8119-C3DC58DC5D01}"/>
    <cellStyle name="_xf05年工厂?益?算表格3-1215_DFL FY05 MFG Budget Monthly_v5 FY11 Budget Sim summary_Sample Format_A&amp;O Format" xfId="5685" xr:uid="{AADDB7B8-A9FB-46A8-A630-9C12E8453A8B}"/>
    <cellStyle name="_xf05年工厂?益?算表格3-1215_DFL FY05 MFG Budget Monthly_v5 FY11 Budget Sim summary_Sample Format_A&amp;O Format_FCST3+9" xfId="5686" xr:uid="{CCB7F026-4FAB-4A74-8F48-88CFB40107F4}"/>
    <cellStyle name="_xf05年工厂?益?算表格3-1215_DFL FY05 MFG Budget Monthly_v5 FY11 Budget Sim summary_Sample Format_A&amp;O Format_FCST3+9_v1" xfId="5687" xr:uid="{22FC2DFC-36F2-48CB-9556-C87DB2E6D5BB}"/>
    <cellStyle name="_xf05年工厂?益?算表格3-1215_DFL FY05 MFG Budget Monthly_コピー【Master】 FY12 Simula tion Excel PKG for Auto" xfId="5688" xr:uid="{E3534C65-F824-4377-ABD8-B00A3E9CF3A9}"/>
    <cellStyle name="_xf05年工厂?益?算表格3-1215_DFL FY05 MFG Budget Monthly_これマスター　FCF_FY12 Simulation Excel PKG for Auto" xfId="5689" xr:uid="{62163473-D37A-474F-9467-E9CDF0F4DA41}"/>
    <cellStyle name="_xf05年工厂?益?算表格3-1215_FY08 PIC guideline(07.10.02KPI)" xfId="5690" xr:uid="{2DC28154-DDA1-4658-ACD5-1157AFE74915}"/>
    <cellStyle name="_xf05年工厂?益?算表格3-1215_FY08 PIC guideline(07.10.02KPI)_#1 Forecast Summary" xfId="5691" xr:uid="{E172C874-9F11-4813-BFE3-D2BF6D81451A}"/>
    <cellStyle name="_xf05年工厂?益?算表格3-1215_FY08 PIC guideline(07.10.02KPI)_#1 Forecast Summary_FY12 Budget Final OC-China" xfId="5692" xr:uid="{BDD84729-487C-416D-9EB2-6991EF07B08E}"/>
    <cellStyle name="_xf05年工厂?益?算表格3-1215_FY08 PIC guideline(07.10.02KPI)_#1 Forecast Summary_Sample Format" xfId="5693" xr:uid="{2DF7B7BE-26E5-4A70-A52F-83293D1655BC}"/>
    <cellStyle name="_xf05年工厂?益?算表格3-1215_FY08 PIC guideline(07.10.02KPI)_#1 Forecast Summary_Sample Format_Ａ&amp;O Consolidation Format_FCST3+9_v3" xfId="5694" xr:uid="{CA3E168C-01BA-48DC-A18C-1389D3423125}"/>
    <cellStyle name="_xf05年工厂?益?算表格3-1215_FY08 PIC guideline(07.10.02KPI)_#1 Forecast Summary_Sample Format_A&amp;O Format" xfId="5695" xr:uid="{20B48164-240D-4A92-B2F9-2B69AC770B66}"/>
    <cellStyle name="_xf05年工厂?益?算表格3-1215_FY08 PIC guideline(07.10.02KPI)_#1 Forecast Summary_Sample Format_A&amp;O Format_FCST3+9" xfId="5696" xr:uid="{DFA5326E-F57E-42AC-AEC2-480D1BE8567C}"/>
    <cellStyle name="_xf05年工厂?益?算表格3-1215_FY08 PIC guideline(07.10.02KPI)_#1 Forecast Summary_Sample Format_A&amp;O Format_FCST3+9_v1" xfId="5697" xr:uid="{B1D764D9-112C-41C5-8CCA-3033DBA02C14}"/>
    <cellStyle name="_xf05年工厂?益?算表格3-1215_FY08 PIC guideline(07.10.02KPI)_(CHAO) FY10 Forecast#1 Regional Comment" xfId="5698" xr:uid="{A35F038F-7166-4289-A7DE-34056B2FA17D}"/>
    <cellStyle name="_xf05年工厂?益?算表格3-1215_FY08 PIC guideline(07.10.02KPI)_(CHAO) FY10 Forecast#1 Regional Comment_FY12 Budget Final OC-China" xfId="5699" xr:uid="{06174548-ACE9-4F5E-B46B-9D56EBD59AE6}"/>
    <cellStyle name="_xf05年工厂?益?算表格3-1215_FY08 PIC guideline(07.10.02KPI)_(CHAO) FY10 Forecast#1 Regional Comment_Sample Format" xfId="5700" xr:uid="{D4617B19-E96F-4DC3-97FC-EDCB56723414}"/>
    <cellStyle name="_xf05年工厂?益?算表格3-1215_FY08 PIC guideline(07.10.02KPI)_(CHAO) FY10 Forecast#1 Regional Comment_Sample Format_Ａ&amp;O Consolidation Format_FCST3+9_v3" xfId="5701" xr:uid="{F04D4D48-9461-497B-A277-038CE7593606}"/>
    <cellStyle name="_xf05年工厂?益?算表格3-1215_FY08 PIC guideline(07.10.02KPI)_(CHAO) FY10 Forecast#1 Regional Comment_Sample Format_A&amp;O Format" xfId="5702" xr:uid="{FBBD5304-EF86-4516-9339-E562DCA4D609}"/>
    <cellStyle name="_xf05年工厂?益?算表格3-1215_FY08 PIC guideline(07.10.02KPI)_(CHAO) FY10 Forecast#1 Regional Comment_Sample Format_A&amp;O Format_FCST3+9" xfId="5703" xr:uid="{1D2FB9A7-031F-4E03-A2C9-EAB4360EF7B9}"/>
    <cellStyle name="_xf05年工厂?益?算表格3-1215_FY08 PIC guideline(07.10.02KPI)_(CHAO) FY10 Forecast#1 Regional Comment_Sample Format_A&amp;O Format_FCST3+9_v1" xfId="5704" xr:uid="{384BBC02-A379-44B1-91CE-21BA9020A53B}"/>
    <cellStyle name="_xf05年工厂?益?算表格3-1215_FY08 PIC guideline(07.10.02KPI)_【Master】 FY12 Simulation Excel PKG for Auto" xfId="5705" xr:uid="{73595E3D-D59A-4EC7-B56F-E6E0A1DCA4EF}"/>
    <cellStyle name="_xf05年工厂?益?算表格3-1215_FY08 PIC guideline(07.10.02KPI)_【Master】 FY12 Simulation Excel PKG for Auto (2)" xfId="5706" xr:uid="{74B3F0F4-B5FB-4751-8D39-EAB9B8874DCD}"/>
    <cellStyle name="_xf05年工厂?益?算表格3-1215_FY08 PIC guideline(07.10.02KPI)_【Master】 FY12 Simulation Excel PKG for Auto_sugii" xfId="5707" xr:uid="{93BF0C57-0326-4773-8232-75CD652F2082}"/>
    <cellStyle name="_xf05年工厂?益?算表格3-1215_FY08 PIC guideline(07.10.02KPI)_【Master】 FY12 Simulation Excel PKG for Auto_sugii (2)" xfId="5708" xr:uid="{3F7D5422-0B4B-4260-BB17-300A2F49E175}"/>
    <cellStyle name="_xf05年工厂?益?算表格3-1215_FY08 PIC guideline(07.10.02KPI)_【Shibayama】 FY12 Simulation Excel PKG for Auto" xfId="5709" xr:uid="{6C683CA0-2238-4C3A-BE38-A87032770EA3}"/>
    <cellStyle name="_xf05年工厂?益?算表格3-1215_FY08 PIC guideline(07.10.02KPI)_Ａ&amp;O Consolidation Format_FCST3+9_v3" xfId="5710" xr:uid="{A80435F5-E3EC-44BA-A51F-5B0AFC8B8F3A}"/>
    <cellStyle name="_xf05年工厂?益?算表格3-1215_FY08 PIC guideline(07.10.02KPI)_A&amp;O Format" xfId="5711" xr:uid="{14DB8950-7FFE-4928-86CD-D294B3BF8809}"/>
    <cellStyle name="_xf05年工厂?益?算表格3-1215_FY08 PIC guideline(07.10.02KPI)_A&amp;O Format_FCST3+9" xfId="5712" xr:uid="{5376B141-5813-4EC7-AC80-975D062DF3F4}"/>
    <cellStyle name="_xf05年工厂?益?算表格3-1215_FY08 PIC guideline(07.10.02KPI)_A&amp;O Format_FCST3+9_v1" xfId="5713" xr:uid="{3D3CAE3A-0227-4C2D-A0CB-9D37F57C0B53}"/>
    <cellStyle name="_xf05年工厂?益?算表格3-1215_FY08 PIC guideline(07.10.02KPI)_CHAO #2 Forecast Summary" xfId="5714" xr:uid="{03DB3309-B695-4C58-92D3-E9D30EE9267F}"/>
    <cellStyle name="_xf05年工厂?益?算表格3-1215_FY08 PIC guideline(07.10.02KPI)_CHAO #2 Forecast Summary_FY12 Budget Final OC-China" xfId="5715" xr:uid="{493F3DCD-2C19-42BC-A1A0-E50AE1F75532}"/>
    <cellStyle name="_xf05年工厂?益?算表格3-1215_FY08 PIC guideline(07.10.02KPI)_CHAO #2 Forecast Summary_Sample Format" xfId="5716" xr:uid="{97D5D1A6-4281-4FAC-9CC2-59DEE3BDB723}"/>
    <cellStyle name="_xf05年工厂?益?算表格3-1215_FY08 PIC guideline(07.10.02KPI)_CHAO #2 Forecast Summary_Sample Format_Ａ&amp;O Consolidation Format_FCST3+9_v3" xfId="5717" xr:uid="{D167CCCF-5706-4921-AAAA-90A8E5CC012A}"/>
    <cellStyle name="_xf05年工厂?益?算表格3-1215_FY08 PIC guideline(07.10.02KPI)_CHAO #2 Forecast Summary_Sample Format_A&amp;O Format" xfId="5718" xr:uid="{03C22646-1A5D-4150-B4BA-D16CA384EBA9}"/>
    <cellStyle name="_xf05年工厂?益?算表格3-1215_FY08 PIC guideline(07.10.02KPI)_CHAO #2 Forecast Summary_Sample Format_A&amp;O Format_FCST3+9" xfId="5719" xr:uid="{89A377F5-E105-44F1-BE7E-6BC88BA13204}"/>
    <cellStyle name="_xf05年工厂?益?算表格3-1215_FY08 PIC guideline(07.10.02KPI)_CHAO #2 Forecast Summary_Sample Format_A&amp;O Format_FCST3+9_v1" xfId="5720" xr:uid="{10325276-8942-49FF-9789-43C170D33090}"/>
    <cellStyle name="_xf05年工厂?益?算表格3-1215_FY08 PIC guideline(07.10.02KPI)_Correct FC#2 AO OP" xfId="5721" xr:uid="{9C414EF5-9965-4120-BF3E-23911DDB3884}"/>
    <cellStyle name="_xf05年工厂?益?算表格3-1215_FY08 PIC guideline(07.10.02KPI)_Correct FC#2 AO OP_FY12 Budget Final OC-China" xfId="5722" xr:uid="{EA0F439F-D5DB-4FFC-BEC0-817108CF5A77}"/>
    <cellStyle name="_xf05年工厂?益?算表格3-1215_FY08 PIC guideline(07.10.02KPI)_Correct FC#2 AO OP_Sample Format" xfId="5723" xr:uid="{57FE43F6-8D0F-4EF1-B18B-7E32F432206C}"/>
    <cellStyle name="_xf05年工厂?益?算表格3-1215_FY08 PIC guideline(07.10.02KPI)_Correct FC#2 AO OP_Sample Format_Ａ&amp;O Consolidation Format_FCST3+9_v3" xfId="5724" xr:uid="{5B4A75F2-B5F8-4EA8-B7F1-082E1C3FA6CF}"/>
    <cellStyle name="_xf05年工厂?益?算表格3-1215_FY08 PIC guideline(07.10.02KPI)_Correct FC#2 AO OP_Sample Format_A&amp;O Format" xfId="5725" xr:uid="{998986AF-70FB-4EE3-AE9B-C91448E484E4}"/>
    <cellStyle name="_xf05年工厂?益?算表格3-1215_FY08 PIC guideline(07.10.02KPI)_Correct FC#2 AO OP_Sample Format_A&amp;O Format_FCST3+9" xfId="5726" xr:uid="{4BF13657-0722-4D74-B15F-BAD2E2D8F433}"/>
    <cellStyle name="_xf05年工厂?益?算表格3-1215_FY08 PIC guideline(07.10.02KPI)_Correct FC#2 AO OP_Sample Format_A&amp;O Format_FCST3+9_v1" xfId="5727" xr:uid="{F7FEBC0A-D9B5-43B2-9D34-42C40732596A}"/>
    <cellStyle name="_xf05年工厂?益?算表格3-1215_FY08 PIC guideline(07.10.02KPI)_FY10 FC#2_OP_Variance" xfId="5728" xr:uid="{86A846E9-2294-46C1-8E83-0DD1EDC3D156}"/>
    <cellStyle name="_xf05年工厂?益?算表格3-1215_FY08 PIC guideline(07.10.02KPI)_FY10 FC#2_OP_Variance_FY12 Budget Final OC-China" xfId="5729" xr:uid="{816C8942-B5D3-4BAE-83C7-4CFB56EDE518}"/>
    <cellStyle name="_xf05年工厂?益?算表格3-1215_FY08 PIC guideline(07.10.02KPI)_FY10 FC#2_OP_Variance_Sample Format" xfId="5730" xr:uid="{EF9C01AE-B810-4A00-A0B2-9DC5B8CB24D3}"/>
    <cellStyle name="_xf05年工厂?益?算表格3-1215_FY08 PIC guideline(07.10.02KPI)_FY10 FC#2_OP_Variance_Sample Format_Ａ&amp;O Consolidation Format_FCST3+9_v3" xfId="5731" xr:uid="{B41BBCC8-1A5F-44D6-B387-45A71A5BDF79}"/>
    <cellStyle name="_xf05年工厂?益?算表格3-1215_FY08 PIC guideline(07.10.02KPI)_FY10 FC#2_OP_Variance_Sample Format_A&amp;O Format" xfId="5732" xr:uid="{5B92887A-3762-4B8D-96AC-C22605AB7291}"/>
    <cellStyle name="_xf05年工厂?益?算表格3-1215_FY08 PIC guideline(07.10.02KPI)_FY10 FC#2_OP_Variance_Sample Format_A&amp;O Format_FCST3+9" xfId="5733" xr:uid="{2EAE5B62-4516-4A1C-93DD-038594D9EAE9}"/>
    <cellStyle name="_xf05年工厂?益?算表格3-1215_FY08 PIC guideline(07.10.02KPI)_FY10 FC#2_OP_Variance_Sample Format_A&amp;O Format_FCST3+9_v1" xfId="5734" xr:uid="{879C0448-DD0B-4E2F-93DD-D986D33068EC}"/>
    <cellStyle name="_xf05年工厂?益?算表格3-1215_FY08 PIC guideline(07.10.02KPI)_FY12 BP_Simulation information PKG_R" xfId="5735" xr:uid="{162D8DD9-C6BA-4219-9667-9D238CF22BA4}"/>
    <cellStyle name="_xf05年工厂?益?算表格3-1215_FY08 PIC guideline(07.10.02KPI)_FY12 BP_Simulation information PKG_R（SGA）" xfId="5736" xr:uid="{317C8564-E2A9-40A8-8238-BA503AE5F303}"/>
    <cellStyle name="_xf05年工厂?益?算表格3-1215_FY08 PIC guideline(07.10.02KPI)_v1 FY11 Budget Sim summary" xfId="5737" xr:uid="{3819F508-1E00-480B-87C4-AAF16863BF5F}"/>
    <cellStyle name="_xf05年工厂?益?算表格3-1215_FY08 PIC guideline(07.10.02KPI)_v1 FY11 Budget Sim summary_FY12 Budget Final OC-China" xfId="5738" xr:uid="{9F762E3A-A729-4613-AE0A-B699E4C8231F}"/>
    <cellStyle name="_xf05年工厂?益?算表格3-1215_FY08 PIC guideline(07.10.02KPI)_v1 FY11 Budget Sim summary_Sample Format" xfId="5739" xr:uid="{B9841C8A-F1A3-4663-9918-A72BB66DDC9C}"/>
    <cellStyle name="_xf05年工厂?益?算表格3-1215_FY08 PIC guideline(07.10.02KPI)_v1 FY11 Budget Sim summary_Sample Format_Ａ&amp;O Consolidation Format_FCST3+9_v3" xfId="5740" xr:uid="{15BB1378-B34F-4645-AFC9-EA51A8C67BAC}"/>
    <cellStyle name="_xf05年工厂?益?算表格3-1215_FY08 PIC guideline(07.10.02KPI)_v1 FY11 Budget Sim summary_Sample Format_A&amp;O Format" xfId="5741" xr:uid="{C7444CD4-1A3E-454C-8AB9-1B54C4781F7E}"/>
    <cellStyle name="_xf05年工厂?益?算表格3-1215_FY08 PIC guideline(07.10.02KPI)_v1 FY11 Budget Sim summary_Sample Format_A&amp;O Format_FCST3+9" xfId="5742" xr:uid="{2FA09DF8-8401-499E-851F-D49C4376C6B7}"/>
    <cellStyle name="_xf05年工厂?益?算表格3-1215_FY08 PIC guideline(07.10.02KPI)_v1 FY11 Budget Sim summary_Sample Format_A&amp;O Format_FCST3+9_v1" xfId="5743" xr:uid="{83311053-1990-4E0C-ACC9-396B16CA951C}"/>
    <cellStyle name="_xf05年工厂?益?算表格3-1215_FY08 PIC guideline(07.10.02KPI)_v2 CHAO #2 Forecast Summary" xfId="5744" xr:uid="{F5702099-2BC6-4F5D-8EFF-695F1FAE5FC4}"/>
    <cellStyle name="_xf05年工厂?益?算表格3-1215_FY08 PIC guideline(07.10.02KPI)_v2 CHAO #2 Forecast Summary_FY12 Budget Final OC-China" xfId="5745" xr:uid="{20755064-A480-4667-A886-9C395281CCBC}"/>
    <cellStyle name="_xf05年工厂?益?算表格3-1215_FY08 PIC guideline(07.10.02KPI)_v2 CHAO #2 Forecast Summary_Sample Format" xfId="5746" xr:uid="{FAA823DF-8D54-4FBC-BE9B-7FC296A82CF7}"/>
    <cellStyle name="_xf05年工厂?益?算表格3-1215_FY08 PIC guideline(07.10.02KPI)_v2 CHAO #2 Forecast Summary_Sample Format_Ａ&amp;O Consolidation Format_FCST3+9_v3" xfId="5747" xr:uid="{59DDDE9C-12CB-4DD5-B61F-939F754C4C8F}"/>
    <cellStyle name="_xf05年工厂?益?算表格3-1215_FY08 PIC guideline(07.10.02KPI)_v2 CHAO #2 Forecast Summary_Sample Format_A&amp;O Format" xfId="5748" xr:uid="{3E1CF031-9264-4230-9DB0-9C87DCF1EC64}"/>
    <cellStyle name="_xf05年工厂?益?算表格3-1215_FY08 PIC guideline(07.10.02KPI)_v2 CHAO #2 Forecast Summary_Sample Format_A&amp;O Format_FCST3+9" xfId="5749" xr:uid="{75AC1684-DC2B-4BCB-BD59-2C77AA4A2137}"/>
    <cellStyle name="_xf05年工厂?益?算表格3-1215_FY08 PIC guideline(07.10.02KPI)_v2 CHAO #2 Forecast Summary_Sample Format_A&amp;O Format_FCST3+9_v1" xfId="5750" xr:uid="{2AA70F8D-BEDB-4949-B2BA-DB4600BBD6AB}"/>
    <cellStyle name="_xf05年工厂?益?算表格3-1215_FY08 PIC guideline(07.10.02KPI)_v2 FY10 FC#2_OP_Variance" xfId="5751" xr:uid="{F21EE44C-20E8-4C93-A97B-0A424EE07C7C}"/>
    <cellStyle name="_xf05年工厂?益?算表格3-1215_FY08 PIC guideline(07.10.02KPI)_v2 FY10 FC#2_OP_Variance_FY12 Budget Final OC-China" xfId="5752" xr:uid="{AF94D526-EC0E-4A3A-83B8-A047B3CF22B7}"/>
    <cellStyle name="_xf05年工厂?益?算表格3-1215_FY08 PIC guideline(07.10.02KPI)_v2 FY10 FC#2_OP_Variance_Sample Format" xfId="5753" xr:uid="{0DB003D7-D07C-4177-956A-22D06128D8CD}"/>
    <cellStyle name="_xf05年工厂?益?算表格3-1215_FY08 PIC guideline(07.10.02KPI)_v2 FY10 FC#2_OP_Variance_Sample Format_Ａ&amp;O Consolidation Format_FCST3+9_v3" xfId="5754" xr:uid="{003C6CD2-E2DC-43EE-BF6E-F673DB85B2F4}"/>
    <cellStyle name="_xf05年工厂?益?算表格3-1215_FY08 PIC guideline(07.10.02KPI)_v2 FY10 FC#2_OP_Variance_Sample Format_A&amp;O Format" xfId="5755" xr:uid="{88F9C58E-E733-4AA1-8E6F-430648EDAE29}"/>
    <cellStyle name="_xf05年工厂?益?算表格3-1215_FY08 PIC guideline(07.10.02KPI)_v2 FY10 FC#2_OP_Variance_Sample Format_A&amp;O Format_FCST3+9" xfId="5756" xr:uid="{45D698D9-B607-4FBE-BD57-3C310C2F0103}"/>
    <cellStyle name="_xf05年工厂?益?算表格3-1215_FY08 PIC guideline(07.10.02KPI)_v2 FY10 FC#2_OP_Variance_Sample Format_A&amp;O Format_FCST3+9_v1" xfId="5757" xr:uid="{0A9AEBC4-BD62-49F8-ABF2-28862209CB63}"/>
    <cellStyle name="_xf05年工厂?益?算表格3-1215_FY08 PIC guideline(07.10.02KPI)_v5 FY11 Budget Sim summary" xfId="5758" xr:uid="{891345A7-15D6-48BD-B7BA-328CFE9600F6}"/>
    <cellStyle name="_xf05年工厂?益?算表格3-1215_FY08 PIC guideline(07.10.02KPI)_v5 FY11 Budget Sim summary_FY12 Budget Final OC-China" xfId="5759" xr:uid="{6898C6EA-42E4-465F-B2D5-44D8F4D3BB88}"/>
    <cellStyle name="_xf05年工厂?益?算表格3-1215_FY08 PIC guideline(07.10.02KPI)_v5 FY11 Budget Sim summary_Sample Format" xfId="5760" xr:uid="{516FC088-8A74-4031-B272-7949294A0B4B}"/>
    <cellStyle name="_xf05年工厂?益?算表格3-1215_FY08 PIC guideline(07.10.02KPI)_v5 FY11 Budget Sim summary_Sample Format_Ａ&amp;O Consolidation Format_FCST3+9_v3" xfId="5761" xr:uid="{27C0BD96-8F69-4838-8C05-386C79530AB0}"/>
    <cellStyle name="_xf05年工厂?益?算表格3-1215_FY08 PIC guideline(07.10.02KPI)_v5 FY11 Budget Sim summary_Sample Format_A&amp;O Format" xfId="5762" xr:uid="{3EE19DB6-BBBC-4A73-9A7B-101501638836}"/>
    <cellStyle name="_xf05年工厂?益?算表格3-1215_FY08 PIC guideline(07.10.02KPI)_v5 FY11 Budget Sim summary_Sample Format_A&amp;O Format_FCST3+9" xfId="5763" xr:uid="{84279BDA-3FD7-4A23-96C0-93BA76E00896}"/>
    <cellStyle name="_xf05年工厂?益?算表格3-1215_FY08 PIC guideline(07.10.02KPI)_v5 FY11 Budget Sim summary_Sample Format_A&amp;O Format_FCST3+9_v1" xfId="5764" xr:uid="{8900AE1A-A71D-43E3-945C-F3895DA02BE6}"/>
    <cellStyle name="_xf05年工厂?益?算表格3-1215_FY08 PIC guideline(07.10.02KPI)_コピー【Master】 FY12 Simula tion Excel PKG for Auto" xfId="5765" xr:uid="{93BBFA62-DA0E-4542-A6E5-F2722C55476E}"/>
    <cellStyle name="_xf05年工厂?益?算表格3-1215_FY08 PIC guideline(07.10.02KPI)_これマスター　FCF_FY12 Simulation Excel PKG for Auto" xfId="5766" xr:uid="{8189C36C-885F-440E-9949-01FBC9A45B9B}"/>
    <cellStyle name="_xf05年工厂?益?算表格3-1215_FY10 FC#2_OP_Variance" xfId="5767" xr:uid="{32E1FAA9-6861-4460-B717-C74B2810A522}"/>
    <cellStyle name="_xf05年工厂?益?算表格3-1215_FY10 FC#2_OP_Variance_FY12 Budget Final OC-China" xfId="5768" xr:uid="{1D79CA03-D57A-4CE0-8CB8-9A44D37B7E07}"/>
    <cellStyle name="_xf05年工厂?益?算表格3-1215_FY10 FC#2_OP_Variance_Sample Format" xfId="5769" xr:uid="{33E5F730-C9E7-47F3-BFB2-D6B2FDE82812}"/>
    <cellStyle name="_xf05年工厂?益?算表格3-1215_FY10 FC#2_OP_Variance_Sample Format_Ａ&amp;O Consolidation Format_FCST3+9_v3" xfId="5770" xr:uid="{D44D2A7B-C555-407E-8C63-BA98B229D191}"/>
    <cellStyle name="_xf05年工厂?益?算表格3-1215_FY10 FC#2_OP_Variance_Sample Format_A&amp;O Format" xfId="5771" xr:uid="{F23CFBFF-725A-46D5-A271-927D1817E272}"/>
    <cellStyle name="_xf05年工厂?益?算表格3-1215_FY10 FC#2_OP_Variance_Sample Format_A&amp;O Format_FCST3+9" xfId="5772" xr:uid="{2139FCC7-AE76-40FE-B4D5-932A9D05EC5F}"/>
    <cellStyle name="_xf05年工厂?益?算表格3-1215_FY10 FC#2_OP_Variance_Sample Format_A&amp;O Format_FCST3+9_v1" xfId="5773" xr:uid="{EF692510-FF1B-4F29-B007-5FD3AE785F70}"/>
    <cellStyle name="_xf05年工厂?益?算表格3-1215_FY12 BP_Simulation information PKG_R" xfId="5774" xr:uid="{DEF05FEF-DDD9-47C7-9132-025D713E90A3}"/>
    <cellStyle name="_xf05年工厂?益?算表格3-1215_FY12 BP_Simulation information PKG_R（SGA）" xfId="5775" xr:uid="{BA6B1FB2-A404-4B1E-BC54-EB02F702C492}"/>
    <cellStyle name="_xf05年工厂?益?算表格3-1215_MFG_Reply_Summary(07-11-02版)" xfId="5776" xr:uid="{B46D9EDD-4C49-42FE-9B2C-E7F8C5AF7A29}"/>
    <cellStyle name="_xf05年工厂?益?算表格3-1215_MFG_Reply_Summary(07-11-02版)_#1 Forecast Summary" xfId="5777" xr:uid="{8C006995-EE10-493B-9818-42CCEDBA5C69}"/>
    <cellStyle name="_xf05年工厂?益?算表格3-1215_MFG_Reply_Summary(07-11-02版)_#1 Forecast Summary_FY12 Budget Final OC-China" xfId="5778" xr:uid="{FCBE1A2E-9466-431F-ADAB-3F6A81C04202}"/>
    <cellStyle name="_xf05年工厂?益?算表格3-1215_MFG_Reply_Summary(07-11-02版)_#1 Forecast Summary_Sample Format" xfId="5779" xr:uid="{8A2832A0-7A13-42AE-9BFC-5A3AB422E88A}"/>
    <cellStyle name="_xf05年工厂?益?算表格3-1215_MFG_Reply_Summary(07-11-02版)_#1 Forecast Summary_Sample Format_Ａ&amp;O Consolidation Format_FCST3+9_v3" xfId="5780" xr:uid="{C3EF41A7-5111-49CF-B02C-49BC1748A2BA}"/>
    <cellStyle name="_xf05年工厂?益?算表格3-1215_MFG_Reply_Summary(07-11-02版)_#1 Forecast Summary_Sample Format_A&amp;O Format" xfId="5781" xr:uid="{1D3F142B-E0A9-446E-88A8-BFD5AF252625}"/>
    <cellStyle name="_xf05年工厂?益?算表格3-1215_MFG_Reply_Summary(07-11-02版)_#1 Forecast Summary_Sample Format_A&amp;O Format_FCST3+9" xfId="5782" xr:uid="{256B5A4B-DBE9-4DA6-A55E-2A6F89CC96CF}"/>
    <cellStyle name="_xf05年工厂?益?算表格3-1215_MFG_Reply_Summary(07-11-02版)_#1 Forecast Summary_Sample Format_A&amp;O Format_FCST3+9_v1" xfId="5783" xr:uid="{1945E0B5-8553-4107-A5C4-88443AB214C3}"/>
    <cellStyle name="_xf05年工厂?益?算表格3-1215_MFG_Reply_Summary(07-11-02版)_(CHAO) FY10 Forecast#1 Regional Comment" xfId="5784" xr:uid="{DD62D1D0-CE3A-465F-8C95-E3DF1B7EE93C}"/>
    <cellStyle name="_xf05年工厂?益?算表格3-1215_MFG_Reply_Summary(07-11-02版)_(CHAO) FY10 Forecast#1 Regional Comment_FY12 Budget Final OC-China" xfId="5785" xr:uid="{2B18FAE5-F034-4752-A96C-6B8725494DF3}"/>
    <cellStyle name="_xf05年工厂?益?算表格3-1215_MFG_Reply_Summary(07-11-02版)_(CHAO) FY10 Forecast#1 Regional Comment_Sample Format" xfId="5786" xr:uid="{DFAB3856-C55A-49F2-B3E7-BC79523F2994}"/>
    <cellStyle name="_xf05年工厂?益?算表格3-1215_MFG_Reply_Summary(07-11-02版)_(CHAO) FY10 Forecast#1 Regional Comment_Sample Format_Ａ&amp;O Consolidation Format_FCST3+9_v3" xfId="5787" xr:uid="{D8579301-8D4C-4097-9B9C-DC1857F222E2}"/>
    <cellStyle name="_xf05年工厂?益?算表格3-1215_MFG_Reply_Summary(07-11-02版)_(CHAO) FY10 Forecast#1 Regional Comment_Sample Format_A&amp;O Format" xfId="5788" xr:uid="{A57DA3C4-DD4D-4DBD-A698-DACCB55AC524}"/>
    <cellStyle name="_xf05年工厂?益?算表格3-1215_MFG_Reply_Summary(07-11-02版)_(CHAO) FY10 Forecast#1 Regional Comment_Sample Format_A&amp;O Format_FCST3+9" xfId="5789" xr:uid="{2EE7B00C-6737-4E6D-A003-4AE76A3C0CC6}"/>
    <cellStyle name="_xf05年工厂?益?算表格3-1215_MFG_Reply_Summary(07-11-02版)_(CHAO) FY10 Forecast#1 Regional Comment_Sample Format_A&amp;O Format_FCST3+9_v1" xfId="5790" xr:uid="{A049EEF0-BDA0-440F-A972-DE0FE6C33E18}"/>
    <cellStyle name="_xf05年工厂?益?算表格3-1215_MFG_Reply_Summary(07-11-02版)_【Master】 FY12 Simulation Excel PKG for Auto" xfId="5791" xr:uid="{C7255F56-52AD-4743-856E-82FB2C010EB6}"/>
    <cellStyle name="_xf05年工厂?益?算表格3-1215_MFG_Reply_Summary(07-11-02版)_【Master】 FY12 Simulation Excel PKG for Auto (2)" xfId="5792" xr:uid="{4961D017-37BD-4B78-B2BA-2CD407F86B42}"/>
    <cellStyle name="_xf05年工厂?益?算表格3-1215_MFG_Reply_Summary(07-11-02版)_【Master】 FY12 Simulation Excel PKG for Auto_sugii" xfId="5793" xr:uid="{0BDF08BE-E5D9-4456-A033-CC625BC31F8F}"/>
    <cellStyle name="_xf05年工厂?益?算表格3-1215_MFG_Reply_Summary(07-11-02版)_【Master】 FY12 Simulation Excel PKG for Auto_sugii (2)" xfId="5794" xr:uid="{12B744DE-7F06-4931-953F-06DBED427E1D}"/>
    <cellStyle name="_xf05年工厂?益?算表格3-1215_MFG_Reply_Summary(07-11-02版)_【Shibayama】 FY12 Simulation Excel PKG for Auto" xfId="5795" xr:uid="{B0AF00AC-A10C-4383-8AB5-A5684C20D8C1}"/>
    <cellStyle name="_xf05年工厂?益?算表格3-1215_MFG_Reply_Summary(07-11-02版)_Ａ&amp;O Consolidation Format_FCST3+9_v3" xfId="5796" xr:uid="{BA815F12-597D-4E38-9337-95CE2C742B64}"/>
    <cellStyle name="_xf05年工厂?益?算表格3-1215_MFG_Reply_Summary(07-11-02版)_A&amp;O Format" xfId="5797" xr:uid="{265020A4-178D-4B4A-95FC-446E4A4D6DFD}"/>
    <cellStyle name="_xf05年工厂?益?算表格3-1215_MFG_Reply_Summary(07-11-02版)_A&amp;O Format_FCST3+9" xfId="5798" xr:uid="{3EC9D923-D9E0-4EA2-A7EC-D6AD05FEDAD1}"/>
    <cellStyle name="_xf05年工厂?益?算表格3-1215_MFG_Reply_Summary(07-11-02版)_A&amp;O Format_FCST3+9_v1" xfId="5799" xr:uid="{F4B8722E-CABC-4CC9-A505-2C739C245891}"/>
    <cellStyle name="_xf05年工厂?益?算表格3-1215_MFG_Reply_Summary(07-11-02版)_CHAO #2 Forecast Summary" xfId="5800" xr:uid="{A9C607CA-AACD-4D27-83CB-3825550AE6F1}"/>
    <cellStyle name="_xf05年工厂?益?算表格3-1215_MFG_Reply_Summary(07-11-02版)_CHAO #2 Forecast Summary_FY12 Budget Final OC-China" xfId="5801" xr:uid="{362121DF-F1F0-42E1-97FF-D8444893DA8F}"/>
    <cellStyle name="_xf05年工厂?益?算表格3-1215_MFG_Reply_Summary(07-11-02版)_CHAO #2 Forecast Summary_Sample Format" xfId="5802" xr:uid="{29015364-61F2-49C9-BAF5-70F9B2AEBE00}"/>
    <cellStyle name="_xf05年工厂?益?算表格3-1215_MFG_Reply_Summary(07-11-02版)_CHAO #2 Forecast Summary_Sample Format_Ａ&amp;O Consolidation Format_FCST3+9_v3" xfId="5803" xr:uid="{E3CC3E6A-5843-4494-8745-488880029FA6}"/>
    <cellStyle name="_xf05年工厂?益?算表格3-1215_MFG_Reply_Summary(07-11-02版)_CHAO #2 Forecast Summary_Sample Format_A&amp;O Format" xfId="5804" xr:uid="{8292F0B7-37EB-4942-B116-11CCEF278F70}"/>
    <cellStyle name="_xf05年工厂?益?算表格3-1215_MFG_Reply_Summary(07-11-02版)_CHAO #2 Forecast Summary_Sample Format_A&amp;O Format_FCST3+9" xfId="5805" xr:uid="{EFAB19FA-6F6C-4ED5-8093-B3018932EE23}"/>
    <cellStyle name="_xf05年工厂?益?算表格3-1215_MFG_Reply_Summary(07-11-02版)_CHAO #2 Forecast Summary_Sample Format_A&amp;O Format_FCST3+9_v1" xfId="5806" xr:uid="{3205822B-1F94-439B-8031-EF5FB9A34307}"/>
    <cellStyle name="_xf05年工厂?益?算表格3-1215_MFG_Reply_Summary(07-11-02版)_Correct FC#2 AO OP" xfId="5807" xr:uid="{FEA9DA5D-4FD8-41EE-8C10-5679DBCE56AD}"/>
    <cellStyle name="_xf05年工厂?益?算表格3-1215_MFG_Reply_Summary(07-11-02版)_Correct FC#2 AO OP_FY12 Budget Final OC-China" xfId="5808" xr:uid="{78EEE9CE-243F-4BB3-96D0-C84E2B6C9429}"/>
    <cellStyle name="_xf05年工厂?益?算表格3-1215_MFG_Reply_Summary(07-11-02版)_Correct FC#2 AO OP_Sample Format" xfId="5809" xr:uid="{0878844C-E608-480C-9160-A528F9A68385}"/>
    <cellStyle name="_xf05年工厂?益?算表格3-1215_MFG_Reply_Summary(07-11-02版)_Correct FC#2 AO OP_Sample Format_Ａ&amp;O Consolidation Format_FCST3+9_v3" xfId="5810" xr:uid="{F75D9E5F-EF3D-4189-B1A4-ADEBFDAAECF8}"/>
    <cellStyle name="_xf05年工厂?益?算表格3-1215_MFG_Reply_Summary(07-11-02版)_Correct FC#2 AO OP_Sample Format_A&amp;O Format" xfId="5811" xr:uid="{AF4602C0-D8AF-4BFA-B5A8-9B172B9E1144}"/>
    <cellStyle name="_xf05年工厂?益?算表格3-1215_MFG_Reply_Summary(07-11-02版)_Correct FC#2 AO OP_Sample Format_A&amp;O Format_FCST3+9" xfId="5812" xr:uid="{581D9A54-DFD9-4203-B5FE-1ED1CF912316}"/>
    <cellStyle name="_xf05年工厂?益?算表格3-1215_MFG_Reply_Summary(07-11-02版)_Correct FC#2 AO OP_Sample Format_A&amp;O Format_FCST3+9_v1" xfId="5813" xr:uid="{386A8563-4D98-481A-BDFE-B3B9A4271748}"/>
    <cellStyle name="_xf05年工厂?益?算表格3-1215_MFG_Reply_Summary(07-11-02版)_FY10 FC#2_OP_Variance" xfId="5814" xr:uid="{F218A355-7AF6-49A5-B8B0-33D28A547978}"/>
    <cellStyle name="_xf05年工厂?益?算表格3-1215_MFG_Reply_Summary(07-11-02版)_FY10 FC#2_OP_Variance_FY12 Budget Final OC-China" xfId="5815" xr:uid="{ADD6751A-F0EF-4762-B924-D0910C21805C}"/>
    <cellStyle name="_xf05年工厂?益?算表格3-1215_MFG_Reply_Summary(07-11-02版)_FY10 FC#2_OP_Variance_Sample Format" xfId="5816" xr:uid="{EE8AF532-675D-4C69-BA5A-67B8A12074EF}"/>
    <cellStyle name="_xf05年工厂?益?算表格3-1215_MFG_Reply_Summary(07-11-02版)_FY10 FC#2_OP_Variance_Sample Format_Ａ&amp;O Consolidation Format_FCST3+9_v3" xfId="5817" xr:uid="{7AC5F38B-CC77-4446-8579-1B1B4C847876}"/>
    <cellStyle name="_xf05年工厂?益?算表格3-1215_MFG_Reply_Summary(07-11-02版)_FY10 FC#2_OP_Variance_Sample Format_A&amp;O Format" xfId="5818" xr:uid="{B3EDB18C-B3CC-4041-ACF1-FCC86C60718C}"/>
    <cellStyle name="_xf05年工厂?益?算表格3-1215_MFG_Reply_Summary(07-11-02版)_FY10 FC#2_OP_Variance_Sample Format_A&amp;O Format_FCST3+9" xfId="5819" xr:uid="{4B126DF0-75C2-4DE1-9E09-EB5A76EBFA78}"/>
    <cellStyle name="_xf05年工厂?益?算表格3-1215_MFG_Reply_Summary(07-11-02版)_FY10 FC#2_OP_Variance_Sample Format_A&amp;O Format_FCST3+9_v1" xfId="5820" xr:uid="{9134A240-5616-4237-933B-A4C1170A2344}"/>
    <cellStyle name="_xf05年工厂?益?算表格3-1215_MFG_Reply_Summary(07-11-02版)_FY12 BP_Simulation information PKG_R" xfId="5821" xr:uid="{D54B8713-291F-4FD3-A2D7-C815B168E17F}"/>
    <cellStyle name="_xf05年工厂?益?算表格3-1215_MFG_Reply_Summary(07-11-02版)_FY12 BP_Simulation information PKG_R（SGA）" xfId="5822" xr:uid="{085FE241-673C-4EE4-AE48-52FD131D36EB}"/>
    <cellStyle name="_xf05年工厂?益?算表格3-1215_MFG_Reply_Summary(07-11-02版)_v1 FY11 Budget Sim summary" xfId="5823" xr:uid="{A462CC5C-A15E-45AD-B5EF-25F8A0CF27FB}"/>
    <cellStyle name="_xf05年工厂?益?算表格3-1215_MFG_Reply_Summary(07-11-02版)_v1 FY11 Budget Sim summary_FY12 Budget Final OC-China" xfId="5824" xr:uid="{28F6C65A-9487-4C0F-90E9-0E2D00DA4CCE}"/>
    <cellStyle name="_xf05年工厂?益?算表格3-1215_MFG_Reply_Summary(07-11-02版)_v1 FY11 Budget Sim summary_Sample Format" xfId="5825" xr:uid="{8AC7BE70-6736-401B-9003-A792D86C8397}"/>
    <cellStyle name="_xf05年工厂?益?算表格3-1215_MFG_Reply_Summary(07-11-02版)_v1 FY11 Budget Sim summary_Sample Format_Ａ&amp;O Consolidation Format_FCST3+9_v3" xfId="5826" xr:uid="{BD7E2E66-418C-4522-9445-37EA0B74EBD2}"/>
    <cellStyle name="_xf05年工厂?益?算表格3-1215_MFG_Reply_Summary(07-11-02版)_v1 FY11 Budget Sim summary_Sample Format_A&amp;O Format" xfId="5827" xr:uid="{B23BF23E-1EA3-4A56-9A97-8925FE11EE3C}"/>
    <cellStyle name="_xf05年工厂?益?算表格3-1215_MFG_Reply_Summary(07-11-02版)_v1 FY11 Budget Sim summary_Sample Format_A&amp;O Format_FCST3+9" xfId="5828" xr:uid="{E5E5B268-FCE3-4E40-AF53-74988F178664}"/>
    <cellStyle name="_xf05年工厂?益?算表格3-1215_MFG_Reply_Summary(07-11-02版)_v1 FY11 Budget Sim summary_Sample Format_A&amp;O Format_FCST3+9_v1" xfId="5829" xr:uid="{A2F49C1D-7639-4452-B18D-EEFB4CE934E8}"/>
    <cellStyle name="_xf05年工厂?益?算表格3-1215_MFG_Reply_Summary(07-11-02版)_v2 CHAO #2 Forecast Summary" xfId="5830" xr:uid="{7BC012D2-A2DA-4769-8F6E-DF7D3F8AC191}"/>
    <cellStyle name="_xf05年工厂?益?算表格3-1215_MFG_Reply_Summary(07-11-02版)_v2 CHAO #2 Forecast Summary_FY12 Budget Final OC-China" xfId="5831" xr:uid="{707597A9-75CB-4E8B-A830-B1C8A4C62C1C}"/>
    <cellStyle name="_xf05年工厂?益?算表格3-1215_MFG_Reply_Summary(07-11-02版)_v2 CHAO #2 Forecast Summary_Sample Format" xfId="5832" xr:uid="{4083DD54-7D17-4BCE-AC46-64D91A55D4CF}"/>
    <cellStyle name="_xf05年工厂?益?算表格3-1215_MFG_Reply_Summary(07-11-02版)_v2 CHAO #2 Forecast Summary_Sample Format_Ａ&amp;O Consolidation Format_FCST3+9_v3" xfId="5833" xr:uid="{6E873579-0668-4E7A-9FA5-B59A4C0E2F1A}"/>
    <cellStyle name="_xf05年工厂?益?算表格3-1215_MFG_Reply_Summary(07-11-02版)_v2 CHAO #2 Forecast Summary_Sample Format_A&amp;O Format" xfId="5834" xr:uid="{63894E20-2ED4-4789-98DC-DCBC64DF2809}"/>
    <cellStyle name="_xf05年工厂?益?算表格3-1215_MFG_Reply_Summary(07-11-02版)_v2 CHAO #2 Forecast Summary_Sample Format_A&amp;O Format_FCST3+9" xfId="5835" xr:uid="{2446C449-32E3-4446-B5F9-C4D6F71AA865}"/>
    <cellStyle name="_xf05年工厂?益?算表格3-1215_MFG_Reply_Summary(07-11-02版)_v2 CHAO #2 Forecast Summary_Sample Format_A&amp;O Format_FCST3+9_v1" xfId="5836" xr:uid="{FE9C0302-30BC-445F-9C8E-9BD447802DC3}"/>
    <cellStyle name="_xf05年工厂?益?算表格3-1215_MFG_Reply_Summary(07-11-02版)_v2 FY10 FC#2_OP_Variance" xfId="5837" xr:uid="{44B0E500-193D-4C90-9146-E3C1A30961E3}"/>
    <cellStyle name="_xf05年工厂?益?算表格3-1215_MFG_Reply_Summary(07-11-02版)_v2 FY10 FC#2_OP_Variance_FY12 Budget Final OC-China" xfId="5838" xr:uid="{48C0FFDD-831E-49FB-B17E-0AF6740FF2B1}"/>
    <cellStyle name="_xf05年工厂?益?算表格3-1215_MFG_Reply_Summary(07-11-02版)_v2 FY10 FC#2_OP_Variance_Sample Format" xfId="5839" xr:uid="{5A5B5AFD-8A7A-4CC5-ACE6-14B989FED1BC}"/>
    <cellStyle name="_xf05年工厂?益?算表格3-1215_MFG_Reply_Summary(07-11-02版)_v2 FY10 FC#2_OP_Variance_Sample Format_Ａ&amp;O Consolidation Format_FCST3+9_v3" xfId="5840" xr:uid="{12D01589-0646-4AA8-BE7F-44F7A559EFD2}"/>
    <cellStyle name="_xf05年工厂?益?算表格3-1215_MFG_Reply_Summary(07-11-02版)_v2 FY10 FC#2_OP_Variance_Sample Format_A&amp;O Format" xfId="5841" xr:uid="{1E95336E-FDBF-4D23-9E71-A0CEBBDAB5E4}"/>
    <cellStyle name="_xf05年工厂?益?算表格3-1215_MFG_Reply_Summary(07-11-02版)_v2 FY10 FC#2_OP_Variance_Sample Format_A&amp;O Format_FCST3+9" xfId="5842" xr:uid="{FF432C7E-5598-49C0-BCB2-E447823A6870}"/>
    <cellStyle name="_xf05年工厂?益?算表格3-1215_MFG_Reply_Summary(07-11-02版)_v2 FY10 FC#2_OP_Variance_Sample Format_A&amp;O Format_FCST3+9_v1" xfId="5843" xr:uid="{ED81CA9D-9D40-4238-9D49-2769995A605B}"/>
    <cellStyle name="_xf05年工厂?益?算表格3-1215_MFG_Reply_Summary(07-11-02版)_v5 FY11 Budget Sim summary" xfId="5844" xr:uid="{F9B2D425-2DA7-498B-B4FD-978645B18D23}"/>
    <cellStyle name="_xf05年工厂?益?算表格3-1215_MFG_Reply_Summary(07-11-02版)_v5 FY11 Budget Sim summary_FY12 Budget Final OC-China" xfId="5845" xr:uid="{B398F7D0-CE6E-42FC-9D56-ED9A7DFE1477}"/>
    <cellStyle name="_xf05年工厂?益?算表格3-1215_MFG_Reply_Summary(07-11-02版)_v5 FY11 Budget Sim summary_Sample Format" xfId="5846" xr:uid="{CF9773DD-D8D7-4ABB-86C1-0ED68D9DFF13}"/>
    <cellStyle name="_xf05年工厂?益?算表格3-1215_MFG_Reply_Summary(07-11-02版)_v5 FY11 Budget Sim summary_Sample Format_Ａ&amp;O Consolidation Format_FCST3+9_v3" xfId="5847" xr:uid="{2EF9E7C4-6382-4058-BF78-07D455DF1852}"/>
    <cellStyle name="_xf05年工厂?益?算表格3-1215_MFG_Reply_Summary(07-11-02版)_v5 FY11 Budget Sim summary_Sample Format_A&amp;O Format" xfId="5848" xr:uid="{0ABC3145-8B2F-4A1E-A80E-280AFB3185CF}"/>
    <cellStyle name="_xf05年工厂?益?算表格3-1215_MFG_Reply_Summary(07-11-02版)_v5 FY11 Budget Sim summary_Sample Format_A&amp;O Format_FCST3+9" xfId="5849" xr:uid="{971BFB3F-D4A7-43AB-BA9E-59F1EFCB46E2}"/>
    <cellStyle name="_xf05年工厂?益?算表格3-1215_MFG_Reply_Summary(07-11-02版)_v5 FY11 Budget Sim summary_Sample Format_A&amp;O Format_FCST3+9_v1" xfId="5850" xr:uid="{38418990-8263-412B-9D2C-A2BFC771807A}"/>
    <cellStyle name="_xf05年工厂?益?算表格3-1215_MFG_Reply_Summary(07-11-02版)_コピー【Master】 FY12 Simula tion Excel PKG for Auto" xfId="5851" xr:uid="{AC5CAA0D-01DC-46C3-AC9A-1AC4BB88F68E}"/>
    <cellStyle name="_xf05年工厂?益?算表格3-1215_MFG_Reply_Summary(07-11-02版)_これマスター　FCF_FY12 Simulation Excel PKG for Auto" xfId="5852" xr:uid="{95BC8321-EAB0-42E3-9D8D-94325A622F31}"/>
    <cellStyle name="_xf05年工厂?益?算表格3-1215_MFG_Reply_Suumary" xfId="5853" xr:uid="{D7F54289-6038-49D9-9BF3-638B719E4C18}"/>
    <cellStyle name="_xf05年工厂?益?算表格3-1215_MFG_Reply_Suumary_#1 Forecast Summary" xfId="5854" xr:uid="{506EC045-214C-43B0-81E0-3C3927CA0E9D}"/>
    <cellStyle name="_xf05年工厂?益?算表格3-1215_MFG_Reply_Suumary_#1 Forecast Summary_FY12 Budget Final OC-China" xfId="5855" xr:uid="{64FD1931-7622-4DEA-BACE-4FB811693C28}"/>
    <cellStyle name="_xf05年工厂?益?算表格3-1215_MFG_Reply_Suumary_#1 Forecast Summary_Sample Format" xfId="5856" xr:uid="{D6AF336B-180D-4E78-84DF-2F43000D7EB6}"/>
    <cellStyle name="_xf05年工厂?益?算表格3-1215_MFG_Reply_Suumary_#1 Forecast Summary_Sample Format_Ａ&amp;O Consolidation Format_FCST3+9_v3" xfId="5857" xr:uid="{E422F273-9DD2-4B3C-88D3-60E40C054B2C}"/>
    <cellStyle name="_xf05年工厂?益?算表格3-1215_MFG_Reply_Suumary_#1 Forecast Summary_Sample Format_A&amp;O Format" xfId="5858" xr:uid="{D178ADBE-2F23-4D53-B76D-9639E741660E}"/>
    <cellStyle name="_xf05年工厂?益?算表格3-1215_MFG_Reply_Suumary_#1 Forecast Summary_Sample Format_A&amp;O Format_FCST3+9" xfId="5859" xr:uid="{92764934-9214-44E7-AD22-648F45273499}"/>
    <cellStyle name="_xf05年工厂?益?算表格3-1215_MFG_Reply_Suumary_#1 Forecast Summary_Sample Format_A&amp;O Format_FCST3+9_v1" xfId="5860" xr:uid="{A157662A-1A84-45FA-AF05-D2405BA8CD05}"/>
    <cellStyle name="_xf05年工厂?益?算表格3-1215_MFG_Reply_Suumary_(CHAO) FY10 Forecast#1 Regional Comment" xfId="5861" xr:uid="{3181E099-1808-4E99-B9D7-670D8A55F9F7}"/>
    <cellStyle name="_xf05年工厂?益?算表格3-1215_MFG_Reply_Suumary_(CHAO) FY10 Forecast#1 Regional Comment_FY12 Budget Final OC-China" xfId="5862" xr:uid="{F584D4EC-7A84-40BF-B27C-2B9E2B99BD14}"/>
    <cellStyle name="_xf05年工厂?益?算表格3-1215_MFG_Reply_Suumary_(CHAO) FY10 Forecast#1 Regional Comment_Sample Format" xfId="5863" xr:uid="{FF05A8EB-3257-4A65-ADBA-582F2B6A30A0}"/>
    <cellStyle name="_xf05年工厂?益?算表格3-1215_MFG_Reply_Suumary_(CHAO) FY10 Forecast#1 Regional Comment_Sample Format_Ａ&amp;O Consolidation Format_FCST3+9_v3" xfId="5864" xr:uid="{DD13C191-CBB7-4030-A2CB-F7369735A431}"/>
    <cellStyle name="_xf05年工厂?益?算表格3-1215_MFG_Reply_Suumary_(CHAO) FY10 Forecast#1 Regional Comment_Sample Format_A&amp;O Format" xfId="5865" xr:uid="{2305271B-3285-4546-B27E-265F8949F977}"/>
    <cellStyle name="_xf05年工厂?益?算表格3-1215_MFG_Reply_Suumary_(CHAO) FY10 Forecast#1 Regional Comment_Sample Format_A&amp;O Format_FCST3+9" xfId="5866" xr:uid="{EDB2E1F3-93D0-4FAB-B117-A79212037EAC}"/>
    <cellStyle name="_xf05年工厂?益?算表格3-1215_MFG_Reply_Suumary_(CHAO) FY10 Forecast#1 Regional Comment_Sample Format_A&amp;O Format_FCST3+9_v1" xfId="5867" xr:uid="{B9F114F4-4E16-4587-BBC1-A124728D28FC}"/>
    <cellStyle name="_xf05年工厂?益?算表格3-1215_MFG_Reply_Suumary_【Master】 FY12 Simulation Excel PKG for Auto" xfId="5868" xr:uid="{2D0A73BB-30D1-447C-9957-1E33C1BF79D5}"/>
    <cellStyle name="_xf05年工厂?益?算表格3-1215_MFG_Reply_Suumary_【Master】 FY12 Simulation Excel PKG for Auto (2)" xfId="5869" xr:uid="{721EB1DA-5E17-4A04-A140-B4E66A522F70}"/>
    <cellStyle name="_xf05年工厂?益?算表格3-1215_MFG_Reply_Suumary_【Master】 FY12 Simulation Excel PKG for Auto_sugii" xfId="5870" xr:uid="{86843C64-FEAB-4611-A817-DD5123E0F73B}"/>
    <cellStyle name="_xf05年工厂?益?算表格3-1215_MFG_Reply_Suumary_【Master】 FY12 Simulation Excel PKG for Auto_sugii (2)" xfId="5871" xr:uid="{4A2F1941-B030-4302-9F23-6C78D8729CBE}"/>
    <cellStyle name="_xf05年工厂?益?算表格3-1215_MFG_Reply_Suumary_【Shibayama】 FY12 Simulation Excel PKG for Auto" xfId="5872" xr:uid="{3DE783A8-3BC5-40B8-8AF4-860C4BB598F6}"/>
    <cellStyle name="_xf05年工厂?益?算表格3-1215_MFG_Reply_Suumary_Ａ&amp;O Consolidation Format_FCST3+9_v3" xfId="5873" xr:uid="{FAB3C406-EFC0-43E2-A06F-7BA182E6CBAA}"/>
    <cellStyle name="_xf05年工厂?益?算表格3-1215_MFG_Reply_Suumary_A&amp;O Format" xfId="5874" xr:uid="{5F30B08F-7151-4991-93D4-4DBA9BBC0E28}"/>
    <cellStyle name="_xf05年工厂?益?算表格3-1215_MFG_Reply_Suumary_A&amp;O Format_FCST3+9" xfId="5875" xr:uid="{09F7E882-C42B-465F-B179-75FFEC3432E2}"/>
    <cellStyle name="_xf05年工厂?益?算表格3-1215_MFG_Reply_Suumary_A&amp;O Format_FCST3+9_v1" xfId="5876" xr:uid="{E6AD58E0-A157-437F-822F-0D9094CB8F6A}"/>
    <cellStyle name="_xf05年工厂?益?算表格3-1215_MFG_Reply_Suumary_CHAO #2 Forecast Summary" xfId="5877" xr:uid="{D90E687C-1B88-4058-9821-A34453EE5630}"/>
    <cellStyle name="_xf05年工厂?益?算表格3-1215_MFG_Reply_Suumary_CHAO #2 Forecast Summary_FY12 Budget Final OC-China" xfId="5878" xr:uid="{CE683DEB-7703-4A64-99B8-BEB77F3FED92}"/>
    <cellStyle name="_xf05年工厂?益?算表格3-1215_MFG_Reply_Suumary_CHAO #2 Forecast Summary_Sample Format" xfId="5879" xr:uid="{0AEF6598-5650-4088-BCAB-813C23BA19A0}"/>
    <cellStyle name="_xf05年工厂?益?算表格3-1215_MFG_Reply_Suumary_CHAO #2 Forecast Summary_Sample Format_Ａ&amp;O Consolidation Format_FCST3+9_v3" xfId="5880" xr:uid="{42D263D6-B986-480B-B922-1EB3D1FE8E7F}"/>
    <cellStyle name="_xf05年工厂?益?算表格3-1215_MFG_Reply_Suumary_CHAO #2 Forecast Summary_Sample Format_A&amp;O Format" xfId="5881" xr:uid="{0A555295-E9E6-43E1-B94B-0678CF5181E1}"/>
    <cellStyle name="_xf05年工厂?益?算表格3-1215_MFG_Reply_Suumary_CHAO #2 Forecast Summary_Sample Format_A&amp;O Format_FCST3+9" xfId="5882" xr:uid="{3E641E45-E3DD-4FA9-866F-DEB0EFA9A883}"/>
    <cellStyle name="_xf05年工厂?益?算表格3-1215_MFG_Reply_Suumary_CHAO #2 Forecast Summary_Sample Format_A&amp;O Format_FCST3+9_v1" xfId="5883" xr:uid="{6D967B11-8D2D-4A06-BA0F-A82381881BCC}"/>
    <cellStyle name="_xf05年工厂?益?算表格3-1215_MFG_Reply_Suumary_Correct FC#2 AO OP" xfId="5884" xr:uid="{51DAFB6B-AD0D-4F93-A22F-1C35611935AF}"/>
    <cellStyle name="_xf05年工厂?益?算表格3-1215_MFG_Reply_Suumary_Correct FC#2 AO OP_FY12 Budget Final OC-China" xfId="5885" xr:uid="{E4DB74C5-8740-4560-A679-8F6A1CDB2ACF}"/>
    <cellStyle name="_xf05年工厂?益?算表格3-1215_MFG_Reply_Suumary_Correct FC#2 AO OP_Sample Format" xfId="5886" xr:uid="{4FC0F39F-C54E-4E1E-8041-5574B5FEA02B}"/>
    <cellStyle name="_xf05年工厂?益?算表格3-1215_MFG_Reply_Suumary_Correct FC#2 AO OP_Sample Format_Ａ&amp;O Consolidation Format_FCST3+9_v3" xfId="5887" xr:uid="{8C0A7B96-A83A-4181-B9F7-6ED07E037595}"/>
    <cellStyle name="_xf05年工厂?益?算表格3-1215_MFG_Reply_Suumary_Correct FC#2 AO OP_Sample Format_A&amp;O Format" xfId="5888" xr:uid="{4B5CC646-8C69-4960-966C-3B84C0343747}"/>
    <cellStyle name="_xf05年工厂?益?算表格3-1215_MFG_Reply_Suumary_Correct FC#2 AO OP_Sample Format_A&amp;O Format_FCST3+9" xfId="5889" xr:uid="{06ADAFA0-A0A9-43C3-A012-72BFFE03960D}"/>
    <cellStyle name="_xf05年工厂?益?算表格3-1215_MFG_Reply_Suumary_Correct FC#2 AO OP_Sample Format_A&amp;O Format_FCST3+9_v1" xfId="5890" xr:uid="{0D4F2498-3022-4BA9-AD5A-EDEDC093F5B3}"/>
    <cellStyle name="_xf05年工厂?益?算表格3-1215_MFG_Reply_Suumary_FY10 FC#2_OP_Variance" xfId="5891" xr:uid="{77B1E38C-170E-4DA9-8176-35069165E1CD}"/>
    <cellStyle name="_xf05年工厂?益?算表格3-1215_MFG_Reply_Suumary_FY10 FC#2_OP_Variance_FY12 Budget Final OC-China" xfId="5892" xr:uid="{C4D68F05-7D65-4450-AE56-CA1EFB1C4C0A}"/>
    <cellStyle name="_xf05年工厂?益?算表格3-1215_MFG_Reply_Suumary_FY10 FC#2_OP_Variance_Sample Format" xfId="5893" xr:uid="{5F78E05D-592D-40A7-AD65-6E093803089B}"/>
    <cellStyle name="_xf05年工厂?益?算表格3-1215_MFG_Reply_Suumary_FY10 FC#2_OP_Variance_Sample Format_Ａ&amp;O Consolidation Format_FCST3+9_v3" xfId="5894" xr:uid="{F1D31FF6-427A-44D2-BDAD-DA6415C34EFB}"/>
    <cellStyle name="_xf05年工厂?益?算表格3-1215_MFG_Reply_Suumary_FY10 FC#2_OP_Variance_Sample Format_A&amp;O Format" xfId="5895" xr:uid="{390E471F-FB3B-4870-9789-E882BFE4F1D9}"/>
    <cellStyle name="_xf05年工厂?益?算表格3-1215_MFG_Reply_Suumary_FY10 FC#2_OP_Variance_Sample Format_A&amp;O Format_FCST3+9" xfId="5896" xr:uid="{4E338E01-7AC1-4267-A24F-936FCDACC4B4}"/>
    <cellStyle name="_xf05年工厂?益?算表格3-1215_MFG_Reply_Suumary_FY10 FC#2_OP_Variance_Sample Format_A&amp;O Format_FCST3+9_v1" xfId="5897" xr:uid="{96456BCD-4734-4061-A0D6-84E5A6A08E8B}"/>
    <cellStyle name="_xf05年工厂?益?算表格3-1215_MFG_Reply_Suumary_FY12 BP_Simulation information PKG_R" xfId="5898" xr:uid="{6D1E23AF-4F11-41D9-9295-E6AB43A132F4}"/>
    <cellStyle name="_xf05年工厂?益?算表格3-1215_MFG_Reply_Suumary_FY12 BP_Simulation information PKG_R（SGA）" xfId="5899" xr:uid="{95B46299-CD97-4320-AC7B-F498027CDC11}"/>
    <cellStyle name="_xf05年工厂?益?算表格3-1215_MFG_Reply_Suumary_v1 FY11 Budget Sim summary" xfId="5900" xr:uid="{48D99353-9ED5-403B-9FD2-EEF6B70D8337}"/>
    <cellStyle name="_xf05年工厂?益?算表格3-1215_MFG_Reply_Suumary_v1 FY11 Budget Sim summary_FY12 Budget Final OC-China" xfId="5901" xr:uid="{D10674F2-7ADC-4B8F-A358-D0F5215CAC04}"/>
    <cellStyle name="_xf05年工厂?益?算表格3-1215_MFG_Reply_Suumary_v1 FY11 Budget Sim summary_Sample Format" xfId="5902" xr:uid="{E3D78671-92A2-40B2-9CA8-FFB6F14A049D}"/>
    <cellStyle name="_xf05年工厂?益?算表格3-1215_MFG_Reply_Suumary_v1 FY11 Budget Sim summary_Sample Format_Ａ&amp;O Consolidation Format_FCST3+9_v3" xfId="5903" xr:uid="{561AA687-851A-4E85-BAE4-B584C6662441}"/>
    <cellStyle name="_xf05年工厂?益?算表格3-1215_MFG_Reply_Suumary_v1 FY11 Budget Sim summary_Sample Format_A&amp;O Format" xfId="5904" xr:uid="{6B1F7343-9D59-4042-86E8-39562BD8592D}"/>
    <cellStyle name="_xf05年工厂?益?算表格3-1215_MFG_Reply_Suumary_v1 FY11 Budget Sim summary_Sample Format_A&amp;O Format_FCST3+9" xfId="5905" xr:uid="{5B09991D-6A42-40A4-B6F2-933994C279CE}"/>
    <cellStyle name="_xf05年工厂?益?算表格3-1215_MFG_Reply_Suumary_v1 FY11 Budget Sim summary_Sample Format_A&amp;O Format_FCST3+9_v1" xfId="5906" xr:uid="{E7F8778A-004B-42E5-949D-10059F13DEC0}"/>
    <cellStyle name="_xf05年工厂?益?算表格3-1215_MFG_Reply_Suumary_v2 CHAO #2 Forecast Summary" xfId="5907" xr:uid="{E63EF957-26CD-4744-A5E6-9B2D2AF928D3}"/>
    <cellStyle name="_xf05年工厂?益?算表格3-1215_MFG_Reply_Suumary_v2 CHAO #2 Forecast Summary_FY12 Budget Final OC-China" xfId="5908" xr:uid="{BC522729-4D48-4E62-9B38-89B0125CEA8B}"/>
    <cellStyle name="_xf05年工厂?益?算表格3-1215_MFG_Reply_Suumary_v2 CHAO #2 Forecast Summary_Sample Format" xfId="5909" xr:uid="{9639DF2E-2E07-47FD-B126-FDA92C52E48B}"/>
    <cellStyle name="_xf05年工厂?益?算表格3-1215_MFG_Reply_Suumary_v2 CHAO #2 Forecast Summary_Sample Format_Ａ&amp;O Consolidation Format_FCST3+9_v3" xfId="5910" xr:uid="{F9C600D1-98CB-4182-A823-D012C0E11BC6}"/>
    <cellStyle name="_xf05年工厂?益?算表格3-1215_MFG_Reply_Suumary_v2 CHAO #2 Forecast Summary_Sample Format_A&amp;O Format" xfId="5911" xr:uid="{2FE87102-84BB-4369-AC4C-E01BA07D904B}"/>
    <cellStyle name="_xf05年工厂?益?算表格3-1215_MFG_Reply_Suumary_v2 CHAO #2 Forecast Summary_Sample Format_A&amp;O Format_FCST3+9" xfId="5912" xr:uid="{9287E9F4-056A-4124-928A-62601F0FE3E8}"/>
    <cellStyle name="_xf05年工厂?益?算表格3-1215_MFG_Reply_Suumary_v2 CHAO #2 Forecast Summary_Sample Format_A&amp;O Format_FCST3+9_v1" xfId="5913" xr:uid="{EA883694-15FD-4F29-8954-D495B5EB938C}"/>
    <cellStyle name="_xf05年工厂?益?算表格3-1215_MFG_Reply_Suumary_v2 FY10 FC#2_OP_Variance" xfId="5914" xr:uid="{50DD39FF-211B-4072-B5D0-CFE05D23F3F3}"/>
    <cellStyle name="_xf05年工厂?益?算表格3-1215_MFG_Reply_Suumary_v2 FY10 FC#2_OP_Variance_FY12 Budget Final OC-China" xfId="5915" xr:uid="{847B40FE-7B7A-4ED9-A112-FBBE60DF6262}"/>
    <cellStyle name="_xf05年工厂?益?算表格3-1215_MFG_Reply_Suumary_v2 FY10 FC#2_OP_Variance_Sample Format" xfId="5916" xr:uid="{58A410F3-4035-4A3A-AF27-5B524D30E309}"/>
    <cellStyle name="_xf05年工厂?益?算表格3-1215_MFG_Reply_Suumary_v2 FY10 FC#2_OP_Variance_Sample Format_Ａ&amp;O Consolidation Format_FCST3+9_v3" xfId="5917" xr:uid="{1F2F5096-BC61-4B2D-89DE-83AC3D6EBAD7}"/>
    <cellStyle name="_xf05年工厂?益?算表格3-1215_MFG_Reply_Suumary_v2 FY10 FC#2_OP_Variance_Sample Format_A&amp;O Format" xfId="5918" xr:uid="{3CD11FFC-C22C-45DF-B58D-7E136330A1CC}"/>
    <cellStyle name="_xf05年工厂?益?算表格3-1215_MFG_Reply_Suumary_v2 FY10 FC#2_OP_Variance_Sample Format_A&amp;O Format_FCST3+9" xfId="5919" xr:uid="{C0C373C4-2E83-4365-93DC-441ECB126E3E}"/>
    <cellStyle name="_xf05年工厂?益?算表格3-1215_MFG_Reply_Suumary_v2 FY10 FC#2_OP_Variance_Sample Format_A&amp;O Format_FCST3+9_v1" xfId="5920" xr:uid="{0C38F52F-FD5D-4028-A7F2-26666ED59797}"/>
    <cellStyle name="_xf05年工厂?益?算表格3-1215_MFG_Reply_Suumary_v5 FY11 Budget Sim summary" xfId="5921" xr:uid="{CECC3F61-1311-4D62-A7C6-26592A9BD347}"/>
    <cellStyle name="_xf05年工厂?益?算表格3-1215_MFG_Reply_Suumary_v5 FY11 Budget Sim summary_FY12 Budget Final OC-China" xfId="5922" xr:uid="{B5E65CAB-3959-4953-BBAD-7593A4299BC3}"/>
    <cellStyle name="_xf05年工厂?益?算表格3-1215_MFG_Reply_Suumary_v5 FY11 Budget Sim summary_Sample Format" xfId="5923" xr:uid="{9E8E5CD5-3044-4CAC-862A-9B0B5AB52010}"/>
    <cellStyle name="_xf05年工厂?益?算表格3-1215_MFG_Reply_Suumary_v5 FY11 Budget Sim summary_Sample Format_Ａ&amp;O Consolidation Format_FCST3+9_v3" xfId="5924" xr:uid="{4E084848-5CE8-4DA8-93B2-CF30268CCC75}"/>
    <cellStyle name="_xf05年工厂?益?算表格3-1215_MFG_Reply_Suumary_v5 FY11 Budget Sim summary_Sample Format_A&amp;O Format" xfId="5925" xr:uid="{F59FEDF3-FE89-4EBA-9F15-D7B27995BB5F}"/>
    <cellStyle name="_xf05年工厂?益?算表格3-1215_MFG_Reply_Suumary_v5 FY11 Budget Sim summary_Sample Format_A&amp;O Format_FCST3+9" xfId="5926" xr:uid="{177CEF8E-146C-40CD-89F5-6FED3D89DFA3}"/>
    <cellStyle name="_xf05年工厂?益?算表格3-1215_MFG_Reply_Suumary_v5 FY11 Budget Sim summary_Sample Format_A&amp;O Format_FCST3+9_v1" xfId="5927" xr:uid="{C175FC16-E948-4FDE-B89F-F1A3730CC0B0}"/>
    <cellStyle name="_xf05年工厂?益?算表格3-1215_MFG_Reply_Suumary_コピー【Master】 FY12 Simula tion Excel PKG for Auto" xfId="5928" xr:uid="{DF818D9D-236E-4892-ABDE-7C0EF9B33A53}"/>
    <cellStyle name="_xf05年工厂?益?算表格3-1215_MFG_Reply_Suumary_これマスター　FCF_FY12 Simulation Excel PKG for Auto" xfId="5929" xr:uid="{DA316F8F-B519-48EB-A883-D07A47797D7A}"/>
    <cellStyle name="_xf05年工厂?益?算表格3-1215_NMI FY05 Budget " xfId="5930" xr:uid="{16719785-0A1F-4EAB-A02B-1C29134CF4A2}"/>
    <cellStyle name="_xf05年工厂?益?算表格3-1215_NMI FY05 Budget _#1 Forecast Summary" xfId="5931" xr:uid="{09DDB48E-3C20-4B2C-93ED-017F51ACF78D}"/>
    <cellStyle name="_xf05年工厂?益?算表格3-1215_NMI FY05 Budget _#1 Forecast Summary_FY12 Budget Final OC-China" xfId="5932" xr:uid="{5545810D-D992-4CC3-A32D-6B717F208B51}"/>
    <cellStyle name="_xf05年工厂?益?算表格3-1215_NMI FY05 Budget _#1 Forecast Summary_Sample Format" xfId="5933" xr:uid="{46B0512F-A497-4F16-B38E-9AEEC82093E2}"/>
    <cellStyle name="_xf05年工厂?益?算表格3-1215_NMI FY05 Budget _#1 Forecast Summary_Sample Format_Ａ&amp;O Consolidation Format_FCST3+9_v3" xfId="5934" xr:uid="{FFE6E85C-0301-46C7-9AFC-E491C76621FA}"/>
    <cellStyle name="_xf05年工厂?益?算表格3-1215_NMI FY05 Budget _#1 Forecast Summary_Sample Format_A&amp;O Format" xfId="5935" xr:uid="{53AB242F-D110-4765-9A42-0BD39CF5E082}"/>
    <cellStyle name="_xf05年工厂?益?算表格3-1215_NMI FY05 Budget _#1 Forecast Summary_Sample Format_A&amp;O Format_FCST3+9" xfId="5936" xr:uid="{75BEA3B1-A259-4967-A58B-297A099301A8}"/>
    <cellStyle name="_xf05年工厂?益?算表格3-1215_NMI FY05 Budget _#1 Forecast Summary_Sample Format_A&amp;O Format_FCST3+9_v1" xfId="5937" xr:uid="{A5640F88-C17F-4985-83E0-D7A59754C8AA}"/>
    <cellStyle name="_xf05年工厂?益?算表格3-1215_NMI FY05 Budget _(CHAO) FY10 Forecast#1 Regional Comment" xfId="5938" xr:uid="{0923897F-28A3-44FC-9569-4D8E19F2ED33}"/>
    <cellStyle name="_xf05年工厂?益?算表格3-1215_NMI FY05 Budget _(CHAO) FY10 Forecast#1 Regional Comment_FY12 Budget Final OC-China" xfId="5939" xr:uid="{76280C73-F4B7-4BA3-9535-84D3E251D263}"/>
    <cellStyle name="_xf05年工厂?益?算表格3-1215_NMI FY05 Budget _(CHAO) FY10 Forecast#1 Regional Comment_Sample Format" xfId="5940" xr:uid="{36D326D5-AF29-4971-A7E6-C80AAFCFA569}"/>
    <cellStyle name="_xf05年工厂?益?算表格3-1215_NMI FY05 Budget _(CHAO) FY10 Forecast#1 Regional Comment_Sample Format_Ａ&amp;O Consolidation Format_FCST3+9_v3" xfId="5941" xr:uid="{FB3B0132-45C9-4FBA-AE17-7E781EB828AD}"/>
    <cellStyle name="_xf05年工厂?益?算表格3-1215_NMI FY05 Budget _(CHAO) FY10 Forecast#1 Regional Comment_Sample Format_A&amp;O Format" xfId="5942" xr:uid="{BA1BED6B-C998-45CF-8D50-CC2CB53E40C9}"/>
    <cellStyle name="_xf05年工厂?益?算表格3-1215_NMI FY05 Budget _(CHAO) FY10 Forecast#1 Regional Comment_Sample Format_A&amp;O Format_FCST3+9" xfId="5943" xr:uid="{E5676E3A-4D12-432C-9F45-118ECF49ACAD}"/>
    <cellStyle name="_xf05年工厂?益?算表格3-1215_NMI FY05 Budget _(CHAO) FY10 Forecast#1 Regional Comment_Sample Format_A&amp;O Format_FCST3+9_v1" xfId="5944" xr:uid="{1535A7CF-E281-4886-A082-658F301637C7}"/>
    <cellStyle name="_xf05年工厂?益?算表格3-1215_NMI FY05 Budget _(for Function)FY13 BUD Simulation" xfId="5945" xr:uid="{05FD8A00-A86D-4A04-A8A2-4959A3C001A7}"/>
    <cellStyle name="_xf05年工厂?益?算表格3-1215_NMI FY05 Budget _【Master】 FY12 Simulation Excel PKG for Auto" xfId="5946" xr:uid="{4D5AED44-53DF-4528-B3AE-F0D9F342F697}"/>
    <cellStyle name="_xf05年工厂?益?算表格3-1215_NMI FY05 Budget _【Master】 FY12 Simulation Excel PKG for Auto (2)" xfId="5947" xr:uid="{95487B46-E595-4589-8C5C-C3F26F95FE52}"/>
    <cellStyle name="_xf05年工厂?益?算表格3-1215_NMI FY05 Budget _【Master】 FY12 Simulation Excel PKG for Auto_sugii" xfId="5948" xr:uid="{9740B842-AE13-496B-AC2C-376D1B49D10F}"/>
    <cellStyle name="_xf05年工厂?益?算表格3-1215_NMI FY05 Budget _【Master】 FY12 Simulation Excel PKG for Auto_sugii (2)" xfId="5949" xr:uid="{69613EEC-5EEA-4232-8D1A-5C196EF82F0C}"/>
    <cellStyle name="_xf05年工厂?益?算表格3-1215_NMI FY05 Budget _【Shibayama】 FY12 Simulation Excel PKG for Auto" xfId="5950" xr:uid="{538D88A3-AD1E-4606-B595-0DF65B3A5DA9}"/>
    <cellStyle name="_xf05年工厂?益?算表格3-1215_NMI FY05 Budget _5x7 Reply Package- Opex" xfId="5951" xr:uid="{3F72BF63-688E-4422-9269-3EB46978CA75}"/>
    <cellStyle name="_xf05年工厂?益?算表格3-1215_NMI FY05 Budget _Ａ&amp;O Consolidation Format_FCST3+9_v3" xfId="5952" xr:uid="{A44BDFE5-EB4E-40E9-B373-13297D8DF2DA}"/>
    <cellStyle name="_xf05年工厂?益?算表格3-1215_NMI FY05 Budget _A&amp;O Format" xfId="5953" xr:uid="{3D2BB580-D6E5-47FE-AD09-F3808D78938E}"/>
    <cellStyle name="_xf05年工厂?益?算表格3-1215_NMI FY05 Budget _A&amp;O Format_FCST3+9" xfId="5954" xr:uid="{4747BBD3-F370-48D1-B5BC-5B03DD637A7B}"/>
    <cellStyle name="_xf05年工厂?益?算表格3-1215_NMI FY05 Budget _A&amp;O Format_FCST3+9_v1" xfId="5955" xr:uid="{C9249C8B-1862-45F7-B0ED-DF50081372EC}"/>
    <cellStyle name="_xf05年工厂?益?算表格3-1215_NMI FY05 Budget _Book1" xfId="5956" xr:uid="{F824202E-1A46-4B40-AD1C-260FA336F128}"/>
    <cellStyle name="_xf05年工厂?益?算表格3-1215_NMI FY05 Budget _CHAO #2 Forecast Summary" xfId="5957" xr:uid="{DC3ECB71-B2ED-448C-8097-62599ECB6DEC}"/>
    <cellStyle name="_xf05年工厂?益?算表格3-1215_NMI FY05 Budget _CHAO #2 Forecast Summary_FY12 Budget Final OC-China" xfId="5958" xr:uid="{9CA544C7-194B-4859-97F6-39DD15B6EC13}"/>
    <cellStyle name="_xf05年工厂?益?算表格3-1215_NMI FY05 Budget _CHAO #2 Forecast Summary_Sample Format" xfId="5959" xr:uid="{55D21A5A-4E24-493C-B57B-A2DF2B5365AB}"/>
    <cellStyle name="_xf05年工厂?益?算表格3-1215_NMI FY05 Budget _CHAO #2 Forecast Summary_Sample Format_Ａ&amp;O Consolidation Format_FCST3+9_v3" xfId="5960" xr:uid="{0E8C051A-8FFC-4A8B-838B-5693CD12F885}"/>
    <cellStyle name="_xf05年工厂?益?算表格3-1215_NMI FY05 Budget _CHAO #2 Forecast Summary_Sample Format_A&amp;O Format" xfId="5961" xr:uid="{BB8B19D4-0BB1-4480-B8BA-C1CF50D9AFC8}"/>
    <cellStyle name="_xf05年工厂?益?算表格3-1215_NMI FY05 Budget _CHAO #2 Forecast Summary_Sample Format_A&amp;O Format_FCST3+9" xfId="5962" xr:uid="{09668018-9861-4314-8459-7A8A2CD9352D}"/>
    <cellStyle name="_xf05年工厂?益?算表格3-1215_NMI FY05 Budget _CHAO #2 Forecast Summary_Sample Format_A&amp;O Format_FCST3+9_v1" xfId="5963" xr:uid="{9F9243D9-8F4B-48BE-B49F-9E37FAEA826A}"/>
    <cellStyle name="_xf05年工厂?益?算表格3-1215_NMI FY05 Budget _Correct FC#2 AO OP" xfId="5964" xr:uid="{D0A5D9D0-F5C2-4D87-800C-0E6E9CCE7D99}"/>
    <cellStyle name="_xf05年工厂?益?算表格3-1215_NMI FY05 Budget _Correct FC#2 AO OP_FY12 Budget Final OC-China" xfId="5965" xr:uid="{C016FCD5-A5CF-4E84-916A-0C3CF627CACE}"/>
    <cellStyle name="_xf05年工厂?益?算表格3-1215_NMI FY05 Budget _Correct FC#2 AO OP_Sample Format" xfId="5966" xr:uid="{14510F09-09D9-48C0-B49E-E49322E4B452}"/>
    <cellStyle name="_xf05年工厂?益?算表格3-1215_NMI FY05 Budget _Correct FC#2 AO OP_Sample Format_Ａ&amp;O Consolidation Format_FCST3+9_v3" xfId="5967" xr:uid="{5123B638-D273-4BD6-9A85-92B4A70AB324}"/>
    <cellStyle name="_xf05年工厂?益?算表格3-1215_NMI FY05 Budget _Correct FC#2 AO OP_Sample Format_A&amp;O Format" xfId="5968" xr:uid="{4C0F3FF2-3B87-46A4-93E8-470CDE3BB0ED}"/>
    <cellStyle name="_xf05年工厂?益?算表格3-1215_NMI FY05 Budget _Correct FC#2 AO OP_Sample Format_A&amp;O Format_FCST3+9" xfId="5969" xr:uid="{C4CA9362-ACD9-4293-A846-2FC62B775534}"/>
    <cellStyle name="_xf05年工厂?益?算表格3-1215_NMI FY05 Budget _Correct FC#2 AO OP_Sample Format_A&amp;O Format_FCST3+9_v1" xfId="5970" xr:uid="{DF83F8C9-1C7B-4AFE-9783-E6727CE1B7AF}"/>
    <cellStyle name="_xf05年工厂?益?算表格3-1215_NMI FY05 Budget _FCF送付_FY11 Fcst#2 Excel PKG for Auto (2)" xfId="5971" xr:uid="{849E400C-1213-40A5-8EBD-962141A45355}"/>
    <cellStyle name="_xf05年工厂?益?算表格3-1215_NMI FY05 Budget _FY08 PIC guideline(07.10.02KPI)" xfId="5972" xr:uid="{6CD5E880-EF44-4F50-B312-D2D833014F45}"/>
    <cellStyle name="_xf05年工厂?益?算表格3-1215_NMI FY05 Budget _FY08 PIC guideline(07.10.02KPI)_#1 Forecast Summary" xfId="5973" xr:uid="{221CD0B6-ECDD-4845-BE3D-4C5DC74A63E0}"/>
    <cellStyle name="_xf05年工厂?益?算表格3-1215_NMI FY05 Budget _FY08 PIC guideline(07.10.02KPI)_#1 Forecast Summary_FY12 Budget Final OC-China" xfId="5974" xr:uid="{3456D53C-BEC9-4A4E-9EE9-BF086AD0C7FE}"/>
    <cellStyle name="_xf05年工厂?益?算表格3-1215_NMI FY05 Budget _FY08 PIC guideline(07.10.02KPI)_#1 Forecast Summary_Sample Format" xfId="5975" xr:uid="{8283DAA0-8107-4E4E-94A5-71BDCA305A8F}"/>
    <cellStyle name="_xf05年工厂?益?算表格3-1215_NMI FY05 Budget _FY08 PIC guideline(07.10.02KPI)_#1 Forecast Summary_Sample Format_Ａ&amp;O Consolidation Format_FCST3+9_v3" xfId="5976" xr:uid="{33700650-557F-4F91-82F5-1FCA61BFF75F}"/>
    <cellStyle name="_xf05年工厂?益?算表格3-1215_NMI FY05 Budget _FY08 PIC guideline(07.10.02KPI)_#1 Forecast Summary_Sample Format_A&amp;O Format" xfId="5977" xr:uid="{29F78625-E797-4538-8E79-674A1F833EEB}"/>
    <cellStyle name="_xf05年工厂?益?算表格3-1215_NMI FY05 Budget _FY08 PIC guideline(07.10.02KPI)_#1 Forecast Summary_Sample Format_A&amp;O Format_FCST3+9" xfId="5978" xr:uid="{F6DC0FBA-6C82-4B21-883C-795AB2E49B31}"/>
    <cellStyle name="_xf05年工厂?益?算表格3-1215_NMI FY05 Budget _FY08 PIC guideline(07.10.02KPI)_#1 Forecast Summary_Sample Format_A&amp;O Format_FCST3+9_v1" xfId="5979" xr:uid="{66531FED-4BE0-41CD-9992-DB6C131E24F0}"/>
    <cellStyle name="_xf05年工厂?益?算表格3-1215_NMI FY05 Budget _FY08 PIC guideline(07.10.02KPI)_(CHAO) FY10 Forecast#1 Regional Comment" xfId="5980" xr:uid="{C430852B-70DA-4851-9D03-9A143C95DD28}"/>
    <cellStyle name="_xf05年工厂?益?算表格3-1215_NMI FY05 Budget _FY08 PIC guideline(07.10.02KPI)_(CHAO) FY10 Forecast#1 Regional Comment_FY12 Budget Final OC-China" xfId="5981" xr:uid="{2F72F88A-507F-4392-BD10-A6E4305AAB6D}"/>
    <cellStyle name="_xf05年工厂?益?算表格3-1215_NMI FY05 Budget _FY08 PIC guideline(07.10.02KPI)_(CHAO) FY10 Forecast#1 Regional Comment_Sample Format" xfId="5982" xr:uid="{64AB2DEE-4C0D-478A-950B-506C4E2FC1AC}"/>
    <cellStyle name="_xf05年工厂?益?算表格3-1215_NMI FY05 Budget _FY08 PIC guideline(07.10.02KPI)_(CHAO) FY10 Forecast#1 Regional Comment_Sample Format_Ａ&amp;O Consolidation Format_FCST3+9_v3" xfId="5983" xr:uid="{62BB4193-21CE-464A-98DD-A400A1609385}"/>
    <cellStyle name="_xf05年工厂?益?算表格3-1215_NMI FY05 Budget _FY08 PIC guideline(07.10.02KPI)_(CHAO) FY10 Forecast#1 Regional Comment_Sample Format_A&amp;O Format" xfId="5984" xr:uid="{862E25F1-AD05-4A6C-A939-D456232F9A2A}"/>
    <cellStyle name="_xf05年工厂?益?算表格3-1215_NMI FY05 Budget _FY08 PIC guideline(07.10.02KPI)_(CHAO) FY10 Forecast#1 Regional Comment_Sample Format_A&amp;O Format_FCST3+9" xfId="5985" xr:uid="{EF8EB17A-A2CF-471D-A8AD-D6266D26C9B5}"/>
    <cellStyle name="_xf05年工厂?益?算表格3-1215_NMI FY05 Budget _FY08 PIC guideline(07.10.02KPI)_(CHAO) FY10 Forecast#1 Regional Comment_Sample Format_A&amp;O Format_FCST3+9_v1" xfId="5986" xr:uid="{62ABD1F6-8A3D-413A-899A-A3AD9223D44E}"/>
    <cellStyle name="_xf05年工厂?益?算表格3-1215_NMI FY05 Budget _FY08 PIC guideline(07.10.02KPI)_【Master】 FY12 Simulation Excel PKG for Auto" xfId="5987" xr:uid="{ABAA4052-CAC0-43BC-B9B6-6B07202E27DD}"/>
    <cellStyle name="_xf05年工厂?益?算表格3-1215_NMI FY05 Budget _FY08 PIC guideline(07.10.02KPI)_【Master】 FY12 Simulation Excel PKG for Auto (2)" xfId="5988" xr:uid="{A3946741-5E93-4C36-BAD4-B1E4D77CE43C}"/>
    <cellStyle name="_xf05年工厂?益?算表格3-1215_NMI FY05 Budget _FY08 PIC guideline(07.10.02KPI)_【Master】 FY12 Simulation Excel PKG for Auto_sugii" xfId="5989" xr:uid="{C9853ECE-FB63-4F43-AFE1-3C86597D9FB1}"/>
    <cellStyle name="_xf05年工厂?益?算表格3-1215_NMI FY05 Budget _FY08 PIC guideline(07.10.02KPI)_【Master】 FY12 Simulation Excel PKG for Auto_sugii (2)" xfId="5990" xr:uid="{5C4B2A12-017C-478B-8848-2D0238741B35}"/>
    <cellStyle name="_xf05年工厂?益?算表格3-1215_NMI FY05 Budget _FY08 PIC guideline(07.10.02KPI)_【Shibayama】 FY12 Simulation Excel PKG for Auto" xfId="5991" xr:uid="{4A3DB13B-197D-482A-A38C-BC1766BEDF1E}"/>
    <cellStyle name="_xf05年工厂?益?算表格3-1215_NMI FY05 Budget _FY08 PIC guideline(07.10.02KPI)_Ａ&amp;O Consolidation Format_FCST3+9_v3" xfId="5992" xr:uid="{1F6CBB47-3A29-4552-9A5E-68D004E03002}"/>
    <cellStyle name="_xf05年工厂?益?算表格3-1215_NMI FY05 Budget _FY08 PIC guideline(07.10.02KPI)_A&amp;O Format" xfId="5993" xr:uid="{97A8644E-3730-4956-8AEE-30EE3E77C9EA}"/>
    <cellStyle name="_xf05年工厂?益?算表格3-1215_NMI FY05 Budget _FY08 PIC guideline(07.10.02KPI)_A&amp;O Format_FCST3+9" xfId="5994" xr:uid="{09653B72-AF38-4A86-A7F5-4386C88CB7FC}"/>
    <cellStyle name="_xf05年工厂?益?算表格3-1215_NMI FY05 Budget _FY08 PIC guideline(07.10.02KPI)_A&amp;O Format_FCST3+9_v1" xfId="5995" xr:uid="{5B4BE186-FF6B-4182-B2D5-3DE7526718B0}"/>
    <cellStyle name="_xf05年工厂?益?算表格3-1215_NMI FY05 Budget _FY08 PIC guideline(07.10.02KPI)_CHAO #2 Forecast Summary" xfId="5996" xr:uid="{773CC3DC-3302-45C3-AD21-A39485F775A7}"/>
    <cellStyle name="_xf05年工厂?益?算表格3-1215_NMI FY05 Budget _FY08 PIC guideline(07.10.02KPI)_CHAO #2 Forecast Summary_FY12 Budget Final OC-China" xfId="5997" xr:uid="{7D6987EC-6A07-4F2C-9376-114286BF9717}"/>
    <cellStyle name="_xf05年工厂?益?算表格3-1215_NMI FY05 Budget _FY08 PIC guideline(07.10.02KPI)_CHAO #2 Forecast Summary_Sample Format" xfId="5998" xr:uid="{3F88425E-0382-46D8-901D-92239ABCBBCF}"/>
    <cellStyle name="_xf05年工厂?益?算表格3-1215_NMI FY05 Budget _FY08 PIC guideline(07.10.02KPI)_CHAO #2 Forecast Summary_Sample Format_Ａ&amp;O Consolidation Format_FCST3+9_v3" xfId="5999" xr:uid="{5C93069E-29CA-474C-839E-263DA7188005}"/>
    <cellStyle name="_xf05年工厂?益?算表格3-1215_NMI FY05 Budget _FY08 PIC guideline(07.10.02KPI)_CHAO #2 Forecast Summary_Sample Format_A&amp;O Format" xfId="6000" xr:uid="{304841CA-3EEF-49D9-981B-EC4009BA7BA0}"/>
    <cellStyle name="_xf05年工厂?益?算表格3-1215_NMI FY05 Budget _FY08 PIC guideline(07.10.02KPI)_CHAO #2 Forecast Summary_Sample Format_A&amp;O Format_FCST3+9" xfId="6001" xr:uid="{AA52F740-4EF3-4AFD-8239-0D52F04E741D}"/>
    <cellStyle name="_xf05年工厂?益?算表格3-1215_NMI FY05 Budget _FY08 PIC guideline(07.10.02KPI)_CHAO #2 Forecast Summary_Sample Format_A&amp;O Format_FCST3+9_v1" xfId="6002" xr:uid="{993D6025-C80D-4C42-9D65-7304512C963F}"/>
    <cellStyle name="_xf05年工厂?益?算表格3-1215_NMI FY05 Budget _FY08 PIC guideline(07.10.02KPI)_Correct FC#2 AO OP" xfId="6003" xr:uid="{D19ABEE1-2661-41F8-9C97-AD9EC1DCCBB5}"/>
    <cellStyle name="_xf05年工厂?益?算表格3-1215_NMI FY05 Budget _FY08 PIC guideline(07.10.02KPI)_Correct FC#2 AO OP_FY12 Budget Final OC-China" xfId="6004" xr:uid="{AB742A37-2E2B-4C92-AAEE-939B92EC99FE}"/>
    <cellStyle name="_xf05年工厂?益?算表格3-1215_NMI FY05 Budget _FY08 PIC guideline(07.10.02KPI)_Correct FC#2 AO OP_Sample Format" xfId="6005" xr:uid="{16155855-2E6F-4EF0-B7EE-35978FF94904}"/>
    <cellStyle name="_xf05年工厂?益?算表格3-1215_NMI FY05 Budget _FY08 PIC guideline(07.10.02KPI)_Correct FC#2 AO OP_Sample Format_Ａ&amp;O Consolidation Format_FCST3+9_v3" xfId="6006" xr:uid="{F0AB2A39-9C77-4917-8B04-6C2BD07954FE}"/>
    <cellStyle name="_xf05年工厂?益?算表格3-1215_NMI FY05 Budget _FY08 PIC guideline(07.10.02KPI)_Correct FC#2 AO OP_Sample Format_A&amp;O Format" xfId="6007" xr:uid="{33733BF4-F925-4CEA-8EA9-9B227117DED3}"/>
    <cellStyle name="_xf05年工厂?益?算表格3-1215_NMI FY05 Budget _FY08 PIC guideline(07.10.02KPI)_Correct FC#2 AO OP_Sample Format_A&amp;O Format_FCST3+9" xfId="6008" xr:uid="{21393732-EE71-464E-A8E0-42B97A92BAC3}"/>
    <cellStyle name="_xf05年工厂?益?算表格3-1215_NMI FY05 Budget _FY08 PIC guideline(07.10.02KPI)_Correct FC#2 AO OP_Sample Format_A&amp;O Format_FCST3+9_v1" xfId="6009" xr:uid="{DF0DFAEB-4CEE-4D11-A08D-6F5BBBCD565C}"/>
    <cellStyle name="_xf05年工厂?益?算表格3-1215_NMI FY05 Budget _FY08 PIC guideline(07.10.02KPI)_FY10 FC#2_OP_Variance" xfId="6010" xr:uid="{970A551C-AADE-4FB7-A528-2B816DD582F5}"/>
    <cellStyle name="_xf05年工厂?益?算表格3-1215_NMI FY05 Budget _FY08 PIC guideline(07.10.02KPI)_FY10 FC#2_OP_Variance_FY12 Budget Final OC-China" xfId="6011" xr:uid="{47E66F10-FA52-4416-B8F2-976B32EEA39B}"/>
    <cellStyle name="_xf05年工厂?益?算表格3-1215_NMI FY05 Budget _FY08 PIC guideline(07.10.02KPI)_FY10 FC#2_OP_Variance_Sample Format" xfId="6012" xr:uid="{92A2B11E-FF9E-4A76-8A41-71BFC1D68B1B}"/>
    <cellStyle name="_xf05年工厂?益?算表格3-1215_NMI FY05 Budget _FY08 PIC guideline(07.10.02KPI)_FY10 FC#2_OP_Variance_Sample Format_Ａ&amp;O Consolidation Format_FCST3+9_v3" xfId="6013" xr:uid="{E4F4DFEE-1CC9-4E02-814F-6AA27811F87F}"/>
    <cellStyle name="_xf05年工厂?益?算表格3-1215_NMI FY05 Budget _FY08 PIC guideline(07.10.02KPI)_FY10 FC#2_OP_Variance_Sample Format_A&amp;O Format" xfId="6014" xr:uid="{31705506-D6D4-4045-9374-F925560076EF}"/>
    <cellStyle name="_xf05年工厂?益?算表格3-1215_NMI FY05 Budget _FY08 PIC guideline(07.10.02KPI)_FY10 FC#2_OP_Variance_Sample Format_A&amp;O Format_FCST3+9" xfId="6015" xr:uid="{E38C91F5-E545-46DE-ADA6-9C35F95323DE}"/>
    <cellStyle name="_xf05年工厂?益?算表格3-1215_NMI FY05 Budget _FY08 PIC guideline(07.10.02KPI)_FY10 FC#2_OP_Variance_Sample Format_A&amp;O Format_FCST3+9_v1" xfId="6016" xr:uid="{0D94A79F-CCA8-48FF-9BC8-6F42E84F2258}"/>
    <cellStyle name="_xf05年工厂?益?算表格3-1215_NMI FY05 Budget _FY08 PIC guideline(07.10.02KPI)_FY12 BP_Simulation information PKG_R" xfId="6017" xr:uid="{880B3BC2-354F-4709-896B-2F14D3164F42}"/>
    <cellStyle name="_xf05年工厂?益?算表格3-1215_NMI FY05 Budget _FY08 PIC guideline(07.10.02KPI)_FY12 BP_Simulation information PKG_R（SGA）" xfId="6018" xr:uid="{D65C6F5E-943D-42B1-AD17-7440C5D56226}"/>
    <cellStyle name="_xf05年工厂?益?算表格3-1215_NMI FY05 Budget _FY08 PIC guideline(07.10.02KPI)_v1 FY11 Budget Sim summary" xfId="6019" xr:uid="{2EB1142F-8987-4097-976E-0EFF8C305E41}"/>
    <cellStyle name="_xf05年工厂?益?算表格3-1215_NMI FY05 Budget _FY08 PIC guideline(07.10.02KPI)_v1 FY11 Budget Sim summary_FY12 Budget Final OC-China" xfId="6020" xr:uid="{E38703C9-09BB-49F5-B34D-06DB686E3329}"/>
    <cellStyle name="_xf05年工厂?益?算表格3-1215_NMI FY05 Budget _FY08 PIC guideline(07.10.02KPI)_v1 FY11 Budget Sim summary_Sample Format" xfId="6021" xr:uid="{BCD5435F-44A7-4C39-AF05-A46B2A2626FC}"/>
    <cellStyle name="_xf05年工厂?益?算表格3-1215_NMI FY05 Budget _FY08 PIC guideline(07.10.02KPI)_v1 FY11 Budget Sim summary_Sample Format_Ａ&amp;O Consolidation Format_FCST3+9_v3" xfId="6022" xr:uid="{747E3525-F8A4-43D4-96BA-9B61B5E9BE0A}"/>
    <cellStyle name="_xf05年工厂?益?算表格3-1215_NMI FY05 Budget _FY08 PIC guideline(07.10.02KPI)_v1 FY11 Budget Sim summary_Sample Format_A&amp;O Format" xfId="6023" xr:uid="{D47B6BA7-8B0E-4014-AB34-75C132A65DD1}"/>
    <cellStyle name="_xf05年工厂?益?算表格3-1215_NMI FY05 Budget _FY08 PIC guideline(07.10.02KPI)_v1 FY11 Budget Sim summary_Sample Format_A&amp;O Format_FCST3+9" xfId="6024" xr:uid="{DC446C36-E882-468E-88F0-88685758FEEE}"/>
    <cellStyle name="_xf05年工厂?益?算表格3-1215_NMI FY05 Budget _FY08 PIC guideline(07.10.02KPI)_v1 FY11 Budget Sim summary_Sample Format_A&amp;O Format_FCST3+9_v1" xfId="6025" xr:uid="{5626B877-03C5-40D6-955A-4AC719892B99}"/>
    <cellStyle name="_xf05年工厂?益?算表格3-1215_NMI FY05 Budget _FY08 PIC guideline(07.10.02KPI)_v2 CHAO #2 Forecast Summary" xfId="6026" xr:uid="{04F8649D-A3EF-40D0-AAA6-4F5F52FB4992}"/>
    <cellStyle name="_xf05年工厂?益?算表格3-1215_NMI FY05 Budget _FY08 PIC guideline(07.10.02KPI)_v2 CHAO #2 Forecast Summary_FY12 Budget Final OC-China" xfId="6027" xr:uid="{6A0D1ACB-13D7-42FD-B36A-0CD1DA4E2765}"/>
    <cellStyle name="_xf05年工厂?益?算表格3-1215_NMI FY05 Budget _FY08 PIC guideline(07.10.02KPI)_v2 CHAO #2 Forecast Summary_Sample Format" xfId="6028" xr:uid="{98BCD75A-038C-463C-B8C3-8D2373F6BD2B}"/>
    <cellStyle name="_xf05年工厂?益?算表格3-1215_NMI FY05 Budget _FY08 PIC guideline(07.10.02KPI)_v2 CHAO #2 Forecast Summary_Sample Format_Ａ&amp;O Consolidation Format_FCST3+9_v3" xfId="6029" xr:uid="{AD1F8D9C-ABDD-4DB1-84D2-25DAE6B5D1A1}"/>
    <cellStyle name="_xf05年工厂?益?算表格3-1215_NMI FY05 Budget _FY08 PIC guideline(07.10.02KPI)_v2 CHAO #2 Forecast Summary_Sample Format_A&amp;O Format" xfId="6030" xr:uid="{1892A28C-E12B-4973-A4A4-19964DF7AE52}"/>
    <cellStyle name="_xf05年工厂?益?算表格3-1215_NMI FY05 Budget _FY08 PIC guideline(07.10.02KPI)_v2 CHAO #2 Forecast Summary_Sample Format_A&amp;O Format_FCST3+9" xfId="6031" xr:uid="{D3FAD9C6-AFA7-4350-9A26-672C36D0A72C}"/>
    <cellStyle name="_xf05年工厂?益?算表格3-1215_NMI FY05 Budget _FY08 PIC guideline(07.10.02KPI)_v2 CHAO #2 Forecast Summary_Sample Format_A&amp;O Format_FCST3+9_v1" xfId="6032" xr:uid="{C54605C7-616A-4BD8-B7D4-B2F4A92812D4}"/>
    <cellStyle name="_xf05年工厂?益?算表格3-1215_NMI FY05 Budget _FY08 PIC guideline(07.10.02KPI)_v2 FY10 FC#2_OP_Variance" xfId="6033" xr:uid="{F5FF2FE3-AA0B-4B17-B845-D9027178A4BD}"/>
    <cellStyle name="_xf05年工厂?益?算表格3-1215_NMI FY05 Budget _FY08 PIC guideline(07.10.02KPI)_v2 FY10 FC#2_OP_Variance_FY12 Budget Final OC-China" xfId="6034" xr:uid="{4C5A439F-DDFC-4EE6-8127-622DE2FBBBE1}"/>
    <cellStyle name="_xf05年工厂?益?算表格3-1215_NMI FY05 Budget _FY08 PIC guideline(07.10.02KPI)_v2 FY10 FC#2_OP_Variance_Sample Format" xfId="6035" xr:uid="{FBAF1E6A-8045-4277-BA0D-03332B32844A}"/>
    <cellStyle name="_xf05年工厂?益?算表格3-1215_NMI FY05 Budget _FY08 PIC guideline(07.10.02KPI)_v2 FY10 FC#2_OP_Variance_Sample Format_Ａ&amp;O Consolidation Format_FCST3+9_v3" xfId="6036" xr:uid="{B6C86659-F3A2-452D-9710-97A6FDACA3AC}"/>
    <cellStyle name="_xf05年工厂?益?算表格3-1215_NMI FY05 Budget _FY08 PIC guideline(07.10.02KPI)_v2 FY10 FC#2_OP_Variance_Sample Format_A&amp;O Format" xfId="6037" xr:uid="{2E3355C2-F95A-4810-A557-6871A86366F7}"/>
    <cellStyle name="_xf05年工厂?益?算表格3-1215_NMI FY05 Budget _FY08 PIC guideline(07.10.02KPI)_v2 FY10 FC#2_OP_Variance_Sample Format_A&amp;O Format_FCST3+9" xfId="6038" xr:uid="{6D22CA30-52D3-4AE0-933A-F1CF222A1EAC}"/>
    <cellStyle name="_xf05年工厂?益?算表格3-1215_NMI FY05 Budget _FY08 PIC guideline(07.10.02KPI)_v2 FY10 FC#2_OP_Variance_Sample Format_A&amp;O Format_FCST3+9_v1" xfId="6039" xr:uid="{C2DA839C-18D3-44BA-81CB-B8CB7C4D2934}"/>
    <cellStyle name="_xf05年工厂?益?算表格3-1215_NMI FY05 Budget _FY08 PIC guideline(07.10.02KPI)_v5 FY11 Budget Sim summary" xfId="6040" xr:uid="{DC658012-2CD5-43D6-AFD9-C910129DC00E}"/>
    <cellStyle name="_xf05年工厂?益?算表格3-1215_NMI FY05 Budget _FY08 PIC guideline(07.10.02KPI)_v5 FY11 Budget Sim summary_FY12 Budget Final OC-China" xfId="6041" xr:uid="{37DA9D40-3B47-4DF9-9A40-861783B2A70F}"/>
    <cellStyle name="_xf05年工厂?益?算表格3-1215_NMI FY05 Budget _FY08 PIC guideline(07.10.02KPI)_v5 FY11 Budget Sim summary_Sample Format" xfId="6042" xr:uid="{5523C277-9008-434F-81B6-748721E08600}"/>
    <cellStyle name="_xf05年工厂?益?算表格3-1215_NMI FY05 Budget _FY08 PIC guideline(07.10.02KPI)_v5 FY11 Budget Sim summary_Sample Format_Ａ&amp;O Consolidation Format_FCST3+9_v3" xfId="6043" xr:uid="{BA25A60E-FB80-4D95-90C3-94E5CAAD2CE5}"/>
    <cellStyle name="_xf05年工厂?益?算表格3-1215_NMI FY05 Budget _FY08 PIC guideline(07.10.02KPI)_v5 FY11 Budget Sim summary_Sample Format_A&amp;O Format" xfId="6044" xr:uid="{3F8698D2-4E00-4F97-AB69-ADE98978F0FF}"/>
    <cellStyle name="_xf05年工厂?益?算表格3-1215_NMI FY05 Budget _FY08 PIC guideline(07.10.02KPI)_v5 FY11 Budget Sim summary_Sample Format_A&amp;O Format_FCST3+9" xfId="6045" xr:uid="{F314BD05-2F49-4E55-8BD7-657769C498B1}"/>
    <cellStyle name="_xf05年工厂?益?算表格3-1215_NMI FY05 Budget _FY08 PIC guideline(07.10.02KPI)_v5 FY11 Budget Sim summary_Sample Format_A&amp;O Format_FCST3+9_v1" xfId="6046" xr:uid="{46201E68-23D4-493D-B0E1-D5F598D5E181}"/>
    <cellStyle name="_xf05年工厂?益?算表格3-1215_NMI FY05 Budget _FY08 PIC guideline(07.10.02KPI)_コピー【Master】 FY12 Simula tion Excel PKG for Auto" xfId="6047" xr:uid="{6CCF0CDC-261E-4299-AB1E-9451D59596DB}"/>
    <cellStyle name="_xf05年工厂?益?算表格3-1215_NMI FY05 Budget _FY08 PIC guideline(07.10.02KPI)_これマスター　FCF_FY12 Simulation Excel PKG for Auto" xfId="6048" xr:uid="{0A7CC642-B32C-49C1-95F4-F3EA0F844EE2}"/>
    <cellStyle name="_xf05年工厂?益?算表格3-1215_NMI FY05 Budget _FY10 FC#2_OP_Variance" xfId="6049" xr:uid="{8797C896-C362-4CE8-83F6-5FD0FBEF8EEB}"/>
    <cellStyle name="_xf05年工厂?益?算表格3-1215_NMI FY05 Budget _FY10 FC#2_OP_Variance_FY12 Budget Final OC-China" xfId="6050" xr:uid="{612A493C-FE95-4AEB-8FCE-425AA457C258}"/>
    <cellStyle name="_xf05年工厂?益?算表格3-1215_NMI FY05 Budget _FY10 FC#2_OP_Variance_Sample Format" xfId="6051" xr:uid="{30EBCD6E-AF86-4B57-AEB2-181199E09745}"/>
    <cellStyle name="_xf05年工厂?益?算表格3-1215_NMI FY05 Budget _FY10 FC#2_OP_Variance_Sample Format_Ａ&amp;O Consolidation Format_FCST3+9_v3" xfId="6052" xr:uid="{3B71C5F1-AB8F-48CA-80D7-75448402C3BB}"/>
    <cellStyle name="_xf05年工厂?益?算表格3-1215_NMI FY05 Budget _FY10 FC#2_OP_Variance_Sample Format_A&amp;O Format" xfId="6053" xr:uid="{243C285C-CE21-4AE2-81FE-4BCBD5095D29}"/>
    <cellStyle name="_xf05年工厂?益?算表格3-1215_NMI FY05 Budget _FY10 FC#2_OP_Variance_Sample Format_A&amp;O Format_FCST3+9" xfId="6054" xr:uid="{EF6444B7-121D-4CFA-9885-79080A6FBD3E}"/>
    <cellStyle name="_xf05年工厂?益?算表格3-1215_NMI FY05 Budget _FY10 FC#2_OP_Variance_Sample Format_A&amp;O Format_FCST3+9_v1" xfId="6055" xr:uid="{BF4FFF1F-7D2C-4D4A-A6C3-09BD66A8DC47}"/>
    <cellStyle name="_xf05年工厂?益?算表格3-1215_NMI FY05 Budget _FY11 Fcst#2 Excel PKG for Auto" xfId="6056" xr:uid="{38F1AD0A-9902-4E86-8BBA-383066A05880}"/>
    <cellStyle name="_xf05年工厂?益?算表格3-1215_NMI FY05 Budget _FY11 Fcst#2 Excel PKG for Auto(Funding Sheet)xls" xfId="6057" xr:uid="{5E4C29F9-0875-417E-BC00-C21D2497783F}"/>
    <cellStyle name="_xf05年工厂?益?算表格3-1215_NMI FY05 Budget _FY11 Fcst#2 Excel PKG for Finance" xfId="6058" xr:uid="{A90D3A62-51C6-45CA-9576-2F79C892EA5A}"/>
    <cellStyle name="_xf05年工厂?益?算表格3-1215_NMI FY05 Budget _FY12 BP_Simulation information PKG_R" xfId="6059" xr:uid="{EBBF5B96-B89F-42D5-8493-C10B4793292D}"/>
    <cellStyle name="_xf05年工厂?益?算表格3-1215_NMI FY05 Budget _FY12 BP_Simulation information PKG_R（SGA）" xfId="6060" xr:uid="{27C0F56A-6E03-4ED2-95EB-24F3EA60B50F}"/>
    <cellStyle name="_xf05年工厂?益?算表格3-1215_NMI FY05 Budget _IS Revised (for Auto) FY12 Fcst#1 Excel PKG for Auto" xfId="6061" xr:uid="{CFB943EB-F65C-4A7E-9D2F-D25F4186C7FA}"/>
    <cellStyle name="_xf05年工厂?益?算表格3-1215_NMI FY05 Budget _MC-ASIA Monthly MCPP" xfId="6062" xr:uid="{2A241EFD-F878-4037-AAD4-019A4B198E69}"/>
    <cellStyle name="_xf05年工厂?益?算表格3-1215_NMI FY05 Budget _MFG_Reply_Summary(07-11-02版)" xfId="6063" xr:uid="{04B1064A-EEE2-417C-BD32-F7B84456004C}"/>
    <cellStyle name="_xf05年工厂?益?算表格3-1215_NMI FY05 Budget _MFG_Reply_Summary(07-11-02版)_#1 Forecast Summary" xfId="6064" xr:uid="{767793D9-2596-4577-90C9-0ECCAFADD888}"/>
    <cellStyle name="_xf05年工厂?益?算表格3-1215_NMI FY05 Budget _MFG_Reply_Summary(07-11-02版)_#1 Forecast Summary_FY12 Budget Final OC-China" xfId="6065" xr:uid="{B1DDF30F-C34D-4134-8574-C60C7CEB7790}"/>
    <cellStyle name="_xf05年工厂?益?算表格3-1215_NMI FY05 Budget _MFG_Reply_Summary(07-11-02版)_#1 Forecast Summary_Sample Format" xfId="6066" xr:uid="{1C768F1C-9D00-493B-844B-52282353C1FF}"/>
    <cellStyle name="_xf05年工厂?益?算表格3-1215_NMI FY05 Budget _MFG_Reply_Summary(07-11-02版)_#1 Forecast Summary_Sample Format_Ａ&amp;O Consolidation Format_FCST3+9_v3" xfId="6067" xr:uid="{F16A3B20-F851-4548-AF55-D10C95944A8F}"/>
    <cellStyle name="_xf05年工厂?益?算表格3-1215_NMI FY05 Budget _MFG_Reply_Summary(07-11-02版)_#1 Forecast Summary_Sample Format_A&amp;O Format" xfId="6068" xr:uid="{CCAD7D04-1101-420E-8B87-1F5D9F262533}"/>
    <cellStyle name="_xf05年工厂?益?算表格3-1215_NMI FY05 Budget _MFG_Reply_Summary(07-11-02版)_#1 Forecast Summary_Sample Format_A&amp;O Format_FCST3+9" xfId="6069" xr:uid="{41BD50C6-6499-4C1A-B969-1FB33059F255}"/>
    <cellStyle name="_xf05年工厂?益?算表格3-1215_NMI FY05 Budget _MFG_Reply_Summary(07-11-02版)_#1 Forecast Summary_Sample Format_A&amp;O Format_FCST3+9_v1" xfId="6070" xr:uid="{2C47AEEC-F551-40FD-9795-710AF47F58A2}"/>
    <cellStyle name="_xf05年工厂?益?算表格3-1215_NMI FY05 Budget _MFG_Reply_Summary(07-11-02版)_(CHAO) FY10 Forecast#1 Regional Comment" xfId="6071" xr:uid="{F3A1D880-1187-41D8-A4FD-3CE803FB7098}"/>
    <cellStyle name="_xf05年工厂?益?算表格3-1215_NMI FY05 Budget _MFG_Reply_Summary(07-11-02版)_(CHAO) FY10 Forecast#1 Regional Comment_FY12 Budget Final OC-China" xfId="6072" xr:uid="{265B6F20-91C9-44A7-B28C-252B8DC345F8}"/>
    <cellStyle name="_xf05年工厂?益?算表格3-1215_NMI FY05 Budget _MFG_Reply_Summary(07-11-02版)_(CHAO) FY10 Forecast#1 Regional Comment_Sample Format" xfId="6073" xr:uid="{F3CEA6DF-DF14-4BA9-9829-75791DDFBFB2}"/>
    <cellStyle name="_xf05年工厂?益?算表格3-1215_NMI FY05 Budget _MFG_Reply_Summary(07-11-02版)_(CHAO) FY10 Forecast#1 Regional Comment_Sample Format_Ａ&amp;O Consolidation Format_FCST3+9_v3" xfId="6074" xr:uid="{35CA2AB5-ECC9-4E44-8464-2E6F357A3BE0}"/>
    <cellStyle name="_xf05年工厂?益?算表格3-1215_NMI FY05 Budget _MFG_Reply_Summary(07-11-02版)_(CHAO) FY10 Forecast#1 Regional Comment_Sample Format_A&amp;O Format" xfId="6075" xr:uid="{DA404E4A-9675-4B71-8E7C-22ED3CAA89BF}"/>
    <cellStyle name="_xf05年工厂?益?算表格3-1215_NMI FY05 Budget _MFG_Reply_Summary(07-11-02版)_(CHAO) FY10 Forecast#1 Regional Comment_Sample Format_A&amp;O Format_FCST3+9" xfId="6076" xr:uid="{E26C4F5C-796A-4F09-A2F1-C96FA40DDD0D}"/>
    <cellStyle name="_xf05年工厂?益?算表格3-1215_NMI FY05 Budget _MFG_Reply_Summary(07-11-02版)_(CHAO) FY10 Forecast#1 Regional Comment_Sample Format_A&amp;O Format_FCST3+9_v1" xfId="6077" xr:uid="{6499C8B5-1E2C-4F4C-A332-A8BE69EE7AD5}"/>
    <cellStyle name="_xf05年工厂?益?算表格3-1215_NMI FY05 Budget _MFG_Reply_Summary(07-11-02版)_【Master】 FY12 Simulation Excel PKG for Auto" xfId="6078" xr:uid="{AC0B56BB-EDE4-47DD-B87E-36CED625E281}"/>
    <cellStyle name="_xf05年工厂?益?算表格3-1215_NMI FY05 Budget _MFG_Reply_Summary(07-11-02版)_【Master】 FY12 Simulation Excel PKG for Auto (2)" xfId="6079" xr:uid="{9F07780B-2E24-42DA-9BE5-2519D67E56A8}"/>
    <cellStyle name="_xf05年工厂?益?算表格3-1215_NMI FY05 Budget _MFG_Reply_Summary(07-11-02版)_【Master】 FY12 Simulation Excel PKG for Auto_sugii" xfId="6080" xr:uid="{D457E43A-4181-40DA-963E-AE806088783B}"/>
    <cellStyle name="_xf05年工厂?益?算表格3-1215_NMI FY05 Budget _MFG_Reply_Summary(07-11-02版)_【Master】 FY12 Simulation Excel PKG for Auto_sugii (2)" xfId="6081" xr:uid="{175625C7-C058-43C5-8AA2-EAA58EF3F82E}"/>
    <cellStyle name="_xf05年工厂?益?算表格3-1215_NMI FY05 Budget _MFG_Reply_Summary(07-11-02版)_【Shibayama】 FY12 Simulation Excel PKG for Auto" xfId="6082" xr:uid="{AF34ADD1-C765-4E95-A3AD-B43633DECD56}"/>
    <cellStyle name="_xf05年工厂?益?算表格3-1215_NMI FY05 Budget _MFG_Reply_Summary(07-11-02版)_Ａ&amp;O Consolidation Format_FCST3+9_v3" xfId="6083" xr:uid="{80DA936B-3B74-49E2-9E54-D1E040F618B0}"/>
    <cellStyle name="_xf05年工厂?益?算表格3-1215_NMI FY05 Budget _MFG_Reply_Summary(07-11-02版)_A&amp;O Format" xfId="6084" xr:uid="{3AFCA5CD-F8FB-4758-891C-523C98DF0003}"/>
    <cellStyle name="_xf05年工厂?益?算表格3-1215_NMI FY05 Budget _MFG_Reply_Summary(07-11-02版)_A&amp;O Format_FCST3+9" xfId="6085" xr:uid="{E059700C-47AF-43E1-87C4-3670D83A1089}"/>
    <cellStyle name="_xf05年工厂?益?算表格3-1215_NMI FY05 Budget _MFG_Reply_Summary(07-11-02版)_A&amp;O Format_FCST3+9_v1" xfId="6086" xr:uid="{925B67FB-9769-4ED4-9BFA-8230AA64E367}"/>
    <cellStyle name="_xf05年工厂?益?算表格3-1215_NMI FY05 Budget _MFG_Reply_Summary(07-11-02版)_CHAO #2 Forecast Summary" xfId="6087" xr:uid="{581BF6B6-203F-4AFE-9DEE-DF9E49768C46}"/>
    <cellStyle name="_xf05年工厂?益?算表格3-1215_NMI FY05 Budget _MFG_Reply_Summary(07-11-02版)_CHAO #2 Forecast Summary_FY12 Budget Final OC-China" xfId="6088" xr:uid="{4E615A13-6A59-477E-A37C-F0C7ED1EC171}"/>
    <cellStyle name="_xf05年工厂?益?算表格3-1215_NMI FY05 Budget _MFG_Reply_Summary(07-11-02版)_CHAO #2 Forecast Summary_Sample Format" xfId="6089" xr:uid="{BBCF6502-C279-4756-AEB1-83ACC3BC5905}"/>
    <cellStyle name="_xf05年工厂?益?算表格3-1215_NMI FY05 Budget _MFG_Reply_Summary(07-11-02版)_CHAO #2 Forecast Summary_Sample Format_Ａ&amp;O Consolidation Format_FCST3+9_v3" xfId="6090" xr:uid="{7ECB13EC-2478-4211-B0A8-F0D1677524EE}"/>
    <cellStyle name="_xf05年工厂?益?算表格3-1215_NMI FY05 Budget _MFG_Reply_Summary(07-11-02版)_CHAO #2 Forecast Summary_Sample Format_A&amp;O Format" xfId="6091" xr:uid="{F49EE7A7-74EE-4165-8DC6-CC4C86645E73}"/>
    <cellStyle name="_xf05年工厂?益?算表格3-1215_NMI FY05 Budget _MFG_Reply_Summary(07-11-02版)_CHAO #2 Forecast Summary_Sample Format_A&amp;O Format_FCST3+9" xfId="6092" xr:uid="{40D97BD4-A32D-44C0-BC26-06B064C7BC2A}"/>
    <cellStyle name="_xf05年工厂?益?算表格3-1215_NMI FY05 Budget _MFG_Reply_Summary(07-11-02版)_CHAO #2 Forecast Summary_Sample Format_A&amp;O Format_FCST3+9_v1" xfId="6093" xr:uid="{0DB33405-071D-4EB3-8F48-5E4C835AB90E}"/>
    <cellStyle name="_xf05年工厂?益?算表格3-1215_NMI FY05 Budget _MFG_Reply_Summary(07-11-02版)_Correct FC#2 AO OP" xfId="6094" xr:uid="{33936BEB-5890-4625-8738-C380724D2CE0}"/>
    <cellStyle name="_xf05年工厂?益?算表格3-1215_NMI FY05 Budget _MFG_Reply_Summary(07-11-02版)_Correct FC#2 AO OP_FY12 Budget Final OC-China" xfId="6095" xr:uid="{E33B8CBC-D368-48D7-A158-801968DD0E30}"/>
    <cellStyle name="_xf05年工厂?益?算表格3-1215_NMI FY05 Budget _MFG_Reply_Summary(07-11-02版)_Correct FC#2 AO OP_Sample Format" xfId="6096" xr:uid="{F51F3EEB-2969-46B9-82B0-988175265075}"/>
    <cellStyle name="_xf05年工厂?益?算表格3-1215_NMI FY05 Budget _MFG_Reply_Summary(07-11-02版)_Correct FC#2 AO OP_Sample Format_Ａ&amp;O Consolidation Format_FCST3+9_v3" xfId="6097" xr:uid="{C5C70FAB-0384-481D-ACB5-8FE201BE2AFF}"/>
    <cellStyle name="_xf05年工厂?益?算表格3-1215_NMI FY05 Budget _MFG_Reply_Summary(07-11-02版)_Correct FC#2 AO OP_Sample Format_A&amp;O Format" xfId="6098" xr:uid="{F902BA72-1CC6-4457-8B11-44E83517003C}"/>
    <cellStyle name="_xf05年工厂?益?算表格3-1215_NMI FY05 Budget _MFG_Reply_Summary(07-11-02版)_Correct FC#2 AO OP_Sample Format_A&amp;O Format_FCST3+9" xfId="6099" xr:uid="{F652150A-CC71-4A69-8C81-871F4AB1008E}"/>
    <cellStyle name="_xf05年工厂?益?算表格3-1215_NMI FY05 Budget _MFG_Reply_Summary(07-11-02版)_Correct FC#2 AO OP_Sample Format_A&amp;O Format_FCST3+9_v1" xfId="6100" xr:uid="{523AF4F2-1589-4E8F-A958-D81F87489331}"/>
    <cellStyle name="_xf05年工厂?益?算表格3-1215_NMI FY05 Budget _MFG_Reply_Summary(07-11-02版)_FY10 FC#2_OP_Variance" xfId="6101" xr:uid="{B899886E-AEAC-4ED3-B5C3-C3A36FBDB12B}"/>
    <cellStyle name="_xf05年工厂?益?算表格3-1215_NMI FY05 Budget _MFG_Reply_Summary(07-11-02版)_FY10 FC#2_OP_Variance_FY12 Budget Final OC-China" xfId="6102" xr:uid="{F568D77A-95AC-4A2F-8AB5-5406DCB075A0}"/>
    <cellStyle name="_xf05年工厂?益?算表格3-1215_NMI FY05 Budget _MFG_Reply_Summary(07-11-02版)_FY10 FC#2_OP_Variance_Sample Format" xfId="6103" xr:uid="{12D2EF73-79EC-4C7C-B803-40D57A771EC2}"/>
    <cellStyle name="_xf05年工厂?益?算表格3-1215_NMI FY05 Budget _MFG_Reply_Summary(07-11-02版)_FY10 FC#2_OP_Variance_Sample Format_Ａ&amp;O Consolidation Format_FCST3+9_v3" xfId="6104" xr:uid="{2D82935F-96A1-446B-8D4F-7DF4F31AAC9E}"/>
    <cellStyle name="_xf05年工厂?益?算表格3-1215_NMI FY05 Budget _MFG_Reply_Summary(07-11-02版)_FY10 FC#2_OP_Variance_Sample Format_A&amp;O Format" xfId="6105" xr:uid="{C7BEE08C-617B-40C2-BD63-46BA2BE60845}"/>
    <cellStyle name="_xf05年工厂?益?算表格3-1215_NMI FY05 Budget _MFG_Reply_Summary(07-11-02版)_FY10 FC#2_OP_Variance_Sample Format_A&amp;O Format_FCST3+9" xfId="6106" xr:uid="{9963535A-9C8F-4630-B438-9BB1C2C56E06}"/>
    <cellStyle name="_xf05年工厂?益?算表格3-1215_NMI FY05 Budget _MFG_Reply_Summary(07-11-02版)_FY10 FC#2_OP_Variance_Sample Format_A&amp;O Format_FCST3+9_v1" xfId="6107" xr:uid="{BCEFF67B-FDD0-41E3-A1CA-4E53577763B2}"/>
    <cellStyle name="_xf05年工厂?益?算表格3-1215_NMI FY05 Budget _MFG_Reply_Summary(07-11-02版)_FY12 BP_Simulation information PKG_R" xfId="6108" xr:uid="{F3F235E7-D026-45F9-96EE-450A2BF64B36}"/>
    <cellStyle name="_xf05年工厂?益?算表格3-1215_NMI FY05 Budget _MFG_Reply_Summary(07-11-02版)_FY12 BP_Simulation information PKG_R（SGA）" xfId="6109" xr:uid="{9ED37FE0-255A-41F9-8B00-D98CF3569361}"/>
    <cellStyle name="_xf05年工厂?益?算表格3-1215_NMI FY05 Budget _MFG_Reply_Summary(07-11-02版)_v1 FY11 Budget Sim summary" xfId="6110" xr:uid="{D36EB480-B542-48F1-AD15-B3B278893F70}"/>
    <cellStyle name="_xf05年工厂?益?算表格3-1215_NMI FY05 Budget _MFG_Reply_Summary(07-11-02版)_v1 FY11 Budget Sim summary_FY12 Budget Final OC-China" xfId="6111" xr:uid="{277B265A-4B61-400C-828F-E28FD7CB9A45}"/>
    <cellStyle name="_xf05年工厂?益?算表格3-1215_NMI FY05 Budget _MFG_Reply_Summary(07-11-02版)_v1 FY11 Budget Sim summary_Sample Format" xfId="6112" xr:uid="{23CDC1DC-182D-4041-B253-2D3AC8BA49E4}"/>
    <cellStyle name="_xf05年工厂?益?算表格3-1215_NMI FY05 Budget _MFG_Reply_Summary(07-11-02版)_v1 FY11 Budget Sim summary_Sample Format_Ａ&amp;O Consolidation Format_FCST3+9_v3" xfId="6113" xr:uid="{B620B551-8413-4905-9405-797D03AF4227}"/>
    <cellStyle name="_xf05年工厂?益?算表格3-1215_NMI FY05 Budget _MFG_Reply_Summary(07-11-02版)_v1 FY11 Budget Sim summary_Sample Format_A&amp;O Format" xfId="6114" xr:uid="{262F11CA-0370-4BC5-827C-6263E0D42641}"/>
    <cellStyle name="_xf05年工厂?益?算表格3-1215_NMI FY05 Budget _MFG_Reply_Summary(07-11-02版)_v1 FY11 Budget Sim summary_Sample Format_A&amp;O Format_FCST3+9" xfId="6115" xr:uid="{A10EABE7-E185-421F-9F76-B9D13C17E9DA}"/>
    <cellStyle name="_xf05年工厂?益?算表格3-1215_NMI FY05 Budget _MFG_Reply_Summary(07-11-02版)_v1 FY11 Budget Sim summary_Sample Format_A&amp;O Format_FCST3+9_v1" xfId="6116" xr:uid="{47C34C23-03AA-41B6-B3CB-EB2395A92628}"/>
    <cellStyle name="_xf05年工厂?益?算表格3-1215_NMI FY05 Budget _MFG_Reply_Summary(07-11-02版)_v2 CHAO #2 Forecast Summary" xfId="6117" xr:uid="{10F13619-07F0-49C4-AA6D-CDDDA3832055}"/>
    <cellStyle name="_xf05年工厂?益?算表格3-1215_NMI FY05 Budget _MFG_Reply_Summary(07-11-02版)_v2 CHAO #2 Forecast Summary_FY12 Budget Final OC-China" xfId="6118" xr:uid="{C1534DB3-0710-4579-ACAB-5EF69D5D249A}"/>
    <cellStyle name="_xf05年工厂?益?算表格3-1215_NMI FY05 Budget _MFG_Reply_Summary(07-11-02版)_v2 CHAO #2 Forecast Summary_Sample Format" xfId="6119" xr:uid="{532B1955-D2B9-4551-BE20-46DA4F0299FB}"/>
    <cellStyle name="_xf05年工厂?益?算表格3-1215_NMI FY05 Budget _MFG_Reply_Summary(07-11-02版)_v2 CHAO #2 Forecast Summary_Sample Format_Ａ&amp;O Consolidation Format_FCST3+9_v3" xfId="6120" xr:uid="{70C29BA0-192C-44A6-AD3F-4D93A70DA6AB}"/>
    <cellStyle name="_xf05年工厂?益?算表格3-1215_NMI FY05 Budget _MFG_Reply_Summary(07-11-02版)_v2 CHAO #2 Forecast Summary_Sample Format_A&amp;O Format" xfId="6121" xr:uid="{476420A1-5891-48F6-BF8A-23C2D46F60DD}"/>
    <cellStyle name="_xf05年工厂?益?算表格3-1215_NMI FY05 Budget _MFG_Reply_Summary(07-11-02版)_v2 CHAO #2 Forecast Summary_Sample Format_A&amp;O Format_FCST3+9" xfId="6122" xr:uid="{51C1DF0A-D52E-4C0B-990D-D93807156C69}"/>
    <cellStyle name="_xf05年工厂?益?算表格3-1215_NMI FY05 Budget _MFG_Reply_Summary(07-11-02版)_v2 CHAO #2 Forecast Summary_Sample Format_A&amp;O Format_FCST3+9_v1" xfId="6123" xr:uid="{1228E9B2-E844-4654-A406-E69BAA8443E0}"/>
    <cellStyle name="_xf05年工厂?益?算表格3-1215_NMI FY05 Budget _MFG_Reply_Summary(07-11-02版)_v2 FY10 FC#2_OP_Variance" xfId="6124" xr:uid="{9B6D858C-8350-440F-B7D6-01285252A3C2}"/>
    <cellStyle name="_xf05年工厂?益?算表格3-1215_NMI FY05 Budget _MFG_Reply_Summary(07-11-02版)_v2 FY10 FC#2_OP_Variance_FY12 Budget Final OC-China" xfId="6125" xr:uid="{249E04BA-1811-4C04-AD0D-DF443FB3DDED}"/>
    <cellStyle name="_xf05年工厂?益?算表格3-1215_NMI FY05 Budget _MFG_Reply_Summary(07-11-02版)_v2 FY10 FC#2_OP_Variance_Sample Format" xfId="6126" xr:uid="{388F7488-D4D4-41E1-AABB-C365BC87426C}"/>
    <cellStyle name="_xf05年工厂?益?算表格3-1215_NMI FY05 Budget _MFG_Reply_Summary(07-11-02版)_v2 FY10 FC#2_OP_Variance_Sample Format_Ａ&amp;O Consolidation Format_FCST3+9_v3" xfId="6127" xr:uid="{B9E2BC43-C718-4F9A-9A05-11E043D76C61}"/>
    <cellStyle name="_xf05年工厂?益?算表格3-1215_NMI FY05 Budget _MFG_Reply_Summary(07-11-02版)_v2 FY10 FC#2_OP_Variance_Sample Format_A&amp;O Format" xfId="6128" xr:uid="{7E3E15CF-3F37-4CDC-B852-5B24908AD01B}"/>
    <cellStyle name="_xf05年工厂?益?算表格3-1215_NMI FY05 Budget _MFG_Reply_Summary(07-11-02版)_v2 FY10 FC#2_OP_Variance_Sample Format_A&amp;O Format_FCST3+9" xfId="6129" xr:uid="{791B050E-8C8D-4983-B443-B580F7315865}"/>
    <cellStyle name="_xf05年工厂?益?算表格3-1215_NMI FY05 Budget _MFG_Reply_Summary(07-11-02版)_v2 FY10 FC#2_OP_Variance_Sample Format_A&amp;O Format_FCST3+9_v1" xfId="6130" xr:uid="{66B79599-6FF0-4C1D-A98A-99CCF4E59D53}"/>
    <cellStyle name="_xf05年工厂?益?算表格3-1215_NMI FY05 Budget _MFG_Reply_Summary(07-11-02版)_v5 FY11 Budget Sim summary" xfId="6131" xr:uid="{AD8FB767-AB01-4029-B3B0-9A1E82C1BB46}"/>
    <cellStyle name="_xf05年工厂?益?算表格3-1215_NMI FY05 Budget _MFG_Reply_Summary(07-11-02版)_v5 FY11 Budget Sim summary_FY12 Budget Final OC-China" xfId="6132" xr:uid="{F1B199C3-1A19-4097-B1EC-8A0A8954B54F}"/>
    <cellStyle name="_xf05年工厂?益?算表格3-1215_NMI FY05 Budget _MFG_Reply_Summary(07-11-02版)_v5 FY11 Budget Sim summary_Sample Format" xfId="6133" xr:uid="{C8CA4C91-2A54-4C64-AFB1-4B15C567F7B1}"/>
    <cellStyle name="_xf05年工厂?益?算表格3-1215_NMI FY05 Budget _MFG_Reply_Summary(07-11-02版)_v5 FY11 Budget Sim summary_Sample Format_Ａ&amp;O Consolidation Format_FCST3+9_v3" xfId="6134" xr:uid="{36D6EC2A-BF34-4EC2-B5DE-AC38EF9866CF}"/>
    <cellStyle name="_xf05年工厂?益?算表格3-1215_NMI FY05 Budget _MFG_Reply_Summary(07-11-02版)_v5 FY11 Budget Sim summary_Sample Format_A&amp;O Format" xfId="6135" xr:uid="{14AF306B-13F0-40D3-8BA0-B065CB6D25D7}"/>
    <cellStyle name="_xf05年工厂?益?算表格3-1215_NMI FY05 Budget _MFG_Reply_Summary(07-11-02版)_v5 FY11 Budget Sim summary_Sample Format_A&amp;O Format_FCST3+9" xfId="6136" xr:uid="{BC307CA3-E129-4AF2-996A-0AA3A5F33D8C}"/>
    <cellStyle name="_xf05年工厂?益?算表格3-1215_NMI FY05 Budget _MFG_Reply_Summary(07-11-02版)_v5 FY11 Budget Sim summary_Sample Format_A&amp;O Format_FCST3+9_v1" xfId="6137" xr:uid="{7034FE0D-B37F-46CF-8BDE-86292580B7AE}"/>
    <cellStyle name="_xf05年工厂?益?算表格3-1215_NMI FY05 Budget _MFG_Reply_Summary(07-11-02版)_コピー【Master】 FY12 Simula tion Excel PKG for Auto" xfId="6138" xr:uid="{A00E8444-9E02-42CF-8031-B4BA9B2CDAE7}"/>
    <cellStyle name="_xf05年工厂?益?算表格3-1215_NMI FY05 Budget _MFG_Reply_Summary(07-11-02版)_これマスター　FCF_FY12 Simulation Excel PKG for Auto" xfId="6139" xr:uid="{E2103E87-22C5-4B67-82D7-34B4E744DFF3}"/>
    <cellStyle name="_xf05年工厂?益?算表格3-1215_NMI FY05 Budget _MFG_Reply_Suumary" xfId="6140" xr:uid="{977F9FED-C188-4000-8317-26E5897C0E11}"/>
    <cellStyle name="_xf05年工厂?益?算表格3-1215_NMI FY05 Budget _MFG_Reply_Suumary_#1 Forecast Summary" xfId="6141" xr:uid="{B1023CF9-55FE-4D20-9492-21A6142D46C4}"/>
    <cellStyle name="_xf05年工厂?益?算表格3-1215_NMI FY05 Budget _MFG_Reply_Suumary_#1 Forecast Summary_FY12 Budget Final OC-China" xfId="6142" xr:uid="{C3A970C3-E23D-46C8-A7FC-9603FF9FEFD9}"/>
    <cellStyle name="_xf05年工厂?益?算表格3-1215_NMI FY05 Budget _MFG_Reply_Suumary_#1 Forecast Summary_Sample Format" xfId="6143" xr:uid="{8347826D-AB1E-4ADA-89D3-26AFD66E339F}"/>
    <cellStyle name="_xf05年工厂?益?算表格3-1215_NMI FY05 Budget _MFG_Reply_Suumary_#1 Forecast Summary_Sample Format_Ａ&amp;O Consolidation Format_FCST3+9_v3" xfId="6144" xr:uid="{F6AE91E9-AC4E-44F0-BB2B-9205C112CA56}"/>
    <cellStyle name="_xf05年工厂?益?算表格3-1215_NMI FY05 Budget _MFG_Reply_Suumary_#1 Forecast Summary_Sample Format_A&amp;O Format" xfId="6145" xr:uid="{51326229-EDF6-4FA5-B5AD-EC9CCD580BCE}"/>
    <cellStyle name="_xf05年工厂?益?算表格3-1215_NMI FY05 Budget _MFG_Reply_Suumary_#1 Forecast Summary_Sample Format_A&amp;O Format_FCST3+9" xfId="6146" xr:uid="{F21DEFE1-07EC-4903-97B4-779D50B3511D}"/>
    <cellStyle name="_xf05年工厂?益?算表格3-1215_NMI FY05 Budget _MFG_Reply_Suumary_#1 Forecast Summary_Sample Format_A&amp;O Format_FCST3+9_v1" xfId="6147" xr:uid="{93B6A6A6-A0A8-460D-B604-102A8C5B35B6}"/>
    <cellStyle name="_xf05年工厂?益?算表格3-1215_NMI FY05 Budget _MFG_Reply_Suumary_(CHAO) FY10 Forecast#1 Regional Comment" xfId="6148" xr:uid="{389B87F5-AFA4-4112-80CC-052F6E4C6788}"/>
    <cellStyle name="_xf05年工厂?益?算表格3-1215_NMI FY05 Budget _MFG_Reply_Suumary_(CHAO) FY10 Forecast#1 Regional Comment_FY12 Budget Final OC-China" xfId="6149" xr:uid="{85B4E537-13DA-4AC0-9D22-1780A47787C4}"/>
    <cellStyle name="_xf05年工厂?益?算表格3-1215_NMI FY05 Budget _MFG_Reply_Suumary_(CHAO) FY10 Forecast#1 Regional Comment_Sample Format" xfId="6150" xr:uid="{9D6DFA55-2A95-48F3-A6D9-0D6A4B1233E3}"/>
    <cellStyle name="_xf05年工厂?益?算表格3-1215_NMI FY05 Budget _MFG_Reply_Suumary_(CHAO) FY10 Forecast#1 Regional Comment_Sample Format_Ａ&amp;O Consolidation Format_FCST3+9_v3" xfId="6151" xr:uid="{EC352E44-8040-4B21-A31A-F80B119D5497}"/>
    <cellStyle name="_xf05年工厂?益?算表格3-1215_NMI FY05 Budget _MFG_Reply_Suumary_(CHAO) FY10 Forecast#1 Regional Comment_Sample Format_A&amp;O Format" xfId="6152" xr:uid="{62E9843D-75E4-4F39-8CBC-8BCB15CC98FE}"/>
    <cellStyle name="_xf05年工厂?益?算表格3-1215_NMI FY05 Budget _MFG_Reply_Suumary_(CHAO) FY10 Forecast#1 Regional Comment_Sample Format_A&amp;O Format_FCST3+9" xfId="6153" xr:uid="{AE77A162-97CE-44CB-BC5F-861B18BF81AC}"/>
    <cellStyle name="_xf05年工厂?益?算表格3-1215_NMI FY05 Budget _MFG_Reply_Suumary_(CHAO) FY10 Forecast#1 Regional Comment_Sample Format_A&amp;O Format_FCST3+9_v1" xfId="6154" xr:uid="{E519200B-6096-49ED-82DB-1FA78B0F9B0C}"/>
    <cellStyle name="_xf05年工厂?益?算表格3-1215_NMI FY05 Budget _MFG_Reply_Suumary_【Master】 FY12 Simulation Excel PKG for Auto" xfId="6155" xr:uid="{31745344-6173-4DBF-A3C0-CFB29A53D883}"/>
    <cellStyle name="_xf05年工厂?益?算表格3-1215_NMI FY05 Budget _MFG_Reply_Suumary_【Master】 FY12 Simulation Excel PKG for Auto (2)" xfId="6156" xr:uid="{07E1C26E-0724-4D2B-A371-4032D787B8BB}"/>
    <cellStyle name="_xf05年工厂?益?算表格3-1215_NMI FY05 Budget _MFG_Reply_Suumary_【Master】 FY12 Simulation Excel PKG for Auto_sugii" xfId="6157" xr:uid="{B0BAC5D3-249F-410B-8DD3-32458AE13541}"/>
    <cellStyle name="_xf05年工厂?益?算表格3-1215_NMI FY05 Budget _MFG_Reply_Suumary_【Master】 FY12 Simulation Excel PKG for Auto_sugii (2)" xfId="6158" xr:uid="{59DB55EB-4AB7-44CC-8C5E-6ADABED73013}"/>
    <cellStyle name="_xf05年工厂?益?算表格3-1215_NMI FY05 Budget _MFG_Reply_Suumary_【Shibayama】 FY12 Simulation Excel PKG for Auto" xfId="6159" xr:uid="{2901CAF3-E4B5-494F-981F-815C733007CB}"/>
    <cellStyle name="_xf05年工厂?益?算表格3-1215_NMI FY05 Budget _MFG_Reply_Suumary_Ａ&amp;O Consolidation Format_FCST3+9_v3" xfId="6160" xr:uid="{38A622AB-E83A-41B4-B098-0245FF19DB1A}"/>
    <cellStyle name="_xf05年工厂?益?算表格3-1215_NMI FY05 Budget _MFG_Reply_Suumary_A&amp;O Format" xfId="6161" xr:uid="{A90D6FD9-7017-483D-A596-B0230D233D23}"/>
    <cellStyle name="_xf05年工厂?益?算表格3-1215_NMI FY05 Budget _MFG_Reply_Suumary_A&amp;O Format_FCST3+9" xfId="6162" xr:uid="{EE4E9F40-4371-4E57-805C-DF6BCB293FCD}"/>
    <cellStyle name="_xf05年工厂?益?算表格3-1215_NMI FY05 Budget _MFG_Reply_Suumary_A&amp;O Format_FCST3+9_v1" xfId="6163" xr:uid="{81CF9E10-E039-4DA5-808C-A9492210B8A1}"/>
    <cellStyle name="_xf05年工厂?益?算表格3-1215_NMI FY05 Budget _MFG_Reply_Suumary_CHAO #2 Forecast Summary" xfId="6164" xr:uid="{3416A7EC-00EA-4AD2-A759-4FE7A9E8E6FE}"/>
    <cellStyle name="_xf05年工厂?益?算表格3-1215_NMI FY05 Budget _MFG_Reply_Suumary_CHAO #2 Forecast Summary_FY12 Budget Final OC-China" xfId="6165" xr:uid="{072E9FD9-3396-48BE-AFB1-C2E5F506EB2E}"/>
    <cellStyle name="_xf05年工厂?益?算表格3-1215_NMI FY05 Budget _MFG_Reply_Suumary_CHAO #2 Forecast Summary_Sample Format" xfId="6166" xr:uid="{025E8BF1-BA86-4D48-A26C-95DB48F782CF}"/>
    <cellStyle name="_xf05年工厂?益?算表格3-1215_NMI FY05 Budget _MFG_Reply_Suumary_CHAO #2 Forecast Summary_Sample Format_Ａ&amp;O Consolidation Format_FCST3+9_v3" xfId="6167" xr:uid="{7D3FB0C8-D82E-489E-98E8-896FAFC0F5E8}"/>
    <cellStyle name="_xf05年工厂?益?算表格3-1215_NMI FY05 Budget _MFG_Reply_Suumary_CHAO #2 Forecast Summary_Sample Format_A&amp;O Format" xfId="6168" xr:uid="{2AA7FBD2-B52B-493A-8829-E950A03FBD7D}"/>
    <cellStyle name="_xf05年工厂?益?算表格3-1215_NMI FY05 Budget _MFG_Reply_Suumary_CHAO #2 Forecast Summary_Sample Format_A&amp;O Format_FCST3+9" xfId="6169" xr:uid="{AAC94948-FDB6-487B-8E70-10DEDD9521ED}"/>
    <cellStyle name="_xf05年工厂?益?算表格3-1215_NMI FY05 Budget _MFG_Reply_Suumary_CHAO #2 Forecast Summary_Sample Format_A&amp;O Format_FCST3+9_v1" xfId="6170" xr:uid="{AA6A9D56-203C-4B3B-BE69-8BE5CD375A96}"/>
    <cellStyle name="_xf05年工厂?益?算表格3-1215_NMI FY05 Budget _MFG_Reply_Suumary_Correct FC#2 AO OP" xfId="6171" xr:uid="{71355949-6AA4-48D6-ABBB-0E3BFC508462}"/>
    <cellStyle name="_xf05年工厂?益?算表格3-1215_NMI FY05 Budget _MFG_Reply_Suumary_Correct FC#2 AO OP_FY12 Budget Final OC-China" xfId="6172" xr:uid="{22A17A80-EAF8-4928-A111-4137128561A6}"/>
    <cellStyle name="_xf05年工厂?益?算表格3-1215_NMI FY05 Budget _MFG_Reply_Suumary_Correct FC#2 AO OP_Sample Format" xfId="6173" xr:uid="{823F8B4E-4028-492C-B149-433AB1BC1DF9}"/>
    <cellStyle name="_xf05年工厂?益?算表格3-1215_NMI FY05 Budget _MFG_Reply_Suumary_Correct FC#2 AO OP_Sample Format_Ａ&amp;O Consolidation Format_FCST3+9_v3" xfId="6174" xr:uid="{C570C7FA-7B6C-4501-A8A4-53E091E1D73A}"/>
    <cellStyle name="_xf05年工厂?益?算表格3-1215_NMI FY05 Budget _MFG_Reply_Suumary_Correct FC#2 AO OP_Sample Format_A&amp;O Format" xfId="6175" xr:uid="{15AB06DB-0023-4F16-B6E9-00EED2DA2383}"/>
    <cellStyle name="_xf05年工厂?益?算表格3-1215_NMI FY05 Budget _MFG_Reply_Suumary_Correct FC#2 AO OP_Sample Format_A&amp;O Format_FCST3+9" xfId="6176" xr:uid="{C273B0D3-82D6-4AA8-921D-3768D8E412C1}"/>
    <cellStyle name="_xf05年工厂?益?算表格3-1215_NMI FY05 Budget _MFG_Reply_Suumary_Correct FC#2 AO OP_Sample Format_A&amp;O Format_FCST3+9_v1" xfId="6177" xr:uid="{C497F488-85A0-4F40-A677-ECDD84636A46}"/>
    <cellStyle name="_xf05年工厂?益?算表格3-1215_NMI FY05 Budget _MFG_Reply_Suumary_FY10 FC#2_OP_Variance" xfId="6178" xr:uid="{DEB7696E-4CAA-4777-B105-1D69A1741212}"/>
    <cellStyle name="_xf05年工厂?益?算表格3-1215_NMI FY05 Budget _MFG_Reply_Suumary_FY10 FC#2_OP_Variance_FY12 Budget Final OC-China" xfId="6179" xr:uid="{6A138E05-BCA0-4F71-A9F6-48631E7C24F2}"/>
    <cellStyle name="_xf05年工厂?益?算表格3-1215_NMI FY05 Budget _MFG_Reply_Suumary_FY10 FC#2_OP_Variance_Sample Format" xfId="6180" xr:uid="{BB60E0C5-C6EA-4EB1-8AE1-ABD60FCFB0BF}"/>
    <cellStyle name="_xf05年工厂?益?算表格3-1215_NMI FY05 Budget _MFG_Reply_Suumary_FY10 FC#2_OP_Variance_Sample Format_Ａ&amp;O Consolidation Format_FCST3+9_v3" xfId="6181" xr:uid="{26603109-670F-49C7-B129-D48D65C8FBD2}"/>
    <cellStyle name="_xf05年工厂?益?算表格3-1215_NMI FY05 Budget _MFG_Reply_Suumary_FY10 FC#2_OP_Variance_Sample Format_A&amp;O Format" xfId="6182" xr:uid="{D73FC693-47D2-46A3-8CC7-7A8DA9AECD81}"/>
    <cellStyle name="_xf05年工厂?益?算表格3-1215_NMI FY05 Budget _MFG_Reply_Suumary_FY10 FC#2_OP_Variance_Sample Format_A&amp;O Format_FCST3+9" xfId="6183" xr:uid="{8B98F832-C6FA-4823-B681-8916F69A89F6}"/>
    <cellStyle name="_xf05年工厂?益?算表格3-1215_NMI FY05 Budget _MFG_Reply_Suumary_FY10 FC#2_OP_Variance_Sample Format_A&amp;O Format_FCST3+9_v1" xfId="6184" xr:uid="{8AC7EA36-F56C-4A07-BC3F-990764F511AB}"/>
    <cellStyle name="_xf05年工厂?益?算表格3-1215_NMI FY05 Budget _MFG_Reply_Suumary_FY12 BP_Simulation information PKG_R" xfId="6185" xr:uid="{FC370154-1F66-441A-BCB7-A3C2D4081B33}"/>
    <cellStyle name="_xf05年工厂?益?算表格3-1215_NMI FY05 Budget _MFG_Reply_Suumary_FY12 BP_Simulation information PKG_R（SGA）" xfId="6186" xr:uid="{000B6251-2E23-450A-8115-EE4DB679648B}"/>
    <cellStyle name="_xf05年工厂?益?算表格3-1215_NMI FY05 Budget _MFG_Reply_Suumary_v1 FY11 Budget Sim summary" xfId="6187" xr:uid="{748795E3-EE79-4D48-9E5C-A7092A7A2D74}"/>
    <cellStyle name="_xf05年工厂?益?算表格3-1215_NMI FY05 Budget _MFG_Reply_Suumary_v1 FY11 Budget Sim summary_FY12 Budget Final OC-China" xfId="6188" xr:uid="{5E83FE14-310B-4CB4-A51F-3D27B528BA40}"/>
    <cellStyle name="_xf05年工厂?益?算表格3-1215_NMI FY05 Budget _MFG_Reply_Suumary_v1 FY11 Budget Sim summary_Sample Format" xfId="6189" xr:uid="{66287430-B2EE-4179-BAE8-6D268CCE4EB4}"/>
    <cellStyle name="_xf05年工厂?益?算表格3-1215_NMI FY05 Budget _MFG_Reply_Suumary_v1 FY11 Budget Sim summary_Sample Format_Ａ&amp;O Consolidation Format_FCST3+9_v3" xfId="6190" xr:uid="{A5135500-EC9D-4E87-BB79-649AC17B7241}"/>
    <cellStyle name="_xf05年工厂?益?算表格3-1215_NMI FY05 Budget _MFG_Reply_Suumary_v1 FY11 Budget Sim summary_Sample Format_A&amp;O Format" xfId="6191" xr:uid="{13844932-3427-4A9B-AD17-33C2F4883671}"/>
    <cellStyle name="_xf05年工厂?益?算表格3-1215_NMI FY05 Budget _MFG_Reply_Suumary_v1 FY11 Budget Sim summary_Sample Format_A&amp;O Format_FCST3+9" xfId="6192" xr:uid="{DB3FCFE0-4BD0-47C3-9D81-9FC55AFD8652}"/>
    <cellStyle name="_xf05年工厂?益?算表格3-1215_NMI FY05 Budget _MFG_Reply_Suumary_v1 FY11 Budget Sim summary_Sample Format_A&amp;O Format_FCST3+9_v1" xfId="6193" xr:uid="{DE02E86B-FCC9-4D1D-9261-70691F575983}"/>
    <cellStyle name="_xf05年工厂?益?算表格3-1215_NMI FY05 Budget _MFG_Reply_Suumary_v2 CHAO #2 Forecast Summary" xfId="6194" xr:uid="{6765E695-74B9-4E4F-BA31-E867BE336DDA}"/>
    <cellStyle name="_xf05年工厂?益?算表格3-1215_NMI FY05 Budget _MFG_Reply_Suumary_v2 CHAO #2 Forecast Summary_FY12 Budget Final OC-China" xfId="6195" xr:uid="{5DDC8641-1B31-456D-BF0C-43934DEF66C5}"/>
    <cellStyle name="_xf05年工厂?益?算表格3-1215_NMI FY05 Budget _MFG_Reply_Suumary_v2 CHAO #2 Forecast Summary_Sample Format" xfId="6196" xr:uid="{768E9590-8E00-4CAF-A89A-BDC3E683B5BF}"/>
    <cellStyle name="_xf05年工厂?益?算表格3-1215_NMI FY05 Budget _MFG_Reply_Suumary_v2 CHAO #2 Forecast Summary_Sample Format_Ａ&amp;O Consolidation Format_FCST3+9_v3" xfId="6197" xr:uid="{D17365B4-29BF-4644-A3BE-3554F156DCF5}"/>
    <cellStyle name="_xf05年工厂?益?算表格3-1215_NMI FY05 Budget _MFG_Reply_Suumary_v2 CHAO #2 Forecast Summary_Sample Format_A&amp;O Format" xfId="6198" xr:uid="{9C2A971F-4C9E-4C3E-BE65-AEAFA292A653}"/>
    <cellStyle name="_xf05年工厂?益?算表格3-1215_NMI FY05 Budget _MFG_Reply_Suumary_v2 CHAO #2 Forecast Summary_Sample Format_A&amp;O Format_FCST3+9" xfId="6199" xr:uid="{14293EEA-71D2-40D1-902D-4B469D754BF2}"/>
    <cellStyle name="_xf05年工厂?益?算表格3-1215_NMI FY05 Budget _MFG_Reply_Suumary_v2 CHAO #2 Forecast Summary_Sample Format_A&amp;O Format_FCST3+9_v1" xfId="6200" xr:uid="{EE382007-DA74-4016-8348-1F39FF5874C9}"/>
    <cellStyle name="_xf05年工厂?益?算表格3-1215_NMI FY05 Budget _MFG_Reply_Suumary_v2 FY10 FC#2_OP_Variance" xfId="6201" xr:uid="{B5A90331-5CF4-48ED-931D-B93C8C9A67D7}"/>
    <cellStyle name="_xf05年工厂?益?算表格3-1215_NMI FY05 Budget _MFG_Reply_Suumary_v2 FY10 FC#2_OP_Variance_FY12 Budget Final OC-China" xfId="6202" xr:uid="{8D9433C6-40DC-4453-8B51-F2B11B0ABD1E}"/>
    <cellStyle name="_xf05年工厂?益?算表格3-1215_NMI FY05 Budget _MFG_Reply_Suumary_v2 FY10 FC#2_OP_Variance_Sample Format" xfId="6203" xr:uid="{3E5B8EE6-55D5-4A5A-A2DE-7000696AEFF5}"/>
    <cellStyle name="_xf05年工厂?益?算表格3-1215_NMI FY05 Budget _MFG_Reply_Suumary_v2 FY10 FC#2_OP_Variance_Sample Format_Ａ&amp;O Consolidation Format_FCST3+9_v3" xfId="6204" xr:uid="{6E35C90F-1FC9-4234-97B5-9AAE18F41586}"/>
    <cellStyle name="_xf05年工厂?益?算表格3-1215_NMI FY05 Budget _MFG_Reply_Suumary_v2 FY10 FC#2_OP_Variance_Sample Format_A&amp;O Format" xfId="6205" xr:uid="{62722425-AAD0-4540-A484-770B13415A36}"/>
    <cellStyle name="_xf05年工厂?益?算表格3-1215_NMI FY05 Budget _MFG_Reply_Suumary_v2 FY10 FC#2_OP_Variance_Sample Format_A&amp;O Format_FCST3+9" xfId="6206" xr:uid="{CC90B6A5-2959-40D2-8CB2-0131E7D58253}"/>
    <cellStyle name="_xf05年工厂?益?算表格3-1215_NMI FY05 Budget _MFG_Reply_Suumary_v2 FY10 FC#2_OP_Variance_Sample Format_A&amp;O Format_FCST3+9_v1" xfId="6207" xr:uid="{D319D24F-F3B5-4CA5-8730-D3E510EEABB4}"/>
    <cellStyle name="_xf05年工厂?益?算表格3-1215_NMI FY05 Budget _MFG_Reply_Suumary_v5 FY11 Budget Sim summary" xfId="6208" xr:uid="{ECB9B0DD-4C48-43B4-9573-7B505D56547A}"/>
    <cellStyle name="_xf05年工厂?益?算表格3-1215_NMI FY05 Budget _MFG_Reply_Suumary_v5 FY11 Budget Sim summary_FY12 Budget Final OC-China" xfId="6209" xr:uid="{14A3E88C-CABC-4995-ACAD-E5BE4CC1BC38}"/>
    <cellStyle name="_xf05年工厂?益?算表格3-1215_NMI FY05 Budget _MFG_Reply_Suumary_v5 FY11 Budget Sim summary_Sample Format" xfId="6210" xr:uid="{E85E8909-312F-4150-B405-9E3F6FE2B103}"/>
    <cellStyle name="_xf05年工厂?益?算表格3-1215_NMI FY05 Budget _MFG_Reply_Suumary_v5 FY11 Budget Sim summary_Sample Format_Ａ&amp;O Consolidation Format_FCST3+9_v3" xfId="6211" xr:uid="{9445B851-CE55-4330-992A-689057DA68B3}"/>
    <cellStyle name="_xf05年工厂?益?算表格3-1215_NMI FY05 Budget _MFG_Reply_Suumary_v5 FY11 Budget Sim summary_Sample Format_A&amp;O Format" xfId="6212" xr:uid="{E6E50EBF-A4FB-4A82-8EF2-A6467C8F452B}"/>
    <cellStyle name="_xf05年工厂?益?算表格3-1215_NMI FY05 Budget _MFG_Reply_Suumary_v5 FY11 Budget Sim summary_Sample Format_A&amp;O Format_FCST3+9" xfId="6213" xr:uid="{4DF03C07-BA69-4862-83F9-028D692FF697}"/>
    <cellStyle name="_xf05年工厂?益?算表格3-1215_NMI FY05 Budget _MFG_Reply_Suumary_v5 FY11 Budget Sim summary_Sample Format_A&amp;O Format_FCST3+9_v1" xfId="6214" xr:uid="{A837BF07-870C-4DD7-97A4-B21E2157B10F}"/>
    <cellStyle name="_xf05年工厂?益?算表格3-1215_NMI FY05 Budget _MFG_Reply_Suumary_コピー【Master】 FY12 Simula tion Excel PKG for Auto" xfId="6215" xr:uid="{94F4E81D-0D9A-4C0E-AF6E-81760A418663}"/>
    <cellStyle name="_xf05年工厂?益?算表格3-1215_NMI FY05 Budget _MFG_Reply_Suumary_これマスター　FCF_FY12 Simulation Excel PKG for Auto" xfId="6216" xr:uid="{DADC3363-6AB9-4D04-8E3B-7FFC9F73F995}"/>
    <cellStyle name="_xf05年工厂?益?算表格3-1215_NMI FY05 Budget _v1 FY11 Budget Sim summary" xfId="6217" xr:uid="{1D48BD9E-0C31-4ACE-8810-9B6C62C9790D}"/>
    <cellStyle name="_xf05年工厂?益?算表格3-1215_NMI FY05 Budget _v1 FY11 Budget Sim summary_FY12 Budget Final OC-China" xfId="6218" xr:uid="{34CB2C4E-66D1-4C9A-AB62-8C9F77599C1F}"/>
    <cellStyle name="_xf05年工厂?益?算表格3-1215_NMI FY05 Budget _v1 FY11 Budget Sim summary_Sample Format" xfId="6219" xr:uid="{D58AF057-75BD-4012-9A0A-550F045AC0DF}"/>
    <cellStyle name="_xf05年工厂?益?算表格3-1215_NMI FY05 Budget _v1 FY11 Budget Sim summary_Sample Format_Ａ&amp;O Consolidation Format_FCST3+9_v3" xfId="6220" xr:uid="{2EDB5791-9ABB-4BD9-86A6-AC449A7896D3}"/>
    <cellStyle name="_xf05年工厂?益?算表格3-1215_NMI FY05 Budget _v1 FY11 Budget Sim summary_Sample Format_A&amp;O Format" xfId="6221" xr:uid="{1FFC615B-0EA4-48B5-81FA-A3AC7D50E40C}"/>
    <cellStyle name="_xf05年工厂?益?算表格3-1215_NMI FY05 Budget _v1 FY11 Budget Sim summary_Sample Format_A&amp;O Format_FCST3+9" xfId="6222" xr:uid="{E1931C3C-D4F6-4543-9442-BB3312A0BD3A}"/>
    <cellStyle name="_xf05年工厂?益?算表格3-1215_NMI FY05 Budget _v1 FY11 Budget Sim summary_Sample Format_A&amp;O Format_FCST3+9_v1" xfId="6223" xr:uid="{D1FBE0A2-2D7A-4810-9E18-4D64153421E7}"/>
    <cellStyle name="_xf05年工厂?益?算表格3-1215_NMI FY05 Budget _v2 CHAO #2 Forecast Summary" xfId="6224" xr:uid="{D1A5E238-14C7-46AF-B3A5-095E599028D3}"/>
    <cellStyle name="_xf05年工厂?益?算表格3-1215_NMI FY05 Budget _v2 CHAO #2 Forecast Summary_FY12 Budget Final OC-China" xfId="6225" xr:uid="{91E5698E-CCA0-4BE8-86A9-A0113B978ED9}"/>
    <cellStyle name="_xf05年工厂?益?算表格3-1215_NMI FY05 Budget _v2 CHAO #2 Forecast Summary_Sample Format" xfId="6226" xr:uid="{58BD434E-99D9-4B94-B305-3E03A0CA53AF}"/>
    <cellStyle name="_xf05年工厂?益?算表格3-1215_NMI FY05 Budget _v2 CHAO #2 Forecast Summary_Sample Format_Ａ&amp;O Consolidation Format_FCST3+9_v3" xfId="6227" xr:uid="{A17A8DC3-2D0F-485A-B1CB-A6E8D611E1AB}"/>
    <cellStyle name="_xf05年工厂?益?算表格3-1215_NMI FY05 Budget _v2 CHAO #2 Forecast Summary_Sample Format_A&amp;O Format" xfId="6228" xr:uid="{E86EC4E7-D758-4D34-8CAC-0A33E409363B}"/>
    <cellStyle name="_xf05年工厂?益?算表格3-1215_NMI FY05 Budget _v2 CHAO #2 Forecast Summary_Sample Format_A&amp;O Format_FCST3+9" xfId="6229" xr:uid="{6E7AA2B4-E520-4E04-A4E4-9DF997E698A2}"/>
    <cellStyle name="_xf05年工厂?益?算表格3-1215_NMI FY05 Budget _v2 CHAO #2 Forecast Summary_Sample Format_A&amp;O Format_FCST3+9_v1" xfId="6230" xr:uid="{72E31031-0DE6-4EDB-81B6-5559DF16BD2E}"/>
    <cellStyle name="_xf05年工厂?益?算表格3-1215_NMI FY05 Budget _v2 FY10 FC#2_OP_Variance" xfId="6231" xr:uid="{A1E66E27-D713-4156-8EF6-16FA0DB3B2EB}"/>
    <cellStyle name="_xf05年工厂?益?算表格3-1215_NMI FY05 Budget _v2 FY10 FC#2_OP_Variance_FY12 Budget Final OC-China" xfId="6232" xr:uid="{B77B109C-E330-4247-95D0-C0DD660203B1}"/>
    <cellStyle name="_xf05年工厂?益?算表格3-1215_NMI FY05 Budget _v2 FY10 FC#2_OP_Variance_Sample Format" xfId="6233" xr:uid="{3939BB3A-9C27-4086-9CF5-4AC96397E353}"/>
    <cellStyle name="_xf05年工厂?益?算表格3-1215_NMI FY05 Budget _v2 FY10 FC#2_OP_Variance_Sample Format_Ａ&amp;O Consolidation Format_FCST3+9_v3" xfId="6234" xr:uid="{4E59E26C-01E7-4F38-AA16-8743DF698BB4}"/>
    <cellStyle name="_xf05年工厂?益?算表格3-1215_NMI FY05 Budget _v2 FY10 FC#2_OP_Variance_Sample Format_A&amp;O Format" xfId="6235" xr:uid="{DED5A5C1-969D-4547-8F3B-F666A777F9A7}"/>
    <cellStyle name="_xf05年工厂?益?算表格3-1215_NMI FY05 Budget _v2 FY10 FC#2_OP_Variance_Sample Format_A&amp;O Format_FCST3+9" xfId="6236" xr:uid="{F5CF737F-6717-4ABD-8521-26676059E4B6}"/>
    <cellStyle name="_xf05年工厂?益?算表格3-1215_NMI FY05 Budget _v2 FY10 FC#2_OP_Variance_Sample Format_A&amp;O Format_FCST3+9_v1" xfId="6237" xr:uid="{5BCE51E6-1F74-4AE2-8EF4-73A6A4F8075B}"/>
    <cellStyle name="_xf05年工厂?益?算表格3-1215_NMI FY05 Budget _v5 FY11 Budget Sim summary" xfId="6238" xr:uid="{3B5F765A-66B1-4542-A62F-F4336330B464}"/>
    <cellStyle name="_xf05年工厂?益?算表格3-1215_NMI FY05 Budget _v5 FY11 Budget Sim summary_FY12 Budget Final OC-China" xfId="6239" xr:uid="{EAEC9FC1-D413-4C9C-AB0F-5217012CAFB8}"/>
    <cellStyle name="_xf05年工厂?益?算表格3-1215_NMI FY05 Budget _v5 FY11 Budget Sim summary_Sample Format" xfId="6240" xr:uid="{313EEEC9-DDB0-4180-B397-DBBE2E98A1D4}"/>
    <cellStyle name="_xf05年工厂?益?算表格3-1215_NMI FY05 Budget _v5 FY11 Budget Sim summary_Sample Format_Ａ&amp;O Consolidation Format_FCST3+9_v3" xfId="6241" xr:uid="{EE6DFC30-6775-44E9-BB5F-81B63C14744D}"/>
    <cellStyle name="_xf05年工厂?益?算表格3-1215_NMI FY05 Budget _v5 FY11 Budget Sim summary_Sample Format_A&amp;O Format" xfId="6242" xr:uid="{2348E46F-6CCC-4158-888B-13494DA4F98A}"/>
    <cellStyle name="_xf05年工厂?益?算表格3-1215_NMI FY05 Budget _v5 FY11 Budget Sim summary_Sample Format_A&amp;O Format_FCST3+9" xfId="6243" xr:uid="{EBB28718-ABA5-476F-8E2D-2CDAE884D609}"/>
    <cellStyle name="_xf05年工厂?益?算表格3-1215_NMI FY05 Budget _v5 FY11 Budget Sim summary_Sample Format_A&amp;O Format_FCST3+9_v1" xfId="6244" xr:uid="{2BBB3984-BBF0-4CA3-B188-B7F96EFC996B}"/>
    <cellStyle name="_xf05年工厂?益?算表格3-1215_NMI FY05 Budget _コピー【Master】 FY12 Simula tion Excel PKG for Auto" xfId="6245" xr:uid="{D05D305A-DC2C-41F6-AA51-1D57B4F5AAE6}"/>
    <cellStyle name="_xf05年工厂?益?算表格3-1215_NMI FY05 Budget _これマスター　FCF_FY12 Simulation Excel PKG for Auto" xfId="6246" xr:uid="{B5369603-484D-4C16-A032-BB075C3DA795}"/>
    <cellStyle name="_xf05年工厂?益?算表格3-1215_v1 FY11 Budget Sim summary" xfId="6247" xr:uid="{C87F6D09-F44B-477C-9F00-D497ED26AA33}"/>
    <cellStyle name="_xf05年工厂?益?算表格3-1215_v1 FY11 Budget Sim summary_FY12 Budget Final OC-China" xfId="6248" xr:uid="{678CA29B-D087-4407-978B-3B72DDCD044C}"/>
    <cellStyle name="_xf05年工厂?益?算表格3-1215_v1 FY11 Budget Sim summary_Sample Format" xfId="6249" xr:uid="{2CFD4280-C211-4D6B-8F6B-A41A001460C2}"/>
    <cellStyle name="_xf05年工厂?益?算表格3-1215_v1 FY11 Budget Sim summary_Sample Format_Ａ&amp;O Consolidation Format_FCST3+9_v3" xfId="6250" xr:uid="{DFC68B13-5DBE-4B1B-AFFD-2B7AE697736C}"/>
    <cellStyle name="_xf05年工厂?益?算表格3-1215_v1 FY11 Budget Sim summary_Sample Format_A&amp;O Format" xfId="6251" xr:uid="{EA257FDB-032A-4F6D-B139-8460407DD75F}"/>
    <cellStyle name="_xf05年工厂?益?算表格3-1215_v1 FY11 Budget Sim summary_Sample Format_A&amp;O Format_FCST3+9" xfId="6252" xr:uid="{E0A98507-ECE9-4658-8565-60BE419A537A}"/>
    <cellStyle name="_xf05年工厂?益?算表格3-1215_v1 FY11 Budget Sim summary_Sample Format_A&amp;O Format_FCST3+9_v1" xfId="6253" xr:uid="{F822B55E-C1F2-4559-B357-09353382CF43}"/>
    <cellStyle name="_xf05年工厂?益?算表格3-1215_v2 CHAO #2 Forecast Summary" xfId="6254" xr:uid="{0C123AF5-AAA0-471C-A421-A86A42DF806D}"/>
    <cellStyle name="_xf05年工厂?益?算表格3-1215_v2 CHAO #2 Forecast Summary_FY12 Budget Final OC-China" xfId="6255" xr:uid="{C26927DC-5841-4F22-AA0E-77E7F3E6652F}"/>
    <cellStyle name="_xf05年工厂?益?算表格3-1215_v2 CHAO #2 Forecast Summary_Sample Format" xfId="6256" xr:uid="{104C6662-8BB4-4C0D-8F97-B63FEB9BB054}"/>
    <cellStyle name="_xf05年工厂?益?算表格3-1215_v2 CHAO #2 Forecast Summary_Sample Format_Ａ&amp;O Consolidation Format_FCST3+9_v3" xfId="6257" xr:uid="{D8E079D6-BF62-4A3B-9929-79D1F1A8AFE4}"/>
    <cellStyle name="_xf05年工厂?益?算表格3-1215_v2 CHAO #2 Forecast Summary_Sample Format_A&amp;O Format" xfId="6258" xr:uid="{1456BC5F-5E86-49FC-9563-33462027CDB4}"/>
    <cellStyle name="_xf05年工厂?益?算表格3-1215_v2 CHAO #2 Forecast Summary_Sample Format_A&amp;O Format_FCST3+9" xfId="6259" xr:uid="{4EC33D08-B93E-4B43-9AEC-BAC9722D0932}"/>
    <cellStyle name="_xf05年工厂?益?算表格3-1215_v2 CHAO #2 Forecast Summary_Sample Format_A&amp;O Format_FCST3+9_v1" xfId="6260" xr:uid="{2EA11748-C200-4918-B67D-6E590D8397CE}"/>
    <cellStyle name="_xf05年工厂?益?算表格3-1215_v2 FY10 FC#2_OP_Variance" xfId="6261" xr:uid="{BF8E731B-50FD-4DE4-B43C-626B7CB3B9F9}"/>
    <cellStyle name="_xf05年工厂?益?算表格3-1215_v2 FY10 FC#2_OP_Variance_FY12 Budget Final OC-China" xfId="6262" xr:uid="{14D61B0D-DD50-4C84-93F1-ACB4704A32FC}"/>
    <cellStyle name="_xf05年工厂?益?算表格3-1215_v2 FY10 FC#2_OP_Variance_Sample Format" xfId="6263" xr:uid="{D66161D3-03D8-428C-AF4F-71884BFEBC23}"/>
    <cellStyle name="_xf05年工厂?益?算表格3-1215_v2 FY10 FC#2_OP_Variance_Sample Format_Ａ&amp;O Consolidation Format_FCST3+9_v3" xfId="6264" xr:uid="{48CC6A36-A292-4068-BF01-E8FEBC94E03D}"/>
    <cellStyle name="_xf05年工厂?益?算表格3-1215_v2 FY10 FC#2_OP_Variance_Sample Format_A&amp;O Format" xfId="6265" xr:uid="{E51BACFA-4BBD-4FB0-B892-6D52B5549B0D}"/>
    <cellStyle name="_xf05年工厂?益?算表格3-1215_v2 FY10 FC#2_OP_Variance_Sample Format_A&amp;O Format_FCST3+9" xfId="6266" xr:uid="{46E6D0E2-8B8F-4DD7-8D4A-C060048146AE}"/>
    <cellStyle name="_xf05年工厂?益?算表格3-1215_v2 FY10 FC#2_OP_Variance_Sample Format_A&amp;O Format_FCST3+9_v1" xfId="6267" xr:uid="{4AD5DA18-0AA4-4520-8C3A-5470A0345C7C}"/>
    <cellStyle name="_xf05年工厂?益?算表格3-1215_v5 FY11 Budget Sim summary" xfId="6268" xr:uid="{76078F22-17AE-42D7-9483-CF18BDD729FA}"/>
    <cellStyle name="_xf05年工厂?益?算表格3-1215_v5 FY11 Budget Sim summary_FY12 Budget Final OC-China" xfId="6269" xr:uid="{4FAD1500-267A-4D43-85C7-129B217DBAF4}"/>
    <cellStyle name="_xf05年工厂?益?算表格3-1215_v5 FY11 Budget Sim summary_Sample Format" xfId="6270" xr:uid="{771DD9DE-A215-42AF-A3CA-D83C5D283014}"/>
    <cellStyle name="_xf05年工厂?益?算表格3-1215_v5 FY11 Budget Sim summary_Sample Format_Ａ&amp;O Consolidation Format_FCST3+9_v3" xfId="6271" xr:uid="{3D1543A0-80DD-42DC-93C6-587CDC1381D9}"/>
    <cellStyle name="_xf05年工厂?益?算表格3-1215_v5 FY11 Budget Sim summary_Sample Format_A&amp;O Format" xfId="6272" xr:uid="{1E65AB9C-91F4-4273-BE37-5339D97B261B}"/>
    <cellStyle name="_xf05年工厂?益?算表格3-1215_v5 FY11 Budget Sim summary_Sample Format_A&amp;O Format_FCST3+9" xfId="6273" xr:uid="{2A453704-8DF1-430C-8CC9-8F17DAF9FBC0}"/>
    <cellStyle name="_xf05年工厂?益?算表格3-1215_v5 FY11 Budget Sim summary_Sample Format_A&amp;O Format_FCST3+9_v1" xfId="6274" xr:uid="{8313CFFB-9D57-497B-A9BB-F19D8A78489E}"/>
    <cellStyle name="_xf05年工厂?益?算表格3-1215_コピー【Master】 FY12 Simula tion Excel PKG for Auto" xfId="6275" xr:uid="{4376E4E0-AF81-4984-93B3-1FD4361D0A39}"/>
    <cellStyle name="_xf05年工厂?益?算表格3-1215_これマスター　FCF_FY12 Simulation Excel PKG for Auto" xfId="6276" xr:uid="{758B05D5-736E-472C-8C5F-6B0B463D9257}"/>
    <cellStyle name="_xf05年工厂损益预算表格3-1215" xfId="6277" xr:uid="{C9725978-2113-4834-B2C6-266D239B6DC0}"/>
    <cellStyle name="_xf05年工厂损益预算表格3-1215 2" xfId="6278" xr:uid="{6E19AE4A-1770-4D49-9ABC-D2BC12C96543}"/>
    <cellStyle name="_xf05年工厂损益预算表格3-1215 3" xfId="6279" xr:uid="{5274030E-720B-41DF-920C-D4EE45F63157}"/>
    <cellStyle name="_xf05年工厂损益预算表格3-1215_#1 Forecast Summary" xfId="6280" xr:uid="{17017B33-6FB7-4AF8-8166-F0590CCFD7F0}"/>
    <cellStyle name="_xf05年工厂损益预算表格3-1215_#1 Forecast Summary_FY12 Budget Final OC-China" xfId="6281" xr:uid="{9AC66B5D-A13C-464E-BD34-174D181B180B}"/>
    <cellStyle name="_xf05年工厂损益预算表格3-1215_#1 Forecast Summary_Sample Format" xfId="6282" xr:uid="{AECBA20F-EABD-40DF-975C-E7E6FE81E95C}"/>
    <cellStyle name="_xf05年工厂损益预算表格3-1215_#1 Forecast Summary_Sample Format_Ａ&amp;O Consolidation Format_FCST3+9_v3" xfId="6283" xr:uid="{AC9B178E-EA6C-46F9-A91A-8506DF2D2CA7}"/>
    <cellStyle name="_xf05年工厂损益预算表格3-1215_#1 Forecast Summary_Sample Format_A&amp;O Format" xfId="6284" xr:uid="{90525A8B-1530-40EA-BC4D-A1D78166FD4C}"/>
    <cellStyle name="_xf05年工厂损益预算表格3-1215_#1 Forecast Summary_Sample Format_A&amp;O Format_FCST3+9" xfId="6285" xr:uid="{90809B4F-6BD8-467E-BEB2-642B448D2D6A}"/>
    <cellStyle name="_xf05年工厂损益预算表格3-1215_#1 Forecast Summary_Sample Format_A&amp;O Format_FCST3+9_v1" xfId="6286" xr:uid="{9DC43F74-11BE-4139-B160-8A2D3A216A0A}"/>
    <cellStyle name="_xf05年工厂损益预算表格3-1215_%e5%a4%8d%e4%bb%b6+(2)+06BP%e4%ba%ba%e5%b7%a520060615%3f6%e5%b9%b4%e9%a2%84%e7%ae%97%e7%89%88%3fxls" xfId="6287" xr:uid="{B720B3C0-EDB3-417F-ABC7-90D0C4CE8D54}"/>
    <cellStyle name="_xf05年工厂损益预算表格3-1215_(CHAO) FY10 Forecast#1 Regional Comment" xfId="6288" xr:uid="{7CF00B70-B74D-4532-A0CA-43EA72355EC3}"/>
    <cellStyle name="_xf05年工厂损益预算表格3-1215_(CHAO) FY10 Forecast#1 Regional Comment_FY12 Budget Final OC-China" xfId="6289" xr:uid="{4C25A9D0-F38F-42B6-9720-5909F5F639FE}"/>
    <cellStyle name="_xf05年工厂损益预算表格3-1215_(CHAO) FY10 Forecast#1 Regional Comment_Sample Format" xfId="6290" xr:uid="{C223A068-8AB3-4E6B-A1BA-4B0AE0674474}"/>
    <cellStyle name="_xf05年工厂损益预算表格3-1215_(CHAO) FY10 Forecast#1 Regional Comment_Sample Format_Ａ&amp;O Consolidation Format_FCST3+9_v3" xfId="6291" xr:uid="{0B3D9FD9-21A4-442D-B89F-6A0262A79966}"/>
    <cellStyle name="_xf05年工厂损益预算表格3-1215_(CHAO) FY10 Forecast#1 Regional Comment_Sample Format_A&amp;O Format" xfId="6292" xr:uid="{F88DF168-F72A-43E7-9D55-6636E815A908}"/>
    <cellStyle name="_xf05年工厂损益预算表格3-1215_(CHAO) FY10 Forecast#1 Regional Comment_Sample Format_A&amp;O Format_FCST3+9" xfId="6293" xr:uid="{D4840A7F-36AA-4F81-B395-11E1B872CF1D}"/>
    <cellStyle name="_xf05年工厂损益预算表格3-1215_(CHAO) FY10 Forecast#1 Regional Comment_Sample Format_A&amp;O Format_FCST3+9_v1" xfId="6294" xr:uid="{CB57DBAE-C3DE-4E96-BC66-C5C61EDD093B}"/>
    <cellStyle name="_xf05年工厂损益预算表格3-1215_【0207】BP_reply_Outside profit_Price List_R" xfId="6295" xr:uid="{B785CEBF-467F-4739-8DF7-0B50DC18AC41}"/>
    <cellStyle name="_xf05年工厂损益预算表格3-1215_【9.1 Updated】EC Master of FY10 profit simulation" xfId="6296" xr:uid="{43ED0295-F04D-474A-B0AB-E4841EE58B09}"/>
    <cellStyle name="_xf05年工厂损益预算表格3-1215_【9.1 Updated】EC Master of FY10 profit simulation_#1 Forecast Summary" xfId="6297" xr:uid="{44F86EA8-8A65-49A1-9203-A4332F7E79EA}"/>
    <cellStyle name="_xf05年工厂损益预算表格3-1215_【9.1 Updated】EC Master of FY10 profit simulation_#1 Forecast Summary_FY12 Budget Final OC-China" xfId="6298" xr:uid="{EA14F866-76CC-4356-92A3-FDF97D8451FB}"/>
    <cellStyle name="_xf05年工厂损益预算表格3-1215_【9.1 Updated】EC Master of FY10 profit simulation_#1 Forecast Summary_Sample Format" xfId="6299" xr:uid="{EE86C704-CDA3-4F63-8B14-F8FDCD1527AA}"/>
    <cellStyle name="_xf05年工厂损益预算表格3-1215_【9.1 Updated】EC Master of FY10 profit simulation_#1 Forecast Summary_Sample Format_Ａ&amp;O Consolidation Format_FCST3+9_v3" xfId="6300" xr:uid="{033EEA1A-A6E6-4BD7-83D6-434FF852B43A}"/>
    <cellStyle name="_xf05年工厂损益预算表格3-1215_【9.1 Updated】EC Master of FY10 profit simulation_#1 Forecast Summary_Sample Format_A&amp;O Format" xfId="6301" xr:uid="{671970DD-9871-48C4-81D4-1E248DFA2B03}"/>
    <cellStyle name="_xf05年工厂损益预算表格3-1215_【9.1 Updated】EC Master of FY10 profit simulation_#1 Forecast Summary_Sample Format_A&amp;O Format_FCST3+9" xfId="6302" xr:uid="{8F3CD67C-5089-4B67-A6D8-E41A679AB436}"/>
    <cellStyle name="_xf05年工厂损益预算表格3-1215_【9.1 Updated】EC Master of FY10 profit simulation_#1 Forecast Summary_Sample Format_A&amp;O Format_FCST3+9_v1" xfId="6303" xr:uid="{A29B9BB7-5C2E-4117-8F51-C45D58B63BEF}"/>
    <cellStyle name="_xf05年工厂损益预算表格3-1215_【9.1 Updated】EC Master of FY10 profit simulation_(CHAO) FY10 Forecast#1 Regional Comment" xfId="6304" xr:uid="{A52682B4-9BC5-4D11-8638-136B8C2C97E4}"/>
    <cellStyle name="_xf05年工厂损益预算表格3-1215_【9.1 Updated】EC Master of FY10 profit simulation_(CHAO) FY10 Forecast#1 Regional Comment_FY12 Budget Final OC-China" xfId="6305" xr:uid="{A60631F2-F9F1-4811-A44A-1676FAA213A9}"/>
    <cellStyle name="_xf05年工厂损益预算表格3-1215_【9.1 Updated】EC Master of FY10 profit simulation_(CHAO) FY10 Forecast#1 Regional Comment_Sample Format" xfId="6306" xr:uid="{6D954154-F1EE-4229-AA82-E239D7B65CEE}"/>
    <cellStyle name="_xf05年工厂损益预算表格3-1215_【9.1 Updated】EC Master of FY10 profit simulation_(CHAO) FY10 Forecast#1 Regional Comment_Sample Format_Ａ&amp;O Consolidation Format_FCST3+9_v3" xfId="6307" xr:uid="{1EC583E7-F79A-4964-8DD9-32D7FC88A96D}"/>
    <cellStyle name="_xf05年工厂损益预算表格3-1215_【9.1 Updated】EC Master of FY10 profit simulation_(CHAO) FY10 Forecast#1 Regional Comment_Sample Format_A&amp;O Format" xfId="6308" xr:uid="{D6D7173A-98D4-4CEA-8E0D-AAD0B6E5BC6F}"/>
    <cellStyle name="_xf05年工厂损益预算表格3-1215_【9.1 Updated】EC Master of FY10 profit simulation_(CHAO) FY10 Forecast#1 Regional Comment_Sample Format_A&amp;O Format_FCST3+9" xfId="6309" xr:uid="{8F899C91-D6AB-4203-9C2B-250F20A89952}"/>
    <cellStyle name="_xf05年工厂损益预算表格3-1215_【9.1 Updated】EC Master of FY10 profit simulation_(CHAO) FY10 Forecast#1 Regional Comment_Sample Format_A&amp;O Format_FCST3+9_v1" xfId="6310" xr:uid="{13633010-AE0F-407C-A2F8-CA417C48AD41}"/>
    <cellStyle name="_xf05年工厂损益预算表格3-1215_【9.1 Updated】EC Master of FY10 profit simulation_【Master】 FY12 Simulation Excel PKG for Auto" xfId="6311" xr:uid="{A824B97D-A731-4361-AFC6-9B3D8044DD49}"/>
    <cellStyle name="_xf05年工厂损益预算表格3-1215_【9.1 Updated】EC Master of FY10 profit simulation_【Master】 FY12 Simulation Excel PKG for Auto (2)" xfId="6312" xr:uid="{A136E307-AE5F-46A9-8C29-BC3A2D0DC00F}"/>
    <cellStyle name="_xf05年工厂损益预算表格3-1215_【9.1 Updated】EC Master of FY10 profit simulation_【Master】 FY12 Simulation Excel PKG for Auto_sugii" xfId="6313" xr:uid="{E50601E3-7D94-4C75-BC2B-CF27627C38E3}"/>
    <cellStyle name="_xf05年工厂损益预算表格3-1215_【9.1 Updated】EC Master of FY10 profit simulation_【Master】 FY12 Simulation Excel PKG for Auto_sugii (2)" xfId="6314" xr:uid="{FF032F0F-B071-45FE-81AC-19212F186846}"/>
    <cellStyle name="_xf05年工厂损益预算表格3-1215_【9.1 Updated】EC Master of FY10 profit simulation_【Shibayama】 FY12 Simulation Excel PKG for Auto" xfId="6315" xr:uid="{B44AEBB4-C99B-4FAC-9623-CCCF88298577}"/>
    <cellStyle name="_xf05年工厂损益预算表格3-1215_【9.1 Updated】EC Master of FY10 profit simulation_Ａ&amp;O Consolidation Format_FCST3+9_v3" xfId="6316" xr:uid="{72A934EB-A696-40FE-A0A6-BCC40289A12A}"/>
    <cellStyle name="_xf05年工厂损益预算表格3-1215_【9.1 Updated】EC Master of FY10 profit simulation_A&amp;O Format" xfId="6317" xr:uid="{C1BA4AD1-73E2-41FC-A796-23EF591BCDBF}"/>
    <cellStyle name="_xf05年工厂损益预算表格3-1215_【9.1 Updated】EC Master of FY10 profit simulation_A&amp;O Format_FCST3+9" xfId="6318" xr:uid="{608EDEBA-C408-414C-95C7-3BDA97B18A4F}"/>
    <cellStyle name="_xf05年工厂损益预算表格3-1215_【9.1 Updated】EC Master of FY10 profit simulation_A&amp;O Format_FCST3+9_v1" xfId="6319" xr:uid="{EA8C36F5-B8D9-479D-BA3B-B66CCDD3154E}"/>
    <cellStyle name="_xf05年工厂损益预算表格3-1215_【9.1 Updated】EC Master of FY10 profit simulation_CHAO #2 Forecast Summary" xfId="6320" xr:uid="{3F265C22-9271-4E3D-901F-D70908946241}"/>
    <cellStyle name="_xf05年工厂损益预算表格3-1215_【9.1 Updated】EC Master of FY10 profit simulation_CHAO #2 Forecast Summary_FY12 Budget Final OC-China" xfId="6321" xr:uid="{7B1DACD5-7DE1-4255-ABEE-736733061AC6}"/>
    <cellStyle name="_xf05年工厂损益预算表格3-1215_【9.1 Updated】EC Master of FY10 profit simulation_CHAO #2 Forecast Summary_Sample Format" xfId="6322" xr:uid="{4FE7247A-520A-4978-A70F-6AEC59178792}"/>
    <cellStyle name="_xf05年工厂损益预算表格3-1215_【9.1 Updated】EC Master of FY10 profit simulation_CHAO #2 Forecast Summary_Sample Format_Ａ&amp;O Consolidation Format_FCST3+9_v3" xfId="6323" xr:uid="{A3EE8230-2411-4953-9CD2-DF92A686F689}"/>
    <cellStyle name="_xf05年工厂损益预算表格3-1215_【9.1 Updated】EC Master of FY10 profit simulation_CHAO #2 Forecast Summary_Sample Format_A&amp;O Format" xfId="6324" xr:uid="{3F7063A7-8744-4536-BD7F-C7A1A876AAB7}"/>
    <cellStyle name="_xf05年工厂损益预算表格3-1215_【9.1 Updated】EC Master of FY10 profit simulation_CHAO #2 Forecast Summary_Sample Format_A&amp;O Format_FCST3+9" xfId="6325" xr:uid="{298B17A4-FF34-4A46-9E1C-E8A9AACFC0DC}"/>
    <cellStyle name="_xf05年工厂损益预算表格3-1215_【9.1 Updated】EC Master of FY10 profit simulation_CHAO #2 Forecast Summary_Sample Format_A&amp;O Format_FCST3+9_v1" xfId="6326" xr:uid="{7E821DD6-8D75-44C6-854E-D05B369D1C2F}"/>
    <cellStyle name="_xf05年工厂损益预算表格3-1215_【9.1 Updated】EC Master of FY10 profit simulation_Correct FC#2 AO OP" xfId="6327" xr:uid="{9DCEC8B1-1D30-497B-934B-73C7BDA9ECE8}"/>
    <cellStyle name="_xf05年工厂损益预算表格3-1215_【9.1 Updated】EC Master of FY10 profit simulation_Correct FC#2 AO OP_FY12 Budget Final OC-China" xfId="6328" xr:uid="{F8ECF2E0-208F-432B-9247-0DA1ED9030D1}"/>
    <cellStyle name="_xf05年工厂损益预算表格3-1215_【9.1 Updated】EC Master of FY10 profit simulation_Correct FC#2 AO OP_Sample Format" xfId="6329" xr:uid="{F0AC23FE-D372-45B1-BEDD-7208C1BEE24A}"/>
    <cellStyle name="_xf05年工厂损益预算表格3-1215_【9.1 Updated】EC Master of FY10 profit simulation_Correct FC#2 AO OP_Sample Format_Ａ&amp;O Consolidation Format_FCST3+9_v3" xfId="6330" xr:uid="{A26D0582-8050-4EEF-A885-EE74F122CC1A}"/>
    <cellStyle name="_xf05年工厂损益预算表格3-1215_【9.1 Updated】EC Master of FY10 profit simulation_Correct FC#2 AO OP_Sample Format_A&amp;O Format" xfId="6331" xr:uid="{AEC8BF61-54F3-433D-AB30-911D205BCEDA}"/>
    <cellStyle name="_xf05年工厂损益预算表格3-1215_【9.1 Updated】EC Master of FY10 profit simulation_Correct FC#2 AO OP_Sample Format_A&amp;O Format_FCST3+9" xfId="6332" xr:uid="{D1ABD5E7-20C7-4FC7-B681-F7F473135FF5}"/>
    <cellStyle name="_xf05年工厂损益预算表格3-1215_【9.1 Updated】EC Master of FY10 profit simulation_Correct FC#2 AO OP_Sample Format_A&amp;O Format_FCST3+9_v1" xfId="6333" xr:uid="{2AACF194-00C0-42E8-9F68-71BF120FC16E}"/>
    <cellStyle name="_xf05年工厂损益预算表格3-1215_【9.1 Updated】EC Master of FY10 profit simulation_FY10 FC#2_OP_Variance" xfId="6334" xr:uid="{66ABFCBF-0C3D-4C15-A92A-9DD37B087E5D}"/>
    <cellStyle name="_xf05年工厂损益预算表格3-1215_【9.1 Updated】EC Master of FY10 profit simulation_FY10 FC#2_OP_Variance_FY12 Budget Final OC-China" xfId="6335" xr:uid="{A6EE3772-6A3A-4C4D-972D-E8F260E8C4D7}"/>
    <cellStyle name="_xf05年工厂损益预算表格3-1215_【9.1 Updated】EC Master of FY10 profit simulation_FY10 FC#2_OP_Variance_Sample Format" xfId="6336" xr:uid="{31E755A6-D302-4323-A9BD-C2556D2CAC7F}"/>
    <cellStyle name="_xf05年工厂损益预算表格3-1215_【9.1 Updated】EC Master of FY10 profit simulation_FY10 FC#2_OP_Variance_Sample Format_Ａ&amp;O Consolidation Format_FCST3+9_v3" xfId="6337" xr:uid="{8616F595-56E2-4978-87C0-45409B50C0B1}"/>
    <cellStyle name="_xf05年工厂损益预算表格3-1215_【9.1 Updated】EC Master of FY10 profit simulation_FY10 FC#2_OP_Variance_Sample Format_A&amp;O Format" xfId="6338" xr:uid="{50340191-B7E6-46A0-871F-6E9D47FE8232}"/>
    <cellStyle name="_xf05年工厂损益预算表格3-1215_【9.1 Updated】EC Master of FY10 profit simulation_FY10 FC#2_OP_Variance_Sample Format_A&amp;O Format_FCST3+9" xfId="6339" xr:uid="{02FBDA15-5FED-4BE2-A90E-A390A63F33C8}"/>
    <cellStyle name="_xf05年工厂损益预算表格3-1215_【9.1 Updated】EC Master of FY10 profit simulation_FY10 FC#2_OP_Variance_Sample Format_A&amp;O Format_FCST3+9_v1" xfId="6340" xr:uid="{B18C50B6-6DC2-42C8-A38D-676E9F6159E7}"/>
    <cellStyle name="_xf05年工厂损益预算表格3-1215_【9.1 Updated】EC Master of FY10 profit simulation_FY12 BP_Simulation information PKG_R" xfId="6341" xr:uid="{06236A4E-DC38-4C3F-BD70-BA22B428DA47}"/>
    <cellStyle name="_xf05年工厂损益预算表格3-1215_【9.1 Updated】EC Master of FY10 profit simulation_FY12 BP_Simulation information PKG_R（SGA）" xfId="6342" xr:uid="{DAD7498D-85EA-44A9-9C7E-184F44985150}"/>
    <cellStyle name="_xf05年工厂损益预算表格3-1215_【9.1 Updated】EC Master of FY10 profit simulation_v1 FY11 Budget Sim summary" xfId="6343" xr:uid="{33FED89A-ADFA-4660-80E1-77E9CA291648}"/>
    <cellStyle name="_xf05年工厂损益预算表格3-1215_【9.1 Updated】EC Master of FY10 profit simulation_v1 FY11 Budget Sim summary_FY12 Budget Final OC-China" xfId="6344" xr:uid="{2BFB873D-DFBE-46CE-9CCD-87529062AAEC}"/>
    <cellStyle name="_xf05年工厂损益预算表格3-1215_【9.1 Updated】EC Master of FY10 profit simulation_v1 FY11 Budget Sim summary_Sample Format" xfId="6345" xr:uid="{6DB8016A-F3A3-4658-8576-6C1D9358C05D}"/>
    <cellStyle name="_xf05年工厂损益预算表格3-1215_【9.1 Updated】EC Master of FY10 profit simulation_v1 FY11 Budget Sim summary_Sample Format_Ａ&amp;O Consolidation Format_FCST3+9_v3" xfId="6346" xr:uid="{C18A5C7C-10EE-4772-A915-4500465F99FE}"/>
    <cellStyle name="_xf05年工厂损益预算表格3-1215_【9.1 Updated】EC Master of FY10 profit simulation_v1 FY11 Budget Sim summary_Sample Format_A&amp;O Format" xfId="6347" xr:uid="{8B6928A1-8039-42CD-A3D7-49B0B0BC6CBA}"/>
    <cellStyle name="_xf05年工厂损益预算表格3-1215_【9.1 Updated】EC Master of FY10 profit simulation_v1 FY11 Budget Sim summary_Sample Format_A&amp;O Format_FCST3+9" xfId="6348" xr:uid="{FED0480E-B16C-4AD9-9D90-FBBEDAA6BDCD}"/>
    <cellStyle name="_xf05年工厂损益预算表格3-1215_【9.1 Updated】EC Master of FY10 profit simulation_v1 FY11 Budget Sim summary_Sample Format_A&amp;O Format_FCST3+9_v1" xfId="6349" xr:uid="{6BB88BC1-83B1-4589-8582-035F610C5868}"/>
    <cellStyle name="_xf05年工厂损益预算表格3-1215_【9.1 Updated】EC Master of FY10 profit simulation_v2 CHAO #2 Forecast Summary" xfId="6350" xr:uid="{BD1327A7-A25D-4C3C-85AB-A159EB3C85CF}"/>
    <cellStyle name="_xf05年工厂损益预算表格3-1215_【9.1 Updated】EC Master of FY10 profit simulation_v2 CHAO #2 Forecast Summary_FY12 Budget Final OC-China" xfId="6351" xr:uid="{0C5769B6-CD39-40A1-B19F-6D6F0092D03E}"/>
    <cellStyle name="_xf05年工厂损益预算表格3-1215_【9.1 Updated】EC Master of FY10 profit simulation_v2 CHAO #2 Forecast Summary_Sample Format" xfId="6352" xr:uid="{0037D706-7657-419D-9AF5-9256F837CFE1}"/>
    <cellStyle name="_xf05年工厂损益预算表格3-1215_【9.1 Updated】EC Master of FY10 profit simulation_v2 CHAO #2 Forecast Summary_Sample Format_Ａ&amp;O Consolidation Format_FCST3+9_v3" xfId="6353" xr:uid="{22EFF0D6-0945-4C84-B278-9DAFF4D341AE}"/>
    <cellStyle name="_xf05年工厂损益预算表格3-1215_【9.1 Updated】EC Master of FY10 profit simulation_v2 CHAO #2 Forecast Summary_Sample Format_A&amp;O Format" xfId="6354" xr:uid="{F1340958-2B61-4870-9A7B-7E059CBE2424}"/>
    <cellStyle name="_xf05年工厂损益预算表格3-1215_【9.1 Updated】EC Master of FY10 profit simulation_v2 CHAO #2 Forecast Summary_Sample Format_A&amp;O Format_FCST3+9" xfId="6355" xr:uid="{22583BC2-19DE-4DD6-B17D-47CBE17D9E7D}"/>
    <cellStyle name="_xf05年工厂损益预算表格3-1215_【9.1 Updated】EC Master of FY10 profit simulation_v2 CHAO #2 Forecast Summary_Sample Format_A&amp;O Format_FCST3+9_v1" xfId="6356" xr:uid="{36BD926D-C8CB-41D7-A736-3ADFF63E7020}"/>
    <cellStyle name="_xf05年工厂损益预算表格3-1215_【9.1 Updated】EC Master of FY10 profit simulation_v2 FY10 FC#2_OP_Variance" xfId="6357" xr:uid="{2C69DD59-FDF3-47CD-A07A-F291C1D88AF6}"/>
    <cellStyle name="_xf05年工厂损益预算表格3-1215_【9.1 Updated】EC Master of FY10 profit simulation_v2 FY10 FC#2_OP_Variance_FY12 Budget Final OC-China" xfId="6358" xr:uid="{B0B614BA-B13C-48AB-AE25-3626187282B0}"/>
    <cellStyle name="_xf05年工厂损益预算表格3-1215_【9.1 Updated】EC Master of FY10 profit simulation_v2 FY10 FC#2_OP_Variance_Sample Format" xfId="6359" xr:uid="{37900A22-63D2-4D51-B5A5-D2950B00E87A}"/>
    <cellStyle name="_xf05年工厂损益预算表格3-1215_【9.1 Updated】EC Master of FY10 profit simulation_v2 FY10 FC#2_OP_Variance_Sample Format_Ａ&amp;O Consolidation Format_FCST3+9_v3" xfId="6360" xr:uid="{6952A013-8C94-4DC4-A5EE-9AC5C797B298}"/>
    <cellStyle name="_xf05年工厂损益预算表格3-1215_【9.1 Updated】EC Master of FY10 profit simulation_v2 FY10 FC#2_OP_Variance_Sample Format_A&amp;O Format" xfId="6361" xr:uid="{02A08DEC-2235-4001-A066-C9C04055F847}"/>
    <cellStyle name="_xf05年工厂损益预算表格3-1215_【9.1 Updated】EC Master of FY10 profit simulation_v2 FY10 FC#2_OP_Variance_Sample Format_A&amp;O Format_FCST3+9" xfId="6362" xr:uid="{A02A5018-7A8F-4B91-8ED8-39CDDC007BE3}"/>
    <cellStyle name="_xf05年工厂损益预算表格3-1215_【9.1 Updated】EC Master of FY10 profit simulation_v2 FY10 FC#2_OP_Variance_Sample Format_A&amp;O Format_FCST3+9_v1" xfId="6363" xr:uid="{517FE33F-FE1F-4B75-A322-8123794E4796}"/>
    <cellStyle name="_xf05年工厂损益预算表格3-1215_【9.1 Updated】EC Master of FY10 profit simulation_v5 FY11 Budget Sim summary" xfId="6364" xr:uid="{3C107DA4-CCF0-446C-98BD-EF120B819625}"/>
    <cellStyle name="_xf05年工厂损益预算表格3-1215_【9.1 Updated】EC Master of FY10 profit simulation_v5 FY11 Budget Sim summary_FY12 Budget Final OC-China" xfId="6365" xr:uid="{E1A0CAA2-6B69-4D32-9A6E-0B29BB00E85A}"/>
    <cellStyle name="_xf05年工厂损益预算表格3-1215_【9.1 Updated】EC Master of FY10 profit simulation_v5 FY11 Budget Sim summary_Sample Format" xfId="6366" xr:uid="{9BF580F7-DCF8-43DF-BD29-0E5C8B34448D}"/>
    <cellStyle name="_xf05年工厂损益预算表格3-1215_【9.1 Updated】EC Master of FY10 profit simulation_v5 FY11 Budget Sim summary_Sample Format_Ａ&amp;O Consolidation Format_FCST3+9_v3" xfId="6367" xr:uid="{6D3F3E9D-5FA3-4440-899C-8891C1528A3F}"/>
    <cellStyle name="_xf05年工厂损益预算表格3-1215_【9.1 Updated】EC Master of FY10 profit simulation_v5 FY11 Budget Sim summary_Sample Format_A&amp;O Format" xfId="6368" xr:uid="{2A233D0D-33FF-45DC-B788-B125FF4658F3}"/>
    <cellStyle name="_xf05年工厂损益预算表格3-1215_【9.1 Updated】EC Master of FY10 profit simulation_v5 FY11 Budget Sim summary_Sample Format_A&amp;O Format_FCST3+9" xfId="6369" xr:uid="{894304E1-5F8A-4A77-A40C-711A418B2B2A}"/>
    <cellStyle name="_xf05年工厂损益预算表格3-1215_【9.1 Updated】EC Master of FY10 profit simulation_v5 FY11 Budget Sim summary_Sample Format_A&amp;O Format_FCST3+9_v1" xfId="6370" xr:uid="{6E0C1436-4DC4-425F-A4BA-842748A6F00D}"/>
    <cellStyle name="_xf05年工厂损益预算表格3-1215_【9.1 Updated】EC Master of FY10 profit simulation_コピー【Master】 FY12 Simula tion Excel PKG for Auto" xfId="6371" xr:uid="{4A50E0A6-9D9C-491B-B0B6-D8AE5C8D45B1}"/>
    <cellStyle name="_xf05年工厂损益预算表格3-1215_【9.1 Updated】EC Master of FY10 profit simulation_これマスター　FCF_FY12 Simulation Excel PKG for Auto" xfId="6372" xr:uid="{6A018612-7558-4A32-98A3-63DF5D440166}"/>
    <cellStyle name="_xf05年工厂损益预算表格3-1215_【Master】 FY12 Simulation Excel PKG for Auto" xfId="6373" xr:uid="{A8E13ED1-2CFA-473A-86F4-DC25729ACFA6}"/>
    <cellStyle name="_xf05年工厂损益预算表格3-1215_【Master】 FY12 Simulation Excel PKG for Auto (2)" xfId="6374" xr:uid="{714CE464-62BD-41C5-A3CE-FD91A3690D1D}"/>
    <cellStyle name="_xf05年工厂损益预算表格3-1215_【Master】 FY12 Simulation Excel PKG for Auto_sugii" xfId="6375" xr:uid="{648BC7FD-5270-45E8-A69B-9EE83A8FB623}"/>
    <cellStyle name="_xf05年工厂损益预算表格3-1215_【Master】 FY12 Simulation Excel PKG for Auto_sugii (2)" xfId="6376" xr:uid="{26BA7062-3329-4B27-AD51-A92C1819293F}"/>
    <cellStyle name="_xf05年工厂损益预算表格3-1215_【Shibayama】 FY12 Simulation Excel PKG for Auto" xfId="6377" xr:uid="{E600651E-F8D6-4C03-932F-BB4729C29931}"/>
    <cellStyle name="_xf05年工厂损益预算表格3-1215_05年中期计划.20" xfId="6378" xr:uid="{A54BE524-EA96-4B7E-B12A-0D3DF8CCC455}"/>
    <cellStyle name="_xf05年工厂损益预算表格3-1215_05年中期计划.20_销售部2007年人员计划" xfId="6379" xr:uid="{0AAB2998-E803-4C2F-AF6B-022FD93334A3}"/>
    <cellStyle name="_xf05年工厂损益预算表格3-1215_06BP SM Assumption060620（draft）" xfId="6380" xr:uid="{29FF1929-8EC7-4476-9262-1400D5444F24}"/>
    <cellStyle name="_xf05年工厂损益预算表格3-1215_06管理技术人员－2630（2536的基础上减10％）－5.31版（报交NPW版）" xfId="6381" xr:uid="{BD1FE512-B909-4309-88FD-BB034209A8B2}"/>
    <cellStyle name="_xf05年工厂损益预算表格3-1215_06管理技术人员－2630（2536的基础上减10％）－5.31版（报交NPW版）_销售部2007年人员计划" xfId="6382" xr:uid="{8D611D31-FE58-467A-A41C-4BC0AE74DB7C}"/>
    <cellStyle name="_xf05年工厂损益预算表格3-1215_07～10年中期人员预算（雷新宇20060615第一版）发杭国华" xfId="6383" xr:uid="{DCF30653-97AE-4A63-9BBD-33F0B8B96B92}"/>
    <cellStyle name="_xf05年工厂损益预算表格3-1215_070年人员预算-08(1).25" xfId="6384" xr:uid="{B2D55787-FD97-4557-A6E3-EC98526B7527}"/>
    <cellStyle name="_xf05年工厂损益预算表格3-1215_08 AD Budget10.18" xfId="6385" xr:uid="{670617DA-7231-4D29-ABC3-4CFFB8D2374D}"/>
    <cellStyle name="_xf05年工厂损益预算表格3-1215_08 budget 071015" xfId="6386" xr:uid="{85CDB48E-B5FA-4C1A-A58A-D633EB96AA1B}"/>
    <cellStyle name="_xf05年工厂损益预算表格3-1215_08 budget 071018" xfId="6387" xr:uid="{36ECE379-7992-4AA0-8909-C73CD8C4690A}"/>
    <cellStyle name="_xf05年工厂损益预算表格3-1215_0902見直し" xfId="6388" xr:uid="{3E959DCF-355E-469A-A066-CEC309D3F65C}"/>
    <cellStyle name="_xf05年工厂损益预算表格3-1215_09budget 081022" xfId="6389" xr:uid="{C34C80C0-4579-45C4-81EC-55FC7F724BCA}"/>
    <cellStyle name="_xf05年工厂损益预算表格3-1215_1" xfId="6390" xr:uid="{80D11961-BEB8-40BB-AB2C-F21A193F1CF1}"/>
    <cellStyle name="_xf05年工厂损益预算表格3-1215_1_08 budget 071018" xfId="6391" xr:uid="{CC1382CF-5566-4245-A686-C9414D2F1C3C}"/>
    <cellStyle name="_xf05年工厂损益预算表格3-1215_1_0902見直し" xfId="6392" xr:uid="{18C5F1B7-2B86-40A5-98BB-665DD0E88D2D}"/>
    <cellStyle name="_xf05年工厂损益预算表格3-1215_1_09budget 081022" xfId="6393" xr:uid="{17DBD857-7B1A-4BEE-AB2B-63EDD9A0AC06}"/>
    <cellStyle name="_xf05年工厂损益预算表格3-1215_1_2009_TDC_MonthlyActual" xfId="6394" xr:uid="{DAD51C69-1840-43A2-8E52-46571C47B7E5}"/>
    <cellStyle name="_xf05年工厂损益预算表格3-1215_1_2009年VME車種別(20100303)" xfId="6395" xr:uid="{79CBC848-A77F-48CF-8E29-A48EC46E6645}"/>
    <cellStyle name="_xf05年工厂损益预算表格3-1215_1_ＣＹ10予算見直し後(600K モデル別)" xfId="6396" xr:uid="{4E14D80E-56A7-4DD1-BDD3-6D84742BC522}"/>
    <cellStyle name="_xf05年工厂损益预算表格3-1215_1_J11J MC+Elongation(松）" xfId="6397" xr:uid="{5EF1A92D-A174-4E3C-BD7F-AB32DA5E0403}"/>
    <cellStyle name="_xf05年工厂损益预算表格3-1215_1_L11K MC TDC 090306 (2)" xfId="6398" xr:uid="{CFDBFEB6-71C5-4002-899F-5C8D101E75DF}"/>
    <cellStyle name="_xf05年工厂损益预算表格3-1215_1_L42F TDC KKJ SOP 2010 Dec (090929) with MC (2)" xfId="6399" xr:uid="{BAA744D8-AAA1-4C73-9F3B-DE2BAB191955}"/>
    <cellStyle name="_xf05年工厂损益预算表格3-1215_1_N11J MC+Elongation(松）" xfId="6400" xr:uid="{9401C7BE-5FF8-4220-8539-FA36DCC0D5A5}"/>
    <cellStyle name="_xf05年工厂损益预算表格3-1215_1_P32E MC TDC with MC (100206)" xfId="6401" xr:uid="{089DE90A-2BC0-437F-881B-218A9AB7405E}"/>
    <cellStyle name="_xf05年工厂损益预算表格3-1215_1_P32L LCP TDC Case3 (0900221)" xfId="6402" xr:uid="{2613C854-3B66-4982-B917-D6A845A67317}"/>
    <cellStyle name="_xf05年工厂损益预算表格3-1215_1_TDC SUMMARY SHEET for MTP (version 2.1 100526)" xfId="6403" xr:uid="{C02D228E-76F5-40B4-A307-221CD5920CCD}"/>
    <cellStyle name="_xf05年工厂损益预算表格3-1215_1_TDC SUMMARY SHEET for MTP (version 3.0 100526)" xfId="6404" xr:uid="{C2D6EA0D-16C1-45A7-A8EC-EDCEF1916060}"/>
    <cellStyle name="_xf05年工厂损益预算表格3-1215_1_Volume Assumption &amp; Current Models" xfId="6405" xr:uid="{3DDBC9CB-9EB4-491A-94B3-242C5E707C08}"/>
    <cellStyle name="_xf05年工厂损益预算表格3-1215_1_コピー ～ 2009年5＋7 售  (47万台）(090619) (予算Ｆｉｎａｌ＆Variable変更　補正版)" xfId="6406" xr:uid="{2B10EF06-74AE-4B79-96A3-403A376C7691}"/>
    <cellStyle name="_xf05年工厂损益预算表格3-1215_2009_TDC_MonthlyActual" xfId="6407" xr:uid="{B3EA8F7F-3F7F-4620-98D9-3F8F7500B63B}"/>
    <cellStyle name="_xf05年工厂损益预算表格3-1215_2009年VME車種別(20100303)" xfId="6408" xr:uid="{258D8DBC-4447-49ED-BE97-D2F5D2264DD6}"/>
    <cellStyle name="_xf05年工厂损益预算表格3-1215_Ａ&amp;O Consolidation Format_FCST3+9_v3" xfId="6409" xr:uid="{FC2ECC1E-940C-4AB0-AA27-9A7C7186691D}"/>
    <cellStyle name="_xf05年工厂损益预算表格3-1215_A&amp;O Format" xfId="6410" xr:uid="{FE4EFCD8-EC14-4EB8-8406-30F6D8DFD0C3}"/>
    <cellStyle name="_xf05年工厂损益预算表格3-1215_A&amp;O Format_FCST3+9" xfId="6411" xr:uid="{C0DD865A-BBE2-4589-83AB-8FDDE0A4A6E8}"/>
    <cellStyle name="_xf05年工厂损益预算表格3-1215_A&amp;O Format_FCST3+9_v1" xfId="6412" xr:uid="{91CB119F-2C11-4D48-88B2-2B58C98D861A}"/>
    <cellStyle name="_xf05年工厂损益预算表格3-1215_CHAO #2 Forecast Summary" xfId="6413" xr:uid="{16C918C1-FC69-4C72-99A0-BB14D80AC833}"/>
    <cellStyle name="_xf05年工厂损益预算表格3-1215_CHAO #2 Forecast Summary_FY12 Budget Final OC-China" xfId="6414" xr:uid="{9965051F-B944-4B4A-815E-CA3AEAFB6BC5}"/>
    <cellStyle name="_xf05年工厂损益预算表格3-1215_CHAO #2 Forecast Summary_Sample Format" xfId="6415" xr:uid="{1A6FACD5-22E6-4B7C-AE20-69F6C5F22BED}"/>
    <cellStyle name="_xf05年工厂损益预算表格3-1215_CHAO #2 Forecast Summary_Sample Format_Ａ&amp;O Consolidation Format_FCST3+9_v3" xfId="6416" xr:uid="{9937C776-AF39-4F8C-82F4-4EFCDF9DF0F1}"/>
    <cellStyle name="_xf05年工厂损益预算表格3-1215_CHAO #2 Forecast Summary_Sample Format_A&amp;O Format" xfId="6417" xr:uid="{0838051F-4559-4862-B89F-2DD8E402EF97}"/>
    <cellStyle name="_xf05年工厂损益预算表格3-1215_CHAO #2 Forecast Summary_Sample Format_A&amp;O Format_FCST3+9" xfId="6418" xr:uid="{AA3554CD-2C81-412C-8C58-7EA4E3AC95F4}"/>
    <cellStyle name="_xf05年工厂损益预算表格3-1215_CHAO #2 Forecast Summary_Sample Format_A&amp;O Format_FCST3+9_v1" xfId="6419" xr:uid="{B87CEBFC-C61F-4BFE-A975-1352911D1886}"/>
    <cellStyle name="_xf05年工厂损益预算表格3-1215_Correct FC#2 AO OP" xfId="6420" xr:uid="{F85DE40B-B601-4C1A-A351-B7E1C4882D53}"/>
    <cellStyle name="_xf05年工厂损益预算表格3-1215_Correct FC#2 AO OP_FY12 Budget Final OC-China" xfId="6421" xr:uid="{15949B80-78D6-4834-9091-4E7C7AE181BB}"/>
    <cellStyle name="_xf05年工厂损益预算表格3-1215_Correct FC#2 AO OP_Sample Format" xfId="6422" xr:uid="{22C6CEDF-0603-4F90-8300-0035E0E93D59}"/>
    <cellStyle name="_xf05年工厂损益预算表格3-1215_Correct FC#2 AO OP_Sample Format_Ａ&amp;O Consolidation Format_FCST3+9_v3" xfId="6423" xr:uid="{EC22E7F2-81C8-4D2E-AE73-4E0AC2937E2D}"/>
    <cellStyle name="_xf05年工厂损益预算表格3-1215_Correct FC#2 AO OP_Sample Format_A&amp;O Format" xfId="6424" xr:uid="{C6F8A5A6-A645-46E1-B708-4CF63CFC8C72}"/>
    <cellStyle name="_xf05年工厂损益预算表格3-1215_Correct FC#2 AO OP_Sample Format_A&amp;O Format_FCST3+9" xfId="6425" xr:uid="{410E1FCD-46F3-4566-8F10-F8196E68FD0E}"/>
    <cellStyle name="_xf05年工厂损益预算表格3-1215_Correct FC#2 AO OP_Sample Format_A&amp;O Format_FCST3+9_v1" xfId="6426" xr:uid="{3FDB129D-7868-46AF-BA8E-A8C94F18FA79}"/>
    <cellStyle name="_xf05年工厂损益预算表格3-1215_CY09 material risk compare-0615-16 LP" xfId="6427" xr:uid="{7B729347-1D00-4EAB-84EF-4E06D3924B41}"/>
    <cellStyle name="_xf05年工厂损益预算表格3-1215_CY09 material risk compare-0615-16 LP 2" xfId="6428" xr:uid="{B9BFCC53-6779-4E42-B3E7-5D8B8DCD7C78}"/>
    <cellStyle name="_xf05年工厂损益预算表格3-1215_CY09 material risk compare-0615-16 LP_FY13 Budget Simulation Excel PKG for Auto by company" xfId="6429" xr:uid="{7F871016-28AB-4F6F-874C-0B267A596773}"/>
    <cellStyle name="_xf05年工厂损益预算表格3-1215_ＣＹ10予算見直し後(600K モデル別)" xfId="6430" xr:uid="{1C77538A-5371-4714-ADA5-A2251D52BCE0}"/>
    <cellStyle name="_xf05年工厂损益预算表格3-1215_DFL FY05　Budget" xfId="6431" xr:uid="{CD68CA11-C9C7-447A-A2D8-9375FAAE92F7}"/>
    <cellStyle name="_xf05年工厂损益预算表格3-1215_DFL FY05　Budget_#1 Forecast Summary" xfId="6432" xr:uid="{28B68D17-BC16-48B4-8993-BD972D2EA6B5}"/>
    <cellStyle name="_xf05年工厂损益预算表格3-1215_DFL FY05　Budget_#1 Forecast Summary_FY12 Budget Final OC-China" xfId="6433" xr:uid="{E4F90390-EF64-4011-9837-AEA7FAE0A16E}"/>
    <cellStyle name="_xf05年工厂损益预算表格3-1215_DFL FY05　Budget_#1 Forecast Summary_Sample Format" xfId="6434" xr:uid="{643C0E4C-2CC2-4266-9090-42A0D6566929}"/>
    <cellStyle name="_xf05年工厂损益预算表格3-1215_DFL FY05　Budget_#1 Forecast Summary_Sample Format_Ａ&amp;O Consolidation Format_FCST3+9_v3" xfId="6435" xr:uid="{62B86491-8F7F-4814-97AA-6BC23A23E83B}"/>
    <cellStyle name="_xf05年工厂损益预算表格3-1215_DFL FY05　Budget_#1 Forecast Summary_Sample Format_A&amp;O Format" xfId="6436" xr:uid="{295A0C73-7EFA-47E2-8FC0-75795A2291AF}"/>
    <cellStyle name="_xf05年工厂损益预算表格3-1215_DFL FY05　Budget_#1 Forecast Summary_Sample Format_A&amp;O Format_FCST3+9" xfId="6437" xr:uid="{B0B4FDDF-BC1B-4964-B134-DB7B39DE89DB}"/>
    <cellStyle name="_xf05年工厂损益预算表格3-1215_DFL FY05　Budget_#1 Forecast Summary_Sample Format_A&amp;O Format_FCST3+9_v1" xfId="6438" xr:uid="{918C4DF3-FB1D-4BE2-B760-997EA3ED0CEB}"/>
    <cellStyle name="_xf05年工厂损益预算表格3-1215_DFL FY05　Budget_(CHAO) FY10 Forecast#1 Regional Comment" xfId="6439" xr:uid="{37E00F8D-594E-4957-9B89-13726A12EDEB}"/>
    <cellStyle name="_xf05年工厂损益预算表格3-1215_DFL FY05　Budget_(CHAO) FY10 Forecast#1 Regional Comment_FY12 Budget Final OC-China" xfId="6440" xr:uid="{9FD75473-E0F4-4302-AE83-EEE54F11A177}"/>
    <cellStyle name="_xf05年工厂损益预算表格3-1215_DFL FY05　Budget_(CHAO) FY10 Forecast#1 Regional Comment_Sample Format" xfId="6441" xr:uid="{610D2308-DDCE-4B53-A20C-D7F8F6395423}"/>
    <cellStyle name="_xf05年工厂损益预算表格3-1215_DFL FY05　Budget_(CHAO) FY10 Forecast#1 Regional Comment_Sample Format_Ａ&amp;O Consolidation Format_FCST3+9_v3" xfId="6442" xr:uid="{32A4B54C-8F15-4E62-93B9-02BA0EA90BF8}"/>
    <cellStyle name="_xf05年工厂损益预算表格3-1215_DFL FY05　Budget_(CHAO) FY10 Forecast#1 Regional Comment_Sample Format_A&amp;O Format" xfId="6443" xr:uid="{DA46879F-F912-4ACA-8253-F8B300E7B561}"/>
    <cellStyle name="_xf05年工厂损益预算表格3-1215_DFL FY05　Budget_(CHAO) FY10 Forecast#1 Regional Comment_Sample Format_A&amp;O Format_FCST3+9" xfId="6444" xr:uid="{6349E719-51AD-4038-A9D2-A440FECB0311}"/>
    <cellStyle name="_xf05年工厂损益预算表格3-1215_DFL FY05　Budget_(CHAO) FY10 Forecast#1 Regional Comment_Sample Format_A&amp;O Format_FCST3+9_v1" xfId="6445" xr:uid="{38E016EA-4078-4585-BEF2-BA1D631CD65E}"/>
    <cellStyle name="_xf05年工厂损益预算表格3-1215_DFL FY05　Budget_【9.1 Updated】EC Master of FY10 profit simulation" xfId="6446" xr:uid="{C638092F-06C5-4748-B217-BE7A348117DE}"/>
    <cellStyle name="_xf05年工厂损益预算表格3-1215_DFL FY05　Budget_【9.1 Updated】EC Master of FY10 profit simulation_#1 Forecast Summary" xfId="6447" xr:uid="{47B50258-EBDF-43F8-A623-0167A1F225C5}"/>
    <cellStyle name="_xf05年工厂损益预算表格3-1215_DFL FY05　Budget_【9.1 Updated】EC Master of FY10 profit simulation_#1 Forecast Summary_FY12 Budget Final OC-China" xfId="6448" xr:uid="{4D171A69-9958-4D47-9049-41AD6E15356E}"/>
    <cellStyle name="_xf05年工厂损益预算表格3-1215_DFL FY05　Budget_【9.1 Updated】EC Master of FY10 profit simulation_#1 Forecast Summary_Sample Format" xfId="6449" xr:uid="{CF93A30B-B008-45FD-93B9-709CCB306C83}"/>
    <cellStyle name="_xf05年工厂损益预算表格3-1215_DFL FY05　Budget_【9.1 Updated】EC Master of FY10 profit simulation_#1 Forecast Summary_Sample Format_Ａ&amp;O Consolidation Format_FCST3+9_v3" xfId="6450" xr:uid="{AFB2BAE8-59E1-4E99-A09C-03311B066E18}"/>
    <cellStyle name="_xf05年工厂损益预算表格3-1215_DFL FY05　Budget_【9.1 Updated】EC Master of FY10 profit simulation_#1 Forecast Summary_Sample Format_A&amp;O Format" xfId="6451" xr:uid="{6055C811-2EB6-431C-A24D-23D7F04B208C}"/>
    <cellStyle name="_xf05年工厂损益预算表格3-1215_DFL FY05　Budget_【9.1 Updated】EC Master of FY10 profit simulation_#1 Forecast Summary_Sample Format_A&amp;O Format_FCST3+9" xfId="6452" xr:uid="{69663612-56B6-4A8A-87CE-981922E4D654}"/>
    <cellStyle name="_xf05年工厂损益预算表格3-1215_DFL FY05　Budget_【9.1 Updated】EC Master of FY10 profit simulation_#1 Forecast Summary_Sample Format_A&amp;O Format_FCST3+9_v1" xfId="6453" xr:uid="{005A81D2-87DD-4EAA-ACE0-70266191942B}"/>
    <cellStyle name="_xf05年工厂损益预算表格3-1215_DFL FY05　Budget_【9.1 Updated】EC Master of FY10 profit simulation_(CHAO) FY10 Forecast#1 Regional Comment" xfId="6454" xr:uid="{31C52B5C-09D5-4B0D-8DF1-86054C9F7123}"/>
    <cellStyle name="_xf05年工厂损益预算表格3-1215_DFL FY05　Budget_【9.1 Updated】EC Master of FY10 profit simulation_(CHAO) FY10 Forecast#1 Regional Comment_FY12 Budget Final OC-China" xfId="6455" xr:uid="{533E2162-5FB1-4EF6-BFD2-5B3AE7F3D751}"/>
    <cellStyle name="_xf05年工厂损益预算表格3-1215_DFL FY05　Budget_【9.1 Updated】EC Master of FY10 profit simulation_(CHAO) FY10 Forecast#1 Regional Comment_Sample Format" xfId="6456" xr:uid="{9F1D2776-8BC8-4925-B8F1-E0C495207F7D}"/>
    <cellStyle name="_xf05年工厂损益预算表格3-1215_DFL FY05　Budget_【9.1 Updated】EC Master of FY10 profit simulation_(CHAO) FY10 Forecast#1 Regional Comment_Sample Format_Ａ&amp;O Consolidation Format_FCST3+9_v3" xfId="6457" xr:uid="{44E5EE52-E406-421B-909B-364DC227A629}"/>
    <cellStyle name="_xf05年工厂损益预算表格3-1215_DFL FY05　Budget_【9.1 Updated】EC Master of FY10 profit simulation_(CHAO) FY10 Forecast#1 Regional Comment_Sample Format_A&amp;O Format" xfId="6458" xr:uid="{1F0DA5DD-5C95-464D-AE1F-B169B3155826}"/>
    <cellStyle name="_xf05年工厂损益预算表格3-1215_DFL FY05　Budget_【9.1 Updated】EC Master of FY10 profit simulation_(CHAO) FY10 Forecast#1 Regional Comment_Sample Format_A&amp;O Format_FCST3+9" xfId="6459" xr:uid="{CE93D56B-74AB-4513-A90A-0BA33C99CACC}"/>
    <cellStyle name="_xf05年工厂损益预算表格3-1215_DFL FY05　Budget_【9.1 Updated】EC Master of FY10 profit simulation_(CHAO) FY10 Forecast#1 Regional Comment_Sample Format_A&amp;O Format_FCST3+9_v1" xfId="6460" xr:uid="{0F53EA4B-4E08-48C1-8890-79A603684C56}"/>
    <cellStyle name="_xf05年工厂损益预算表格3-1215_DFL FY05　Budget_【9.1 Updated】EC Master of FY10 profit simulation_【Master】 FY12 Simulation Excel PKG for Auto" xfId="6461" xr:uid="{C8F5FB94-AF78-49FD-A636-E0863288EDF2}"/>
    <cellStyle name="_xf05年工厂损益预算表格3-1215_DFL FY05　Budget_【9.1 Updated】EC Master of FY10 profit simulation_【Master】 FY12 Simulation Excel PKG for Auto (2)" xfId="6462" xr:uid="{8BFD5315-E6E1-4A8A-9C04-EAC82DD12859}"/>
    <cellStyle name="_xf05年工厂损益预算表格3-1215_DFL FY05　Budget_【9.1 Updated】EC Master of FY10 profit simulation_【Master】 FY12 Simulation Excel PKG for Auto_sugii" xfId="6463" xr:uid="{1E39C55C-84BC-4221-A1B0-292E6F04F422}"/>
    <cellStyle name="_xf05年工厂损益预算表格3-1215_DFL FY05　Budget_【9.1 Updated】EC Master of FY10 profit simulation_【Master】 FY12 Simulation Excel PKG for Auto_sugii (2)" xfId="6464" xr:uid="{A4603442-A9AA-4530-89DD-D70FC624C806}"/>
    <cellStyle name="_xf05年工厂损益预算表格3-1215_DFL FY05　Budget_【9.1 Updated】EC Master of FY10 profit simulation_【Shibayama】 FY12 Simulation Excel PKG for Auto" xfId="6465" xr:uid="{302F1B3A-2AF1-4875-ADDB-CE195B65A2EB}"/>
    <cellStyle name="_xf05年工厂损益预算表格3-1215_DFL FY05　Budget_【9.1 Updated】EC Master of FY10 profit simulation_Ａ&amp;O Consolidation Format_FCST3+9_v3" xfId="6466" xr:uid="{689A1F90-A35B-4BCA-8FD7-524A55DDF9D1}"/>
    <cellStyle name="_xf05年工厂损益预算表格3-1215_DFL FY05　Budget_【9.1 Updated】EC Master of FY10 profit simulation_A&amp;O Format" xfId="6467" xr:uid="{2057D717-8A85-4F19-8CA1-2C41D2293814}"/>
    <cellStyle name="_xf05年工厂损益预算表格3-1215_DFL FY05　Budget_【9.1 Updated】EC Master of FY10 profit simulation_A&amp;O Format_FCST3+9" xfId="6468" xr:uid="{266710DE-F59F-4F2A-8E4B-1E47D66ECFEB}"/>
    <cellStyle name="_xf05年工厂损益预算表格3-1215_DFL FY05　Budget_【9.1 Updated】EC Master of FY10 profit simulation_A&amp;O Format_FCST3+9_v1" xfId="6469" xr:uid="{8C5B4F96-9B36-4547-907D-F014AEB93294}"/>
    <cellStyle name="_xf05年工厂损益预算表格3-1215_DFL FY05　Budget_【9.1 Updated】EC Master of FY10 profit simulation_CHAO #2 Forecast Summary" xfId="6470" xr:uid="{D77BBF3B-4CCC-4232-989A-289B4EAE6B98}"/>
    <cellStyle name="_xf05年工厂损益预算表格3-1215_DFL FY05　Budget_【9.1 Updated】EC Master of FY10 profit simulation_CHAO #2 Forecast Summary_FY12 Budget Final OC-China" xfId="6471" xr:uid="{0510F456-38F8-4906-A3E5-07BAE58C34B3}"/>
    <cellStyle name="_xf05年工厂损益预算表格3-1215_DFL FY05　Budget_【9.1 Updated】EC Master of FY10 profit simulation_CHAO #2 Forecast Summary_Sample Format" xfId="6472" xr:uid="{2F9C32B1-C9DD-4846-9B16-3DA9AE0B5567}"/>
    <cellStyle name="_xf05年工厂损益预算表格3-1215_DFL FY05　Budget_【9.1 Updated】EC Master of FY10 profit simulation_CHAO #2 Forecast Summary_Sample Format_Ａ&amp;O Consolidation Format_FCST3+9_v3" xfId="6473" xr:uid="{DC4CF4AB-7782-4160-AA66-C00934DA1AD2}"/>
    <cellStyle name="_xf05年工厂损益预算表格3-1215_DFL FY05　Budget_【9.1 Updated】EC Master of FY10 profit simulation_CHAO #2 Forecast Summary_Sample Format_A&amp;O Format" xfId="6474" xr:uid="{E58D10F9-9EB7-4B4A-89C7-8C1FDD5638D0}"/>
    <cellStyle name="_xf05年工厂损益预算表格3-1215_DFL FY05　Budget_【9.1 Updated】EC Master of FY10 profit simulation_CHAO #2 Forecast Summary_Sample Format_A&amp;O Format_FCST3+9" xfId="6475" xr:uid="{E117907B-8BAE-4511-8B82-A89FA1AC6A3D}"/>
    <cellStyle name="_xf05年工厂损益预算表格3-1215_DFL FY05　Budget_【9.1 Updated】EC Master of FY10 profit simulation_CHAO #2 Forecast Summary_Sample Format_A&amp;O Format_FCST3+9_v1" xfId="6476" xr:uid="{B4F36CE8-3DE8-4453-9DE3-67F3E0D56749}"/>
    <cellStyle name="_xf05年工厂损益预算表格3-1215_DFL FY05　Budget_【9.1 Updated】EC Master of FY10 profit simulation_Correct FC#2 AO OP" xfId="6477" xr:uid="{AC463178-39DC-475D-A229-863474253F4C}"/>
    <cellStyle name="_xf05年工厂损益预算表格3-1215_DFL FY05　Budget_【9.1 Updated】EC Master of FY10 profit simulation_Correct FC#2 AO OP_FY12 Budget Final OC-China" xfId="6478" xr:uid="{AEE655A1-18E4-4C0E-AC12-B75324F86DCD}"/>
    <cellStyle name="_xf05年工厂损益预算表格3-1215_DFL FY05　Budget_【9.1 Updated】EC Master of FY10 profit simulation_Correct FC#2 AO OP_Sample Format" xfId="6479" xr:uid="{9F0E83A5-C63C-4A56-8969-604364B2318E}"/>
    <cellStyle name="_xf05年工厂损益预算表格3-1215_DFL FY05　Budget_【9.1 Updated】EC Master of FY10 profit simulation_Correct FC#2 AO OP_Sample Format_Ａ&amp;O Consolidation Format_FCST3+9_v3" xfId="6480" xr:uid="{50464424-95A8-438F-B823-A70DC4742416}"/>
    <cellStyle name="_xf05年工厂损益预算表格3-1215_DFL FY05　Budget_【9.1 Updated】EC Master of FY10 profit simulation_Correct FC#2 AO OP_Sample Format_A&amp;O Format" xfId="6481" xr:uid="{6592DB73-39D6-471D-AC4E-0B19EDC7631C}"/>
    <cellStyle name="_xf05年工厂损益预算表格3-1215_DFL FY05　Budget_【9.1 Updated】EC Master of FY10 profit simulation_Correct FC#2 AO OP_Sample Format_A&amp;O Format_FCST3+9" xfId="6482" xr:uid="{FBABF900-9FA1-4A2F-B133-1FAE1EC718AA}"/>
    <cellStyle name="_xf05年工厂损益预算表格3-1215_DFL FY05　Budget_【9.1 Updated】EC Master of FY10 profit simulation_Correct FC#2 AO OP_Sample Format_A&amp;O Format_FCST3+9_v1" xfId="6483" xr:uid="{79A9CE7D-7E7B-42E9-87F8-C13174571009}"/>
    <cellStyle name="_xf05年工厂损益预算表格3-1215_DFL FY05　Budget_【9.1 Updated】EC Master of FY10 profit simulation_FY10 FC#2_OP_Variance" xfId="6484" xr:uid="{36F5E19E-2510-4B4F-98D3-C79A40C7A14F}"/>
    <cellStyle name="_xf05年工厂损益预算表格3-1215_DFL FY05　Budget_【9.1 Updated】EC Master of FY10 profit simulation_FY10 FC#2_OP_Variance_FY12 Budget Final OC-China" xfId="6485" xr:uid="{A2782B1D-71D4-4FA5-999A-D93ED9864090}"/>
    <cellStyle name="_xf05年工厂损益预算表格3-1215_DFL FY05　Budget_【9.1 Updated】EC Master of FY10 profit simulation_FY10 FC#2_OP_Variance_Sample Format" xfId="6486" xr:uid="{9E7BF5AA-E96A-4F1F-A74E-0EBC6C12DBFB}"/>
    <cellStyle name="_xf05年工厂损益预算表格3-1215_DFL FY05　Budget_【9.1 Updated】EC Master of FY10 profit simulation_FY10 FC#2_OP_Variance_Sample Format_Ａ&amp;O Consolidation Format_FCST3+9_v3" xfId="6487" xr:uid="{73D33B32-79D2-4F49-86A4-9CA41615B685}"/>
    <cellStyle name="_xf05年工厂损益预算表格3-1215_DFL FY05　Budget_【9.1 Updated】EC Master of FY10 profit simulation_FY10 FC#2_OP_Variance_Sample Format_A&amp;O Format" xfId="6488" xr:uid="{D35A0860-B828-4454-9221-D34702A91930}"/>
    <cellStyle name="_xf05年工厂损益预算表格3-1215_DFL FY05　Budget_【9.1 Updated】EC Master of FY10 profit simulation_FY10 FC#2_OP_Variance_Sample Format_A&amp;O Format_FCST3+9" xfId="6489" xr:uid="{ED5FD626-76B8-497A-999E-30E340D1DD5F}"/>
    <cellStyle name="_xf05年工厂损益预算表格3-1215_DFL FY05　Budget_【9.1 Updated】EC Master of FY10 profit simulation_FY10 FC#2_OP_Variance_Sample Format_A&amp;O Format_FCST3+9_v1" xfId="6490" xr:uid="{B2AA90EA-B2A0-4C3B-92D4-E7726899723F}"/>
    <cellStyle name="_xf05年工厂损益预算表格3-1215_DFL FY05　Budget_【9.1 Updated】EC Master of FY10 profit simulation_FY12 BP_Simulation information PKG_R" xfId="6491" xr:uid="{2FC8C3C4-FEE5-4918-8B7F-C76E192BAC21}"/>
    <cellStyle name="_xf05年工厂损益预算表格3-1215_DFL FY05　Budget_【9.1 Updated】EC Master of FY10 profit simulation_FY12 BP_Simulation information PKG_R（SGA）" xfId="6492" xr:uid="{01280130-8E71-4486-93F6-B013AE2345AE}"/>
    <cellStyle name="_xf05年工厂损益预算表格3-1215_DFL FY05　Budget_【9.1 Updated】EC Master of FY10 profit simulation_v1 FY11 Budget Sim summary" xfId="6493" xr:uid="{CC43E3CF-9622-4B39-AB56-0263D6B64F3B}"/>
    <cellStyle name="_xf05年工厂损益预算表格3-1215_DFL FY05　Budget_【9.1 Updated】EC Master of FY10 profit simulation_v1 FY11 Budget Sim summary_FY12 Budget Final OC-China" xfId="6494" xr:uid="{9E7519EC-5B24-4EDE-901F-9A334BE8D281}"/>
    <cellStyle name="_xf05年工厂损益预算表格3-1215_DFL FY05　Budget_【9.1 Updated】EC Master of FY10 profit simulation_v1 FY11 Budget Sim summary_Sample Format" xfId="6495" xr:uid="{C6E84095-AF60-4C35-9439-72A88A5220A0}"/>
    <cellStyle name="_xf05年工厂损益预算表格3-1215_DFL FY05　Budget_【9.1 Updated】EC Master of FY10 profit simulation_v1 FY11 Budget Sim summary_Sample Format_Ａ&amp;O Consolidation Format_FCST3+9_v3" xfId="6496" xr:uid="{8DD0DBE5-D3BE-41F6-8F12-311F3D5B8DF0}"/>
    <cellStyle name="_xf05年工厂损益预算表格3-1215_DFL FY05　Budget_【9.1 Updated】EC Master of FY10 profit simulation_v1 FY11 Budget Sim summary_Sample Format_A&amp;O Format" xfId="6497" xr:uid="{61A56A62-A785-403F-A648-244E2797ADD6}"/>
    <cellStyle name="_xf05年工厂损益预算表格3-1215_DFL FY05　Budget_【9.1 Updated】EC Master of FY10 profit simulation_v1 FY11 Budget Sim summary_Sample Format_A&amp;O Format_FCST3+9" xfId="6498" xr:uid="{BB8CA0A3-0933-48C5-A797-850AAE17887B}"/>
    <cellStyle name="_xf05年工厂损益预算表格3-1215_DFL FY05　Budget_【9.1 Updated】EC Master of FY10 profit simulation_v1 FY11 Budget Sim summary_Sample Format_A&amp;O Format_FCST3+9_v1" xfId="6499" xr:uid="{C5E7327A-6A20-41F1-BD35-230F01807436}"/>
    <cellStyle name="_xf05年工厂损益预算表格3-1215_DFL FY05　Budget_【9.1 Updated】EC Master of FY10 profit simulation_v2 CHAO #2 Forecast Summary" xfId="6500" xr:uid="{613B865E-4367-43F4-8C3B-608A896C68B6}"/>
    <cellStyle name="_xf05年工厂损益预算表格3-1215_DFL FY05　Budget_【9.1 Updated】EC Master of FY10 profit simulation_v2 CHAO #2 Forecast Summary_FY12 Budget Final OC-China" xfId="6501" xr:uid="{2BF55371-F0EE-4F15-84CE-D3C043ACE3C8}"/>
    <cellStyle name="_xf05年工厂损益预算表格3-1215_DFL FY05　Budget_【9.1 Updated】EC Master of FY10 profit simulation_v2 CHAO #2 Forecast Summary_Sample Format" xfId="6502" xr:uid="{CB5EE961-78A7-4213-8910-B0012886C2B1}"/>
    <cellStyle name="_xf05年工厂损益预算表格3-1215_DFL FY05　Budget_【9.1 Updated】EC Master of FY10 profit simulation_v2 CHAO #2 Forecast Summary_Sample Format_Ａ&amp;O Consolidation Format_FCST3+9_v3" xfId="6503" xr:uid="{A905FF04-9F52-4BF3-9363-ADDFA234CA2D}"/>
    <cellStyle name="_xf05年工厂损益预算表格3-1215_DFL FY05　Budget_【9.1 Updated】EC Master of FY10 profit simulation_v2 CHAO #2 Forecast Summary_Sample Format_A&amp;O Format" xfId="6504" xr:uid="{28C1A8CC-71E1-4D45-AF14-31A7EB46BB17}"/>
    <cellStyle name="_xf05年工厂损益预算表格3-1215_DFL FY05　Budget_【9.1 Updated】EC Master of FY10 profit simulation_v2 CHAO #2 Forecast Summary_Sample Format_A&amp;O Format_FCST3+9" xfId="6505" xr:uid="{6E060E20-5637-4156-91C4-022F131CB299}"/>
    <cellStyle name="_xf05年工厂损益预算表格3-1215_DFL FY05　Budget_【9.1 Updated】EC Master of FY10 profit simulation_v2 CHAO #2 Forecast Summary_Sample Format_A&amp;O Format_FCST3+9_v1" xfId="6506" xr:uid="{61678153-A9E6-486B-A874-0CE60179821D}"/>
    <cellStyle name="_xf05年工厂损益预算表格3-1215_DFL FY05　Budget_【9.1 Updated】EC Master of FY10 profit simulation_v2 FY10 FC#2_OP_Variance" xfId="6507" xr:uid="{9E35E3FE-783D-49F8-A040-D5FCEEA22FF3}"/>
    <cellStyle name="_xf05年工厂损益预算表格3-1215_DFL FY05　Budget_【9.1 Updated】EC Master of FY10 profit simulation_v2 FY10 FC#2_OP_Variance_FY12 Budget Final OC-China" xfId="6508" xr:uid="{EA2FBE12-CEC0-4F98-9855-DA27F18B1A80}"/>
    <cellStyle name="_xf05年工厂损益预算表格3-1215_DFL FY05　Budget_【9.1 Updated】EC Master of FY10 profit simulation_v2 FY10 FC#2_OP_Variance_Sample Format" xfId="6509" xr:uid="{128B462B-BDC6-42F6-9C8E-426E7801F562}"/>
    <cellStyle name="_xf05年工厂损益预算表格3-1215_DFL FY05　Budget_【9.1 Updated】EC Master of FY10 profit simulation_v2 FY10 FC#2_OP_Variance_Sample Format_Ａ&amp;O Consolidation Format_FCST3+9_v3" xfId="6510" xr:uid="{0A6F80AB-DA71-4FD0-A24E-23A9B7527319}"/>
    <cellStyle name="_xf05年工厂损益预算表格3-1215_DFL FY05　Budget_【9.1 Updated】EC Master of FY10 profit simulation_v2 FY10 FC#2_OP_Variance_Sample Format_A&amp;O Format" xfId="6511" xr:uid="{9B370E12-64E9-4E52-9B41-40C557711249}"/>
    <cellStyle name="_xf05年工厂损益预算表格3-1215_DFL FY05　Budget_【9.1 Updated】EC Master of FY10 profit simulation_v2 FY10 FC#2_OP_Variance_Sample Format_A&amp;O Format_FCST3+9" xfId="6512" xr:uid="{199303F7-1758-42AB-859B-66F640161511}"/>
    <cellStyle name="_xf05年工厂损益预算表格3-1215_DFL FY05　Budget_【9.1 Updated】EC Master of FY10 profit simulation_v2 FY10 FC#2_OP_Variance_Sample Format_A&amp;O Format_FCST3+9_v1" xfId="6513" xr:uid="{DD80A7EF-CE6D-4E52-8833-7992CC8EEAA7}"/>
    <cellStyle name="_xf05年工厂损益预算表格3-1215_DFL FY05　Budget_【9.1 Updated】EC Master of FY10 profit simulation_v5 FY11 Budget Sim summary" xfId="6514" xr:uid="{FFF93CFE-FF49-46B6-A592-04DB5A306269}"/>
    <cellStyle name="_xf05年工厂损益预算表格3-1215_DFL FY05　Budget_【9.1 Updated】EC Master of FY10 profit simulation_v5 FY11 Budget Sim summary_FY12 Budget Final OC-China" xfId="6515" xr:uid="{EE746251-6832-4ED9-8D94-BE8AA02DC4E9}"/>
    <cellStyle name="_xf05年工厂损益预算表格3-1215_DFL FY05　Budget_【9.1 Updated】EC Master of FY10 profit simulation_v5 FY11 Budget Sim summary_Sample Format" xfId="6516" xr:uid="{59ACDD14-A7D8-40DF-BF7E-3DA2E54632AB}"/>
    <cellStyle name="_xf05年工厂损益预算表格3-1215_DFL FY05　Budget_【9.1 Updated】EC Master of FY10 profit simulation_v5 FY11 Budget Sim summary_Sample Format_Ａ&amp;O Consolidation Format_FCST3+9_v3" xfId="6517" xr:uid="{C4040000-C259-467E-BE07-37FA6FC3F2A6}"/>
    <cellStyle name="_xf05年工厂损益预算表格3-1215_DFL FY05　Budget_【9.1 Updated】EC Master of FY10 profit simulation_v5 FY11 Budget Sim summary_Sample Format_A&amp;O Format" xfId="6518" xr:uid="{491DC349-D5C5-452B-8236-4A68AF4407AE}"/>
    <cellStyle name="_xf05年工厂损益预算表格3-1215_DFL FY05　Budget_【9.1 Updated】EC Master of FY10 profit simulation_v5 FY11 Budget Sim summary_Sample Format_A&amp;O Format_FCST3+9" xfId="6519" xr:uid="{FBBB256C-E437-487C-AF51-588D288DB1AA}"/>
    <cellStyle name="_xf05年工厂损益预算表格3-1215_DFL FY05　Budget_【9.1 Updated】EC Master of FY10 profit simulation_v5 FY11 Budget Sim summary_Sample Format_A&amp;O Format_FCST3+9_v1" xfId="6520" xr:uid="{4FB09C1D-6B50-4662-AEF0-C762013857E0}"/>
    <cellStyle name="_xf05年工厂损益预算表格3-1215_DFL FY05　Budget_【9.1 Updated】EC Master of FY10 profit simulation_コピー【Master】 FY12 Simula tion Excel PKG for Auto" xfId="6521" xr:uid="{EFB20855-86B3-4A0D-8336-E80B973CB3F1}"/>
    <cellStyle name="_xf05年工厂损益预算表格3-1215_DFL FY05　Budget_【9.1 Updated】EC Master of FY10 profit simulation_これマスター　FCF_FY12 Simulation Excel PKG for Auto" xfId="6522" xr:uid="{A9CDC018-A2E9-495E-8797-973E549961BD}"/>
    <cellStyle name="_xf05年工厂损益预算表格3-1215_DFL FY05　Budget_【Master】 FY12 Simulation Excel PKG for Auto" xfId="6523" xr:uid="{FA12DFEE-9D23-4810-A010-F7D60D3D42DF}"/>
    <cellStyle name="_xf05年工厂损益预算表格3-1215_DFL FY05　Budget_【Master】 FY12 Simulation Excel PKG for Auto (2)" xfId="6524" xr:uid="{CF55F87D-D11D-4078-BD51-A2A3C7B8BFC4}"/>
    <cellStyle name="_xf05年工厂损益预算表格3-1215_DFL FY05　Budget_【Master】 FY12 Simulation Excel PKG for Auto_sugii" xfId="6525" xr:uid="{97576088-1D11-4626-8ED0-12D435F061C9}"/>
    <cellStyle name="_xf05年工厂损益预算表格3-1215_DFL FY05　Budget_【Master】 FY12 Simulation Excel PKG for Auto_sugii (2)" xfId="6526" xr:uid="{137BD98D-A78D-4B1C-BC90-1877B31634DC}"/>
    <cellStyle name="_xf05年工厂损益预算表格3-1215_DFL FY05　Budget_【Shibayama】 FY12 Simulation Excel PKG for Auto" xfId="6527" xr:uid="{2A8F091A-A82C-4F5F-872E-242808611A90}"/>
    <cellStyle name="_xf05年工厂损益预算表格3-1215_DFL FY05　Budget_Ａ&amp;O Consolidation Format_FCST3+9_v3" xfId="6528" xr:uid="{A2CE7130-5419-4A67-81B6-73248809E69B}"/>
    <cellStyle name="_xf05年工厂损益预算表格3-1215_DFL FY05　Budget_A&amp;O Format" xfId="6529" xr:uid="{2BF7B357-9261-46F8-9B2F-9712434F3D45}"/>
    <cellStyle name="_xf05年工厂损益预算表格3-1215_DFL FY05　Budget_A&amp;O Format_FCST3+9" xfId="6530" xr:uid="{166CB7E9-1B8F-47ED-AD66-9EE79A15D517}"/>
    <cellStyle name="_xf05年工厂损益预算表格3-1215_DFL FY05　Budget_A&amp;O Format_FCST3+9_v1" xfId="6531" xr:uid="{FC7A885F-594F-4EEE-A79C-067D19E14BA1}"/>
    <cellStyle name="_xf05年工厂损益预算表格3-1215_DFL FY05　Budget_CHAO #2 Forecast Summary" xfId="6532" xr:uid="{AA434776-B5FC-4101-A286-E2B46CCE9CCD}"/>
    <cellStyle name="_xf05年工厂损益预算表格3-1215_DFL FY05　Budget_CHAO #2 Forecast Summary_FY12 Budget Final OC-China" xfId="6533" xr:uid="{0782EE1F-470E-4AE3-8D15-844159BE823E}"/>
    <cellStyle name="_xf05年工厂损益预算表格3-1215_DFL FY05　Budget_CHAO #2 Forecast Summary_Sample Format" xfId="6534" xr:uid="{E99377EC-1F5D-4699-85D3-4522D6AF0683}"/>
    <cellStyle name="_xf05年工厂损益预算表格3-1215_DFL FY05　Budget_CHAO #2 Forecast Summary_Sample Format_Ａ&amp;O Consolidation Format_FCST3+9_v3" xfId="6535" xr:uid="{BAD7EC22-C8CC-4662-AD70-3E8B2ED520C2}"/>
    <cellStyle name="_xf05年工厂损益预算表格3-1215_DFL FY05　Budget_CHAO #2 Forecast Summary_Sample Format_A&amp;O Format" xfId="6536" xr:uid="{424FFEC9-5183-4077-906D-F9F20DEABB9F}"/>
    <cellStyle name="_xf05年工厂损益预算表格3-1215_DFL FY05　Budget_CHAO #2 Forecast Summary_Sample Format_A&amp;O Format_FCST3+9" xfId="6537" xr:uid="{C4A0AB6C-9CD9-44BA-9585-23DF68A159C5}"/>
    <cellStyle name="_xf05年工厂损益预算表格3-1215_DFL FY05　Budget_CHAO #2 Forecast Summary_Sample Format_A&amp;O Format_FCST3+9_v1" xfId="6538" xr:uid="{13A5B5E8-C555-4803-9625-9D694E17CE68}"/>
    <cellStyle name="_xf05年工厂损益预算表格3-1215_DFL FY05　Budget_Correct FC#2 AO OP" xfId="6539" xr:uid="{23258A02-DD9D-4D6F-99D3-8B6C98F9C221}"/>
    <cellStyle name="_xf05年工厂损益预算表格3-1215_DFL FY05　Budget_Correct FC#2 AO OP_FY12 Budget Final OC-China" xfId="6540" xr:uid="{3CC3ABC6-A850-4E33-8CE4-4004E3501E94}"/>
    <cellStyle name="_xf05年工厂损益预算表格3-1215_DFL FY05　Budget_Correct FC#2 AO OP_Sample Format" xfId="6541" xr:uid="{1E97CA09-D068-4CE5-BA42-48C895C343C8}"/>
    <cellStyle name="_xf05年工厂损益预算表格3-1215_DFL FY05　Budget_Correct FC#2 AO OP_Sample Format_Ａ&amp;O Consolidation Format_FCST3+9_v3" xfId="6542" xr:uid="{24E7AB1D-0549-4524-BC10-5D9610DB0DA7}"/>
    <cellStyle name="_xf05年工厂损益预算表格3-1215_DFL FY05　Budget_Correct FC#2 AO OP_Sample Format_A&amp;O Format" xfId="6543" xr:uid="{27BBD060-B3CF-47ED-92E1-D9CA8C469246}"/>
    <cellStyle name="_xf05年工厂损益预算表格3-1215_DFL FY05　Budget_Correct FC#2 AO OP_Sample Format_A&amp;O Format_FCST3+9" xfId="6544" xr:uid="{F776838A-F1A9-4C1C-8872-3D4751A0468A}"/>
    <cellStyle name="_xf05年工厂损益预算表格3-1215_DFL FY05　Budget_Correct FC#2 AO OP_Sample Format_A&amp;O Format_FCST3+9_v1" xfId="6545" xr:uid="{36F134E6-8DA9-4FFF-9668-69BBBE3FF9E2}"/>
    <cellStyle name="_xf05年工厂损益预算表格3-1215_DFL FY05　Budget_FCF_FY12 BUD Simulation Excel PKG for Auto_v2" xfId="6546" xr:uid="{8B263674-9981-4A1B-A7C4-14C80EBC2BC8}"/>
    <cellStyle name="_xf05年工厂损益预算表格3-1215_DFL FY05　Budget_FY08 PIC guideline(07.10.02KPI)" xfId="6547" xr:uid="{B04FA82B-98C8-488D-ACDF-8691144A1A8F}"/>
    <cellStyle name="_xf05年工厂损益预算表格3-1215_DFL FY05　Budget_FY08 PIC guideline(07.10.02KPI)_#1 Forecast Summary" xfId="6548" xr:uid="{71A520E1-44D2-4AEE-80C5-20C9C572FA01}"/>
    <cellStyle name="_xf05年工厂损益预算表格3-1215_DFL FY05　Budget_FY08 PIC guideline(07.10.02KPI)_#1 Forecast Summary_FY12 Budget Final OC-China" xfId="6549" xr:uid="{5138D474-94E9-4D0D-AAB2-C5A43F857CD8}"/>
    <cellStyle name="_xf05年工厂损益预算表格3-1215_DFL FY05　Budget_FY08 PIC guideline(07.10.02KPI)_#1 Forecast Summary_Sample Format" xfId="6550" xr:uid="{0BCFD8CB-D2DF-410D-A94D-3C55B0585C1E}"/>
    <cellStyle name="_xf05年工厂损益预算表格3-1215_DFL FY05　Budget_FY08 PIC guideline(07.10.02KPI)_#1 Forecast Summary_Sample Format_Ａ&amp;O Consolidation Format_FCST3+9_v3" xfId="6551" xr:uid="{F93A306D-BFC0-45BB-AB8B-629B44E1D920}"/>
    <cellStyle name="_xf05年工厂损益预算表格3-1215_DFL FY05　Budget_FY08 PIC guideline(07.10.02KPI)_#1 Forecast Summary_Sample Format_A&amp;O Format" xfId="6552" xr:uid="{C3DCE259-5374-4C73-85CF-231C75BF76DB}"/>
    <cellStyle name="_xf05年工厂损益预算表格3-1215_DFL FY05　Budget_FY08 PIC guideline(07.10.02KPI)_#1 Forecast Summary_Sample Format_A&amp;O Format_FCST3+9" xfId="6553" xr:uid="{59EAE91A-D3A0-4804-BDFF-3F94808CE99D}"/>
    <cellStyle name="_xf05年工厂损益预算表格3-1215_DFL FY05　Budget_FY08 PIC guideline(07.10.02KPI)_#1 Forecast Summary_Sample Format_A&amp;O Format_FCST3+9_v1" xfId="6554" xr:uid="{3CA0375F-9647-41CC-AD6D-E0823B876312}"/>
    <cellStyle name="_xf05年工厂损益预算表格3-1215_DFL FY05　Budget_FY08 PIC guideline(07.10.02KPI)_(CHAO) FY10 Forecast#1 Regional Comment" xfId="6555" xr:uid="{BB0E8D76-4199-4C38-9939-F06D1273892D}"/>
    <cellStyle name="_xf05年工厂损益预算表格3-1215_DFL FY05　Budget_FY08 PIC guideline(07.10.02KPI)_(CHAO) FY10 Forecast#1 Regional Comment_FY12 Budget Final OC-China" xfId="6556" xr:uid="{E9392421-E992-4BCB-8BF7-16EB303B9AFC}"/>
    <cellStyle name="_xf05年工厂损益预算表格3-1215_DFL FY05　Budget_FY08 PIC guideline(07.10.02KPI)_(CHAO) FY10 Forecast#1 Regional Comment_Sample Format" xfId="6557" xr:uid="{376A9B10-DD50-4A09-BB68-35DD59BC5FA9}"/>
    <cellStyle name="_xf05年工厂损益预算表格3-1215_DFL FY05　Budget_FY08 PIC guideline(07.10.02KPI)_(CHAO) FY10 Forecast#1 Regional Comment_Sample Format_Ａ&amp;O Consolidation Format_FCST3+9_v3" xfId="6558" xr:uid="{CC974242-B993-490C-8362-C2F0E5A48868}"/>
    <cellStyle name="_xf05年工厂损益预算表格3-1215_DFL FY05　Budget_FY08 PIC guideline(07.10.02KPI)_(CHAO) FY10 Forecast#1 Regional Comment_Sample Format_A&amp;O Format" xfId="6559" xr:uid="{FD5346F7-AA86-4D77-BEC7-8213D0F19240}"/>
    <cellStyle name="_xf05年工厂损益预算表格3-1215_DFL FY05　Budget_FY08 PIC guideline(07.10.02KPI)_(CHAO) FY10 Forecast#1 Regional Comment_Sample Format_A&amp;O Format_FCST3+9" xfId="6560" xr:uid="{91FC597F-4D11-403D-A4AA-CC0B4C70B4F9}"/>
    <cellStyle name="_xf05年工厂损益预算表格3-1215_DFL FY05　Budget_FY08 PIC guideline(07.10.02KPI)_(CHAO) FY10 Forecast#1 Regional Comment_Sample Format_A&amp;O Format_FCST3+9_v1" xfId="6561" xr:uid="{5EFFCBB8-AACC-4AE7-9E9F-110DC2467AB6}"/>
    <cellStyle name="_xf05年工厂损益预算表格3-1215_DFL FY05　Budget_FY08 PIC guideline(07.10.02KPI)_【Master】 FY12 Simulation Excel PKG for Auto" xfId="6562" xr:uid="{4C1F1E20-DCE1-43CB-B44E-CEB11E1661AB}"/>
    <cellStyle name="_xf05年工厂损益预算表格3-1215_DFL FY05　Budget_FY08 PIC guideline(07.10.02KPI)_【Master】 FY12 Simulation Excel PKG for Auto (2)" xfId="6563" xr:uid="{D1F14232-AABB-415A-A785-9B752FEC4BFD}"/>
    <cellStyle name="_xf05年工厂损益预算表格3-1215_DFL FY05　Budget_FY08 PIC guideline(07.10.02KPI)_【Master】 FY12 Simulation Excel PKG for Auto_sugii" xfId="6564" xr:uid="{81F57ECB-8034-4213-8581-2AE236DB3784}"/>
    <cellStyle name="_xf05年工厂损益预算表格3-1215_DFL FY05　Budget_FY08 PIC guideline(07.10.02KPI)_【Master】 FY12 Simulation Excel PKG for Auto_sugii (2)" xfId="6565" xr:uid="{269CDD2A-DA0D-4DBD-8326-9F01A59D1084}"/>
    <cellStyle name="_xf05年工厂损益预算表格3-1215_DFL FY05　Budget_FY08 PIC guideline(07.10.02KPI)_【Shibayama】 FY12 Simulation Excel PKG for Auto" xfId="6566" xr:uid="{D0932194-A03E-4E95-9A87-9B17DFD293A4}"/>
    <cellStyle name="_xf05年工厂损益预算表格3-1215_DFL FY05　Budget_FY08 PIC guideline(07.10.02KPI)_Ａ&amp;O Consolidation Format_FCST3+9_v3" xfId="6567" xr:uid="{C4CEBA2B-B660-482A-AB75-BE067686A5A8}"/>
    <cellStyle name="_xf05年工厂损益预算表格3-1215_DFL FY05　Budget_FY08 PIC guideline(07.10.02KPI)_A&amp;O Format" xfId="6568" xr:uid="{2C1BEE1A-24C9-4268-9D64-E2D6EA54B88C}"/>
    <cellStyle name="_xf05年工厂损益预算表格3-1215_DFL FY05　Budget_FY08 PIC guideline(07.10.02KPI)_A&amp;O Format_FCST3+9" xfId="6569" xr:uid="{64F71DED-50A2-436F-908E-04DB33A406CD}"/>
    <cellStyle name="_xf05年工厂损益预算表格3-1215_DFL FY05　Budget_FY08 PIC guideline(07.10.02KPI)_A&amp;O Format_FCST3+9_v1" xfId="6570" xr:uid="{CA3B27D7-C465-41A2-9374-E08E76166168}"/>
    <cellStyle name="_xf05年工厂损益预算表格3-1215_DFL FY05　Budget_FY08 PIC guideline(07.10.02KPI)_CHAO #2 Forecast Summary" xfId="6571" xr:uid="{F05431AB-E763-488A-9039-95666436C268}"/>
    <cellStyle name="_xf05年工厂损益预算表格3-1215_DFL FY05　Budget_FY08 PIC guideline(07.10.02KPI)_CHAO #2 Forecast Summary_FY12 Budget Final OC-China" xfId="6572" xr:uid="{EEE160BE-0E07-4BE4-A1D3-4898703F6F04}"/>
    <cellStyle name="_xf05年工厂损益预算表格3-1215_DFL FY05　Budget_FY08 PIC guideline(07.10.02KPI)_CHAO #2 Forecast Summary_Sample Format" xfId="6573" xr:uid="{D872B665-2B03-44B5-A584-A17EDA46422F}"/>
    <cellStyle name="_xf05年工厂损益预算表格3-1215_DFL FY05　Budget_FY08 PIC guideline(07.10.02KPI)_CHAO #2 Forecast Summary_Sample Format_Ａ&amp;O Consolidation Format_FCST3+9_v3" xfId="6574" xr:uid="{54430EC6-FBE4-4920-BD37-8BDA223430D6}"/>
    <cellStyle name="_xf05年工厂损益预算表格3-1215_DFL FY05　Budget_FY08 PIC guideline(07.10.02KPI)_CHAO #2 Forecast Summary_Sample Format_A&amp;O Format" xfId="6575" xr:uid="{E3D9CDBB-1D6B-42BD-BEEC-0E0A97EC6424}"/>
    <cellStyle name="_xf05年工厂损益预算表格3-1215_DFL FY05　Budget_FY08 PIC guideline(07.10.02KPI)_CHAO #2 Forecast Summary_Sample Format_A&amp;O Format_FCST3+9" xfId="6576" xr:uid="{86E9C4C2-44B5-44D4-BDC5-3288C36730DE}"/>
    <cellStyle name="_xf05年工厂损益预算表格3-1215_DFL FY05　Budget_FY08 PIC guideline(07.10.02KPI)_CHAO #2 Forecast Summary_Sample Format_A&amp;O Format_FCST3+9_v1" xfId="6577" xr:uid="{3FFCAB4A-F614-47A0-AE1C-3C47735B68FB}"/>
    <cellStyle name="_xf05年工厂损益预算表格3-1215_DFL FY05　Budget_FY08 PIC guideline(07.10.02KPI)_Correct FC#2 AO OP" xfId="6578" xr:uid="{531FD123-6F48-4965-A453-820972775DE7}"/>
    <cellStyle name="_xf05年工厂损益预算表格3-1215_DFL FY05　Budget_FY08 PIC guideline(07.10.02KPI)_Correct FC#2 AO OP_FY12 Budget Final OC-China" xfId="6579" xr:uid="{29CCCACA-BAF5-458F-8D26-223A53A103BA}"/>
    <cellStyle name="_xf05年工厂损益预算表格3-1215_DFL FY05　Budget_FY08 PIC guideline(07.10.02KPI)_Correct FC#2 AO OP_Sample Format" xfId="6580" xr:uid="{51E0552E-5548-4765-82BF-2FC74A4055B6}"/>
    <cellStyle name="_xf05年工厂损益预算表格3-1215_DFL FY05　Budget_FY08 PIC guideline(07.10.02KPI)_Correct FC#2 AO OP_Sample Format_Ａ&amp;O Consolidation Format_FCST3+9_v3" xfId="6581" xr:uid="{D4AC057F-546E-4715-9DBD-4D35A339EC16}"/>
    <cellStyle name="_xf05年工厂损益预算表格3-1215_DFL FY05　Budget_FY08 PIC guideline(07.10.02KPI)_Correct FC#2 AO OP_Sample Format_A&amp;O Format" xfId="6582" xr:uid="{0D8D6FB4-A657-4498-821D-B7636FDCAE5E}"/>
    <cellStyle name="_xf05年工厂损益预算表格3-1215_DFL FY05　Budget_FY08 PIC guideline(07.10.02KPI)_Correct FC#2 AO OP_Sample Format_A&amp;O Format_FCST3+9" xfId="6583" xr:uid="{78FD0C18-BDAB-48EF-A977-B366C03E05AE}"/>
    <cellStyle name="_xf05年工厂损益预算表格3-1215_DFL FY05　Budget_FY08 PIC guideline(07.10.02KPI)_Correct FC#2 AO OP_Sample Format_A&amp;O Format_FCST3+9_v1" xfId="6584" xr:uid="{64FCF849-D9D8-4D3F-BDB2-B2015ADA2573}"/>
    <cellStyle name="_xf05年工厂损益预算表格3-1215_DFL FY05　Budget_FY08 PIC guideline(07.10.02KPI)_FY10 FC#2_OP_Variance" xfId="6585" xr:uid="{DD11D4FC-B75C-47C9-BB00-2E157E6B1652}"/>
    <cellStyle name="_xf05年工厂损益预算表格3-1215_DFL FY05　Budget_FY08 PIC guideline(07.10.02KPI)_FY10 FC#2_OP_Variance_FY12 Budget Final OC-China" xfId="6586" xr:uid="{48A755A4-BE85-4CAF-96B7-F43738BC3D5F}"/>
    <cellStyle name="_xf05年工厂损益预算表格3-1215_DFL FY05　Budget_FY08 PIC guideline(07.10.02KPI)_FY10 FC#2_OP_Variance_Sample Format" xfId="6587" xr:uid="{82F3D529-A534-4E02-9434-32AF94AA5B07}"/>
    <cellStyle name="_xf05年工厂损益预算表格3-1215_DFL FY05　Budget_FY08 PIC guideline(07.10.02KPI)_FY10 FC#2_OP_Variance_Sample Format_Ａ&amp;O Consolidation Format_FCST3+9_v3" xfId="6588" xr:uid="{6744E715-1366-464A-ACB2-CDCED344D3D5}"/>
    <cellStyle name="_xf05年工厂损益预算表格3-1215_DFL FY05　Budget_FY08 PIC guideline(07.10.02KPI)_FY10 FC#2_OP_Variance_Sample Format_A&amp;O Format" xfId="6589" xr:uid="{43838274-1AA6-4B11-98FA-4AE74EB7AA21}"/>
    <cellStyle name="_xf05年工厂损益预算表格3-1215_DFL FY05　Budget_FY08 PIC guideline(07.10.02KPI)_FY10 FC#2_OP_Variance_Sample Format_A&amp;O Format_FCST3+9" xfId="6590" xr:uid="{DC319D31-7295-4BEA-BCE5-DC0C47F79E7D}"/>
    <cellStyle name="_xf05年工厂损益预算表格3-1215_DFL FY05　Budget_FY08 PIC guideline(07.10.02KPI)_FY10 FC#2_OP_Variance_Sample Format_A&amp;O Format_FCST3+9_v1" xfId="6591" xr:uid="{32B2F4C6-F89F-4469-A8A1-19B216D24E49}"/>
    <cellStyle name="_xf05年工厂损益预算表格3-1215_DFL FY05　Budget_FY08 PIC guideline(07.10.02KPI)_FY12 BP_Simulation information PKG_R" xfId="6592" xr:uid="{6B36C337-E81D-4D1A-A2BC-2B902B0ACCC0}"/>
    <cellStyle name="_xf05年工厂损益预算表格3-1215_DFL FY05　Budget_FY08 PIC guideline(07.10.02KPI)_FY12 BP_Simulation information PKG_R（SGA）" xfId="6593" xr:uid="{F7B9AB9A-6F2C-4B9A-A757-A0F030A72C37}"/>
    <cellStyle name="_xf05年工厂损益预算表格3-1215_DFL FY05　Budget_FY08 PIC guideline(07.10.02KPI)_v1 FY11 Budget Sim summary" xfId="6594" xr:uid="{04F0789C-0CE3-4050-A55E-D3A03E7F9D97}"/>
    <cellStyle name="_xf05年工厂损益预算表格3-1215_DFL FY05　Budget_FY08 PIC guideline(07.10.02KPI)_v1 FY11 Budget Sim summary_FY12 Budget Final OC-China" xfId="6595" xr:uid="{4DA08695-6D97-4ACD-8CF2-CF822BD730D1}"/>
    <cellStyle name="_xf05年工厂损益预算表格3-1215_DFL FY05　Budget_FY08 PIC guideline(07.10.02KPI)_v1 FY11 Budget Sim summary_Sample Format" xfId="6596" xr:uid="{F469ECD7-66EA-435F-B101-A4F5D308AFBD}"/>
    <cellStyle name="_xf05年工厂损益预算表格3-1215_DFL FY05　Budget_FY08 PIC guideline(07.10.02KPI)_v1 FY11 Budget Sim summary_Sample Format_Ａ&amp;O Consolidation Format_FCST3+9_v3" xfId="6597" xr:uid="{3BEDDB86-4C3A-4D82-9CE7-62068DB54953}"/>
    <cellStyle name="_xf05年工厂损益预算表格3-1215_DFL FY05　Budget_FY08 PIC guideline(07.10.02KPI)_v1 FY11 Budget Sim summary_Sample Format_A&amp;O Format" xfId="6598" xr:uid="{1BFEE57F-F9DB-4ECA-956D-734379934973}"/>
    <cellStyle name="_xf05年工厂损益预算表格3-1215_DFL FY05　Budget_FY08 PIC guideline(07.10.02KPI)_v1 FY11 Budget Sim summary_Sample Format_A&amp;O Format_FCST3+9" xfId="6599" xr:uid="{FA05D5FD-7E8B-4B1F-820B-44E64D22B28F}"/>
    <cellStyle name="_xf05年工厂损益预算表格3-1215_DFL FY05　Budget_FY08 PIC guideline(07.10.02KPI)_v1 FY11 Budget Sim summary_Sample Format_A&amp;O Format_FCST3+9_v1" xfId="6600" xr:uid="{7512F488-B118-4639-9771-5B5A899A01E1}"/>
    <cellStyle name="_xf05年工厂损益预算表格3-1215_DFL FY05　Budget_FY08 PIC guideline(07.10.02KPI)_v2 CHAO #2 Forecast Summary" xfId="6601" xr:uid="{8124E6E3-2E4E-4A6F-A6C7-9C32BBF54619}"/>
    <cellStyle name="_xf05年工厂损益预算表格3-1215_DFL FY05　Budget_FY08 PIC guideline(07.10.02KPI)_v2 CHAO #2 Forecast Summary_FY12 Budget Final OC-China" xfId="6602" xr:uid="{D7720315-A3E2-46F6-833C-82BAE948397D}"/>
    <cellStyle name="_xf05年工厂损益预算表格3-1215_DFL FY05　Budget_FY08 PIC guideline(07.10.02KPI)_v2 CHAO #2 Forecast Summary_Sample Format" xfId="6603" xr:uid="{E98AECAE-51BD-4C9C-9DD8-058C33B46E41}"/>
    <cellStyle name="_xf05年工厂损益预算表格3-1215_DFL FY05　Budget_FY08 PIC guideline(07.10.02KPI)_v2 CHAO #2 Forecast Summary_Sample Format_Ａ&amp;O Consolidation Format_FCST3+9_v3" xfId="6604" xr:uid="{C8A0745F-0AAC-4433-AF09-A191AB8291AE}"/>
    <cellStyle name="_xf05年工厂损益预算表格3-1215_DFL FY05　Budget_FY08 PIC guideline(07.10.02KPI)_v2 CHAO #2 Forecast Summary_Sample Format_A&amp;O Format" xfId="6605" xr:uid="{627FC2A6-FE67-435D-A4D5-09BB0E562CBE}"/>
    <cellStyle name="_xf05年工厂损益预算表格3-1215_DFL FY05　Budget_FY08 PIC guideline(07.10.02KPI)_v2 CHAO #2 Forecast Summary_Sample Format_A&amp;O Format_FCST3+9" xfId="6606" xr:uid="{254881EC-75FD-4A68-825F-612812F841D6}"/>
    <cellStyle name="_xf05年工厂损益预算表格3-1215_DFL FY05　Budget_FY08 PIC guideline(07.10.02KPI)_v2 CHAO #2 Forecast Summary_Sample Format_A&amp;O Format_FCST3+9_v1" xfId="6607" xr:uid="{13858752-93BD-457B-BD90-F9B1E95366AE}"/>
    <cellStyle name="_xf05年工厂损益预算表格3-1215_DFL FY05　Budget_FY08 PIC guideline(07.10.02KPI)_v2 FY10 FC#2_OP_Variance" xfId="6608" xr:uid="{502E8EEE-634E-4AFD-A60A-DD4A7DF4DF9F}"/>
    <cellStyle name="_xf05年工厂损益预算表格3-1215_DFL FY05　Budget_FY08 PIC guideline(07.10.02KPI)_v2 FY10 FC#2_OP_Variance_FY12 Budget Final OC-China" xfId="6609" xr:uid="{DAD17CD5-2DC2-4936-A1F1-7EEB5D268B66}"/>
    <cellStyle name="_xf05年工厂损益预算表格3-1215_DFL FY05　Budget_FY08 PIC guideline(07.10.02KPI)_v2 FY10 FC#2_OP_Variance_Sample Format" xfId="6610" xr:uid="{ABE1A01B-0615-4E2F-9641-FD2C46D4FDDC}"/>
    <cellStyle name="_xf05年工厂损益预算表格3-1215_DFL FY05　Budget_FY08 PIC guideline(07.10.02KPI)_v2 FY10 FC#2_OP_Variance_Sample Format_Ａ&amp;O Consolidation Format_FCST3+9_v3" xfId="6611" xr:uid="{CD989860-DF18-4F17-8BB3-9DF97EA2CA96}"/>
    <cellStyle name="_xf05年工厂损益预算表格3-1215_DFL FY05　Budget_FY08 PIC guideline(07.10.02KPI)_v2 FY10 FC#2_OP_Variance_Sample Format_A&amp;O Format" xfId="6612" xr:uid="{524B2A48-3EF5-41E9-AF35-607421F7C401}"/>
    <cellStyle name="_xf05年工厂损益预算表格3-1215_DFL FY05　Budget_FY08 PIC guideline(07.10.02KPI)_v2 FY10 FC#2_OP_Variance_Sample Format_A&amp;O Format_FCST3+9" xfId="6613" xr:uid="{0871CBD9-6CC5-43BB-8AE4-ED3C0F776F3E}"/>
    <cellStyle name="_xf05年工厂损益预算表格3-1215_DFL FY05　Budget_FY08 PIC guideline(07.10.02KPI)_v2 FY10 FC#2_OP_Variance_Sample Format_A&amp;O Format_FCST3+9_v1" xfId="6614" xr:uid="{67151877-DF94-4E76-9486-9079446B4197}"/>
    <cellStyle name="_xf05年工厂损益预算表格3-1215_DFL FY05　Budget_FY08 PIC guideline(07.10.02KPI)_v5 FY11 Budget Sim summary" xfId="6615" xr:uid="{FA822693-D747-4409-BC38-04F700459397}"/>
    <cellStyle name="_xf05年工厂损益预算表格3-1215_DFL FY05　Budget_FY08 PIC guideline(07.10.02KPI)_v5 FY11 Budget Sim summary_FY12 Budget Final OC-China" xfId="6616" xr:uid="{F3B8CD93-B8C8-44C5-8395-5CD47291BA0B}"/>
    <cellStyle name="_xf05年工厂损益预算表格3-1215_DFL FY05　Budget_FY08 PIC guideline(07.10.02KPI)_v5 FY11 Budget Sim summary_Sample Format" xfId="6617" xr:uid="{3C783016-B1A9-4E77-83A3-73593A4549FA}"/>
    <cellStyle name="_xf05年工厂损益预算表格3-1215_DFL FY05　Budget_FY08 PIC guideline(07.10.02KPI)_v5 FY11 Budget Sim summary_Sample Format_Ａ&amp;O Consolidation Format_FCST3+9_v3" xfId="6618" xr:uid="{89076DCC-511E-4757-BDD1-EF24361C366D}"/>
    <cellStyle name="_xf05年工厂损益预算表格3-1215_DFL FY05　Budget_FY08 PIC guideline(07.10.02KPI)_v5 FY11 Budget Sim summary_Sample Format_A&amp;O Format" xfId="6619" xr:uid="{22FB8395-548F-412F-991C-A31A326204DE}"/>
    <cellStyle name="_xf05年工厂损益预算表格3-1215_DFL FY05　Budget_FY08 PIC guideline(07.10.02KPI)_v5 FY11 Budget Sim summary_Sample Format_A&amp;O Format_FCST3+9" xfId="6620" xr:uid="{969935D9-147F-4A96-8CEC-7426DC3965A1}"/>
    <cellStyle name="_xf05年工厂损益预算表格3-1215_DFL FY05　Budget_FY08 PIC guideline(07.10.02KPI)_v5 FY11 Budget Sim summary_Sample Format_A&amp;O Format_FCST3+9_v1" xfId="6621" xr:uid="{0B3EFFA0-7D98-4A56-A5CE-D554F3499474}"/>
    <cellStyle name="_xf05年工厂损益预算表格3-1215_DFL FY05　Budget_FY08 PIC guideline(07.10.02KPI)_コピー【Master】 FY12 Simula tion Excel PKG for Auto" xfId="6622" xr:uid="{03DD1467-E888-4FD8-AA9F-4CC0AF6C6681}"/>
    <cellStyle name="_xf05年工厂损益预算表格3-1215_DFL FY05　Budget_FY08 PIC guideline(07.10.02KPI)_これマスター　FCF_FY12 Simulation Excel PKG for Auto" xfId="6623" xr:uid="{84067DAE-C609-4CAC-84BC-CD4095CBEAAA}"/>
    <cellStyle name="_xf05年工厂损益预算表格3-1215_DFL FY05　Budget_FY10 FC#2_OP_Variance" xfId="6624" xr:uid="{77A03A3E-8738-4B1F-9C49-A9E1150FC838}"/>
    <cellStyle name="_xf05年工厂损益预算表格3-1215_DFL FY05　Budget_FY10 FC#2_OP_Variance_FY12 Budget Final OC-China" xfId="6625" xr:uid="{CF8CF8E6-7C64-4294-9AE9-9A5A3860C7F2}"/>
    <cellStyle name="_xf05年工厂损益预算表格3-1215_DFL FY05　Budget_FY10 FC#2_OP_Variance_Sample Format" xfId="6626" xr:uid="{07BBC3D4-1E1C-498B-801E-17760F634734}"/>
    <cellStyle name="_xf05年工厂损益预算表格3-1215_DFL FY05　Budget_FY10 FC#2_OP_Variance_Sample Format_Ａ&amp;O Consolidation Format_FCST3+9_v3" xfId="6627" xr:uid="{E6339AC9-DEDE-429E-97F5-D0A641B08353}"/>
    <cellStyle name="_xf05年工厂损益预算表格3-1215_DFL FY05　Budget_FY10 FC#2_OP_Variance_Sample Format_A&amp;O Format" xfId="6628" xr:uid="{491C66D3-41A3-49A1-A2BF-68C428A135B9}"/>
    <cellStyle name="_xf05年工厂损益预算表格3-1215_DFL FY05　Budget_FY10 FC#2_OP_Variance_Sample Format_A&amp;O Format_FCST3+9" xfId="6629" xr:uid="{38D6F946-218F-434F-926A-960033F7FA23}"/>
    <cellStyle name="_xf05年工厂损益预算表格3-1215_DFL FY05　Budget_FY10 FC#2_OP_Variance_Sample Format_A&amp;O Format_FCST3+9_v1" xfId="6630" xr:uid="{EBC76E86-D0F3-4AB9-AE34-A174C6D80795}"/>
    <cellStyle name="_xf05年工厂损益预算表格3-1215_DFL FY05　Budget_FY11 Reply#1_FY11 3X9" xfId="6631" xr:uid="{C8E71797-91A3-4422-AEAF-0C2B958516E8}"/>
    <cellStyle name="_xf05年工厂损益预算表格3-1215_DFL FY05　Budget_FY12 BP_Simulation information PKG_R" xfId="6632" xr:uid="{6E06A9BB-5C35-4F17-A826-561AE9DAE6FE}"/>
    <cellStyle name="_xf05年工厂损益预算表格3-1215_DFL FY05　Budget_FY12 BP_Simulation information PKG_R（SGA）" xfId="6633" xr:uid="{B153C93E-BF97-4A10-BD3D-30B61C0B811B}"/>
    <cellStyle name="_xf05年工厂损益预算表格3-1215_DFL FY05　Budget_MFG_Reply_Summary(07-11-02版)" xfId="6634" xr:uid="{B20E5F70-4C36-461B-AEB8-1ABCBB0A65FF}"/>
    <cellStyle name="_xf05年工厂损益预算表格3-1215_DFL FY05　Budget_MFG_Reply_Summary(07-11-02版)_#1 Forecast Summary" xfId="6635" xr:uid="{EEBD9A63-57D7-4158-B260-E7CE28339ED0}"/>
    <cellStyle name="_xf05年工厂损益预算表格3-1215_DFL FY05　Budget_MFG_Reply_Summary(07-11-02版)_#1 Forecast Summary_FY12 Budget Final OC-China" xfId="6636" xr:uid="{5522FBDD-EBD6-44D8-BB61-EDF520DEF5C6}"/>
    <cellStyle name="_xf05年工厂损益预算表格3-1215_DFL FY05　Budget_MFG_Reply_Summary(07-11-02版)_#1 Forecast Summary_Sample Format" xfId="6637" xr:uid="{621948F0-995F-4BB7-98C5-A07117CE209D}"/>
    <cellStyle name="_xf05年工厂损益预算表格3-1215_DFL FY05　Budget_MFG_Reply_Summary(07-11-02版)_#1 Forecast Summary_Sample Format_Ａ&amp;O Consolidation Format_FCST3+9_v3" xfId="6638" xr:uid="{7878D3B8-D8F8-47DA-9E98-3B90F2CAF73A}"/>
    <cellStyle name="_xf05年工厂损益预算表格3-1215_DFL FY05　Budget_MFG_Reply_Summary(07-11-02版)_#1 Forecast Summary_Sample Format_A&amp;O Format" xfId="6639" xr:uid="{F295D4AD-DA9A-4C31-A692-B1A3FD3547F8}"/>
    <cellStyle name="_xf05年工厂损益预算表格3-1215_DFL FY05　Budget_MFG_Reply_Summary(07-11-02版)_#1 Forecast Summary_Sample Format_A&amp;O Format_FCST3+9" xfId="6640" xr:uid="{8F396325-253F-40E9-B638-5C91D429895B}"/>
    <cellStyle name="_xf05年工厂损益预算表格3-1215_DFL FY05　Budget_MFG_Reply_Summary(07-11-02版)_#1 Forecast Summary_Sample Format_A&amp;O Format_FCST3+9_v1" xfId="6641" xr:uid="{DCA13219-F562-435C-9980-9FB0C1C15B0B}"/>
    <cellStyle name="_xf05年工厂损益预算表格3-1215_DFL FY05　Budget_MFG_Reply_Summary(07-11-02版)_(CHAO) FY10 Forecast#1 Regional Comment" xfId="6642" xr:uid="{98BC42FF-7E9E-4E1E-97AC-E5ACFDBC1E3C}"/>
    <cellStyle name="_xf05年工厂损益预算表格3-1215_DFL FY05　Budget_MFG_Reply_Summary(07-11-02版)_(CHAO) FY10 Forecast#1 Regional Comment_FY12 Budget Final OC-China" xfId="6643" xr:uid="{EF85B7F6-2456-4AFF-BD7F-FEBA84F50985}"/>
    <cellStyle name="_xf05年工厂损益预算表格3-1215_DFL FY05　Budget_MFG_Reply_Summary(07-11-02版)_(CHAO) FY10 Forecast#1 Regional Comment_Sample Format" xfId="6644" xr:uid="{328B7754-58E5-4CA8-B565-20B7C9048562}"/>
    <cellStyle name="_xf05年工厂损益预算表格3-1215_DFL FY05　Budget_MFG_Reply_Summary(07-11-02版)_(CHAO) FY10 Forecast#1 Regional Comment_Sample Format_Ａ&amp;O Consolidation Format_FCST3+9_v3" xfId="6645" xr:uid="{C760E7B1-A5F1-40C5-8F43-B93212487CFA}"/>
    <cellStyle name="_xf05年工厂损益预算表格3-1215_DFL FY05　Budget_MFG_Reply_Summary(07-11-02版)_(CHAO) FY10 Forecast#1 Regional Comment_Sample Format_A&amp;O Format" xfId="6646" xr:uid="{40CBAE77-6D4B-41AE-9C41-38B2601D877B}"/>
    <cellStyle name="_xf05年工厂损益预算表格3-1215_DFL FY05　Budget_MFG_Reply_Summary(07-11-02版)_(CHAO) FY10 Forecast#1 Regional Comment_Sample Format_A&amp;O Format_FCST3+9" xfId="6647" xr:uid="{D2BA90C9-817D-4468-95DD-7570C66A097D}"/>
    <cellStyle name="_xf05年工厂损益预算表格3-1215_DFL FY05　Budget_MFG_Reply_Summary(07-11-02版)_(CHAO) FY10 Forecast#1 Regional Comment_Sample Format_A&amp;O Format_FCST3+9_v1" xfId="6648" xr:uid="{73290FBA-905E-43B9-BB03-A06480DEA777}"/>
    <cellStyle name="_xf05年工厂损益预算表格3-1215_DFL FY05　Budget_MFG_Reply_Summary(07-11-02版)_【Master】 FY12 Simulation Excel PKG for Auto" xfId="6649" xr:uid="{B89900E2-C801-4BB2-861D-6096E20F97E0}"/>
    <cellStyle name="_xf05年工厂损益预算表格3-1215_DFL FY05　Budget_MFG_Reply_Summary(07-11-02版)_【Master】 FY12 Simulation Excel PKG for Auto (2)" xfId="6650" xr:uid="{515FF080-9345-4989-9C2A-0727CE8CD4B4}"/>
    <cellStyle name="_xf05年工厂损益预算表格3-1215_DFL FY05　Budget_MFG_Reply_Summary(07-11-02版)_【Master】 FY12 Simulation Excel PKG for Auto_sugii" xfId="6651" xr:uid="{3C52E30F-0A41-4124-8B6C-3E7DABD2C5EF}"/>
    <cellStyle name="_xf05年工厂损益预算表格3-1215_DFL FY05　Budget_MFG_Reply_Summary(07-11-02版)_【Master】 FY12 Simulation Excel PKG for Auto_sugii (2)" xfId="6652" xr:uid="{41DFE462-96F5-4E2A-94D2-73CAE0ED1EC7}"/>
    <cellStyle name="_xf05年工厂损益预算表格3-1215_DFL FY05　Budget_MFG_Reply_Summary(07-11-02版)_【Shibayama】 FY12 Simulation Excel PKG for Auto" xfId="6653" xr:uid="{BC7B30C7-87D4-4F72-8416-4FBF97EB2151}"/>
    <cellStyle name="_xf05年工厂损益预算表格3-1215_DFL FY05　Budget_MFG_Reply_Summary(07-11-02版)_Ａ&amp;O Consolidation Format_FCST3+9_v3" xfId="6654" xr:uid="{EC28E593-2444-4866-87D3-1B7B50348033}"/>
    <cellStyle name="_xf05年工厂损益预算表格3-1215_DFL FY05　Budget_MFG_Reply_Summary(07-11-02版)_A&amp;O Format" xfId="6655" xr:uid="{119AF73B-05BB-417E-8ABA-BC22EC296FE6}"/>
    <cellStyle name="_xf05年工厂损益预算表格3-1215_DFL FY05　Budget_MFG_Reply_Summary(07-11-02版)_A&amp;O Format_FCST3+9" xfId="6656" xr:uid="{B3272BDF-F0A9-44C3-9F66-3A84021CE67B}"/>
    <cellStyle name="_xf05年工厂损益预算表格3-1215_DFL FY05　Budget_MFG_Reply_Summary(07-11-02版)_A&amp;O Format_FCST3+9_v1" xfId="6657" xr:uid="{C5B6A2E1-0AD5-438C-8C24-2936444B2D61}"/>
    <cellStyle name="_xf05年工厂损益预算表格3-1215_DFL FY05　Budget_MFG_Reply_Summary(07-11-02版)_CHAO #2 Forecast Summary" xfId="6658" xr:uid="{C78C1391-F9DC-4B80-BE9B-339E1CF00C15}"/>
    <cellStyle name="_xf05年工厂损益预算表格3-1215_DFL FY05　Budget_MFG_Reply_Summary(07-11-02版)_CHAO #2 Forecast Summary_FY12 Budget Final OC-China" xfId="6659" xr:uid="{5A5D536E-9DD0-40EB-A49B-E6DD9E5502F1}"/>
    <cellStyle name="_xf05年工厂损益预算表格3-1215_DFL FY05　Budget_MFG_Reply_Summary(07-11-02版)_CHAO #2 Forecast Summary_Sample Format" xfId="6660" xr:uid="{A3C88DF2-F5A4-40E4-A68D-CECBA2F26981}"/>
    <cellStyle name="_xf05年工厂损益预算表格3-1215_DFL FY05　Budget_MFG_Reply_Summary(07-11-02版)_CHAO #2 Forecast Summary_Sample Format_Ａ&amp;O Consolidation Format_FCST3+9_v3" xfId="6661" xr:uid="{56D55D65-9E1D-44D6-A453-2879A7B113C1}"/>
    <cellStyle name="_xf05年工厂损益预算表格3-1215_DFL FY05　Budget_MFG_Reply_Summary(07-11-02版)_CHAO #2 Forecast Summary_Sample Format_A&amp;O Format" xfId="6662" xr:uid="{C77F59A1-A8AE-4C87-901D-85FC0AE46618}"/>
    <cellStyle name="_xf05年工厂损益预算表格3-1215_DFL FY05　Budget_MFG_Reply_Summary(07-11-02版)_CHAO #2 Forecast Summary_Sample Format_A&amp;O Format_FCST3+9" xfId="6663" xr:uid="{09322558-0A9B-40A8-8EAF-F606ECE930E2}"/>
    <cellStyle name="_xf05年工厂损益预算表格3-1215_DFL FY05　Budget_MFG_Reply_Summary(07-11-02版)_CHAO #2 Forecast Summary_Sample Format_A&amp;O Format_FCST3+9_v1" xfId="6664" xr:uid="{A8DBE5B5-A7C6-4999-82DC-D6AEA45F4575}"/>
    <cellStyle name="_xf05年工厂损益预算表格3-1215_DFL FY05　Budget_MFG_Reply_Summary(07-11-02版)_Correct FC#2 AO OP" xfId="6665" xr:uid="{878B94F7-27C9-437E-9E10-406A1F5CAF9C}"/>
    <cellStyle name="_xf05年工厂损益预算表格3-1215_DFL FY05　Budget_MFG_Reply_Summary(07-11-02版)_Correct FC#2 AO OP_FY12 Budget Final OC-China" xfId="6666" xr:uid="{53CD47B4-A0C3-4D1A-9523-0704E198AC40}"/>
    <cellStyle name="_xf05年工厂损益预算表格3-1215_DFL FY05　Budget_MFG_Reply_Summary(07-11-02版)_Correct FC#2 AO OP_Sample Format" xfId="6667" xr:uid="{62F13956-E9C3-4995-9099-F956CBD4A21A}"/>
    <cellStyle name="_xf05年工厂损益预算表格3-1215_DFL FY05　Budget_MFG_Reply_Summary(07-11-02版)_Correct FC#2 AO OP_Sample Format_Ａ&amp;O Consolidation Format_FCST3+9_v3" xfId="6668" xr:uid="{56491F1A-316F-4BDE-8B71-B29108FF281C}"/>
    <cellStyle name="_xf05年工厂损益预算表格3-1215_DFL FY05　Budget_MFG_Reply_Summary(07-11-02版)_Correct FC#2 AO OP_Sample Format_A&amp;O Format" xfId="6669" xr:uid="{2A2DD227-3975-4F6A-BB37-53972AB8DB5B}"/>
    <cellStyle name="_xf05年工厂损益预算表格3-1215_DFL FY05　Budget_MFG_Reply_Summary(07-11-02版)_Correct FC#2 AO OP_Sample Format_A&amp;O Format_FCST3+9" xfId="6670" xr:uid="{3E6FE716-A1C7-4BB1-A267-88C1B25CE31C}"/>
    <cellStyle name="_xf05年工厂损益预算表格3-1215_DFL FY05　Budget_MFG_Reply_Summary(07-11-02版)_Correct FC#2 AO OP_Sample Format_A&amp;O Format_FCST3+9_v1" xfId="6671" xr:uid="{44797B4E-72DA-494C-BD17-F059369A0CD6}"/>
    <cellStyle name="_xf05年工厂损益预算表格3-1215_DFL FY05　Budget_MFG_Reply_Summary(07-11-02版)_FY10 FC#2_OP_Variance" xfId="6672" xr:uid="{02ADA3C0-960A-492D-8A7D-C67E33FA3FCA}"/>
    <cellStyle name="_xf05年工厂损益预算表格3-1215_DFL FY05　Budget_MFG_Reply_Summary(07-11-02版)_FY10 FC#2_OP_Variance_FY12 Budget Final OC-China" xfId="6673" xr:uid="{1268BF60-540D-4D0B-A050-7543D55997AB}"/>
    <cellStyle name="_xf05年工厂损益预算表格3-1215_DFL FY05　Budget_MFG_Reply_Summary(07-11-02版)_FY10 FC#2_OP_Variance_Sample Format" xfId="6674" xr:uid="{6788879B-E7B9-4FE4-A438-5F994CFC1D1F}"/>
    <cellStyle name="_xf05年工厂损益预算表格3-1215_DFL FY05　Budget_MFG_Reply_Summary(07-11-02版)_FY10 FC#2_OP_Variance_Sample Format_Ａ&amp;O Consolidation Format_FCST3+9_v3" xfId="6675" xr:uid="{2963419A-4446-403E-959C-4A3F8FE0D544}"/>
    <cellStyle name="_xf05年工厂损益预算表格3-1215_DFL FY05　Budget_MFG_Reply_Summary(07-11-02版)_FY10 FC#2_OP_Variance_Sample Format_A&amp;O Format" xfId="6676" xr:uid="{A9D25B31-EE6F-4249-85DD-A89B443AA2EC}"/>
    <cellStyle name="_xf05年工厂损益预算表格3-1215_DFL FY05　Budget_MFG_Reply_Summary(07-11-02版)_FY10 FC#2_OP_Variance_Sample Format_A&amp;O Format_FCST3+9" xfId="6677" xr:uid="{5868C655-F496-4DF3-8220-630EE414AB8F}"/>
    <cellStyle name="_xf05年工厂损益预算表格3-1215_DFL FY05　Budget_MFG_Reply_Summary(07-11-02版)_FY10 FC#2_OP_Variance_Sample Format_A&amp;O Format_FCST3+9_v1" xfId="6678" xr:uid="{94752626-877B-40C5-85F2-97CD99636CCB}"/>
    <cellStyle name="_xf05年工厂损益预算表格3-1215_DFL FY05　Budget_MFG_Reply_Summary(07-11-02版)_FY12 BP_Simulation information PKG_R" xfId="6679" xr:uid="{2CBC2572-FDC6-413A-9869-701C70DEDCFE}"/>
    <cellStyle name="_xf05年工厂损益预算表格3-1215_DFL FY05　Budget_MFG_Reply_Summary(07-11-02版)_FY12 BP_Simulation information PKG_R（SGA）" xfId="6680" xr:uid="{FC095B6A-FBD3-42F7-8613-694F4B81A6AA}"/>
    <cellStyle name="_xf05年工厂损益预算表格3-1215_DFL FY05　Budget_MFG_Reply_Summary(07-11-02版)_v1 FY11 Budget Sim summary" xfId="6681" xr:uid="{BF2FB7A3-A6BF-4880-A7D8-27F9CE599126}"/>
    <cellStyle name="_xf05年工厂损益预算表格3-1215_DFL FY05　Budget_MFG_Reply_Summary(07-11-02版)_v1 FY11 Budget Sim summary_FY12 Budget Final OC-China" xfId="6682" xr:uid="{B8CCA12E-6B3D-48EB-A931-BDBED4809F5A}"/>
    <cellStyle name="_xf05年工厂损益预算表格3-1215_DFL FY05　Budget_MFG_Reply_Summary(07-11-02版)_v1 FY11 Budget Sim summary_Sample Format" xfId="6683" xr:uid="{45CCAD59-3D16-44DE-A3B9-CB5FA4B1A795}"/>
    <cellStyle name="_xf05年工厂损益预算表格3-1215_DFL FY05　Budget_MFG_Reply_Summary(07-11-02版)_v1 FY11 Budget Sim summary_Sample Format_Ａ&amp;O Consolidation Format_FCST3+9_v3" xfId="6684" xr:uid="{485B3909-6B9A-4C15-96A9-67B592123AA1}"/>
    <cellStyle name="_xf05年工厂损益预算表格3-1215_DFL FY05　Budget_MFG_Reply_Summary(07-11-02版)_v1 FY11 Budget Sim summary_Sample Format_A&amp;O Format" xfId="6685" xr:uid="{DC28B0F7-D490-4818-9339-E06B80209F23}"/>
    <cellStyle name="_xf05年工厂损益预算表格3-1215_DFL FY05　Budget_MFG_Reply_Summary(07-11-02版)_v1 FY11 Budget Sim summary_Sample Format_A&amp;O Format_FCST3+9" xfId="6686" xr:uid="{53086303-F03A-45DC-926E-CFBB4B0700C0}"/>
    <cellStyle name="_xf05年工厂损益预算表格3-1215_DFL FY05　Budget_MFG_Reply_Summary(07-11-02版)_v1 FY11 Budget Sim summary_Sample Format_A&amp;O Format_FCST3+9_v1" xfId="6687" xr:uid="{94C41E71-EDEC-4434-8EF5-631957CA56D9}"/>
    <cellStyle name="_xf05年工厂损益预算表格3-1215_DFL FY05　Budget_MFG_Reply_Summary(07-11-02版)_v2 CHAO #2 Forecast Summary" xfId="6688" xr:uid="{FABDB641-3244-452A-AD27-2F6F9EFDC967}"/>
    <cellStyle name="_xf05年工厂损益预算表格3-1215_DFL FY05　Budget_MFG_Reply_Summary(07-11-02版)_v2 CHAO #2 Forecast Summary_FY12 Budget Final OC-China" xfId="6689" xr:uid="{FA4038C7-BF59-4EE9-A4E9-F8C509A29C72}"/>
    <cellStyle name="_xf05年工厂损益预算表格3-1215_DFL FY05　Budget_MFG_Reply_Summary(07-11-02版)_v2 CHAO #2 Forecast Summary_Sample Format" xfId="6690" xr:uid="{F10516EE-B475-4173-A091-657ABB5FE921}"/>
    <cellStyle name="_xf05年工厂损益预算表格3-1215_DFL FY05　Budget_MFG_Reply_Summary(07-11-02版)_v2 CHAO #2 Forecast Summary_Sample Format_Ａ&amp;O Consolidation Format_FCST3+9_v3" xfId="6691" xr:uid="{75F9E3D2-E95B-4BEF-BE36-20B50492C8D4}"/>
    <cellStyle name="_xf05年工厂损益预算表格3-1215_DFL FY05　Budget_MFG_Reply_Summary(07-11-02版)_v2 CHAO #2 Forecast Summary_Sample Format_A&amp;O Format" xfId="6692" xr:uid="{082AF7B4-13FD-43D8-91FF-1F0C70A78DFF}"/>
    <cellStyle name="_xf05年工厂损益预算表格3-1215_DFL FY05　Budget_MFG_Reply_Summary(07-11-02版)_v2 CHAO #2 Forecast Summary_Sample Format_A&amp;O Format_FCST3+9" xfId="6693" xr:uid="{945ABD3C-962E-4CC6-B86D-7983B9DD8B3D}"/>
    <cellStyle name="_xf05年工厂损益预算表格3-1215_DFL FY05　Budget_MFG_Reply_Summary(07-11-02版)_v2 CHAO #2 Forecast Summary_Sample Format_A&amp;O Format_FCST3+9_v1" xfId="6694" xr:uid="{ECAD669C-3AFF-48B3-BF85-62B001BCED8E}"/>
    <cellStyle name="_xf05年工厂损益预算表格3-1215_DFL FY05　Budget_MFG_Reply_Summary(07-11-02版)_v2 FY10 FC#2_OP_Variance" xfId="6695" xr:uid="{289DEA03-9D60-4815-A385-1B175F481E52}"/>
    <cellStyle name="_xf05年工厂损益预算表格3-1215_DFL FY05　Budget_MFG_Reply_Summary(07-11-02版)_v2 FY10 FC#2_OP_Variance_FY12 Budget Final OC-China" xfId="6696" xr:uid="{F4B03055-EB18-4861-943C-14A7229E2BD8}"/>
    <cellStyle name="_xf05年工厂损益预算表格3-1215_DFL FY05　Budget_MFG_Reply_Summary(07-11-02版)_v2 FY10 FC#2_OP_Variance_Sample Format" xfId="6697" xr:uid="{A46B62D2-CE2C-410A-99A9-6F368F4C4499}"/>
    <cellStyle name="_xf05年工厂损益预算表格3-1215_DFL FY05　Budget_MFG_Reply_Summary(07-11-02版)_v2 FY10 FC#2_OP_Variance_Sample Format_Ａ&amp;O Consolidation Format_FCST3+9_v3" xfId="6698" xr:uid="{0EC9567A-3A3A-4DD8-828C-471FC8A871DD}"/>
    <cellStyle name="_xf05年工厂损益预算表格3-1215_DFL FY05　Budget_MFG_Reply_Summary(07-11-02版)_v2 FY10 FC#2_OP_Variance_Sample Format_A&amp;O Format" xfId="6699" xr:uid="{E0D55398-0BFA-4DBC-AC87-21361B69358B}"/>
    <cellStyle name="_xf05年工厂损益预算表格3-1215_DFL FY05　Budget_MFG_Reply_Summary(07-11-02版)_v2 FY10 FC#2_OP_Variance_Sample Format_A&amp;O Format_FCST3+9" xfId="6700" xr:uid="{EADF7946-67BC-446D-88BD-3A3BF56D6FFC}"/>
    <cellStyle name="_xf05年工厂损益预算表格3-1215_DFL FY05　Budget_MFG_Reply_Summary(07-11-02版)_v2 FY10 FC#2_OP_Variance_Sample Format_A&amp;O Format_FCST3+9_v1" xfId="6701" xr:uid="{C48A7FB5-DC17-4E92-8B37-8D614E59C6BA}"/>
    <cellStyle name="_xf05年工厂损益预算表格3-1215_DFL FY05　Budget_MFG_Reply_Summary(07-11-02版)_v5 FY11 Budget Sim summary" xfId="6702" xr:uid="{2CBE4CEC-73D3-414A-8D9C-D7B1C47FA909}"/>
    <cellStyle name="_xf05年工厂损益预算表格3-1215_DFL FY05　Budget_MFG_Reply_Summary(07-11-02版)_v5 FY11 Budget Sim summary_FY12 Budget Final OC-China" xfId="6703" xr:uid="{1C2BFA49-E5C0-414E-8F75-8310B5C55B42}"/>
    <cellStyle name="_xf05年工厂损益预算表格3-1215_DFL FY05　Budget_MFG_Reply_Summary(07-11-02版)_v5 FY11 Budget Sim summary_Sample Format" xfId="6704" xr:uid="{E7506684-EB08-4AAA-8E4F-5BD54536799C}"/>
    <cellStyle name="_xf05年工厂损益预算表格3-1215_DFL FY05　Budget_MFG_Reply_Summary(07-11-02版)_v5 FY11 Budget Sim summary_Sample Format_Ａ&amp;O Consolidation Format_FCST3+9_v3" xfId="6705" xr:uid="{01FAAD49-6A7E-48B2-B097-7F69EEFF8568}"/>
    <cellStyle name="_xf05年工厂损益预算表格3-1215_DFL FY05　Budget_MFG_Reply_Summary(07-11-02版)_v5 FY11 Budget Sim summary_Sample Format_A&amp;O Format" xfId="6706" xr:uid="{24653BC0-DBB6-4734-875B-6FF6D3E68328}"/>
    <cellStyle name="_xf05年工厂损益预算表格3-1215_DFL FY05　Budget_MFG_Reply_Summary(07-11-02版)_v5 FY11 Budget Sim summary_Sample Format_A&amp;O Format_FCST3+9" xfId="6707" xr:uid="{21C9322B-3FD3-4952-839B-F728A8CB16AA}"/>
    <cellStyle name="_xf05年工厂损益预算表格3-1215_DFL FY05　Budget_MFG_Reply_Summary(07-11-02版)_v5 FY11 Budget Sim summary_Sample Format_A&amp;O Format_FCST3+9_v1" xfId="6708" xr:uid="{1E37BA99-C946-4993-A14D-32CEC1471D14}"/>
    <cellStyle name="_xf05年工厂损益预算表格3-1215_DFL FY05　Budget_MFG_Reply_Summary(07-11-02版)_コピー【Master】 FY12 Simula tion Excel PKG for Auto" xfId="6709" xr:uid="{03475372-9D0D-4C63-A573-70343A5CF544}"/>
    <cellStyle name="_xf05年工厂损益预算表格3-1215_DFL FY05　Budget_MFG_Reply_Summary(07-11-02版)_これマスター　FCF_FY12 Simulation Excel PKG for Auto" xfId="6710" xr:uid="{97E2E236-B7A7-4175-B9AE-3C01B38C91CF}"/>
    <cellStyle name="_xf05年工厂损益预算表格3-1215_DFL FY05　Budget_MFG_Reply_Suumary" xfId="6711" xr:uid="{979AF7B0-FAFE-43EE-AF2A-1B9A950958E2}"/>
    <cellStyle name="_xf05年工厂损益预算表格3-1215_DFL FY05　Budget_MFG_Reply_Suumary_#1 Forecast Summary" xfId="6712" xr:uid="{4545315E-6A12-445B-B907-059AB7C6C496}"/>
    <cellStyle name="_xf05年工厂损益预算表格3-1215_DFL FY05　Budget_MFG_Reply_Suumary_#1 Forecast Summary_FY12 Budget Final OC-China" xfId="6713" xr:uid="{5928F88F-BD6D-467F-88BD-EA002071D489}"/>
    <cellStyle name="_xf05年工厂损益预算表格3-1215_DFL FY05　Budget_MFG_Reply_Suumary_#1 Forecast Summary_Sample Format" xfId="6714" xr:uid="{6C2366CB-0659-475B-BB68-10848BCC5110}"/>
    <cellStyle name="_xf05年工厂损益预算表格3-1215_DFL FY05　Budget_MFG_Reply_Suumary_#1 Forecast Summary_Sample Format_Ａ&amp;O Consolidation Format_FCST3+9_v3" xfId="6715" xr:uid="{DFB1DAC3-5EDC-435A-A8FC-D1D1E6422190}"/>
    <cellStyle name="_xf05年工厂损益预算表格3-1215_DFL FY05　Budget_MFG_Reply_Suumary_#1 Forecast Summary_Sample Format_A&amp;O Format" xfId="6716" xr:uid="{F4FA974B-89A7-46C2-BC01-8DED6E190F18}"/>
    <cellStyle name="_xf05年工厂损益预算表格3-1215_DFL FY05　Budget_MFG_Reply_Suumary_#1 Forecast Summary_Sample Format_A&amp;O Format_FCST3+9" xfId="6717" xr:uid="{47C78058-CA6F-40DA-BD3D-18291487D871}"/>
    <cellStyle name="_xf05年工厂损益预算表格3-1215_DFL FY05　Budget_MFG_Reply_Suumary_#1 Forecast Summary_Sample Format_A&amp;O Format_FCST3+9_v1" xfId="6718" xr:uid="{081670E1-C53A-4360-9287-4085A3A85787}"/>
    <cellStyle name="_xf05年工厂损益预算表格3-1215_DFL FY05　Budget_MFG_Reply_Suumary_(CHAO) FY10 Forecast#1 Regional Comment" xfId="6719" xr:uid="{6D3346BB-B00F-49C7-8978-278475EEA3FB}"/>
    <cellStyle name="_xf05年工厂损益预算表格3-1215_DFL FY05　Budget_MFG_Reply_Suumary_(CHAO) FY10 Forecast#1 Regional Comment_FY12 Budget Final OC-China" xfId="6720" xr:uid="{49C894A6-3D79-4CB6-A852-01248ED2A704}"/>
    <cellStyle name="_xf05年工厂损益预算表格3-1215_DFL FY05　Budget_MFG_Reply_Suumary_(CHAO) FY10 Forecast#1 Regional Comment_Sample Format" xfId="6721" xr:uid="{DDF40D51-3CD3-478E-9867-209873E60D4E}"/>
    <cellStyle name="_xf05年工厂损益预算表格3-1215_DFL FY05　Budget_MFG_Reply_Suumary_(CHAO) FY10 Forecast#1 Regional Comment_Sample Format_Ａ&amp;O Consolidation Format_FCST3+9_v3" xfId="6722" xr:uid="{78CBECD5-02AE-4F53-9897-29F7286551B6}"/>
    <cellStyle name="_xf05年工厂损益预算表格3-1215_DFL FY05　Budget_MFG_Reply_Suumary_(CHAO) FY10 Forecast#1 Regional Comment_Sample Format_A&amp;O Format" xfId="6723" xr:uid="{2CEF25AA-F22E-413E-9372-0C57D0F17353}"/>
    <cellStyle name="_xf05年工厂损益预算表格3-1215_DFL FY05　Budget_MFG_Reply_Suumary_(CHAO) FY10 Forecast#1 Regional Comment_Sample Format_A&amp;O Format_FCST3+9" xfId="6724" xr:uid="{87471E53-735A-451D-A72D-4C45E705561C}"/>
    <cellStyle name="_xf05年工厂损益预算表格3-1215_DFL FY05　Budget_MFG_Reply_Suumary_(CHAO) FY10 Forecast#1 Regional Comment_Sample Format_A&amp;O Format_FCST3+9_v1" xfId="6725" xr:uid="{6E1DC2CC-8763-4037-8C8C-3889F7C11778}"/>
    <cellStyle name="_xf05年工厂损益预算表格3-1215_DFL FY05　Budget_MFG_Reply_Suumary_【Master】 FY12 Simulation Excel PKG for Auto" xfId="6726" xr:uid="{E8B4C7FD-ABEC-48BA-959D-5D8579DBB3AC}"/>
    <cellStyle name="_xf05年工厂损益预算表格3-1215_DFL FY05　Budget_MFG_Reply_Suumary_【Master】 FY12 Simulation Excel PKG for Auto (2)" xfId="6727" xr:uid="{A7902C13-1E5E-4FD4-99EA-FFA9640EB7E1}"/>
    <cellStyle name="_xf05年工厂损益预算表格3-1215_DFL FY05　Budget_MFG_Reply_Suumary_【Master】 FY12 Simulation Excel PKG for Auto_sugii" xfId="6728" xr:uid="{CB6EBD35-519B-486D-94CD-31A8EFCCFA51}"/>
    <cellStyle name="_xf05年工厂损益预算表格3-1215_DFL FY05　Budget_MFG_Reply_Suumary_【Master】 FY12 Simulation Excel PKG for Auto_sugii (2)" xfId="6729" xr:uid="{05FE2ACB-B421-41E5-A653-BE1D52954C02}"/>
    <cellStyle name="_xf05年工厂损益预算表格3-1215_DFL FY05　Budget_MFG_Reply_Suumary_【Shibayama】 FY12 Simulation Excel PKG for Auto" xfId="6730" xr:uid="{64BF6EFD-EA10-4F46-8F22-BC49457F34E0}"/>
    <cellStyle name="_xf05年工厂损益预算表格3-1215_DFL FY05　Budget_MFG_Reply_Suumary_Ａ&amp;O Consolidation Format_FCST3+9_v3" xfId="6731" xr:uid="{F39E00B5-D54D-4F1C-AE81-52FFA0B002E4}"/>
    <cellStyle name="_xf05年工厂损益预算表格3-1215_DFL FY05　Budget_MFG_Reply_Suumary_A&amp;O Format" xfId="6732" xr:uid="{F4A62CAA-6C9D-4368-AFDD-D2ED07BCA45C}"/>
    <cellStyle name="_xf05年工厂损益预算表格3-1215_DFL FY05　Budget_MFG_Reply_Suumary_A&amp;O Format_FCST3+9" xfId="6733" xr:uid="{E7EAAF56-8C57-411C-A784-A13580C0D4D6}"/>
    <cellStyle name="_xf05年工厂损益预算表格3-1215_DFL FY05　Budget_MFG_Reply_Suumary_A&amp;O Format_FCST3+9_v1" xfId="6734" xr:uid="{1978F94A-B6BF-46D7-A663-FCF41A2133AB}"/>
    <cellStyle name="_xf05年工厂损益预算表格3-1215_DFL FY05　Budget_MFG_Reply_Suumary_CHAO #2 Forecast Summary" xfId="6735" xr:uid="{82DAB006-F498-47D9-830A-8852B6C885D4}"/>
    <cellStyle name="_xf05年工厂损益预算表格3-1215_DFL FY05　Budget_MFG_Reply_Suumary_CHAO #2 Forecast Summary_FY12 Budget Final OC-China" xfId="6736" xr:uid="{022A0DAB-B24F-4C20-A2D4-63990D98CDFF}"/>
    <cellStyle name="_xf05年工厂损益预算表格3-1215_DFL FY05　Budget_MFG_Reply_Suumary_CHAO #2 Forecast Summary_Sample Format" xfId="6737" xr:uid="{D275F551-10D6-41A8-B697-08A17BC927DB}"/>
    <cellStyle name="_xf05年工厂损益预算表格3-1215_DFL FY05　Budget_MFG_Reply_Suumary_CHAO #2 Forecast Summary_Sample Format_Ａ&amp;O Consolidation Format_FCST3+9_v3" xfId="6738" xr:uid="{27538E1B-B4C9-41A8-9FC3-CECD34365E71}"/>
    <cellStyle name="_xf05年工厂损益预算表格3-1215_DFL FY05　Budget_MFG_Reply_Suumary_CHAO #2 Forecast Summary_Sample Format_A&amp;O Format" xfId="6739" xr:uid="{E170CA3C-4614-4302-903A-27E9C7367C95}"/>
    <cellStyle name="_xf05年工厂损益预算表格3-1215_DFL FY05　Budget_MFG_Reply_Suumary_CHAO #2 Forecast Summary_Sample Format_A&amp;O Format_FCST3+9" xfId="6740" xr:uid="{4146BE4E-7440-48A5-9450-51CAD9B6C691}"/>
    <cellStyle name="_xf05年工厂损益预算表格3-1215_DFL FY05　Budget_MFG_Reply_Suumary_CHAO #2 Forecast Summary_Sample Format_A&amp;O Format_FCST3+9_v1" xfId="6741" xr:uid="{4F592C49-F746-4DBE-9B94-FF01FB3D4283}"/>
    <cellStyle name="_xf05年工厂损益预算表格3-1215_DFL FY05　Budget_MFG_Reply_Suumary_Correct FC#2 AO OP" xfId="6742" xr:uid="{D5EBF75A-7298-4AF0-9BD2-B7777F47674D}"/>
    <cellStyle name="_xf05年工厂损益预算表格3-1215_DFL FY05　Budget_MFG_Reply_Suumary_Correct FC#2 AO OP_FY12 Budget Final OC-China" xfId="6743" xr:uid="{C69D31B7-7599-4FE5-8993-7C6AFE69D227}"/>
    <cellStyle name="_xf05年工厂损益预算表格3-1215_DFL FY05　Budget_MFG_Reply_Suumary_Correct FC#2 AO OP_Sample Format" xfId="6744" xr:uid="{56461618-0D44-417B-A3C7-4DD54B1A1C48}"/>
    <cellStyle name="_xf05年工厂损益预算表格3-1215_DFL FY05　Budget_MFG_Reply_Suumary_Correct FC#2 AO OP_Sample Format_Ａ&amp;O Consolidation Format_FCST3+9_v3" xfId="6745" xr:uid="{D552E86D-4D5E-4630-B90E-20A0B84F6FAD}"/>
    <cellStyle name="_xf05年工厂损益预算表格3-1215_DFL FY05　Budget_MFG_Reply_Suumary_Correct FC#2 AO OP_Sample Format_A&amp;O Format" xfId="6746" xr:uid="{71378F7B-54E2-4AFF-B990-F611E5DC95DB}"/>
    <cellStyle name="_xf05年工厂损益预算表格3-1215_DFL FY05　Budget_MFG_Reply_Suumary_Correct FC#2 AO OP_Sample Format_A&amp;O Format_FCST3+9" xfId="6747" xr:uid="{57568C8F-5ACA-4EF5-B5BD-304526D7E4E7}"/>
    <cellStyle name="_xf05年工厂损益预算表格3-1215_DFL FY05　Budget_MFG_Reply_Suumary_Correct FC#2 AO OP_Sample Format_A&amp;O Format_FCST3+9_v1" xfId="6748" xr:uid="{42AB4616-CB07-4BE8-BCCF-4A63484E063F}"/>
    <cellStyle name="_xf05年工厂损益预算表格3-1215_DFL FY05　Budget_MFG_Reply_Suumary_FY10 FC#2_OP_Variance" xfId="6749" xr:uid="{5739DAC8-1463-4583-A445-75FE81F5027D}"/>
    <cellStyle name="_xf05年工厂损益预算表格3-1215_DFL FY05　Budget_MFG_Reply_Suumary_FY10 FC#2_OP_Variance_FY12 Budget Final OC-China" xfId="6750" xr:uid="{1E177652-AB10-493A-B412-9D733549E77D}"/>
    <cellStyle name="_xf05年工厂损益预算表格3-1215_DFL FY05　Budget_MFG_Reply_Suumary_FY10 FC#2_OP_Variance_Sample Format" xfId="6751" xr:uid="{534C8EE4-3F1B-4F67-904A-9FA2C87DF9B0}"/>
    <cellStyle name="_xf05年工厂损益预算表格3-1215_DFL FY05　Budget_MFG_Reply_Suumary_FY10 FC#2_OP_Variance_Sample Format_Ａ&amp;O Consolidation Format_FCST3+9_v3" xfId="6752" xr:uid="{20526534-7F4E-42F3-ACF5-A4118AA19926}"/>
    <cellStyle name="_xf05年工厂损益预算表格3-1215_DFL FY05　Budget_MFG_Reply_Suumary_FY10 FC#2_OP_Variance_Sample Format_A&amp;O Format" xfId="6753" xr:uid="{7DACEF2A-965A-4023-A447-ECA70895E6EA}"/>
    <cellStyle name="_xf05年工厂损益预算表格3-1215_DFL FY05　Budget_MFG_Reply_Suumary_FY10 FC#2_OP_Variance_Sample Format_A&amp;O Format_FCST3+9" xfId="6754" xr:uid="{D44641F7-697E-442E-951B-3F98BB296F04}"/>
    <cellStyle name="_xf05年工厂损益预算表格3-1215_DFL FY05　Budget_MFG_Reply_Suumary_FY10 FC#2_OP_Variance_Sample Format_A&amp;O Format_FCST3+9_v1" xfId="6755" xr:uid="{4DFD8DC8-EE5E-4413-A2FB-4210DE5E6C47}"/>
    <cellStyle name="_xf05年工厂损益预算表格3-1215_DFL FY05　Budget_MFG_Reply_Suumary_FY12 BP_Simulation information PKG_R" xfId="6756" xr:uid="{20DA4C5F-9DF5-4441-AB7A-D9E986021425}"/>
    <cellStyle name="_xf05年工厂损益预算表格3-1215_DFL FY05　Budget_MFG_Reply_Suumary_FY12 BP_Simulation information PKG_R（SGA）" xfId="6757" xr:uid="{DC660685-1B48-433F-8088-3CB889950C0B}"/>
    <cellStyle name="_xf05年工厂损益预算表格3-1215_DFL FY05　Budget_MFG_Reply_Suumary_v1 FY11 Budget Sim summary" xfId="6758" xr:uid="{F6190922-0FBF-44B2-B8C8-B78277A626B5}"/>
    <cellStyle name="_xf05年工厂损益预算表格3-1215_DFL FY05　Budget_MFG_Reply_Suumary_v1 FY11 Budget Sim summary_FY12 Budget Final OC-China" xfId="6759" xr:uid="{688D6428-6758-4224-B5FF-95D66A9EEF31}"/>
    <cellStyle name="_xf05年工厂损益预算表格3-1215_DFL FY05　Budget_MFG_Reply_Suumary_v1 FY11 Budget Sim summary_Sample Format" xfId="6760" xr:uid="{A7AB9D78-50A2-45AF-8186-63F41184F0F3}"/>
    <cellStyle name="_xf05年工厂损益预算表格3-1215_DFL FY05　Budget_MFG_Reply_Suumary_v1 FY11 Budget Sim summary_Sample Format_Ａ&amp;O Consolidation Format_FCST3+9_v3" xfId="6761" xr:uid="{CA1FCD56-F6EB-43CE-B4FB-0B8B81DDA64A}"/>
    <cellStyle name="_xf05年工厂损益预算表格3-1215_DFL FY05　Budget_MFG_Reply_Suumary_v1 FY11 Budget Sim summary_Sample Format_A&amp;O Format" xfId="6762" xr:uid="{02FD255C-B2D6-42D9-B2BA-AB7F2BBB0ED3}"/>
    <cellStyle name="_xf05年工厂损益预算表格3-1215_DFL FY05　Budget_MFG_Reply_Suumary_v1 FY11 Budget Sim summary_Sample Format_A&amp;O Format_FCST3+9" xfId="6763" xr:uid="{A3CC518B-88E6-40C6-BDBD-6A42DFD525A7}"/>
    <cellStyle name="_xf05年工厂损益预算表格3-1215_DFL FY05　Budget_MFG_Reply_Suumary_v1 FY11 Budget Sim summary_Sample Format_A&amp;O Format_FCST3+9_v1" xfId="6764" xr:uid="{33275259-717C-4FEC-8C2C-9A4DBA65516A}"/>
    <cellStyle name="_xf05年工厂损益预算表格3-1215_DFL FY05　Budget_MFG_Reply_Suumary_v2 CHAO #2 Forecast Summary" xfId="6765" xr:uid="{70BED421-8CE5-4202-913A-56A3295460F3}"/>
    <cellStyle name="_xf05年工厂损益预算表格3-1215_DFL FY05　Budget_MFG_Reply_Suumary_v2 CHAO #2 Forecast Summary_FY12 Budget Final OC-China" xfId="6766" xr:uid="{1C68191F-0D40-4ADC-833B-51E40EC8F079}"/>
    <cellStyle name="_xf05年工厂损益预算表格3-1215_DFL FY05　Budget_MFG_Reply_Suumary_v2 CHAO #2 Forecast Summary_Sample Format" xfId="6767" xr:uid="{C103446D-5252-4890-8F0F-06780529D01F}"/>
    <cellStyle name="_xf05年工厂损益预算表格3-1215_DFL FY05　Budget_MFG_Reply_Suumary_v2 CHAO #2 Forecast Summary_Sample Format_Ａ&amp;O Consolidation Format_FCST3+9_v3" xfId="6768" xr:uid="{8D08DD80-2BAD-485F-916D-E5E6239CA299}"/>
    <cellStyle name="_xf05年工厂损益预算表格3-1215_DFL FY05　Budget_MFG_Reply_Suumary_v2 CHAO #2 Forecast Summary_Sample Format_A&amp;O Format" xfId="6769" xr:uid="{AECD41E6-3CE6-477D-A22A-76A420244254}"/>
    <cellStyle name="_xf05年工厂损益预算表格3-1215_DFL FY05　Budget_MFG_Reply_Suumary_v2 CHAO #2 Forecast Summary_Sample Format_A&amp;O Format_FCST3+9" xfId="6770" xr:uid="{4B6E3DDD-3186-4A16-9994-4E3AA3F28AF6}"/>
    <cellStyle name="_xf05年工厂损益预算表格3-1215_DFL FY05　Budget_MFG_Reply_Suumary_v2 CHAO #2 Forecast Summary_Sample Format_A&amp;O Format_FCST3+9_v1" xfId="6771" xr:uid="{2BC2D98B-FB26-4B30-82B8-2A8F8E4264B8}"/>
    <cellStyle name="_xf05年工厂损益预算表格3-1215_DFL FY05　Budget_MFG_Reply_Suumary_v2 FY10 FC#2_OP_Variance" xfId="6772" xr:uid="{0B3854BF-91AA-4674-B6E1-54FD89C07FA2}"/>
    <cellStyle name="_xf05年工厂损益预算表格3-1215_DFL FY05　Budget_MFG_Reply_Suumary_v2 FY10 FC#2_OP_Variance_FY12 Budget Final OC-China" xfId="6773" xr:uid="{B040EE28-A086-422A-B5AB-D6153001FB53}"/>
    <cellStyle name="_xf05年工厂损益预算表格3-1215_DFL FY05　Budget_MFG_Reply_Suumary_v2 FY10 FC#2_OP_Variance_Sample Format" xfId="6774" xr:uid="{33BB5DD6-09D2-451E-A9E2-0914D3FF99D2}"/>
    <cellStyle name="_xf05年工厂损益预算表格3-1215_DFL FY05　Budget_MFG_Reply_Suumary_v2 FY10 FC#2_OP_Variance_Sample Format_Ａ&amp;O Consolidation Format_FCST3+9_v3" xfId="6775" xr:uid="{70F74542-F714-4F00-BF0E-68171A8D6779}"/>
    <cellStyle name="_xf05年工厂损益预算表格3-1215_DFL FY05　Budget_MFG_Reply_Suumary_v2 FY10 FC#2_OP_Variance_Sample Format_A&amp;O Format" xfId="6776" xr:uid="{BEE93A53-7999-4B4D-B174-9CB448ED8086}"/>
    <cellStyle name="_xf05年工厂损益预算表格3-1215_DFL FY05　Budget_MFG_Reply_Suumary_v2 FY10 FC#2_OP_Variance_Sample Format_A&amp;O Format_FCST3+9" xfId="6777" xr:uid="{48CE3F5A-8755-4CEF-B57F-741BA4B92D5D}"/>
    <cellStyle name="_xf05年工厂损益预算表格3-1215_DFL FY05　Budget_MFG_Reply_Suumary_v2 FY10 FC#2_OP_Variance_Sample Format_A&amp;O Format_FCST3+9_v1" xfId="6778" xr:uid="{CE2F3731-CBB1-4290-88C0-9B35F7FDCBA8}"/>
    <cellStyle name="_xf05年工厂损益预算表格3-1215_DFL FY05　Budget_MFG_Reply_Suumary_v5 FY11 Budget Sim summary" xfId="6779" xr:uid="{B5D204B0-6E83-414A-98A9-78786AE7B440}"/>
    <cellStyle name="_xf05年工厂损益预算表格3-1215_DFL FY05　Budget_MFG_Reply_Suumary_v5 FY11 Budget Sim summary_FY12 Budget Final OC-China" xfId="6780" xr:uid="{6C5329AF-232C-42ED-B146-1CF26B8A1C68}"/>
    <cellStyle name="_xf05年工厂损益预算表格3-1215_DFL FY05　Budget_MFG_Reply_Suumary_v5 FY11 Budget Sim summary_Sample Format" xfId="6781" xr:uid="{576501FC-2B7E-4A3E-B672-26611CF0A6D5}"/>
    <cellStyle name="_xf05年工厂损益预算表格3-1215_DFL FY05　Budget_MFG_Reply_Suumary_v5 FY11 Budget Sim summary_Sample Format_Ａ&amp;O Consolidation Format_FCST3+9_v3" xfId="6782" xr:uid="{08D7ED3B-FA1A-487F-8D53-36D50B071BCC}"/>
    <cellStyle name="_xf05年工厂损益预算表格3-1215_DFL FY05　Budget_MFG_Reply_Suumary_v5 FY11 Budget Sim summary_Sample Format_A&amp;O Format" xfId="6783" xr:uid="{7B7D7CB2-AC8B-4E83-80EF-E7B8217324B3}"/>
    <cellStyle name="_xf05年工厂损益预算表格3-1215_DFL FY05　Budget_MFG_Reply_Suumary_v5 FY11 Budget Sim summary_Sample Format_A&amp;O Format_FCST3+9" xfId="6784" xr:uid="{4B47AA3D-827F-49C7-AB29-92BF747EAF36}"/>
    <cellStyle name="_xf05年工厂损益预算表格3-1215_DFL FY05　Budget_MFG_Reply_Suumary_v5 FY11 Budget Sim summary_Sample Format_A&amp;O Format_FCST3+9_v1" xfId="6785" xr:uid="{C971DD2A-E1AB-403C-A714-5838A99F8363}"/>
    <cellStyle name="_xf05年工厂损益预算表格3-1215_DFL FY05　Budget_MFG_Reply_Suumary_コピー【Master】 FY12 Simula tion Excel PKG for Auto" xfId="6786" xr:uid="{0F4280A2-9BBC-4707-A42B-66CFC7895C6B}"/>
    <cellStyle name="_xf05年工厂损益预算表格3-1215_DFL FY05　Budget_MFG_Reply_Suumary_これマスター　FCF_FY12 Simulation Excel PKG for Auto" xfId="6787" xr:uid="{7509E134-A6F5-48F7-9908-E2A4460546A4}"/>
    <cellStyle name="_xf05年工厂损益预算表格3-1215_DFL FY05　Budget_v1 FY11 Budget Sim summary" xfId="6788" xr:uid="{3508C80D-0401-40FC-8940-D4197A5DCB00}"/>
    <cellStyle name="_xf05年工厂损益预算表格3-1215_DFL FY05　Budget_v1 FY11 Budget Sim summary_FY12 Budget Final OC-China" xfId="6789" xr:uid="{37C4AF8D-1B9A-426A-A131-F2F9E2037C22}"/>
    <cellStyle name="_xf05年工厂损益预算表格3-1215_DFL FY05　Budget_v1 FY11 Budget Sim summary_Sample Format" xfId="6790" xr:uid="{280B6E46-2324-49E1-A126-CA735AC7741F}"/>
    <cellStyle name="_xf05年工厂损益预算表格3-1215_DFL FY05　Budget_v1 FY11 Budget Sim summary_Sample Format_Ａ&amp;O Consolidation Format_FCST3+9_v3" xfId="6791" xr:uid="{838FCA44-A40D-4C57-B0E6-155BDAE17851}"/>
    <cellStyle name="_xf05年工厂损益预算表格3-1215_DFL FY05　Budget_v1 FY11 Budget Sim summary_Sample Format_A&amp;O Format" xfId="6792" xr:uid="{37C151CA-911B-4553-BD97-C28403A78089}"/>
    <cellStyle name="_xf05年工厂损益预算表格3-1215_DFL FY05　Budget_v1 FY11 Budget Sim summary_Sample Format_A&amp;O Format_FCST3+9" xfId="6793" xr:uid="{33CF5FC2-22C0-4C18-960A-901A9573E965}"/>
    <cellStyle name="_xf05年工厂损益预算表格3-1215_DFL FY05　Budget_v1 FY11 Budget Sim summary_Sample Format_A&amp;O Format_FCST3+9_v1" xfId="6794" xr:uid="{6623100C-0816-448A-8F92-D5C8BB0DECAA}"/>
    <cellStyle name="_xf05年工厂损益预算表格3-1215_DFL FY05　Budget_v2 CHAO #2 Forecast Summary" xfId="6795" xr:uid="{3A0CA075-2823-415B-81D3-3FEE757D43B9}"/>
    <cellStyle name="_xf05年工厂损益预算表格3-1215_DFL FY05　Budget_v2 CHAO #2 Forecast Summary_FY12 Budget Final OC-China" xfId="6796" xr:uid="{FFA55245-7B6E-4759-92A7-37EA70657E26}"/>
    <cellStyle name="_xf05年工厂损益预算表格3-1215_DFL FY05　Budget_v2 CHAO #2 Forecast Summary_Sample Format" xfId="6797" xr:uid="{51FE0298-5527-4741-8AD5-196D7FD6BE73}"/>
    <cellStyle name="_xf05年工厂损益预算表格3-1215_DFL FY05　Budget_v2 CHAO #2 Forecast Summary_Sample Format_Ａ&amp;O Consolidation Format_FCST3+9_v3" xfId="6798" xr:uid="{F12EFE87-8A7A-4098-B489-EA2E28764731}"/>
    <cellStyle name="_xf05年工厂损益预算表格3-1215_DFL FY05　Budget_v2 CHAO #2 Forecast Summary_Sample Format_A&amp;O Format" xfId="6799" xr:uid="{D4042E30-C0FE-43AA-95BB-AB51FE1CA9FF}"/>
    <cellStyle name="_xf05年工厂损益预算表格3-1215_DFL FY05　Budget_v2 CHAO #2 Forecast Summary_Sample Format_A&amp;O Format_FCST3+9" xfId="6800" xr:uid="{AD53F3EB-C34C-40DC-A501-E02325E86B11}"/>
    <cellStyle name="_xf05年工厂损益预算表格3-1215_DFL FY05　Budget_v2 CHAO #2 Forecast Summary_Sample Format_A&amp;O Format_FCST3+9_v1" xfId="6801" xr:uid="{ADFCE9AC-A50F-4EB0-A041-7626B4833895}"/>
    <cellStyle name="_xf05年工厂损益预算表格3-1215_DFL FY05　Budget_v2 FY10 FC#2_OP_Variance" xfId="6802" xr:uid="{A0656BD5-E7C0-4AFC-B802-8E68FBCB90CF}"/>
    <cellStyle name="_xf05年工厂损益预算表格3-1215_DFL FY05　Budget_v2 FY10 FC#2_OP_Variance_FY12 Budget Final OC-China" xfId="6803" xr:uid="{C8AE8AD4-476E-4449-B280-FE480B56F6E2}"/>
    <cellStyle name="_xf05年工厂损益预算表格3-1215_DFL FY05　Budget_v2 FY10 FC#2_OP_Variance_Sample Format" xfId="6804" xr:uid="{554DA3D2-B37C-467A-B701-721B8FCF28F5}"/>
    <cellStyle name="_xf05年工厂损益预算表格3-1215_DFL FY05　Budget_v2 FY10 FC#2_OP_Variance_Sample Format_Ａ&amp;O Consolidation Format_FCST3+9_v3" xfId="6805" xr:uid="{AF44ECA8-6D11-435F-9C55-1247DDDA1C24}"/>
    <cellStyle name="_xf05年工厂损益预算表格3-1215_DFL FY05　Budget_v2 FY10 FC#2_OP_Variance_Sample Format_A&amp;O Format" xfId="6806" xr:uid="{3A52BF6A-1D1E-41FD-866C-768AFB7D40ED}"/>
    <cellStyle name="_xf05年工厂损益预算表格3-1215_DFL FY05　Budget_v2 FY10 FC#2_OP_Variance_Sample Format_A&amp;O Format_FCST3+9" xfId="6807" xr:uid="{E5D7119B-3A10-46E0-A391-3EFDFD65A463}"/>
    <cellStyle name="_xf05年工厂损益预算表格3-1215_DFL FY05　Budget_v2 FY10 FC#2_OP_Variance_Sample Format_A&amp;O Format_FCST3+9_v1" xfId="6808" xr:uid="{7792B330-EE6A-4D48-BDE4-EB2F98DAFBF4}"/>
    <cellStyle name="_xf05年工厂损益预算表格3-1215_DFL FY05　Budget_v5 FY11 Budget Sim summary" xfId="6809" xr:uid="{0D58AD53-6DED-42BA-BD3E-4C769F1836E5}"/>
    <cellStyle name="_xf05年工厂损益预算表格3-1215_DFL FY05　Budget_v5 FY11 Budget Sim summary_FY12 Budget Final OC-China" xfId="6810" xr:uid="{45A08375-CB40-43AA-9BE5-737AA14F54A8}"/>
    <cellStyle name="_xf05年工厂损益预算表格3-1215_DFL FY05　Budget_v5 FY11 Budget Sim summary_Sample Format" xfId="6811" xr:uid="{99C9991F-4598-4785-8FB1-9408E01BF4B1}"/>
    <cellStyle name="_xf05年工厂损益预算表格3-1215_DFL FY05　Budget_v5 FY11 Budget Sim summary_Sample Format_Ａ&amp;O Consolidation Format_FCST3+9_v3" xfId="6812" xr:uid="{769E348E-9295-4340-A816-B1D1B35F3A29}"/>
    <cellStyle name="_xf05年工厂损益预算表格3-1215_DFL FY05　Budget_v5 FY11 Budget Sim summary_Sample Format_A&amp;O Format" xfId="6813" xr:uid="{3B8A9F6F-DE18-4D62-BF81-0645EC603B2B}"/>
    <cellStyle name="_xf05年工厂损益预算表格3-1215_DFL FY05　Budget_v5 FY11 Budget Sim summary_Sample Format_A&amp;O Format_FCST3+9" xfId="6814" xr:uid="{3071D0DC-2A46-4792-9EF2-BFCC9E7EF0E4}"/>
    <cellStyle name="_xf05年工厂损益预算表格3-1215_DFL FY05　Budget_v5 FY11 Budget Sim summary_Sample Format_A&amp;O Format_FCST3+9_v1" xfId="6815" xr:uid="{4980A316-10AA-4202-BC43-5894C8BD724F}"/>
    <cellStyle name="_xf05年工厂损益预算表格3-1215_DFL FY05　Budget_X1 GOM 4 Comp" xfId="6816" xr:uid="{B80E549F-D741-4ACF-9733-34CC666B8832}"/>
    <cellStyle name="_xf05年工厂损益预算表格3-1215_DFL FY05　Budget_X1 GOM 4 Comp_#1 Forecast Summary" xfId="6817" xr:uid="{F5970307-A0FB-46CB-8E8E-5B84704CA84A}"/>
    <cellStyle name="_xf05年工厂损益预算表格3-1215_DFL FY05　Budget_X1 GOM 4 Comp_#1 Forecast Summary_FY12 Budget Final OC-China" xfId="6818" xr:uid="{A2F264B6-95DB-4CCE-AEF4-E1932D79BFF7}"/>
    <cellStyle name="_xf05年工厂损益预算表格3-1215_DFL FY05　Budget_X1 GOM 4 Comp_#1 Forecast Summary_Sample Format" xfId="6819" xr:uid="{AB8FE3A3-0BF7-449E-8DF7-8E508EC1ACC8}"/>
    <cellStyle name="_xf05年工厂损益预算表格3-1215_DFL FY05　Budget_X1 GOM 4 Comp_#1 Forecast Summary_Sample Format_Ａ&amp;O Consolidation Format_FCST3+9_v3" xfId="6820" xr:uid="{612EBDAB-60D3-48B6-850D-19D89A006753}"/>
    <cellStyle name="_xf05年工厂损益预算表格3-1215_DFL FY05　Budget_X1 GOM 4 Comp_#1 Forecast Summary_Sample Format_A&amp;O Format" xfId="6821" xr:uid="{9E6C349D-2043-422A-9B54-C67A3A125294}"/>
    <cellStyle name="_xf05年工厂损益预算表格3-1215_DFL FY05　Budget_X1 GOM 4 Comp_#1 Forecast Summary_Sample Format_A&amp;O Format_FCST3+9" xfId="6822" xr:uid="{F483CEB7-3B25-433C-9E2F-2B41D54634B3}"/>
    <cellStyle name="_xf05年工厂损益预算表格3-1215_DFL FY05　Budget_X1 GOM 4 Comp_#1 Forecast Summary_Sample Format_A&amp;O Format_FCST3+9_v1" xfId="6823" xr:uid="{93E2FB5A-3276-4FC3-97DF-36EDFC9EB750}"/>
    <cellStyle name="_xf05年工厂损益预算表格3-1215_DFL FY05　Budget_X1 GOM 4 Comp_(CHAO) FY10 Forecast#1 Regional Comment" xfId="6824" xr:uid="{DB0EC210-2E21-4BC7-9C23-69A05B165283}"/>
    <cellStyle name="_xf05年工厂损益预算表格3-1215_DFL FY05　Budget_X1 GOM 4 Comp_(CHAO) FY10 Forecast#1 Regional Comment_FY12 Budget Final OC-China" xfId="6825" xr:uid="{BB663AD0-7292-4241-AEE5-6EED2B4AFD89}"/>
    <cellStyle name="_xf05年工厂损益预算表格3-1215_DFL FY05　Budget_X1 GOM 4 Comp_(CHAO) FY10 Forecast#1 Regional Comment_Sample Format" xfId="6826" xr:uid="{63952A7C-8B4A-4BD7-8817-D4ED750B1E42}"/>
    <cellStyle name="_xf05年工厂损益预算表格3-1215_DFL FY05　Budget_X1 GOM 4 Comp_(CHAO) FY10 Forecast#1 Regional Comment_Sample Format_Ａ&amp;O Consolidation Format_FCST3+9_v3" xfId="6827" xr:uid="{DA36B8E1-94E7-4625-9214-E03946F3D1A1}"/>
    <cellStyle name="_xf05年工厂损益预算表格3-1215_DFL FY05　Budget_X1 GOM 4 Comp_(CHAO) FY10 Forecast#1 Regional Comment_Sample Format_A&amp;O Format" xfId="6828" xr:uid="{C604DD49-DE09-4C70-9973-DF8CFF225929}"/>
    <cellStyle name="_xf05年工厂损益预算表格3-1215_DFL FY05　Budget_X1 GOM 4 Comp_(CHAO) FY10 Forecast#1 Regional Comment_Sample Format_A&amp;O Format_FCST3+9" xfId="6829" xr:uid="{55A6B25B-311A-4026-B51B-BEC1908E3C5C}"/>
    <cellStyle name="_xf05年工厂损益预算表格3-1215_DFL FY05　Budget_X1 GOM 4 Comp_(CHAO) FY10 Forecast#1 Regional Comment_Sample Format_A&amp;O Format_FCST3+9_v1" xfId="6830" xr:uid="{E746687E-B8E8-49AB-959A-3133C4C57FF4}"/>
    <cellStyle name="_xf05年工厂损益预算表格3-1215_DFL FY05　Budget_X1 GOM 4 Comp_【Master】 FY12 Simulation Excel PKG for Auto" xfId="6831" xr:uid="{A77F87A1-55A9-42A9-8E61-9EBA08513303}"/>
    <cellStyle name="_xf05年工厂损益预算表格3-1215_DFL FY05　Budget_X1 GOM 4 Comp_【Master】 FY12 Simulation Excel PKG for Auto (2)" xfId="6832" xr:uid="{974D2993-A900-4228-9233-CE736D18AE5A}"/>
    <cellStyle name="_xf05年工厂损益预算表格3-1215_DFL FY05　Budget_X1 GOM 4 Comp_【Master】 FY12 Simulation Excel PKG for Auto_sugii" xfId="6833" xr:uid="{61CD2FC8-4305-42E3-BF9F-F55EEA8D50FA}"/>
    <cellStyle name="_xf05年工厂损益预算表格3-1215_DFL FY05　Budget_X1 GOM 4 Comp_【Master】 FY12 Simulation Excel PKG for Auto_sugii (2)" xfId="6834" xr:uid="{78AFE590-C1F0-4186-B36C-3AAC76A55736}"/>
    <cellStyle name="_xf05年工厂损益预算表格3-1215_DFL FY05　Budget_X1 GOM 4 Comp_【Shibayama】 FY12 Simulation Excel PKG for Auto" xfId="6835" xr:uid="{0D58FD75-95C3-4A11-B653-51D00A7C9C14}"/>
    <cellStyle name="_xf05年工厂损益预算表格3-1215_DFL FY05　Budget_X1 GOM 4 Comp_Ａ&amp;O Consolidation Format_FCST3+9_v3" xfId="6836" xr:uid="{0226B2A4-5548-4828-A1E5-749888E014DD}"/>
    <cellStyle name="_xf05年工厂损益预算表格3-1215_DFL FY05　Budget_X1 GOM 4 Comp_A&amp;O Format" xfId="6837" xr:uid="{9BEDA581-DDC9-4971-9779-49D7947AC4F7}"/>
    <cellStyle name="_xf05年工厂损益预算表格3-1215_DFL FY05　Budget_X1 GOM 4 Comp_A&amp;O Format_FCST3+9" xfId="6838" xr:uid="{8C56E04A-B5B0-4B98-AAEF-A9955D34D962}"/>
    <cellStyle name="_xf05年工厂损益预算表格3-1215_DFL FY05　Budget_X1 GOM 4 Comp_A&amp;O Format_FCST3+9_v1" xfId="6839" xr:uid="{FDCD829D-783A-4C8C-A3A1-A3E865F89DB9}"/>
    <cellStyle name="_xf05年工厂损益预算表格3-1215_DFL FY05　Budget_X1 GOM 4 Comp_CHAO #2 Forecast Summary" xfId="6840" xr:uid="{016735F1-DC70-46DF-AB33-3CD641DA6C4E}"/>
    <cellStyle name="_xf05年工厂损益预算表格3-1215_DFL FY05　Budget_X1 GOM 4 Comp_CHAO #2 Forecast Summary_FY12 Budget Final OC-China" xfId="6841" xr:uid="{75541D6B-0094-477A-B352-A1007164FC66}"/>
    <cellStyle name="_xf05年工厂损益预算表格3-1215_DFL FY05　Budget_X1 GOM 4 Comp_CHAO #2 Forecast Summary_Sample Format" xfId="6842" xr:uid="{90D2D946-2CEE-4D3E-9E13-58B795B7D6AE}"/>
    <cellStyle name="_xf05年工厂损益预算表格3-1215_DFL FY05　Budget_X1 GOM 4 Comp_CHAO #2 Forecast Summary_Sample Format_Ａ&amp;O Consolidation Format_FCST3+9_v3" xfId="6843" xr:uid="{DDD8C2A3-32F4-49B9-AA8A-5F095762FB74}"/>
    <cellStyle name="_xf05年工厂损益预算表格3-1215_DFL FY05　Budget_X1 GOM 4 Comp_CHAO #2 Forecast Summary_Sample Format_A&amp;O Format" xfId="6844" xr:uid="{A05098B5-56D7-4666-AD73-7DCE6295CF81}"/>
    <cellStyle name="_xf05年工厂损益预算表格3-1215_DFL FY05　Budget_X1 GOM 4 Comp_CHAO #2 Forecast Summary_Sample Format_A&amp;O Format_FCST3+9" xfId="6845" xr:uid="{94701A7E-163A-4A62-A847-E57A0F339B27}"/>
    <cellStyle name="_xf05年工厂损益预算表格3-1215_DFL FY05　Budget_X1 GOM 4 Comp_CHAO #2 Forecast Summary_Sample Format_A&amp;O Format_FCST3+9_v1" xfId="6846" xr:uid="{2CDE2CF7-C97E-43B5-A0B4-D7F7B479A533}"/>
    <cellStyle name="_xf05年工厂损益预算表格3-1215_DFL FY05　Budget_X1 GOM 4 Comp_Correct FC#2 AO OP" xfId="6847" xr:uid="{3317BD0C-39F3-41A1-BBF9-BBFE8AAB4DEC}"/>
    <cellStyle name="_xf05年工厂损益预算表格3-1215_DFL FY05　Budget_X1 GOM 4 Comp_Correct FC#2 AO OP_FY12 Budget Final OC-China" xfId="6848" xr:uid="{B694FF59-7841-4E1B-83F1-ED2858ABA27E}"/>
    <cellStyle name="_xf05年工厂损益预算表格3-1215_DFL FY05　Budget_X1 GOM 4 Comp_Correct FC#2 AO OP_Sample Format" xfId="6849" xr:uid="{1D1C4F5C-C077-4380-A33F-263A7989B7C0}"/>
    <cellStyle name="_xf05年工厂损益预算表格3-1215_DFL FY05　Budget_X1 GOM 4 Comp_Correct FC#2 AO OP_Sample Format_Ａ&amp;O Consolidation Format_FCST3+9_v3" xfId="6850" xr:uid="{0590C206-C775-4A63-938B-6E539CC52E05}"/>
    <cellStyle name="_xf05年工厂损益预算表格3-1215_DFL FY05　Budget_X1 GOM 4 Comp_Correct FC#2 AO OP_Sample Format_A&amp;O Format" xfId="6851" xr:uid="{346E7D6F-276D-4A26-804E-2A3130ED38E5}"/>
    <cellStyle name="_xf05年工厂损益预算表格3-1215_DFL FY05　Budget_X1 GOM 4 Comp_Correct FC#2 AO OP_Sample Format_A&amp;O Format_FCST3+9" xfId="6852" xr:uid="{9A2D6596-6283-471B-B22E-2ABFAFFCB5E4}"/>
    <cellStyle name="_xf05年工厂损益预算表格3-1215_DFL FY05　Budget_X1 GOM 4 Comp_Correct FC#2 AO OP_Sample Format_A&amp;O Format_FCST3+9_v1" xfId="6853" xr:uid="{DC0E568E-66E3-40E9-834D-3B260FF113E0}"/>
    <cellStyle name="_xf05年工厂损益预算表格3-1215_DFL FY05　Budget_X1 GOM 4 Comp_FCF_FY12 BUD Simulation Excel PKG for Auto_v2" xfId="6854" xr:uid="{19A37D79-9AA6-4DC6-8180-8B4D45051559}"/>
    <cellStyle name="_xf05年工厂损益预算表格3-1215_DFL FY05　Budget_X1 GOM 4 Comp_FY10 FC#2_OP_Variance" xfId="6855" xr:uid="{61D9DEB7-0C0A-4081-988A-7F709E8816C1}"/>
    <cellStyle name="_xf05年工厂损益预算表格3-1215_DFL FY05　Budget_X1 GOM 4 Comp_FY10 FC#2_OP_Variance_FY12 Budget Final OC-China" xfId="6856" xr:uid="{8D9FFA44-9501-4479-B956-2368FB939389}"/>
    <cellStyle name="_xf05年工厂损益预算表格3-1215_DFL FY05　Budget_X1 GOM 4 Comp_FY10 FC#2_OP_Variance_Sample Format" xfId="6857" xr:uid="{CC3D9AD7-C9CE-4E4E-8520-921A44B79BDB}"/>
    <cellStyle name="_xf05年工厂损益预算表格3-1215_DFL FY05　Budget_X1 GOM 4 Comp_FY10 FC#2_OP_Variance_Sample Format_Ａ&amp;O Consolidation Format_FCST3+9_v3" xfId="6858" xr:uid="{935E4C77-81BA-4B65-930E-01A7FAFB122F}"/>
    <cellStyle name="_xf05年工厂损益预算表格3-1215_DFL FY05　Budget_X1 GOM 4 Comp_FY10 FC#2_OP_Variance_Sample Format_A&amp;O Format" xfId="6859" xr:uid="{DF1D9A12-C5C5-4BCB-B759-F3E08DFFAB46}"/>
    <cellStyle name="_xf05年工厂损益预算表格3-1215_DFL FY05　Budget_X1 GOM 4 Comp_FY10 FC#2_OP_Variance_Sample Format_A&amp;O Format_FCST3+9" xfId="6860" xr:uid="{47DFCD75-8538-4D18-ACFA-78B0517D8804}"/>
    <cellStyle name="_xf05年工厂损益预算表格3-1215_DFL FY05　Budget_X1 GOM 4 Comp_FY10 FC#2_OP_Variance_Sample Format_A&amp;O Format_FCST3+9_v1" xfId="6861" xr:uid="{5146DD9D-F648-4051-B8BE-33ECB0AFFB01}"/>
    <cellStyle name="_xf05年工厂损益预算表格3-1215_DFL FY05　Budget_X1 GOM 4 Comp_FY11 Reply#1_FY11 3X9" xfId="6862" xr:uid="{8B5E3AA6-25B7-437F-B76D-AA873E2AF092}"/>
    <cellStyle name="_xf05年工厂损益预算表格3-1215_DFL FY05　Budget_X1 GOM 4 Comp_FY12 BP_Simulation information PKG_R" xfId="6863" xr:uid="{7CAC1E0E-CD92-4C54-8940-00F7DC471F98}"/>
    <cellStyle name="_xf05年工厂损益预算表格3-1215_DFL FY05　Budget_X1 GOM 4 Comp_FY12 BP_Simulation information PKG_R（SGA）" xfId="6864" xr:uid="{4EB811A2-26BA-4718-AC7E-16C2F0F0222B}"/>
    <cellStyle name="_xf05年工厂损益预算表格3-1215_DFL FY05　Budget_X1 GOM 4 Comp_v1 FY11 Budget Sim summary" xfId="6865" xr:uid="{EE6619BD-B3C1-40FB-BBD2-9CB2580C9A0B}"/>
    <cellStyle name="_xf05年工厂损益预算表格3-1215_DFL FY05　Budget_X1 GOM 4 Comp_v1 FY11 Budget Sim summary_FY12 Budget Final OC-China" xfId="6866" xr:uid="{8456DCA0-FA70-4B13-A5BD-9601B2410768}"/>
    <cellStyle name="_xf05年工厂损益预算表格3-1215_DFL FY05　Budget_X1 GOM 4 Comp_v1 FY11 Budget Sim summary_Sample Format" xfId="6867" xr:uid="{ECD0C095-70B1-4260-BBDE-2E0DBC58EEA4}"/>
    <cellStyle name="_xf05年工厂损益预算表格3-1215_DFL FY05　Budget_X1 GOM 4 Comp_v1 FY11 Budget Sim summary_Sample Format_Ａ&amp;O Consolidation Format_FCST3+9_v3" xfId="6868" xr:uid="{D83F7A94-C193-4F63-B5C9-6EB640CDA7E7}"/>
    <cellStyle name="_xf05年工厂损益预算表格3-1215_DFL FY05　Budget_X1 GOM 4 Comp_v1 FY11 Budget Sim summary_Sample Format_A&amp;O Format" xfId="6869" xr:uid="{82C83EA8-1F42-433C-9591-B83535A4E22C}"/>
    <cellStyle name="_xf05年工厂损益预算表格3-1215_DFL FY05　Budget_X1 GOM 4 Comp_v1 FY11 Budget Sim summary_Sample Format_A&amp;O Format_FCST3+9" xfId="6870" xr:uid="{34C14CB1-1A32-4A73-AE2B-66167F424417}"/>
    <cellStyle name="_xf05年工厂损益预算表格3-1215_DFL FY05　Budget_X1 GOM 4 Comp_v1 FY11 Budget Sim summary_Sample Format_A&amp;O Format_FCST3+9_v1" xfId="6871" xr:uid="{CB76DA0A-886A-4060-9DBF-F7A4CD3E6E77}"/>
    <cellStyle name="_xf05年工厂损益预算表格3-1215_DFL FY05　Budget_X1 GOM 4 Comp_v2 CHAO #2 Forecast Summary" xfId="6872" xr:uid="{C77CC5CA-F40F-461E-B058-F822C3DA197A}"/>
    <cellStyle name="_xf05年工厂损益预算表格3-1215_DFL FY05　Budget_X1 GOM 4 Comp_v2 CHAO #2 Forecast Summary_FY12 Budget Final OC-China" xfId="6873" xr:uid="{95D1A6FE-B667-4890-A66F-1ACDAF62B580}"/>
    <cellStyle name="_xf05年工厂损益预算表格3-1215_DFL FY05　Budget_X1 GOM 4 Comp_v2 CHAO #2 Forecast Summary_Sample Format" xfId="6874" xr:uid="{83E701BE-35E6-42D6-9A6C-3AD644353C75}"/>
    <cellStyle name="_xf05年工厂损益预算表格3-1215_DFL FY05　Budget_X1 GOM 4 Comp_v2 CHAO #2 Forecast Summary_Sample Format_Ａ&amp;O Consolidation Format_FCST3+9_v3" xfId="6875" xr:uid="{1BD1EBC5-942B-4E93-B7EE-4C5C37062B5B}"/>
    <cellStyle name="_xf05年工厂损益预算表格3-1215_DFL FY05　Budget_X1 GOM 4 Comp_v2 CHAO #2 Forecast Summary_Sample Format_A&amp;O Format" xfId="6876" xr:uid="{69D24849-1D5A-404C-9A82-9C112798E5F3}"/>
    <cellStyle name="_xf05年工厂损益预算表格3-1215_DFL FY05　Budget_X1 GOM 4 Comp_v2 CHAO #2 Forecast Summary_Sample Format_A&amp;O Format_FCST3+9" xfId="6877" xr:uid="{3BF92B5C-8F19-4A65-8146-DC00E364C5B4}"/>
    <cellStyle name="_xf05年工厂损益预算表格3-1215_DFL FY05　Budget_X1 GOM 4 Comp_v2 CHAO #2 Forecast Summary_Sample Format_A&amp;O Format_FCST3+9_v1" xfId="6878" xr:uid="{0E642586-9DC8-4207-AD83-0E8A582E647B}"/>
    <cellStyle name="_xf05年工厂损益预算表格3-1215_DFL FY05　Budget_X1 GOM 4 Comp_v2 FY10 FC#2_OP_Variance" xfId="6879" xr:uid="{4571F8E0-7D2C-45E4-A015-BD6D79AAE546}"/>
    <cellStyle name="_xf05年工厂损益预算表格3-1215_DFL FY05　Budget_X1 GOM 4 Comp_v2 FY10 FC#2_OP_Variance_FY12 Budget Final OC-China" xfId="6880" xr:uid="{584C1AA1-682B-4A5C-8D21-B2F930745EF0}"/>
    <cellStyle name="_xf05年工厂损益预算表格3-1215_DFL FY05　Budget_X1 GOM 4 Comp_v2 FY10 FC#2_OP_Variance_Sample Format" xfId="6881" xr:uid="{3251D543-5CC1-4FAF-B1C2-998EC1F1AFC7}"/>
    <cellStyle name="_xf05年工厂损益预算表格3-1215_DFL FY05　Budget_X1 GOM 4 Comp_v2 FY10 FC#2_OP_Variance_Sample Format_Ａ&amp;O Consolidation Format_FCST3+9_v3" xfId="6882" xr:uid="{906A114F-B73D-4F86-9514-85ADD76C627B}"/>
    <cellStyle name="_xf05年工厂损益预算表格3-1215_DFL FY05　Budget_X1 GOM 4 Comp_v2 FY10 FC#2_OP_Variance_Sample Format_A&amp;O Format" xfId="6883" xr:uid="{FE42E66D-E81D-4A4A-8C56-99E3B093A2EA}"/>
    <cellStyle name="_xf05年工厂损益预算表格3-1215_DFL FY05　Budget_X1 GOM 4 Comp_v2 FY10 FC#2_OP_Variance_Sample Format_A&amp;O Format_FCST3+9" xfId="6884" xr:uid="{754640B7-B936-415B-98D7-628E18F1DC22}"/>
    <cellStyle name="_xf05年工厂损益预算表格3-1215_DFL FY05　Budget_X1 GOM 4 Comp_v2 FY10 FC#2_OP_Variance_Sample Format_A&amp;O Format_FCST3+9_v1" xfId="6885" xr:uid="{A14262AC-97D3-4346-B53C-0057D3266D50}"/>
    <cellStyle name="_xf05年工厂损益预算表格3-1215_DFL FY05　Budget_X1 GOM 4 Comp_v5 FY11 Budget Sim summary" xfId="6886" xr:uid="{4D050A44-43CB-418A-8611-E2AF6927A085}"/>
    <cellStyle name="_xf05年工厂损益预算表格3-1215_DFL FY05　Budget_X1 GOM 4 Comp_v5 FY11 Budget Sim summary_FY12 Budget Final OC-China" xfId="6887" xr:uid="{7323473D-7095-4FB9-9160-562310928C41}"/>
    <cellStyle name="_xf05年工厂损益预算表格3-1215_DFL FY05　Budget_X1 GOM 4 Comp_v5 FY11 Budget Sim summary_Sample Format" xfId="6888" xr:uid="{360CF098-B340-4540-AA31-20892954092B}"/>
    <cellStyle name="_xf05年工厂损益预算表格3-1215_DFL FY05　Budget_X1 GOM 4 Comp_v5 FY11 Budget Sim summary_Sample Format_Ａ&amp;O Consolidation Format_FCST3+9_v3" xfId="6889" xr:uid="{DA86D8CD-632B-4FBE-B509-480FC808A837}"/>
    <cellStyle name="_xf05年工厂损益预算表格3-1215_DFL FY05　Budget_X1 GOM 4 Comp_v5 FY11 Budget Sim summary_Sample Format_A&amp;O Format" xfId="6890" xr:uid="{A1F6173F-BE25-4365-A4A6-CF71714C6A89}"/>
    <cellStyle name="_xf05年工厂损益预算表格3-1215_DFL FY05　Budget_X1 GOM 4 Comp_v5 FY11 Budget Sim summary_Sample Format_A&amp;O Format_FCST3+9" xfId="6891" xr:uid="{F86EBDE5-A849-4A70-9CEA-0470CA5C9C65}"/>
    <cellStyle name="_xf05年工厂损益预算表格3-1215_DFL FY05　Budget_X1 GOM 4 Comp_v5 FY11 Budget Sim summary_Sample Format_A&amp;O Format_FCST3+9_v1" xfId="6892" xr:uid="{7107D57C-36F0-4DC8-BCE9-33B7B6DFE532}"/>
    <cellStyle name="_xf05年工厂损益预算表格3-1215_DFL FY05　Budget_X1 GOM 4 Comp_コピー【Master】 FY12 Simula tion Excel PKG for Auto" xfId="6893" xr:uid="{266C7A8D-C988-4ABE-9B2F-A372E3B5C9A6}"/>
    <cellStyle name="_xf05年工厂损益预算表格3-1215_DFL FY05　Budget_X1 GOM 4 Comp_これマスター　FCF_FY12 Simulation Excel PKG for Auto" xfId="6894" xr:uid="{E6D87AE0-9220-4597-9AD5-25289A698D0A}"/>
    <cellStyle name="_xf05年工厂损益预算表格3-1215_DFL FY05　Budget_コピー【Master】 FY12 Simula tion Excel PKG for Auto" xfId="6895" xr:uid="{69532A52-858D-43E8-A921-69004676E361}"/>
    <cellStyle name="_xf05年工厂损益预算表格3-1215_DFL FY05　Budget_これマスター　FCF_FY12 Simulation Excel PKG for Auto" xfId="6896" xr:uid="{0A4F8FEB-CF30-42C1-853C-74AD891F5CCD}"/>
    <cellStyle name="_xf05年工厂损益预算表格3-1215_DFL FY05 MFG Budget Monthly" xfId="6897" xr:uid="{412BEDDB-F2A4-4464-A852-EB4F1DF14C24}"/>
    <cellStyle name="_xf05年工厂损益预算表格3-1215_DFL FY05 MFG Budget Monthly_#1 Forecast Summary" xfId="6898" xr:uid="{A3E24425-8E0C-4841-A5BE-0FDFCC06F489}"/>
    <cellStyle name="_xf05年工厂损益预算表格3-1215_DFL FY05 MFG Budget Monthly_#1 Forecast Summary_FY12 Budget Final OC-China" xfId="6899" xr:uid="{B1276CB6-689B-4414-AE45-3E7716B67CB4}"/>
    <cellStyle name="_xf05年工厂损益预算表格3-1215_DFL FY05 MFG Budget Monthly_#1 Forecast Summary_Sample Format" xfId="6900" xr:uid="{B752FC0D-3EA0-4E3A-AC6C-88E8AFDC5B47}"/>
    <cellStyle name="_xf05年工厂损益预算表格3-1215_DFL FY05 MFG Budget Monthly_#1 Forecast Summary_Sample Format_Ａ&amp;O Consolidation Format_FCST3+9_v3" xfId="6901" xr:uid="{BAB8BF68-295B-49A5-8AC5-41D9EB688258}"/>
    <cellStyle name="_xf05年工厂损益预算表格3-1215_DFL FY05 MFG Budget Monthly_#1 Forecast Summary_Sample Format_A&amp;O Format" xfId="6902" xr:uid="{79275818-82CE-49A7-9126-765DF2F63F84}"/>
    <cellStyle name="_xf05年工厂损益预算表格3-1215_DFL FY05 MFG Budget Monthly_#1 Forecast Summary_Sample Format_A&amp;O Format_FCST3+9" xfId="6903" xr:uid="{DD5CC735-4FCC-4DF5-90D9-698CEA5ED975}"/>
    <cellStyle name="_xf05年工厂损益预算表格3-1215_DFL FY05 MFG Budget Monthly_#1 Forecast Summary_Sample Format_A&amp;O Format_FCST3+9_v1" xfId="6904" xr:uid="{DA2EB062-57E8-49E5-8E88-D8CF5790FA14}"/>
    <cellStyle name="_xf05年工厂损益预算表格3-1215_DFL FY05 MFG Budget Monthly_(CHAO) FY10 Forecast#1 Regional Comment" xfId="6905" xr:uid="{CCFD9AFB-522E-4980-996D-5D1A14B08F76}"/>
    <cellStyle name="_xf05年工厂损益预算表格3-1215_DFL FY05 MFG Budget Monthly_(CHAO) FY10 Forecast#1 Regional Comment_FY12 Budget Final OC-China" xfId="6906" xr:uid="{4E9E6612-7136-4E1D-931D-416DFE2FF314}"/>
    <cellStyle name="_xf05年工厂损益预算表格3-1215_DFL FY05 MFG Budget Monthly_(CHAO) FY10 Forecast#1 Regional Comment_Sample Format" xfId="6907" xr:uid="{33D758F6-BCF5-414A-AD06-653417136F1C}"/>
    <cellStyle name="_xf05年工厂损益预算表格3-1215_DFL FY05 MFG Budget Monthly_(CHAO) FY10 Forecast#1 Regional Comment_Sample Format_Ａ&amp;O Consolidation Format_FCST3+9_v3" xfId="6908" xr:uid="{622572C7-0E5D-48BE-9C4B-830CE9DF8FDC}"/>
    <cellStyle name="_xf05年工厂损益预算表格3-1215_DFL FY05 MFG Budget Monthly_(CHAO) FY10 Forecast#1 Regional Comment_Sample Format_A&amp;O Format" xfId="6909" xr:uid="{1BE4032F-BBC8-43FC-8A5A-D9549124EAA9}"/>
    <cellStyle name="_xf05年工厂损益预算表格3-1215_DFL FY05 MFG Budget Monthly_(CHAO) FY10 Forecast#1 Regional Comment_Sample Format_A&amp;O Format_FCST3+9" xfId="6910" xr:uid="{C2A8315D-081C-457B-816B-49395AC015FD}"/>
    <cellStyle name="_xf05年工厂损益预算表格3-1215_DFL FY05 MFG Budget Monthly_(CHAO) FY10 Forecast#1 Regional Comment_Sample Format_A&amp;O Format_FCST3+9_v1" xfId="6911" xr:uid="{80C3F67F-1E7F-4E85-A16C-CA39DFA02657}"/>
    <cellStyle name="_xf05年工厂损益预算表格3-1215_DFL FY05 MFG Budget Monthly_【9.1 Updated】EC Master of FY10 profit simulation" xfId="6912" xr:uid="{2B826C2C-BA9E-4490-924B-58EFBEDC9515}"/>
    <cellStyle name="_xf05年工厂损益预算表格3-1215_DFL FY05 MFG Budget Monthly_【9.1 Updated】EC Master of FY10 profit simulation_#1 Forecast Summary" xfId="6913" xr:uid="{DFB24A40-E849-4B44-84AC-CA21D7131CEB}"/>
    <cellStyle name="_xf05年工厂损益预算表格3-1215_DFL FY05 MFG Budget Monthly_【9.1 Updated】EC Master of FY10 profit simulation_#1 Forecast Summary_FY12 Budget Final OC-China" xfId="6914" xr:uid="{522B1C47-7230-4453-9BF0-762899FA4EC5}"/>
    <cellStyle name="_xf05年工厂损益预算表格3-1215_DFL FY05 MFG Budget Monthly_【9.1 Updated】EC Master of FY10 profit simulation_#1 Forecast Summary_Sample Format" xfId="6915" xr:uid="{6B37F5CA-CA0A-48A4-93C7-97F02A8AF7E9}"/>
    <cellStyle name="_xf05年工厂损益预算表格3-1215_DFL FY05 MFG Budget Monthly_【9.1 Updated】EC Master of FY10 profit simulation_#1 Forecast Summary_Sample Format_Ａ&amp;O Consolidation Format_FCST3+9_v3" xfId="6916" xr:uid="{EB68CFB0-6955-43A7-8E7F-B37B0F9B3765}"/>
    <cellStyle name="_xf05年工厂损益预算表格3-1215_DFL FY05 MFG Budget Monthly_【9.1 Updated】EC Master of FY10 profit simulation_#1 Forecast Summary_Sample Format_A&amp;O Format" xfId="6917" xr:uid="{2D6B4AE0-8AAE-4F53-8D6B-002B0E8B2867}"/>
    <cellStyle name="_xf05年工厂损益预算表格3-1215_DFL FY05 MFG Budget Monthly_【9.1 Updated】EC Master of FY10 profit simulation_#1 Forecast Summary_Sample Format_A&amp;O Format_FCST3+9" xfId="6918" xr:uid="{60612E11-3B34-41A4-A429-DD4C60723A63}"/>
    <cellStyle name="_xf05年工厂损益预算表格3-1215_DFL FY05 MFG Budget Monthly_【9.1 Updated】EC Master of FY10 profit simulation_#1 Forecast Summary_Sample Format_A&amp;O Format_FCST3+9_v1" xfId="6919" xr:uid="{3B40A570-DAA0-428C-8067-873098E038D5}"/>
    <cellStyle name="_xf05年工厂损益预算表格3-1215_DFL FY05 MFG Budget Monthly_【9.1 Updated】EC Master of FY10 profit simulation_(CHAO) FY10 Forecast#1 Regional Comment" xfId="6920" xr:uid="{8051F5C3-D994-499E-BF2D-79E3F9A2F751}"/>
    <cellStyle name="_xf05年工厂损益预算表格3-1215_DFL FY05 MFG Budget Monthly_【9.1 Updated】EC Master of FY10 profit simulation_(CHAO) FY10 Forecast#1 Regional Comment_FY12 Budget Final OC-China" xfId="6921" xr:uid="{182E53C7-328C-4D8B-8A62-6937565B0748}"/>
    <cellStyle name="_xf05年工厂损益预算表格3-1215_DFL FY05 MFG Budget Monthly_【9.1 Updated】EC Master of FY10 profit simulation_(CHAO) FY10 Forecast#1 Regional Comment_Sample Format" xfId="6922" xr:uid="{922829CB-62EF-4951-95F0-40EB42808E99}"/>
    <cellStyle name="_xf05年工厂损益预算表格3-1215_DFL FY05 MFG Budget Monthly_【9.1 Updated】EC Master of FY10 profit simulation_(CHAO) FY10 Forecast#1 Regional Comment_Sample Format_Ａ&amp;O Consolidation Format_FCST3+9_v3" xfId="6923" xr:uid="{48B67011-4C18-4B37-B47D-F87346B68B09}"/>
    <cellStyle name="_xf05年工厂损益预算表格3-1215_DFL FY05 MFG Budget Monthly_【9.1 Updated】EC Master of FY10 profit simulation_(CHAO) FY10 Forecast#1 Regional Comment_Sample Format_A&amp;O Format" xfId="6924" xr:uid="{2989AD9C-58B6-480D-AA34-594CF9303A24}"/>
    <cellStyle name="_xf05年工厂损益预算表格3-1215_DFL FY05 MFG Budget Monthly_【9.1 Updated】EC Master of FY10 profit simulation_(CHAO) FY10 Forecast#1 Regional Comment_Sample Format_A&amp;O Format_FCST3+9" xfId="6925" xr:uid="{AFCAFDD3-E4D4-4105-A7AC-BD89B48D09DC}"/>
    <cellStyle name="_xf05年工厂损益预算表格3-1215_DFL FY05 MFG Budget Monthly_【9.1 Updated】EC Master of FY10 profit simulation_(CHAO) FY10 Forecast#1 Regional Comment_Sample Format_A&amp;O Format_FCST3+9_v1" xfId="6926" xr:uid="{E819587D-2E36-46BB-8FF6-497DB1AC337D}"/>
    <cellStyle name="_xf05年工厂损益预算表格3-1215_DFL FY05 MFG Budget Monthly_【9.1 Updated】EC Master of FY10 profit simulation_【Master】 FY12 Simulation Excel PKG for Auto" xfId="6927" xr:uid="{6EA37B35-1AE7-485C-A9DB-AC367BBC8158}"/>
    <cellStyle name="_xf05年工厂损益预算表格3-1215_DFL FY05 MFG Budget Monthly_【9.1 Updated】EC Master of FY10 profit simulation_【Master】 FY12 Simulation Excel PKG for Auto (2)" xfId="6928" xr:uid="{3E7B93A1-9CBB-472E-96F4-847FA816C27D}"/>
    <cellStyle name="_xf05年工厂损益预算表格3-1215_DFL FY05 MFG Budget Monthly_【9.1 Updated】EC Master of FY10 profit simulation_【Master】 FY12 Simulation Excel PKG for Auto_sugii" xfId="6929" xr:uid="{6CC75686-FCB5-4C07-A4F6-5FC3217DC1B7}"/>
    <cellStyle name="_xf05年工厂损益预算表格3-1215_DFL FY05 MFG Budget Monthly_【9.1 Updated】EC Master of FY10 profit simulation_【Master】 FY12 Simulation Excel PKG for Auto_sugii (2)" xfId="6930" xr:uid="{5AE743A6-D284-4ED8-9A4E-A4D30991AAA5}"/>
    <cellStyle name="_xf05年工厂损益预算表格3-1215_DFL FY05 MFG Budget Monthly_【9.1 Updated】EC Master of FY10 profit simulation_【Shibayama】 FY12 Simulation Excel PKG for Auto" xfId="6931" xr:uid="{0AC19CBE-1745-4F67-97AE-722CE2DE7EFD}"/>
    <cellStyle name="_xf05年工厂损益预算表格3-1215_DFL FY05 MFG Budget Monthly_【9.1 Updated】EC Master of FY10 profit simulation_Ａ&amp;O Consolidation Format_FCST3+9_v3" xfId="6932" xr:uid="{F86CF740-F114-4F07-80FA-6723D9E919F4}"/>
    <cellStyle name="_xf05年工厂损益预算表格3-1215_DFL FY05 MFG Budget Monthly_【9.1 Updated】EC Master of FY10 profit simulation_A&amp;O Format" xfId="6933" xr:uid="{CABF9DD9-AB65-4ED1-B5E7-F2F212D441F9}"/>
    <cellStyle name="_xf05年工厂损益预算表格3-1215_DFL FY05 MFG Budget Monthly_【9.1 Updated】EC Master of FY10 profit simulation_A&amp;O Format_FCST3+9" xfId="6934" xr:uid="{618C701F-5A32-4A08-9252-7159E71DAE6B}"/>
    <cellStyle name="_xf05年工厂损益预算表格3-1215_DFL FY05 MFG Budget Monthly_【9.1 Updated】EC Master of FY10 profit simulation_A&amp;O Format_FCST3+9_v1" xfId="6935" xr:uid="{1C9398EC-83C8-47B7-B397-A9C89F7C9910}"/>
    <cellStyle name="_xf05年工厂损益预算表格3-1215_DFL FY05 MFG Budget Monthly_【9.1 Updated】EC Master of FY10 profit simulation_CHAO #2 Forecast Summary" xfId="6936" xr:uid="{DC57D7F9-DC80-4263-A415-0D4E86408B93}"/>
    <cellStyle name="_xf05年工厂损益预算表格3-1215_DFL FY05 MFG Budget Monthly_【9.1 Updated】EC Master of FY10 profit simulation_CHAO #2 Forecast Summary_FY12 Budget Final OC-China" xfId="6937" xr:uid="{2EAF4DEA-BAA4-4C2A-83F8-F3E776F8E899}"/>
    <cellStyle name="_xf05年工厂损益预算表格3-1215_DFL FY05 MFG Budget Monthly_【9.1 Updated】EC Master of FY10 profit simulation_CHAO #2 Forecast Summary_Sample Format" xfId="6938" xr:uid="{33E1C8E0-F76A-4CC5-8866-B48B66F09717}"/>
    <cellStyle name="_xf05年工厂损益预算表格3-1215_DFL FY05 MFG Budget Monthly_【9.1 Updated】EC Master of FY10 profit simulation_CHAO #2 Forecast Summary_Sample Format_Ａ&amp;O Consolidation Format_FCST3+9_v3" xfId="6939" xr:uid="{402B3F15-ADD4-4A0D-BEC0-BC1A99403C5C}"/>
    <cellStyle name="_xf05年工厂损益预算表格3-1215_DFL FY05 MFG Budget Monthly_【9.1 Updated】EC Master of FY10 profit simulation_CHAO #2 Forecast Summary_Sample Format_A&amp;O Format" xfId="6940" xr:uid="{C3B56D54-9A0A-4313-8FD0-E54ABAD0D8A2}"/>
    <cellStyle name="_xf05年工厂损益预算表格3-1215_DFL FY05 MFG Budget Monthly_【9.1 Updated】EC Master of FY10 profit simulation_CHAO #2 Forecast Summary_Sample Format_A&amp;O Format_FCST3+9" xfId="6941" xr:uid="{F5790A99-A0BA-4CFC-ADFF-3A6DC5E35E9B}"/>
    <cellStyle name="_xf05年工厂损益预算表格3-1215_DFL FY05 MFG Budget Monthly_【9.1 Updated】EC Master of FY10 profit simulation_CHAO #2 Forecast Summary_Sample Format_A&amp;O Format_FCST3+9_v1" xfId="6942" xr:uid="{D2A95D82-67BF-4C8C-AF0D-FA90F33F0CFD}"/>
    <cellStyle name="_xf05年工厂损益预算表格3-1215_DFL FY05 MFG Budget Monthly_【9.1 Updated】EC Master of FY10 profit simulation_Correct FC#2 AO OP" xfId="6943" xr:uid="{E0C7622E-090B-4DC3-A0C8-B0B0C8048A6F}"/>
    <cellStyle name="_xf05年工厂损益预算表格3-1215_DFL FY05 MFG Budget Monthly_【9.1 Updated】EC Master of FY10 profit simulation_Correct FC#2 AO OP_FY12 Budget Final OC-China" xfId="6944" xr:uid="{92882633-7A91-4655-AB66-056E2154DDD9}"/>
    <cellStyle name="_xf05年工厂损益预算表格3-1215_DFL FY05 MFG Budget Monthly_【9.1 Updated】EC Master of FY10 profit simulation_Correct FC#2 AO OP_Sample Format" xfId="6945" xr:uid="{BAD404E9-17BC-4F0A-A2EE-D88BF6F6A168}"/>
    <cellStyle name="_xf05年工厂损益预算表格3-1215_DFL FY05 MFG Budget Monthly_【9.1 Updated】EC Master of FY10 profit simulation_Correct FC#2 AO OP_Sample Format_Ａ&amp;O Consolidation Format_FCST3+9_v3" xfId="6946" xr:uid="{E2CFDFAF-37CE-43AD-861F-4FE9A6FC9AB5}"/>
    <cellStyle name="_xf05年工厂损益预算表格3-1215_DFL FY05 MFG Budget Monthly_【9.1 Updated】EC Master of FY10 profit simulation_Correct FC#2 AO OP_Sample Format_A&amp;O Format" xfId="6947" xr:uid="{5A14705B-C6FC-4422-ADA2-ABCE0EEB744D}"/>
    <cellStyle name="_xf05年工厂损益预算表格3-1215_DFL FY05 MFG Budget Monthly_【9.1 Updated】EC Master of FY10 profit simulation_Correct FC#2 AO OP_Sample Format_A&amp;O Format_FCST3+9" xfId="6948" xr:uid="{8D0F3E8E-BA93-4F31-8899-BFC4DCC7E30A}"/>
    <cellStyle name="_xf05年工厂损益预算表格3-1215_DFL FY05 MFG Budget Monthly_【9.1 Updated】EC Master of FY10 profit simulation_Correct FC#2 AO OP_Sample Format_A&amp;O Format_FCST3+9_v1" xfId="6949" xr:uid="{62AD2754-12BB-4979-9CF8-18A8CD60953A}"/>
    <cellStyle name="_xf05年工厂损益预算表格3-1215_DFL FY05 MFG Budget Monthly_【9.1 Updated】EC Master of FY10 profit simulation_FY10 FC#2_OP_Variance" xfId="6950" xr:uid="{6C0F5C9F-A9AE-4496-9652-B1613B31110D}"/>
    <cellStyle name="_xf05年工厂损益预算表格3-1215_DFL FY05 MFG Budget Monthly_【9.1 Updated】EC Master of FY10 profit simulation_FY10 FC#2_OP_Variance_FY12 Budget Final OC-China" xfId="6951" xr:uid="{739B04D3-FF04-472F-97E9-F5F02D1F2B60}"/>
    <cellStyle name="_xf05年工厂损益预算表格3-1215_DFL FY05 MFG Budget Monthly_【9.1 Updated】EC Master of FY10 profit simulation_FY10 FC#2_OP_Variance_Sample Format" xfId="6952" xr:uid="{1FA77C13-1E4E-42CF-9958-E724A90BC4B0}"/>
    <cellStyle name="_xf05年工厂损益预算表格3-1215_DFL FY05 MFG Budget Monthly_【9.1 Updated】EC Master of FY10 profit simulation_FY10 FC#2_OP_Variance_Sample Format_Ａ&amp;O Consolidation Format_FCST3+9_v3" xfId="6953" xr:uid="{F027BE58-3B9B-43CE-A45D-14682587384B}"/>
    <cellStyle name="_xf05年工厂损益预算表格3-1215_DFL FY05 MFG Budget Monthly_【9.1 Updated】EC Master of FY10 profit simulation_FY10 FC#2_OP_Variance_Sample Format_A&amp;O Format" xfId="6954" xr:uid="{51EB49C4-EE2B-4BBF-94DB-F5DEF360F809}"/>
    <cellStyle name="_xf05年工厂损益预算表格3-1215_DFL FY05 MFG Budget Monthly_【9.1 Updated】EC Master of FY10 profit simulation_FY10 FC#2_OP_Variance_Sample Format_A&amp;O Format_FCST3+9" xfId="6955" xr:uid="{C3977D56-51B3-43F5-9991-CD89FBBC24C8}"/>
    <cellStyle name="_xf05年工厂损益预算表格3-1215_DFL FY05 MFG Budget Monthly_【9.1 Updated】EC Master of FY10 profit simulation_FY10 FC#2_OP_Variance_Sample Format_A&amp;O Format_FCST3+9_v1" xfId="6956" xr:uid="{7EC1F39C-2154-42DA-B887-92772E622BB2}"/>
    <cellStyle name="_xf05年工厂损益预算表格3-1215_DFL FY05 MFG Budget Monthly_【9.1 Updated】EC Master of FY10 profit simulation_FY12 BP_Simulation information PKG_R" xfId="6957" xr:uid="{C559A648-195C-4DD2-A3D7-75DBA3806E0D}"/>
    <cellStyle name="_xf05年工厂损益预算表格3-1215_DFL FY05 MFG Budget Monthly_【9.1 Updated】EC Master of FY10 profit simulation_FY12 BP_Simulation information PKG_R（SGA）" xfId="6958" xr:uid="{F1F9D865-EAD8-4419-87C8-057C4758642C}"/>
    <cellStyle name="_xf05年工厂损益预算表格3-1215_DFL FY05 MFG Budget Monthly_【9.1 Updated】EC Master of FY10 profit simulation_v1 FY11 Budget Sim summary" xfId="6959" xr:uid="{FB7F81F1-99B1-4CC6-BD59-8E23183047C0}"/>
    <cellStyle name="_xf05年工厂损益预算表格3-1215_DFL FY05 MFG Budget Monthly_【9.1 Updated】EC Master of FY10 profit simulation_v1 FY11 Budget Sim summary_FY12 Budget Final OC-China" xfId="6960" xr:uid="{A95F3685-73EA-4286-8463-18D59BCB5CAC}"/>
    <cellStyle name="_xf05年工厂损益预算表格3-1215_DFL FY05 MFG Budget Monthly_【9.1 Updated】EC Master of FY10 profit simulation_v1 FY11 Budget Sim summary_Sample Format" xfId="6961" xr:uid="{1CD7D18F-83A9-452D-9257-A9DC9A648D35}"/>
    <cellStyle name="_xf05年工厂损益预算表格3-1215_DFL FY05 MFG Budget Monthly_【9.1 Updated】EC Master of FY10 profit simulation_v1 FY11 Budget Sim summary_Sample Format_Ａ&amp;O Consolidation Format_FCST3+9_v3" xfId="6962" xr:uid="{1C7D816B-2C18-4904-9B85-67C9C27C20EF}"/>
    <cellStyle name="_xf05年工厂损益预算表格3-1215_DFL FY05 MFG Budget Monthly_【9.1 Updated】EC Master of FY10 profit simulation_v1 FY11 Budget Sim summary_Sample Format_A&amp;O Format" xfId="6963" xr:uid="{66BE866F-0139-4473-B52D-0878D66A2544}"/>
    <cellStyle name="_xf05年工厂损益预算表格3-1215_DFL FY05 MFG Budget Monthly_【9.1 Updated】EC Master of FY10 profit simulation_v1 FY11 Budget Sim summary_Sample Format_A&amp;O Format_FCST3+9" xfId="6964" xr:uid="{8271551A-7DDB-4722-9767-5987CDAE2CCA}"/>
    <cellStyle name="_xf05年工厂损益预算表格3-1215_DFL FY05 MFG Budget Monthly_【9.1 Updated】EC Master of FY10 profit simulation_v1 FY11 Budget Sim summary_Sample Format_A&amp;O Format_FCST3+9_v1" xfId="6965" xr:uid="{2185A62D-DD07-4382-A925-46D8DAAEED11}"/>
    <cellStyle name="_xf05年工厂损益预算表格3-1215_DFL FY05 MFG Budget Monthly_【9.1 Updated】EC Master of FY10 profit simulation_v2 CHAO #2 Forecast Summary" xfId="6966" xr:uid="{CDEAAA12-95E4-4FD6-925B-25C70F144ECE}"/>
    <cellStyle name="_xf05年工厂损益预算表格3-1215_DFL FY05 MFG Budget Monthly_【9.1 Updated】EC Master of FY10 profit simulation_v2 CHAO #2 Forecast Summary_FY12 Budget Final OC-China" xfId="6967" xr:uid="{53360DAA-845D-441F-8937-002D6E4B17B6}"/>
    <cellStyle name="_xf05年工厂损益预算表格3-1215_DFL FY05 MFG Budget Monthly_【9.1 Updated】EC Master of FY10 profit simulation_v2 CHAO #2 Forecast Summary_Sample Format" xfId="6968" xr:uid="{924CD79B-5245-4406-B6AE-27D4C424C597}"/>
    <cellStyle name="_xf05年工厂损益预算表格3-1215_DFL FY05 MFG Budget Monthly_【9.1 Updated】EC Master of FY10 profit simulation_v2 CHAO #2 Forecast Summary_Sample Format_Ａ&amp;O Consolidation Format_FCST3+9_v3" xfId="6969" xr:uid="{62936897-463D-4260-8C7A-8183D7A02D36}"/>
    <cellStyle name="_xf05年工厂损益预算表格3-1215_DFL FY05 MFG Budget Monthly_【9.1 Updated】EC Master of FY10 profit simulation_v2 CHAO #2 Forecast Summary_Sample Format_A&amp;O Format" xfId="6970" xr:uid="{2236B920-4BEA-4630-9060-18F1BB1B3B87}"/>
    <cellStyle name="_xf05年工厂损益预算表格3-1215_DFL FY05 MFG Budget Monthly_【9.1 Updated】EC Master of FY10 profit simulation_v2 CHAO #2 Forecast Summary_Sample Format_A&amp;O Format_FCST3+9" xfId="6971" xr:uid="{BFD4FA1D-6460-4923-854A-134855C49A92}"/>
    <cellStyle name="_xf05年工厂损益预算表格3-1215_DFL FY05 MFG Budget Monthly_【9.1 Updated】EC Master of FY10 profit simulation_v2 CHAO #2 Forecast Summary_Sample Format_A&amp;O Format_FCST3+9_v1" xfId="6972" xr:uid="{8CD13B28-64C3-4C67-8FBD-150D94551C10}"/>
    <cellStyle name="_xf05年工厂损益预算表格3-1215_DFL FY05 MFG Budget Monthly_【9.1 Updated】EC Master of FY10 profit simulation_v2 FY10 FC#2_OP_Variance" xfId="6973" xr:uid="{BD7DDAF8-C45B-4FA9-A639-91B801902FE8}"/>
    <cellStyle name="_xf05年工厂损益预算表格3-1215_DFL FY05 MFG Budget Monthly_【9.1 Updated】EC Master of FY10 profit simulation_v2 FY10 FC#2_OP_Variance_FY12 Budget Final OC-China" xfId="6974" xr:uid="{8C4069D8-9C6E-4591-835A-9389D07A58F3}"/>
    <cellStyle name="_xf05年工厂损益预算表格3-1215_DFL FY05 MFG Budget Monthly_【9.1 Updated】EC Master of FY10 profit simulation_v2 FY10 FC#2_OP_Variance_Sample Format" xfId="6975" xr:uid="{B399B8FE-28F4-4F98-87E2-24284A8D39F5}"/>
    <cellStyle name="_xf05年工厂损益预算表格3-1215_DFL FY05 MFG Budget Monthly_【9.1 Updated】EC Master of FY10 profit simulation_v2 FY10 FC#2_OP_Variance_Sample Format_Ａ&amp;O Consolidation Format_FCST3+9_v3" xfId="6976" xr:uid="{712FE8D0-803D-48EC-9375-4628EB18F3FB}"/>
    <cellStyle name="_xf05年工厂损益预算表格3-1215_DFL FY05 MFG Budget Monthly_【9.1 Updated】EC Master of FY10 profit simulation_v2 FY10 FC#2_OP_Variance_Sample Format_A&amp;O Format" xfId="6977" xr:uid="{49D5B52D-48C6-4C64-B0D2-A96DEF21C56B}"/>
    <cellStyle name="_xf05年工厂损益预算表格3-1215_DFL FY05 MFG Budget Monthly_【9.1 Updated】EC Master of FY10 profit simulation_v2 FY10 FC#2_OP_Variance_Sample Format_A&amp;O Format_FCST3+9" xfId="6978" xr:uid="{4D799B84-416C-4EE6-86D4-BD131A5124A0}"/>
    <cellStyle name="_xf05年工厂损益预算表格3-1215_DFL FY05 MFG Budget Monthly_【9.1 Updated】EC Master of FY10 profit simulation_v2 FY10 FC#2_OP_Variance_Sample Format_A&amp;O Format_FCST3+9_v1" xfId="6979" xr:uid="{7F66F1A4-1347-4D64-B493-51E8DA126913}"/>
    <cellStyle name="_xf05年工厂损益预算表格3-1215_DFL FY05 MFG Budget Monthly_【9.1 Updated】EC Master of FY10 profit simulation_v5 FY11 Budget Sim summary" xfId="6980" xr:uid="{68B6AEF7-BB9C-48D5-93DF-4520E421926A}"/>
    <cellStyle name="_xf05年工厂损益预算表格3-1215_DFL FY05 MFG Budget Monthly_【9.1 Updated】EC Master of FY10 profit simulation_v5 FY11 Budget Sim summary_FY12 Budget Final OC-China" xfId="6981" xr:uid="{CBB9B727-D798-414E-8E87-97D42B99503C}"/>
    <cellStyle name="_xf05年工厂损益预算表格3-1215_DFL FY05 MFG Budget Monthly_【9.1 Updated】EC Master of FY10 profit simulation_v5 FY11 Budget Sim summary_Sample Format" xfId="6982" xr:uid="{AD6DC907-4E59-4EF4-BB7B-453B2F7AC886}"/>
    <cellStyle name="_xf05年工厂损益预算表格3-1215_DFL FY05 MFG Budget Monthly_【9.1 Updated】EC Master of FY10 profit simulation_v5 FY11 Budget Sim summary_Sample Format_Ａ&amp;O Consolidation Format_FCST3+9_v3" xfId="6983" xr:uid="{21B21146-F704-4B9F-A5D6-5CB65066427F}"/>
    <cellStyle name="_xf05年工厂损益预算表格3-1215_DFL FY05 MFG Budget Monthly_【9.1 Updated】EC Master of FY10 profit simulation_v5 FY11 Budget Sim summary_Sample Format_A&amp;O Format" xfId="6984" xr:uid="{9D7F44DD-E994-4E63-B798-9BF47775CE0D}"/>
    <cellStyle name="_xf05年工厂损益预算表格3-1215_DFL FY05 MFG Budget Monthly_【9.1 Updated】EC Master of FY10 profit simulation_v5 FY11 Budget Sim summary_Sample Format_A&amp;O Format_FCST3+9" xfId="6985" xr:uid="{B9506662-3F11-4107-BC45-853F4C60683A}"/>
    <cellStyle name="_xf05年工厂损益预算表格3-1215_DFL FY05 MFG Budget Monthly_【9.1 Updated】EC Master of FY10 profit simulation_v5 FY11 Budget Sim summary_Sample Format_A&amp;O Format_FCST3+9_v1" xfId="6986" xr:uid="{BC7380F2-40E6-433E-B8B3-378E35C01B3D}"/>
    <cellStyle name="_xf05年工厂损益预算表格3-1215_DFL FY05 MFG Budget Monthly_【9.1 Updated】EC Master of FY10 profit simulation_コピー【Master】 FY12 Simula tion Excel PKG for Auto" xfId="6987" xr:uid="{E2FB53B1-DCB1-4C61-9726-6268107B3774}"/>
    <cellStyle name="_xf05年工厂损益预算表格3-1215_DFL FY05 MFG Budget Monthly_【9.1 Updated】EC Master of FY10 profit simulation_これマスター　FCF_FY12 Simulation Excel PKG for Auto" xfId="6988" xr:uid="{15640A35-DEDE-4CCE-B64F-B6072A81265A}"/>
    <cellStyle name="_xf05年工厂损益预算表格3-1215_DFL FY05 MFG Budget Monthly_【Master】 FY12 Simulation Excel PKG for Auto" xfId="6989" xr:uid="{5167C6D6-E089-4A47-8DAB-9C840A0A06F4}"/>
    <cellStyle name="_xf05年工厂损益预算表格3-1215_DFL FY05 MFG Budget Monthly_【Master】 FY12 Simulation Excel PKG for Auto (2)" xfId="6990" xr:uid="{A52C6049-2052-4740-9730-09FEBC9856FA}"/>
    <cellStyle name="_xf05年工厂损益预算表格3-1215_DFL FY05 MFG Budget Monthly_【Master】 FY12 Simulation Excel PKG for Auto_sugii" xfId="6991" xr:uid="{9C0BA5EC-B6C5-4A55-83F8-AD69B85EB592}"/>
    <cellStyle name="_xf05年工厂损益预算表格3-1215_DFL FY05 MFG Budget Monthly_【Master】 FY12 Simulation Excel PKG for Auto_sugii (2)" xfId="6992" xr:uid="{C7D4115B-580D-463E-B329-B8B47221B787}"/>
    <cellStyle name="_xf05年工厂损益预算表格3-1215_DFL FY05 MFG Budget Monthly_【Shibayama】 FY12 Simulation Excel PKG for Auto" xfId="6993" xr:uid="{E75BE171-607D-4163-B324-98BA9ECACB17}"/>
    <cellStyle name="_xf05年工厂损益预算表格3-1215_DFL FY05 MFG Budget Monthly_Ａ&amp;O Consolidation Format_FCST3+9_v3" xfId="6994" xr:uid="{84E9F380-FB9A-4255-B507-38D1F9B61904}"/>
    <cellStyle name="_xf05年工厂损益预算表格3-1215_DFL FY05 MFG Budget Monthly_A&amp;O Format" xfId="6995" xr:uid="{C86744B8-98CC-4A43-8AA8-48A3AA08928B}"/>
    <cellStyle name="_xf05年工厂损益预算表格3-1215_DFL FY05 MFG Budget Monthly_A&amp;O Format_FCST3+9" xfId="6996" xr:uid="{29B0574D-DCDA-45BF-B902-CA0B22089749}"/>
    <cellStyle name="_xf05年工厂损益预算表格3-1215_DFL FY05 MFG Budget Monthly_A&amp;O Format_FCST3+9_v1" xfId="6997" xr:uid="{BE54E15C-113D-4BAE-A6DA-0AD7593E6EC6}"/>
    <cellStyle name="_xf05年工厂损益预算表格3-1215_DFL FY05 MFG Budget Monthly_CHAO #2 Forecast Summary" xfId="6998" xr:uid="{6316196F-6BC2-4F86-8B03-1A11D6E367E8}"/>
    <cellStyle name="_xf05年工厂损益预算表格3-1215_DFL FY05 MFG Budget Monthly_CHAO #2 Forecast Summary_FY12 Budget Final OC-China" xfId="6999" xr:uid="{8DB066CA-46D6-4F40-ADE4-E9BA07038671}"/>
    <cellStyle name="_xf05年工厂损益预算表格3-1215_DFL FY05 MFG Budget Monthly_CHAO #2 Forecast Summary_Sample Format" xfId="7000" xr:uid="{63FD3C16-B20E-49FF-8755-378EB125B471}"/>
    <cellStyle name="_xf05年工厂损益预算表格3-1215_DFL FY05 MFG Budget Monthly_CHAO #2 Forecast Summary_Sample Format_Ａ&amp;O Consolidation Format_FCST3+9_v3" xfId="7001" xr:uid="{52B3B8C7-F62A-4FA7-B785-0C720CDA691D}"/>
    <cellStyle name="_xf05年工厂损益预算表格3-1215_DFL FY05 MFG Budget Monthly_CHAO #2 Forecast Summary_Sample Format_A&amp;O Format" xfId="7002" xr:uid="{2BAE65DD-D464-4AB5-8972-1B02417797A0}"/>
    <cellStyle name="_xf05年工厂损益预算表格3-1215_DFL FY05 MFG Budget Monthly_CHAO #2 Forecast Summary_Sample Format_A&amp;O Format_FCST3+9" xfId="7003" xr:uid="{2622C829-CD58-4F95-8016-F021466F746B}"/>
    <cellStyle name="_xf05年工厂损益预算表格3-1215_DFL FY05 MFG Budget Monthly_CHAO #2 Forecast Summary_Sample Format_A&amp;O Format_FCST3+9_v1" xfId="7004" xr:uid="{31964BC6-CDB7-4535-A7A6-D8F3D43BA648}"/>
    <cellStyle name="_xf05年工厂损益预算表格3-1215_DFL FY05 MFG Budget Monthly_Correct FC#2 AO OP" xfId="7005" xr:uid="{33EF2087-ED04-4880-9F35-476D67B5727B}"/>
    <cellStyle name="_xf05年工厂损益预算表格3-1215_DFL FY05 MFG Budget Monthly_Correct FC#2 AO OP_FY12 Budget Final OC-China" xfId="7006" xr:uid="{DB5F6981-A4F2-4E75-95E2-8DFDBF86D955}"/>
    <cellStyle name="_xf05年工厂损益预算表格3-1215_DFL FY05 MFG Budget Monthly_Correct FC#2 AO OP_Sample Format" xfId="7007" xr:uid="{991FED70-BE02-48E2-B5C6-6A0835073078}"/>
    <cellStyle name="_xf05年工厂损益预算表格3-1215_DFL FY05 MFG Budget Monthly_Correct FC#2 AO OP_Sample Format_Ａ&amp;O Consolidation Format_FCST3+9_v3" xfId="7008" xr:uid="{4DDECC16-1084-42FD-A9FE-9AB1954C83CC}"/>
    <cellStyle name="_xf05年工厂损益预算表格3-1215_DFL FY05 MFG Budget Monthly_Correct FC#2 AO OP_Sample Format_A&amp;O Format" xfId="7009" xr:uid="{A3791422-3CE0-4A28-B73D-A8BB022EBB18}"/>
    <cellStyle name="_xf05年工厂损益预算表格3-1215_DFL FY05 MFG Budget Monthly_Correct FC#2 AO OP_Sample Format_A&amp;O Format_FCST3+9" xfId="7010" xr:uid="{491C84EF-C07B-41E2-9F7B-9D094F7C8DF1}"/>
    <cellStyle name="_xf05年工厂损益预算表格3-1215_DFL FY05 MFG Budget Monthly_Correct FC#2 AO OP_Sample Format_A&amp;O Format_FCST3+9_v1" xfId="7011" xr:uid="{328CE348-3E40-4057-822F-167BB4F172FB}"/>
    <cellStyle name="_xf05年工厂损益预算表格3-1215_DFL FY05 MFG Budget Monthly_FCF_FY12 BUD Simulation Excel PKG for Auto_v2" xfId="7012" xr:uid="{6034748D-E414-4EFE-9873-DE0C6D149C67}"/>
    <cellStyle name="_xf05年工厂损益预算表格3-1215_DFL FY05 MFG Budget Monthly_FY08 PIC guideline(07.10.02KPI)" xfId="7013" xr:uid="{17F0CFB0-62C8-49EC-A7C9-1B2DFD7ACD1D}"/>
    <cellStyle name="_xf05年工厂损益预算表格3-1215_DFL FY05 MFG Budget Monthly_FY08 PIC guideline(07.10.02KPI)_#1 Forecast Summary" xfId="7014" xr:uid="{C8D30A90-3C7E-4783-B957-FBD6A54AB3E5}"/>
    <cellStyle name="_xf05年工厂损益预算表格3-1215_DFL FY05 MFG Budget Monthly_FY08 PIC guideline(07.10.02KPI)_#1 Forecast Summary_FY12 Budget Final OC-China" xfId="7015" xr:uid="{476400F0-61E6-4A64-B70B-643AFE4903EC}"/>
    <cellStyle name="_xf05年工厂损益预算表格3-1215_DFL FY05 MFG Budget Monthly_FY08 PIC guideline(07.10.02KPI)_#1 Forecast Summary_Sample Format" xfId="7016" xr:uid="{D05EAAC1-419D-461A-9079-49335C62E71F}"/>
    <cellStyle name="_xf05年工厂损益预算表格3-1215_DFL FY05 MFG Budget Monthly_FY08 PIC guideline(07.10.02KPI)_#1 Forecast Summary_Sample Format_Ａ&amp;O Consolidation Format_FCST3+9_v3" xfId="7017" xr:uid="{8ED83821-8EB1-4FF9-9C7B-06026D9B9B9F}"/>
    <cellStyle name="_xf05年工厂损益预算表格3-1215_DFL FY05 MFG Budget Monthly_FY08 PIC guideline(07.10.02KPI)_#1 Forecast Summary_Sample Format_A&amp;O Format" xfId="7018" xr:uid="{60D7A799-C979-4EDA-905E-DCA583CBC774}"/>
    <cellStyle name="_xf05年工厂损益预算表格3-1215_DFL FY05 MFG Budget Monthly_FY08 PIC guideline(07.10.02KPI)_#1 Forecast Summary_Sample Format_A&amp;O Format_FCST3+9" xfId="7019" xr:uid="{EFD282D7-20EE-4007-9B1B-F5309B999B51}"/>
    <cellStyle name="_xf05年工厂损益预算表格3-1215_DFL FY05 MFG Budget Monthly_FY08 PIC guideline(07.10.02KPI)_#1 Forecast Summary_Sample Format_A&amp;O Format_FCST3+9_v1" xfId="7020" xr:uid="{F3EFB3D3-90F4-49B6-90DF-8EBD63A6AC93}"/>
    <cellStyle name="_xf05年工厂损益预算表格3-1215_DFL FY05 MFG Budget Monthly_FY08 PIC guideline(07.10.02KPI)_(CHAO) FY10 Forecast#1 Regional Comment" xfId="7021" xr:uid="{B3148779-906F-437A-9FAC-A725C29BFA1A}"/>
    <cellStyle name="_xf05年工厂损益预算表格3-1215_DFL FY05 MFG Budget Monthly_FY08 PIC guideline(07.10.02KPI)_(CHAO) FY10 Forecast#1 Regional Comment_FY12 Budget Final OC-China" xfId="7022" xr:uid="{A05BE5E2-856F-4B0C-8566-AF5C9E0F60AB}"/>
    <cellStyle name="_xf05年工厂损益预算表格3-1215_DFL FY05 MFG Budget Monthly_FY08 PIC guideline(07.10.02KPI)_(CHAO) FY10 Forecast#1 Regional Comment_Sample Format" xfId="7023" xr:uid="{3EB87207-CC46-45DF-BC6E-803C0CFD235F}"/>
    <cellStyle name="_xf05年工厂损益预算表格3-1215_DFL FY05 MFG Budget Monthly_FY08 PIC guideline(07.10.02KPI)_(CHAO) FY10 Forecast#1 Regional Comment_Sample Format_Ａ&amp;O Consolidation Format_FCST3+9_v3" xfId="7024" xr:uid="{6830DE20-39AD-4EEE-A5F8-24E9972D85BC}"/>
    <cellStyle name="_xf05年工厂损益预算表格3-1215_DFL FY05 MFG Budget Monthly_FY08 PIC guideline(07.10.02KPI)_(CHAO) FY10 Forecast#1 Regional Comment_Sample Format_A&amp;O Format" xfId="7025" xr:uid="{A36E5570-3828-4E76-9778-A2B1B10B8FB2}"/>
    <cellStyle name="_xf05年工厂损益预算表格3-1215_DFL FY05 MFG Budget Monthly_FY08 PIC guideline(07.10.02KPI)_(CHAO) FY10 Forecast#1 Regional Comment_Sample Format_A&amp;O Format_FCST3+9" xfId="7026" xr:uid="{D289CB27-7922-41C2-A49D-3975DAD0F4EF}"/>
    <cellStyle name="_xf05年工厂损益预算表格3-1215_DFL FY05 MFG Budget Monthly_FY08 PIC guideline(07.10.02KPI)_(CHAO) FY10 Forecast#1 Regional Comment_Sample Format_A&amp;O Format_FCST3+9_v1" xfId="7027" xr:uid="{45EEDE52-FCA4-40CA-8B91-90337C0E085B}"/>
    <cellStyle name="_xf05年工厂损益预算表格3-1215_DFL FY05 MFG Budget Monthly_FY08 PIC guideline(07.10.02KPI)_【Master】 FY12 Simulation Excel PKG for Auto" xfId="7028" xr:uid="{0848AE81-28C2-4491-8FFB-EF94CBE1508B}"/>
    <cellStyle name="_xf05年工厂损益预算表格3-1215_DFL FY05 MFG Budget Monthly_FY08 PIC guideline(07.10.02KPI)_【Master】 FY12 Simulation Excel PKG for Auto (2)" xfId="7029" xr:uid="{F994D0D2-5E54-4946-8C48-26E6B65056AB}"/>
    <cellStyle name="_xf05年工厂损益预算表格3-1215_DFL FY05 MFG Budget Monthly_FY08 PIC guideline(07.10.02KPI)_【Master】 FY12 Simulation Excel PKG for Auto_sugii" xfId="7030" xr:uid="{31190E7C-EBCB-4C97-90C2-A067E7BB1C40}"/>
    <cellStyle name="_xf05年工厂损益预算表格3-1215_DFL FY05 MFG Budget Monthly_FY08 PIC guideline(07.10.02KPI)_【Master】 FY12 Simulation Excel PKG for Auto_sugii (2)" xfId="7031" xr:uid="{5CAB7142-D9DB-408F-B5FD-839E889804BF}"/>
    <cellStyle name="_xf05年工厂损益预算表格3-1215_DFL FY05 MFG Budget Monthly_FY08 PIC guideline(07.10.02KPI)_【Shibayama】 FY12 Simulation Excel PKG for Auto" xfId="7032" xr:uid="{9BDA7061-B852-4CE1-9F2B-6915872CDB30}"/>
    <cellStyle name="_xf05年工厂损益预算表格3-1215_DFL FY05 MFG Budget Monthly_FY08 PIC guideline(07.10.02KPI)_Ａ&amp;O Consolidation Format_FCST3+9_v3" xfId="7033" xr:uid="{5D885D95-3F4D-4D58-81F5-C72D1A823822}"/>
    <cellStyle name="_xf05年工厂损益预算表格3-1215_DFL FY05 MFG Budget Monthly_FY08 PIC guideline(07.10.02KPI)_A&amp;O Format" xfId="7034" xr:uid="{FE7A58E2-AC9D-41B6-8DAF-3539E1AEDF0B}"/>
    <cellStyle name="_xf05年工厂损益预算表格3-1215_DFL FY05 MFG Budget Monthly_FY08 PIC guideline(07.10.02KPI)_A&amp;O Format_FCST3+9" xfId="7035" xr:uid="{A8EC6053-A7AA-4F77-A417-842BC352ABE6}"/>
    <cellStyle name="_xf05年工厂损益预算表格3-1215_DFL FY05 MFG Budget Monthly_FY08 PIC guideline(07.10.02KPI)_A&amp;O Format_FCST3+9_v1" xfId="7036" xr:uid="{87BC6CEC-E46C-4CB6-A8F5-70D133D0E858}"/>
    <cellStyle name="_xf05年工厂损益预算表格3-1215_DFL FY05 MFG Budget Monthly_FY08 PIC guideline(07.10.02KPI)_CHAO #2 Forecast Summary" xfId="7037" xr:uid="{08EB92C9-184D-44AB-BB8C-0EA8C74D08C0}"/>
    <cellStyle name="_xf05年工厂损益预算表格3-1215_DFL FY05 MFG Budget Monthly_FY08 PIC guideline(07.10.02KPI)_CHAO #2 Forecast Summary_FY12 Budget Final OC-China" xfId="7038" xr:uid="{98E42902-BDDB-4023-B619-06808B385C48}"/>
    <cellStyle name="_xf05年工厂损益预算表格3-1215_DFL FY05 MFG Budget Monthly_FY08 PIC guideline(07.10.02KPI)_CHAO #2 Forecast Summary_Sample Format" xfId="7039" xr:uid="{F82F41EA-A5EC-4471-9879-ECAF2544E449}"/>
    <cellStyle name="_xf05年工厂损益预算表格3-1215_DFL FY05 MFG Budget Monthly_FY08 PIC guideline(07.10.02KPI)_CHAO #2 Forecast Summary_Sample Format_Ａ&amp;O Consolidation Format_FCST3+9_v3" xfId="7040" xr:uid="{0C271A6F-CFB3-40BD-BE82-A0273BB045C4}"/>
    <cellStyle name="_xf05年工厂损益预算表格3-1215_DFL FY05 MFG Budget Monthly_FY08 PIC guideline(07.10.02KPI)_CHAO #2 Forecast Summary_Sample Format_A&amp;O Format" xfId="7041" xr:uid="{CAB8C8D3-3B9A-413E-946B-4278939A1BA9}"/>
    <cellStyle name="_xf05年工厂损益预算表格3-1215_DFL FY05 MFG Budget Monthly_FY08 PIC guideline(07.10.02KPI)_CHAO #2 Forecast Summary_Sample Format_A&amp;O Format_FCST3+9" xfId="7042" xr:uid="{A9DD3132-7C74-490E-9C07-DE4AB508C390}"/>
    <cellStyle name="_xf05年工厂损益预算表格3-1215_DFL FY05 MFG Budget Monthly_FY08 PIC guideline(07.10.02KPI)_CHAO #2 Forecast Summary_Sample Format_A&amp;O Format_FCST3+9_v1" xfId="7043" xr:uid="{F0AA2E60-E06A-4E0F-9AD1-5F3FA34E9290}"/>
    <cellStyle name="_xf05年工厂损益预算表格3-1215_DFL FY05 MFG Budget Monthly_FY08 PIC guideline(07.10.02KPI)_Correct FC#2 AO OP" xfId="7044" xr:uid="{66C07813-2BA2-483E-ABD3-42A4479199A8}"/>
    <cellStyle name="_xf05年工厂损益预算表格3-1215_DFL FY05 MFG Budget Monthly_FY08 PIC guideline(07.10.02KPI)_Correct FC#2 AO OP_FY12 Budget Final OC-China" xfId="7045" xr:uid="{CD10E181-F39D-43E1-A8D6-526266AB7B7A}"/>
    <cellStyle name="_xf05年工厂损益预算表格3-1215_DFL FY05 MFG Budget Monthly_FY08 PIC guideline(07.10.02KPI)_Correct FC#2 AO OP_Sample Format" xfId="7046" xr:uid="{3A4B3B57-D8B0-436D-9FD2-FC7DFA49F8C0}"/>
    <cellStyle name="_xf05年工厂损益预算表格3-1215_DFL FY05 MFG Budget Monthly_FY08 PIC guideline(07.10.02KPI)_Correct FC#2 AO OP_Sample Format_Ａ&amp;O Consolidation Format_FCST3+9_v3" xfId="7047" xr:uid="{1F08278A-1399-4E4A-9E17-6793E6902251}"/>
    <cellStyle name="_xf05年工厂损益预算表格3-1215_DFL FY05 MFG Budget Monthly_FY08 PIC guideline(07.10.02KPI)_Correct FC#2 AO OP_Sample Format_A&amp;O Format" xfId="7048" xr:uid="{50D734AD-E847-42C8-AFC7-AD6BFB6B9D5A}"/>
    <cellStyle name="_xf05年工厂损益预算表格3-1215_DFL FY05 MFG Budget Monthly_FY08 PIC guideline(07.10.02KPI)_Correct FC#2 AO OP_Sample Format_A&amp;O Format_FCST3+9" xfId="7049" xr:uid="{55C2F4BD-0F90-4FE1-93ED-C33CAF6E2451}"/>
    <cellStyle name="_xf05年工厂损益预算表格3-1215_DFL FY05 MFG Budget Monthly_FY08 PIC guideline(07.10.02KPI)_Correct FC#2 AO OP_Sample Format_A&amp;O Format_FCST3+9_v1" xfId="7050" xr:uid="{D7A79A77-E747-41F8-A2DD-901D577AE6D5}"/>
    <cellStyle name="_xf05年工厂损益预算表格3-1215_DFL FY05 MFG Budget Monthly_FY08 PIC guideline(07.10.02KPI)_FY10 FC#2_OP_Variance" xfId="7051" xr:uid="{044126FE-1702-49F6-BDA7-D342ACADFD53}"/>
    <cellStyle name="_xf05年工厂损益预算表格3-1215_DFL FY05 MFG Budget Monthly_FY08 PIC guideline(07.10.02KPI)_FY10 FC#2_OP_Variance_FY12 Budget Final OC-China" xfId="7052" xr:uid="{542D6AD5-718A-4271-9EDD-B22509E47E3A}"/>
    <cellStyle name="_xf05年工厂损益预算表格3-1215_DFL FY05 MFG Budget Monthly_FY08 PIC guideline(07.10.02KPI)_FY10 FC#2_OP_Variance_Sample Format" xfId="7053" xr:uid="{C804BF06-6E0F-43BF-9EF8-80E9EB897E61}"/>
    <cellStyle name="_xf05年工厂损益预算表格3-1215_DFL FY05 MFG Budget Monthly_FY08 PIC guideline(07.10.02KPI)_FY10 FC#2_OP_Variance_Sample Format_Ａ&amp;O Consolidation Format_FCST3+9_v3" xfId="7054" xr:uid="{2463E5C6-EDCB-41F9-9E9A-51CD5DAC9568}"/>
    <cellStyle name="_xf05年工厂损益预算表格3-1215_DFL FY05 MFG Budget Monthly_FY08 PIC guideline(07.10.02KPI)_FY10 FC#2_OP_Variance_Sample Format_A&amp;O Format" xfId="7055" xr:uid="{07C779B8-A1A2-4BE3-8B28-FC3926135316}"/>
    <cellStyle name="_xf05年工厂损益预算表格3-1215_DFL FY05 MFG Budget Monthly_FY08 PIC guideline(07.10.02KPI)_FY10 FC#2_OP_Variance_Sample Format_A&amp;O Format_FCST3+9" xfId="7056" xr:uid="{ECB525B8-CE67-4FB3-AEC9-9463E4E86283}"/>
    <cellStyle name="_xf05年工厂损益预算表格3-1215_DFL FY05 MFG Budget Monthly_FY08 PIC guideline(07.10.02KPI)_FY10 FC#2_OP_Variance_Sample Format_A&amp;O Format_FCST3+9_v1" xfId="7057" xr:uid="{35F4BB1A-4A83-4126-98BE-0C6D4605365A}"/>
    <cellStyle name="_xf05年工厂损益预算表格3-1215_DFL FY05 MFG Budget Monthly_FY08 PIC guideline(07.10.02KPI)_FY12 BP_Simulation information PKG_R" xfId="7058" xr:uid="{DC8B937D-B418-4603-A53A-F21C0F1B442C}"/>
    <cellStyle name="_xf05年工厂损益预算表格3-1215_DFL FY05 MFG Budget Monthly_FY08 PIC guideline(07.10.02KPI)_FY12 BP_Simulation information PKG_R（SGA）" xfId="7059" xr:uid="{06960A56-C26E-4873-B9E0-A170B0688AB7}"/>
    <cellStyle name="_xf05年工厂损益预算表格3-1215_DFL FY05 MFG Budget Monthly_FY08 PIC guideline(07.10.02KPI)_v1 FY11 Budget Sim summary" xfId="7060" xr:uid="{E1AB7267-7210-4536-A6D4-F6B242D3F10B}"/>
    <cellStyle name="_xf05年工厂损益预算表格3-1215_DFL FY05 MFG Budget Monthly_FY08 PIC guideline(07.10.02KPI)_v1 FY11 Budget Sim summary_FY12 Budget Final OC-China" xfId="7061" xr:uid="{83C92EC8-FC4C-42BB-9179-CF13148287E6}"/>
    <cellStyle name="_xf05年工厂损益预算表格3-1215_DFL FY05 MFG Budget Monthly_FY08 PIC guideline(07.10.02KPI)_v1 FY11 Budget Sim summary_Sample Format" xfId="7062" xr:uid="{17986EAE-9176-4544-BAEE-443272120AF3}"/>
    <cellStyle name="_xf05年工厂损益预算表格3-1215_DFL FY05 MFG Budget Monthly_FY08 PIC guideline(07.10.02KPI)_v1 FY11 Budget Sim summary_Sample Format_Ａ&amp;O Consolidation Format_FCST3+9_v3" xfId="7063" xr:uid="{7B7C15CD-8FEC-4547-808A-446A4EDD4F94}"/>
    <cellStyle name="_xf05年工厂损益预算表格3-1215_DFL FY05 MFG Budget Monthly_FY08 PIC guideline(07.10.02KPI)_v1 FY11 Budget Sim summary_Sample Format_A&amp;O Format" xfId="7064" xr:uid="{DCE2E48D-B60E-4C4D-A896-9CE857D9509E}"/>
    <cellStyle name="_xf05年工厂损益预算表格3-1215_DFL FY05 MFG Budget Monthly_FY08 PIC guideline(07.10.02KPI)_v1 FY11 Budget Sim summary_Sample Format_A&amp;O Format_FCST3+9" xfId="7065" xr:uid="{FDE000A2-DDD2-4A80-823C-7ABE34D352E8}"/>
    <cellStyle name="_xf05年工厂损益预算表格3-1215_DFL FY05 MFG Budget Monthly_FY08 PIC guideline(07.10.02KPI)_v1 FY11 Budget Sim summary_Sample Format_A&amp;O Format_FCST3+9_v1" xfId="7066" xr:uid="{B2064228-FF20-42AE-BB73-6F8D56397092}"/>
    <cellStyle name="_xf05年工厂损益预算表格3-1215_DFL FY05 MFG Budget Monthly_FY08 PIC guideline(07.10.02KPI)_v2 CHAO #2 Forecast Summary" xfId="7067" xr:uid="{8FFD9C23-6FAD-4459-AF19-46054035D0AC}"/>
    <cellStyle name="_xf05年工厂损益预算表格3-1215_DFL FY05 MFG Budget Monthly_FY08 PIC guideline(07.10.02KPI)_v2 CHAO #2 Forecast Summary_FY12 Budget Final OC-China" xfId="7068" xr:uid="{64AA81D0-8A88-4F29-AD05-2D2BBDA6DACE}"/>
    <cellStyle name="_xf05年工厂损益预算表格3-1215_DFL FY05 MFG Budget Monthly_FY08 PIC guideline(07.10.02KPI)_v2 CHAO #2 Forecast Summary_Sample Format" xfId="7069" xr:uid="{11D89B5A-20CE-4BB9-BCE2-5FD4EAD0FFD9}"/>
    <cellStyle name="_xf05年工厂损益预算表格3-1215_DFL FY05 MFG Budget Monthly_FY08 PIC guideline(07.10.02KPI)_v2 CHAO #2 Forecast Summary_Sample Format_Ａ&amp;O Consolidation Format_FCST3+9_v3" xfId="7070" xr:uid="{BA007617-3934-4B99-9390-5EA63C120463}"/>
    <cellStyle name="_xf05年工厂损益预算表格3-1215_DFL FY05 MFG Budget Monthly_FY08 PIC guideline(07.10.02KPI)_v2 CHAO #2 Forecast Summary_Sample Format_A&amp;O Format" xfId="7071" xr:uid="{46F8C649-9590-47CE-865F-DB17A74BE408}"/>
    <cellStyle name="_xf05年工厂损益预算表格3-1215_DFL FY05 MFG Budget Monthly_FY08 PIC guideline(07.10.02KPI)_v2 CHAO #2 Forecast Summary_Sample Format_A&amp;O Format_FCST3+9" xfId="7072" xr:uid="{F88C0161-114C-4412-8B6F-DA9DCE0C6EB6}"/>
    <cellStyle name="_xf05年工厂损益预算表格3-1215_DFL FY05 MFG Budget Monthly_FY08 PIC guideline(07.10.02KPI)_v2 CHAO #2 Forecast Summary_Sample Format_A&amp;O Format_FCST3+9_v1" xfId="7073" xr:uid="{69474A2D-81E7-4588-8027-D0E18B66E90D}"/>
    <cellStyle name="_xf05年工厂损益预算表格3-1215_DFL FY05 MFG Budget Monthly_FY08 PIC guideline(07.10.02KPI)_v2 FY10 FC#2_OP_Variance" xfId="7074" xr:uid="{C3208FFF-4C92-4962-A025-A953E942362E}"/>
    <cellStyle name="_xf05年工厂损益预算表格3-1215_DFL FY05 MFG Budget Monthly_FY08 PIC guideline(07.10.02KPI)_v2 FY10 FC#2_OP_Variance_FY12 Budget Final OC-China" xfId="7075" xr:uid="{AA2EB9F4-0B81-4217-A9CB-3309338001C4}"/>
    <cellStyle name="_xf05年工厂损益预算表格3-1215_DFL FY05 MFG Budget Monthly_FY08 PIC guideline(07.10.02KPI)_v2 FY10 FC#2_OP_Variance_Sample Format" xfId="7076" xr:uid="{E6368CB7-10D5-4E48-9334-DD648F02AE5C}"/>
    <cellStyle name="_xf05年工厂损益预算表格3-1215_DFL FY05 MFG Budget Monthly_FY08 PIC guideline(07.10.02KPI)_v2 FY10 FC#2_OP_Variance_Sample Format_Ａ&amp;O Consolidation Format_FCST3+9_v3" xfId="7077" xr:uid="{CA56393E-AE3E-4E82-B0EC-7BC15C995E9B}"/>
    <cellStyle name="_xf05年工厂损益预算表格3-1215_DFL FY05 MFG Budget Monthly_FY08 PIC guideline(07.10.02KPI)_v2 FY10 FC#2_OP_Variance_Sample Format_A&amp;O Format" xfId="7078" xr:uid="{1F961BFB-DE98-4821-B6C4-65E991D5C0EC}"/>
    <cellStyle name="_xf05年工厂损益预算表格3-1215_DFL FY05 MFG Budget Monthly_FY08 PIC guideline(07.10.02KPI)_v2 FY10 FC#2_OP_Variance_Sample Format_A&amp;O Format_FCST3+9" xfId="7079" xr:uid="{5F657EE0-AC86-40EB-98FF-2809B43C4117}"/>
    <cellStyle name="_xf05年工厂损益预算表格3-1215_DFL FY05 MFG Budget Monthly_FY08 PIC guideline(07.10.02KPI)_v2 FY10 FC#2_OP_Variance_Sample Format_A&amp;O Format_FCST3+9_v1" xfId="7080" xr:uid="{EBC34440-E51A-4EF6-ADC8-43F8C4163728}"/>
    <cellStyle name="_xf05年工厂损益预算表格3-1215_DFL FY05 MFG Budget Monthly_FY08 PIC guideline(07.10.02KPI)_v5 FY11 Budget Sim summary" xfId="7081" xr:uid="{B7957914-FA1B-4D8D-BA39-7B6C554AD21A}"/>
    <cellStyle name="_xf05年工厂损益预算表格3-1215_DFL FY05 MFG Budget Monthly_FY08 PIC guideline(07.10.02KPI)_v5 FY11 Budget Sim summary_FY12 Budget Final OC-China" xfId="7082" xr:uid="{100AC68E-3F80-46AA-9205-0C1BD3633BCB}"/>
    <cellStyle name="_xf05年工厂损益预算表格3-1215_DFL FY05 MFG Budget Monthly_FY08 PIC guideline(07.10.02KPI)_v5 FY11 Budget Sim summary_Sample Format" xfId="7083" xr:uid="{E0860EDB-ED7B-4D08-A172-DA1C0182F9E4}"/>
    <cellStyle name="_xf05年工厂损益预算表格3-1215_DFL FY05 MFG Budget Monthly_FY08 PIC guideline(07.10.02KPI)_v5 FY11 Budget Sim summary_Sample Format_Ａ&amp;O Consolidation Format_FCST3+9_v3" xfId="7084" xr:uid="{E9FC4944-25D6-403D-8F53-2C0C1D827135}"/>
    <cellStyle name="_xf05年工厂损益预算表格3-1215_DFL FY05 MFG Budget Monthly_FY08 PIC guideline(07.10.02KPI)_v5 FY11 Budget Sim summary_Sample Format_A&amp;O Format" xfId="7085" xr:uid="{5FB3CCC0-FC91-44EC-A8D8-EF2CFB6B07E1}"/>
    <cellStyle name="_xf05年工厂损益预算表格3-1215_DFL FY05 MFG Budget Monthly_FY08 PIC guideline(07.10.02KPI)_v5 FY11 Budget Sim summary_Sample Format_A&amp;O Format_FCST3+9" xfId="7086" xr:uid="{785C2AEB-A8FF-4735-843F-BB3D5D9F4C8F}"/>
    <cellStyle name="_xf05年工厂损益预算表格3-1215_DFL FY05 MFG Budget Monthly_FY08 PIC guideline(07.10.02KPI)_v5 FY11 Budget Sim summary_Sample Format_A&amp;O Format_FCST3+9_v1" xfId="7087" xr:uid="{79A8B4F6-7577-43B4-AE0A-D04E8D7E11F8}"/>
    <cellStyle name="_xf05年工厂损益预算表格3-1215_DFL FY05 MFG Budget Monthly_FY08 PIC guideline(07.10.02KPI)_コピー【Master】 FY12 Simula tion Excel PKG for Auto" xfId="7088" xr:uid="{441F8F96-D0BA-4317-9709-C409F6090CAD}"/>
    <cellStyle name="_xf05年工厂损益预算表格3-1215_DFL FY05 MFG Budget Monthly_FY08 PIC guideline(07.10.02KPI)_これマスター　FCF_FY12 Simulation Excel PKG for Auto" xfId="7089" xr:uid="{7E6C4FD8-C54B-454E-B5D6-91775EBA0B31}"/>
    <cellStyle name="_xf05年工厂损益预算表格3-1215_DFL FY05 MFG Budget Monthly_FY10 FC#2_OP_Variance" xfId="7090" xr:uid="{BC0F8CB7-D569-450E-A0DC-8943D55B89A5}"/>
    <cellStyle name="_xf05年工厂损益预算表格3-1215_DFL FY05 MFG Budget Monthly_FY10 FC#2_OP_Variance_FY12 Budget Final OC-China" xfId="7091" xr:uid="{1FA18479-2613-4F69-BCD6-F6A76B8ADD14}"/>
    <cellStyle name="_xf05年工厂损益预算表格3-1215_DFL FY05 MFG Budget Monthly_FY10 FC#2_OP_Variance_Sample Format" xfId="7092" xr:uid="{261672F4-C8F5-40C0-83BA-4F7743D1186B}"/>
    <cellStyle name="_xf05年工厂损益预算表格3-1215_DFL FY05 MFG Budget Monthly_FY10 FC#2_OP_Variance_Sample Format_Ａ&amp;O Consolidation Format_FCST3+9_v3" xfId="7093" xr:uid="{208388FE-E045-447A-BB81-4BC20C54F6A7}"/>
    <cellStyle name="_xf05年工厂损益预算表格3-1215_DFL FY05 MFG Budget Monthly_FY10 FC#2_OP_Variance_Sample Format_A&amp;O Format" xfId="7094" xr:uid="{8DC7ABC9-B190-42A1-87D5-52C2F93FA618}"/>
    <cellStyle name="_xf05年工厂损益预算表格3-1215_DFL FY05 MFG Budget Monthly_FY10 FC#2_OP_Variance_Sample Format_A&amp;O Format_FCST3+9" xfId="7095" xr:uid="{3F72DE6C-54FF-4374-9C65-A37A1E1B074F}"/>
    <cellStyle name="_xf05年工厂损益预算表格3-1215_DFL FY05 MFG Budget Monthly_FY10 FC#2_OP_Variance_Sample Format_A&amp;O Format_FCST3+9_v1" xfId="7096" xr:uid="{63E10754-8922-4F09-A6C4-D6B9D83D4FD3}"/>
    <cellStyle name="_xf05年工厂损益预算表格3-1215_DFL FY05 MFG Budget Monthly_FY11 Reply#1_FY11 3X9" xfId="7097" xr:uid="{A62FDEAD-AB14-4349-894C-F9679A8585C8}"/>
    <cellStyle name="_xf05年工厂损益预算表格3-1215_DFL FY05 MFG Budget Monthly_FY12 BP_Simulation information PKG_R" xfId="7098" xr:uid="{032DC65D-AF2A-4C7B-B82D-E7BE44D7B111}"/>
    <cellStyle name="_xf05年工厂损益预算表格3-1215_DFL FY05 MFG Budget Monthly_FY12 BP_Simulation information PKG_R（SGA）" xfId="7099" xr:uid="{25BE0833-A8C4-4F13-99F7-596D0611F012}"/>
    <cellStyle name="_xf05年工厂损益预算表格3-1215_DFL FY05 MFG Budget Monthly_MFG_Reply_Summary(07-11-02版)" xfId="7100" xr:uid="{74BD74B7-069D-4D1D-BA8C-43BA335A27FA}"/>
    <cellStyle name="_xf05年工厂损益预算表格3-1215_DFL FY05 MFG Budget Monthly_MFG_Reply_Summary(07-11-02版)_#1 Forecast Summary" xfId="7101" xr:uid="{9D8F5C54-F5DD-4CB7-B8FD-481C0CB3CE23}"/>
    <cellStyle name="_xf05年工厂损益预算表格3-1215_DFL FY05 MFG Budget Monthly_MFG_Reply_Summary(07-11-02版)_#1 Forecast Summary_FY12 Budget Final OC-China" xfId="7102" xr:uid="{0BC92022-5201-4D3A-9ABE-0827EE3A47E1}"/>
    <cellStyle name="_xf05年工厂损益预算表格3-1215_DFL FY05 MFG Budget Monthly_MFG_Reply_Summary(07-11-02版)_#1 Forecast Summary_Sample Format" xfId="7103" xr:uid="{A9653963-1B14-4C22-A6A3-BAE2CFE297B8}"/>
    <cellStyle name="_xf05年工厂损益预算表格3-1215_DFL FY05 MFG Budget Monthly_MFG_Reply_Summary(07-11-02版)_#1 Forecast Summary_Sample Format_Ａ&amp;O Consolidation Format_FCST3+9_v3" xfId="7104" xr:uid="{B563539F-DE2E-42D7-8CC4-DFD73CC6203B}"/>
    <cellStyle name="_xf05年工厂损益预算表格3-1215_DFL FY05 MFG Budget Monthly_MFG_Reply_Summary(07-11-02版)_#1 Forecast Summary_Sample Format_A&amp;O Format" xfId="7105" xr:uid="{4435EF6E-91E4-4092-AF62-15055A85E072}"/>
    <cellStyle name="_xf05年工厂损益预算表格3-1215_DFL FY05 MFG Budget Monthly_MFG_Reply_Summary(07-11-02版)_#1 Forecast Summary_Sample Format_A&amp;O Format_FCST3+9" xfId="7106" xr:uid="{6072CF5E-555C-4F45-A224-0A6A6D4E4738}"/>
    <cellStyle name="_xf05年工厂损益预算表格3-1215_DFL FY05 MFG Budget Monthly_MFG_Reply_Summary(07-11-02版)_#1 Forecast Summary_Sample Format_A&amp;O Format_FCST3+9_v1" xfId="7107" xr:uid="{AE87E988-6B83-42BD-9193-85222D42A32D}"/>
    <cellStyle name="_xf05年工厂损益预算表格3-1215_DFL FY05 MFG Budget Monthly_MFG_Reply_Summary(07-11-02版)_(CHAO) FY10 Forecast#1 Regional Comment" xfId="7108" xr:uid="{9383B919-6D2C-4111-BB3C-F0343D26A9FF}"/>
    <cellStyle name="_xf05年工厂损益预算表格3-1215_DFL FY05 MFG Budget Monthly_MFG_Reply_Summary(07-11-02版)_(CHAO) FY10 Forecast#1 Regional Comment_FY12 Budget Final OC-China" xfId="7109" xr:uid="{E3FA2DF2-98B7-4AAB-9A86-D26D7D79020A}"/>
    <cellStyle name="_xf05年工厂损益预算表格3-1215_DFL FY05 MFG Budget Monthly_MFG_Reply_Summary(07-11-02版)_(CHAO) FY10 Forecast#1 Regional Comment_Sample Format" xfId="7110" xr:uid="{FD3FD05A-C3AB-4417-91CC-DDBAF45E53DD}"/>
    <cellStyle name="_xf05年工厂损益预算表格3-1215_DFL FY05 MFG Budget Monthly_MFG_Reply_Summary(07-11-02版)_(CHAO) FY10 Forecast#1 Regional Comment_Sample Format_Ａ&amp;O Consolidation Format_FCST3+9_v3" xfId="7111" xr:uid="{26973216-E49F-49E5-93F3-6E9E755296E7}"/>
    <cellStyle name="_xf05年工厂损益预算表格3-1215_DFL FY05 MFG Budget Monthly_MFG_Reply_Summary(07-11-02版)_(CHAO) FY10 Forecast#1 Regional Comment_Sample Format_A&amp;O Format" xfId="7112" xr:uid="{FF14BA70-52FA-4A91-8889-B4EC5121EF95}"/>
    <cellStyle name="_xf05年工厂损益预算表格3-1215_DFL FY05 MFG Budget Monthly_MFG_Reply_Summary(07-11-02版)_(CHAO) FY10 Forecast#1 Regional Comment_Sample Format_A&amp;O Format_FCST3+9" xfId="7113" xr:uid="{25934D51-326C-4A3F-85B7-C593C7337028}"/>
    <cellStyle name="_xf05年工厂损益预算表格3-1215_DFL FY05 MFG Budget Monthly_MFG_Reply_Summary(07-11-02版)_(CHAO) FY10 Forecast#1 Regional Comment_Sample Format_A&amp;O Format_FCST3+9_v1" xfId="7114" xr:uid="{07B1A404-9E03-493D-B655-6AFEF6DDDF5E}"/>
    <cellStyle name="_xf05年工厂损益预算表格3-1215_DFL FY05 MFG Budget Monthly_MFG_Reply_Summary(07-11-02版)_【Master】 FY12 Simulation Excel PKG for Auto" xfId="7115" xr:uid="{4C901596-26A7-4586-9A19-69A3A2D2DA02}"/>
    <cellStyle name="_xf05年工厂损益预算表格3-1215_DFL FY05 MFG Budget Monthly_MFG_Reply_Summary(07-11-02版)_【Master】 FY12 Simulation Excel PKG for Auto (2)" xfId="7116" xr:uid="{B9C6C6CE-1969-4E41-9D44-142CC17E9925}"/>
    <cellStyle name="_xf05年工厂损益预算表格3-1215_DFL FY05 MFG Budget Monthly_MFG_Reply_Summary(07-11-02版)_【Master】 FY12 Simulation Excel PKG for Auto_sugii" xfId="7117" xr:uid="{5170142D-5591-449C-BC62-AA544E2C2A71}"/>
    <cellStyle name="_xf05年工厂损益预算表格3-1215_DFL FY05 MFG Budget Monthly_MFG_Reply_Summary(07-11-02版)_【Master】 FY12 Simulation Excel PKG for Auto_sugii (2)" xfId="7118" xr:uid="{FE3C4BE4-7AF9-4B07-A25D-157A3E8DE660}"/>
    <cellStyle name="_xf05年工厂损益预算表格3-1215_DFL FY05 MFG Budget Monthly_MFG_Reply_Summary(07-11-02版)_【Shibayama】 FY12 Simulation Excel PKG for Auto" xfId="7119" xr:uid="{BFF4EF71-65E6-4200-A1C1-4AEEA205AAB7}"/>
    <cellStyle name="_xf05年工厂损益预算表格3-1215_DFL FY05 MFG Budget Monthly_MFG_Reply_Summary(07-11-02版)_Ａ&amp;O Consolidation Format_FCST3+9_v3" xfId="7120" xr:uid="{C11F6C71-2577-4FB1-8BAD-0C1E2C3908D9}"/>
    <cellStyle name="_xf05年工厂损益预算表格3-1215_DFL FY05 MFG Budget Monthly_MFG_Reply_Summary(07-11-02版)_A&amp;O Format" xfId="7121" xr:uid="{95AA626A-A670-42D7-A8B1-1C9C58FA3BC8}"/>
    <cellStyle name="_xf05年工厂损益预算表格3-1215_DFL FY05 MFG Budget Monthly_MFG_Reply_Summary(07-11-02版)_A&amp;O Format_FCST3+9" xfId="7122" xr:uid="{E8F05BA5-D081-46BB-8DB6-368CD5FCE816}"/>
    <cellStyle name="_xf05年工厂损益预算表格3-1215_DFL FY05 MFG Budget Monthly_MFG_Reply_Summary(07-11-02版)_A&amp;O Format_FCST3+9_v1" xfId="7123" xr:uid="{9DDF0D6C-03DC-4EBB-9842-4F5BB8EB4311}"/>
    <cellStyle name="_xf05年工厂损益预算表格3-1215_DFL FY05 MFG Budget Monthly_MFG_Reply_Summary(07-11-02版)_CHAO #2 Forecast Summary" xfId="7124" xr:uid="{83CEE188-47C1-432B-93A8-36FF2329CA59}"/>
    <cellStyle name="_xf05年工厂损益预算表格3-1215_DFL FY05 MFG Budget Monthly_MFG_Reply_Summary(07-11-02版)_CHAO #2 Forecast Summary_FY12 Budget Final OC-China" xfId="7125" xr:uid="{F4015D0B-BE52-47D6-B748-91FCD1909F64}"/>
    <cellStyle name="_xf05年工厂损益预算表格3-1215_DFL FY05 MFG Budget Monthly_MFG_Reply_Summary(07-11-02版)_CHAO #2 Forecast Summary_Sample Format" xfId="7126" xr:uid="{8A630802-214B-4AA9-B375-AEB839EFC6C0}"/>
    <cellStyle name="_xf05年工厂损益预算表格3-1215_DFL FY05 MFG Budget Monthly_MFG_Reply_Summary(07-11-02版)_CHAO #2 Forecast Summary_Sample Format_Ａ&amp;O Consolidation Format_FCST3+9_v3" xfId="7127" xr:uid="{92E65878-30E1-4567-9B1B-24A3904849EB}"/>
    <cellStyle name="_xf05年工厂损益预算表格3-1215_DFL FY05 MFG Budget Monthly_MFG_Reply_Summary(07-11-02版)_CHAO #2 Forecast Summary_Sample Format_A&amp;O Format" xfId="7128" xr:uid="{59784C0D-D3D4-4E78-8073-A0BB652BE5D2}"/>
    <cellStyle name="_xf05年工厂损益预算表格3-1215_DFL FY05 MFG Budget Monthly_MFG_Reply_Summary(07-11-02版)_CHAO #2 Forecast Summary_Sample Format_A&amp;O Format_FCST3+9" xfId="7129" xr:uid="{23FA45C0-1615-44A0-95DE-C07A7680FDD2}"/>
    <cellStyle name="_xf05年工厂损益预算表格3-1215_DFL FY05 MFG Budget Monthly_MFG_Reply_Summary(07-11-02版)_CHAO #2 Forecast Summary_Sample Format_A&amp;O Format_FCST3+9_v1" xfId="7130" xr:uid="{5CEC98AA-6DAC-47A2-BF68-8B088F887518}"/>
    <cellStyle name="_xf05年工厂损益预算表格3-1215_DFL FY05 MFG Budget Monthly_MFG_Reply_Summary(07-11-02版)_Correct FC#2 AO OP" xfId="7131" xr:uid="{0DC2B359-2E08-445B-B385-82C5689452E5}"/>
    <cellStyle name="_xf05年工厂损益预算表格3-1215_DFL FY05 MFG Budget Monthly_MFG_Reply_Summary(07-11-02版)_Correct FC#2 AO OP_FY12 Budget Final OC-China" xfId="7132" xr:uid="{F5CD2EF5-FA18-4F68-9C56-753A03B2BA0B}"/>
    <cellStyle name="_xf05年工厂损益预算表格3-1215_DFL FY05 MFG Budget Monthly_MFG_Reply_Summary(07-11-02版)_Correct FC#2 AO OP_Sample Format" xfId="7133" xr:uid="{DF3509E1-DAC4-44D4-A83E-77705B7A37CC}"/>
    <cellStyle name="_xf05年工厂损益预算表格3-1215_DFL FY05 MFG Budget Monthly_MFG_Reply_Summary(07-11-02版)_Correct FC#2 AO OP_Sample Format_Ａ&amp;O Consolidation Format_FCST3+9_v3" xfId="7134" xr:uid="{6BDFF8A9-B706-4B0F-B43C-0AC611CC30DF}"/>
    <cellStyle name="_xf05年工厂损益预算表格3-1215_DFL FY05 MFG Budget Monthly_MFG_Reply_Summary(07-11-02版)_Correct FC#2 AO OP_Sample Format_A&amp;O Format" xfId="7135" xr:uid="{0A23A3AF-2BEE-488E-ADE8-845EC42CB059}"/>
    <cellStyle name="_xf05年工厂损益预算表格3-1215_DFL FY05 MFG Budget Monthly_MFG_Reply_Summary(07-11-02版)_Correct FC#2 AO OP_Sample Format_A&amp;O Format_FCST3+9" xfId="7136" xr:uid="{0A7D3783-447B-4CF4-96B1-B4FC2F38C4ED}"/>
    <cellStyle name="_xf05年工厂损益预算表格3-1215_DFL FY05 MFG Budget Monthly_MFG_Reply_Summary(07-11-02版)_Correct FC#2 AO OP_Sample Format_A&amp;O Format_FCST3+9_v1" xfId="7137" xr:uid="{1101DE77-3596-42A5-B9A5-ABF70852C53D}"/>
    <cellStyle name="_xf05年工厂损益预算表格3-1215_DFL FY05 MFG Budget Monthly_MFG_Reply_Summary(07-11-02版)_FY10 FC#2_OP_Variance" xfId="7138" xr:uid="{2BD7065C-5A1C-45A9-9E8F-572306CC8B8B}"/>
    <cellStyle name="_xf05年工厂损益预算表格3-1215_DFL FY05 MFG Budget Monthly_MFG_Reply_Summary(07-11-02版)_FY10 FC#2_OP_Variance_FY12 Budget Final OC-China" xfId="7139" xr:uid="{AB93BF50-A06D-4BA2-8DA1-52FD63A1AD60}"/>
    <cellStyle name="_xf05年工厂损益预算表格3-1215_DFL FY05 MFG Budget Monthly_MFG_Reply_Summary(07-11-02版)_FY10 FC#2_OP_Variance_Sample Format" xfId="7140" xr:uid="{37918953-F988-4C78-BD35-7E1BE6719A55}"/>
    <cellStyle name="_xf05年工厂损益预算表格3-1215_DFL FY05 MFG Budget Monthly_MFG_Reply_Summary(07-11-02版)_FY10 FC#2_OP_Variance_Sample Format_Ａ&amp;O Consolidation Format_FCST3+9_v3" xfId="7141" xr:uid="{0CFF5CBF-37A1-4FD0-9B02-0BC8AD5801BD}"/>
    <cellStyle name="_xf05年工厂损益预算表格3-1215_DFL FY05 MFG Budget Monthly_MFG_Reply_Summary(07-11-02版)_FY10 FC#2_OP_Variance_Sample Format_A&amp;O Format" xfId="7142" xr:uid="{99B3203F-A904-469B-8D18-B1BE6C6C93C8}"/>
    <cellStyle name="_xf05年工厂损益预算表格3-1215_DFL FY05 MFG Budget Monthly_MFG_Reply_Summary(07-11-02版)_FY10 FC#2_OP_Variance_Sample Format_A&amp;O Format_FCST3+9" xfId="7143" xr:uid="{F781CC9F-4EDC-4B36-8B50-997C5951F1D3}"/>
    <cellStyle name="_xf05年工厂损益预算表格3-1215_DFL FY05 MFG Budget Monthly_MFG_Reply_Summary(07-11-02版)_FY10 FC#2_OP_Variance_Sample Format_A&amp;O Format_FCST3+9_v1" xfId="7144" xr:uid="{8FA8F33B-1D41-4C8F-99C5-64CFC219B791}"/>
    <cellStyle name="_xf05年工厂损益预算表格3-1215_DFL FY05 MFG Budget Monthly_MFG_Reply_Summary(07-11-02版)_FY12 BP_Simulation information PKG_R" xfId="7145" xr:uid="{89085B11-2E7D-42C0-98F3-558AD2816DE6}"/>
    <cellStyle name="_xf05年工厂损益预算表格3-1215_DFL FY05 MFG Budget Monthly_MFG_Reply_Summary(07-11-02版)_FY12 BP_Simulation information PKG_R（SGA）" xfId="7146" xr:uid="{58FDB474-47C2-462F-9C25-3490C8A50B58}"/>
    <cellStyle name="_xf05年工厂损益预算表格3-1215_DFL FY05 MFG Budget Monthly_MFG_Reply_Summary(07-11-02版)_v1 FY11 Budget Sim summary" xfId="7147" xr:uid="{B4A91144-F9F1-4993-B1EC-B40BF55EFEAB}"/>
    <cellStyle name="_xf05年工厂损益预算表格3-1215_DFL FY05 MFG Budget Monthly_MFG_Reply_Summary(07-11-02版)_v1 FY11 Budget Sim summary_FY12 Budget Final OC-China" xfId="7148" xr:uid="{350B8724-991B-4D7F-B849-67F935F21577}"/>
    <cellStyle name="_xf05年工厂损益预算表格3-1215_DFL FY05 MFG Budget Monthly_MFG_Reply_Summary(07-11-02版)_v1 FY11 Budget Sim summary_Sample Format" xfId="7149" xr:uid="{034A348C-987B-4501-AFBA-0BB9DDD02D61}"/>
    <cellStyle name="_xf05年工厂损益预算表格3-1215_DFL FY05 MFG Budget Monthly_MFG_Reply_Summary(07-11-02版)_v1 FY11 Budget Sim summary_Sample Format_Ａ&amp;O Consolidation Format_FCST3+9_v3" xfId="7150" xr:uid="{0F99A4AA-B471-4955-9A04-FA074D74519B}"/>
    <cellStyle name="_xf05年工厂损益预算表格3-1215_DFL FY05 MFG Budget Monthly_MFG_Reply_Summary(07-11-02版)_v1 FY11 Budget Sim summary_Sample Format_A&amp;O Format" xfId="7151" xr:uid="{ACC1D09C-BA7D-4507-88CC-D37325262F21}"/>
    <cellStyle name="_xf05年工厂损益预算表格3-1215_DFL FY05 MFG Budget Monthly_MFG_Reply_Summary(07-11-02版)_v1 FY11 Budget Sim summary_Sample Format_A&amp;O Format_FCST3+9" xfId="7152" xr:uid="{70278BBE-8F20-4E8B-B20D-B03DE7D5DF1A}"/>
    <cellStyle name="_xf05年工厂损益预算表格3-1215_DFL FY05 MFG Budget Monthly_MFG_Reply_Summary(07-11-02版)_v1 FY11 Budget Sim summary_Sample Format_A&amp;O Format_FCST3+9_v1" xfId="7153" xr:uid="{7A87CCDA-B639-4457-9526-C4E91F993725}"/>
    <cellStyle name="_xf05年工厂损益预算表格3-1215_DFL FY05 MFG Budget Monthly_MFG_Reply_Summary(07-11-02版)_v2 CHAO #2 Forecast Summary" xfId="7154" xr:uid="{0212EC31-83D4-4022-B58A-DC25F0B0F19D}"/>
    <cellStyle name="_xf05年工厂损益预算表格3-1215_DFL FY05 MFG Budget Monthly_MFG_Reply_Summary(07-11-02版)_v2 CHAO #2 Forecast Summary_FY12 Budget Final OC-China" xfId="7155" xr:uid="{B23458F3-46F2-4C95-ABE5-1A6E5BF650E3}"/>
    <cellStyle name="_xf05年工厂损益预算表格3-1215_DFL FY05 MFG Budget Monthly_MFG_Reply_Summary(07-11-02版)_v2 CHAO #2 Forecast Summary_Sample Format" xfId="7156" xr:uid="{166A9590-1581-47D2-90A4-C9438B24005B}"/>
    <cellStyle name="_xf05年工厂损益预算表格3-1215_DFL FY05 MFG Budget Monthly_MFG_Reply_Summary(07-11-02版)_v2 CHAO #2 Forecast Summary_Sample Format_Ａ&amp;O Consolidation Format_FCST3+9_v3" xfId="7157" xr:uid="{B205EEEC-EC25-4517-B7B2-6F118CAA9604}"/>
    <cellStyle name="_xf05年工厂损益预算表格3-1215_DFL FY05 MFG Budget Monthly_MFG_Reply_Summary(07-11-02版)_v2 CHAO #2 Forecast Summary_Sample Format_A&amp;O Format" xfId="7158" xr:uid="{1300E414-E82B-4D8F-9B0D-97FC2052D511}"/>
    <cellStyle name="_xf05年工厂损益预算表格3-1215_DFL FY05 MFG Budget Monthly_MFG_Reply_Summary(07-11-02版)_v2 CHAO #2 Forecast Summary_Sample Format_A&amp;O Format_FCST3+9" xfId="7159" xr:uid="{6288CE61-DEEE-45C7-8C22-541ABD0DD369}"/>
    <cellStyle name="_xf05年工厂损益预算表格3-1215_DFL FY05 MFG Budget Monthly_MFG_Reply_Summary(07-11-02版)_v2 CHAO #2 Forecast Summary_Sample Format_A&amp;O Format_FCST3+9_v1" xfId="7160" xr:uid="{2861916C-4B53-47A2-A0BC-8920E0EADCB7}"/>
    <cellStyle name="_xf05年工厂损益预算表格3-1215_DFL FY05 MFG Budget Monthly_MFG_Reply_Summary(07-11-02版)_v2 FY10 FC#2_OP_Variance" xfId="7161" xr:uid="{B132C9A4-70C2-4C1C-ABD0-6759FA3C24F6}"/>
    <cellStyle name="_xf05年工厂损益预算表格3-1215_DFL FY05 MFG Budget Monthly_MFG_Reply_Summary(07-11-02版)_v2 FY10 FC#2_OP_Variance_FY12 Budget Final OC-China" xfId="7162" xr:uid="{0C203B5D-7510-49B2-B211-0503049C3D50}"/>
    <cellStyle name="_xf05年工厂损益预算表格3-1215_DFL FY05 MFG Budget Monthly_MFG_Reply_Summary(07-11-02版)_v2 FY10 FC#2_OP_Variance_Sample Format" xfId="7163" xr:uid="{E938E56C-DA78-47DB-90F7-9D63AF7CC2AB}"/>
    <cellStyle name="_xf05年工厂损益预算表格3-1215_DFL FY05 MFG Budget Monthly_MFG_Reply_Summary(07-11-02版)_v2 FY10 FC#2_OP_Variance_Sample Format_Ａ&amp;O Consolidation Format_FCST3+9_v3" xfId="7164" xr:uid="{0479E6D5-CFB9-4B21-B2B5-6588652B6490}"/>
    <cellStyle name="_xf05年工厂损益预算表格3-1215_DFL FY05 MFG Budget Monthly_MFG_Reply_Summary(07-11-02版)_v2 FY10 FC#2_OP_Variance_Sample Format_A&amp;O Format" xfId="7165" xr:uid="{626B3923-6C10-4D3D-88BF-26E811880841}"/>
    <cellStyle name="_xf05年工厂损益预算表格3-1215_DFL FY05 MFG Budget Monthly_MFG_Reply_Summary(07-11-02版)_v2 FY10 FC#2_OP_Variance_Sample Format_A&amp;O Format_FCST3+9" xfId="7166" xr:uid="{605E4DA7-81AE-407D-B002-E8B5A199D11E}"/>
    <cellStyle name="_xf05年工厂损益预算表格3-1215_DFL FY05 MFG Budget Monthly_MFG_Reply_Summary(07-11-02版)_v2 FY10 FC#2_OP_Variance_Sample Format_A&amp;O Format_FCST3+9_v1" xfId="7167" xr:uid="{ECA73BF9-1F2C-485F-942B-9EF630CB997E}"/>
    <cellStyle name="_xf05年工厂损益预算表格3-1215_DFL FY05 MFG Budget Monthly_MFG_Reply_Summary(07-11-02版)_v5 FY11 Budget Sim summary" xfId="7168" xr:uid="{6A5EDF9C-C12D-4FE0-8D7C-4BACE8E68A18}"/>
    <cellStyle name="_xf05年工厂损益预算表格3-1215_DFL FY05 MFG Budget Monthly_MFG_Reply_Summary(07-11-02版)_v5 FY11 Budget Sim summary_FY12 Budget Final OC-China" xfId="7169" xr:uid="{8140DA57-E9E6-4014-ABD0-0B74F8602A1B}"/>
    <cellStyle name="_xf05年工厂损益预算表格3-1215_DFL FY05 MFG Budget Monthly_MFG_Reply_Summary(07-11-02版)_v5 FY11 Budget Sim summary_Sample Format" xfId="7170" xr:uid="{D8F539B1-F8B9-4A80-927B-6DADBC4A1854}"/>
    <cellStyle name="_xf05年工厂损益预算表格3-1215_DFL FY05 MFG Budget Monthly_MFG_Reply_Summary(07-11-02版)_v5 FY11 Budget Sim summary_Sample Format_Ａ&amp;O Consolidation Format_FCST3+9_v3" xfId="7171" xr:uid="{953D335F-EB9B-4F9B-A5B3-9A7E4AF94F04}"/>
    <cellStyle name="_xf05年工厂损益预算表格3-1215_DFL FY05 MFG Budget Monthly_MFG_Reply_Summary(07-11-02版)_v5 FY11 Budget Sim summary_Sample Format_A&amp;O Format" xfId="7172" xr:uid="{9446A89C-D165-426C-B433-D5B714005BA4}"/>
    <cellStyle name="_xf05年工厂损益预算表格3-1215_DFL FY05 MFG Budget Monthly_MFG_Reply_Summary(07-11-02版)_v5 FY11 Budget Sim summary_Sample Format_A&amp;O Format_FCST3+9" xfId="7173" xr:uid="{5001C520-AA4A-40E0-909A-02D4D937A2C6}"/>
    <cellStyle name="_xf05年工厂损益预算表格3-1215_DFL FY05 MFG Budget Monthly_MFG_Reply_Summary(07-11-02版)_v5 FY11 Budget Sim summary_Sample Format_A&amp;O Format_FCST3+9_v1" xfId="7174" xr:uid="{5E98F4A7-53E9-4C67-A2C6-0AC50EBE7E2F}"/>
    <cellStyle name="_xf05年工厂损益预算表格3-1215_DFL FY05 MFG Budget Monthly_MFG_Reply_Summary(07-11-02版)_コピー【Master】 FY12 Simula tion Excel PKG for Auto" xfId="7175" xr:uid="{EBC705C0-BEC8-4BBB-9E23-B189FC490286}"/>
    <cellStyle name="_xf05年工厂损益预算表格3-1215_DFL FY05 MFG Budget Monthly_MFG_Reply_Summary(07-11-02版)_これマスター　FCF_FY12 Simulation Excel PKG for Auto" xfId="7176" xr:uid="{9016AF83-6388-4F4B-A98A-54640DB911D3}"/>
    <cellStyle name="_xf05年工厂损益预算表格3-1215_DFL FY05 MFG Budget Monthly_MFG_Reply_Suumary" xfId="7177" xr:uid="{DF9D2A10-EE38-448E-AA8D-E8EF260F0C9C}"/>
    <cellStyle name="_xf05年工厂损益预算表格3-1215_DFL FY05 MFG Budget Monthly_MFG_Reply_Suumary_#1 Forecast Summary" xfId="7178" xr:uid="{E397F260-9ECF-4792-8DCC-DB703DED3D3E}"/>
    <cellStyle name="_xf05年工厂损益预算表格3-1215_DFL FY05 MFG Budget Monthly_MFG_Reply_Suumary_#1 Forecast Summary_FY12 Budget Final OC-China" xfId="7179" xr:uid="{2A66943F-F312-4261-B959-4EF29DA50125}"/>
    <cellStyle name="_xf05年工厂损益预算表格3-1215_DFL FY05 MFG Budget Monthly_MFG_Reply_Suumary_#1 Forecast Summary_Sample Format" xfId="7180" xr:uid="{62C395B9-EFC6-49C9-B39D-CDB27FC5E4AD}"/>
    <cellStyle name="_xf05年工厂损益预算表格3-1215_DFL FY05 MFG Budget Monthly_MFG_Reply_Suumary_#1 Forecast Summary_Sample Format_Ａ&amp;O Consolidation Format_FCST3+9_v3" xfId="7181" xr:uid="{FA159162-A0BF-4FE0-AD34-49E1257D2D28}"/>
    <cellStyle name="_xf05年工厂损益预算表格3-1215_DFL FY05 MFG Budget Monthly_MFG_Reply_Suumary_#1 Forecast Summary_Sample Format_A&amp;O Format" xfId="7182" xr:uid="{40B2D560-5359-4BC7-A127-ED638FC2FADD}"/>
    <cellStyle name="_xf05年工厂损益预算表格3-1215_DFL FY05 MFG Budget Monthly_MFG_Reply_Suumary_#1 Forecast Summary_Sample Format_A&amp;O Format_FCST3+9" xfId="7183" xr:uid="{DB0A0C68-A94A-46E6-BCFB-136D9F9C4AB6}"/>
    <cellStyle name="_xf05年工厂损益预算表格3-1215_DFL FY05 MFG Budget Monthly_MFG_Reply_Suumary_#1 Forecast Summary_Sample Format_A&amp;O Format_FCST3+9_v1" xfId="7184" xr:uid="{3058AFC6-1C72-4A78-9694-C1042238E326}"/>
    <cellStyle name="_xf05年工厂损益预算表格3-1215_DFL FY05 MFG Budget Monthly_MFG_Reply_Suumary_(CHAO) FY10 Forecast#1 Regional Comment" xfId="7185" xr:uid="{E60C6D62-244C-4462-A0FE-D8683F499B1A}"/>
    <cellStyle name="_xf05年工厂损益预算表格3-1215_DFL FY05 MFG Budget Monthly_MFG_Reply_Suumary_(CHAO) FY10 Forecast#1 Regional Comment_FY12 Budget Final OC-China" xfId="7186" xr:uid="{1B6F8FB6-00C6-47B6-AB32-8BB09591A316}"/>
    <cellStyle name="_xf05年工厂损益预算表格3-1215_DFL FY05 MFG Budget Monthly_MFG_Reply_Suumary_(CHAO) FY10 Forecast#1 Regional Comment_Sample Format" xfId="7187" xr:uid="{FB411B39-CB7E-4020-969A-90CF309AFB7B}"/>
    <cellStyle name="_xf05年工厂损益预算表格3-1215_DFL FY05 MFG Budget Monthly_MFG_Reply_Suumary_(CHAO) FY10 Forecast#1 Regional Comment_Sample Format_Ａ&amp;O Consolidation Format_FCST3+9_v3" xfId="7188" xr:uid="{CB119D69-5197-49B8-BFA2-C9AC65396513}"/>
    <cellStyle name="_xf05年工厂损益预算表格3-1215_DFL FY05 MFG Budget Monthly_MFG_Reply_Suumary_(CHAO) FY10 Forecast#1 Regional Comment_Sample Format_A&amp;O Format" xfId="7189" xr:uid="{608AC156-2677-433E-AD6F-D81FE0F71E78}"/>
    <cellStyle name="_xf05年工厂损益预算表格3-1215_DFL FY05 MFG Budget Monthly_MFG_Reply_Suumary_(CHAO) FY10 Forecast#1 Regional Comment_Sample Format_A&amp;O Format_FCST3+9" xfId="7190" xr:uid="{43593A05-3BA6-41AD-A673-08122254BBEA}"/>
    <cellStyle name="_xf05年工厂损益预算表格3-1215_DFL FY05 MFG Budget Monthly_MFG_Reply_Suumary_(CHAO) FY10 Forecast#1 Regional Comment_Sample Format_A&amp;O Format_FCST3+9_v1" xfId="7191" xr:uid="{414AC5AF-6430-4F83-8B51-E2E7D3986E8D}"/>
    <cellStyle name="_xf05年工厂损益预算表格3-1215_DFL FY05 MFG Budget Monthly_MFG_Reply_Suumary_【Master】 FY12 Simulation Excel PKG for Auto" xfId="7192" xr:uid="{A2573720-E726-4200-862E-A908A761145A}"/>
    <cellStyle name="_xf05年工厂损益预算表格3-1215_DFL FY05 MFG Budget Monthly_MFG_Reply_Suumary_【Master】 FY12 Simulation Excel PKG for Auto (2)" xfId="7193" xr:uid="{A8FA0F62-BE55-4466-97D0-ABD4657F2732}"/>
    <cellStyle name="_xf05年工厂损益预算表格3-1215_DFL FY05 MFG Budget Monthly_MFG_Reply_Suumary_【Master】 FY12 Simulation Excel PKG for Auto_sugii" xfId="7194" xr:uid="{DA19A823-3982-4F7D-BC98-53A49595313D}"/>
    <cellStyle name="_xf05年工厂损益预算表格3-1215_DFL FY05 MFG Budget Monthly_MFG_Reply_Suumary_【Master】 FY12 Simulation Excel PKG for Auto_sugii (2)" xfId="7195" xr:uid="{57380787-0325-40E6-8CDA-82C25AFBE621}"/>
    <cellStyle name="_xf05年工厂损益预算表格3-1215_DFL FY05 MFG Budget Monthly_MFG_Reply_Suumary_【Shibayama】 FY12 Simulation Excel PKG for Auto" xfId="7196" xr:uid="{152535F1-82D6-48DA-9ADF-70BCEF97006E}"/>
    <cellStyle name="_xf05年工厂损益预算表格3-1215_DFL FY05 MFG Budget Monthly_MFG_Reply_Suumary_Ａ&amp;O Consolidation Format_FCST3+9_v3" xfId="7197" xr:uid="{EA085A5F-E271-4333-B18E-D74F39E701DA}"/>
    <cellStyle name="_xf05年工厂损益预算表格3-1215_DFL FY05 MFG Budget Monthly_MFG_Reply_Suumary_A&amp;O Format" xfId="7198" xr:uid="{36DC2320-3820-4800-984F-54C781E20E19}"/>
    <cellStyle name="_xf05年工厂损益预算表格3-1215_DFL FY05 MFG Budget Monthly_MFG_Reply_Suumary_A&amp;O Format_FCST3+9" xfId="7199" xr:uid="{7CC394B0-76CA-4688-8176-AA321A14BB4B}"/>
    <cellStyle name="_xf05年工厂损益预算表格3-1215_DFL FY05 MFG Budget Monthly_MFG_Reply_Suumary_A&amp;O Format_FCST3+9_v1" xfId="7200" xr:uid="{D0E3D531-B921-49E4-8477-0C7B17055640}"/>
    <cellStyle name="_xf05年工厂损益预算表格3-1215_DFL FY05 MFG Budget Monthly_MFG_Reply_Suumary_CHAO #2 Forecast Summary" xfId="7201" xr:uid="{030CA8DE-5071-43AB-B908-115837C7280E}"/>
    <cellStyle name="_xf05年工厂损益预算表格3-1215_DFL FY05 MFG Budget Monthly_MFG_Reply_Suumary_CHAO #2 Forecast Summary_FY12 Budget Final OC-China" xfId="7202" xr:uid="{1721AF7B-F011-4D8D-B2CC-68B8671E6F66}"/>
    <cellStyle name="_xf05年工厂损益预算表格3-1215_DFL FY05 MFG Budget Monthly_MFG_Reply_Suumary_CHAO #2 Forecast Summary_Sample Format" xfId="7203" xr:uid="{6026F45E-6D25-46BA-8783-FDE9396A84D3}"/>
    <cellStyle name="_xf05年工厂损益预算表格3-1215_DFL FY05 MFG Budget Monthly_MFG_Reply_Suumary_CHAO #2 Forecast Summary_Sample Format_Ａ&amp;O Consolidation Format_FCST3+9_v3" xfId="7204" xr:uid="{83706E87-D8CF-4CC1-A980-91344A667B46}"/>
    <cellStyle name="_xf05年工厂损益预算表格3-1215_DFL FY05 MFG Budget Monthly_MFG_Reply_Suumary_CHAO #2 Forecast Summary_Sample Format_A&amp;O Format" xfId="7205" xr:uid="{A9C51A8C-83C3-4E39-8F53-7D1903243045}"/>
    <cellStyle name="_xf05年工厂损益预算表格3-1215_DFL FY05 MFG Budget Monthly_MFG_Reply_Suumary_CHAO #2 Forecast Summary_Sample Format_A&amp;O Format_FCST3+9" xfId="7206" xr:uid="{18CC9EF0-9E3E-4262-9078-89A174CC8C5D}"/>
    <cellStyle name="_xf05年工厂损益预算表格3-1215_DFL FY05 MFG Budget Monthly_MFG_Reply_Suumary_CHAO #2 Forecast Summary_Sample Format_A&amp;O Format_FCST3+9_v1" xfId="7207" xr:uid="{461AAEB5-55E2-4A96-921D-AE8FC8910B11}"/>
    <cellStyle name="_xf05年工厂损益预算表格3-1215_DFL FY05 MFG Budget Monthly_MFG_Reply_Suumary_Correct FC#2 AO OP" xfId="7208" xr:uid="{D46F6A21-F36A-4FD7-ABC3-4BE304B327E9}"/>
    <cellStyle name="_xf05年工厂损益预算表格3-1215_DFL FY05 MFG Budget Monthly_MFG_Reply_Suumary_Correct FC#2 AO OP_FY12 Budget Final OC-China" xfId="7209" xr:uid="{8B2C937F-8642-4697-AE74-A2D6B21F8BDF}"/>
    <cellStyle name="_xf05年工厂损益预算表格3-1215_DFL FY05 MFG Budget Monthly_MFG_Reply_Suumary_Correct FC#2 AO OP_Sample Format" xfId="7210" xr:uid="{F2C0603B-E15F-4721-BDC6-881EB2D642A1}"/>
    <cellStyle name="_xf05年工厂损益预算表格3-1215_DFL FY05 MFG Budget Monthly_MFG_Reply_Suumary_Correct FC#2 AO OP_Sample Format_Ａ&amp;O Consolidation Format_FCST3+9_v3" xfId="7211" xr:uid="{D5D4F128-7334-4916-AFDF-5662A5AF64C1}"/>
    <cellStyle name="_xf05年工厂损益预算表格3-1215_DFL FY05 MFG Budget Monthly_MFG_Reply_Suumary_Correct FC#2 AO OP_Sample Format_A&amp;O Format" xfId="7212" xr:uid="{3AB38023-BBCC-41F9-A89A-05ECA5FBE427}"/>
    <cellStyle name="_xf05年工厂损益预算表格3-1215_DFL FY05 MFG Budget Monthly_MFG_Reply_Suumary_Correct FC#2 AO OP_Sample Format_A&amp;O Format_FCST3+9" xfId="7213" xr:uid="{8EC57529-C565-4FAD-AD97-F8826C781870}"/>
    <cellStyle name="_xf05年工厂损益预算表格3-1215_DFL FY05 MFG Budget Monthly_MFG_Reply_Suumary_Correct FC#2 AO OP_Sample Format_A&amp;O Format_FCST3+9_v1" xfId="7214" xr:uid="{ED4A77C6-C43B-408F-BFE9-78E71B2AF1A7}"/>
    <cellStyle name="_xf05年工厂损益预算表格3-1215_DFL FY05 MFG Budget Monthly_MFG_Reply_Suumary_FY10 FC#2_OP_Variance" xfId="7215" xr:uid="{6371E79A-CAD1-4911-9964-EE20248D5E2C}"/>
    <cellStyle name="_xf05年工厂损益预算表格3-1215_DFL FY05 MFG Budget Monthly_MFG_Reply_Suumary_FY10 FC#2_OP_Variance_FY12 Budget Final OC-China" xfId="7216" xr:uid="{170DDFC5-DA3F-49BD-BD2E-B470F3855649}"/>
    <cellStyle name="_xf05年工厂损益预算表格3-1215_DFL FY05 MFG Budget Monthly_MFG_Reply_Suumary_FY10 FC#2_OP_Variance_Sample Format" xfId="7217" xr:uid="{6FA461FB-09B1-4084-9607-ABCFFC24B073}"/>
    <cellStyle name="_xf05年工厂损益预算表格3-1215_DFL FY05 MFG Budget Monthly_MFG_Reply_Suumary_FY10 FC#2_OP_Variance_Sample Format_Ａ&amp;O Consolidation Format_FCST3+9_v3" xfId="7218" xr:uid="{081271E5-07A0-48C2-9F0D-5BDC52CAD9C4}"/>
    <cellStyle name="_xf05年工厂损益预算表格3-1215_DFL FY05 MFG Budget Monthly_MFG_Reply_Suumary_FY10 FC#2_OP_Variance_Sample Format_A&amp;O Format" xfId="7219" xr:uid="{7732FCC0-1DE6-4752-85D3-5E8039331E56}"/>
    <cellStyle name="_xf05年工厂损益预算表格3-1215_DFL FY05 MFG Budget Monthly_MFG_Reply_Suumary_FY10 FC#2_OP_Variance_Sample Format_A&amp;O Format_FCST3+9" xfId="7220" xr:uid="{D618BF81-9417-4CED-BDAF-3D6B806CF7C7}"/>
    <cellStyle name="_xf05年工厂损益预算表格3-1215_DFL FY05 MFG Budget Monthly_MFG_Reply_Suumary_FY10 FC#2_OP_Variance_Sample Format_A&amp;O Format_FCST3+9_v1" xfId="7221" xr:uid="{66FA92AC-3D13-4160-9DA5-8BAC671C3AD9}"/>
    <cellStyle name="_xf05年工厂损益预算表格3-1215_DFL FY05 MFG Budget Monthly_MFG_Reply_Suumary_FY12 BP_Simulation information PKG_R" xfId="7222" xr:uid="{B7AB6DEF-B030-4C74-BF6E-5F207467691A}"/>
    <cellStyle name="_xf05年工厂损益预算表格3-1215_DFL FY05 MFG Budget Monthly_MFG_Reply_Suumary_FY12 BP_Simulation information PKG_R（SGA）" xfId="7223" xr:uid="{98BC956B-A8EC-40C7-828A-A18207E989EC}"/>
    <cellStyle name="_xf05年工厂损益预算表格3-1215_DFL FY05 MFG Budget Monthly_MFG_Reply_Suumary_v1 FY11 Budget Sim summary" xfId="7224" xr:uid="{1F474F5A-6DC4-4E3F-BF8B-D09DEDFBB187}"/>
    <cellStyle name="_xf05年工厂损益预算表格3-1215_DFL FY05 MFG Budget Monthly_MFG_Reply_Suumary_v1 FY11 Budget Sim summary_FY12 Budget Final OC-China" xfId="7225" xr:uid="{886357D9-FBF8-41D5-82E9-A14EC851BA36}"/>
    <cellStyle name="_xf05年工厂损益预算表格3-1215_DFL FY05 MFG Budget Monthly_MFG_Reply_Suumary_v1 FY11 Budget Sim summary_Sample Format" xfId="7226" xr:uid="{C2DD68BC-38BB-4B7F-B8B4-7133783ADACC}"/>
    <cellStyle name="_xf05年工厂损益预算表格3-1215_DFL FY05 MFG Budget Monthly_MFG_Reply_Suumary_v1 FY11 Budget Sim summary_Sample Format_Ａ&amp;O Consolidation Format_FCST3+9_v3" xfId="7227" xr:uid="{3718099A-FB68-4CF2-8211-7FEEB96A433E}"/>
    <cellStyle name="_xf05年工厂损益预算表格3-1215_DFL FY05 MFG Budget Monthly_MFG_Reply_Suumary_v1 FY11 Budget Sim summary_Sample Format_A&amp;O Format" xfId="7228" xr:uid="{7C47FEAF-29F7-4E29-9223-1B3608A8295E}"/>
    <cellStyle name="_xf05年工厂损益预算表格3-1215_DFL FY05 MFG Budget Monthly_MFG_Reply_Suumary_v1 FY11 Budget Sim summary_Sample Format_A&amp;O Format_FCST3+9" xfId="7229" xr:uid="{64498B1B-241E-48E8-95D6-6902E1897A7D}"/>
    <cellStyle name="_xf05年工厂损益预算表格3-1215_DFL FY05 MFG Budget Monthly_MFG_Reply_Suumary_v1 FY11 Budget Sim summary_Sample Format_A&amp;O Format_FCST3+9_v1" xfId="7230" xr:uid="{A658A730-5501-478C-8188-2E707E227EA0}"/>
    <cellStyle name="_xf05年工厂损益预算表格3-1215_DFL FY05 MFG Budget Monthly_MFG_Reply_Suumary_v2 CHAO #2 Forecast Summary" xfId="7231" xr:uid="{040A0C9A-43AC-44AA-B5FC-3EAED5600335}"/>
    <cellStyle name="_xf05年工厂损益预算表格3-1215_DFL FY05 MFG Budget Monthly_MFG_Reply_Suumary_v2 CHAO #2 Forecast Summary_FY12 Budget Final OC-China" xfId="7232" xr:uid="{548159C8-67D2-4F5A-899F-50957BE0274D}"/>
    <cellStyle name="_xf05年工厂损益预算表格3-1215_DFL FY05 MFG Budget Monthly_MFG_Reply_Suumary_v2 CHAO #2 Forecast Summary_Sample Format" xfId="7233" xr:uid="{393F6F3A-803D-4C2D-98B7-A267D63DB855}"/>
    <cellStyle name="_xf05年工厂损益预算表格3-1215_DFL FY05 MFG Budget Monthly_MFG_Reply_Suumary_v2 CHAO #2 Forecast Summary_Sample Format_Ａ&amp;O Consolidation Format_FCST3+9_v3" xfId="7234" xr:uid="{B7D979C5-BB04-40B5-9A9D-0A486624331C}"/>
    <cellStyle name="_xf05年工厂损益预算表格3-1215_DFL FY05 MFG Budget Monthly_MFG_Reply_Suumary_v2 CHAO #2 Forecast Summary_Sample Format_A&amp;O Format" xfId="7235" xr:uid="{626537AF-B20C-4778-AE92-29776B4FAE06}"/>
    <cellStyle name="_xf05年工厂损益预算表格3-1215_DFL FY05 MFG Budget Monthly_MFG_Reply_Suumary_v2 CHAO #2 Forecast Summary_Sample Format_A&amp;O Format_FCST3+9" xfId="7236" xr:uid="{0AFB1D9B-30AF-4D1C-BB1A-9B35F273EFE8}"/>
    <cellStyle name="_xf05年工厂损益预算表格3-1215_DFL FY05 MFG Budget Monthly_MFG_Reply_Suumary_v2 CHAO #2 Forecast Summary_Sample Format_A&amp;O Format_FCST3+9_v1" xfId="7237" xr:uid="{F9414417-AF90-40F4-9267-F11D25E221EF}"/>
    <cellStyle name="_xf05年工厂损益预算表格3-1215_DFL FY05 MFG Budget Monthly_MFG_Reply_Suumary_v2 FY10 FC#2_OP_Variance" xfId="7238" xr:uid="{D1BD0D48-0224-43A5-8A2D-592EF2C93F19}"/>
    <cellStyle name="_xf05年工厂损益预算表格3-1215_DFL FY05 MFG Budget Monthly_MFG_Reply_Suumary_v2 FY10 FC#2_OP_Variance_FY12 Budget Final OC-China" xfId="7239" xr:uid="{31338017-7473-4EFA-9526-5C08795EC450}"/>
    <cellStyle name="_xf05年工厂损益预算表格3-1215_DFL FY05 MFG Budget Monthly_MFG_Reply_Suumary_v2 FY10 FC#2_OP_Variance_Sample Format" xfId="7240" xr:uid="{665EA10D-4E64-465E-AB06-D9682077F218}"/>
    <cellStyle name="_xf05年工厂损益预算表格3-1215_DFL FY05 MFG Budget Monthly_MFG_Reply_Suumary_v2 FY10 FC#2_OP_Variance_Sample Format_Ａ&amp;O Consolidation Format_FCST3+9_v3" xfId="7241" xr:uid="{86081BD3-9C7E-4C46-8B4E-5AC5D5684F54}"/>
    <cellStyle name="_xf05年工厂损益预算表格3-1215_DFL FY05 MFG Budget Monthly_MFG_Reply_Suumary_v2 FY10 FC#2_OP_Variance_Sample Format_A&amp;O Format" xfId="7242" xr:uid="{AA135DF7-610D-45C7-83B8-73FDB9F4E6B4}"/>
    <cellStyle name="_xf05年工厂损益预算表格3-1215_DFL FY05 MFG Budget Monthly_MFG_Reply_Suumary_v2 FY10 FC#2_OP_Variance_Sample Format_A&amp;O Format_FCST3+9" xfId="7243" xr:uid="{E79532A6-DDBE-4363-9166-D25EC9417698}"/>
    <cellStyle name="_xf05年工厂损益预算表格3-1215_DFL FY05 MFG Budget Monthly_MFG_Reply_Suumary_v2 FY10 FC#2_OP_Variance_Sample Format_A&amp;O Format_FCST3+9_v1" xfId="7244" xr:uid="{E510F691-26F2-4BE6-BF43-D3B576D5885C}"/>
    <cellStyle name="_xf05年工厂损益预算表格3-1215_DFL FY05 MFG Budget Monthly_MFG_Reply_Suumary_v5 FY11 Budget Sim summary" xfId="7245" xr:uid="{127E426C-F772-44B7-A0D8-D50473090462}"/>
    <cellStyle name="_xf05年工厂损益预算表格3-1215_DFL FY05 MFG Budget Monthly_MFG_Reply_Suumary_v5 FY11 Budget Sim summary_FY12 Budget Final OC-China" xfId="7246" xr:uid="{6D35745B-F428-47D2-9892-E61B0990229A}"/>
    <cellStyle name="_xf05年工厂损益预算表格3-1215_DFL FY05 MFG Budget Monthly_MFG_Reply_Suumary_v5 FY11 Budget Sim summary_Sample Format" xfId="7247" xr:uid="{68A1FD1A-6613-4482-B378-2A29BA823297}"/>
    <cellStyle name="_xf05年工厂损益预算表格3-1215_DFL FY05 MFG Budget Monthly_MFG_Reply_Suumary_v5 FY11 Budget Sim summary_Sample Format_Ａ&amp;O Consolidation Format_FCST3+9_v3" xfId="7248" xr:uid="{34B7146C-DC3B-46D1-9C8E-5F9613C56CE5}"/>
    <cellStyle name="_xf05年工厂损益预算表格3-1215_DFL FY05 MFG Budget Monthly_MFG_Reply_Suumary_v5 FY11 Budget Sim summary_Sample Format_A&amp;O Format" xfId="7249" xr:uid="{19FD5D81-C12B-4FB0-BB46-63E591521100}"/>
    <cellStyle name="_xf05年工厂损益预算表格3-1215_DFL FY05 MFG Budget Monthly_MFG_Reply_Suumary_v5 FY11 Budget Sim summary_Sample Format_A&amp;O Format_FCST3+9" xfId="7250" xr:uid="{E9A6DDAC-80AC-4B37-931E-37C0FCE9A26F}"/>
    <cellStyle name="_xf05年工厂损益预算表格3-1215_DFL FY05 MFG Budget Monthly_MFG_Reply_Suumary_v5 FY11 Budget Sim summary_Sample Format_A&amp;O Format_FCST3+9_v1" xfId="7251" xr:uid="{E0075DD7-58EC-4B11-96CF-0A4D60813F35}"/>
    <cellStyle name="_xf05年工厂损益预算表格3-1215_DFL FY05 MFG Budget Monthly_MFG_Reply_Suumary_コピー【Master】 FY12 Simula tion Excel PKG for Auto" xfId="7252" xr:uid="{A2775700-620C-4F59-97B1-11A70144AFCC}"/>
    <cellStyle name="_xf05年工厂损益预算表格3-1215_DFL FY05 MFG Budget Monthly_MFG_Reply_Suumary_これマスター　FCF_FY12 Simulation Excel PKG for Auto" xfId="7253" xr:uid="{2599DDB3-97A9-4906-B072-D610FBEEDD15}"/>
    <cellStyle name="_xf05年工厂损益预算表格3-1215_DFL FY05 MFG Budget Monthly_v1 FY11 Budget Sim summary" xfId="7254" xr:uid="{A3444D9C-3B20-4DD2-B1C9-EE6BF1F58E37}"/>
    <cellStyle name="_xf05年工厂损益预算表格3-1215_DFL FY05 MFG Budget Monthly_v1 FY11 Budget Sim summary_FY12 Budget Final OC-China" xfId="7255" xr:uid="{6F7AE661-EBEE-499F-9635-2C9A4C2486AD}"/>
    <cellStyle name="_xf05年工厂损益预算表格3-1215_DFL FY05 MFG Budget Monthly_v1 FY11 Budget Sim summary_Sample Format" xfId="7256" xr:uid="{E8843E26-C1CC-41DC-A7FA-601742AFF023}"/>
    <cellStyle name="_xf05年工厂损益预算表格3-1215_DFL FY05 MFG Budget Monthly_v1 FY11 Budget Sim summary_Sample Format_Ａ&amp;O Consolidation Format_FCST3+9_v3" xfId="7257" xr:uid="{FBE7F312-0151-4059-8626-0937605FE89C}"/>
    <cellStyle name="_xf05年工厂损益预算表格3-1215_DFL FY05 MFG Budget Monthly_v1 FY11 Budget Sim summary_Sample Format_A&amp;O Format" xfId="7258" xr:uid="{6C05E68B-D83E-4BB2-B0E3-CDADF221573A}"/>
    <cellStyle name="_xf05年工厂损益预算表格3-1215_DFL FY05 MFG Budget Monthly_v1 FY11 Budget Sim summary_Sample Format_A&amp;O Format_FCST3+9" xfId="7259" xr:uid="{980DF260-5437-47DF-B76B-81AC5E5863B4}"/>
    <cellStyle name="_xf05年工厂损益预算表格3-1215_DFL FY05 MFG Budget Monthly_v1 FY11 Budget Sim summary_Sample Format_A&amp;O Format_FCST3+9_v1" xfId="7260" xr:uid="{AF70DEFA-6C85-4044-A84E-F1D8B4C0EDA7}"/>
    <cellStyle name="_xf05年工厂损益预算表格3-1215_DFL FY05 MFG Budget Monthly_v2 CHAO #2 Forecast Summary" xfId="7261" xr:uid="{30D911D4-E674-4F97-81DE-6452CE268600}"/>
    <cellStyle name="_xf05年工厂损益预算表格3-1215_DFL FY05 MFG Budget Monthly_v2 CHAO #2 Forecast Summary_FY12 Budget Final OC-China" xfId="7262" xr:uid="{6A6035E2-406C-472E-B298-1091AADF5FB3}"/>
    <cellStyle name="_xf05年工厂损益预算表格3-1215_DFL FY05 MFG Budget Monthly_v2 CHAO #2 Forecast Summary_Sample Format" xfId="7263" xr:uid="{BDBA0867-B8AA-471F-A092-0F5FB3E95E41}"/>
    <cellStyle name="_xf05年工厂损益预算表格3-1215_DFL FY05 MFG Budget Monthly_v2 CHAO #2 Forecast Summary_Sample Format_Ａ&amp;O Consolidation Format_FCST3+9_v3" xfId="7264" xr:uid="{3C796B1E-8FD6-4050-A785-368A18A79A9A}"/>
    <cellStyle name="_xf05年工厂损益预算表格3-1215_DFL FY05 MFG Budget Monthly_v2 CHAO #2 Forecast Summary_Sample Format_A&amp;O Format" xfId="7265" xr:uid="{D6CDA231-B338-4C5A-BBDB-53773944E736}"/>
    <cellStyle name="_xf05年工厂损益预算表格3-1215_DFL FY05 MFG Budget Monthly_v2 CHAO #2 Forecast Summary_Sample Format_A&amp;O Format_FCST3+9" xfId="7266" xr:uid="{D8BF2D1A-183D-4152-851C-C3ABCC646C88}"/>
    <cellStyle name="_xf05年工厂损益预算表格3-1215_DFL FY05 MFG Budget Monthly_v2 CHAO #2 Forecast Summary_Sample Format_A&amp;O Format_FCST3+9_v1" xfId="7267" xr:uid="{8C582CF6-8E3D-4813-B977-487B9BCADB0F}"/>
    <cellStyle name="_xf05年工厂损益预算表格3-1215_DFL FY05 MFG Budget Monthly_v2 FY10 FC#2_OP_Variance" xfId="7268" xr:uid="{53A68B89-1B89-47E1-8BB8-16B3299121E2}"/>
    <cellStyle name="_xf05年工厂损益预算表格3-1215_DFL FY05 MFG Budget Monthly_v2 FY10 FC#2_OP_Variance_FY12 Budget Final OC-China" xfId="7269" xr:uid="{BA1ABDE4-97E9-441F-8839-970BACE1F424}"/>
    <cellStyle name="_xf05年工厂损益预算表格3-1215_DFL FY05 MFG Budget Monthly_v2 FY10 FC#2_OP_Variance_Sample Format" xfId="7270" xr:uid="{2B0632FF-C8C6-41AC-8411-69053AC1885B}"/>
    <cellStyle name="_xf05年工厂损益预算表格3-1215_DFL FY05 MFG Budget Monthly_v2 FY10 FC#2_OP_Variance_Sample Format_Ａ&amp;O Consolidation Format_FCST3+9_v3" xfId="7271" xr:uid="{9CC4CB09-FA34-492D-A7BD-2BA72B9DC428}"/>
    <cellStyle name="_xf05年工厂损益预算表格3-1215_DFL FY05 MFG Budget Monthly_v2 FY10 FC#2_OP_Variance_Sample Format_A&amp;O Format" xfId="7272" xr:uid="{016562A9-F284-4FDB-837E-523E3B8F7F48}"/>
    <cellStyle name="_xf05年工厂损益预算表格3-1215_DFL FY05 MFG Budget Monthly_v2 FY10 FC#2_OP_Variance_Sample Format_A&amp;O Format_FCST3+9" xfId="7273" xr:uid="{25909EEB-0FA5-4A20-9B52-5BE0EC42CAB3}"/>
    <cellStyle name="_xf05年工厂损益预算表格3-1215_DFL FY05 MFG Budget Monthly_v2 FY10 FC#2_OP_Variance_Sample Format_A&amp;O Format_FCST3+9_v1" xfId="7274" xr:uid="{4FF4027F-B01D-42CE-B6C1-80FD0AB7E4E6}"/>
    <cellStyle name="_xf05年工厂损益预算表格3-1215_DFL FY05 MFG Budget Monthly_v5 FY11 Budget Sim summary" xfId="7275" xr:uid="{11732C92-00B8-4430-A195-6729A6D96171}"/>
    <cellStyle name="_xf05年工厂损益预算表格3-1215_DFL FY05 MFG Budget Monthly_v5 FY11 Budget Sim summary_FY12 Budget Final OC-China" xfId="7276" xr:uid="{8370064E-BCAB-4FA0-965A-DA5E69660844}"/>
    <cellStyle name="_xf05年工厂损益预算表格3-1215_DFL FY05 MFG Budget Monthly_v5 FY11 Budget Sim summary_Sample Format" xfId="7277" xr:uid="{2CFC5BC0-52A9-443B-AE8A-54BCCF298307}"/>
    <cellStyle name="_xf05年工厂损益预算表格3-1215_DFL FY05 MFG Budget Monthly_v5 FY11 Budget Sim summary_Sample Format_Ａ&amp;O Consolidation Format_FCST3+9_v3" xfId="7278" xr:uid="{676B7B2D-74C2-4C02-A35A-D49256F8EB50}"/>
    <cellStyle name="_xf05年工厂损益预算表格3-1215_DFL FY05 MFG Budget Monthly_v5 FY11 Budget Sim summary_Sample Format_A&amp;O Format" xfId="7279" xr:uid="{32ABCD1A-A222-4A2A-92A8-90026F0FECD5}"/>
    <cellStyle name="_xf05年工厂损益预算表格3-1215_DFL FY05 MFG Budget Monthly_v5 FY11 Budget Sim summary_Sample Format_A&amp;O Format_FCST3+9" xfId="7280" xr:uid="{7BE3F0EC-0C61-4DA0-9666-E4752E384446}"/>
    <cellStyle name="_xf05年工厂损益预算表格3-1215_DFL FY05 MFG Budget Monthly_v5 FY11 Budget Sim summary_Sample Format_A&amp;O Format_FCST3+9_v1" xfId="7281" xr:uid="{0DA5A9EA-0AEA-4437-9F61-2CFFB0F87B9D}"/>
    <cellStyle name="_xf05年工厂损益预算表格3-1215_DFL FY05 MFG Budget Monthly_X1 GOM 4 Comp" xfId="7282" xr:uid="{743C1142-20CF-45AB-B1F3-F002736841E9}"/>
    <cellStyle name="_xf05年工厂损益预算表格3-1215_DFL FY05 MFG Budget Monthly_X1 GOM 4 Comp_#1 Forecast Summary" xfId="7283" xr:uid="{CAD671A5-4519-4E7D-ACD0-088A81CB86E5}"/>
    <cellStyle name="_xf05年工厂损益预算表格3-1215_DFL FY05 MFG Budget Monthly_X1 GOM 4 Comp_#1 Forecast Summary_FY12 Budget Final OC-China" xfId="7284" xr:uid="{9E135AD7-D802-48B7-B8FF-FA0E383CB96E}"/>
    <cellStyle name="_xf05年工厂损益预算表格3-1215_DFL FY05 MFG Budget Monthly_X1 GOM 4 Comp_#1 Forecast Summary_Sample Format" xfId="7285" xr:uid="{CD05B801-0AE2-4042-9C2C-010F3942B429}"/>
    <cellStyle name="_xf05年工厂损益预算表格3-1215_DFL FY05 MFG Budget Monthly_X1 GOM 4 Comp_#1 Forecast Summary_Sample Format_Ａ&amp;O Consolidation Format_FCST3+9_v3" xfId="7286" xr:uid="{54BC68C8-E4B2-4BDF-A6A1-16470F798558}"/>
    <cellStyle name="_xf05年工厂损益预算表格3-1215_DFL FY05 MFG Budget Monthly_X1 GOM 4 Comp_#1 Forecast Summary_Sample Format_A&amp;O Format" xfId="7287" xr:uid="{E3ADFFF0-0518-4DF5-991E-5BD8CC0537E5}"/>
    <cellStyle name="_xf05年工厂损益预算表格3-1215_DFL FY05 MFG Budget Monthly_X1 GOM 4 Comp_#1 Forecast Summary_Sample Format_A&amp;O Format_FCST3+9" xfId="7288" xr:uid="{912F00E9-E363-47BE-98DA-FC0D6D0FD7AD}"/>
    <cellStyle name="_xf05年工厂损益预算表格3-1215_DFL FY05 MFG Budget Monthly_X1 GOM 4 Comp_#1 Forecast Summary_Sample Format_A&amp;O Format_FCST3+9_v1" xfId="7289" xr:uid="{7C4A1506-64AC-4B0D-A055-76A938221AA7}"/>
    <cellStyle name="_xf05年工厂损益预算表格3-1215_DFL FY05 MFG Budget Monthly_X1 GOM 4 Comp_(CHAO) FY10 Forecast#1 Regional Comment" xfId="7290" xr:uid="{A7F98708-8462-4AA6-90A5-38F188F202D6}"/>
    <cellStyle name="_xf05年工厂损益预算表格3-1215_DFL FY05 MFG Budget Monthly_X1 GOM 4 Comp_(CHAO) FY10 Forecast#1 Regional Comment_FY12 Budget Final OC-China" xfId="7291" xr:uid="{7D09AE08-B518-4BE1-90A3-D068692D19E5}"/>
    <cellStyle name="_xf05年工厂损益预算表格3-1215_DFL FY05 MFG Budget Monthly_X1 GOM 4 Comp_(CHAO) FY10 Forecast#1 Regional Comment_Sample Format" xfId="7292" xr:uid="{4C5F3C82-D343-4861-A769-FC60BEDEA552}"/>
    <cellStyle name="_xf05年工厂损益预算表格3-1215_DFL FY05 MFG Budget Monthly_X1 GOM 4 Comp_(CHAO) FY10 Forecast#1 Regional Comment_Sample Format_Ａ&amp;O Consolidation Format_FCST3+9_v3" xfId="7293" xr:uid="{50438C35-C9F5-40B7-A7FF-F31BE03B9A37}"/>
    <cellStyle name="_xf05年工厂损益预算表格3-1215_DFL FY05 MFG Budget Monthly_X1 GOM 4 Comp_(CHAO) FY10 Forecast#1 Regional Comment_Sample Format_A&amp;O Format" xfId="7294" xr:uid="{B6EF886B-48D2-4851-A747-3AFAB8473E9A}"/>
    <cellStyle name="_xf05年工厂损益预算表格3-1215_DFL FY05 MFG Budget Monthly_X1 GOM 4 Comp_(CHAO) FY10 Forecast#1 Regional Comment_Sample Format_A&amp;O Format_FCST3+9" xfId="7295" xr:uid="{117EAA43-D3D4-4A6F-ADBC-72FE12F11732}"/>
    <cellStyle name="_xf05年工厂损益预算表格3-1215_DFL FY05 MFG Budget Monthly_X1 GOM 4 Comp_(CHAO) FY10 Forecast#1 Regional Comment_Sample Format_A&amp;O Format_FCST3+9_v1" xfId="7296" xr:uid="{5D5158C3-5E01-4D6A-B843-AFEFC5D15B0A}"/>
    <cellStyle name="_xf05年工厂损益预算表格3-1215_DFL FY05 MFG Budget Monthly_X1 GOM 4 Comp_【Master】 FY12 Simulation Excel PKG for Auto" xfId="7297" xr:uid="{60B74C13-D9A3-4A99-9756-63AC63FA2B86}"/>
    <cellStyle name="_xf05年工厂损益预算表格3-1215_DFL FY05 MFG Budget Monthly_X1 GOM 4 Comp_【Master】 FY12 Simulation Excel PKG for Auto (2)" xfId="7298" xr:uid="{B4EA5BE7-86B8-402F-8638-B9BF1F2B8C62}"/>
    <cellStyle name="_xf05年工厂损益预算表格3-1215_DFL FY05 MFG Budget Monthly_X1 GOM 4 Comp_【Master】 FY12 Simulation Excel PKG for Auto_sugii" xfId="7299" xr:uid="{9A7A5DE2-246E-4E32-A18E-1797B43D85AD}"/>
    <cellStyle name="_xf05年工厂损益预算表格3-1215_DFL FY05 MFG Budget Monthly_X1 GOM 4 Comp_【Master】 FY12 Simulation Excel PKG for Auto_sugii (2)" xfId="7300" xr:uid="{5F75D93C-72E9-42DA-8FD1-D3C808BE51A8}"/>
    <cellStyle name="_xf05年工厂损益预算表格3-1215_DFL FY05 MFG Budget Monthly_X1 GOM 4 Comp_【Shibayama】 FY12 Simulation Excel PKG for Auto" xfId="7301" xr:uid="{DFE95BC4-75F9-4883-BB32-F6684D4709BE}"/>
    <cellStyle name="_xf05年工厂损益预算表格3-1215_DFL FY05 MFG Budget Monthly_X1 GOM 4 Comp_Ａ&amp;O Consolidation Format_FCST3+9_v3" xfId="7302" xr:uid="{271041FD-503A-4C05-B63F-976C604B1285}"/>
    <cellStyle name="_xf05年工厂损益预算表格3-1215_DFL FY05 MFG Budget Monthly_X1 GOM 4 Comp_A&amp;O Format" xfId="7303" xr:uid="{30D2CA41-C16B-4210-859B-5B04ED4AF69F}"/>
    <cellStyle name="_xf05年工厂损益预算表格3-1215_DFL FY05 MFG Budget Monthly_X1 GOM 4 Comp_A&amp;O Format_FCST3+9" xfId="7304" xr:uid="{7DC093CB-7276-427D-A540-8F3F7C20EBC0}"/>
    <cellStyle name="_xf05年工厂损益预算表格3-1215_DFL FY05 MFG Budget Monthly_X1 GOM 4 Comp_A&amp;O Format_FCST3+9_v1" xfId="7305" xr:uid="{E4F8C0C6-296A-4C1F-BD82-CDF76A8FCD18}"/>
    <cellStyle name="_xf05年工厂损益预算表格3-1215_DFL FY05 MFG Budget Monthly_X1 GOM 4 Comp_CHAO #2 Forecast Summary" xfId="7306" xr:uid="{1F2E6394-5796-4011-86C1-08E293F63A4F}"/>
    <cellStyle name="_xf05年工厂损益预算表格3-1215_DFL FY05 MFG Budget Monthly_X1 GOM 4 Comp_CHAO #2 Forecast Summary_FY12 Budget Final OC-China" xfId="7307" xr:uid="{BE287D1F-6F54-4565-AB97-DDC509509341}"/>
    <cellStyle name="_xf05年工厂损益预算表格3-1215_DFL FY05 MFG Budget Monthly_X1 GOM 4 Comp_CHAO #2 Forecast Summary_Sample Format" xfId="7308" xr:uid="{D5B8886B-A150-4596-AAD1-38AB7FEFAF92}"/>
    <cellStyle name="_xf05年工厂损益预算表格3-1215_DFL FY05 MFG Budget Monthly_X1 GOM 4 Comp_CHAO #2 Forecast Summary_Sample Format_Ａ&amp;O Consolidation Format_FCST3+9_v3" xfId="7309" xr:uid="{DEE430C3-DBF7-4E3E-A726-501B5D6CB118}"/>
    <cellStyle name="_xf05年工厂损益预算表格3-1215_DFL FY05 MFG Budget Monthly_X1 GOM 4 Comp_CHAO #2 Forecast Summary_Sample Format_A&amp;O Format" xfId="7310" xr:uid="{38122D01-C8D6-41FF-9089-B030E9182B1A}"/>
    <cellStyle name="_xf05年工厂损益预算表格3-1215_DFL FY05 MFG Budget Monthly_X1 GOM 4 Comp_CHAO #2 Forecast Summary_Sample Format_A&amp;O Format_FCST3+9" xfId="7311" xr:uid="{17797E43-EFEB-444E-AAEF-04AAB7C406DA}"/>
    <cellStyle name="_xf05年工厂损益预算表格3-1215_DFL FY05 MFG Budget Monthly_X1 GOM 4 Comp_CHAO #2 Forecast Summary_Sample Format_A&amp;O Format_FCST3+9_v1" xfId="7312" xr:uid="{F42C191E-D000-4F9C-B206-BD862261058E}"/>
    <cellStyle name="_xf05年工厂损益预算表格3-1215_DFL FY05 MFG Budget Monthly_X1 GOM 4 Comp_Correct FC#2 AO OP" xfId="7313" xr:uid="{7760C6A1-EE0F-4EFE-8D51-901319C0F15F}"/>
    <cellStyle name="_xf05年工厂损益预算表格3-1215_DFL FY05 MFG Budget Monthly_X1 GOM 4 Comp_Correct FC#2 AO OP_FY12 Budget Final OC-China" xfId="7314" xr:uid="{17440421-B60E-4190-8C3D-AE20F3CA2A18}"/>
    <cellStyle name="_xf05年工厂损益预算表格3-1215_DFL FY05 MFG Budget Monthly_X1 GOM 4 Comp_Correct FC#2 AO OP_Sample Format" xfId="7315" xr:uid="{ADCB5F1E-4355-47B1-A08E-E1344DA0BDA1}"/>
    <cellStyle name="_xf05年工厂损益预算表格3-1215_DFL FY05 MFG Budget Monthly_X1 GOM 4 Comp_Correct FC#2 AO OP_Sample Format_Ａ&amp;O Consolidation Format_FCST3+9_v3" xfId="7316" xr:uid="{113C4E59-F524-4CC4-96B4-81D7E721C031}"/>
    <cellStyle name="_xf05年工厂损益预算表格3-1215_DFL FY05 MFG Budget Monthly_X1 GOM 4 Comp_Correct FC#2 AO OP_Sample Format_A&amp;O Format" xfId="7317" xr:uid="{4A3142D0-B284-4081-8CDE-1B9E342C457E}"/>
    <cellStyle name="_xf05年工厂损益预算表格3-1215_DFL FY05 MFG Budget Monthly_X1 GOM 4 Comp_Correct FC#2 AO OP_Sample Format_A&amp;O Format_FCST3+9" xfId="7318" xr:uid="{74C4C512-40CC-4210-8917-8F509629EF7B}"/>
    <cellStyle name="_xf05年工厂损益预算表格3-1215_DFL FY05 MFG Budget Monthly_X1 GOM 4 Comp_Correct FC#2 AO OP_Sample Format_A&amp;O Format_FCST3+9_v1" xfId="7319" xr:uid="{51875508-19B8-4DE4-B275-B837D006514D}"/>
    <cellStyle name="_xf05年工厂损益预算表格3-1215_DFL FY05 MFG Budget Monthly_X1 GOM 4 Comp_FCF_FY12 BUD Simulation Excel PKG for Auto_v2" xfId="7320" xr:uid="{B5072EE2-32EA-4B22-A1DC-ED331A6DCCCD}"/>
    <cellStyle name="_xf05年工厂损益预算表格3-1215_DFL FY05 MFG Budget Monthly_X1 GOM 4 Comp_FY10 FC#2_OP_Variance" xfId="7321" xr:uid="{FF7820FE-A412-477A-8E3F-9190C570DB08}"/>
    <cellStyle name="_xf05年工厂损益预算表格3-1215_DFL FY05 MFG Budget Monthly_X1 GOM 4 Comp_FY10 FC#2_OP_Variance_FY12 Budget Final OC-China" xfId="7322" xr:uid="{1B042437-1F5D-4213-B485-187C8B3C14E9}"/>
    <cellStyle name="_xf05年工厂损益预算表格3-1215_DFL FY05 MFG Budget Monthly_X1 GOM 4 Comp_FY10 FC#2_OP_Variance_Sample Format" xfId="7323" xr:uid="{82D1B9BD-B69A-440C-9C29-6DEED6D3FC70}"/>
    <cellStyle name="_xf05年工厂损益预算表格3-1215_DFL FY05 MFG Budget Monthly_X1 GOM 4 Comp_FY10 FC#2_OP_Variance_Sample Format_Ａ&amp;O Consolidation Format_FCST3+9_v3" xfId="7324" xr:uid="{4BDB4B8E-6C11-4E43-BC0E-7F239E48657F}"/>
    <cellStyle name="_xf05年工厂损益预算表格3-1215_DFL FY05 MFG Budget Monthly_X1 GOM 4 Comp_FY10 FC#2_OP_Variance_Sample Format_A&amp;O Format" xfId="7325" xr:uid="{B7A09B04-DA53-4460-B471-AD6B056EC36F}"/>
    <cellStyle name="_xf05年工厂损益预算表格3-1215_DFL FY05 MFG Budget Monthly_X1 GOM 4 Comp_FY10 FC#2_OP_Variance_Sample Format_A&amp;O Format_FCST3+9" xfId="7326" xr:uid="{19C26F6D-67D4-4354-83F1-78D4BD972CEB}"/>
    <cellStyle name="_xf05年工厂损益预算表格3-1215_DFL FY05 MFG Budget Monthly_X1 GOM 4 Comp_FY10 FC#2_OP_Variance_Sample Format_A&amp;O Format_FCST3+9_v1" xfId="7327" xr:uid="{B1889E1B-1468-4192-848B-0A8AF512290D}"/>
    <cellStyle name="_xf05年工厂损益预算表格3-1215_DFL FY05 MFG Budget Monthly_X1 GOM 4 Comp_FY11 Reply#1_FY11 3X9" xfId="7328" xr:uid="{DC8C133B-6A4D-48CC-8DBD-8FDBA51C9A1C}"/>
    <cellStyle name="_xf05年工厂损益预算表格3-1215_DFL FY05 MFG Budget Monthly_X1 GOM 4 Comp_FY12 BP_Simulation information PKG_R" xfId="7329" xr:uid="{AD1CE642-78E1-445E-B787-2C160341D861}"/>
    <cellStyle name="_xf05年工厂损益预算表格3-1215_DFL FY05 MFG Budget Monthly_X1 GOM 4 Comp_FY12 BP_Simulation information PKG_R（SGA）" xfId="7330" xr:uid="{F016D8B9-D85C-4FFD-B0F4-DEA2B510DE40}"/>
    <cellStyle name="_xf05年工厂损益预算表格3-1215_DFL FY05 MFG Budget Monthly_X1 GOM 4 Comp_v1 FY11 Budget Sim summary" xfId="7331" xr:uid="{B4026E16-C25A-474E-AEFC-4717282B6DFA}"/>
    <cellStyle name="_xf05年工厂损益预算表格3-1215_DFL FY05 MFG Budget Monthly_X1 GOM 4 Comp_v1 FY11 Budget Sim summary_FY12 Budget Final OC-China" xfId="7332" xr:uid="{BA0684F8-2041-415D-82D8-20898AF1DAC3}"/>
    <cellStyle name="_xf05年工厂损益预算表格3-1215_DFL FY05 MFG Budget Monthly_X1 GOM 4 Comp_v1 FY11 Budget Sim summary_Sample Format" xfId="7333" xr:uid="{D7A4C339-25F3-4D67-94F8-EE26DB1E72D6}"/>
    <cellStyle name="_xf05年工厂损益预算表格3-1215_DFL FY05 MFG Budget Monthly_X1 GOM 4 Comp_v1 FY11 Budget Sim summary_Sample Format_Ａ&amp;O Consolidation Format_FCST3+9_v3" xfId="7334" xr:uid="{9BB85070-6B1A-4C59-9EA0-8E6E6580BD45}"/>
    <cellStyle name="_xf05年工厂损益预算表格3-1215_DFL FY05 MFG Budget Monthly_X1 GOM 4 Comp_v1 FY11 Budget Sim summary_Sample Format_A&amp;O Format" xfId="7335" xr:uid="{62E8AECD-FE5C-4420-9990-C8E84DDC5AD3}"/>
    <cellStyle name="_xf05年工厂损益预算表格3-1215_DFL FY05 MFG Budget Monthly_X1 GOM 4 Comp_v1 FY11 Budget Sim summary_Sample Format_A&amp;O Format_FCST3+9" xfId="7336" xr:uid="{D63E2866-BB71-4303-A653-1FAC75094A2D}"/>
    <cellStyle name="_xf05年工厂损益预算表格3-1215_DFL FY05 MFG Budget Monthly_X1 GOM 4 Comp_v1 FY11 Budget Sim summary_Sample Format_A&amp;O Format_FCST3+9_v1" xfId="7337" xr:uid="{ADB50F3D-B306-4501-87DC-99BBEBA54724}"/>
    <cellStyle name="_xf05年工厂损益预算表格3-1215_DFL FY05 MFG Budget Monthly_X1 GOM 4 Comp_v2 CHAO #2 Forecast Summary" xfId="7338" xr:uid="{1D1B42C1-BF2F-4EDF-B978-EB25B2775F61}"/>
    <cellStyle name="_xf05年工厂损益预算表格3-1215_DFL FY05 MFG Budget Monthly_X1 GOM 4 Comp_v2 CHAO #2 Forecast Summary_FY12 Budget Final OC-China" xfId="7339" xr:uid="{C3201893-C364-4EC7-9266-E8E2682A4280}"/>
    <cellStyle name="_xf05年工厂损益预算表格3-1215_DFL FY05 MFG Budget Monthly_X1 GOM 4 Comp_v2 CHAO #2 Forecast Summary_Sample Format" xfId="7340" xr:uid="{94D189D8-D006-43CC-BD41-0C2C048B8D95}"/>
    <cellStyle name="_xf05年工厂损益预算表格3-1215_DFL FY05 MFG Budget Monthly_X1 GOM 4 Comp_v2 CHAO #2 Forecast Summary_Sample Format_Ａ&amp;O Consolidation Format_FCST3+9_v3" xfId="7341" xr:uid="{809B1D5C-CFA4-4BD2-8FA9-63538C7FA27E}"/>
    <cellStyle name="_xf05年工厂损益预算表格3-1215_DFL FY05 MFG Budget Monthly_X1 GOM 4 Comp_v2 CHAO #2 Forecast Summary_Sample Format_A&amp;O Format" xfId="7342" xr:uid="{D84EEE5C-F591-4458-903A-23EB10AE0D95}"/>
    <cellStyle name="_xf05年工厂损益预算表格3-1215_DFL FY05 MFG Budget Monthly_X1 GOM 4 Comp_v2 CHAO #2 Forecast Summary_Sample Format_A&amp;O Format_FCST3+9" xfId="7343" xr:uid="{991B184F-1A5D-4DEB-BAA6-37423D17F9E6}"/>
    <cellStyle name="_xf05年工厂损益预算表格3-1215_DFL FY05 MFG Budget Monthly_X1 GOM 4 Comp_v2 CHAO #2 Forecast Summary_Sample Format_A&amp;O Format_FCST3+9_v1" xfId="7344" xr:uid="{615098B4-F839-4610-B743-F18D10DDC9C4}"/>
    <cellStyle name="_xf05年工厂损益预算表格3-1215_DFL FY05 MFG Budget Monthly_X1 GOM 4 Comp_v2 FY10 FC#2_OP_Variance" xfId="7345" xr:uid="{07FA1446-5C4D-4630-BC78-1FE8F8301386}"/>
    <cellStyle name="_xf05年工厂损益预算表格3-1215_DFL FY05 MFG Budget Monthly_X1 GOM 4 Comp_v2 FY10 FC#2_OP_Variance_FY12 Budget Final OC-China" xfId="7346" xr:uid="{DD64C17F-2ED9-4D3E-BD81-F3215B100A87}"/>
    <cellStyle name="_xf05年工厂损益预算表格3-1215_DFL FY05 MFG Budget Monthly_X1 GOM 4 Comp_v2 FY10 FC#2_OP_Variance_Sample Format" xfId="7347" xr:uid="{86E25496-6A47-422F-AA4C-ECC87C0560E0}"/>
    <cellStyle name="_xf05年工厂损益预算表格3-1215_DFL FY05 MFG Budget Monthly_X1 GOM 4 Comp_v2 FY10 FC#2_OP_Variance_Sample Format_Ａ&amp;O Consolidation Format_FCST3+9_v3" xfId="7348" xr:uid="{D69975E1-8CAF-4B91-972B-20A60181437B}"/>
    <cellStyle name="_xf05年工厂损益预算表格3-1215_DFL FY05 MFG Budget Monthly_X1 GOM 4 Comp_v2 FY10 FC#2_OP_Variance_Sample Format_A&amp;O Format" xfId="7349" xr:uid="{0BF62F90-505B-48A2-8208-FD5E182F13EA}"/>
    <cellStyle name="_xf05年工厂损益预算表格3-1215_DFL FY05 MFG Budget Monthly_X1 GOM 4 Comp_v2 FY10 FC#2_OP_Variance_Sample Format_A&amp;O Format_FCST3+9" xfId="7350" xr:uid="{10CCD1DF-1984-474F-9E62-4B51E7D91DBF}"/>
    <cellStyle name="_xf05年工厂损益预算表格3-1215_DFL FY05 MFG Budget Monthly_X1 GOM 4 Comp_v2 FY10 FC#2_OP_Variance_Sample Format_A&amp;O Format_FCST3+9_v1" xfId="7351" xr:uid="{B20EA138-0BD9-4DA5-A284-C1545749E20B}"/>
    <cellStyle name="_xf05年工厂损益预算表格3-1215_DFL FY05 MFG Budget Monthly_X1 GOM 4 Comp_v5 FY11 Budget Sim summary" xfId="7352" xr:uid="{38F1CE2A-2D53-4153-99AF-4701747011C6}"/>
    <cellStyle name="_xf05年工厂损益预算表格3-1215_DFL FY05 MFG Budget Monthly_X1 GOM 4 Comp_v5 FY11 Budget Sim summary_FY12 Budget Final OC-China" xfId="7353" xr:uid="{C714298E-795B-48A0-9D66-9962C466C68F}"/>
    <cellStyle name="_xf05年工厂损益预算表格3-1215_DFL FY05 MFG Budget Monthly_X1 GOM 4 Comp_v5 FY11 Budget Sim summary_Sample Format" xfId="7354" xr:uid="{8643A2A4-362E-4681-9209-B4773AC5A230}"/>
    <cellStyle name="_xf05年工厂损益预算表格3-1215_DFL FY05 MFG Budget Monthly_X1 GOM 4 Comp_v5 FY11 Budget Sim summary_Sample Format_Ａ&amp;O Consolidation Format_FCST3+9_v3" xfId="7355" xr:uid="{9DB83624-F43B-48DE-8B5D-4698FC8E88FD}"/>
    <cellStyle name="_xf05年工厂损益预算表格3-1215_DFL FY05 MFG Budget Monthly_X1 GOM 4 Comp_v5 FY11 Budget Sim summary_Sample Format_A&amp;O Format" xfId="7356" xr:uid="{6E26EC67-01D5-48CD-9300-AF845956AAF9}"/>
    <cellStyle name="_xf05年工厂损益预算表格3-1215_DFL FY05 MFG Budget Monthly_X1 GOM 4 Comp_v5 FY11 Budget Sim summary_Sample Format_A&amp;O Format_FCST3+9" xfId="7357" xr:uid="{AD9FBA7E-2C2F-4184-A84D-C2FD981971F3}"/>
    <cellStyle name="_xf05年工厂损益预算表格3-1215_DFL FY05 MFG Budget Monthly_X1 GOM 4 Comp_v5 FY11 Budget Sim summary_Sample Format_A&amp;O Format_FCST3+9_v1" xfId="7358" xr:uid="{190BBA43-8D53-4908-BD2B-1F980AEBC0C7}"/>
    <cellStyle name="_xf05年工厂损益预算表格3-1215_DFL FY05 MFG Budget Monthly_X1 GOM 4 Comp_コピー【Master】 FY12 Simula tion Excel PKG for Auto" xfId="7359" xr:uid="{5858E867-2031-4F13-84E7-5ED6CEB49D01}"/>
    <cellStyle name="_xf05年工厂损益预算表格3-1215_DFL FY05 MFG Budget Monthly_X1 GOM 4 Comp_これマスター　FCF_FY12 Simulation Excel PKG for Auto" xfId="7360" xr:uid="{7ADC594A-FD6E-40A5-87F9-67794DFF5D7E}"/>
    <cellStyle name="_xf05年工厂损益预算表格3-1215_DFL FY05 MFG Budget Monthly_コピー【Master】 FY12 Simula tion Excel PKG for Auto" xfId="7361" xr:uid="{68B55CCE-FBD7-4CEE-8CA3-6574B0492AE9}"/>
    <cellStyle name="_xf05年工厂损益预算表格3-1215_DFL FY05 MFG Budget Monthly_これマスター　FCF_FY12 Simulation Excel PKG for Auto" xfId="7362" xr:uid="{F0E30BF8-80B6-415C-B67B-68CD94016FB2}"/>
    <cellStyle name="_xf05年工厂损益预算表格3-1215_FCF_FY12 BUD Simulation Excel PKG for Auto_v2" xfId="7363" xr:uid="{F8FB9BBA-AB33-4BEE-BC01-B1056C1EFAF0}"/>
    <cellStyle name="_xf05年工厂损益预算表格3-1215_FY08 PIC guideline(07.10.02KPI)" xfId="7364" xr:uid="{52AD5C62-E345-4D22-BC6E-53A29BD1F631}"/>
    <cellStyle name="_xf05年工厂损益预算表格3-1215_FY08 PIC guideline(07.10.02KPI)_#1 Forecast Summary" xfId="7365" xr:uid="{19B8B02F-2854-4A9C-9208-C1AA386E9280}"/>
    <cellStyle name="_xf05年工厂损益预算表格3-1215_FY08 PIC guideline(07.10.02KPI)_#1 Forecast Summary_FY12 Budget Final OC-China" xfId="7366" xr:uid="{7E5927DF-27DA-4D43-90DD-B13F979766E4}"/>
    <cellStyle name="_xf05年工厂损益预算表格3-1215_FY08 PIC guideline(07.10.02KPI)_#1 Forecast Summary_Sample Format" xfId="7367" xr:uid="{8CA7B03E-E1E4-48C9-A795-914FD417066C}"/>
    <cellStyle name="_xf05年工厂损益预算表格3-1215_FY08 PIC guideline(07.10.02KPI)_#1 Forecast Summary_Sample Format_Ａ&amp;O Consolidation Format_FCST3+9_v3" xfId="7368" xr:uid="{5063D700-2B2E-431A-B907-A808CB84D9FD}"/>
    <cellStyle name="_xf05年工厂损益预算表格3-1215_FY08 PIC guideline(07.10.02KPI)_#1 Forecast Summary_Sample Format_A&amp;O Format" xfId="7369" xr:uid="{8EE59667-B829-4877-861D-1F71EFE23B7D}"/>
    <cellStyle name="_xf05年工厂损益预算表格3-1215_FY08 PIC guideline(07.10.02KPI)_#1 Forecast Summary_Sample Format_A&amp;O Format_FCST3+9" xfId="7370" xr:uid="{5EC5FBCF-7017-47EA-BBB0-BB31693B0626}"/>
    <cellStyle name="_xf05年工厂损益预算表格3-1215_FY08 PIC guideline(07.10.02KPI)_#1 Forecast Summary_Sample Format_A&amp;O Format_FCST3+9_v1" xfId="7371" xr:uid="{07D2AF4B-11F3-4782-BDF6-183682CB0902}"/>
    <cellStyle name="_xf05年工厂损益预算表格3-1215_FY08 PIC guideline(07.10.02KPI)_(CHAO) FY10 Forecast#1 Regional Comment" xfId="7372" xr:uid="{17CDCF0B-BEEA-402B-A1B5-744BF491D008}"/>
    <cellStyle name="_xf05年工厂损益预算表格3-1215_FY08 PIC guideline(07.10.02KPI)_(CHAO) FY10 Forecast#1 Regional Comment_FY12 Budget Final OC-China" xfId="7373" xr:uid="{B60FB9FC-4DAF-47B4-A541-B7898D9232D0}"/>
    <cellStyle name="_xf05年工厂损益预算表格3-1215_FY08 PIC guideline(07.10.02KPI)_(CHAO) FY10 Forecast#1 Regional Comment_Sample Format" xfId="7374" xr:uid="{73A67378-11D5-41F8-B41F-BBB5A7C07D0D}"/>
    <cellStyle name="_xf05年工厂损益预算表格3-1215_FY08 PIC guideline(07.10.02KPI)_(CHAO) FY10 Forecast#1 Regional Comment_Sample Format_Ａ&amp;O Consolidation Format_FCST3+9_v3" xfId="7375" xr:uid="{A4ADBD84-D1F1-4C5E-83A0-3D38B9F86A7E}"/>
    <cellStyle name="_xf05年工厂损益预算表格3-1215_FY08 PIC guideline(07.10.02KPI)_(CHAO) FY10 Forecast#1 Regional Comment_Sample Format_A&amp;O Format" xfId="7376" xr:uid="{BFB3DA2F-B0EE-42D4-9F76-B456056CC050}"/>
    <cellStyle name="_xf05年工厂损益预算表格3-1215_FY08 PIC guideline(07.10.02KPI)_(CHAO) FY10 Forecast#1 Regional Comment_Sample Format_A&amp;O Format_FCST3+9" xfId="7377" xr:uid="{18FC41E9-146E-43B1-947A-08F5232D20D9}"/>
    <cellStyle name="_xf05年工厂损益预算表格3-1215_FY08 PIC guideline(07.10.02KPI)_(CHAO) FY10 Forecast#1 Regional Comment_Sample Format_A&amp;O Format_FCST3+9_v1" xfId="7378" xr:uid="{B5685EAD-0174-4462-8C91-A95C98BD0303}"/>
    <cellStyle name="_xf05年工厂损益预算表格3-1215_FY08 PIC guideline(07.10.02KPI)_【Master】 FY12 Simulation Excel PKG for Auto" xfId="7379" xr:uid="{FF408336-B0AF-4BEE-8CFE-F79C8E553CCB}"/>
    <cellStyle name="_xf05年工厂损益预算表格3-1215_FY08 PIC guideline(07.10.02KPI)_【Master】 FY12 Simulation Excel PKG for Auto (2)" xfId="7380" xr:uid="{7A5B0CB1-6B63-418D-A573-B24D9C0F0EFB}"/>
    <cellStyle name="_xf05年工厂损益预算表格3-1215_FY08 PIC guideline(07.10.02KPI)_【Master】 FY12 Simulation Excel PKG for Auto_sugii" xfId="7381" xr:uid="{11185A94-04BB-4616-8A97-E34C5A243BB0}"/>
    <cellStyle name="_xf05年工厂损益预算表格3-1215_FY08 PIC guideline(07.10.02KPI)_【Master】 FY12 Simulation Excel PKG for Auto_sugii (2)" xfId="7382" xr:uid="{1D247EC7-A7AB-425C-9E34-8AFE66F2BCA0}"/>
    <cellStyle name="_xf05年工厂损益预算表格3-1215_FY08 PIC guideline(07.10.02KPI)_【Shibayama】 FY12 Simulation Excel PKG for Auto" xfId="7383" xr:uid="{AD7BF7A6-F33A-4465-8C0C-E391ABD95A9E}"/>
    <cellStyle name="_xf05年工厂损益预算表格3-1215_FY08 PIC guideline(07.10.02KPI)_Ａ&amp;O Consolidation Format_FCST3+9_v3" xfId="7384" xr:uid="{EACB816C-959F-42E3-BC83-716BF620DCBB}"/>
    <cellStyle name="_xf05年工厂损益预算表格3-1215_FY08 PIC guideline(07.10.02KPI)_A&amp;O Format" xfId="7385" xr:uid="{47C3E9B0-61C4-450C-A01B-625E35059D89}"/>
    <cellStyle name="_xf05年工厂损益预算表格3-1215_FY08 PIC guideline(07.10.02KPI)_A&amp;O Format_FCST3+9" xfId="7386" xr:uid="{B621A8A5-F793-45FA-B901-003F97C4F52C}"/>
    <cellStyle name="_xf05年工厂损益预算表格3-1215_FY08 PIC guideline(07.10.02KPI)_A&amp;O Format_FCST3+9_v1" xfId="7387" xr:uid="{9EDF8B92-1947-446D-B2DF-B24046D87019}"/>
    <cellStyle name="_xf05年工厂损益预算表格3-1215_FY08 PIC guideline(07.10.02KPI)_CHAO #2 Forecast Summary" xfId="7388" xr:uid="{326755BC-3CA6-44AE-B576-E97CD609F609}"/>
    <cellStyle name="_xf05年工厂损益预算表格3-1215_FY08 PIC guideline(07.10.02KPI)_CHAO #2 Forecast Summary_FY12 Budget Final OC-China" xfId="7389" xr:uid="{FF5FC141-6C19-4A99-AF63-E51F81B47D25}"/>
    <cellStyle name="_xf05年工厂损益预算表格3-1215_FY08 PIC guideline(07.10.02KPI)_CHAO #2 Forecast Summary_Sample Format" xfId="7390" xr:uid="{D79BA330-E4BF-4CC5-A1DD-6249FDC5FF10}"/>
    <cellStyle name="_xf05年工厂损益预算表格3-1215_FY08 PIC guideline(07.10.02KPI)_CHAO #2 Forecast Summary_Sample Format_Ａ&amp;O Consolidation Format_FCST3+9_v3" xfId="7391" xr:uid="{33EF4027-6784-4E10-91A8-E7CAC1C6A9E4}"/>
    <cellStyle name="_xf05年工厂损益预算表格3-1215_FY08 PIC guideline(07.10.02KPI)_CHAO #2 Forecast Summary_Sample Format_A&amp;O Format" xfId="7392" xr:uid="{FBA06C06-6B95-418D-BB89-D8A72CFAA9E2}"/>
    <cellStyle name="_xf05年工厂损益预算表格3-1215_FY08 PIC guideline(07.10.02KPI)_CHAO #2 Forecast Summary_Sample Format_A&amp;O Format_FCST3+9" xfId="7393" xr:uid="{D0D0F5A9-C98F-45A1-A434-058971B8584D}"/>
    <cellStyle name="_xf05年工厂损益预算表格3-1215_FY08 PIC guideline(07.10.02KPI)_CHAO #2 Forecast Summary_Sample Format_A&amp;O Format_FCST3+9_v1" xfId="7394" xr:uid="{D6844A38-14EF-4751-B5A1-A618F909133D}"/>
    <cellStyle name="_xf05年工厂损益预算表格3-1215_FY08 PIC guideline(07.10.02KPI)_Correct FC#2 AO OP" xfId="7395" xr:uid="{814B85C5-AED2-46BC-AF38-A001A2B6E68E}"/>
    <cellStyle name="_xf05年工厂损益预算表格3-1215_FY08 PIC guideline(07.10.02KPI)_Correct FC#2 AO OP_FY12 Budget Final OC-China" xfId="7396" xr:uid="{49F24F84-C1DE-444A-B62F-BAC34AC961C7}"/>
    <cellStyle name="_xf05年工厂损益预算表格3-1215_FY08 PIC guideline(07.10.02KPI)_Correct FC#2 AO OP_Sample Format" xfId="7397" xr:uid="{D4626416-DC67-442B-8E41-66EEAC7B46C8}"/>
    <cellStyle name="_xf05年工厂损益预算表格3-1215_FY08 PIC guideline(07.10.02KPI)_Correct FC#2 AO OP_Sample Format_Ａ&amp;O Consolidation Format_FCST3+9_v3" xfId="7398" xr:uid="{F6AEE62D-8CB6-4754-B175-9F1640F95B9B}"/>
    <cellStyle name="_xf05年工厂损益预算表格3-1215_FY08 PIC guideline(07.10.02KPI)_Correct FC#2 AO OP_Sample Format_A&amp;O Format" xfId="7399" xr:uid="{6D40C7A5-FE7E-42F1-9F70-432D4F708EC9}"/>
    <cellStyle name="_xf05年工厂损益预算表格3-1215_FY08 PIC guideline(07.10.02KPI)_Correct FC#2 AO OP_Sample Format_A&amp;O Format_FCST3+9" xfId="7400" xr:uid="{F02D7139-E91C-424E-A4C1-C41D763795CA}"/>
    <cellStyle name="_xf05年工厂损益预算表格3-1215_FY08 PIC guideline(07.10.02KPI)_Correct FC#2 AO OP_Sample Format_A&amp;O Format_FCST3+9_v1" xfId="7401" xr:uid="{E3AA79B6-B78F-412A-92B8-5202F0DBEBFA}"/>
    <cellStyle name="_xf05年工厂损益预算表格3-1215_FY08 PIC guideline(07.10.02KPI)_FY10 FC#2_OP_Variance" xfId="7402" xr:uid="{ECE4A15D-8BD2-4F7F-A22B-88F9585E293F}"/>
    <cellStyle name="_xf05年工厂损益预算表格3-1215_FY08 PIC guideline(07.10.02KPI)_FY10 FC#2_OP_Variance_FY12 Budget Final OC-China" xfId="7403" xr:uid="{DDCEF6C4-C8EB-40B2-BE15-9AE958290B10}"/>
    <cellStyle name="_xf05年工厂损益预算表格3-1215_FY08 PIC guideline(07.10.02KPI)_FY10 FC#2_OP_Variance_Sample Format" xfId="7404" xr:uid="{2379D87F-75D4-46F1-9ABB-692F5F8C4865}"/>
    <cellStyle name="_xf05年工厂损益预算表格3-1215_FY08 PIC guideline(07.10.02KPI)_FY10 FC#2_OP_Variance_Sample Format_Ａ&amp;O Consolidation Format_FCST3+9_v3" xfId="7405" xr:uid="{701C9CFD-D0C7-4C44-AF08-A4A845904154}"/>
    <cellStyle name="_xf05年工厂损益预算表格3-1215_FY08 PIC guideline(07.10.02KPI)_FY10 FC#2_OP_Variance_Sample Format_A&amp;O Format" xfId="7406" xr:uid="{4E45BEA8-63C5-4B5C-B4BF-2EA237E30021}"/>
    <cellStyle name="_xf05年工厂损益预算表格3-1215_FY08 PIC guideline(07.10.02KPI)_FY10 FC#2_OP_Variance_Sample Format_A&amp;O Format_FCST3+9" xfId="7407" xr:uid="{412EC2F6-6B47-4675-A67C-24B06442DD4C}"/>
    <cellStyle name="_xf05年工厂损益预算表格3-1215_FY08 PIC guideline(07.10.02KPI)_FY10 FC#2_OP_Variance_Sample Format_A&amp;O Format_FCST3+9_v1" xfId="7408" xr:uid="{50818199-294C-46D1-921E-26E41E4D2BC1}"/>
    <cellStyle name="_xf05年工厂损益预算表格3-1215_FY08 PIC guideline(07.10.02KPI)_FY12 BP_Simulation information PKG_R" xfId="7409" xr:uid="{21DCB4D5-40AC-4E02-8967-2A4DC42A213E}"/>
    <cellStyle name="_xf05年工厂损益预算表格3-1215_FY08 PIC guideline(07.10.02KPI)_FY12 BP_Simulation information PKG_R（SGA）" xfId="7410" xr:uid="{FEBC1472-9E76-4EE9-8405-E34579C9709B}"/>
    <cellStyle name="_xf05年工厂损益预算表格3-1215_FY08 PIC guideline(07.10.02KPI)_v1 FY11 Budget Sim summary" xfId="7411" xr:uid="{9FB57874-7C45-48CA-B219-E0FE3E52AFD5}"/>
    <cellStyle name="_xf05年工厂损益预算表格3-1215_FY08 PIC guideline(07.10.02KPI)_v1 FY11 Budget Sim summary_FY12 Budget Final OC-China" xfId="7412" xr:uid="{826B02C4-26A4-4241-8F49-3E1682BB3546}"/>
    <cellStyle name="_xf05年工厂损益预算表格3-1215_FY08 PIC guideline(07.10.02KPI)_v1 FY11 Budget Sim summary_Sample Format" xfId="7413" xr:uid="{8CB41DAE-11D8-4FA3-88B1-0BAA674BADDA}"/>
    <cellStyle name="_xf05年工厂损益预算表格3-1215_FY08 PIC guideline(07.10.02KPI)_v1 FY11 Budget Sim summary_Sample Format_Ａ&amp;O Consolidation Format_FCST3+9_v3" xfId="7414" xr:uid="{77D100E9-9328-4518-920A-336FA194BE5E}"/>
    <cellStyle name="_xf05年工厂损益预算表格3-1215_FY08 PIC guideline(07.10.02KPI)_v1 FY11 Budget Sim summary_Sample Format_A&amp;O Format" xfId="7415" xr:uid="{4CB0D805-1BE9-48DF-BE51-E402586DCCC9}"/>
    <cellStyle name="_xf05年工厂损益预算表格3-1215_FY08 PIC guideline(07.10.02KPI)_v1 FY11 Budget Sim summary_Sample Format_A&amp;O Format_FCST3+9" xfId="7416" xr:uid="{F53B783B-F15C-4CDC-B2EE-D829C3BE2800}"/>
    <cellStyle name="_xf05年工厂损益预算表格3-1215_FY08 PIC guideline(07.10.02KPI)_v1 FY11 Budget Sim summary_Sample Format_A&amp;O Format_FCST3+9_v1" xfId="7417" xr:uid="{DDE0E519-424E-4FDB-9DD5-DFFCAC9A2522}"/>
    <cellStyle name="_xf05年工厂损益预算表格3-1215_FY08 PIC guideline(07.10.02KPI)_v2 CHAO #2 Forecast Summary" xfId="7418" xr:uid="{D881C501-E7E2-42E5-849F-80253960BFAD}"/>
    <cellStyle name="_xf05年工厂损益预算表格3-1215_FY08 PIC guideline(07.10.02KPI)_v2 CHAO #2 Forecast Summary_FY12 Budget Final OC-China" xfId="7419" xr:uid="{21FA2155-E961-45F1-9E62-901304BB2E1C}"/>
    <cellStyle name="_xf05年工厂损益预算表格3-1215_FY08 PIC guideline(07.10.02KPI)_v2 CHAO #2 Forecast Summary_Sample Format" xfId="7420" xr:uid="{6F681357-FEC2-4B9F-9FD9-9BE7CD839A01}"/>
    <cellStyle name="_xf05年工厂损益预算表格3-1215_FY08 PIC guideline(07.10.02KPI)_v2 CHAO #2 Forecast Summary_Sample Format_Ａ&amp;O Consolidation Format_FCST3+9_v3" xfId="7421" xr:uid="{C290C27D-0EA4-472F-954F-910C943EED0C}"/>
    <cellStyle name="_xf05年工厂损益预算表格3-1215_FY08 PIC guideline(07.10.02KPI)_v2 CHAO #2 Forecast Summary_Sample Format_A&amp;O Format" xfId="7422" xr:uid="{B4AFAB05-CC8E-43D5-8D0E-AAC4AE3EF76B}"/>
    <cellStyle name="_xf05年工厂损益预算表格3-1215_FY08 PIC guideline(07.10.02KPI)_v2 CHAO #2 Forecast Summary_Sample Format_A&amp;O Format_FCST3+9" xfId="7423" xr:uid="{8551FE9F-381E-4B9D-8671-A8BD56EA6C3D}"/>
    <cellStyle name="_xf05年工厂损益预算表格3-1215_FY08 PIC guideline(07.10.02KPI)_v2 CHAO #2 Forecast Summary_Sample Format_A&amp;O Format_FCST3+9_v1" xfId="7424" xr:uid="{6D1CC8F9-071E-4DEA-ABF5-3D69686ED4AD}"/>
    <cellStyle name="_xf05年工厂损益预算表格3-1215_FY08 PIC guideline(07.10.02KPI)_v2 FY10 FC#2_OP_Variance" xfId="7425" xr:uid="{4F14FCB0-9C32-4AC4-9480-23CACDD7B3C8}"/>
    <cellStyle name="_xf05年工厂损益预算表格3-1215_FY08 PIC guideline(07.10.02KPI)_v2 FY10 FC#2_OP_Variance_FY12 Budget Final OC-China" xfId="7426" xr:uid="{26E12E4A-74A8-4E00-96DD-FD35F96F6705}"/>
    <cellStyle name="_xf05年工厂损益预算表格3-1215_FY08 PIC guideline(07.10.02KPI)_v2 FY10 FC#2_OP_Variance_Sample Format" xfId="7427" xr:uid="{E7CEF4C1-0978-4A21-9A3B-393A3FC670FC}"/>
    <cellStyle name="_xf05年工厂损益预算表格3-1215_FY08 PIC guideline(07.10.02KPI)_v2 FY10 FC#2_OP_Variance_Sample Format_Ａ&amp;O Consolidation Format_FCST3+9_v3" xfId="7428" xr:uid="{4959F343-2911-4A63-9869-970070BD49AC}"/>
    <cellStyle name="_xf05年工厂损益预算表格3-1215_FY08 PIC guideline(07.10.02KPI)_v2 FY10 FC#2_OP_Variance_Sample Format_A&amp;O Format" xfId="7429" xr:uid="{3188B266-F002-4B99-B9D0-0C484F1135C7}"/>
    <cellStyle name="_xf05年工厂损益预算表格3-1215_FY08 PIC guideline(07.10.02KPI)_v2 FY10 FC#2_OP_Variance_Sample Format_A&amp;O Format_FCST3+9" xfId="7430" xr:uid="{4ED110A5-90B3-41D8-B9DE-0843A5CBE19F}"/>
    <cellStyle name="_xf05年工厂损益预算表格3-1215_FY08 PIC guideline(07.10.02KPI)_v2 FY10 FC#2_OP_Variance_Sample Format_A&amp;O Format_FCST3+9_v1" xfId="7431" xr:uid="{4F02A248-AD27-44E3-B05F-979CCC8B4379}"/>
    <cellStyle name="_xf05年工厂损益预算表格3-1215_FY08 PIC guideline(07.10.02KPI)_v5 FY11 Budget Sim summary" xfId="7432" xr:uid="{FE566729-44A6-4516-862C-C5100C0CA068}"/>
    <cellStyle name="_xf05年工厂损益预算表格3-1215_FY08 PIC guideline(07.10.02KPI)_v5 FY11 Budget Sim summary_FY12 Budget Final OC-China" xfId="7433" xr:uid="{45B663ED-58C5-45AB-82C4-130FABC1E0E6}"/>
    <cellStyle name="_xf05年工厂损益预算表格3-1215_FY08 PIC guideline(07.10.02KPI)_v5 FY11 Budget Sim summary_Sample Format" xfId="7434" xr:uid="{D8ECEDE2-BC10-49A5-AE0B-295D0C4715D2}"/>
    <cellStyle name="_xf05年工厂损益预算表格3-1215_FY08 PIC guideline(07.10.02KPI)_v5 FY11 Budget Sim summary_Sample Format_Ａ&amp;O Consolidation Format_FCST3+9_v3" xfId="7435" xr:uid="{C49F69E8-BD3E-4A7C-9A6D-156AC977B303}"/>
    <cellStyle name="_xf05年工厂损益预算表格3-1215_FY08 PIC guideline(07.10.02KPI)_v5 FY11 Budget Sim summary_Sample Format_A&amp;O Format" xfId="7436" xr:uid="{12AFF835-CF81-46D9-988A-9617DA2EDFB2}"/>
    <cellStyle name="_xf05年工厂损益预算表格3-1215_FY08 PIC guideline(07.10.02KPI)_v5 FY11 Budget Sim summary_Sample Format_A&amp;O Format_FCST3+9" xfId="7437" xr:uid="{88986D8E-E369-4F4D-92D7-906BBACF9AC6}"/>
    <cellStyle name="_xf05年工厂损益预算表格3-1215_FY08 PIC guideline(07.10.02KPI)_v5 FY11 Budget Sim summary_Sample Format_A&amp;O Format_FCST3+9_v1" xfId="7438" xr:uid="{63677D2F-B884-48DA-96E3-3281DB4856A1}"/>
    <cellStyle name="_xf05年工厂损益预算表格3-1215_FY08 PIC guideline(07.10.02KPI)_コピー【Master】 FY12 Simula tion Excel PKG for Auto" xfId="7439" xr:uid="{29873485-4C43-4719-9C58-26433A5996F3}"/>
    <cellStyle name="_xf05年工厂损益预算表格3-1215_FY08 PIC guideline(07.10.02KPI)_これマスター　FCF_FY12 Simulation Excel PKG for Auto" xfId="7440" xr:uid="{0DC20E20-0E39-43D3-902C-DC5ED333E64B}"/>
    <cellStyle name="_xf05年工厂损益预算表格3-1215_FY09 material forecast5+7 0616 for financial report" xfId="7441" xr:uid="{DBABA6C9-1549-4340-977F-C1382C19F648}"/>
    <cellStyle name="_xf05年工厂损益预算表格3-1215_FY09 material forecast5+7 0616 for financial report 2" xfId="7442" xr:uid="{A2374DCB-679D-4F16-AA82-81DBAA372909}"/>
    <cellStyle name="_xf05年工厂损益预算表格3-1215_FY09 material forecast5+7 0616 for financial report_FY13 Budget Simulation Excel PKG for Auto by company" xfId="7443" xr:uid="{151605B8-900D-4833-BD00-14D2346FD581}"/>
    <cellStyle name="_xf05年工厂损益预算表格3-1215_FY10 FC#2_OP_Variance" xfId="7444" xr:uid="{A7643AFA-1BF6-4B54-9CFF-AA5303D69A11}"/>
    <cellStyle name="_xf05年工厂损益预算表格3-1215_FY10 FC#2_OP_Variance_FY12 Budget Final OC-China" xfId="7445" xr:uid="{0A9F9764-7752-4517-961C-E6D63DE15FA0}"/>
    <cellStyle name="_xf05年工厂损益预算表格3-1215_FY10 FC#2_OP_Variance_Sample Format" xfId="7446" xr:uid="{0C07F556-A85B-4E15-9958-707D987C4BEA}"/>
    <cellStyle name="_xf05年工厂损益预算表格3-1215_FY10 FC#2_OP_Variance_Sample Format_Ａ&amp;O Consolidation Format_FCST3+9_v3" xfId="7447" xr:uid="{8161F165-1067-4DF5-B047-BB68154039F0}"/>
    <cellStyle name="_xf05年工厂损益预算表格3-1215_FY10 FC#2_OP_Variance_Sample Format_A&amp;O Format" xfId="7448" xr:uid="{2D35D5D5-B49B-444B-ADC3-B5E1003E3EEE}"/>
    <cellStyle name="_xf05年工厂损益预算表格3-1215_FY10 FC#2_OP_Variance_Sample Format_A&amp;O Format_FCST3+9" xfId="7449" xr:uid="{5CE77F32-B668-45E8-8918-42085557A240}"/>
    <cellStyle name="_xf05年工厂损益预算表格3-1215_FY10 FC#2_OP_Variance_Sample Format_A&amp;O Format_FCST3+9_v1" xfId="7450" xr:uid="{8DED731D-E1BF-40FF-A59C-77ED96120996}"/>
    <cellStyle name="_xf05年工厂损益预算表格3-1215_FY11 Reply#1_FY11 3X9" xfId="7451" xr:uid="{952FC9A6-BCBB-4287-879B-101724B8A99C}"/>
    <cellStyle name="_xf05年工厂损益预算表格3-1215_FY12 BP_Simulation information PKG_R" xfId="7452" xr:uid="{46532599-B606-4EDC-B6DA-CFD2D9B4063E}"/>
    <cellStyle name="_xf05年工厂损益预算表格3-1215_FY12 BP_Simulation information PKG_R（SGA）" xfId="7453" xr:uid="{F22A1F1F-E2EB-4268-A31B-AE54A5254C76}"/>
    <cellStyle name="_xf05年工厂损益预算表格3-1215_FY13 Budget Simulation Excel PKG for Auto by company" xfId="7454" xr:uid="{8E012E23-8B8E-440E-BE73-85DB363EF193}"/>
    <cellStyle name="_xf05年工厂损益预算表格3-1215_HD人力最终版6(1).20" xfId="7456" xr:uid="{70BCBDA4-797C-4954-82EF-7B43844FA7B8}"/>
    <cellStyle name="_xf05年工厂损益预算表格3-1215_HD人力最终版6(1).20_销售部2007年人员计划" xfId="7457" xr:uid="{0EA20264-5929-488D-A7A1-1768C65F689C}"/>
    <cellStyle name="_xf05年工厂损益预算表格3-1215_HD工厂计划明细表BP" xfId="7455" xr:uid="{6E7A72C5-FA0C-4217-A905-A94509BD14AC}"/>
    <cellStyle name="_xf05年工厂损益预算表格3-1215_J11J MC+Elongation(松）" xfId="7458" xr:uid="{7248AEB4-1E1B-4AE9-A3A9-98386BD31458}"/>
    <cellStyle name="_xf05年工厂损益预算表格3-1215_L11K MC TDC 090306 (2)" xfId="7459" xr:uid="{5A0C9859-0AE2-47E5-8AE3-0645CF22B28C}"/>
    <cellStyle name="_xf05年工厂损益预算表格3-1215_L42F TDC 071224(Re-contract)" xfId="7460" xr:uid="{840676DC-10E6-46D1-A9D2-E5E592D249A3}"/>
    <cellStyle name="_xf05年工厂损益预算表格3-1215_L42F TDC 071224(Re-contract)_L42F TDC LCP scenario1 SOP 2010 Nov. (090417改)" xfId="7461" xr:uid="{941CDEDD-A98F-4901-A2A1-9C044D27998B}"/>
    <cellStyle name="_xf05年工厂损益预算表格3-1215_L42F TDC for 3 Cases study (2)" xfId="7462" xr:uid="{98C3E573-2C8C-40AC-BB5F-83C7CEF34ED3}"/>
    <cellStyle name="_xf05年工厂损益预算表格3-1215_L42F TDC for 3 Cases study (2)_L42F TDC 071009" xfId="7463" xr:uid="{53E2B55A-142A-4A44-B174-F0706E61884E}"/>
    <cellStyle name="_xf05年工厂损益预算表格3-1215_L42F TDC for 3 Cases study (2)_L42F TDC 071009_L42F TDC LCP scenario1 SOP 2010 Nov. (090417改)" xfId="7464" xr:uid="{DB74E007-B44B-4D0C-81D0-B8EDDDA182F6}"/>
    <cellStyle name="_xf05年工厂损益预算表格3-1215_L42F TDC for 3 Cases study (2)_L42F TDC 071224(Re-contract)" xfId="7465" xr:uid="{E31D22A2-C484-44DD-A77C-077A178783D8}"/>
    <cellStyle name="_xf05年工厂损益预算表格3-1215_L42F TDC for 3 Cases study (2)_L42F TDC 071224(Re-contract)_L42F TDC LCP scenario1 SOP 2010 Nov. (090417改)" xfId="7466" xr:uid="{A78BD6FE-F989-4DA8-B41B-065E9D5E1DF9}"/>
    <cellStyle name="_xf05年工厂损益预算表格3-1215_L42F TDC for 3 Cases study (2)_L42F TDC Assumption" xfId="7467" xr:uid="{25438250-1D26-45E8-A703-376E33312B7A}"/>
    <cellStyle name="_xf05年工厂损益预算表格3-1215_L42F TDC for 3 Cases study (2)_L42F TDC Assumption_L42F TDC LCP scenario1 SOP 2010 Nov. (090417改)" xfId="7468" xr:uid="{1FF72A20-BFF8-4257-BDEC-B0C68B5EA94E}"/>
    <cellStyle name="_xf05年工厂损益预算表格3-1215_L42F TDC for 3 Cases study (2)_L42F TDC LCP scenario1 SOP 2010 Nov. (090417改)" xfId="7469" xr:uid="{06E5289F-D393-4479-9F88-CF9FF9653947}"/>
    <cellStyle name="_xf05年工厂损益预算表格3-1215_L42F TDC for 3 Cases study (2)_L42F_MPR MSRP_TP_MIX Assumption 080921" xfId="7470" xr:uid="{A49D37A0-EE54-4C55-B45A-90B70831FA56}"/>
    <cellStyle name="_xf05年工厂损益预算表格3-1215_L42F TDC for 3 Cases study (2)_TDC Assumption form (2)" xfId="7471" xr:uid="{549CBF1B-0213-4D9C-ACFC-396C2270F304}"/>
    <cellStyle name="_xf05年工厂损益预算表格3-1215_L42F TDC for 3 Cases study (2)_王宏达-09 02 11 L02B Volume Mix MSRP" xfId="7472" xr:uid="{EBC782AE-6E72-42E9-930E-DBAAADE11E38}"/>
    <cellStyle name="_xf05年工厂损益预算表格3-1215_L42F TDC KKJ SOP 2010 Dec (090929) with MC (2)" xfId="7473" xr:uid="{FC85BDA2-4D9F-41F3-8D4C-1BB512FC0978}"/>
    <cellStyle name="_xf05年工厂损益预算表格3-1215_L42F_MSRP TP mix_080509" xfId="7474" xr:uid="{FB7751AF-501C-440B-837E-7D91671C777B}"/>
    <cellStyle name="_xf05年工厂损益预算表格3-1215_L42F_MSRP TP mix_080509_L42F TDC LCP scenario1 SOP 2010 Nov. (090417改)" xfId="7475" xr:uid="{94D6EDB4-D9E9-4E79-87E3-B98D946043B5}"/>
    <cellStyle name="_xf05年工厂损益预算表格3-1215_MFG_Reply_Summary(07-11-02版)" xfId="7476" xr:uid="{5B4BEB44-50C6-4575-AEE4-15D573B30A15}"/>
    <cellStyle name="_xf05年工厂损益预算表格3-1215_MFG_Reply_Summary(07-11-02版)_#1 Forecast Summary" xfId="7477" xr:uid="{789DE8B2-693F-4F6E-AE32-3B475A6373A5}"/>
    <cellStyle name="_xf05年工厂损益预算表格3-1215_MFG_Reply_Summary(07-11-02版)_#1 Forecast Summary_FY12 Budget Final OC-China" xfId="7478" xr:uid="{840537FD-B315-4ED8-AA51-723EE79194A1}"/>
    <cellStyle name="_xf05年工厂损益预算表格3-1215_MFG_Reply_Summary(07-11-02版)_#1 Forecast Summary_Sample Format" xfId="7479" xr:uid="{AE5ADF38-0F1D-43AF-8474-EA28CD0A5459}"/>
    <cellStyle name="_xf05年工厂损益预算表格3-1215_MFG_Reply_Summary(07-11-02版)_#1 Forecast Summary_Sample Format_Ａ&amp;O Consolidation Format_FCST3+9_v3" xfId="7480" xr:uid="{ADBF08C8-48B2-427D-89E3-7434F030D415}"/>
    <cellStyle name="_xf05年工厂损益预算表格3-1215_MFG_Reply_Summary(07-11-02版)_#1 Forecast Summary_Sample Format_A&amp;O Format" xfId="7481" xr:uid="{987E554A-89B9-45A3-9E56-D5AA25104448}"/>
    <cellStyle name="_xf05年工厂损益预算表格3-1215_MFG_Reply_Summary(07-11-02版)_#1 Forecast Summary_Sample Format_A&amp;O Format_FCST3+9" xfId="7482" xr:uid="{897B414A-B7F2-49D2-A3F2-7F3470037D93}"/>
    <cellStyle name="_xf05年工厂损益预算表格3-1215_MFG_Reply_Summary(07-11-02版)_#1 Forecast Summary_Sample Format_A&amp;O Format_FCST3+9_v1" xfId="7483" xr:uid="{AFC7B27C-1EBF-435A-AF66-3FA1536CBEFB}"/>
    <cellStyle name="_xf05年工厂损益预算表格3-1215_MFG_Reply_Summary(07-11-02版)_(CHAO) FY10 Forecast#1 Regional Comment" xfId="7484" xr:uid="{FA8FB268-5CBF-4C0F-8A36-F23E219F7488}"/>
    <cellStyle name="_xf05年工厂损益预算表格3-1215_MFG_Reply_Summary(07-11-02版)_(CHAO) FY10 Forecast#1 Regional Comment_FY12 Budget Final OC-China" xfId="7485" xr:uid="{FF49E814-DE64-45EE-9DF3-7DC870CC271D}"/>
    <cellStyle name="_xf05年工厂损益预算表格3-1215_MFG_Reply_Summary(07-11-02版)_(CHAO) FY10 Forecast#1 Regional Comment_Sample Format" xfId="7486" xr:uid="{64EC2905-59AF-42F3-98C6-A0902AF3E8F5}"/>
    <cellStyle name="_xf05年工厂损益预算表格3-1215_MFG_Reply_Summary(07-11-02版)_(CHAO) FY10 Forecast#1 Regional Comment_Sample Format_Ａ&amp;O Consolidation Format_FCST3+9_v3" xfId="7487" xr:uid="{3166C662-4BF7-49EB-A1BA-BB3D037FBD13}"/>
    <cellStyle name="_xf05年工厂损益预算表格3-1215_MFG_Reply_Summary(07-11-02版)_(CHAO) FY10 Forecast#1 Regional Comment_Sample Format_A&amp;O Format" xfId="7488" xr:uid="{0B10C06E-F9E0-43C7-BBEB-4BABFBA8D981}"/>
    <cellStyle name="_xf05年工厂损益预算表格3-1215_MFG_Reply_Summary(07-11-02版)_(CHAO) FY10 Forecast#1 Regional Comment_Sample Format_A&amp;O Format_FCST3+9" xfId="7489" xr:uid="{CFF9A00B-5D4F-4A8A-AF7E-D0526D96BEDA}"/>
    <cellStyle name="_xf05年工厂损益预算表格3-1215_MFG_Reply_Summary(07-11-02版)_(CHAO) FY10 Forecast#1 Regional Comment_Sample Format_A&amp;O Format_FCST3+9_v1" xfId="7490" xr:uid="{CC66DB20-97DD-46B7-9109-1407245779B1}"/>
    <cellStyle name="_xf05年工厂损益预算表格3-1215_MFG_Reply_Summary(07-11-02版)_【Master】 FY12 Simulation Excel PKG for Auto" xfId="7491" xr:uid="{05AC55FE-58F9-4EFF-9315-5F47F02C576E}"/>
    <cellStyle name="_xf05年工厂损益预算表格3-1215_MFG_Reply_Summary(07-11-02版)_【Master】 FY12 Simulation Excel PKG for Auto (2)" xfId="7492" xr:uid="{8B5E7139-75D2-47B3-A382-EDF8EB7A81F6}"/>
    <cellStyle name="_xf05年工厂损益预算表格3-1215_MFG_Reply_Summary(07-11-02版)_【Master】 FY12 Simulation Excel PKG for Auto_sugii" xfId="7493" xr:uid="{483F89A6-05E1-4495-AE77-352599866F80}"/>
    <cellStyle name="_xf05年工厂损益预算表格3-1215_MFG_Reply_Summary(07-11-02版)_【Master】 FY12 Simulation Excel PKG for Auto_sugii (2)" xfId="7494" xr:uid="{D1BF23C2-F60E-46DF-8BC9-4D46BE528A2B}"/>
    <cellStyle name="_xf05年工厂损益预算表格3-1215_MFG_Reply_Summary(07-11-02版)_【Shibayama】 FY12 Simulation Excel PKG for Auto" xfId="7495" xr:uid="{6E43A2DE-9206-4631-A60A-482E4FA8C721}"/>
    <cellStyle name="_xf05年工厂损益预算表格3-1215_MFG_Reply_Summary(07-11-02版)_Ａ&amp;O Consolidation Format_FCST3+9_v3" xfId="7496" xr:uid="{D799FE7B-6821-4274-98FE-373DC2993C82}"/>
    <cellStyle name="_xf05年工厂损益预算表格3-1215_MFG_Reply_Summary(07-11-02版)_A&amp;O Format" xfId="7497" xr:uid="{C06C553D-7D11-4BF3-9DF4-0E4054669BFA}"/>
    <cellStyle name="_xf05年工厂损益预算表格3-1215_MFG_Reply_Summary(07-11-02版)_A&amp;O Format_FCST3+9" xfId="7498" xr:uid="{92AFD44D-5988-4FBB-BFE4-445956A45AE1}"/>
    <cellStyle name="_xf05年工厂损益预算表格3-1215_MFG_Reply_Summary(07-11-02版)_A&amp;O Format_FCST3+9_v1" xfId="7499" xr:uid="{A5528FB1-55BE-4B17-A76E-A965CA921D92}"/>
    <cellStyle name="_xf05年工厂损益预算表格3-1215_MFG_Reply_Summary(07-11-02版)_CHAO #2 Forecast Summary" xfId="7500" xr:uid="{F1F7AEAD-0086-4ECA-ADEE-7B063F3E506B}"/>
    <cellStyle name="_xf05年工厂损益预算表格3-1215_MFG_Reply_Summary(07-11-02版)_CHAO #2 Forecast Summary_FY12 Budget Final OC-China" xfId="7501" xr:uid="{89CFF7B8-4B62-4F98-90F5-569576691CD7}"/>
    <cellStyle name="_xf05年工厂损益预算表格3-1215_MFG_Reply_Summary(07-11-02版)_CHAO #2 Forecast Summary_Sample Format" xfId="7502" xr:uid="{1132FBA2-BE1E-4ABA-8391-0ABDB24432FB}"/>
    <cellStyle name="_xf05年工厂损益预算表格3-1215_MFG_Reply_Summary(07-11-02版)_CHAO #2 Forecast Summary_Sample Format_Ａ&amp;O Consolidation Format_FCST3+9_v3" xfId="7503" xr:uid="{E93920B6-3C49-428C-8594-45D628F2FAE9}"/>
    <cellStyle name="_xf05年工厂损益预算表格3-1215_MFG_Reply_Summary(07-11-02版)_CHAO #2 Forecast Summary_Sample Format_A&amp;O Format" xfId="7504" xr:uid="{97B2F1A3-A3CE-4982-80C5-4DF353AF1004}"/>
    <cellStyle name="_xf05年工厂损益预算表格3-1215_MFG_Reply_Summary(07-11-02版)_CHAO #2 Forecast Summary_Sample Format_A&amp;O Format_FCST3+9" xfId="7505" xr:uid="{0C17CE17-138C-46EA-9BC4-6833D92B0A26}"/>
    <cellStyle name="_xf05年工厂损益预算表格3-1215_MFG_Reply_Summary(07-11-02版)_CHAO #2 Forecast Summary_Sample Format_A&amp;O Format_FCST3+9_v1" xfId="7506" xr:uid="{2E93227C-E669-4FBC-944A-B06B35BE41ED}"/>
    <cellStyle name="_xf05年工厂损益预算表格3-1215_MFG_Reply_Summary(07-11-02版)_Correct FC#2 AO OP" xfId="7507" xr:uid="{D36B2ED0-D234-4145-B05A-6B98AE288762}"/>
    <cellStyle name="_xf05年工厂损益预算表格3-1215_MFG_Reply_Summary(07-11-02版)_Correct FC#2 AO OP_FY12 Budget Final OC-China" xfId="7508" xr:uid="{6973B549-8E5B-4DEC-B665-765AC0CCA5E2}"/>
    <cellStyle name="_xf05年工厂损益预算表格3-1215_MFG_Reply_Summary(07-11-02版)_Correct FC#2 AO OP_Sample Format" xfId="7509" xr:uid="{096C346D-1BD6-4D40-A88C-28E656E71527}"/>
    <cellStyle name="_xf05年工厂损益预算表格3-1215_MFG_Reply_Summary(07-11-02版)_Correct FC#2 AO OP_Sample Format_Ａ&amp;O Consolidation Format_FCST3+9_v3" xfId="7510" xr:uid="{B8691C50-3751-4C78-834C-A43044FC1E45}"/>
    <cellStyle name="_xf05年工厂损益预算表格3-1215_MFG_Reply_Summary(07-11-02版)_Correct FC#2 AO OP_Sample Format_A&amp;O Format" xfId="7511" xr:uid="{FEA7C053-0F21-4F31-9EDA-54D90A7CA298}"/>
    <cellStyle name="_xf05年工厂损益预算表格3-1215_MFG_Reply_Summary(07-11-02版)_Correct FC#2 AO OP_Sample Format_A&amp;O Format_FCST3+9" xfId="7512" xr:uid="{001C7283-221C-4905-A239-63A293F8A7CA}"/>
    <cellStyle name="_xf05年工厂损益预算表格3-1215_MFG_Reply_Summary(07-11-02版)_Correct FC#2 AO OP_Sample Format_A&amp;O Format_FCST3+9_v1" xfId="7513" xr:uid="{12EB0D2B-545C-4BC6-AE9B-C14849E6709E}"/>
    <cellStyle name="_xf05年工厂损益预算表格3-1215_MFG_Reply_Summary(07-11-02版)_FY10 FC#2_OP_Variance" xfId="7514" xr:uid="{CEB7B7BF-88B9-443E-898C-7925CCD17A3C}"/>
    <cellStyle name="_xf05年工厂损益预算表格3-1215_MFG_Reply_Summary(07-11-02版)_FY10 FC#2_OP_Variance_FY12 Budget Final OC-China" xfId="7515" xr:uid="{D63DB24F-8110-4B37-95B9-512FDE7D04AF}"/>
    <cellStyle name="_xf05年工厂损益预算表格3-1215_MFG_Reply_Summary(07-11-02版)_FY10 FC#2_OP_Variance_Sample Format" xfId="7516" xr:uid="{E2C5D8EA-4A33-4028-BB34-3BE6A293B42C}"/>
    <cellStyle name="_xf05年工厂损益预算表格3-1215_MFG_Reply_Summary(07-11-02版)_FY10 FC#2_OP_Variance_Sample Format_Ａ&amp;O Consolidation Format_FCST3+9_v3" xfId="7517" xr:uid="{B738A5F9-654C-4BFB-8189-98646AA55E2F}"/>
    <cellStyle name="_xf05年工厂损益预算表格3-1215_MFG_Reply_Summary(07-11-02版)_FY10 FC#2_OP_Variance_Sample Format_A&amp;O Format" xfId="7518" xr:uid="{D83C7EA9-BA08-4D77-8CF1-BF1655AB4A30}"/>
    <cellStyle name="_xf05年工厂损益预算表格3-1215_MFG_Reply_Summary(07-11-02版)_FY10 FC#2_OP_Variance_Sample Format_A&amp;O Format_FCST3+9" xfId="7519" xr:uid="{D61B7EFE-44B2-4A49-ACE3-3CDFF1FA4DC9}"/>
    <cellStyle name="_xf05年工厂损益预算表格3-1215_MFG_Reply_Summary(07-11-02版)_FY10 FC#2_OP_Variance_Sample Format_A&amp;O Format_FCST3+9_v1" xfId="7520" xr:uid="{33554803-B1BC-45AE-92E4-4C84E1546730}"/>
    <cellStyle name="_xf05年工厂损益预算表格3-1215_MFG_Reply_Summary(07-11-02版)_FY12 BP_Simulation information PKG_R" xfId="7521" xr:uid="{60BF0A0A-5FA7-4A61-ABEF-D4090557E1E0}"/>
    <cellStyle name="_xf05年工厂损益预算表格3-1215_MFG_Reply_Summary(07-11-02版)_FY12 BP_Simulation information PKG_R（SGA）" xfId="7522" xr:uid="{FBB2EC2B-A633-4473-984D-C645242846DA}"/>
    <cellStyle name="_xf05年工厂损益预算表格3-1215_MFG_Reply_Summary(07-11-02版)_v1 FY11 Budget Sim summary" xfId="7523" xr:uid="{FA8DEFB7-2933-475F-9793-8A8983B446F0}"/>
    <cellStyle name="_xf05年工厂损益预算表格3-1215_MFG_Reply_Summary(07-11-02版)_v1 FY11 Budget Sim summary_FY12 Budget Final OC-China" xfId="7524" xr:uid="{093A1BCC-2F89-4E96-A6BC-B2D3CF6649C0}"/>
    <cellStyle name="_xf05年工厂损益预算表格3-1215_MFG_Reply_Summary(07-11-02版)_v1 FY11 Budget Sim summary_Sample Format" xfId="7525" xr:uid="{3219C621-B3E9-4586-BE8D-2C8640F1B16A}"/>
    <cellStyle name="_xf05年工厂损益预算表格3-1215_MFG_Reply_Summary(07-11-02版)_v1 FY11 Budget Sim summary_Sample Format_Ａ&amp;O Consolidation Format_FCST3+9_v3" xfId="7526" xr:uid="{3F9B681C-27A4-47A9-9C17-88BFFF2B7FBD}"/>
    <cellStyle name="_xf05年工厂损益预算表格3-1215_MFG_Reply_Summary(07-11-02版)_v1 FY11 Budget Sim summary_Sample Format_A&amp;O Format" xfId="7527" xr:uid="{E344775D-794C-4D7F-AD6D-BAA2AD5195C3}"/>
    <cellStyle name="_xf05年工厂损益预算表格3-1215_MFG_Reply_Summary(07-11-02版)_v1 FY11 Budget Sim summary_Sample Format_A&amp;O Format_FCST3+9" xfId="7528" xr:uid="{6BE80CA2-4192-4180-9DD1-9AEF94DA9C0E}"/>
    <cellStyle name="_xf05年工厂损益预算表格3-1215_MFG_Reply_Summary(07-11-02版)_v1 FY11 Budget Sim summary_Sample Format_A&amp;O Format_FCST3+9_v1" xfId="7529" xr:uid="{90F6B010-31B5-4866-8081-FCA423C7B451}"/>
    <cellStyle name="_xf05年工厂损益预算表格3-1215_MFG_Reply_Summary(07-11-02版)_v2 CHAO #2 Forecast Summary" xfId="7530" xr:uid="{D16B4031-368A-4E5A-96CD-E3CE3C26CFB5}"/>
    <cellStyle name="_xf05年工厂损益预算表格3-1215_MFG_Reply_Summary(07-11-02版)_v2 CHAO #2 Forecast Summary_FY12 Budget Final OC-China" xfId="7531" xr:uid="{EF8B12F7-9095-464A-802C-11AC0710EC73}"/>
    <cellStyle name="_xf05年工厂损益预算表格3-1215_MFG_Reply_Summary(07-11-02版)_v2 CHAO #2 Forecast Summary_Sample Format" xfId="7532" xr:uid="{706DEEE1-271F-4693-9ED5-F58426D8EEF7}"/>
    <cellStyle name="_xf05年工厂损益预算表格3-1215_MFG_Reply_Summary(07-11-02版)_v2 CHAO #2 Forecast Summary_Sample Format_Ａ&amp;O Consolidation Format_FCST3+9_v3" xfId="7533" xr:uid="{D0D9EA04-4AEE-43E8-AD41-4D1C021EAE7B}"/>
    <cellStyle name="_xf05年工厂损益预算表格3-1215_MFG_Reply_Summary(07-11-02版)_v2 CHAO #2 Forecast Summary_Sample Format_A&amp;O Format" xfId="7534" xr:uid="{F2A6E0E5-319F-4F5A-A397-9D184E0D73EE}"/>
    <cellStyle name="_xf05年工厂损益预算表格3-1215_MFG_Reply_Summary(07-11-02版)_v2 CHAO #2 Forecast Summary_Sample Format_A&amp;O Format_FCST3+9" xfId="7535" xr:uid="{95451050-9411-4C7A-AE9A-D9E3F43225E0}"/>
    <cellStyle name="_xf05年工厂损益预算表格3-1215_MFG_Reply_Summary(07-11-02版)_v2 CHAO #2 Forecast Summary_Sample Format_A&amp;O Format_FCST3+9_v1" xfId="7536" xr:uid="{77B9E20D-4AAB-4A79-BF9F-FD49B18AD60E}"/>
    <cellStyle name="_xf05年工厂损益预算表格3-1215_MFG_Reply_Summary(07-11-02版)_v2 FY10 FC#2_OP_Variance" xfId="7537" xr:uid="{2E8B88E0-CA8E-4E3F-BFF3-2E5A0A9F4B08}"/>
    <cellStyle name="_xf05年工厂损益预算表格3-1215_MFG_Reply_Summary(07-11-02版)_v2 FY10 FC#2_OP_Variance_FY12 Budget Final OC-China" xfId="7538" xr:uid="{14698B06-F9F1-4394-896C-C72940B3BEB8}"/>
    <cellStyle name="_xf05年工厂损益预算表格3-1215_MFG_Reply_Summary(07-11-02版)_v2 FY10 FC#2_OP_Variance_Sample Format" xfId="7539" xr:uid="{72A57E3F-4721-485C-AD72-779A3860F226}"/>
    <cellStyle name="_xf05年工厂损益预算表格3-1215_MFG_Reply_Summary(07-11-02版)_v2 FY10 FC#2_OP_Variance_Sample Format_Ａ&amp;O Consolidation Format_FCST3+9_v3" xfId="7540" xr:uid="{FE3C7E69-73D2-4243-B767-7155AD075F06}"/>
    <cellStyle name="_xf05年工厂损益预算表格3-1215_MFG_Reply_Summary(07-11-02版)_v2 FY10 FC#2_OP_Variance_Sample Format_A&amp;O Format" xfId="7541" xr:uid="{733F7966-3CB9-491E-88A3-B8DB20F5948F}"/>
    <cellStyle name="_xf05年工厂损益预算表格3-1215_MFG_Reply_Summary(07-11-02版)_v2 FY10 FC#2_OP_Variance_Sample Format_A&amp;O Format_FCST3+9" xfId="7542" xr:uid="{0BEA6FD5-87D1-4E53-B3D6-7308F690CD9E}"/>
    <cellStyle name="_xf05年工厂损益预算表格3-1215_MFG_Reply_Summary(07-11-02版)_v2 FY10 FC#2_OP_Variance_Sample Format_A&amp;O Format_FCST3+9_v1" xfId="7543" xr:uid="{4186FEE3-466F-44FB-B474-58C1F136426B}"/>
    <cellStyle name="_xf05年工厂损益预算表格3-1215_MFG_Reply_Summary(07-11-02版)_v5 FY11 Budget Sim summary" xfId="7544" xr:uid="{6084B7E1-F234-45B0-9A16-49D2D3604024}"/>
    <cellStyle name="_xf05年工厂损益预算表格3-1215_MFG_Reply_Summary(07-11-02版)_v5 FY11 Budget Sim summary_FY12 Budget Final OC-China" xfId="7545" xr:uid="{9EB06066-9439-480F-A282-5E3DCF344EDD}"/>
    <cellStyle name="_xf05年工厂损益预算表格3-1215_MFG_Reply_Summary(07-11-02版)_v5 FY11 Budget Sim summary_Sample Format" xfId="7546" xr:uid="{4E189068-974F-4B1B-BFC1-66020CBD853D}"/>
    <cellStyle name="_xf05年工厂损益预算表格3-1215_MFG_Reply_Summary(07-11-02版)_v5 FY11 Budget Sim summary_Sample Format_Ａ&amp;O Consolidation Format_FCST3+9_v3" xfId="7547" xr:uid="{79F4B7DC-918B-4B0D-B2D1-B89BE05F76F2}"/>
    <cellStyle name="_xf05年工厂损益预算表格3-1215_MFG_Reply_Summary(07-11-02版)_v5 FY11 Budget Sim summary_Sample Format_A&amp;O Format" xfId="7548" xr:uid="{6202316F-E425-434F-AD94-76775276B5DE}"/>
    <cellStyle name="_xf05年工厂损益预算表格3-1215_MFG_Reply_Summary(07-11-02版)_v5 FY11 Budget Sim summary_Sample Format_A&amp;O Format_FCST3+9" xfId="7549" xr:uid="{0CD7FAB4-EDCE-4C19-AFAE-C8999C029CFB}"/>
    <cellStyle name="_xf05年工厂损益预算表格3-1215_MFG_Reply_Summary(07-11-02版)_v5 FY11 Budget Sim summary_Sample Format_A&amp;O Format_FCST3+9_v1" xfId="7550" xr:uid="{5805CCD6-CC28-40E1-8E08-F827919917BA}"/>
    <cellStyle name="_xf05年工厂损益预算表格3-1215_MFG_Reply_Summary(07-11-02版)_コピー【Master】 FY12 Simula tion Excel PKG for Auto" xfId="7551" xr:uid="{7A82CC9D-78B2-47B4-96E6-85D20E2F2B8E}"/>
    <cellStyle name="_xf05年工厂损益预算表格3-1215_MFG_Reply_Summary(07-11-02版)_これマスター　FCF_FY12 Simulation Excel PKG for Auto" xfId="7552" xr:uid="{8A8C593A-8248-40B2-B609-5A6276C9B841}"/>
    <cellStyle name="_xf05年工厂损益预算表格3-1215_MFG_Reply_Suumary" xfId="7553" xr:uid="{961B3F92-8975-4E42-8E9D-D5D88564C5EB}"/>
    <cellStyle name="_xf05年工厂损益预算表格3-1215_MFG_Reply_Suumary_#1 Forecast Summary" xfId="7554" xr:uid="{C463D3FA-2549-4C04-836C-CDFA99C86637}"/>
    <cellStyle name="_xf05年工厂损益预算表格3-1215_MFG_Reply_Suumary_#1 Forecast Summary_FY12 Budget Final OC-China" xfId="7555" xr:uid="{90716831-0949-4640-9B0F-2C62A84DF5FB}"/>
    <cellStyle name="_xf05年工厂损益预算表格3-1215_MFG_Reply_Suumary_#1 Forecast Summary_Sample Format" xfId="7556" xr:uid="{9929E0D1-666B-4202-8889-2BFCE065D834}"/>
    <cellStyle name="_xf05年工厂损益预算表格3-1215_MFG_Reply_Suumary_#1 Forecast Summary_Sample Format_Ａ&amp;O Consolidation Format_FCST3+9_v3" xfId="7557" xr:uid="{C9228E04-BD9D-424D-B077-655835940D32}"/>
    <cellStyle name="_xf05年工厂损益预算表格3-1215_MFG_Reply_Suumary_#1 Forecast Summary_Sample Format_A&amp;O Format" xfId="7558" xr:uid="{57DF49D0-F233-4BAD-B6DE-0C6B8782DEEA}"/>
    <cellStyle name="_xf05年工厂损益预算表格3-1215_MFG_Reply_Suumary_#1 Forecast Summary_Sample Format_A&amp;O Format_FCST3+9" xfId="7559" xr:uid="{A241FE99-70D9-4AB0-B3AF-DB4587B62EF2}"/>
    <cellStyle name="_xf05年工厂损益预算表格3-1215_MFG_Reply_Suumary_#1 Forecast Summary_Sample Format_A&amp;O Format_FCST3+9_v1" xfId="7560" xr:uid="{026E5647-034A-47ED-9323-68A5798B2598}"/>
    <cellStyle name="_xf05年工厂损益预算表格3-1215_MFG_Reply_Suumary_(CHAO) FY10 Forecast#1 Regional Comment" xfId="7561" xr:uid="{E5B257C7-E340-45F1-94DC-308D31A6FCE0}"/>
    <cellStyle name="_xf05年工厂损益预算表格3-1215_MFG_Reply_Suumary_(CHAO) FY10 Forecast#1 Regional Comment_FY12 Budget Final OC-China" xfId="7562" xr:uid="{9A2FADE2-CDF1-4FBA-B164-42960B77287A}"/>
    <cellStyle name="_xf05年工厂损益预算表格3-1215_MFG_Reply_Suumary_(CHAO) FY10 Forecast#1 Regional Comment_Sample Format" xfId="7563" xr:uid="{BDAC0ECA-DB89-4AFC-B9BE-A90D1C752E03}"/>
    <cellStyle name="_xf05年工厂损益预算表格3-1215_MFG_Reply_Suumary_(CHAO) FY10 Forecast#1 Regional Comment_Sample Format_Ａ&amp;O Consolidation Format_FCST3+9_v3" xfId="7564" xr:uid="{82263E4D-255C-44C9-BF50-A91E0283D6C1}"/>
    <cellStyle name="_xf05年工厂损益预算表格3-1215_MFG_Reply_Suumary_(CHAO) FY10 Forecast#1 Regional Comment_Sample Format_A&amp;O Format" xfId="7565" xr:uid="{EEADE48A-C621-4663-B529-C4BED01CBF7C}"/>
    <cellStyle name="_xf05年工厂损益预算表格3-1215_MFG_Reply_Suumary_(CHAO) FY10 Forecast#1 Regional Comment_Sample Format_A&amp;O Format_FCST3+9" xfId="7566" xr:uid="{1DBE2410-B3A5-495E-A4AB-EFDCA05DF7C8}"/>
    <cellStyle name="_xf05年工厂损益预算表格3-1215_MFG_Reply_Suumary_(CHAO) FY10 Forecast#1 Regional Comment_Sample Format_A&amp;O Format_FCST3+9_v1" xfId="7567" xr:uid="{7170B304-1D52-4D59-8B11-A455C37B1C15}"/>
    <cellStyle name="_xf05年工厂损益预算表格3-1215_MFG_Reply_Suumary_【Master】 FY12 Simulation Excel PKG for Auto" xfId="7568" xr:uid="{8F2F9669-EBBE-4A7E-A862-AAC6944B083C}"/>
    <cellStyle name="_xf05年工厂损益预算表格3-1215_MFG_Reply_Suumary_【Master】 FY12 Simulation Excel PKG for Auto (2)" xfId="7569" xr:uid="{A924AE69-3763-4AD4-BBA7-0CAFB8706423}"/>
    <cellStyle name="_xf05年工厂损益预算表格3-1215_MFG_Reply_Suumary_【Master】 FY12 Simulation Excel PKG for Auto_sugii" xfId="7570" xr:uid="{2B3FFC14-FAA2-48DC-8A62-4082BD1F3A86}"/>
    <cellStyle name="_xf05年工厂损益预算表格3-1215_MFG_Reply_Suumary_【Master】 FY12 Simulation Excel PKG for Auto_sugii (2)" xfId="7571" xr:uid="{96A85FDC-2E9D-45B0-A263-64FBBAC68A15}"/>
    <cellStyle name="_xf05年工厂损益预算表格3-1215_MFG_Reply_Suumary_【Shibayama】 FY12 Simulation Excel PKG for Auto" xfId="7572" xr:uid="{E5C5446D-F05E-4FE8-AC51-A027D8E22EBB}"/>
    <cellStyle name="_xf05年工厂损益预算表格3-1215_MFG_Reply_Suumary_Ａ&amp;O Consolidation Format_FCST3+9_v3" xfId="7573" xr:uid="{66497688-8737-4098-9C18-4AD748AD26AA}"/>
    <cellStyle name="_xf05年工厂损益预算表格3-1215_MFG_Reply_Suumary_A&amp;O Format" xfId="7574" xr:uid="{9FDEC9BF-A4AB-4FD9-BF86-7ED110CFE05A}"/>
    <cellStyle name="_xf05年工厂损益预算表格3-1215_MFG_Reply_Suumary_A&amp;O Format_FCST3+9" xfId="7575" xr:uid="{F893B3C3-42BB-478D-9F18-9DB7E0B64562}"/>
    <cellStyle name="_xf05年工厂损益预算表格3-1215_MFG_Reply_Suumary_A&amp;O Format_FCST3+9_v1" xfId="7576" xr:uid="{5BC4B40E-5EA4-4283-AE34-C8B5CF2B0C6C}"/>
    <cellStyle name="_xf05年工厂损益预算表格3-1215_MFG_Reply_Suumary_CHAO #2 Forecast Summary" xfId="7577" xr:uid="{543EE467-0BB9-45FB-92B2-6E7121109C7B}"/>
    <cellStyle name="_xf05年工厂损益预算表格3-1215_MFG_Reply_Suumary_CHAO #2 Forecast Summary_FY12 Budget Final OC-China" xfId="7578" xr:uid="{16C7816B-1F83-406B-A71B-02007B583020}"/>
    <cellStyle name="_xf05年工厂损益预算表格3-1215_MFG_Reply_Suumary_CHAO #2 Forecast Summary_Sample Format" xfId="7579" xr:uid="{EC11D04D-D865-4C42-B344-48F847328AB2}"/>
    <cellStyle name="_xf05年工厂损益预算表格3-1215_MFG_Reply_Suumary_CHAO #2 Forecast Summary_Sample Format_Ａ&amp;O Consolidation Format_FCST3+9_v3" xfId="7580" xr:uid="{2A36AD90-1914-49FD-8575-A29474643A12}"/>
    <cellStyle name="_xf05年工厂损益预算表格3-1215_MFG_Reply_Suumary_CHAO #2 Forecast Summary_Sample Format_A&amp;O Format" xfId="7581" xr:uid="{3FD78172-E7C7-46A0-B5D7-B7A0B32BC381}"/>
    <cellStyle name="_xf05年工厂损益预算表格3-1215_MFG_Reply_Suumary_CHAO #2 Forecast Summary_Sample Format_A&amp;O Format_FCST3+9" xfId="7582" xr:uid="{F0C8BF9B-2986-4FEF-BDE7-46EA3E287F56}"/>
    <cellStyle name="_xf05年工厂损益预算表格3-1215_MFG_Reply_Suumary_CHAO #2 Forecast Summary_Sample Format_A&amp;O Format_FCST3+9_v1" xfId="7583" xr:uid="{9A77A342-0A11-4F3D-822C-A4364FA44552}"/>
    <cellStyle name="_xf05年工厂损益预算表格3-1215_MFG_Reply_Suumary_Correct FC#2 AO OP" xfId="7584" xr:uid="{F6DDA5ED-46A0-4CA3-8489-E4036D22E2E0}"/>
    <cellStyle name="_xf05年工厂损益预算表格3-1215_MFG_Reply_Suumary_Correct FC#2 AO OP_FY12 Budget Final OC-China" xfId="7585" xr:uid="{147EC51F-30DC-42D2-84D6-8DFC80D4EE0E}"/>
    <cellStyle name="_xf05年工厂损益预算表格3-1215_MFG_Reply_Suumary_Correct FC#2 AO OP_Sample Format" xfId="7586" xr:uid="{F9224C3B-4765-469C-8086-95C3087C305C}"/>
    <cellStyle name="_xf05年工厂损益预算表格3-1215_MFG_Reply_Suumary_Correct FC#2 AO OP_Sample Format_Ａ&amp;O Consolidation Format_FCST3+9_v3" xfId="7587" xr:uid="{C05CE1D5-16F1-4E05-BD8C-C24F245EA638}"/>
    <cellStyle name="_xf05年工厂损益预算表格3-1215_MFG_Reply_Suumary_Correct FC#2 AO OP_Sample Format_A&amp;O Format" xfId="7588" xr:uid="{89064B12-4979-4578-8286-80F1E0668547}"/>
    <cellStyle name="_xf05年工厂损益预算表格3-1215_MFG_Reply_Suumary_Correct FC#2 AO OP_Sample Format_A&amp;O Format_FCST3+9" xfId="7589" xr:uid="{CDA80BAB-5547-4FA8-A581-7D6CBA525383}"/>
    <cellStyle name="_xf05年工厂损益预算表格3-1215_MFG_Reply_Suumary_Correct FC#2 AO OP_Sample Format_A&amp;O Format_FCST3+9_v1" xfId="7590" xr:uid="{3E3A8981-5861-458F-AFF1-78DD9F95017F}"/>
    <cellStyle name="_xf05年工厂损益预算表格3-1215_MFG_Reply_Suumary_FY10 FC#2_OP_Variance" xfId="7591" xr:uid="{62AE520F-2E52-4E14-9E92-835BACA24DD4}"/>
    <cellStyle name="_xf05年工厂损益预算表格3-1215_MFG_Reply_Suumary_FY10 FC#2_OP_Variance_FY12 Budget Final OC-China" xfId="7592" xr:uid="{647D05B4-3C38-4610-8862-ACE8A0DFDC3C}"/>
    <cellStyle name="_xf05年工厂损益预算表格3-1215_MFG_Reply_Suumary_FY10 FC#2_OP_Variance_Sample Format" xfId="7593" xr:uid="{B29DD4A8-2D56-4928-AF13-189B444EF277}"/>
    <cellStyle name="_xf05年工厂损益预算表格3-1215_MFG_Reply_Suumary_FY10 FC#2_OP_Variance_Sample Format_Ａ&amp;O Consolidation Format_FCST3+9_v3" xfId="7594" xr:uid="{3555E8C5-8FE2-46E2-A313-F5DE838ABBBF}"/>
    <cellStyle name="_xf05年工厂损益预算表格3-1215_MFG_Reply_Suumary_FY10 FC#2_OP_Variance_Sample Format_A&amp;O Format" xfId="7595" xr:uid="{3B69D416-7747-4714-A61F-F752324E451E}"/>
    <cellStyle name="_xf05年工厂损益预算表格3-1215_MFG_Reply_Suumary_FY10 FC#2_OP_Variance_Sample Format_A&amp;O Format_FCST3+9" xfId="7596" xr:uid="{3A4C2BC9-DF63-41F9-985D-88BA9F23FB7D}"/>
    <cellStyle name="_xf05年工厂损益预算表格3-1215_MFG_Reply_Suumary_FY10 FC#2_OP_Variance_Sample Format_A&amp;O Format_FCST3+9_v1" xfId="7597" xr:uid="{33E45A87-6191-48A8-AA05-9C943BACEB2F}"/>
    <cellStyle name="_xf05年工厂损益预算表格3-1215_MFG_Reply_Suumary_FY12 BP_Simulation information PKG_R" xfId="7598" xr:uid="{0E6B502B-2774-4CF5-B237-DB1887D482E7}"/>
    <cellStyle name="_xf05年工厂损益预算表格3-1215_MFG_Reply_Suumary_FY12 BP_Simulation information PKG_R（SGA）" xfId="7599" xr:uid="{D594E155-FCAA-4121-8315-788687869E23}"/>
    <cellStyle name="_xf05年工厂损益预算表格3-1215_MFG_Reply_Suumary_v1 FY11 Budget Sim summary" xfId="7600" xr:uid="{CDFD81F4-1524-46D8-83F7-8ACAF8232A72}"/>
    <cellStyle name="_xf05年工厂损益预算表格3-1215_MFG_Reply_Suumary_v1 FY11 Budget Sim summary_FY12 Budget Final OC-China" xfId="7601" xr:uid="{B99B4406-6236-4F59-AF25-96A0095AB1C5}"/>
    <cellStyle name="_xf05年工厂损益预算表格3-1215_MFG_Reply_Suumary_v1 FY11 Budget Sim summary_Sample Format" xfId="7602" xr:uid="{ED0B43D7-F718-4668-B39A-737C3F9293DD}"/>
    <cellStyle name="_xf05年工厂损益预算表格3-1215_MFG_Reply_Suumary_v1 FY11 Budget Sim summary_Sample Format_Ａ&amp;O Consolidation Format_FCST3+9_v3" xfId="7603" xr:uid="{FD5A02BD-1893-45AC-A5CA-9D4755A867BB}"/>
    <cellStyle name="_xf05年工厂损益预算表格3-1215_MFG_Reply_Suumary_v1 FY11 Budget Sim summary_Sample Format_A&amp;O Format" xfId="7604" xr:uid="{0BFD98AD-65B5-484E-BFE3-E6C51F472BD5}"/>
    <cellStyle name="_xf05年工厂损益预算表格3-1215_MFG_Reply_Suumary_v1 FY11 Budget Sim summary_Sample Format_A&amp;O Format_FCST3+9" xfId="7605" xr:uid="{67E736A5-46FA-498F-8BD1-DE551CFF5ED0}"/>
    <cellStyle name="_xf05年工厂损益预算表格3-1215_MFG_Reply_Suumary_v1 FY11 Budget Sim summary_Sample Format_A&amp;O Format_FCST3+9_v1" xfId="7606" xr:uid="{9128F01B-269C-4E16-9F8C-E86B12092297}"/>
    <cellStyle name="_xf05年工厂损益预算表格3-1215_MFG_Reply_Suumary_v2 CHAO #2 Forecast Summary" xfId="7607" xr:uid="{B4D6B7E4-9B0F-4235-A65F-0FF8C6962B55}"/>
    <cellStyle name="_xf05年工厂损益预算表格3-1215_MFG_Reply_Suumary_v2 CHAO #2 Forecast Summary_FY12 Budget Final OC-China" xfId="7608" xr:uid="{9DA5B78F-E83B-4919-B0B0-0D4A51824E5D}"/>
    <cellStyle name="_xf05年工厂损益预算表格3-1215_MFG_Reply_Suumary_v2 CHAO #2 Forecast Summary_Sample Format" xfId="7609" xr:uid="{3F35AE8C-38A3-4893-9102-A9CDA00E08A9}"/>
    <cellStyle name="_xf05年工厂损益预算表格3-1215_MFG_Reply_Suumary_v2 CHAO #2 Forecast Summary_Sample Format_Ａ&amp;O Consolidation Format_FCST3+9_v3" xfId="7610" xr:uid="{6DF6C6BC-E309-4AB5-829B-B93BCD6CFCF8}"/>
    <cellStyle name="_xf05年工厂损益预算表格3-1215_MFG_Reply_Suumary_v2 CHAO #2 Forecast Summary_Sample Format_A&amp;O Format" xfId="7611" xr:uid="{AB6F5EC8-72CA-409E-AD6F-2E180F37D70F}"/>
    <cellStyle name="_xf05年工厂损益预算表格3-1215_MFG_Reply_Suumary_v2 CHAO #2 Forecast Summary_Sample Format_A&amp;O Format_FCST3+9" xfId="7612" xr:uid="{3E23BF0A-1887-4BE7-8176-C1907F84E6D5}"/>
    <cellStyle name="_xf05年工厂损益预算表格3-1215_MFG_Reply_Suumary_v2 CHAO #2 Forecast Summary_Sample Format_A&amp;O Format_FCST3+9_v1" xfId="7613" xr:uid="{742CC1A1-1194-4947-8C3D-4ACB61E18474}"/>
    <cellStyle name="_xf05年工厂损益预算表格3-1215_MFG_Reply_Suumary_v2 FY10 FC#2_OP_Variance" xfId="7614" xr:uid="{3BFF8AD4-4EBB-4AD0-8D36-CC61BA4DFB02}"/>
    <cellStyle name="_xf05年工厂损益预算表格3-1215_MFG_Reply_Suumary_v2 FY10 FC#2_OP_Variance_FY12 Budget Final OC-China" xfId="7615" xr:uid="{1EF466F4-40F5-4FF1-B273-76BA2CCB7F4B}"/>
    <cellStyle name="_xf05年工厂损益预算表格3-1215_MFG_Reply_Suumary_v2 FY10 FC#2_OP_Variance_Sample Format" xfId="7616" xr:uid="{2EDFEC31-E3DE-4469-AA29-A1B3D3A11F5F}"/>
    <cellStyle name="_xf05年工厂损益预算表格3-1215_MFG_Reply_Suumary_v2 FY10 FC#2_OP_Variance_Sample Format_Ａ&amp;O Consolidation Format_FCST3+9_v3" xfId="7617" xr:uid="{E77578EB-06A1-4DB5-BAE1-047EA68A798C}"/>
    <cellStyle name="_xf05年工厂损益预算表格3-1215_MFG_Reply_Suumary_v2 FY10 FC#2_OP_Variance_Sample Format_A&amp;O Format" xfId="7618" xr:uid="{ED1E6CA0-26AA-4BBA-90BF-3BAD1B344BBB}"/>
    <cellStyle name="_xf05年工厂损益预算表格3-1215_MFG_Reply_Suumary_v2 FY10 FC#2_OP_Variance_Sample Format_A&amp;O Format_FCST3+9" xfId="7619" xr:uid="{11F64304-D861-4F0D-9D16-B2926F5108DB}"/>
    <cellStyle name="_xf05年工厂损益预算表格3-1215_MFG_Reply_Suumary_v2 FY10 FC#2_OP_Variance_Sample Format_A&amp;O Format_FCST3+9_v1" xfId="7620" xr:uid="{FB3413F4-9BC7-4784-9029-02A227127204}"/>
    <cellStyle name="_xf05年工厂损益预算表格3-1215_MFG_Reply_Suumary_v5 FY11 Budget Sim summary" xfId="7621" xr:uid="{E12E7986-60A4-421C-84B1-1F22806103C7}"/>
    <cellStyle name="_xf05年工厂损益预算表格3-1215_MFG_Reply_Suumary_v5 FY11 Budget Sim summary_FY12 Budget Final OC-China" xfId="7622" xr:uid="{08BB6DA7-95C9-44C6-B165-3DEADE22B638}"/>
    <cellStyle name="_xf05年工厂损益预算表格3-1215_MFG_Reply_Suumary_v5 FY11 Budget Sim summary_Sample Format" xfId="7623" xr:uid="{1096B000-4A85-4B12-85BF-CC9C46D6521B}"/>
    <cellStyle name="_xf05年工厂损益预算表格3-1215_MFG_Reply_Suumary_v5 FY11 Budget Sim summary_Sample Format_Ａ&amp;O Consolidation Format_FCST3+9_v3" xfId="7624" xr:uid="{26128C26-50D5-4E80-9F1A-4AAA80E4BCA5}"/>
    <cellStyle name="_xf05年工厂损益预算表格3-1215_MFG_Reply_Suumary_v5 FY11 Budget Sim summary_Sample Format_A&amp;O Format" xfId="7625" xr:uid="{B0A4A91B-BB66-42A0-8644-E014D6F8CF06}"/>
    <cellStyle name="_xf05年工厂损益预算表格3-1215_MFG_Reply_Suumary_v5 FY11 Budget Sim summary_Sample Format_A&amp;O Format_FCST3+9" xfId="7626" xr:uid="{A9773AB5-90D1-49E3-A946-2EEAEA136E37}"/>
    <cellStyle name="_xf05年工厂损益预算表格3-1215_MFG_Reply_Suumary_v5 FY11 Budget Sim summary_Sample Format_A&amp;O Format_FCST3+9_v1" xfId="7627" xr:uid="{B3CB7A19-9328-444A-B907-741BDAE3146C}"/>
    <cellStyle name="_xf05年工厂损益预算表格3-1215_MFG_Reply_Suumary_コピー【Master】 FY12 Simula tion Excel PKG for Auto" xfId="7628" xr:uid="{BEFCB63C-A7E2-4C8C-A6D5-907B9D48093A}"/>
    <cellStyle name="_xf05年工厂损益预算表格3-1215_MFG_Reply_Suumary_これマスター　FCF_FY12 Simulation Excel PKG for Auto" xfId="7629" xr:uid="{424D8E09-FDC8-4342-84EA-0FDDD7843F90}"/>
    <cellStyle name="_xf05年工厂损益预算表格3-1215_N11J MC+Elongation(松）" xfId="7630" xr:uid="{8051A95E-93DE-4E4B-A212-FC6BB8DE61E9}"/>
    <cellStyle name="_xf05年工厂损益预算表格3-1215_NMI FY05 Budget " xfId="7631" xr:uid="{5CF5620C-84E2-4045-A311-65CBB1D2DA5B}"/>
    <cellStyle name="_xf05年工厂损益预算表格3-1215_NMI FY05 Budget _#1 Forecast Summary" xfId="7632" xr:uid="{64B55316-2025-42F7-90A2-CADA126C137D}"/>
    <cellStyle name="_xf05年工厂损益预算表格3-1215_NMI FY05 Budget _#1 Forecast Summary_FY12 Budget Final OC-China" xfId="7633" xr:uid="{E662786D-820D-483B-B201-F262710DE985}"/>
    <cellStyle name="_xf05年工厂损益预算表格3-1215_NMI FY05 Budget _#1 Forecast Summary_Sample Format" xfId="7634" xr:uid="{A4E5DAEE-F878-4884-9586-E85FCCFDF7F7}"/>
    <cellStyle name="_xf05年工厂损益预算表格3-1215_NMI FY05 Budget _#1 Forecast Summary_Sample Format_Ａ&amp;O Consolidation Format_FCST3+9_v3" xfId="7635" xr:uid="{BDB2AFA3-95DE-4BDB-B749-45841A349F7F}"/>
    <cellStyle name="_xf05年工厂损益预算表格3-1215_NMI FY05 Budget _#1 Forecast Summary_Sample Format_A&amp;O Format" xfId="7636" xr:uid="{FB4EA809-1AC0-4920-8728-6C8B58CADA55}"/>
    <cellStyle name="_xf05年工厂损益预算表格3-1215_NMI FY05 Budget _#1 Forecast Summary_Sample Format_A&amp;O Format_FCST3+9" xfId="7637" xr:uid="{736C6592-BF2D-4C91-87D3-D340E44F905D}"/>
    <cellStyle name="_xf05年工厂损益预算表格3-1215_NMI FY05 Budget _#1 Forecast Summary_Sample Format_A&amp;O Format_FCST3+9_v1" xfId="7638" xr:uid="{18A55385-DF4E-475A-A680-82D4F8A1B02F}"/>
    <cellStyle name="_xf05年工厂损益预算表格3-1215_NMI FY05 Budget _(CHAO) FY10 Forecast#1 Regional Comment" xfId="7639" xr:uid="{D442E45D-D113-4E58-A777-02417F11DBE2}"/>
    <cellStyle name="_xf05年工厂损益预算表格3-1215_NMI FY05 Budget _(CHAO) FY10 Forecast#1 Regional Comment_FY12 Budget Final OC-China" xfId="7640" xr:uid="{4A563C02-F17F-46A3-A425-AED68E50AAFE}"/>
    <cellStyle name="_xf05年工厂损益预算表格3-1215_NMI FY05 Budget _(CHAO) FY10 Forecast#1 Regional Comment_Sample Format" xfId="7641" xr:uid="{1357FD1B-CD76-4B57-9565-8312AE39D4FD}"/>
    <cellStyle name="_xf05年工厂损益预算表格3-1215_NMI FY05 Budget _(CHAO) FY10 Forecast#1 Regional Comment_Sample Format_Ａ&amp;O Consolidation Format_FCST3+9_v3" xfId="7642" xr:uid="{047F0D90-9644-4D76-AAB0-1A856C7F2FF9}"/>
    <cellStyle name="_xf05年工厂损益预算表格3-1215_NMI FY05 Budget _(CHAO) FY10 Forecast#1 Regional Comment_Sample Format_A&amp;O Format" xfId="7643" xr:uid="{A0BEFB63-1FCC-4306-A3AA-6B2CE68A4215}"/>
    <cellStyle name="_xf05年工厂损益预算表格3-1215_NMI FY05 Budget _(CHAO) FY10 Forecast#1 Regional Comment_Sample Format_A&amp;O Format_FCST3+9" xfId="7644" xr:uid="{4F4B8FEB-F123-4DF3-A416-4BFD24A118B8}"/>
    <cellStyle name="_xf05年工厂损益预算表格3-1215_NMI FY05 Budget _(CHAO) FY10 Forecast#1 Regional Comment_Sample Format_A&amp;O Format_FCST3+9_v1" xfId="7645" xr:uid="{FE575B05-6D38-4F15-A707-8ABE18EC5885}"/>
    <cellStyle name="_xf05年工厂损益预算表格3-1215_NMI FY05 Budget _(due on Dec. 2) FY11 Fcst#3 Excel PKG for Auto (Volume info)" xfId="7646" xr:uid="{653A7ACB-2FA7-4633-8B1F-B5326C8A7726}"/>
    <cellStyle name="_xf05年工厂损益预算表格3-1215_NMI FY05 Budget _(for Function)FY13 BUD Simulation" xfId="7647" xr:uid="{45013E19-D366-4F08-ACAF-8AA26EC0AB3F}"/>
    <cellStyle name="_xf05年工厂损益预算表格3-1215_NMI FY05 Budget _【9.1 Updated】EC Master of FY10 profit simulation" xfId="7648" xr:uid="{EBF21C5A-C579-439A-8518-BA0E0921D831}"/>
    <cellStyle name="_xf05年工厂损益预算表格3-1215_NMI FY05 Budget _【9.1 Updated】EC Master of FY10 profit simulation_#1 Forecast Summary" xfId="7649" xr:uid="{BA56C88E-A390-4C29-BDBE-3024233879BC}"/>
    <cellStyle name="_xf05年工厂损益预算表格3-1215_NMI FY05 Budget _【9.1 Updated】EC Master of FY10 profit simulation_#1 Forecast Summary_FY12 Budget Final OC-China" xfId="7650" xr:uid="{C327A23B-4658-4395-B995-02EA5FC7226C}"/>
    <cellStyle name="_xf05年工厂损益预算表格3-1215_NMI FY05 Budget _【9.1 Updated】EC Master of FY10 profit simulation_#1 Forecast Summary_Sample Format" xfId="7651" xr:uid="{6082AAB8-E5AE-461D-9665-044537C3C651}"/>
    <cellStyle name="_xf05年工厂损益预算表格3-1215_NMI FY05 Budget _【9.1 Updated】EC Master of FY10 profit simulation_#1 Forecast Summary_Sample Format_Ａ&amp;O Consolidation Format_FCST3+9_v3" xfId="7652" xr:uid="{3C132536-AB2F-472D-B8C4-9AABA2BB2DCF}"/>
    <cellStyle name="_xf05年工厂损益预算表格3-1215_NMI FY05 Budget _【9.1 Updated】EC Master of FY10 profit simulation_#1 Forecast Summary_Sample Format_A&amp;O Format" xfId="7653" xr:uid="{5F7BF4D6-DA44-4754-AF3C-1F19AE97F688}"/>
    <cellStyle name="_xf05年工厂损益预算表格3-1215_NMI FY05 Budget _【9.1 Updated】EC Master of FY10 profit simulation_#1 Forecast Summary_Sample Format_A&amp;O Format_FCST3+9" xfId="7654" xr:uid="{56D20BE5-7DE1-4F86-B03B-C3AE97F621DE}"/>
    <cellStyle name="_xf05年工厂损益预算表格3-1215_NMI FY05 Budget _【9.1 Updated】EC Master of FY10 profit simulation_#1 Forecast Summary_Sample Format_A&amp;O Format_FCST3+9_v1" xfId="7655" xr:uid="{4FB31759-C4AF-4262-8980-6DBCC0217CF0}"/>
    <cellStyle name="_xf05年工厂损益预算表格3-1215_NMI FY05 Budget _【9.1 Updated】EC Master of FY10 profit simulation_(CHAO) FY10 Forecast#1 Regional Comment" xfId="7656" xr:uid="{18B70657-457A-47FD-9FD2-354749432C3B}"/>
    <cellStyle name="_xf05年工厂损益预算表格3-1215_NMI FY05 Budget _【9.1 Updated】EC Master of FY10 profit simulation_(CHAO) FY10 Forecast#1 Regional Comment_FY12 Budget Final OC-China" xfId="7657" xr:uid="{6329FF50-4495-4C31-BF7C-2F5A114C044D}"/>
    <cellStyle name="_xf05年工厂损益预算表格3-1215_NMI FY05 Budget _【9.1 Updated】EC Master of FY10 profit simulation_(CHAO) FY10 Forecast#1 Regional Comment_Sample Format" xfId="7658" xr:uid="{13342EAC-9FE5-4929-9090-86CE3A0ADDA7}"/>
    <cellStyle name="_xf05年工厂损益预算表格3-1215_NMI FY05 Budget _【9.1 Updated】EC Master of FY10 profit simulation_(CHAO) FY10 Forecast#1 Regional Comment_Sample Format_Ａ&amp;O Consolidation Format_FCST3+9_v3" xfId="7659" xr:uid="{69496E18-3504-4827-AE92-77C8A61E4FFB}"/>
    <cellStyle name="_xf05年工厂损益预算表格3-1215_NMI FY05 Budget _【9.1 Updated】EC Master of FY10 profit simulation_(CHAO) FY10 Forecast#1 Regional Comment_Sample Format_A&amp;O Format" xfId="7660" xr:uid="{3537E4A4-FB08-43B1-A620-96EB6B1ECA0E}"/>
    <cellStyle name="_xf05年工厂损益预算表格3-1215_NMI FY05 Budget _【9.1 Updated】EC Master of FY10 profit simulation_(CHAO) FY10 Forecast#1 Regional Comment_Sample Format_A&amp;O Format_FCST3+9" xfId="7661" xr:uid="{26F607AB-D063-4F75-A1C3-59AE04D600D7}"/>
    <cellStyle name="_xf05年工厂损益预算表格3-1215_NMI FY05 Budget _【9.1 Updated】EC Master of FY10 profit simulation_(CHAO) FY10 Forecast#1 Regional Comment_Sample Format_A&amp;O Format_FCST3+9_v1" xfId="7662" xr:uid="{C0898993-82E3-40E3-ADEE-3A5A3485210C}"/>
    <cellStyle name="_xf05年工厂损益预算表格3-1215_NMI FY05 Budget _【9.1 Updated】EC Master of FY10 profit simulation_【Master】 FY12 Simulation Excel PKG for Auto" xfId="7663" xr:uid="{66802329-18CA-4D7C-B3B4-1A1E953F32BB}"/>
    <cellStyle name="_xf05年工厂损益预算表格3-1215_NMI FY05 Budget _【9.1 Updated】EC Master of FY10 profit simulation_【Master】 FY12 Simulation Excel PKG for Auto (2)" xfId="7664" xr:uid="{B2047876-6F13-4B44-805F-B223E8D357A6}"/>
    <cellStyle name="_xf05年工厂损益预算表格3-1215_NMI FY05 Budget _【9.1 Updated】EC Master of FY10 profit simulation_【Master】 FY12 Simulation Excel PKG for Auto_sugii" xfId="7665" xr:uid="{EE3628F7-EDED-4488-A125-A2780B52B81A}"/>
    <cellStyle name="_xf05年工厂损益预算表格3-1215_NMI FY05 Budget _【9.1 Updated】EC Master of FY10 profit simulation_【Master】 FY12 Simulation Excel PKG for Auto_sugii (2)" xfId="7666" xr:uid="{5FC96C8C-E837-45E3-B3D0-CFB695F102F0}"/>
    <cellStyle name="_xf05年工厂损益预算表格3-1215_NMI FY05 Budget _【9.1 Updated】EC Master of FY10 profit simulation_【Shibayama】 FY12 Simulation Excel PKG for Auto" xfId="7667" xr:uid="{9A8ACE7E-406D-49D4-A6F8-9EDD39B29849}"/>
    <cellStyle name="_xf05年工厂损益预算表格3-1215_NMI FY05 Budget _【9.1 Updated】EC Master of FY10 profit simulation_Ａ&amp;O Consolidation Format_FCST3+9_v3" xfId="7668" xr:uid="{6EBAF086-B03D-40B1-B734-12B3BACCE999}"/>
    <cellStyle name="_xf05年工厂损益预算表格3-1215_NMI FY05 Budget _【9.1 Updated】EC Master of FY10 profit simulation_A&amp;O Format" xfId="7669" xr:uid="{E0E85043-6880-4F34-92A5-738D872C06BD}"/>
    <cellStyle name="_xf05年工厂损益预算表格3-1215_NMI FY05 Budget _【9.1 Updated】EC Master of FY10 profit simulation_A&amp;O Format_FCST3+9" xfId="7670" xr:uid="{7782EA19-11E5-4788-9DFA-3CFF1B54B885}"/>
    <cellStyle name="_xf05年工厂损益预算表格3-1215_NMI FY05 Budget _【9.1 Updated】EC Master of FY10 profit simulation_A&amp;O Format_FCST3+9_v1" xfId="7671" xr:uid="{46F438FC-BB3A-4C7A-9A96-2C2E8E841A59}"/>
    <cellStyle name="_xf05年工厂损益预算表格3-1215_NMI FY05 Budget _【9.1 Updated】EC Master of FY10 profit simulation_CHAO #2 Forecast Summary" xfId="7672" xr:uid="{FF435F4A-2F28-48A5-9D1F-0470B0134A4E}"/>
    <cellStyle name="_xf05年工厂损益预算表格3-1215_NMI FY05 Budget _【9.1 Updated】EC Master of FY10 profit simulation_CHAO #2 Forecast Summary_FY12 Budget Final OC-China" xfId="7673" xr:uid="{7314E0A2-DF86-4721-8989-E616350B6BB2}"/>
    <cellStyle name="_xf05年工厂损益预算表格3-1215_NMI FY05 Budget _【9.1 Updated】EC Master of FY10 profit simulation_CHAO #2 Forecast Summary_Sample Format" xfId="7674" xr:uid="{88D6C330-EC11-4DDD-BD35-1AD943D19E8E}"/>
    <cellStyle name="_xf05年工厂损益预算表格3-1215_NMI FY05 Budget _【9.1 Updated】EC Master of FY10 profit simulation_CHAO #2 Forecast Summary_Sample Format_Ａ&amp;O Consolidation Format_FCST3+9_v3" xfId="7675" xr:uid="{B54C75E9-1353-4865-B876-C4E9AFD4F151}"/>
    <cellStyle name="_xf05年工厂损益预算表格3-1215_NMI FY05 Budget _【9.1 Updated】EC Master of FY10 profit simulation_CHAO #2 Forecast Summary_Sample Format_A&amp;O Format" xfId="7676" xr:uid="{438CB85E-093F-4B28-A833-8FACB2A88AC3}"/>
    <cellStyle name="_xf05年工厂损益预算表格3-1215_NMI FY05 Budget _【9.1 Updated】EC Master of FY10 profit simulation_CHAO #2 Forecast Summary_Sample Format_A&amp;O Format_FCST3+9" xfId="7677" xr:uid="{1058F05A-F211-4130-931A-A9132A51FA79}"/>
    <cellStyle name="_xf05年工厂损益预算表格3-1215_NMI FY05 Budget _【9.1 Updated】EC Master of FY10 profit simulation_CHAO #2 Forecast Summary_Sample Format_A&amp;O Format_FCST3+9_v1" xfId="7678" xr:uid="{BBF9B1C5-F081-4402-AA29-992639A439A2}"/>
    <cellStyle name="_xf05年工厂损益预算表格3-1215_NMI FY05 Budget _【9.1 Updated】EC Master of FY10 profit simulation_Correct FC#2 AO OP" xfId="7679" xr:uid="{818AAC9C-84E1-4651-BE30-F6C1D42ADD60}"/>
    <cellStyle name="_xf05年工厂损益预算表格3-1215_NMI FY05 Budget _【9.1 Updated】EC Master of FY10 profit simulation_Correct FC#2 AO OP_FY12 Budget Final OC-China" xfId="7680" xr:uid="{17540990-E983-4175-BCCA-BB4431083611}"/>
    <cellStyle name="_xf05年工厂损益预算表格3-1215_NMI FY05 Budget _【9.1 Updated】EC Master of FY10 profit simulation_Correct FC#2 AO OP_Sample Format" xfId="7681" xr:uid="{16750049-FE46-4DBB-ADD9-69B32490E6EE}"/>
    <cellStyle name="_xf05年工厂损益预算表格3-1215_NMI FY05 Budget _【9.1 Updated】EC Master of FY10 profit simulation_Correct FC#2 AO OP_Sample Format_Ａ&amp;O Consolidation Format_FCST3+9_v3" xfId="7682" xr:uid="{4488F28B-7271-4898-A5EC-FBB5F08EDDA6}"/>
    <cellStyle name="_xf05年工厂损益预算表格3-1215_NMI FY05 Budget _【9.1 Updated】EC Master of FY10 profit simulation_Correct FC#2 AO OP_Sample Format_A&amp;O Format" xfId="7683" xr:uid="{14E71FA9-3481-4776-BE17-CFCE27D59CC2}"/>
    <cellStyle name="_xf05年工厂损益预算表格3-1215_NMI FY05 Budget _【9.1 Updated】EC Master of FY10 profit simulation_Correct FC#2 AO OP_Sample Format_A&amp;O Format_FCST3+9" xfId="7684" xr:uid="{833C9B54-EFA7-4348-9010-3C95DBB805E0}"/>
    <cellStyle name="_xf05年工厂损益预算表格3-1215_NMI FY05 Budget _【9.1 Updated】EC Master of FY10 profit simulation_Correct FC#2 AO OP_Sample Format_A&amp;O Format_FCST3+9_v1" xfId="7685" xr:uid="{FB87C213-5D4E-4F26-92A6-C085A7FAFC46}"/>
    <cellStyle name="_xf05年工厂损益预算表格3-1215_NMI FY05 Budget _【9.1 Updated】EC Master of FY10 profit simulation_FY10 FC#2_OP_Variance" xfId="7686" xr:uid="{03879C78-960D-41D4-9D06-39C832B3CA6D}"/>
    <cellStyle name="_xf05年工厂损益预算表格3-1215_NMI FY05 Budget _【9.1 Updated】EC Master of FY10 profit simulation_FY10 FC#2_OP_Variance_FY12 Budget Final OC-China" xfId="7687" xr:uid="{E0D0C199-5580-4C7A-9F51-67A9459667D6}"/>
    <cellStyle name="_xf05年工厂损益预算表格3-1215_NMI FY05 Budget _【9.1 Updated】EC Master of FY10 profit simulation_FY10 FC#2_OP_Variance_Sample Format" xfId="7688" xr:uid="{5FF72B38-FF16-4076-83B5-9B4E45584F7E}"/>
    <cellStyle name="_xf05年工厂损益预算表格3-1215_NMI FY05 Budget _【9.1 Updated】EC Master of FY10 profit simulation_FY10 FC#2_OP_Variance_Sample Format_Ａ&amp;O Consolidation Format_FCST3+9_v3" xfId="7689" xr:uid="{8F4018BA-8659-458D-B2E0-CED44A6A5918}"/>
    <cellStyle name="_xf05年工厂损益预算表格3-1215_NMI FY05 Budget _【9.1 Updated】EC Master of FY10 profit simulation_FY10 FC#2_OP_Variance_Sample Format_A&amp;O Format" xfId="7690" xr:uid="{46047ECB-87F4-40B9-87D3-C1DC763DD7AF}"/>
    <cellStyle name="_xf05年工厂损益预算表格3-1215_NMI FY05 Budget _【9.1 Updated】EC Master of FY10 profit simulation_FY10 FC#2_OP_Variance_Sample Format_A&amp;O Format_FCST3+9" xfId="7691" xr:uid="{345980B1-2B0D-42D3-9DA7-625554814770}"/>
    <cellStyle name="_xf05年工厂损益预算表格3-1215_NMI FY05 Budget _【9.1 Updated】EC Master of FY10 profit simulation_FY10 FC#2_OP_Variance_Sample Format_A&amp;O Format_FCST3+9_v1" xfId="7692" xr:uid="{98846AAB-D641-4BBD-A160-1FDA47700E2F}"/>
    <cellStyle name="_xf05年工厂损益预算表格3-1215_NMI FY05 Budget _【9.1 Updated】EC Master of FY10 profit simulation_FY12 BP_Simulation information PKG_R" xfId="7693" xr:uid="{77FB2D11-FE92-4815-A617-A653CF5E5C18}"/>
    <cellStyle name="_xf05年工厂损益预算表格3-1215_NMI FY05 Budget _【9.1 Updated】EC Master of FY10 profit simulation_FY12 BP_Simulation information PKG_R（SGA）" xfId="7694" xr:uid="{99D96BDE-371A-4A53-96DF-E5146DC11B85}"/>
    <cellStyle name="_xf05年工厂损益预算表格3-1215_NMI FY05 Budget _【9.1 Updated】EC Master of FY10 profit simulation_v1 FY11 Budget Sim summary" xfId="7695" xr:uid="{340C3B2C-7ACE-4265-8E0A-2F1D220D8E56}"/>
    <cellStyle name="_xf05年工厂损益预算表格3-1215_NMI FY05 Budget _【9.1 Updated】EC Master of FY10 profit simulation_v1 FY11 Budget Sim summary_FY12 Budget Final OC-China" xfId="7696" xr:uid="{DB8AF877-D11D-4E71-9880-7467774CC214}"/>
    <cellStyle name="_xf05年工厂损益预算表格3-1215_NMI FY05 Budget _【9.1 Updated】EC Master of FY10 profit simulation_v1 FY11 Budget Sim summary_Sample Format" xfId="7697" xr:uid="{47A0CC3E-A054-4BA7-A755-B04A031A466D}"/>
    <cellStyle name="_xf05年工厂损益预算表格3-1215_NMI FY05 Budget _【9.1 Updated】EC Master of FY10 profit simulation_v1 FY11 Budget Sim summary_Sample Format_Ａ&amp;O Consolidation Format_FCST3+9_v3" xfId="7698" xr:uid="{6EA70071-894D-4903-AD12-680EB6D7C53D}"/>
    <cellStyle name="_xf05年工厂损益预算表格3-1215_NMI FY05 Budget _【9.1 Updated】EC Master of FY10 profit simulation_v1 FY11 Budget Sim summary_Sample Format_A&amp;O Format" xfId="7699" xr:uid="{A8721C45-B2EF-472D-84A1-32A6A0DB0C0F}"/>
    <cellStyle name="_xf05年工厂损益预算表格3-1215_NMI FY05 Budget _【9.1 Updated】EC Master of FY10 profit simulation_v1 FY11 Budget Sim summary_Sample Format_A&amp;O Format_FCST3+9" xfId="7700" xr:uid="{2128E67B-D8D2-4005-85FE-67BF20BC114B}"/>
    <cellStyle name="_xf05年工厂损益预算表格3-1215_NMI FY05 Budget _【9.1 Updated】EC Master of FY10 profit simulation_v1 FY11 Budget Sim summary_Sample Format_A&amp;O Format_FCST3+9_v1" xfId="7701" xr:uid="{7FA64558-B1E4-458A-9076-C405F8D7C919}"/>
    <cellStyle name="_xf05年工厂损益预算表格3-1215_NMI FY05 Budget _【9.1 Updated】EC Master of FY10 profit simulation_v2 CHAO #2 Forecast Summary" xfId="7702" xr:uid="{7CC6688D-97DF-4036-B1CA-668F4F9C76D8}"/>
    <cellStyle name="_xf05年工厂损益预算表格3-1215_NMI FY05 Budget _【9.1 Updated】EC Master of FY10 profit simulation_v2 CHAO #2 Forecast Summary_FY12 Budget Final OC-China" xfId="7703" xr:uid="{63F58892-4161-4AD1-BDA0-40A2184D1A81}"/>
    <cellStyle name="_xf05年工厂损益预算表格3-1215_NMI FY05 Budget _【9.1 Updated】EC Master of FY10 profit simulation_v2 CHAO #2 Forecast Summary_Sample Format" xfId="7704" xr:uid="{950F6405-9F2C-49E9-97E7-43BB792D8B39}"/>
    <cellStyle name="_xf05年工厂损益预算表格3-1215_NMI FY05 Budget _【9.1 Updated】EC Master of FY10 profit simulation_v2 CHAO #2 Forecast Summary_Sample Format_Ａ&amp;O Consolidation Format_FCST3+9_v3" xfId="7705" xr:uid="{9F45438D-FEB7-4B4A-AFE9-F1BB8D9CE3C3}"/>
    <cellStyle name="_xf05年工厂损益预算表格3-1215_NMI FY05 Budget _【9.1 Updated】EC Master of FY10 profit simulation_v2 CHAO #2 Forecast Summary_Sample Format_A&amp;O Format" xfId="7706" xr:uid="{8615F563-FE36-462A-931F-2806A21A4F82}"/>
    <cellStyle name="_xf05年工厂损益预算表格3-1215_NMI FY05 Budget _【9.1 Updated】EC Master of FY10 profit simulation_v2 CHAO #2 Forecast Summary_Sample Format_A&amp;O Format_FCST3+9" xfId="7707" xr:uid="{F3D2BF07-CF73-4B8D-B819-D7A654F6308B}"/>
    <cellStyle name="_xf05年工厂损益预算表格3-1215_NMI FY05 Budget _【9.1 Updated】EC Master of FY10 profit simulation_v2 CHAO #2 Forecast Summary_Sample Format_A&amp;O Format_FCST3+9_v1" xfId="7708" xr:uid="{96515A96-F58E-4938-A829-A5D0F1E94814}"/>
    <cellStyle name="_xf05年工厂损益预算表格3-1215_NMI FY05 Budget _【9.1 Updated】EC Master of FY10 profit simulation_v2 FY10 FC#2_OP_Variance" xfId="7709" xr:uid="{26929F66-A9BF-447E-A7FA-AA8591B69763}"/>
    <cellStyle name="_xf05年工厂损益预算表格3-1215_NMI FY05 Budget _【9.1 Updated】EC Master of FY10 profit simulation_v2 FY10 FC#2_OP_Variance_FY12 Budget Final OC-China" xfId="7710" xr:uid="{43B91635-A932-48E1-AA06-B391FE51CFB9}"/>
    <cellStyle name="_xf05年工厂损益预算表格3-1215_NMI FY05 Budget _【9.1 Updated】EC Master of FY10 profit simulation_v2 FY10 FC#2_OP_Variance_Sample Format" xfId="7711" xr:uid="{6205FDF1-6D08-4180-A9B8-221E9FA2D992}"/>
    <cellStyle name="_xf05年工厂损益预算表格3-1215_NMI FY05 Budget _【9.1 Updated】EC Master of FY10 profit simulation_v2 FY10 FC#2_OP_Variance_Sample Format_Ａ&amp;O Consolidation Format_FCST3+9_v3" xfId="7712" xr:uid="{EBDC34A2-33D3-46DD-BE0E-40B632412971}"/>
    <cellStyle name="_xf05年工厂损益预算表格3-1215_NMI FY05 Budget _【9.1 Updated】EC Master of FY10 profit simulation_v2 FY10 FC#2_OP_Variance_Sample Format_A&amp;O Format" xfId="7713" xr:uid="{7591D6EE-5DB7-4D12-8E62-A4077E111BE9}"/>
    <cellStyle name="_xf05年工厂损益预算表格3-1215_NMI FY05 Budget _【9.1 Updated】EC Master of FY10 profit simulation_v2 FY10 FC#2_OP_Variance_Sample Format_A&amp;O Format_FCST3+9" xfId="7714" xr:uid="{49C1B42A-C901-4E20-A5BA-478D7F34EEAD}"/>
    <cellStyle name="_xf05年工厂损益预算表格3-1215_NMI FY05 Budget _【9.1 Updated】EC Master of FY10 profit simulation_v2 FY10 FC#2_OP_Variance_Sample Format_A&amp;O Format_FCST3+9_v1" xfId="7715" xr:uid="{23B7A97F-D346-4F20-B777-62AB36D7A03F}"/>
    <cellStyle name="_xf05年工厂损益预算表格3-1215_NMI FY05 Budget _【9.1 Updated】EC Master of FY10 profit simulation_v5 FY11 Budget Sim summary" xfId="7716" xr:uid="{BE675281-6CD4-4A1E-8E2A-6393547CFA3A}"/>
    <cellStyle name="_xf05年工厂损益预算表格3-1215_NMI FY05 Budget _【9.1 Updated】EC Master of FY10 profit simulation_v5 FY11 Budget Sim summary_FY12 Budget Final OC-China" xfId="7717" xr:uid="{328C0A54-6B48-435B-99F3-BADBB09D5859}"/>
    <cellStyle name="_xf05年工厂损益预算表格3-1215_NMI FY05 Budget _【9.1 Updated】EC Master of FY10 profit simulation_v5 FY11 Budget Sim summary_Sample Format" xfId="7718" xr:uid="{04E30456-6DBD-46B9-B3A9-B884C59B558F}"/>
    <cellStyle name="_xf05年工厂损益预算表格3-1215_NMI FY05 Budget _【9.1 Updated】EC Master of FY10 profit simulation_v5 FY11 Budget Sim summary_Sample Format_Ａ&amp;O Consolidation Format_FCST3+9_v3" xfId="7719" xr:uid="{E2BEDFB1-2D13-42A1-BE71-84E4BB83A2EB}"/>
    <cellStyle name="_xf05年工厂损益预算表格3-1215_NMI FY05 Budget _【9.1 Updated】EC Master of FY10 profit simulation_v5 FY11 Budget Sim summary_Sample Format_A&amp;O Format" xfId="7720" xr:uid="{55890B9B-85CE-4722-9351-D31C5A40F705}"/>
    <cellStyle name="_xf05年工厂损益预算表格3-1215_NMI FY05 Budget _【9.1 Updated】EC Master of FY10 profit simulation_v5 FY11 Budget Sim summary_Sample Format_A&amp;O Format_FCST3+9" xfId="7721" xr:uid="{5AC9C19F-FB90-4328-802D-370D5E902D4C}"/>
    <cellStyle name="_xf05年工厂损益预算表格3-1215_NMI FY05 Budget _【9.1 Updated】EC Master of FY10 profit simulation_v5 FY11 Budget Sim summary_Sample Format_A&amp;O Format_FCST3+9_v1" xfId="7722" xr:uid="{409E730B-E234-4097-BF59-9ADC90A5F440}"/>
    <cellStyle name="_xf05年工厂损益预算表格3-1215_NMI FY05 Budget _【9.1 Updated】EC Master of FY10 profit simulation_コピー【Master】 FY12 Simula tion Excel PKG for Auto" xfId="7723" xr:uid="{5358524B-1331-45FD-B6C2-B3E97A7CE26A}"/>
    <cellStyle name="_xf05年工厂损益预算表格3-1215_NMI FY05 Budget _【9.1 Updated】EC Master of FY10 profit simulation_これマスター　FCF_FY12 Simulation Excel PKG for Auto" xfId="7724" xr:uid="{AD7D82B4-967F-45DD-9516-A27F2FF20984}"/>
    <cellStyle name="_xf05年工厂损益预算表格3-1215_NMI FY05 Budget _【Master】 FY12 Simulation Excel PKG for Auto" xfId="7725" xr:uid="{97CF3B3E-E2A6-4161-B1FB-3820A7646E3E}"/>
    <cellStyle name="_xf05年工厂损益预算表格3-1215_NMI FY05 Budget _【Master】 FY12 Simulation Excel PKG for Auto (2)" xfId="7726" xr:uid="{C9D13A20-BA16-4FB1-B5B5-BD8DC67D329C}"/>
    <cellStyle name="_xf05年工厂损益预算表格3-1215_NMI FY05 Budget _【Master】 FY12 Simulation Excel PKG for Auto_sugii" xfId="7727" xr:uid="{98EE4875-72E9-4700-9308-FC66D2EB45B6}"/>
    <cellStyle name="_xf05年工厂损益预算表格3-1215_NMI FY05 Budget _【Master】 FY12 Simulation Excel PKG for Auto_sugii (2)" xfId="7728" xr:uid="{D67D28B3-FF56-4D96-BA40-3639EDF601ED}"/>
    <cellStyle name="_xf05年工厂损益预算表格3-1215_NMI FY05 Budget _【Shibayama】 FY12 Simulation Excel PKG for Auto" xfId="7729" xr:uid="{FB412467-FC0E-4393-AD4B-028C0B3252A2}"/>
    <cellStyle name="_xf05年工厂损益预算表格3-1215_NMI FY05 Budget _5.1. Volume" xfId="7730" xr:uid="{92C51BDE-4755-49E1-9B07-73BE24F52C79}"/>
    <cellStyle name="_xf05年工厂损益预算表格3-1215_NMI FY05 Budget _5x7 Reply Package- Opex" xfId="7731" xr:uid="{305E7926-CEBC-473B-9587-5F48FC621C97}"/>
    <cellStyle name="_xf05年工厂损益预算表格3-1215_NMI FY05 Budget _Ａ&amp;O Consolidation Format_FCST3+9_v3" xfId="7732" xr:uid="{A8CEF441-6767-4CD1-B05D-28B0647A2274}"/>
    <cellStyle name="_xf05年工厂损益预算表格3-1215_NMI FY05 Budget _A&amp;O Format" xfId="7733" xr:uid="{4B8288E1-1836-493E-8B3B-440F647FEE34}"/>
    <cellStyle name="_xf05年工厂损益预算表格3-1215_NMI FY05 Budget _A&amp;O Format_FCST3+9" xfId="7734" xr:uid="{5014391B-8A6B-4D02-8C3B-43DD227F6FF5}"/>
    <cellStyle name="_xf05年工厂损益预算表格3-1215_NMI FY05 Budget _A&amp;O Format_FCST3+9_v1" xfId="7735" xr:uid="{D33C097C-E3CB-430F-904B-CC4A25A07765}"/>
    <cellStyle name="_xf05年工厂损益预算表格3-1215_NMI FY05 Budget _AMI_MCPP report format" xfId="7736" xr:uid="{ADD40421-96AD-479A-8B97-3DF751A2B190}"/>
    <cellStyle name="_xf05年工厂损益预算表格3-1215_NMI FY05 Budget _Book1" xfId="7737" xr:uid="{273C3F85-94B5-431F-956E-7D711F7ACC95}"/>
    <cellStyle name="_xf05年工厂损益预算表格3-1215_NMI FY05 Budget _CHAO #2 Forecast Summary" xfId="7738" xr:uid="{0656D855-0580-4CC1-8798-D9D6F43C1170}"/>
    <cellStyle name="_xf05年工厂损益预算表格3-1215_NMI FY05 Budget _CHAO #2 Forecast Summary_FY12 Budget Final OC-China" xfId="7739" xr:uid="{F2907255-C4CE-4B95-83AF-07206A8A6264}"/>
    <cellStyle name="_xf05年工厂损益预算表格3-1215_NMI FY05 Budget _CHAO #2 Forecast Summary_Sample Format" xfId="7740" xr:uid="{7E014E82-BFFC-4060-A48C-0272DC64F149}"/>
    <cellStyle name="_xf05年工厂损益预算表格3-1215_NMI FY05 Budget _CHAO #2 Forecast Summary_Sample Format_Ａ&amp;O Consolidation Format_FCST3+9_v3" xfId="7741" xr:uid="{DC386979-D444-4114-B4D8-FE81EA4C8CD9}"/>
    <cellStyle name="_xf05年工厂损益预算表格3-1215_NMI FY05 Budget _CHAO #2 Forecast Summary_Sample Format_A&amp;O Format" xfId="7742" xr:uid="{694D5D29-D1DA-4036-AA0B-93B653B9E660}"/>
    <cellStyle name="_xf05年工厂损益预算表格3-1215_NMI FY05 Budget _CHAO #2 Forecast Summary_Sample Format_A&amp;O Format_FCST3+9" xfId="7743" xr:uid="{54E289E6-215E-45DD-B9AD-94EC1C5655D3}"/>
    <cellStyle name="_xf05年工厂损益预算表格3-1215_NMI FY05 Budget _CHAO #2 Forecast Summary_Sample Format_A&amp;O Format_FCST3+9_v1" xfId="7744" xr:uid="{D892A0AF-4C68-46FF-BBF9-5D193C5ACD16}"/>
    <cellStyle name="_xf05年工厂损益预算表格3-1215_NMI FY05 Budget _Correct FC#2 AO OP" xfId="7745" xr:uid="{8CD23553-77D5-4A69-8608-C6E625E18DCB}"/>
    <cellStyle name="_xf05年工厂损益预算表格3-1215_NMI FY05 Budget _Correct FC#2 AO OP_FY12 Budget Final OC-China" xfId="7746" xr:uid="{1CB441A9-A320-4DED-9362-CC3206A9FE36}"/>
    <cellStyle name="_xf05年工厂损益预算表格3-1215_NMI FY05 Budget _Correct FC#2 AO OP_Sample Format" xfId="7747" xr:uid="{E2FEADDA-4DE5-4791-9BCD-029D4A07DD50}"/>
    <cellStyle name="_xf05年工厂损益预算表格3-1215_NMI FY05 Budget _Correct FC#2 AO OP_Sample Format_Ａ&amp;O Consolidation Format_FCST3+9_v3" xfId="7748" xr:uid="{F3B67422-C3C4-41F3-8A73-E096EC212E38}"/>
    <cellStyle name="_xf05年工厂损益预算表格3-1215_NMI FY05 Budget _Correct FC#2 AO OP_Sample Format_A&amp;O Format" xfId="7749" xr:uid="{62F5C380-8FF3-401B-AA81-A2DEC94A4BD0}"/>
    <cellStyle name="_xf05年工厂损益预算表格3-1215_NMI FY05 Budget _Correct FC#2 AO OP_Sample Format_A&amp;O Format_FCST3+9" xfId="7750" xr:uid="{F84B3C72-743F-40EB-BB7B-1E37A9A22866}"/>
    <cellStyle name="_xf05年工厂损益预算表格3-1215_NMI FY05 Budget _Correct FC#2 AO OP_Sample Format_A&amp;O Format_FCST3+9_v1" xfId="7751" xr:uid="{05080679-22C8-42F4-81F0-F165D1515493}"/>
    <cellStyle name="_xf05年工厂损益预算表格3-1215_NMI FY05 Budget _FCF_FY12 BUD Simulation Excel PKG for Auto_v2" xfId="7752" xr:uid="{E195B8E4-8B55-432E-9607-87C609932C7D}"/>
    <cellStyle name="_xf05年工厂损益预算表格3-1215_NMI FY05 Budget _FCF送付_FY11 Fcst#2 Excel PKG for Auto (2)" xfId="7753" xr:uid="{015CD5EA-4B0E-4907-A7AF-D4F2AFF0C858}"/>
    <cellStyle name="_xf05年工厂损益预算表格3-1215_NMI FY05 Budget _FY08 PIC guideline(07.10.02KPI)" xfId="7754" xr:uid="{A2E1FB71-5A4F-4663-99FA-068E3D6AB825}"/>
    <cellStyle name="_xf05年工厂损益预算表格3-1215_NMI FY05 Budget _FY08 PIC guideline(07.10.02KPI)_#1 Forecast Summary" xfId="7755" xr:uid="{624FC55D-AC6A-422E-9DE0-43E2E9DB261A}"/>
    <cellStyle name="_xf05年工厂损益预算表格3-1215_NMI FY05 Budget _FY08 PIC guideline(07.10.02KPI)_#1 Forecast Summary_FY12 Budget Final OC-China" xfId="7756" xr:uid="{18100E23-15D5-4C32-B8E3-A60CB732CE93}"/>
    <cellStyle name="_xf05年工厂损益预算表格3-1215_NMI FY05 Budget _FY08 PIC guideline(07.10.02KPI)_#1 Forecast Summary_Sample Format" xfId="7757" xr:uid="{3F2EE870-F8AF-45FC-8719-16B2B3ADF9F1}"/>
    <cellStyle name="_xf05年工厂损益预算表格3-1215_NMI FY05 Budget _FY08 PIC guideline(07.10.02KPI)_#1 Forecast Summary_Sample Format_Ａ&amp;O Consolidation Format_FCST3+9_v3" xfId="7758" xr:uid="{6E75BE66-F071-4811-BF3F-28E1460C315B}"/>
    <cellStyle name="_xf05年工厂损益预算表格3-1215_NMI FY05 Budget _FY08 PIC guideline(07.10.02KPI)_#1 Forecast Summary_Sample Format_A&amp;O Format" xfId="7759" xr:uid="{8923E972-A1D5-488A-89BC-4FDE7FDB3433}"/>
    <cellStyle name="_xf05年工厂损益预算表格3-1215_NMI FY05 Budget _FY08 PIC guideline(07.10.02KPI)_#1 Forecast Summary_Sample Format_A&amp;O Format_FCST3+9" xfId="7760" xr:uid="{557475CD-9D9D-47AD-B713-E0769E969FD3}"/>
    <cellStyle name="_xf05年工厂损益预算表格3-1215_NMI FY05 Budget _FY08 PIC guideline(07.10.02KPI)_#1 Forecast Summary_Sample Format_A&amp;O Format_FCST3+9_v1" xfId="7761" xr:uid="{D62E2FCC-6E93-4216-87E2-6243BFD4A237}"/>
    <cellStyle name="_xf05年工厂损益预算表格3-1215_NMI FY05 Budget _FY08 PIC guideline(07.10.02KPI)_(CHAO) FY10 Forecast#1 Regional Comment" xfId="7762" xr:uid="{6D908BCE-9451-49AD-8E6A-57DB0B5AF176}"/>
    <cellStyle name="_xf05年工厂损益预算表格3-1215_NMI FY05 Budget _FY08 PIC guideline(07.10.02KPI)_(CHAO) FY10 Forecast#1 Regional Comment_FY12 Budget Final OC-China" xfId="7763" xr:uid="{EA031305-1046-4CF9-80F3-057E792A57C3}"/>
    <cellStyle name="_xf05年工厂损益预算表格3-1215_NMI FY05 Budget _FY08 PIC guideline(07.10.02KPI)_(CHAO) FY10 Forecast#1 Regional Comment_Sample Format" xfId="7764" xr:uid="{4AF1D045-F95C-49AE-A573-A8031D747B46}"/>
    <cellStyle name="_xf05年工厂损益预算表格3-1215_NMI FY05 Budget _FY08 PIC guideline(07.10.02KPI)_(CHAO) FY10 Forecast#1 Regional Comment_Sample Format_Ａ&amp;O Consolidation Format_FCST3+9_v3" xfId="7765" xr:uid="{E40C9458-D508-485B-A464-1E0A8A0188B5}"/>
    <cellStyle name="_xf05年工厂损益预算表格3-1215_NMI FY05 Budget _FY08 PIC guideline(07.10.02KPI)_(CHAO) FY10 Forecast#1 Regional Comment_Sample Format_A&amp;O Format" xfId="7766" xr:uid="{69979E06-CFAF-4C5A-ACB6-6DA093D5C5D3}"/>
    <cellStyle name="_xf05年工厂损益预算表格3-1215_NMI FY05 Budget _FY08 PIC guideline(07.10.02KPI)_(CHAO) FY10 Forecast#1 Regional Comment_Sample Format_A&amp;O Format_FCST3+9" xfId="7767" xr:uid="{26CE54C9-7174-4A54-8054-A5B31684834E}"/>
    <cellStyle name="_xf05年工厂损益预算表格3-1215_NMI FY05 Budget _FY08 PIC guideline(07.10.02KPI)_(CHAO) FY10 Forecast#1 Regional Comment_Sample Format_A&amp;O Format_FCST3+9_v1" xfId="7768" xr:uid="{457830BC-BBD0-4DE1-8350-FCC0B3732E8E}"/>
    <cellStyle name="_xf05年工厂损益预算表格3-1215_NMI FY05 Budget _FY08 PIC guideline(07.10.02KPI)_【Master】 FY12 Simulation Excel PKG for Auto" xfId="7769" xr:uid="{6C6E4E7D-BA63-4603-A930-042A856D0EAF}"/>
    <cellStyle name="_xf05年工厂损益预算表格3-1215_NMI FY05 Budget _FY08 PIC guideline(07.10.02KPI)_【Master】 FY12 Simulation Excel PKG for Auto (2)" xfId="7770" xr:uid="{0748AC47-D63E-4A7D-82BA-C9214FC88CB0}"/>
    <cellStyle name="_xf05年工厂损益预算表格3-1215_NMI FY05 Budget _FY08 PIC guideline(07.10.02KPI)_【Master】 FY12 Simulation Excel PKG for Auto_sugii" xfId="7771" xr:uid="{A8F51336-0A6E-465C-8742-3A98D90FC8E4}"/>
    <cellStyle name="_xf05年工厂损益预算表格3-1215_NMI FY05 Budget _FY08 PIC guideline(07.10.02KPI)_【Master】 FY12 Simulation Excel PKG for Auto_sugii (2)" xfId="7772" xr:uid="{004EA018-A137-40E3-B1E2-A0519B6E3130}"/>
    <cellStyle name="_xf05年工厂损益预算表格3-1215_NMI FY05 Budget _FY08 PIC guideline(07.10.02KPI)_【Shibayama】 FY12 Simulation Excel PKG for Auto" xfId="7773" xr:uid="{22386540-5735-48BF-B7C0-B4D023EE2FE4}"/>
    <cellStyle name="_xf05年工厂损益预算表格3-1215_NMI FY05 Budget _FY08 PIC guideline(07.10.02KPI)_Ａ&amp;O Consolidation Format_FCST3+9_v3" xfId="7774" xr:uid="{E6E31586-023A-49A5-B0A3-526A9BB91B12}"/>
    <cellStyle name="_xf05年工厂损益预算表格3-1215_NMI FY05 Budget _FY08 PIC guideline(07.10.02KPI)_A&amp;O Format" xfId="7775" xr:uid="{932134FB-80EE-4D4D-A149-6F05291CF066}"/>
    <cellStyle name="_xf05年工厂损益预算表格3-1215_NMI FY05 Budget _FY08 PIC guideline(07.10.02KPI)_A&amp;O Format_FCST3+9" xfId="7776" xr:uid="{9FBEA5CB-6B0F-4929-A2AD-557A20B16245}"/>
    <cellStyle name="_xf05年工厂损益预算表格3-1215_NMI FY05 Budget _FY08 PIC guideline(07.10.02KPI)_A&amp;O Format_FCST3+9_v1" xfId="7777" xr:uid="{FE7E4261-0C28-45CB-9FB7-88FFC9CDEF42}"/>
    <cellStyle name="_xf05年工厂损益预算表格3-1215_NMI FY05 Budget _FY08 PIC guideline(07.10.02KPI)_CHAO #2 Forecast Summary" xfId="7778" xr:uid="{C6C9D753-E664-49C4-A1B7-F939AFF9C479}"/>
    <cellStyle name="_xf05年工厂损益预算表格3-1215_NMI FY05 Budget _FY08 PIC guideline(07.10.02KPI)_CHAO #2 Forecast Summary_FY12 Budget Final OC-China" xfId="7779" xr:uid="{E21243A0-1B6B-44C1-9CF6-1C2F88D3E23F}"/>
    <cellStyle name="_xf05年工厂损益预算表格3-1215_NMI FY05 Budget _FY08 PIC guideline(07.10.02KPI)_CHAO #2 Forecast Summary_Sample Format" xfId="7780" xr:uid="{FC173F53-B7C8-4F48-854E-D12A63FF96A1}"/>
    <cellStyle name="_xf05年工厂损益预算表格3-1215_NMI FY05 Budget _FY08 PIC guideline(07.10.02KPI)_CHAO #2 Forecast Summary_Sample Format_Ａ&amp;O Consolidation Format_FCST3+9_v3" xfId="7781" xr:uid="{88CA366A-165C-44F9-8D23-066B17A81A37}"/>
    <cellStyle name="_xf05年工厂损益预算表格3-1215_NMI FY05 Budget _FY08 PIC guideline(07.10.02KPI)_CHAO #2 Forecast Summary_Sample Format_A&amp;O Format" xfId="7782" xr:uid="{046D3493-FE34-49D1-94AE-0944F0FA6EEA}"/>
    <cellStyle name="_xf05年工厂损益预算表格3-1215_NMI FY05 Budget _FY08 PIC guideline(07.10.02KPI)_CHAO #2 Forecast Summary_Sample Format_A&amp;O Format_FCST3+9" xfId="7783" xr:uid="{2F622E23-627E-4AAF-8D2A-5D5AD75B5216}"/>
    <cellStyle name="_xf05年工厂损益预算表格3-1215_NMI FY05 Budget _FY08 PIC guideline(07.10.02KPI)_CHAO #2 Forecast Summary_Sample Format_A&amp;O Format_FCST3+9_v1" xfId="7784" xr:uid="{5D8BD5EB-893E-4FBB-A4BC-B5D136A68B12}"/>
    <cellStyle name="_xf05年工厂损益预算表格3-1215_NMI FY05 Budget _FY08 PIC guideline(07.10.02KPI)_Correct FC#2 AO OP" xfId="7785" xr:uid="{15AAB269-62C7-490D-8526-6662A4ECA3DA}"/>
    <cellStyle name="_xf05年工厂损益预算表格3-1215_NMI FY05 Budget _FY08 PIC guideline(07.10.02KPI)_Correct FC#2 AO OP_FY12 Budget Final OC-China" xfId="7786" xr:uid="{D753EF90-C02C-47E6-AA08-A9896674B63E}"/>
    <cellStyle name="_xf05年工厂损益预算表格3-1215_NMI FY05 Budget _FY08 PIC guideline(07.10.02KPI)_Correct FC#2 AO OP_Sample Format" xfId="7787" xr:uid="{B7C3CDBA-2D56-4812-816D-6884D82C6D97}"/>
    <cellStyle name="_xf05年工厂损益预算表格3-1215_NMI FY05 Budget _FY08 PIC guideline(07.10.02KPI)_Correct FC#2 AO OP_Sample Format_Ａ&amp;O Consolidation Format_FCST3+9_v3" xfId="7788" xr:uid="{F859F6B8-35C1-4EBB-87EA-D213F76C66F8}"/>
    <cellStyle name="_xf05年工厂损益预算表格3-1215_NMI FY05 Budget _FY08 PIC guideline(07.10.02KPI)_Correct FC#2 AO OP_Sample Format_A&amp;O Format" xfId="7789" xr:uid="{9CC00769-9BAA-47B2-97E5-21C1FB4A2B64}"/>
    <cellStyle name="_xf05年工厂损益预算表格3-1215_NMI FY05 Budget _FY08 PIC guideline(07.10.02KPI)_Correct FC#2 AO OP_Sample Format_A&amp;O Format_FCST3+9" xfId="7790" xr:uid="{6169A451-1FC6-4D82-B9A7-AEDCE673D4FE}"/>
    <cellStyle name="_xf05年工厂损益预算表格3-1215_NMI FY05 Budget _FY08 PIC guideline(07.10.02KPI)_Correct FC#2 AO OP_Sample Format_A&amp;O Format_FCST3+9_v1" xfId="7791" xr:uid="{25DF3ED8-1F1D-468A-82EF-2E21D2F27A00}"/>
    <cellStyle name="_xf05年工厂损益预算表格3-1215_NMI FY05 Budget _FY08 PIC guideline(07.10.02KPI)_FY10 FC#2_OP_Variance" xfId="7792" xr:uid="{B51C6795-0C3B-4C1F-9D0C-EE571DD469B7}"/>
    <cellStyle name="_xf05年工厂损益预算表格3-1215_NMI FY05 Budget _FY08 PIC guideline(07.10.02KPI)_FY10 FC#2_OP_Variance_FY12 Budget Final OC-China" xfId="7793" xr:uid="{D52D68A9-3D90-4478-A8A7-7A71F2AA3152}"/>
    <cellStyle name="_xf05年工厂损益预算表格3-1215_NMI FY05 Budget _FY08 PIC guideline(07.10.02KPI)_FY10 FC#2_OP_Variance_Sample Format" xfId="7794" xr:uid="{037F3B2B-2CE0-4A79-9EE4-E538B500C4A2}"/>
    <cellStyle name="_xf05年工厂损益预算表格3-1215_NMI FY05 Budget _FY08 PIC guideline(07.10.02KPI)_FY10 FC#2_OP_Variance_Sample Format_Ａ&amp;O Consolidation Format_FCST3+9_v3" xfId="7795" xr:uid="{ABC052FF-BB5D-4203-8F70-8625C08791EE}"/>
    <cellStyle name="_xf05年工厂损益预算表格3-1215_NMI FY05 Budget _FY08 PIC guideline(07.10.02KPI)_FY10 FC#2_OP_Variance_Sample Format_A&amp;O Format" xfId="7796" xr:uid="{00E6C973-1848-4AC6-A655-16D943C2A4D9}"/>
    <cellStyle name="_xf05年工厂损益预算表格3-1215_NMI FY05 Budget _FY08 PIC guideline(07.10.02KPI)_FY10 FC#2_OP_Variance_Sample Format_A&amp;O Format_FCST3+9" xfId="7797" xr:uid="{0348E98F-5FA0-4B88-B488-EA2F4470F866}"/>
    <cellStyle name="_xf05年工厂损益预算表格3-1215_NMI FY05 Budget _FY08 PIC guideline(07.10.02KPI)_FY10 FC#2_OP_Variance_Sample Format_A&amp;O Format_FCST3+9_v1" xfId="7798" xr:uid="{D2DE931B-3DE0-4198-BCEB-4810B82B4D6B}"/>
    <cellStyle name="_xf05年工厂损益预算表格3-1215_NMI FY05 Budget _FY08 PIC guideline(07.10.02KPI)_FY12 BP_Simulation information PKG_R" xfId="7799" xr:uid="{F2BED768-BF74-4984-91BC-328D3B04921A}"/>
    <cellStyle name="_xf05年工厂损益预算表格3-1215_NMI FY05 Budget _FY08 PIC guideline(07.10.02KPI)_FY12 BP_Simulation information PKG_R（SGA）" xfId="7800" xr:uid="{038CB84A-1C95-4D10-91E3-BD8CA8B933A9}"/>
    <cellStyle name="_xf05年工厂损益预算表格3-1215_NMI FY05 Budget _FY08 PIC guideline(07.10.02KPI)_v1 FY11 Budget Sim summary" xfId="7801" xr:uid="{388E963F-3D92-439F-9C21-3A2F584099E9}"/>
    <cellStyle name="_xf05年工厂损益预算表格3-1215_NMI FY05 Budget _FY08 PIC guideline(07.10.02KPI)_v1 FY11 Budget Sim summary_FY12 Budget Final OC-China" xfId="7802" xr:uid="{E3741234-AA12-46FB-AEE8-7D1D2CB04797}"/>
    <cellStyle name="_xf05年工厂损益预算表格3-1215_NMI FY05 Budget _FY08 PIC guideline(07.10.02KPI)_v1 FY11 Budget Sim summary_Sample Format" xfId="7803" xr:uid="{45A2296D-38E8-4AA9-B4F4-591B129603D3}"/>
    <cellStyle name="_xf05年工厂损益预算表格3-1215_NMI FY05 Budget _FY08 PIC guideline(07.10.02KPI)_v1 FY11 Budget Sim summary_Sample Format_Ａ&amp;O Consolidation Format_FCST3+9_v3" xfId="7804" xr:uid="{8D58FF09-DC57-45ED-B2EB-4C5A0EEBA984}"/>
    <cellStyle name="_xf05年工厂损益预算表格3-1215_NMI FY05 Budget _FY08 PIC guideline(07.10.02KPI)_v1 FY11 Budget Sim summary_Sample Format_A&amp;O Format" xfId="7805" xr:uid="{08FBEE02-1756-4224-8A89-BF7190F50ADC}"/>
    <cellStyle name="_xf05年工厂损益预算表格3-1215_NMI FY05 Budget _FY08 PIC guideline(07.10.02KPI)_v1 FY11 Budget Sim summary_Sample Format_A&amp;O Format_FCST3+9" xfId="7806" xr:uid="{FB16A8BE-0ECF-46B5-B39B-89C3D3652D43}"/>
    <cellStyle name="_xf05年工厂损益预算表格3-1215_NMI FY05 Budget _FY08 PIC guideline(07.10.02KPI)_v1 FY11 Budget Sim summary_Sample Format_A&amp;O Format_FCST3+9_v1" xfId="7807" xr:uid="{C6A9EA32-E45A-4158-AE3E-206DD4EFF406}"/>
    <cellStyle name="_xf05年工厂损益预算表格3-1215_NMI FY05 Budget _FY08 PIC guideline(07.10.02KPI)_v2 CHAO #2 Forecast Summary" xfId="7808" xr:uid="{0474209D-EC5E-4213-A65E-F46E8D6B6925}"/>
    <cellStyle name="_xf05年工厂损益预算表格3-1215_NMI FY05 Budget _FY08 PIC guideline(07.10.02KPI)_v2 CHAO #2 Forecast Summary_FY12 Budget Final OC-China" xfId="7809" xr:uid="{43496223-3C68-4108-ABFE-25959B716175}"/>
    <cellStyle name="_xf05年工厂损益预算表格3-1215_NMI FY05 Budget _FY08 PIC guideline(07.10.02KPI)_v2 CHAO #2 Forecast Summary_Sample Format" xfId="7810" xr:uid="{A0AB4F40-4D94-4B4F-9A54-B347AC9237F4}"/>
    <cellStyle name="_xf05年工厂损益预算表格3-1215_NMI FY05 Budget _FY08 PIC guideline(07.10.02KPI)_v2 CHAO #2 Forecast Summary_Sample Format_Ａ&amp;O Consolidation Format_FCST3+9_v3" xfId="7811" xr:uid="{9C4B21C3-087B-4E57-AFE1-DA55D48B9927}"/>
    <cellStyle name="_xf05年工厂损益预算表格3-1215_NMI FY05 Budget _FY08 PIC guideline(07.10.02KPI)_v2 CHAO #2 Forecast Summary_Sample Format_A&amp;O Format" xfId="7812" xr:uid="{FBFF78B9-A1EB-4461-8FA6-E4EA7DF0A201}"/>
    <cellStyle name="_xf05年工厂损益预算表格3-1215_NMI FY05 Budget _FY08 PIC guideline(07.10.02KPI)_v2 CHAO #2 Forecast Summary_Sample Format_A&amp;O Format_FCST3+9" xfId="7813" xr:uid="{621EC5F6-16A4-4780-B57A-E11659443B6F}"/>
    <cellStyle name="_xf05年工厂损益预算表格3-1215_NMI FY05 Budget _FY08 PIC guideline(07.10.02KPI)_v2 CHAO #2 Forecast Summary_Sample Format_A&amp;O Format_FCST3+9_v1" xfId="7814" xr:uid="{ADADFE13-13D8-479C-9FD7-72A1727BA03E}"/>
    <cellStyle name="_xf05年工厂损益预算表格3-1215_NMI FY05 Budget _FY08 PIC guideline(07.10.02KPI)_v2 FY10 FC#2_OP_Variance" xfId="7815" xr:uid="{0EFF6EE0-0747-418A-9A20-03F5682EBA77}"/>
    <cellStyle name="_xf05年工厂损益预算表格3-1215_NMI FY05 Budget _FY08 PIC guideline(07.10.02KPI)_v2 FY10 FC#2_OP_Variance_FY12 Budget Final OC-China" xfId="7816" xr:uid="{99C1632F-AF72-4A6B-A550-BE85D50DDC3C}"/>
    <cellStyle name="_xf05年工厂损益预算表格3-1215_NMI FY05 Budget _FY08 PIC guideline(07.10.02KPI)_v2 FY10 FC#2_OP_Variance_Sample Format" xfId="7817" xr:uid="{D9C60C59-21B6-4353-BF2B-0E07FB2131E4}"/>
    <cellStyle name="_xf05年工厂损益预算表格3-1215_NMI FY05 Budget _FY08 PIC guideline(07.10.02KPI)_v2 FY10 FC#2_OP_Variance_Sample Format_Ａ&amp;O Consolidation Format_FCST3+9_v3" xfId="7818" xr:uid="{0D24AD75-7A41-44DD-94DA-03FFFC7F0423}"/>
    <cellStyle name="_xf05年工厂损益预算表格3-1215_NMI FY05 Budget _FY08 PIC guideline(07.10.02KPI)_v2 FY10 FC#2_OP_Variance_Sample Format_A&amp;O Format" xfId="7819" xr:uid="{A24335C3-AD3F-4785-B912-A9430522D2F6}"/>
    <cellStyle name="_xf05年工厂损益预算表格3-1215_NMI FY05 Budget _FY08 PIC guideline(07.10.02KPI)_v2 FY10 FC#2_OP_Variance_Sample Format_A&amp;O Format_FCST3+9" xfId="7820" xr:uid="{E0A641DF-D784-4DB1-B464-9CEF712769E8}"/>
    <cellStyle name="_xf05年工厂损益预算表格3-1215_NMI FY05 Budget _FY08 PIC guideline(07.10.02KPI)_v2 FY10 FC#2_OP_Variance_Sample Format_A&amp;O Format_FCST3+9_v1" xfId="7821" xr:uid="{45ECA8A1-1C29-433B-98A9-44B3099E877F}"/>
    <cellStyle name="_xf05年工厂损益预算表格3-1215_NMI FY05 Budget _FY08 PIC guideline(07.10.02KPI)_v5 FY11 Budget Sim summary" xfId="7822" xr:uid="{894C5909-4CD8-413B-8E6B-3BB78EB3BB92}"/>
    <cellStyle name="_xf05年工厂损益预算表格3-1215_NMI FY05 Budget _FY08 PIC guideline(07.10.02KPI)_v5 FY11 Budget Sim summary_FY12 Budget Final OC-China" xfId="7823" xr:uid="{B0D9CEB3-9E8E-44F1-9298-EDCE7F8F3526}"/>
    <cellStyle name="_xf05年工厂损益预算表格3-1215_NMI FY05 Budget _FY08 PIC guideline(07.10.02KPI)_v5 FY11 Budget Sim summary_Sample Format" xfId="7824" xr:uid="{8C196F34-8568-4221-857F-DE86FB405D3A}"/>
    <cellStyle name="_xf05年工厂损益预算表格3-1215_NMI FY05 Budget _FY08 PIC guideline(07.10.02KPI)_v5 FY11 Budget Sim summary_Sample Format_Ａ&amp;O Consolidation Format_FCST3+9_v3" xfId="7825" xr:uid="{8401E901-B7A7-4905-BCD7-9D9DF599ADD8}"/>
    <cellStyle name="_xf05年工厂损益预算表格3-1215_NMI FY05 Budget _FY08 PIC guideline(07.10.02KPI)_v5 FY11 Budget Sim summary_Sample Format_A&amp;O Format" xfId="7826" xr:uid="{490C2291-7872-4AD5-ADAF-BFB77CD7AD43}"/>
    <cellStyle name="_xf05年工厂损益预算表格3-1215_NMI FY05 Budget _FY08 PIC guideline(07.10.02KPI)_v5 FY11 Budget Sim summary_Sample Format_A&amp;O Format_FCST3+9" xfId="7827" xr:uid="{387DFD28-3357-4C62-AE20-F136F14B6213}"/>
    <cellStyle name="_xf05年工厂损益预算表格3-1215_NMI FY05 Budget _FY08 PIC guideline(07.10.02KPI)_v5 FY11 Budget Sim summary_Sample Format_A&amp;O Format_FCST3+9_v1" xfId="7828" xr:uid="{89E191FA-2643-49A3-A586-D127BA09D14C}"/>
    <cellStyle name="_xf05年工厂损益预算表格3-1215_NMI FY05 Budget _FY08 PIC guideline(07.10.02KPI)_コピー【Master】 FY12 Simula tion Excel PKG for Auto" xfId="7829" xr:uid="{A6B569C5-BC53-4A29-A9CC-0D2BC89ABD8E}"/>
    <cellStyle name="_xf05年工厂损益预算表格3-1215_NMI FY05 Budget _FY08 PIC guideline(07.10.02KPI)_これマスター　FCF_FY12 Simulation Excel PKG for Auto" xfId="7830" xr:uid="{CDB4DC5B-9622-4C82-A150-39EA62CCCC71}"/>
    <cellStyle name="_xf05年工厂损益预算表格3-1215_NMI FY05 Budget _FY10 FC#2_OP_Variance" xfId="7831" xr:uid="{144BBCA9-6F2D-41AA-B65F-44100036152D}"/>
    <cellStyle name="_xf05年工厂损益预算表格3-1215_NMI FY05 Budget _FY10 FC#2_OP_Variance_FY12 Budget Final OC-China" xfId="7832" xr:uid="{1E772913-9A46-496E-B1F0-AB44B1D7C777}"/>
    <cellStyle name="_xf05年工厂损益预算表格3-1215_NMI FY05 Budget _FY10 FC#2_OP_Variance_Sample Format" xfId="7833" xr:uid="{3A37E56F-E409-4D12-B295-616B560113F5}"/>
    <cellStyle name="_xf05年工厂损益预算表格3-1215_NMI FY05 Budget _FY10 FC#2_OP_Variance_Sample Format_Ａ&amp;O Consolidation Format_FCST3+9_v3" xfId="7834" xr:uid="{9A787E4F-AB7F-4AFF-8968-616E8AA74A3B}"/>
    <cellStyle name="_xf05年工厂损益预算表格3-1215_NMI FY05 Budget _FY10 FC#2_OP_Variance_Sample Format_A&amp;O Format" xfId="7835" xr:uid="{F6CFD121-0A5C-4AC9-8E9B-02C7E4607EA8}"/>
    <cellStyle name="_xf05年工厂损益预算表格3-1215_NMI FY05 Budget _FY10 FC#2_OP_Variance_Sample Format_A&amp;O Format_FCST3+9" xfId="7836" xr:uid="{C8A7873D-6B5A-4AE7-99D4-1CCBE14C1E1B}"/>
    <cellStyle name="_xf05年工厂损益预算表格3-1215_NMI FY05 Budget _FY10 FC#2_OP_Variance_Sample Format_A&amp;O Format_FCST3+9_v1" xfId="7837" xr:uid="{E068C056-5C2D-4504-AA39-8DDB4B44344E}"/>
    <cellStyle name="_xf05年工厂损益预算表格3-1215_NMI FY05 Budget _FY11 Fcst#2 Excel PKG for Auto" xfId="7838" xr:uid="{245853AF-091E-4E22-9B0D-1D7F0583649D}"/>
    <cellStyle name="_xf05年工厂损益预算表格3-1215_NMI FY05 Budget _FY11 Fcst#2 Excel PKG for Auto(Funding Sheet)xls" xfId="7839" xr:uid="{1F0A5098-349A-4122-9591-F74585D32B30}"/>
    <cellStyle name="_xf05年工厂损益预算表格3-1215_NMI FY05 Budget _FY11 Fcst#2 Excel PKG for Finance" xfId="7840" xr:uid="{DF625DDA-4DC5-4746-BDA7-0CEEE965A5D5}"/>
    <cellStyle name="_xf05年工厂损益预算表格3-1215_NMI FY05 Budget _FY11 Reply#1_FY11 3X9" xfId="7841" xr:uid="{B90C3E03-B8CE-4B4F-BF13-49F8CDDAB01C}"/>
    <cellStyle name="_xf05年工厂损益预算表格3-1215_NMI FY05 Budget _FY11 Reply#1_FY11 3X9_1" xfId="7842" xr:uid="{450BB474-03AB-43C5-BC98-5E2065626157}"/>
    <cellStyle name="_xf05年工厂损益预算表格3-1215_NMI FY05 Budget _FY12 BP_Simulation information PKG_R" xfId="7843" xr:uid="{846CC29C-4405-4BD1-86B3-9B8A972A77EF}"/>
    <cellStyle name="_xf05年工厂损益预算表格3-1215_NMI FY05 Budget _FY12 BP_Simulation information PKG_R（SGA）" xfId="7844" xr:uid="{EF79760F-CEE1-463C-92F0-95260BF239E7}"/>
    <cellStyle name="_xf05年工厂损益预算表格3-1215_NMI FY05 Budget _IS Revised (for Auto) FY12 Fcst#1 Excel PKG for Auto" xfId="7845" xr:uid="{7E6F26EF-48DF-4673-B691-1EE2C1D29BC9}"/>
    <cellStyle name="_xf05年工厂损益预算表格3-1215_NMI FY05 Budget _MC-ASIA Monthly MCPP" xfId="7846" xr:uid="{AD49C8DB-5CCF-4EBC-B7F6-DE0CA4F2DBC1}"/>
    <cellStyle name="_xf05年工厂损益预算表格3-1215_NMI FY05 Budget _MCPP report format(Chao)_May" xfId="7847" xr:uid="{7A3F03D0-EDC9-4456-A9BF-EEF77E692176}"/>
    <cellStyle name="_xf05年工厂损益预算表格3-1215_NMI FY05 Budget _MFG_Reply_Summary(07-11-02版)" xfId="7848" xr:uid="{5F9E5736-ADBA-4B08-8BC9-A99275A3C721}"/>
    <cellStyle name="_xf05年工厂损益预算表格3-1215_NMI FY05 Budget _MFG_Reply_Summary(07-11-02版)_#1 Forecast Summary" xfId="7849" xr:uid="{02EE9B73-8DEE-4D3A-84EC-F7791EF9DA4C}"/>
    <cellStyle name="_xf05年工厂损益预算表格3-1215_NMI FY05 Budget _MFG_Reply_Summary(07-11-02版)_#1 Forecast Summary_FY12 Budget Final OC-China" xfId="7850" xr:uid="{DE2D45F0-B34A-4DC9-AA0D-88D75720D94F}"/>
    <cellStyle name="_xf05年工厂损益预算表格3-1215_NMI FY05 Budget _MFG_Reply_Summary(07-11-02版)_#1 Forecast Summary_Sample Format" xfId="7851" xr:uid="{89ECFC15-ECB4-4DE9-9B6C-048CE5CC4AF3}"/>
    <cellStyle name="_xf05年工厂损益预算表格3-1215_NMI FY05 Budget _MFG_Reply_Summary(07-11-02版)_#1 Forecast Summary_Sample Format_Ａ&amp;O Consolidation Format_FCST3+9_v3" xfId="7852" xr:uid="{1287EF2D-A599-468A-9D5E-400E1E831195}"/>
    <cellStyle name="_xf05年工厂损益预算表格3-1215_NMI FY05 Budget _MFG_Reply_Summary(07-11-02版)_#1 Forecast Summary_Sample Format_A&amp;O Format" xfId="7853" xr:uid="{885BFA0E-3238-48CE-BCA0-3F06AFAB6D1B}"/>
    <cellStyle name="_xf05年工厂损益预算表格3-1215_NMI FY05 Budget _MFG_Reply_Summary(07-11-02版)_#1 Forecast Summary_Sample Format_A&amp;O Format_FCST3+9" xfId="7854" xr:uid="{862AAD55-CC8D-4237-AB28-A00F51679916}"/>
    <cellStyle name="_xf05年工厂损益预算表格3-1215_NMI FY05 Budget _MFG_Reply_Summary(07-11-02版)_#1 Forecast Summary_Sample Format_A&amp;O Format_FCST3+9_v1" xfId="7855" xr:uid="{E2287DD6-994D-414E-B4ED-5C39811458F6}"/>
    <cellStyle name="_xf05年工厂损益预算表格3-1215_NMI FY05 Budget _MFG_Reply_Summary(07-11-02版)_(CHAO) FY10 Forecast#1 Regional Comment" xfId="7856" xr:uid="{AC3C9920-D8B8-4645-AB0A-DD9E05070B71}"/>
    <cellStyle name="_xf05年工厂损益预算表格3-1215_NMI FY05 Budget _MFG_Reply_Summary(07-11-02版)_(CHAO) FY10 Forecast#1 Regional Comment_FY12 Budget Final OC-China" xfId="7857" xr:uid="{361B2B49-07D0-4B95-8DC4-3C544B890542}"/>
    <cellStyle name="_xf05年工厂损益预算表格3-1215_NMI FY05 Budget _MFG_Reply_Summary(07-11-02版)_(CHAO) FY10 Forecast#1 Regional Comment_Sample Format" xfId="7858" xr:uid="{894DC3E2-1F23-4E6E-8897-63CF8B06D421}"/>
    <cellStyle name="_xf05年工厂损益预算表格3-1215_NMI FY05 Budget _MFG_Reply_Summary(07-11-02版)_(CHAO) FY10 Forecast#1 Regional Comment_Sample Format_Ａ&amp;O Consolidation Format_FCST3+9_v3" xfId="7859" xr:uid="{9B9290A5-3539-49AC-85B1-E17F2A193C3A}"/>
    <cellStyle name="_xf05年工厂损益预算表格3-1215_NMI FY05 Budget _MFG_Reply_Summary(07-11-02版)_(CHAO) FY10 Forecast#1 Regional Comment_Sample Format_A&amp;O Format" xfId="7860" xr:uid="{E7B9EF74-4D2B-4B30-8FB8-0BECE943FDDC}"/>
    <cellStyle name="_xf05年工厂损益预算表格3-1215_NMI FY05 Budget _MFG_Reply_Summary(07-11-02版)_(CHAO) FY10 Forecast#1 Regional Comment_Sample Format_A&amp;O Format_FCST3+9" xfId="7861" xr:uid="{38308773-94F9-4157-BCBF-AEE6617FE052}"/>
    <cellStyle name="_xf05年工厂损益预算表格3-1215_NMI FY05 Budget _MFG_Reply_Summary(07-11-02版)_(CHAO) FY10 Forecast#1 Regional Comment_Sample Format_A&amp;O Format_FCST3+9_v1" xfId="7862" xr:uid="{CE1F6AED-7215-44B6-B810-3290694582E6}"/>
    <cellStyle name="_xf05年工厂损益预算表格3-1215_NMI FY05 Budget _MFG_Reply_Summary(07-11-02版)_【Master】 FY12 Simulation Excel PKG for Auto" xfId="7863" xr:uid="{8C6C202E-5814-4B95-80EC-DB03FB42A2B3}"/>
    <cellStyle name="_xf05年工厂损益预算表格3-1215_NMI FY05 Budget _MFG_Reply_Summary(07-11-02版)_【Master】 FY12 Simulation Excel PKG for Auto (2)" xfId="7864" xr:uid="{575BD22D-6DE5-4102-A580-961526D3A025}"/>
    <cellStyle name="_xf05年工厂损益预算表格3-1215_NMI FY05 Budget _MFG_Reply_Summary(07-11-02版)_【Master】 FY12 Simulation Excel PKG for Auto_sugii" xfId="7865" xr:uid="{DCEC2D76-0178-4AA1-AE49-DDD4B93C18A4}"/>
    <cellStyle name="_xf05年工厂损益预算表格3-1215_NMI FY05 Budget _MFG_Reply_Summary(07-11-02版)_【Master】 FY12 Simulation Excel PKG for Auto_sugii (2)" xfId="7866" xr:uid="{CB17C752-B894-41C2-8A5C-DFF7617E9ADA}"/>
    <cellStyle name="_xf05年工厂损益预算表格3-1215_NMI FY05 Budget _MFG_Reply_Summary(07-11-02版)_【Shibayama】 FY12 Simulation Excel PKG for Auto" xfId="7867" xr:uid="{9298087B-05BD-4D52-B188-FEC8F1568C00}"/>
    <cellStyle name="_xf05年工厂损益预算表格3-1215_NMI FY05 Budget _MFG_Reply_Summary(07-11-02版)_Ａ&amp;O Consolidation Format_FCST3+9_v3" xfId="7868" xr:uid="{D10DED8C-FBA1-483E-B64A-CA69CFC7926D}"/>
    <cellStyle name="_xf05年工厂损益预算表格3-1215_NMI FY05 Budget _MFG_Reply_Summary(07-11-02版)_A&amp;O Format" xfId="7869" xr:uid="{220A901D-A9F8-4230-AF46-4D3F3F8A6326}"/>
    <cellStyle name="_xf05年工厂损益预算表格3-1215_NMI FY05 Budget _MFG_Reply_Summary(07-11-02版)_A&amp;O Format_FCST3+9" xfId="7870" xr:uid="{68FE5986-B8A1-47DD-AEE3-4607325381BB}"/>
    <cellStyle name="_xf05年工厂损益预算表格3-1215_NMI FY05 Budget _MFG_Reply_Summary(07-11-02版)_A&amp;O Format_FCST3+9_v1" xfId="7871" xr:uid="{4B9C63BB-C499-469E-BD86-962F2CC5772F}"/>
    <cellStyle name="_xf05年工厂损益预算表格3-1215_NMI FY05 Budget _MFG_Reply_Summary(07-11-02版)_CHAO #2 Forecast Summary" xfId="7872" xr:uid="{869951E5-9900-4F28-9F00-7FF4E81F9E9D}"/>
    <cellStyle name="_xf05年工厂损益预算表格3-1215_NMI FY05 Budget _MFG_Reply_Summary(07-11-02版)_CHAO #2 Forecast Summary_FY12 Budget Final OC-China" xfId="7873" xr:uid="{FEE198EA-B423-4010-820F-673D80738851}"/>
    <cellStyle name="_xf05年工厂损益预算表格3-1215_NMI FY05 Budget _MFG_Reply_Summary(07-11-02版)_CHAO #2 Forecast Summary_Sample Format" xfId="7874" xr:uid="{D9846BED-E136-4B99-8ACA-14417E855888}"/>
    <cellStyle name="_xf05年工厂损益预算表格3-1215_NMI FY05 Budget _MFG_Reply_Summary(07-11-02版)_CHAO #2 Forecast Summary_Sample Format_Ａ&amp;O Consolidation Format_FCST3+9_v3" xfId="7875" xr:uid="{42572961-E105-41C3-A2AD-767AA14D5035}"/>
    <cellStyle name="_xf05年工厂损益预算表格3-1215_NMI FY05 Budget _MFG_Reply_Summary(07-11-02版)_CHAO #2 Forecast Summary_Sample Format_A&amp;O Format" xfId="7876" xr:uid="{981FC85E-12C3-4892-8161-DB1FE0656CC7}"/>
    <cellStyle name="_xf05年工厂损益预算表格3-1215_NMI FY05 Budget _MFG_Reply_Summary(07-11-02版)_CHAO #2 Forecast Summary_Sample Format_A&amp;O Format_FCST3+9" xfId="7877" xr:uid="{C541DDF1-7449-47D8-AF46-25175BA74FDF}"/>
    <cellStyle name="_xf05年工厂损益预算表格3-1215_NMI FY05 Budget _MFG_Reply_Summary(07-11-02版)_CHAO #2 Forecast Summary_Sample Format_A&amp;O Format_FCST3+9_v1" xfId="7878" xr:uid="{B92D9D98-4680-461F-8BBA-01B010F17105}"/>
    <cellStyle name="_xf05年工厂损益预算表格3-1215_NMI FY05 Budget _MFG_Reply_Summary(07-11-02版)_Correct FC#2 AO OP" xfId="7879" xr:uid="{5E94D3D9-B51F-4BE8-8560-D80B253267A1}"/>
    <cellStyle name="_xf05年工厂损益预算表格3-1215_NMI FY05 Budget _MFG_Reply_Summary(07-11-02版)_Correct FC#2 AO OP_FY12 Budget Final OC-China" xfId="7880" xr:uid="{647AE464-F78D-4569-8F06-BEB2555FF521}"/>
    <cellStyle name="_xf05年工厂损益预算表格3-1215_NMI FY05 Budget _MFG_Reply_Summary(07-11-02版)_Correct FC#2 AO OP_Sample Format" xfId="7881" xr:uid="{C6B8BD98-1C94-47F6-A1B6-8ABB90D5E5A5}"/>
    <cellStyle name="_xf05年工厂损益预算表格3-1215_NMI FY05 Budget _MFG_Reply_Summary(07-11-02版)_Correct FC#2 AO OP_Sample Format_Ａ&amp;O Consolidation Format_FCST3+9_v3" xfId="7882" xr:uid="{87650F11-664D-47D1-91CA-F218BCDC0B03}"/>
    <cellStyle name="_xf05年工厂损益预算表格3-1215_NMI FY05 Budget _MFG_Reply_Summary(07-11-02版)_Correct FC#2 AO OP_Sample Format_A&amp;O Format" xfId="7883" xr:uid="{2A60CA12-319E-496C-A0AE-AF893C39838F}"/>
    <cellStyle name="_xf05年工厂损益预算表格3-1215_NMI FY05 Budget _MFG_Reply_Summary(07-11-02版)_Correct FC#2 AO OP_Sample Format_A&amp;O Format_FCST3+9" xfId="7884" xr:uid="{7D847867-3951-4BBB-AA22-4163C95E6F3C}"/>
    <cellStyle name="_xf05年工厂损益预算表格3-1215_NMI FY05 Budget _MFG_Reply_Summary(07-11-02版)_Correct FC#2 AO OP_Sample Format_A&amp;O Format_FCST3+9_v1" xfId="7885" xr:uid="{FA978222-37B4-4E2A-BB5F-CBE2BD2DDEA5}"/>
    <cellStyle name="_xf05年工厂损益预算表格3-1215_NMI FY05 Budget _MFG_Reply_Summary(07-11-02版)_FY10 FC#2_OP_Variance" xfId="7886" xr:uid="{B90A5DB2-23FA-4C9A-9AF1-B693E059DEBC}"/>
    <cellStyle name="_xf05年工厂损益预算表格3-1215_NMI FY05 Budget _MFG_Reply_Summary(07-11-02版)_FY10 FC#2_OP_Variance_FY12 Budget Final OC-China" xfId="7887" xr:uid="{0694FBDA-C79B-40B3-A081-1EC92050CC44}"/>
    <cellStyle name="_xf05年工厂损益预算表格3-1215_NMI FY05 Budget _MFG_Reply_Summary(07-11-02版)_FY10 FC#2_OP_Variance_Sample Format" xfId="7888" xr:uid="{F7BA3B86-8D92-4D4E-A0A3-AC6730827F0B}"/>
    <cellStyle name="_xf05年工厂损益预算表格3-1215_NMI FY05 Budget _MFG_Reply_Summary(07-11-02版)_FY10 FC#2_OP_Variance_Sample Format_Ａ&amp;O Consolidation Format_FCST3+9_v3" xfId="7889" xr:uid="{06414872-503E-477F-AD8C-7DF4953387EB}"/>
    <cellStyle name="_xf05年工厂损益预算表格3-1215_NMI FY05 Budget _MFG_Reply_Summary(07-11-02版)_FY10 FC#2_OP_Variance_Sample Format_A&amp;O Format" xfId="7890" xr:uid="{7D367E0A-A524-47C9-A051-E0F46924E061}"/>
    <cellStyle name="_xf05年工厂损益预算表格3-1215_NMI FY05 Budget _MFG_Reply_Summary(07-11-02版)_FY10 FC#2_OP_Variance_Sample Format_A&amp;O Format_FCST3+9" xfId="7891" xr:uid="{4618BF70-C031-4A6D-A26F-BCC4A8204AE2}"/>
    <cellStyle name="_xf05年工厂损益预算表格3-1215_NMI FY05 Budget _MFG_Reply_Summary(07-11-02版)_FY10 FC#2_OP_Variance_Sample Format_A&amp;O Format_FCST3+9_v1" xfId="7892" xr:uid="{441D691C-C8F7-46E9-8876-5691D6EA8162}"/>
    <cellStyle name="_xf05年工厂损益预算表格3-1215_NMI FY05 Budget _MFG_Reply_Summary(07-11-02版)_FY12 BP_Simulation information PKG_R" xfId="7893" xr:uid="{3B64B801-BFEB-4B8D-9B7C-EF28036456C1}"/>
    <cellStyle name="_xf05年工厂损益预算表格3-1215_NMI FY05 Budget _MFG_Reply_Summary(07-11-02版)_FY12 BP_Simulation information PKG_R（SGA）" xfId="7894" xr:uid="{4B58193F-93B9-4D7C-8CDF-3795F4ED141B}"/>
    <cellStyle name="_xf05年工厂损益预算表格3-1215_NMI FY05 Budget _MFG_Reply_Summary(07-11-02版)_v1 FY11 Budget Sim summary" xfId="7895" xr:uid="{141A284F-E0DF-43F4-8B43-740A9696436D}"/>
    <cellStyle name="_xf05年工厂损益预算表格3-1215_NMI FY05 Budget _MFG_Reply_Summary(07-11-02版)_v1 FY11 Budget Sim summary_FY12 Budget Final OC-China" xfId="7896" xr:uid="{8C03997A-8137-4F9C-AABC-97B8BE39041F}"/>
    <cellStyle name="_xf05年工厂损益预算表格3-1215_NMI FY05 Budget _MFG_Reply_Summary(07-11-02版)_v1 FY11 Budget Sim summary_Sample Format" xfId="7897" xr:uid="{26DDC25B-A968-4B2B-84B4-2907D9A2E1C7}"/>
    <cellStyle name="_xf05年工厂损益预算表格3-1215_NMI FY05 Budget _MFG_Reply_Summary(07-11-02版)_v1 FY11 Budget Sim summary_Sample Format_Ａ&amp;O Consolidation Format_FCST3+9_v3" xfId="7898" xr:uid="{6BD1E7E1-6FDF-45F7-BDFC-131BD79FBEA5}"/>
    <cellStyle name="_xf05年工厂损益预算表格3-1215_NMI FY05 Budget _MFG_Reply_Summary(07-11-02版)_v1 FY11 Budget Sim summary_Sample Format_A&amp;O Format" xfId="7899" xr:uid="{9F316413-9F95-4DD3-BC60-F2A6E6C21CAF}"/>
    <cellStyle name="_xf05年工厂损益预算表格3-1215_NMI FY05 Budget _MFG_Reply_Summary(07-11-02版)_v1 FY11 Budget Sim summary_Sample Format_A&amp;O Format_FCST3+9" xfId="7900" xr:uid="{22721392-D430-43DB-A89E-05F6B9DC3E73}"/>
    <cellStyle name="_xf05年工厂损益预算表格3-1215_NMI FY05 Budget _MFG_Reply_Summary(07-11-02版)_v1 FY11 Budget Sim summary_Sample Format_A&amp;O Format_FCST3+9_v1" xfId="7901" xr:uid="{638503CD-CB38-4A79-A236-24AC44F64E35}"/>
    <cellStyle name="_xf05年工厂损益预算表格3-1215_NMI FY05 Budget _MFG_Reply_Summary(07-11-02版)_v2 CHAO #2 Forecast Summary" xfId="7902" xr:uid="{92B42484-2E7A-4ACA-BC49-6188011FF700}"/>
    <cellStyle name="_xf05年工厂损益预算表格3-1215_NMI FY05 Budget _MFG_Reply_Summary(07-11-02版)_v2 CHAO #2 Forecast Summary_FY12 Budget Final OC-China" xfId="7903" xr:uid="{6ECDAAEB-F601-419E-9F4E-56774A5D343A}"/>
    <cellStyle name="_xf05年工厂损益预算表格3-1215_NMI FY05 Budget _MFG_Reply_Summary(07-11-02版)_v2 CHAO #2 Forecast Summary_Sample Format" xfId="7904" xr:uid="{7751280F-82C9-45DB-B433-027214C9CE84}"/>
    <cellStyle name="_xf05年工厂损益预算表格3-1215_NMI FY05 Budget _MFG_Reply_Summary(07-11-02版)_v2 CHAO #2 Forecast Summary_Sample Format_Ａ&amp;O Consolidation Format_FCST3+9_v3" xfId="7905" xr:uid="{A0AA7BCD-5D03-4E2F-A8CA-30861872C8B3}"/>
    <cellStyle name="_xf05年工厂损益预算表格3-1215_NMI FY05 Budget _MFG_Reply_Summary(07-11-02版)_v2 CHAO #2 Forecast Summary_Sample Format_A&amp;O Format" xfId="7906" xr:uid="{12CA3503-8CBC-44BF-A0C8-C1066E75A1FC}"/>
    <cellStyle name="_xf05年工厂损益预算表格3-1215_NMI FY05 Budget _MFG_Reply_Summary(07-11-02版)_v2 CHAO #2 Forecast Summary_Sample Format_A&amp;O Format_FCST3+9" xfId="7907" xr:uid="{86B2A831-0A23-44DB-B68D-D604A12EE973}"/>
    <cellStyle name="_xf05年工厂损益预算表格3-1215_NMI FY05 Budget _MFG_Reply_Summary(07-11-02版)_v2 CHAO #2 Forecast Summary_Sample Format_A&amp;O Format_FCST3+9_v1" xfId="7908" xr:uid="{7F04ACED-71B8-49DD-B862-AD7486F8F59C}"/>
    <cellStyle name="_xf05年工厂损益预算表格3-1215_NMI FY05 Budget _MFG_Reply_Summary(07-11-02版)_v2 FY10 FC#2_OP_Variance" xfId="7909" xr:uid="{B064B925-6C7A-4C79-B0B5-4B67A715E4F5}"/>
    <cellStyle name="_xf05年工厂损益预算表格3-1215_NMI FY05 Budget _MFG_Reply_Summary(07-11-02版)_v2 FY10 FC#2_OP_Variance_FY12 Budget Final OC-China" xfId="7910" xr:uid="{DC936589-E807-4681-9978-AFABF6087043}"/>
    <cellStyle name="_xf05年工厂损益预算表格3-1215_NMI FY05 Budget _MFG_Reply_Summary(07-11-02版)_v2 FY10 FC#2_OP_Variance_Sample Format" xfId="7911" xr:uid="{7B6BB96A-C71A-480C-9D14-07AA4BBD5F0C}"/>
    <cellStyle name="_xf05年工厂损益预算表格3-1215_NMI FY05 Budget _MFG_Reply_Summary(07-11-02版)_v2 FY10 FC#2_OP_Variance_Sample Format_Ａ&amp;O Consolidation Format_FCST3+9_v3" xfId="7912" xr:uid="{7AC96617-7111-4678-87CC-9D3FD0277501}"/>
    <cellStyle name="_xf05年工厂损益预算表格3-1215_NMI FY05 Budget _MFG_Reply_Summary(07-11-02版)_v2 FY10 FC#2_OP_Variance_Sample Format_A&amp;O Format" xfId="7913" xr:uid="{9DCF08DF-1ACE-44B4-951B-D643E46599CD}"/>
    <cellStyle name="_xf05年工厂损益预算表格3-1215_NMI FY05 Budget _MFG_Reply_Summary(07-11-02版)_v2 FY10 FC#2_OP_Variance_Sample Format_A&amp;O Format_FCST3+9" xfId="7914" xr:uid="{04D3BC0D-C874-403E-92D3-510544EBB6CA}"/>
    <cellStyle name="_xf05年工厂损益预算表格3-1215_NMI FY05 Budget _MFG_Reply_Summary(07-11-02版)_v2 FY10 FC#2_OP_Variance_Sample Format_A&amp;O Format_FCST3+9_v1" xfId="7915" xr:uid="{5FD9DA29-825D-4376-BB75-6646639F7F56}"/>
    <cellStyle name="_xf05年工厂损益预算表格3-1215_NMI FY05 Budget _MFG_Reply_Summary(07-11-02版)_v5 FY11 Budget Sim summary" xfId="7916" xr:uid="{D1F61C0F-61CD-485C-95BF-4F10E5FEA8BB}"/>
    <cellStyle name="_xf05年工厂损益预算表格3-1215_NMI FY05 Budget _MFG_Reply_Summary(07-11-02版)_v5 FY11 Budget Sim summary_FY12 Budget Final OC-China" xfId="7917" xr:uid="{B85A3C0B-7996-43BD-9684-9BB456C95932}"/>
    <cellStyle name="_xf05年工厂损益预算表格3-1215_NMI FY05 Budget _MFG_Reply_Summary(07-11-02版)_v5 FY11 Budget Sim summary_Sample Format" xfId="7918" xr:uid="{D65EA4B8-0499-4066-B2ED-31B7193EC938}"/>
    <cellStyle name="_xf05年工厂损益预算表格3-1215_NMI FY05 Budget _MFG_Reply_Summary(07-11-02版)_v5 FY11 Budget Sim summary_Sample Format_Ａ&amp;O Consolidation Format_FCST3+9_v3" xfId="7919" xr:uid="{F1BE4894-16CD-4C2A-B3F2-7744D3ECAEAD}"/>
    <cellStyle name="_xf05年工厂损益预算表格3-1215_NMI FY05 Budget _MFG_Reply_Summary(07-11-02版)_v5 FY11 Budget Sim summary_Sample Format_A&amp;O Format" xfId="7920" xr:uid="{6F42B957-25CD-42ED-8FEE-43F6134D47A0}"/>
    <cellStyle name="_xf05年工厂损益预算表格3-1215_NMI FY05 Budget _MFG_Reply_Summary(07-11-02版)_v5 FY11 Budget Sim summary_Sample Format_A&amp;O Format_FCST3+9" xfId="7921" xr:uid="{1C2D9C44-2444-4227-A5BF-C065176138E7}"/>
    <cellStyle name="_xf05年工厂损益预算表格3-1215_NMI FY05 Budget _MFG_Reply_Summary(07-11-02版)_v5 FY11 Budget Sim summary_Sample Format_A&amp;O Format_FCST3+9_v1" xfId="7922" xr:uid="{288482E4-EB93-4D30-A9D3-B0DC6AEB104F}"/>
    <cellStyle name="_xf05年工厂损益预算表格3-1215_NMI FY05 Budget _MFG_Reply_Summary(07-11-02版)_コピー【Master】 FY12 Simula tion Excel PKG for Auto" xfId="7923" xr:uid="{E1803E99-5A21-4CF1-BCA7-01C8DA043B21}"/>
    <cellStyle name="_xf05年工厂损益预算表格3-1215_NMI FY05 Budget _MFG_Reply_Summary(07-11-02版)_これマスター　FCF_FY12 Simulation Excel PKG for Auto" xfId="7924" xr:uid="{23681929-364B-4A0A-A87F-CEAF194FD873}"/>
    <cellStyle name="_xf05年工厂损益预算表格3-1215_NMI FY05 Budget _MFG_Reply_Suumary" xfId="7925" xr:uid="{77CEA0DB-9166-482D-944F-4C5B65ED3C15}"/>
    <cellStyle name="_xf05年工厂损益预算表格3-1215_NMI FY05 Budget _MFG_Reply_Suumary_#1 Forecast Summary" xfId="7926" xr:uid="{2ADEAADB-132A-4982-A38D-47C14B6213F3}"/>
    <cellStyle name="_xf05年工厂损益预算表格3-1215_NMI FY05 Budget _MFG_Reply_Suumary_#1 Forecast Summary_FY12 Budget Final OC-China" xfId="7927" xr:uid="{6378E98A-3569-442D-81B7-34B136B6AAC5}"/>
    <cellStyle name="_xf05年工厂损益预算表格3-1215_NMI FY05 Budget _MFG_Reply_Suumary_#1 Forecast Summary_Sample Format" xfId="7928" xr:uid="{11F1EBEE-AB0F-4B76-AA95-B005D7BE5CB2}"/>
    <cellStyle name="_xf05年工厂损益预算表格3-1215_NMI FY05 Budget _MFG_Reply_Suumary_#1 Forecast Summary_Sample Format_Ａ&amp;O Consolidation Format_FCST3+9_v3" xfId="7929" xr:uid="{48D5E39C-7368-4B21-94E3-CAFCF62F59FE}"/>
    <cellStyle name="_xf05年工厂损益预算表格3-1215_NMI FY05 Budget _MFG_Reply_Suumary_#1 Forecast Summary_Sample Format_A&amp;O Format" xfId="7930" xr:uid="{06D8395E-01FD-4BB6-B95B-0FF0B31F9199}"/>
    <cellStyle name="_xf05年工厂损益预算表格3-1215_NMI FY05 Budget _MFG_Reply_Suumary_#1 Forecast Summary_Sample Format_A&amp;O Format_FCST3+9" xfId="7931" xr:uid="{3717DF0C-3846-4321-AA43-A3852449ADA4}"/>
    <cellStyle name="_xf05年工厂损益预算表格3-1215_NMI FY05 Budget _MFG_Reply_Suumary_#1 Forecast Summary_Sample Format_A&amp;O Format_FCST3+9_v1" xfId="7932" xr:uid="{5C940127-B899-4462-B195-878283A12828}"/>
    <cellStyle name="_xf05年工厂损益预算表格3-1215_NMI FY05 Budget _MFG_Reply_Suumary_(CHAO) FY10 Forecast#1 Regional Comment" xfId="7933" xr:uid="{659AFEC7-6DBE-4400-92B9-1B39CCC4D022}"/>
    <cellStyle name="_xf05年工厂损益预算表格3-1215_NMI FY05 Budget _MFG_Reply_Suumary_(CHAO) FY10 Forecast#1 Regional Comment_FY12 Budget Final OC-China" xfId="7934" xr:uid="{0F97AE36-D003-44E5-BAE7-7E9D3376966A}"/>
    <cellStyle name="_xf05年工厂损益预算表格3-1215_NMI FY05 Budget _MFG_Reply_Suumary_(CHAO) FY10 Forecast#1 Regional Comment_Sample Format" xfId="7935" xr:uid="{314617DC-CCAA-4097-8CE9-5BE0E6C17BDD}"/>
    <cellStyle name="_xf05年工厂损益预算表格3-1215_NMI FY05 Budget _MFG_Reply_Suumary_(CHAO) FY10 Forecast#1 Regional Comment_Sample Format_Ａ&amp;O Consolidation Format_FCST3+9_v3" xfId="7936" xr:uid="{E16FBFB4-D114-414E-951F-00F6D804FF35}"/>
    <cellStyle name="_xf05年工厂损益预算表格3-1215_NMI FY05 Budget _MFG_Reply_Suumary_(CHAO) FY10 Forecast#1 Regional Comment_Sample Format_A&amp;O Format" xfId="7937" xr:uid="{3D4BF00F-2D33-4668-9679-FD9735B7D53F}"/>
    <cellStyle name="_xf05年工厂损益预算表格3-1215_NMI FY05 Budget _MFG_Reply_Suumary_(CHAO) FY10 Forecast#1 Regional Comment_Sample Format_A&amp;O Format_FCST3+9" xfId="7938" xr:uid="{4C5E7A7B-A4EB-493D-8B4B-290D1DCD25CD}"/>
    <cellStyle name="_xf05年工厂损益预算表格3-1215_NMI FY05 Budget _MFG_Reply_Suumary_(CHAO) FY10 Forecast#1 Regional Comment_Sample Format_A&amp;O Format_FCST3+9_v1" xfId="7939" xr:uid="{9D4D25E0-A505-4996-8101-0648BB56F197}"/>
    <cellStyle name="_xf05年工厂损益预算表格3-1215_NMI FY05 Budget _MFG_Reply_Suumary_【Master】 FY12 Simulation Excel PKG for Auto" xfId="7940" xr:uid="{534E712E-EB70-4E1C-B211-C4A5AAE626A4}"/>
    <cellStyle name="_xf05年工厂损益预算表格3-1215_NMI FY05 Budget _MFG_Reply_Suumary_【Master】 FY12 Simulation Excel PKG for Auto (2)" xfId="7941" xr:uid="{06F6D29C-9A3F-4E48-BB05-582370576534}"/>
    <cellStyle name="_xf05年工厂损益预算表格3-1215_NMI FY05 Budget _MFG_Reply_Suumary_【Master】 FY12 Simulation Excel PKG for Auto_sugii" xfId="7942" xr:uid="{655131E9-C43B-4CFF-AFFC-40CBE6A64273}"/>
    <cellStyle name="_xf05年工厂损益预算表格3-1215_NMI FY05 Budget _MFG_Reply_Suumary_【Master】 FY12 Simulation Excel PKG for Auto_sugii (2)" xfId="7943" xr:uid="{7579A281-7AC0-470F-BE81-A1E60D2F20CF}"/>
    <cellStyle name="_xf05年工厂损益预算表格3-1215_NMI FY05 Budget _MFG_Reply_Suumary_【Shibayama】 FY12 Simulation Excel PKG for Auto" xfId="7944" xr:uid="{91E6054A-E558-49EC-BC86-8CA6395286CA}"/>
    <cellStyle name="_xf05年工厂损益预算表格3-1215_NMI FY05 Budget _MFG_Reply_Suumary_Ａ&amp;O Consolidation Format_FCST3+9_v3" xfId="7945" xr:uid="{A155D909-F526-4EE1-A439-A789A75693BF}"/>
    <cellStyle name="_xf05年工厂损益预算表格3-1215_NMI FY05 Budget _MFG_Reply_Suumary_A&amp;O Format" xfId="7946" xr:uid="{57B34001-E391-454E-80AD-EFD4E6662AF4}"/>
    <cellStyle name="_xf05年工厂损益预算表格3-1215_NMI FY05 Budget _MFG_Reply_Suumary_A&amp;O Format_FCST3+9" xfId="7947" xr:uid="{A0CBE901-E87A-4297-AE09-FE8F049423F9}"/>
    <cellStyle name="_xf05年工厂损益预算表格3-1215_NMI FY05 Budget _MFG_Reply_Suumary_A&amp;O Format_FCST3+9_v1" xfId="7948" xr:uid="{A2DD4F24-7476-4EE9-8E26-A544BD3114F9}"/>
    <cellStyle name="_xf05年工厂损益预算表格3-1215_NMI FY05 Budget _MFG_Reply_Suumary_CHAO #2 Forecast Summary" xfId="7949" xr:uid="{AE6ACF80-4FB7-4E69-AA12-F38304C9341A}"/>
    <cellStyle name="_xf05年工厂损益预算表格3-1215_NMI FY05 Budget _MFG_Reply_Suumary_CHAO #2 Forecast Summary_FY12 Budget Final OC-China" xfId="7950" xr:uid="{2328C30E-97ED-47C3-84B0-2F1A96F0BD10}"/>
    <cellStyle name="_xf05年工厂损益预算表格3-1215_NMI FY05 Budget _MFG_Reply_Suumary_CHAO #2 Forecast Summary_Sample Format" xfId="7951" xr:uid="{17953626-1538-4895-8848-7AD870421ED8}"/>
    <cellStyle name="_xf05年工厂损益预算表格3-1215_NMI FY05 Budget _MFG_Reply_Suumary_CHAO #2 Forecast Summary_Sample Format_Ａ&amp;O Consolidation Format_FCST3+9_v3" xfId="7952" xr:uid="{2AADE10F-ED39-455B-8189-BE9BE7C80871}"/>
    <cellStyle name="_xf05年工厂损益预算表格3-1215_NMI FY05 Budget _MFG_Reply_Suumary_CHAO #2 Forecast Summary_Sample Format_A&amp;O Format" xfId="7953" xr:uid="{14369DD2-A4D5-46B3-8455-B983CFBBE2D6}"/>
    <cellStyle name="_xf05年工厂损益预算表格3-1215_NMI FY05 Budget _MFG_Reply_Suumary_CHAO #2 Forecast Summary_Sample Format_A&amp;O Format_FCST3+9" xfId="7954" xr:uid="{B1B08369-BC39-4C83-824F-1C385F2B920B}"/>
    <cellStyle name="_xf05年工厂损益预算表格3-1215_NMI FY05 Budget _MFG_Reply_Suumary_CHAO #2 Forecast Summary_Sample Format_A&amp;O Format_FCST3+9_v1" xfId="7955" xr:uid="{EB920232-558F-4004-A355-380DD9AD9250}"/>
    <cellStyle name="_xf05年工厂损益预算表格3-1215_NMI FY05 Budget _MFG_Reply_Suumary_Correct FC#2 AO OP" xfId="7956" xr:uid="{652C9AFD-D46B-4941-A7A5-DC5A226CAC81}"/>
    <cellStyle name="_xf05年工厂损益预算表格3-1215_NMI FY05 Budget _MFG_Reply_Suumary_Correct FC#2 AO OP_FY12 Budget Final OC-China" xfId="7957" xr:uid="{DF92E864-21AC-49D7-865B-7E9872FBCF5E}"/>
    <cellStyle name="_xf05年工厂损益预算表格3-1215_NMI FY05 Budget _MFG_Reply_Suumary_Correct FC#2 AO OP_Sample Format" xfId="7958" xr:uid="{0E426057-9630-49BA-B5AF-75A69B421CF1}"/>
    <cellStyle name="_xf05年工厂损益预算表格3-1215_NMI FY05 Budget _MFG_Reply_Suumary_Correct FC#2 AO OP_Sample Format_Ａ&amp;O Consolidation Format_FCST3+9_v3" xfId="7959" xr:uid="{3C8CAF50-E853-4C00-BF7C-B4ECF1AACAB3}"/>
    <cellStyle name="_xf05年工厂损益预算表格3-1215_NMI FY05 Budget _MFG_Reply_Suumary_Correct FC#2 AO OP_Sample Format_A&amp;O Format" xfId="7960" xr:uid="{EE7F37B1-7CE5-4CDE-B23F-8F5FD983A16A}"/>
    <cellStyle name="_xf05年工厂损益预算表格3-1215_NMI FY05 Budget _MFG_Reply_Suumary_Correct FC#2 AO OP_Sample Format_A&amp;O Format_FCST3+9" xfId="7961" xr:uid="{32F9D26C-C522-4F17-B407-776BD82FF10E}"/>
    <cellStyle name="_xf05年工厂损益预算表格3-1215_NMI FY05 Budget _MFG_Reply_Suumary_Correct FC#2 AO OP_Sample Format_A&amp;O Format_FCST3+9_v1" xfId="7962" xr:uid="{C60E0268-32AE-4344-80E8-01668570DC78}"/>
    <cellStyle name="_xf05年工厂损益预算表格3-1215_NMI FY05 Budget _MFG_Reply_Suumary_FY10 FC#2_OP_Variance" xfId="7963" xr:uid="{81ACE481-55D4-414E-AC14-B1EDDEC17E74}"/>
    <cellStyle name="_xf05年工厂损益预算表格3-1215_NMI FY05 Budget _MFG_Reply_Suumary_FY10 FC#2_OP_Variance_FY12 Budget Final OC-China" xfId="7964" xr:uid="{C9D9DE9E-28A5-439B-9759-7976BEAD0190}"/>
    <cellStyle name="_xf05年工厂损益预算表格3-1215_NMI FY05 Budget _MFG_Reply_Suumary_FY10 FC#2_OP_Variance_Sample Format" xfId="7965" xr:uid="{F005CBB0-9EB5-4EF5-85E2-0AC5DCF4E977}"/>
    <cellStyle name="_xf05年工厂损益预算表格3-1215_NMI FY05 Budget _MFG_Reply_Suumary_FY10 FC#2_OP_Variance_Sample Format_Ａ&amp;O Consolidation Format_FCST3+9_v3" xfId="7966" xr:uid="{0FA0F927-AC73-4425-82F9-C40F52644549}"/>
    <cellStyle name="_xf05年工厂损益预算表格3-1215_NMI FY05 Budget _MFG_Reply_Suumary_FY10 FC#2_OP_Variance_Sample Format_A&amp;O Format" xfId="7967" xr:uid="{779B00AE-DAA7-4AFD-804D-C45D0A3238EA}"/>
    <cellStyle name="_xf05年工厂损益预算表格3-1215_NMI FY05 Budget _MFG_Reply_Suumary_FY10 FC#2_OP_Variance_Sample Format_A&amp;O Format_FCST3+9" xfId="7968" xr:uid="{0C9F291D-0738-4B2B-B4C4-D936B9DF521B}"/>
    <cellStyle name="_xf05年工厂损益预算表格3-1215_NMI FY05 Budget _MFG_Reply_Suumary_FY10 FC#2_OP_Variance_Sample Format_A&amp;O Format_FCST3+9_v1" xfId="7969" xr:uid="{754BCEC0-926F-483E-807A-97A009EB87C8}"/>
    <cellStyle name="_xf05年工厂损益预算表格3-1215_NMI FY05 Budget _MFG_Reply_Suumary_FY12 BP_Simulation information PKG_R" xfId="7970" xr:uid="{9006F793-F863-4E8D-955B-F9A0DB584759}"/>
    <cellStyle name="_xf05年工厂损益预算表格3-1215_NMI FY05 Budget _MFG_Reply_Suumary_FY12 BP_Simulation information PKG_R（SGA）" xfId="7971" xr:uid="{7B9B088F-4C57-4A86-AD93-B86F6590EE56}"/>
    <cellStyle name="_xf05年工厂损益预算表格3-1215_NMI FY05 Budget _MFG_Reply_Suumary_v1 FY11 Budget Sim summary" xfId="7972" xr:uid="{CC91DEA7-2123-4772-94CF-46E31BF74739}"/>
    <cellStyle name="_xf05年工厂损益预算表格3-1215_NMI FY05 Budget _MFG_Reply_Suumary_v1 FY11 Budget Sim summary_FY12 Budget Final OC-China" xfId="7973" xr:uid="{E08A1931-BD2D-40EC-984E-AB4D617B09C5}"/>
    <cellStyle name="_xf05年工厂损益预算表格3-1215_NMI FY05 Budget _MFG_Reply_Suumary_v1 FY11 Budget Sim summary_Sample Format" xfId="7974" xr:uid="{4298FAA3-50DF-441B-B441-47DFBCC5F846}"/>
    <cellStyle name="_xf05年工厂损益预算表格3-1215_NMI FY05 Budget _MFG_Reply_Suumary_v1 FY11 Budget Sim summary_Sample Format_Ａ&amp;O Consolidation Format_FCST3+9_v3" xfId="7975" xr:uid="{5486336F-36B4-4980-B6B7-3AFBD5D831DE}"/>
    <cellStyle name="_xf05年工厂损益预算表格3-1215_NMI FY05 Budget _MFG_Reply_Suumary_v1 FY11 Budget Sim summary_Sample Format_A&amp;O Format" xfId="7976" xr:uid="{578FF5C7-6E39-48C0-80B1-8AD57608BEB8}"/>
    <cellStyle name="_xf05年工厂损益预算表格3-1215_NMI FY05 Budget _MFG_Reply_Suumary_v1 FY11 Budget Sim summary_Sample Format_A&amp;O Format_FCST3+9" xfId="7977" xr:uid="{A423EBE3-8C76-4C56-9495-1B798AFFCF91}"/>
    <cellStyle name="_xf05年工厂损益预算表格3-1215_NMI FY05 Budget _MFG_Reply_Suumary_v1 FY11 Budget Sim summary_Sample Format_A&amp;O Format_FCST3+9_v1" xfId="7978" xr:uid="{5EA77C9B-E89F-4B73-BF66-A50AC2837455}"/>
    <cellStyle name="_xf05年工厂损益预算表格3-1215_NMI FY05 Budget _MFG_Reply_Suumary_v2 CHAO #2 Forecast Summary" xfId="7979" xr:uid="{2BCAF651-5EC0-4307-8171-7373FC32C9B4}"/>
    <cellStyle name="_xf05年工厂损益预算表格3-1215_NMI FY05 Budget _MFG_Reply_Suumary_v2 CHAO #2 Forecast Summary_FY12 Budget Final OC-China" xfId="7980" xr:uid="{F106E889-6508-4FBB-9E7C-93C6A0457D37}"/>
    <cellStyle name="_xf05年工厂损益预算表格3-1215_NMI FY05 Budget _MFG_Reply_Suumary_v2 CHAO #2 Forecast Summary_Sample Format" xfId="7981" xr:uid="{E50F746E-F070-402A-8A76-41FB2E47A1C5}"/>
    <cellStyle name="_xf05年工厂损益预算表格3-1215_NMI FY05 Budget _MFG_Reply_Suumary_v2 CHAO #2 Forecast Summary_Sample Format_Ａ&amp;O Consolidation Format_FCST3+9_v3" xfId="7982" xr:uid="{481252FA-193E-49FA-9DB1-65025455D80F}"/>
    <cellStyle name="_xf05年工厂损益预算表格3-1215_NMI FY05 Budget _MFG_Reply_Suumary_v2 CHAO #2 Forecast Summary_Sample Format_A&amp;O Format" xfId="7983" xr:uid="{95143D5A-E702-4717-A164-56E82E39C5A9}"/>
    <cellStyle name="_xf05年工厂损益预算表格3-1215_NMI FY05 Budget _MFG_Reply_Suumary_v2 CHAO #2 Forecast Summary_Sample Format_A&amp;O Format_FCST3+9" xfId="7984" xr:uid="{1CC5E873-DB4E-483E-877E-5F00C6CB5DA9}"/>
    <cellStyle name="_xf05年工厂损益预算表格3-1215_NMI FY05 Budget _MFG_Reply_Suumary_v2 CHAO #2 Forecast Summary_Sample Format_A&amp;O Format_FCST3+9_v1" xfId="7985" xr:uid="{D0FCC75E-DAAE-4512-8E8C-93A6FE543BA2}"/>
    <cellStyle name="_xf05年工厂损益预算表格3-1215_NMI FY05 Budget _MFG_Reply_Suumary_v2 FY10 FC#2_OP_Variance" xfId="7986" xr:uid="{A2C65031-F2B3-481A-8C5E-C333AAB26602}"/>
    <cellStyle name="_xf05年工厂损益预算表格3-1215_NMI FY05 Budget _MFG_Reply_Suumary_v2 FY10 FC#2_OP_Variance_FY12 Budget Final OC-China" xfId="7987" xr:uid="{96000D2E-77B5-4469-9970-FD6D20329499}"/>
    <cellStyle name="_xf05年工厂损益预算表格3-1215_NMI FY05 Budget _MFG_Reply_Suumary_v2 FY10 FC#2_OP_Variance_Sample Format" xfId="7988" xr:uid="{C14BD8B3-9338-442E-86B2-17548BDB9058}"/>
    <cellStyle name="_xf05年工厂损益预算表格3-1215_NMI FY05 Budget _MFG_Reply_Suumary_v2 FY10 FC#2_OP_Variance_Sample Format_Ａ&amp;O Consolidation Format_FCST3+9_v3" xfId="7989" xr:uid="{63891543-555B-4690-856D-79E0F8361846}"/>
    <cellStyle name="_xf05年工厂损益预算表格3-1215_NMI FY05 Budget _MFG_Reply_Suumary_v2 FY10 FC#2_OP_Variance_Sample Format_A&amp;O Format" xfId="7990" xr:uid="{1943C548-1B44-45CE-8BA6-F2F9F61F2456}"/>
    <cellStyle name="_xf05年工厂损益预算表格3-1215_NMI FY05 Budget _MFG_Reply_Suumary_v2 FY10 FC#2_OP_Variance_Sample Format_A&amp;O Format_FCST3+9" xfId="7991" xr:uid="{6BBD1C00-72AC-4B9E-8FCE-896CD3E1D087}"/>
    <cellStyle name="_xf05年工厂损益预算表格3-1215_NMI FY05 Budget _MFG_Reply_Suumary_v2 FY10 FC#2_OP_Variance_Sample Format_A&amp;O Format_FCST3+9_v1" xfId="7992" xr:uid="{0DDA4AC9-971A-43F3-9D45-786AF7C0743E}"/>
    <cellStyle name="_xf05年工厂损益预算表格3-1215_NMI FY05 Budget _MFG_Reply_Suumary_v5 FY11 Budget Sim summary" xfId="7993" xr:uid="{F612929F-E00B-4DEB-AD11-8CFC3680DADB}"/>
    <cellStyle name="_xf05年工厂损益预算表格3-1215_NMI FY05 Budget _MFG_Reply_Suumary_v5 FY11 Budget Sim summary_FY12 Budget Final OC-China" xfId="7994" xr:uid="{BB2A9D38-4D46-4330-B939-A126B790E8AF}"/>
    <cellStyle name="_xf05年工厂损益预算表格3-1215_NMI FY05 Budget _MFG_Reply_Suumary_v5 FY11 Budget Sim summary_Sample Format" xfId="7995" xr:uid="{A79DE524-7A40-4BB0-9D7F-32C107A4A248}"/>
    <cellStyle name="_xf05年工厂损益预算表格3-1215_NMI FY05 Budget _MFG_Reply_Suumary_v5 FY11 Budget Sim summary_Sample Format_Ａ&amp;O Consolidation Format_FCST3+9_v3" xfId="7996" xr:uid="{DA87F680-67EC-4FB1-8549-67ECD793B6D2}"/>
    <cellStyle name="_xf05年工厂损益预算表格3-1215_NMI FY05 Budget _MFG_Reply_Suumary_v5 FY11 Budget Sim summary_Sample Format_A&amp;O Format" xfId="7997" xr:uid="{C4355B41-DC17-40D0-B4CA-3D3A6FD127E5}"/>
    <cellStyle name="_xf05年工厂损益预算表格3-1215_NMI FY05 Budget _MFG_Reply_Suumary_v5 FY11 Budget Sim summary_Sample Format_A&amp;O Format_FCST3+9" xfId="7998" xr:uid="{4899D733-0DAA-4045-A137-5309909EFB14}"/>
    <cellStyle name="_xf05年工厂损益预算表格3-1215_NMI FY05 Budget _MFG_Reply_Suumary_v5 FY11 Budget Sim summary_Sample Format_A&amp;O Format_FCST3+9_v1" xfId="7999" xr:uid="{3C81AE9C-E169-4AB3-8521-0B2A25D745D2}"/>
    <cellStyle name="_xf05年工厂损益预算表格3-1215_NMI FY05 Budget _MFG_Reply_Suumary_コピー【Master】 FY12 Simula tion Excel PKG for Auto" xfId="8000" xr:uid="{4E3E9B79-6254-4460-B6D5-1DAB29F0F8D4}"/>
    <cellStyle name="_xf05年工厂损益预算表格3-1215_NMI FY05 Budget _MFG_Reply_Suumary_これマスター　FCF_FY12 Simulation Excel PKG for Auto" xfId="8001" xr:uid="{2B9DDDE2-05A1-4496-A04B-18D9E036A0B4}"/>
    <cellStyle name="_xf05年工厂损益预算表格3-1215_NMI FY05 Budget _OC-China FOR#1_v3(DFL variance updated)" xfId="8002" xr:uid="{452A5696-171A-44C0-AE61-1CC41DE319A6}"/>
    <cellStyle name="_xf05年工厂损益预算表格3-1215_NMI FY05 Budget _v1 FY11 Budget Sim summary" xfId="8003" xr:uid="{4C4A506A-4CBC-4536-8D67-D30E652C6C0E}"/>
    <cellStyle name="_xf05年工厂损益预算表格3-1215_NMI FY05 Budget _v1 FY11 Budget Sim summary_FY12 Budget Final OC-China" xfId="8004" xr:uid="{0748E449-3CC5-4402-95AC-5370F4D6EBB3}"/>
    <cellStyle name="_xf05年工厂损益预算表格3-1215_NMI FY05 Budget _v1 FY11 Budget Sim summary_Sample Format" xfId="8005" xr:uid="{831B5014-C34B-4898-A7D7-7893F8FECB2B}"/>
    <cellStyle name="_xf05年工厂损益预算表格3-1215_NMI FY05 Budget _v1 FY11 Budget Sim summary_Sample Format_Ａ&amp;O Consolidation Format_FCST3+9_v3" xfId="8006" xr:uid="{B537E986-82B5-4BE1-ACC9-DF71CC1092A8}"/>
    <cellStyle name="_xf05年工厂损益预算表格3-1215_NMI FY05 Budget _v1 FY11 Budget Sim summary_Sample Format_A&amp;O Format" xfId="8007" xr:uid="{015E427B-E21C-4334-8788-FF7BF533692E}"/>
    <cellStyle name="_xf05年工厂损益预算表格3-1215_NMI FY05 Budget _v1 FY11 Budget Sim summary_Sample Format_A&amp;O Format_FCST3+9" xfId="8008" xr:uid="{BD68C5F8-D137-4E45-A6CE-9F0DDF37E8FF}"/>
    <cellStyle name="_xf05年工厂损益预算表格3-1215_NMI FY05 Budget _v1 FY11 Budget Sim summary_Sample Format_A&amp;O Format_FCST3+9_v1" xfId="8009" xr:uid="{9A6F4EB0-4A9C-43CF-B412-9B49FA29F166}"/>
    <cellStyle name="_xf05年工厂损益预算表格3-1215_NMI FY05 Budget _v2 CHAO #2 Forecast Summary" xfId="8010" xr:uid="{4BCB8544-7652-47DC-9394-73608AF8A218}"/>
    <cellStyle name="_xf05年工厂损益预算表格3-1215_NMI FY05 Budget _v2 CHAO #2 Forecast Summary_FY12 Budget Final OC-China" xfId="8011" xr:uid="{B382D1BB-EEFE-4A65-A588-27BFF88D2764}"/>
    <cellStyle name="_xf05年工厂损益预算表格3-1215_NMI FY05 Budget _v2 CHAO #2 Forecast Summary_Sample Format" xfId="8012" xr:uid="{CB0AF6F8-DD72-481E-BF59-BDF664803D3D}"/>
    <cellStyle name="_xf05年工厂损益预算表格3-1215_NMI FY05 Budget _v2 CHAO #2 Forecast Summary_Sample Format_Ａ&amp;O Consolidation Format_FCST3+9_v3" xfId="8013" xr:uid="{3D408669-0AB8-45CC-8167-0AAB3CF22AE9}"/>
    <cellStyle name="_xf05年工厂损益预算表格3-1215_NMI FY05 Budget _v2 CHAO #2 Forecast Summary_Sample Format_A&amp;O Format" xfId="8014" xr:uid="{910B075E-D056-42CF-8EE1-D5AC57B23F6B}"/>
    <cellStyle name="_xf05年工厂损益预算表格3-1215_NMI FY05 Budget _v2 CHAO #2 Forecast Summary_Sample Format_A&amp;O Format_FCST3+9" xfId="8015" xr:uid="{E3B8B8DB-191C-4968-ABE5-2E26BF7269CC}"/>
    <cellStyle name="_xf05年工厂损益预算表格3-1215_NMI FY05 Budget _v2 CHAO #2 Forecast Summary_Sample Format_A&amp;O Format_FCST3+9_v1" xfId="8016" xr:uid="{0BEE7313-AE0E-4727-8C85-467BB0B51C36}"/>
    <cellStyle name="_xf05年工厂损益预算表格3-1215_NMI FY05 Budget _v2 FY10 FC#2_OP_Variance" xfId="8017" xr:uid="{489D6002-4323-4AF8-9DC2-F2B1B9482335}"/>
    <cellStyle name="_xf05年工厂损益预算表格3-1215_NMI FY05 Budget _v2 FY10 FC#2_OP_Variance_FY12 Budget Final OC-China" xfId="8018" xr:uid="{129B1D12-EB62-41EA-88F0-6FDBA865D1FE}"/>
    <cellStyle name="_xf05年工厂损益预算表格3-1215_NMI FY05 Budget _v2 FY10 FC#2_OP_Variance_Sample Format" xfId="8019" xr:uid="{319549AA-51DB-40C4-ADD5-07CE05337813}"/>
    <cellStyle name="_xf05年工厂损益预算表格3-1215_NMI FY05 Budget _v2 FY10 FC#2_OP_Variance_Sample Format_Ａ&amp;O Consolidation Format_FCST3+9_v3" xfId="8020" xr:uid="{EB0ACAC3-E137-40FA-8B4B-84AA8EC410B1}"/>
    <cellStyle name="_xf05年工厂损益预算表格3-1215_NMI FY05 Budget _v2 FY10 FC#2_OP_Variance_Sample Format_A&amp;O Format" xfId="8021" xr:uid="{10D96B54-D4A0-4F14-8EAD-2046C0BB4D5F}"/>
    <cellStyle name="_xf05年工厂损益预算表格3-1215_NMI FY05 Budget _v2 FY10 FC#2_OP_Variance_Sample Format_A&amp;O Format_FCST3+9" xfId="8022" xr:uid="{F910195F-8BD6-48B2-861E-DB6BF6BA63D4}"/>
    <cellStyle name="_xf05年工厂损益预算表格3-1215_NMI FY05 Budget _v2 FY10 FC#2_OP_Variance_Sample Format_A&amp;O Format_FCST3+9_v1" xfId="8023" xr:uid="{433700C5-ADD2-406F-B855-1A5CC00B6FCD}"/>
    <cellStyle name="_xf05年工厂损益预算表格3-1215_NMI FY05 Budget _v5 FY11 Budget Sim summary" xfId="8024" xr:uid="{930E374F-762F-4424-A2EA-4EDF1C7028FC}"/>
    <cellStyle name="_xf05年工厂损益预算表格3-1215_NMI FY05 Budget _v5 FY11 Budget Sim summary_FY12 Budget Final OC-China" xfId="8025" xr:uid="{3D17E877-77C1-40D9-B96E-9E40EB3B6787}"/>
    <cellStyle name="_xf05年工厂损益预算表格3-1215_NMI FY05 Budget _v5 FY11 Budget Sim summary_Sample Format" xfId="8026" xr:uid="{16CB6981-0867-4C39-B7E3-8763FD78A3BF}"/>
    <cellStyle name="_xf05年工厂损益预算表格3-1215_NMI FY05 Budget _v5 FY11 Budget Sim summary_Sample Format_Ａ&amp;O Consolidation Format_FCST3+9_v3" xfId="8027" xr:uid="{18D6EF30-811B-42FD-9BD7-6C5123C6BC24}"/>
    <cellStyle name="_xf05年工厂损益预算表格3-1215_NMI FY05 Budget _v5 FY11 Budget Sim summary_Sample Format_A&amp;O Format" xfId="8028" xr:uid="{151E64C6-7D67-4F39-8323-A54E7C9D296A}"/>
    <cellStyle name="_xf05年工厂损益预算表格3-1215_NMI FY05 Budget _v5 FY11 Budget Sim summary_Sample Format_A&amp;O Format_FCST3+9" xfId="8029" xr:uid="{25F832B1-FC53-4BAC-AA28-200208339AA9}"/>
    <cellStyle name="_xf05年工厂损益预算表格3-1215_NMI FY05 Budget _v5 FY11 Budget Sim summary_Sample Format_A&amp;O Format_FCST3+9_v1" xfId="8030" xr:uid="{B4784933-BE4D-4525-B319-64E51CAE23D5}"/>
    <cellStyle name="_xf05年工厂损益预算表格3-1215_NMI FY05 Budget _X1 GOM 4 Comp" xfId="8031" xr:uid="{5917307F-D12B-411C-B532-5BC6CA9F2893}"/>
    <cellStyle name="_xf05年工厂损益预算表格3-1215_NMI FY05 Budget _X1 GOM 4 Comp_#1 Forecast Summary" xfId="8032" xr:uid="{459FF21A-2B07-4427-A213-015ACB031655}"/>
    <cellStyle name="_xf05年工厂损益预算表格3-1215_NMI FY05 Budget _X1 GOM 4 Comp_#1 Forecast Summary_FY12 Budget Final OC-China" xfId="8033" xr:uid="{767D87F7-F8D0-4752-9440-BE435C8B734A}"/>
    <cellStyle name="_xf05年工厂损益预算表格3-1215_NMI FY05 Budget _X1 GOM 4 Comp_#1 Forecast Summary_Sample Format" xfId="8034" xr:uid="{4BB66E79-710F-4401-BD15-F8D982CB35C5}"/>
    <cellStyle name="_xf05年工厂损益预算表格3-1215_NMI FY05 Budget _X1 GOM 4 Comp_#1 Forecast Summary_Sample Format_Ａ&amp;O Consolidation Format_FCST3+9_v3" xfId="8035" xr:uid="{74E912B4-166C-4745-8387-E26573D9B3F6}"/>
    <cellStyle name="_xf05年工厂损益预算表格3-1215_NMI FY05 Budget _X1 GOM 4 Comp_#1 Forecast Summary_Sample Format_A&amp;O Format" xfId="8036" xr:uid="{A8F61E34-7490-42F8-9870-4C25BE55942D}"/>
    <cellStyle name="_xf05年工厂损益预算表格3-1215_NMI FY05 Budget _X1 GOM 4 Comp_#1 Forecast Summary_Sample Format_A&amp;O Format_FCST3+9" xfId="8037" xr:uid="{1433464B-1F71-4E1F-B7B4-A7EB10495F98}"/>
    <cellStyle name="_xf05年工厂损益预算表格3-1215_NMI FY05 Budget _X1 GOM 4 Comp_#1 Forecast Summary_Sample Format_A&amp;O Format_FCST3+9_v1" xfId="8038" xr:uid="{C201E9AA-1B0F-4F96-9755-3809818068BA}"/>
    <cellStyle name="_xf05年工厂损益预算表格3-1215_NMI FY05 Budget _X1 GOM 4 Comp_(CHAO) FY10 Forecast#1 Regional Comment" xfId="8039" xr:uid="{E04F2DD0-AC8A-4257-B461-5E085290C711}"/>
    <cellStyle name="_xf05年工厂损益预算表格3-1215_NMI FY05 Budget _X1 GOM 4 Comp_(CHAO) FY10 Forecast#1 Regional Comment_FY12 Budget Final OC-China" xfId="8040" xr:uid="{BD9E2E0C-583B-4075-AFAE-C4A35F4FE593}"/>
    <cellStyle name="_xf05年工厂损益预算表格3-1215_NMI FY05 Budget _X1 GOM 4 Comp_(CHAO) FY10 Forecast#1 Regional Comment_Sample Format" xfId="8041" xr:uid="{91D92047-449F-4AA5-BF7C-8E2467D9E112}"/>
    <cellStyle name="_xf05年工厂损益预算表格3-1215_NMI FY05 Budget _X1 GOM 4 Comp_(CHAO) FY10 Forecast#1 Regional Comment_Sample Format_Ａ&amp;O Consolidation Format_FCST3+9_v3" xfId="8042" xr:uid="{BE4AE6D0-4DA5-485C-9532-F09B4B57FDD1}"/>
    <cellStyle name="_xf05年工厂损益预算表格3-1215_NMI FY05 Budget _X1 GOM 4 Comp_(CHAO) FY10 Forecast#1 Regional Comment_Sample Format_A&amp;O Format" xfId="8043" xr:uid="{4B6964C3-D727-4934-B8B5-BD5E86524D76}"/>
    <cellStyle name="_xf05年工厂损益预算表格3-1215_NMI FY05 Budget _X1 GOM 4 Comp_(CHAO) FY10 Forecast#1 Regional Comment_Sample Format_A&amp;O Format_FCST3+9" xfId="8044" xr:uid="{49644B83-1ED1-42F6-AE86-D73405EBD03A}"/>
    <cellStyle name="_xf05年工厂损益预算表格3-1215_NMI FY05 Budget _X1 GOM 4 Comp_(CHAO) FY10 Forecast#1 Regional Comment_Sample Format_A&amp;O Format_FCST3+9_v1" xfId="8045" xr:uid="{B6CCBCF1-9E41-4694-88C4-29F5D5109045}"/>
    <cellStyle name="_xf05年工厂损益预算表格3-1215_NMI FY05 Budget _X1 GOM 4 Comp_【Master】 FY12 Simulation Excel PKG for Auto" xfId="8046" xr:uid="{FB489801-6404-44F2-9B8F-86B1D664E181}"/>
    <cellStyle name="_xf05年工厂损益预算表格3-1215_NMI FY05 Budget _X1 GOM 4 Comp_【Master】 FY12 Simulation Excel PKG for Auto (2)" xfId="8047" xr:uid="{85BBB4B0-026B-48A4-9AF1-751443F271F2}"/>
    <cellStyle name="_xf05年工厂损益预算表格3-1215_NMI FY05 Budget _X1 GOM 4 Comp_【Master】 FY12 Simulation Excel PKG for Auto_sugii" xfId="8048" xr:uid="{DCB70735-DC2B-4729-B5D4-E252E02513B1}"/>
    <cellStyle name="_xf05年工厂损益预算表格3-1215_NMI FY05 Budget _X1 GOM 4 Comp_【Master】 FY12 Simulation Excel PKG for Auto_sugii (2)" xfId="8049" xr:uid="{06300A27-D395-4BBA-A4D0-EBAA7D3FFA94}"/>
    <cellStyle name="_xf05年工厂损益预算表格3-1215_NMI FY05 Budget _X1 GOM 4 Comp_【Shibayama】 FY12 Simulation Excel PKG for Auto" xfId="8050" xr:uid="{383DE8FA-39E4-4EFA-B8F0-51FA8C994D87}"/>
    <cellStyle name="_xf05年工厂损益预算表格3-1215_NMI FY05 Budget _X1 GOM 4 Comp_Ａ&amp;O Consolidation Format_FCST3+9_v3" xfId="8051" xr:uid="{C853FA66-AE7D-4D27-AD91-9DED95D93611}"/>
    <cellStyle name="_xf05年工厂损益预算表格3-1215_NMI FY05 Budget _X1 GOM 4 Comp_A&amp;O Format" xfId="8052" xr:uid="{5372DF37-E1DE-49C7-85A1-FF1DF8A22CFD}"/>
    <cellStyle name="_xf05年工厂损益预算表格3-1215_NMI FY05 Budget _X1 GOM 4 Comp_A&amp;O Format_FCST3+9" xfId="8053" xr:uid="{4ECABF58-3C7B-48E6-BD29-F57A7449881A}"/>
    <cellStyle name="_xf05年工厂损益预算表格3-1215_NMI FY05 Budget _X1 GOM 4 Comp_A&amp;O Format_FCST3+9_v1" xfId="8054" xr:uid="{2F394CD2-87BB-45BB-A879-03E04DC1A8B7}"/>
    <cellStyle name="_xf05年工厂损益预算表格3-1215_NMI FY05 Budget _X1 GOM 4 Comp_CHAO #2 Forecast Summary" xfId="8055" xr:uid="{23EF518E-89BC-4306-844E-25F1ED9650B2}"/>
    <cellStyle name="_xf05年工厂损益预算表格3-1215_NMI FY05 Budget _X1 GOM 4 Comp_CHAO #2 Forecast Summary_FY12 Budget Final OC-China" xfId="8056" xr:uid="{3E7CB495-8E22-4BD7-8AAC-E58F9C53A2E6}"/>
    <cellStyle name="_xf05年工厂损益预算表格3-1215_NMI FY05 Budget _X1 GOM 4 Comp_CHAO #2 Forecast Summary_Sample Format" xfId="8057" xr:uid="{087AC2B8-B189-4B6B-B1D9-99054EAA1F72}"/>
    <cellStyle name="_xf05年工厂损益预算表格3-1215_NMI FY05 Budget _X1 GOM 4 Comp_CHAO #2 Forecast Summary_Sample Format_Ａ&amp;O Consolidation Format_FCST3+9_v3" xfId="8058" xr:uid="{BCCF8B08-A273-4E17-8AE1-A8EB5697A45E}"/>
    <cellStyle name="_xf05年工厂损益预算表格3-1215_NMI FY05 Budget _X1 GOM 4 Comp_CHAO #2 Forecast Summary_Sample Format_A&amp;O Format" xfId="8059" xr:uid="{A720DBD2-AECA-46EE-8A03-3CFA2887F4DE}"/>
    <cellStyle name="_xf05年工厂损益预算表格3-1215_NMI FY05 Budget _X1 GOM 4 Comp_CHAO #2 Forecast Summary_Sample Format_A&amp;O Format_FCST3+9" xfId="8060" xr:uid="{11219FB0-06BE-4E9F-AD58-B9D6DB13EEE2}"/>
    <cellStyle name="_xf05年工厂损益预算表格3-1215_NMI FY05 Budget _X1 GOM 4 Comp_CHAO #2 Forecast Summary_Sample Format_A&amp;O Format_FCST3+9_v1" xfId="8061" xr:uid="{C6AB0343-C4A0-4826-8708-BC7344EDD61B}"/>
    <cellStyle name="_xf05年工厂损益预算表格3-1215_NMI FY05 Budget _X1 GOM 4 Comp_Correct FC#2 AO OP" xfId="8062" xr:uid="{F13D179A-5959-4490-8377-EBC0DA78F469}"/>
    <cellStyle name="_xf05年工厂损益预算表格3-1215_NMI FY05 Budget _X1 GOM 4 Comp_Correct FC#2 AO OP_FY12 Budget Final OC-China" xfId="8063" xr:uid="{11AF3F85-2846-493A-BA06-4FF1F0AC9B2A}"/>
    <cellStyle name="_xf05年工厂损益预算表格3-1215_NMI FY05 Budget _X1 GOM 4 Comp_Correct FC#2 AO OP_Sample Format" xfId="8064" xr:uid="{48B8ED9B-2557-4FED-9800-290DF143AFD8}"/>
    <cellStyle name="_xf05年工厂损益预算表格3-1215_NMI FY05 Budget _X1 GOM 4 Comp_Correct FC#2 AO OP_Sample Format_Ａ&amp;O Consolidation Format_FCST3+9_v3" xfId="8065" xr:uid="{3EC5D77C-B841-40A4-AA04-601045557413}"/>
    <cellStyle name="_xf05年工厂损益预算表格3-1215_NMI FY05 Budget _X1 GOM 4 Comp_Correct FC#2 AO OP_Sample Format_A&amp;O Format" xfId="8066" xr:uid="{D62811C4-1093-4625-881F-1D02966DFBE1}"/>
    <cellStyle name="_xf05年工厂损益预算表格3-1215_NMI FY05 Budget _X1 GOM 4 Comp_Correct FC#2 AO OP_Sample Format_A&amp;O Format_FCST3+9" xfId="8067" xr:uid="{E07343CD-9C71-4FAE-98DC-BE136FB8F905}"/>
    <cellStyle name="_xf05年工厂损益预算表格3-1215_NMI FY05 Budget _X1 GOM 4 Comp_Correct FC#2 AO OP_Sample Format_A&amp;O Format_FCST3+9_v1" xfId="8068" xr:uid="{599D40EB-B90A-4F70-AAB6-A68F8F5526CF}"/>
    <cellStyle name="_xf05年工厂损益预算表格3-1215_NMI FY05 Budget _X1 GOM 4 Comp_FCF_FY12 BUD Simulation Excel PKG for Auto_v2" xfId="8069" xr:uid="{F50FCB63-44A4-41FF-9826-A8B76DD90161}"/>
    <cellStyle name="_xf05年工厂损益预算表格3-1215_NMI FY05 Budget _X1 GOM 4 Comp_FY10 FC#2_OP_Variance" xfId="8070" xr:uid="{ED876B6F-EFFC-4985-AB4D-D49C9C3611C8}"/>
    <cellStyle name="_xf05年工厂损益预算表格3-1215_NMI FY05 Budget _X1 GOM 4 Comp_FY10 FC#2_OP_Variance_FY12 Budget Final OC-China" xfId="8071" xr:uid="{C3EA8279-000B-49E5-BFA9-FFC21B560DBA}"/>
    <cellStyle name="_xf05年工厂损益预算表格3-1215_NMI FY05 Budget _X1 GOM 4 Comp_FY10 FC#2_OP_Variance_Sample Format" xfId="8072" xr:uid="{08987393-55FC-4513-8A05-B56E7B3412CB}"/>
    <cellStyle name="_xf05年工厂损益预算表格3-1215_NMI FY05 Budget _X1 GOM 4 Comp_FY10 FC#2_OP_Variance_Sample Format_Ａ&amp;O Consolidation Format_FCST3+9_v3" xfId="8073" xr:uid="{78774890-BA76-469E-A9D8-00286EDBAAF1}"/>
    <cellStyle name="_xf05年工厂损益预算表格3-1215_NMI FY05 Budget _X1 GOM 4 Comp_FY10 FC#2_OP_Variance_Sample Format_A&amp;O Format" xfId="8074" xr:uid="{F9AABDD7-4091-40B0-A619-81719C8A19F0}"/>
    <cellStyle name="_xf05年工厂损益预算表格3-1215_NMI FY05 Budget _X1 GOM 4 Comp_FY10 FC#2_OP_Variance_Sample Format_A&amp;O Format_FCST3+9" xfId="8075" xr:uid="{DF5633CE-5160-4605-AD3E-0F3B5C67BF06}"/>
    <cellStyle name="_xf05年工厂损益预算表格3-1215_NMI FY05 Budget _X1 GOM 4 Comp_FY10 FC#2_OP_Variance_Sample Format_A&amp;O Format_FCST3+9_v1" xfId="8076" xr:uid="{943583C6-E8E9-4BE1-8923-F68A2B60BB6C}"/>
    <cellStyle name="_xf05年工厂损益预算表格3-1215_NMI FY05 Budget _X1 GOM 4 Comp_FY11 Reply#1_FY11 3X9" xfId="8077" xr:uid="{27348367-771B-43E8-A228-A0AECE93253C}"/>
    <cellStyle name="_xf05年工厂损益预算表格3-1215_NMI FY05 Budget _X1 GOM 4 Comp_FY12 BP_Simulation information PKG_R" xfId="8078" xr:uid="{566FAE89-239B-42DF-A406-97BFC85C47C0}"/>
    <cellStyle name="_xf05年工厂损益预算表格3-1215_NMI FY05 Budget _X1 GOM 4 Comp_FY12 BP_Simulation information PKG_R（SGA）" xfId="8079" xr:uid="{79BC91C2-DDEE-47CA-9D21-827DB6BADD95}"/>
    <cellStyle name="_xf05年工厂损益预算表格3-1215_NMI FY05 Budget _X1 GOM 4 Comp_v1 FY11 Budget Sim summary" xfId="8080" xr:uid="{09992570-73C0-4FD6-9EE3-954F0E2D1915}"/>
    <cellStyle name="_xf05年工厂损益预算表格3-1215_NMI FY05 Budget _X1 GOM 4 Comp_v1 FY11 Budget Sim summary_FY12 Budget Final OC-China" xfId="8081" xr:uid="{38905A1E-198A-4578-A4E5-4A43CF308C03}"/>
    <cellStyle name="_xf05年工厂损益预算表格3-1215_NMI FY05 Budget _X1 GOM 4 Comp_v1 FY11 Budget Sim summary_Sample Format" xfId="8082" xr:uid="{A217A28D-A571-4123-908C-D0C327C73165}"/>
    <cellStyle name="_xf05年工厂损益预算表格3-1215_NMI FY05 Budget _X1 GOM 4 Comp_v1 FY11 Budget Sim summary_Sample Format_Ａ&amp;O Consolidation Format_FCST3+9_v3" xfId="8083" xr:uid="{8059ED69-4270-40F2-9958-AEF774F56B1C}"/>
    <cellStyle name="_xf05年工厂损益预算表格3-1215_NMI FY05 Budget _X1 GOM 4 Comp_v1 FY11 Budget Sim summary_Sample Format_A&amp;O Format" xfId="8084" xr:uid="{65388758-56E3-4901-81C4-C42B879E10F7}"/>
    <cellStyle name="_xf05年工厂损益预算表格3-1215_NMI FY05 Budget _X1 GOM 4 Comp_v1 FY11 Budget Sim summary_Sample Format_A&amp;O Format_FCST3+9" xfId="8085" xr:uid="{A7385517-32CD-4B63-98E0-E72CEDE3C906}"/>
    <cellStyle name="_xf05年工厂损益预算表格3-1215_NMI FY05 Budget _X1 GOM 4 Comp_v1 FY11 Budget Sim summary_Sample Format_A&amp;O Format_FCST3+9_v1" xfId="8086" xr:uid="{BB710CE6-0C9F-4F7F-BD62-1F138418FB4C}"/>
    <cellStyle name="_xf05年工厂损益预算表格3-1215_NMI FY05 Budget _X1 GOM 4 Comp_v2 CHAO #2 Forecast Summary" xfId="8087" xr:uid="{396A0A3D-E8C0-4469-8FF2-98BD2F88EF60}"/>
    <cellStyle name="_xf05年工厂损益预算表格3-1215_NMI FY05 Budget _X1 GOM 4 Comp_v2 CHAO #2 Forecast Summary_FY12 Budget Final OC-China" xfId="8088" xr:uid="{A3BA71D5-7A94-490A-BF8F-BFABCA7B9B23}"/>
    <cellStyle name="_xf05年工厂损益预算表格3-1215_NMI FY05 Budget _X1 GOM 4 Comp_v2 CHAO #2 Forecast Summary_Sample Format" xfId="8089" xr:uid="{1A71093C-6C34-4E0F-8DD8-6A0DB34C7A75}"/>
    <cellStyle name="_xf05年工厂损益预算表格3-1215_NMI FY05 Budget _X1 GOM 4 Comp_v2 CHAO #2 Forecast Summary_Sample Format_Ａ&amp;O Consolidation Format_FCST3+9_v3" xfId="8090" xr:uid="{28753941-988E-4322-9856-A4E0081DC55F}"/>
    <cellStyle name="_xf05年工厂损益预算表格3-1215_NMI FY05 Budget _X1 GOM 4 Comp_v2 CHAO #2 Forecast Summary_Sample Format_A&amp;O Format" xfId="8091" xr:uid="{DA9FC842-DE77-45E8-844B-8D99F71E5809}"/>
    <cellStyle name="_xf05年工厂损益预算表格3-1215_NMI FY05 Budget _X1 GOM 4 Comp_v2 CHAO #2 Forecast Summary_Sample Format_A&amp;O Format_FCST3+9" xfId="8092" xr:uid="{17B5D083-6B87-453A-915E-B51B201339B1}"/>
    <cellStyle name="_xf05年工厂损益预算表格3-1215_NMI FY05 Budget _X1 GOM 4 Comp_v2 CHAO #2 Forecast Summary_Sample Format_A&amp;O Format_FCST3+9_v1" xfId="8093" xr:uid="{57DDD2D3-770A-4628-935C-47DFAE0F25E0}"/>
    <cellStyle name="_xf05年工厂损益预算表格3-1215_NMI FY05 Budget _X1 GOM 4 Comp_v2 FY10 FC#2_OP_Variance" xfId="8094" xr:uid="{985F52F2-1B11-417E-ACF0-7A394C7E21E9}"/>
    <cellStyle name="_xf05年工厂损益预算表格3-1215_NMI FY05 Budget _X1 GOM 4 Comp_v2 FY10 FC#2_OP_Variance_FY12 Budget Final OC-China" xfId="8095" xr:uid="{B2799D5A-863D-4861-8CEB-558A8C07151F}"/>
    <cellStyle name="_xf05年工厂损益预算表格3-1215_NMI FY05 Budget _X1 GOM 4 Comp_v2 FY10 FC#2_OP_Variance_Sample Format" xfId="8096" xr:uid="{C7FB8C7C-0056-4132-941F-B737244A79F6}"/>
    <cellStyle name="_xf05年工厂损益预算表格3-1215_NMI FY05 Budget _X1 GOM 4 Comp_v2 FY10 FC#2_OP_Variance_Sample Format_Ａ&amp;O Consolidation Format_FCST3+9_v3" xfId="8097" xr:uid="{17F44572-1CBE-46AC-964D-ACF77888A629}"/>
    <cellStyle name="_xf05年工厂损益预算表格3-1215_NMI FY05 Budget _X1 GOM 4 Comp_v2 FY10 FC#2_OP_Variance_Sample Format_A&amp;O Format" xfId="8098" xr:uid="{8E5AAA82-C5B4-45A5-815A-8375F9027A41}"/>
    <cellStyle name="_xf05年工厂损益预算表格3-1215_NMI FY05 Budget _X1 GOM 4 Comp_v2 FY10 FC#2_OP_Variance_Sample Format_A&amp;O Format_FCST3+9" xfId="8099" xr:uid="{9C6D430E-6103-41C0-BE22-8D91C9F68BFB}"/>
    <cellStyle name="_xf05年工厂损益预算表格3-1215_NMI FY05 Budget _X1 GOM 4 Comp_v2 FY10 FC#2_OP_Variance_Sample Format_A&amp;O Format_FCST3+9_v1" xfId="8100" xr:uid="{95340B32-1078-4703-A5BA-3DA11714E842}"/>
    <cellStyle name="_xf05年工厂损益预算表格3-1215_NMI FY05 Budget _X1 GOM 4 Comp_v5 FY11 Budget Sim summary" xfId="8101" xr:uid="{AED47575-AABD-429A-96FD-B8197F35A034}"/>
    <cellStyle name="_xf05年工厂损益预算表格3-1215_NMI FY05 Budget _X1 GOM 4 Comp_v5 FY11 Budget Sim summary_FY12 Budget Final OC-China" xfId="8102" xr:uid="{175DAC56-9112-42BD-BA16-CCF1AF352787}"/>
    <cellStyle name="_xf05年工厂损益预算表格3-1215_NMI FY05 Budget _X1 GOM 4 Comp_v5 FY11 Budget Sim summary_Sample Format" xfId="8103" xr:uid="{5153362A-053B-43F1-B083-531E92250957}"/>
    <cellStyle name="_xf05年工厂损益预算表格3-1215_NMI FY05 Budget _X1 GOM 4 Comp_v5 FY11 Budget Sim summary_Sample Format_Ａ&amp;O Consolidation Format_FCST3+9_v3" xfId="8104" xr:uid="{C03F11B4-CA61-4492-B9AC-01A60C78F407}"/>
    <cellStyle name="_xf05年工厂损益预算表格3-1215_NMI FY05 Budget _X1 GOM 4 Comp_v5 FY11 Budget Sim summary_Sample Format_A&amp;O Format" xfId="8105" xr:uid="{7FEBF22B-2181-4107-AA23-95E77817720C}"/>
    <cellStyle name="_xf05年工厂损益预算表格3-1215_NMI FY05 Budget _X1 GOM 4 Comp_v5 FY11 Budget Sim summary_Sample Format_A&amp;O Format_FCST3+9" xfId="8106" xr:uid="{2618810C-D922-4B4B-9A04-BCD4F1A3C8FD}"/>
    <cellStyle name="_xf05年工厂损益预算表格3-1215_NMI FY05 Budget _X1 GOM 4 Comp_v5 FY11 Budget Sim summary_Sample Format_A&amp;O Format_FCST3+9_v1" xfId="8107" xr:uid="{4CD30207-9780-448A-BE54-4E3C123FF6E7}"/>
    <cellStyle name="_xf05年工厂损益预算表格3-1215_NMI FY05 Budget _X1 GOM 4 Comp_コピー【Master】 FY12 Simula tion Excel PKG for Auto" xfId="8108" xr:uid="{CF33331F-FA4C-4C62-A696-6B2BF5F0F10D}"/>
    <cellStyle name="_xf05年工厂损益预算表格3-1215_NMI FY05 Budget _X1 GOM 4 Comp_これマスター　FCF_FY12 Simulation Excel PKG for Auto" xfId="8109" xr:uid="{913071B3-51E0-4251-939E-B84C8065271B}"/>
    <cellStyle name="_xf05年工厂损益预算表格3-1215_NMI FY05 Budget _コピー【Master】 FY12 Simula tion Excel PKG for Auto" xfId="8110" xr:uid="{5D09888C-D340-4CF1-8B2F-1114A7F2CB64}"/>
    <cellStyle name="_xf05年工厂损益预算表格3-1215_NMI FY05 Budget _これマスター　FCF_FY12 Simulation Excel PKG for Auto" xfId="8111" xr:uid="{BEA446EB-5B0C-485D-8E10-00742F34DE05}"/>
    <cellStyle name="_xf05年工厂损益预算表格3-1215_P32E MC TDC with MC (100206)" xfId="8112" xr:uid="{FF43866F-A462-41B6-B97C-5DADE36ADDB3}"/>
    <cellStyle name="_xf05年工厂损益预算表格3-1215_P32L LCP TDC Case3 (0900221)" xfId="8113" xr:uid="{C6E83186-CA21-4BA5-B608-F3886B926EA8}"/>
    <cellStyle name="_xf05年工厂损益预算表格3-1215_Post Plan 23Assumption070705" xfId="8114" xr:uid="{43579538-0FD5-4112-AEA6-B29D79EE35FB}"/>
    <cellStyle name="_xf05年工厂损益预算表格3-1215_Post Plan 23Assumption070705_L42F TDC 071224(Re-contract)" xfId="8115" xr:uid="{9D492121-E8A3-4083-AF19-9C2B6FC7C675}"/>
    <cellStyle name="_xf05年工厂损益预算表格3-1215_Post Plan 23Assumption070705_L42F TDC 071224(Re-contract)_L42F TDC LCP scenario1 SOP 2010 Nov. (090417改)" xfId="8116" xr:uid="{6D4CD6B0-E425-428B-A03F-6CCF688EE57B}"/>
    <cellStyle name="_xf05年工厂损益预算表格3-1215_Post Plan 23Assumption070705_L42F TDC for 3 Cases study (2)" xfId="8117" xr:uid="{F45D8B2B-63DD-48CF-9BD5-B1067C47AB3E}"/>
    <cellStyle name="_xf05年工厂损益预算表格3-1215_Post Plan 23Assumption070705_L42F TDC for 3 Cases study (2)_L42F TDC 071009" xfId="8118" xr:uid="{DBA0EE22-EF40-4B32-A838-096115B4ABB9}"/>
    <cellStyle name="_xf05年工厂损益预算表格3-1215_Post Plan 23Assumption070705_L42F TDC for 3 Cases study (2)_L42F TDC 071009_L42F TDC LCP scenario1 SOP 2010 Nov. (090417改)" xfId="8119" xr:uid="{C74DB4CA-19F6-43BE-8530-814BE8960892}"/>
    <cellStyle name="_xf05年工厂损益预算表格3-1215_Post Plan 23Assumption070705_L42F TDC for 3 Cases study (2)_L42F TDC 071224(Re-contract)" xfId="8120" xr:uid="{BEE6FADF-BC2C-4058-A589-442566CEBABB}"/>
    <cellStyle name="_xf05年工厂损益预算表格3-1215_Post Plan 23Assumption070705_L42F TDC for 3 Cases study (2)_L42F TDC 071224(Re-contract)_L42F TDC LCP scenario1 SOP 2010 Nov. (090417改)" xfId="8121" xr:uid="{746D2146-27A3-48AF-B600-9BA2900E0FB1}"/>
    <cellStyle name="_xf05年工厂损益预算表格3-1215_Post Plan 23Assumption070705_L42F TDC for 3 Cases study (2)_L42F TDC Assumption" xfId="8122" xr:uid="{FA5E9595-4633-4549-9241-939CA435111E}"/>
    <cellStyle name="_xf05年工厂损益预算表格3-1215_Post Plan 23Assumption070705_L42F TDC for 3 Cases study (2)_L42F TDC Assumption_L42F TDC LCP scenario1 SOP 2010 Nov. (090417改)" xfId="8123" xr:uid="{32B7D7D3-0EC4-4E72-8F9F-01176C2F85A0}"/>
    <cellStyle name="_xf05年工厂损益预算表格3-1215_Post Plan 23Assumption070705_L42F TDC for 3 Cases study (2)_L42F TDC LCP scenario1 SOP 2010 Nov. (090417改)" xfId="8124" xr:uid="{28A947DA-6426-4C29-87A9-708AA0C4C1DA}"/>
    <cellStyle name="_xf05年工厂损益预算表格3-1215_Post Plan 23Assumption070705_L42F TDC for 3 Cases study (2)_L42F_MPR MSRP_TP_MIX Assumption 080921" xfId="8125" xr:uid="{638B1A21-4802-4A8F-AD80-1CB736AEBDD2}"/>
    <cellStyle name="_xf05年工厂损益预算表格3-1215_Post Plan 23Assumption070705_L42F TDC for 3 Cases study (2)_TDC Assumption form (2)" xfId="8126" xr:uid="{833480E4-FC81-471D-B710-5737463A196D}"/>
    <cellStyle name="_xf05年工厂损益预算表格3-1215_Post Plan 23Assumption070705_L42F TDC for 3 Cases study (2)_王宏达-09 02 11 L02B Volume Mix MSRP" xfId="8127" xr:uid="{A7D2B3B8-D361-473C-8EAD-1F444A0C2F26}"/>
    <cellStyle name="_xf05年工厂损益预算表格3-1215_Post Plan 23Assumption070705_L42F_MSRP TP mix_080509" xfId="8128" xr:uid="{A40BBA39-22CA-4B3D-8B58-76EE49CB4C00}"/>
    <cellStyle name="_xf05年工厂损益预算表格3-1215_Post Plan 23Assumption070705_L42F_MSRP TP mix_080509_L42F TDC LCP scenario1 SOP 2010 Nov. (090417改)" xfId="8129" xr:uid="{3E2C9FF6-C19E-4196-9BF4-44DBED671229}"/>
    <cellStyle name="_xf05年工厂损益预算表格3-1215_Post Plan 23Assumption070705_Post Plan 23Assumption070710" xfId="8130" xr:uid="{7E4CE929-8ED6-4283-B478-4C8DDBA206F0}"/>
    <cellStyle name="_xf05年工厂损益预算表格3-1215_Post Plan 23Assumption070705_Post Plan 23Assumption070710_L42F TDC 071224(Re-contract)" xfId="8131" xr:uid="{46D87026-291B-4530-A0E1-0EE623004C26}"/>
    <cellStyle name="_xf05年工厂损益预算表格3-1215_Post Plan 23Assumption070705_Post Plan 23Assumption070710_L42F TDC 071224(Re-contract)_L42F TDC LCP scenario1 SOP 2010 Nov. (090417改)" xfId="8132" xr:uid="{53611CF0-D23F-4345-AB0D-7A6B738D742C}"/>
    <cellStyle name="_xf05年工厂损益预算表格3-1215_Post Plan 23Assumption070705_Post Plan 23Assumption070710_L42F TDC for 3 Cases study (2)" xfId="8133" xr:uid="{00BEA4A4-2671-4654-BC22-EE9071FCEE3D}"/>
    <cellStyle name="_xf05年工厂损益预算表格3-1215_Post Plan 23Assumption070705_Post Plan 23Assumption070710_L42F TDC for 3 Cases study (2)_L42F TDC 071009" xfId="8134" xr:uid="{D40E87AB-8029-4880-B4AA-B7DFF83A18DD}"/>
    <cellStyle name="_xf05年工厂损益预算表格3-1215_Post Plan 23Assumption070705_Post Plan 23Assumption070710_L42F TDC for 3 Cases study (2)_L42F TDC 071009_L42F TDC LCP scenario1 SOP 2010 Nov. (090417改)" xfId="8135" xr:uid="{A9CD5DD9-A0B4-48A6-8A7F-E50DB6EF93BE}"/>
    <cellStyle name="_xf05年工厂损益预算表格3-1215_Post Plan 23Assumption070705_Post Plan 23Assumption070710_L42F TDC for 3 Cases study (2)_L42F TDC 071224(Re-contract)" xfId="8136" xr:uid="{EA4D1A0F-8FE3-4551-8066-BF33C9B3DDB9}"/>
    <cellStyle name="_xf05年工厂损益预算表格3-1215_Post Plan 23Assumption070705_Post Plan 23Assumption070710_L42F TDC for 3 Cases study (2)_L42F TDC 071224(Re-contract)_L42F TDC LCP scenario1 SOP 2010 Nov. (090417改)" xfId="8137" xr:uid="{EC81FC11-9976-4E07-8C45-50FF96F50165}"/>
    <cellStyle name="_xf05年工厂损益预算表格3-1215_Post Plan 23Assumption070705_Post Plan 23Assumption070710_L42F TDC for 3 Cases study (2)_L42F TDC Assumption" xfId="8138" xr:uid="{80E6B568-C6D8-4384-B65F-233C773D38EA}"/>
    <cellStyle name="_xf05年工厂损益预算表格3-1215_Post Plan 23Assumption070705_Post Plan 23Assumption070710_L42F TDC for 3 Cases study (2)_L42F TDC Assumption_L42F TDC LCP scenario1 SOP 2010 Nov. (090417改)" xfId="8139" xr:uid="{EF8024BC-885E-46DF-A978-4ACAA8279F7A}"/>
    <cellStyle name="_xf05年工厂损益预算表格3-1215_Post Plan 23Assumption070705_Post Plan 23Assumption070710_L42F TDC for 3 Cases study (2)_L42F TDC LCP scenario1 SOP 2010 Nov. (090417改)" xfId="8140" xr:uid="{691032C3-489D-448E-A5A4-13587B335A78}"/>
    <cellStyle name="_xf05年工厂损益预算表格3-1215_Post Plan 23Assumption070705_Post Plan 23Assumption070710_L42F TDC for 3 Cases study (2)_L42F_MPR MSRP_TP_MIX Assumption 080921" xfId="8141" xr:uid="{DB60B38F-C4DB-41DF-B25C-EAA387244AED}"/>
    <cellStyle name="_xf05年工厂损益预算表格3-1215_Post Plan 23Assumption070705_Post Plan 23Assumption070710_L42F TDC for 3 Cases study (2)_TDC Assumption form (2)" xfId="8142" xr:uid="{A57B7D4A-D083-4062-BA6D-33017810EBD1}"/>
    <cellStyle name="_xf05年工厂损益预算表格3-1215_Post Plan 23Assumption070705_Post Plan 23Assumption070710_L42F TDC for 3 Cases study (2)_王宏达-09 02 11 L02B Volume Mix MSRP" xfId="8143" xr:uid="{9FB78EEC-75A5-40CA-8E10-8D9834DFC393}"/>
    <cellStyle name="_xf05年工厂损益预算表格3-1215_Post Plan 23Assumption070705_Post Plan 23Assumption070710_L42F_MSRP TP mix_080509" xfId="8144" xr:uid="{2941689B-951F-47A6-83DB-E708E47284ED}"/>
    <cellStyle name="_xf05年工厂损益预算表格3-1215_Post Plan 23Assumption070705_Post Plan 23Assumption070710_L42F_MSRP TP mix_080509_L42F TDC LCP scenario1 SOP 2010 Nov. (090417改)" xfId="8145" xr:uid="{D0D027A8-932D-4631-A1DF-807DD47DD561}"/>
    <cellStyle name="_xf05年工厂损益预算表格3-1215_Post Plan 23Assumption070705_Post Plan 23Assumption070710_Post Plan 23Assumption070914" xfId="8146" xr:uid="{AE067670-30B1-481D-826F-6AD29CD28486}"/>
    <cellStyle name="_xf05年工厂损益预算表格3-1215_Post Plan 23Assumption070705_Post Plan 23Assumption070710_Post Plan 23Assumption070914_L42F TDC 071009" xfId="8147" xr:uid="{AC69C03C-BDCB-443C-8268-C7236E7C3397}"/>
    <cellStyle name="_xf05年工厂损益预算表格3-1215_Post Plan 23Assumption070705_Post Plan 23Assumption070710_Post Plan 23Assumption070914_L42F TDC 071009_L42F TDC LCP scenario1 SOP 2010 Nov. (090417改)" xfId="8148" xr:uid="{35B614FC-0968-49DD-A822-2A7CED6244F7}"/>
    <cellStyle name="_xf05年工厂损益预算表格3-1215_Post Plan 23Assumption070705_Post Plan 23Assumption070710_Post Plan 23Assumption070914_L42F TDC 071224(Re-contract)" xfId="8149" xr:uid="{2820D4FA-5AEF-4935-9034-F5F8CF79B375}"/>
    <cellStyle name="_xf05年工厂损益预算表格3-1215_Post Plan 23Assumption070705_Post Plan 23Assumption070710_Post Plan 23Assumption070914_L42F TDC 071224(Re-contract)_L42F TDC LCP scenario1 SOP 2010 Nov. (090417改)" xfId="8150" xr:uid="{3BD3AA9F-CFCF-4ECF-8C12-EDAFC23A6E5E}"/>
    <cellStyle name="_xf05年工厂损益预算表格3-1215_Post Plan 23Assumption070705_Post Plan 23Assumption070710_Post Plan 23Assumption070914_L42F TDC Assumption" xfId="8151" xr:uid="{0F9822A1-E477-4E5C-B79C-A319B3F8569E}"/>
    <cellStyle name="_xf05年工厂损益预算表格3-1215_Post Plan 23Assumption070705_Post Plan 23Assumption070710_Post Plan 23Assumption070914_L42F TDC Assumption_L42F TDC LCP scenario1 SOP 2010 Nov. (090417改)" xfId="8152" xr:uid="{37452AAA-21E7-4DE8-AA4A-2A16A667E413}"/>
    <cellStyle name="_xf05年工厂损益预算表格3-1215_Post Plan 23Assumption070705_Post Plan 23Assumption070710_Post Plan 23Assumption070914_L42F TDC LCP scenario1 SOP 2010 Nov. (090417改)" xfId="8153" xr:uid="{1A2EDCD1-023F-4F51-932E-9027D2339D35}"/>
    <cellStyle name="_xf05年工厂损益预算表格3-1215_Post Plan 23Assumption070705_Post Plan 23Assumption070710_Post Plan 23Assumption070914_L42F_MPR MSRP_TP_MIX Assumption 080921" xfId="8154" xr:uid="{640F28AD-D7A2-4161-9405-606D18BB4807}"/>
    <cellStyle name="_xf05年工厂损益预算表格3-1215_Post Plan 23Assumption070705_Post Plan 23Assumption070710_Post Plan 23Assumption070914_TDC Assumption form (2)" xfId="8155" xr:uid="{A99DC8F2-57F2-47B4-80F7-2790CF7DB56E}"/>
    <cellStyle name="_xf05年工厂损益预算表格3-1215_Post Plan 23Assumption070705_Post Plan 23Assumption070710_Post Plan 23Assumption070914_王宏达-09 02 11 L02B Volume Mix MSRP" xfId="8156" xr:uid="{3CC7D5A8-357B-4ABC-B5F3-FD1F73E97530}"/>
    <cellStyle name="_xf05年工厂损益预算表格3-1215_Post Plan 23Assumption070705_Post Plan 23Assumption070710_TDC Assumption form (2)" xfId="8157" xr:uid="{5B1D0214-2492-4CDD-BB8B-10AB1485B24A}"/>
    <cellStyle name="_xf05年工厂损益预算表格3-1215_Post Plan 23Assumption070705_Post Plan 23Assumption070710_王宏达-09 02 11 L02B Volume Mix MSRP" xfId="8158" xr:uid="{E81BD48B-9159-417E-A263-9A98E692022D}"/>
    <cellStyle name="_xf05年工厂损益预算表格3-1215_Post Plan 23Assumption070705_Post Plan 23Assumption070914" xfId="8159" xr:uid="{E1AB4B1C-21E0-4918-A323-7F99CC70321E}"/>
    <cellStyle name="_xf05年工厂损益预算表格3-1215_Post Plan 23Assumption070705_Post Plan 23Assumption070914_L42F TDC 071009" xfId="8160" xr:uid="{6FE9CFD5-5601-45D8-AA3F-9066605E0F48}"/>
    <cellStyle name="_xf05年工厂损益预算表格3-1215_Post Plan 23Assumption070705_Post Plan 23Assumption070914_L42F TDC 071009_L42F TDC LCP scenario1 SOP 2010 Nov. (090417改)" xfId="8161" xr:uid="{36D2AD2C-9BD6-4261-BCF4-96C9B189E374}"/>
    <cellStyle name="_xf05年工厂损益预算表格3-1215_Post Plan 23Assumption070705_Post Plan 23Assumption070914_L42F TDC 071224(Re-contract)" xfId="8162" xr:uid="{E8B27593-1799-46A2-BFBE-14C793DC9812}"/>
    <cellStyle name="_xf05年工厂损益预算表格3-1215_Post Plan 23Assumption070705_Post Plan 23Assumption070914_L42F TDC 071224(Re-contract)_L42F TDC LCP scenario1 SOP 2010 Nov. (090417改)" xfId="8163" xr:uid="{2C6A5019-6FE4-4482-A345-9023AB0B3216}"/>
    <cellStyle name="_xf05年工厂损益预算表格3-1215_Post Plan 23Assumption070705_Post Plan 23Assumption070914_L42F TDC Assumption" xfId="8164" xr:uid="{052A144C-CF3B-4800-8E1C-81D848A9823D}"/>
    <cellStyle name="_xf05年工厂损益预算表格3-1215_Post Plan 23Assumption070705_Post Plan 23Assumption070914_L42F TDC Assumption_L42F TDC LCP scenario1 SOP 2010 Nov. (090417改)" xfId="8165" xr:uid="{54A2A460-33C8-4024-B7C2-6F05ECD8E0AA}"/>
    <cellStyle name="_xf05年工厂损益预算表格3-1215_Post Plan 23Assumption070705_Post Plan 23Assumption070914_L42F TDC LCP scenario1 SOP 2010 Nov. (090417改)" xfId="8166" xr:uid="{E05869A9-D270-49BD-B54C-CFB2F179A4B9}"/>
    <cellStyle name="_xf05年工厂损益预算表格3-1215_Post Plan 23Assumption070705_Post Plan 23Assumption070914_L42F_MPR MSRP_TP_MIX Assumption 080921" xfId="8167" xr:uid="{F632F28B-1809-4057-AA26-EF30E5C22960}"/>
    <cellStyle name="_xf05年工厂损益预算表格3-1215_Post Plan 23Assumption070705_Post Plan 23Assumption070914_TDC Assumption form (2)" xfId="8168" xr:uid="{FD2547C5-261D-419C-93C3-22B281F89A40}"/>
    <cellStyle name="_xf05年工厂损益预算表格3-1215_Post Plan 23Assumption070705_Post Plan 23Assumption070914_王宏达-09 02 11 L02B Volume Mix MSRP" xfId="8169" xr:uid="{D74E7787-EDBA-416A-B6F7-779EB2EDD806}"/>
    <cellStyle name="_xf05年工厂损益预算表格3-1215_Post Plan 23Assumption070705_TDC Assumption form (2)" xfId="8170" xr:uid="{75BEDA73-94E1-4F25-B5C6-B659D3C45072}"/>
    <cellStyle name="_xf05年工厂损益预算表格3-1215_Post Plan 23Assumption070705_王宏达-09 02 11 L02B Volume Mix MSRP" xfId="8171" xr:uid="{21AB80EA-2C4B-40C0-964E-7CCB4185797F}"/>
    <cellStyle name="_xf05年工厂损益预算表格3-1215_Post Plan 23Assumption070914" xfId="8172" xr:uid="{5758DEC4-2E0D-453E-AE2D-1A4EC1F13C33}"/>
    <cellStyle name="_xf05年工厂损益预算表格3-1215_Post Plan 23Assumption070914_L42F TDC 071009" xfId="8173" xr:uid="{204A87F8-A468-4DDE-9254-6D92D3E40B30}"/>
    <cellStyle name="_xf05年工厂损益预算表格3-1215_Post Plan 23Assumption070914_L42F TDC 071009_L42F TDC LCP scenario1 SOP 2010 Nov. (090417改)" xfId="8174" xr:uid="{D16ADB4C-C51D-4F3F-9554-3D5D29A053D5}"/>
    <cellStyle name="_xf05年工厂损益预算表格3-1215_Post Plan 23Assumption070914_L42F TDC 071224(Re-contract)" xfId="8175" xr:uid="{FAA56605-32C8-4F0A-A78F-0AE1706737A3}"/>
    <cellStyle name="_xf05年工厂损益预算表格3-1215_Post Plan 23Assumption070914_L42F TDC 071224(Re-contract)_L42F TDC LCP scenario1 SOP 2010 Nov. (090417改)" xfId="8176" xr:uid="{AF3BF9BE-A1F2-4719-8C6A-7F7D4D2A99F9}"/>
    <cellStyle name="_xf05年工厂损益预算表格3-1215_Post Plan 23Assumption070914_L42F TDC Assumption" xfId="8177" xr:uid="{AD70497D-C2CF-41C9-B19D-4C5CF81287F7}"/>
    <cellStyle name="_xf05年工厂损益预算表格3-1215_Post Plan 23Assumption070914_L42F TDC Assumption_L42F TDC LCP scenario1 SOP 2010 Nov. (090417改)" xfId="8178" xr:uid="{A98E3CDF-FED1-47DE-8A75-9D29BC7F6392}"/>
    <cellStyle name="_xf05年工厂损益预算表格3-1215_Post Plan 23Assumption070914_L42F TDC LCP scenario1 SOP 2010 Nov. (090417改)" xfId="8179" xr:uid="{8B25AF46-21F7-44C3-BC0D-6A976D89188A}"/>
    <cellStyle name="_xf05年工厂损益预算表格3-1215_Post Plan 23Assumption070914_L42F_MPR MSRP_TP_MIX Assumption 080921" xfId="8180" xr:uid="{57B5C789-AD97-4E92-8C39-AB6E737DA436}"/>
    <cellStyle name="_xf05年工厂损益预算表格3-1215_Post Plan 23Assumption070914_TDC Assumption form (2)" xfId="8181" xr:uid="{290E5892-281A-4041-B974-5EC8BA1FA73C}"/>
    <cellStyle name="_xf05年工厂损益预算表格3-1215_Post Plan 23Assumption070914_王宏达-09 02 11 L02B Volume Mix MSRP" xfId="8182" xr:uid="{D644D9C1-DA1C-476D-AE02-083D90DFB938}"/>
    <cellStyle name="_xf05年工厂损益预算表格3-1215_TDC Assumption form (2)" xfId="8183" xr:uid="{0BFB5813-A2C8-4022-955E-5AA05ECA69B9}"/>
    <cellStyle name="_xf05年工厂损益预算表格3-1215_TDC SUMMARY SHEET for MTP (version 2.1 100526)" xfId="8184" xr:uid="{1458B3B5-5197-47FC-B471-DF314BD9F64D}"/>
    <cellStyle name="_xf05年工厂损益预算表格3-1215_TDC SUMMARY SHEET for MTP (version 3.0 100526)" xfId="8185" xr:uid="{D500AF04-6FEC-4794-BAE4-C991FB1AFC4D}"/>
    <cellStyle name="_xf05年工厂损益预算表格3-1215_Teana Risk" xfId="8186" xr:uid="{B43893D1-BC3F-4878-AF87-3E93A48282E8}"/>
    <cellStyle name="_xf05年工厂损益预算表格3-1215_Teana Risk 2" xfId="8187" xr:uid="{F57357C2-5512-4B40-BA2F-30E331742FEA}"/>
    <cellStyle name="_xf05年工厂损益预算表格3-1215_Teana Risk_CY09 material risk compare-0615-16 LP" xfId="8188" xr:uid="{320B3FA9-C473-48A8-ABCA-3A104A88E142}"/>
    <cellStyle name="_xf05年工厂损益预算表格3-1215_Teana Risk_CY09 material risk compare-0615-16 LP 2" xfId="8189" xr:uid="{CEBDA4A4-ACC8-4C73-BA8A-07070856224C}"/>
    <cellStyle name="_xf05年工厂损益预算表格3-1215_Teana Risk_CY09 material risk compare-0615-16 LP_FY13 Budget Simulation Excel PKG for Auto by company" xfId="8190" xr:uid="{5E031415-00D1-4974-B850-71C454376B26}"/>
    <cellStyle name="_xf05年工厂损益预算表格3-1215_Teana Risk_FY09 material forecast5+7 0616 for financial report" xfId="8191" xr:uid="{CBAAF0A7-EC87-4AD0-BF77-8D9AB9F36B7A}"/>
    <cellStyle name="_xf05年工厂损益预算表格3-1215_Teana Risk_FY09 material forecast5+7 0616 for financial report 2" xfId="8192" xr:uid="{5D855DD3-4257-436D-9F92-57D529736F63}"/>
    <cellStyle name="_xf05年工厂损益预算表格3-1215_Teana Risk_FY09 material forecast5+7 0616 for financial report_FY13 Budget Simulation Excel PKG for Auto by company" xfId="8193" xr:uid="{895A1167-5C00-4FDA-8C0A-69E84F7382E1}"/>
    <cellStyle name="_xf05年工厂损益预算表格3-1215_Teana Risk_FY13 Budget Simulation Excel PKG for Auto by company" xfId="8194" xr:uid="{3C35C367-BFA2-4084-85A4-4D2D41488790}"/>
    <cellStyle name="_xf05年工厂损益预算表格3-1215_v1 FY11 Budget Sim summary" xfId="8195" xr:uid="{79F19401-3D39-4627-BC66-F9472B934C7F}"/>
    <cellStyle name="_xf05年工厂损益预算表格3-1215_v1 FY11 Budget Sim summary_FY12 Budget Final OC-China" xfId="8196" xr:uid="{6126374F-A512-42D2-8C7B-283662A60EA5}"/>
    <cellStyle name="_xf05年工厂损益预算表格3-1215_v1 FY11 Budget Sim summary_Sample Format" xfId="8197" xr:uid="{839AD1EB-4984-4F39-8D75-B56463171802}"/>
    <cellStyle name="_xf05年工厂损益预算表格3-1215_v1 FY11 Budget Sim summary_Sample Format_Ａ&amp;O Consolidation Format_FCST3+9_v3" xfId="8198" xr:uid="{E3BC0D85-A0E5-45F7-A2A9-50B39B130033}"/>
    <cellStyle name="_xf05年工厂损益预算表格3-1215_v1 FY11 Budget Sim summary_Sample Format_A&amp;O Format" xfId="8199" xr:uid="{DCD0CD39-9AA9-43F6-9616-05BD7A4C748C}"/>
    <cellStyle name="_xf05年工厂损益预算表格3-1215_v1 FY11 Budget Sim summary_Sample Format_A&amp;O Format_FCST3+9" xfId="8200" xr:uid="{26CA6D4D-44F9-4FA8-BD9D-28238F9D1396}"/>
    <cellStyle name="_xf05年工厂损益预算表格3-1215_v1 FY11 Budget Sim summary_Sample Format_A&amp;O Format_FCST3+9_v1" xfId="8201" xr:uid="{2BDABF78-60DB-4368-BB02-1CE409D36DE0}"/>
    <cellStyle name="_xf05年工厂损益预算表格3-1215_v2 CHAO #2 Forecast Summary" xfId="8202" xr:uid="{901E3752-60F7-429C-9C1A-A26133AF4349}"/>
    <cellStyle name="_xf05年工厂损益预算表格3-1215_v2 CHAO #2 Forecast Summary_FY12 Budget Final OC-China" xfId="8203" xr:uid="{C6BC591C-1130-41DA-87E3-CC4B41FD98E0}"/>
    <cellStyle name="_xf05年工厂损益预算表格3-1215_v2 CHAO #2 Forecast Summary_Sample Format" xfId="8204" xr:uid="{397CD014-2BA6-4308-B1B5-8D1DD3209058}"/>
    <cellStyle name="_xf05年工厂损益预算表格3-1215_v2 CHAO #2 Forecast Summary_Sample Format_Ａ&amp;O Consolidation Format_FCST3+9_v3" xfId="8205" xr:uid="{948C7DA6-EECE-487D-A51B-9D0C616F0422}"/>
    <cellStyle name="_xf05年工厂损益预算表格3-1215_v2 CHAO #2 Forecast Summary_Sample Format_A&amp;O Format" xfId="8206" xr:uid="{0FCCBB71-955A-45DE-BE03-F69EDBCE25AC}"/>
    <cellStyle name="_xf05年工厂损益预算表格3-1215_v2 CHAO #2 Forecast Summary_Sample Format_A&amp;O Format_FCST3+9" xfId="8207" xr:uid="{5985DCC9-6A40-4A84-B72C-BE6C3EBAF720}"/>
    <cellStyle name="_xf05年工厂损益预算表格3-1215_v2 CHAO #2 Forecast Summary_Sample Format_A&amp;O Format_FCST3+9_v1" xfId="8208" xr:uid="{0B99A69A-A154-4B63-A45C-7737859B81AD}"/>
    <cellStyle name="_xf05年工厂损益预算表格3-1215_v2 FY10 FC#2_OP_Variance" xfId="8209" xr:uid="{96F23297-4CD3-43AF-8C31-A657103047F7}"/>
    <cellStyle name="_xf05年工厂损益预算表格3-1215_v2 FY10 FC#2_OP_Variance_FY12 Budget Final OC-China" xfId="8210" xr:uid="{C6EBC733-EBF7-4B2B-83A7-6BB556606D44}"/>
    <cellStyle name="_xf05年工厂损益预算表格3-1215_v2 FY10 FC#2_OP_Variance_Sample Format" xfId="8211" xr:uid="{524F7724-232C-4DD5-83F8-3CCB19B9CA0E}"/>
    <cellStyle name="_xf05年工厂损益预算表格3-1215_v2 FY10 FC#2_OP_Variance_Sample Format_Ａ&amp;O Consolidation Format_FCST3+9_v3" xfId="8212" xr:uid="{0A307EFF-D576-4BC3-8899-82D94AEBBF2A}"/>
    <cellStyle name="_xf05年工厂损益预算表格3-1215_v2 FY10 FC#2_OP_Variance_Sample Format_A&amp;O Format" xfId="8213" xr:uid="{56EE5F7D-6C42-457B-9D58-FBD9DA74C811}"/>
    <cellStyle name="_xf05年工厂损益预算表格3-1215_v2 FY10 FC#2_OP_Variance_Sample Format_A&amp;O Format_FCST3+9" xfId="8214" xr:uid="{13D64BD8-C608-4A78-B750-94EC69D72469}"/>
    <cellStyle name="_xf05年工厂损益预算表格3-1215_v2 FY10 FC#2_OP_Variance_Sample Format_A&amp;O Format_FCST3+9_v1" xfId="8215" xr:uid="{D2774582-DE58-43DF-BBD1-31337227ED68}"/>
    <cellStyle name="_xf05年工厂损益预算表格3-1215_v5 FY11 Budget Sim summary" xfId="8216" xr:uid="{ACE20907-67B0-4A20-8D05-8E936F8144D8}"/>
    <cellStyle name="_xf05年工厂损益预算表格3-1215_v5 FY11 Budget Sim summary_FY12 Budget Final OC-China" xfId="8217" xr:uid="{79D5F312-A3BE-476A-9FCF-F9505381E8E0}"/>
    <cellStyle name="_xf05年工厂损益预算表格3-1215_v5 FY11 Budget Sim summary_Sample Format" xfId="8218" xr:uid="{685EB8BB-1F2C-453F-BE3C-0F12A89526DB}"/>
    <cellStyle name="_xf05年工厂损益预算表格3-1215_v5 FY11 Budget Sim summary_Sample Format_Ａ&amp;O Consolidation Format_FCST3+9_v3" xfId="8219" xr:uid="{9A62983B-B01D-4DE9-A4E8-F18188FD7DB4}"/>
    <cellStyle name="_xf05年工厂损益预算表格3-1215_v5 FY11 Budget Sim summary_Sample Format_A&amp;O Format" xfId="8220" xr:uid="{AB368B38-3E12-43AB-BA4A-471DB5DDDECF}"/>
    <cellStyle name="_xf05年工厂损益预算表格3-1215_v5 FY11 Budget Sim summary_Sample Format_A&amp;O Format_FCST3+9" xfId="8221" xr:uid="{F5586FCE-D250-40A0-8984-8FE7CF9B1BCB}"/>
    <cellStyle name="_xf05年工厂损益预算表格3-1215_v5 FY11 Budget Sim summary_Sample Format_A&amp;O Format_FCST3+9_v1" xfId="8222" xr:uid="{EFA769A5-25EE-4A3E-95DE-5DA23FEE25DB}"/>
    <cellStyle name="_xf05年工厂损益预算表格3-1215_Volume Assumption &amp; Current Models" xfId="8223" xr:uid="{B8B3E207-A1B4-4796-9A6A-2CE6A363266B}"/>
    <cellStyle name="_xf05年工厂损益预算表格3-1215_X1 GOM 4 Comp" xfId="8224" xr:uid="{71F4E8E4-81A9-4DFB-8F85-36F2D431C303}"/>
    <cellStyle name="_xf05年工厂损益预算表格3-1215_X1 GOM 4 Comp_#1 Forecast Summary" xfId="8225" xr:uid="{E6DBC3F5-E5B7-4A40-8B5E-3B6B0199EEB9}"/>
    <cellStyle name="_xf05年工厂损益预算表格3-1215_X1 GOM 4 Comp_#1 Forecast Summary_FY12 Budget Final OC-China" xfId="8226" xr:uid="{289F002B-770A-4C2A-833C-6773141AC488}"/>
    <cellStyle name="_xf05年工厂损益预算表格3-1215_X1 GOM 4 Comp_#1 Forecast Summary_Sample Format" xfId="8227" xr:uid="{D2162E86-76FC-457B-8186-D54B653508C6}"/>
    <cellStyle name="_xf05年工厂损益预算表格3-1215_X1 GOM 4 Comp_#1 Forecast Summary_Sample Format_Ａ&amp;O Consolidation Format_FCST3+9_v3" xfId="8228" xr:uid="{0A268BE8-F3E3-480B-B59C-22C83EC63A0F}"/>
    <cellStyle name="_xf05年工厂损益预算表格3-1215_X1 GOM 4 Comp_#1 Forecast Summary_Sample Format_A&amp;O Format" xfId="8229" xr:uid="{9FE1D4C2-CEF7-4D5E-AF06-CE14CF5A724F}"/>
    <cellStyle name="_xf05年工厂损益预算表格3-1215_X1 GOM 4 Comp_#1 Forecast Summary_Sample Format_A&amp;O Format_FCST3+9" xfId="8230" xr:uid="{F26B3532-440B-47A1-A8A6-F54D76FA451A}"/>
    <cellStyle name="_xf05年工厂损益预算表格3-1215_X1 GOM 4 Comp_#1 Forecast Summary_Sample Format_A&amp;O Format_FCST3+9_v1" xfId="8231" xr:uid="{18912FD4-602F-49BE-9EDC-9FF400AD4C35}"/>
    <cellStyle name="_xf05年工厂损益预算表格3-1215_X1 GOM 4 Comp_(CHAO) FY10 Forecast#1 Regional Comment" xfId="8232" xr:uid="{8FF36758-761F-4678-B298-8E236B60A23F}"/>
    <cellStyle name="_xf05年工厂损益预算表格3-1215_X1 GOM 4 Comp_(CHAO) FY10 Forecast#1 Regional Comment_FY12 Budget Final OC-China" xfId="8233" xr:uid="{F0BEA0A4-C965-4B6C-8B93-78F1911098F5}"/>
    <cellStyle name="_xf05年工厂损益预算表格3-1215_X1 GOM 4 Comp_(CHAO) FY10 Forecast#1 Regional Comment_Sample Format" xfId="8234" xr:uid="{931DC7EC-8AB2-449D-8BD8-F9A4FAC07CBE}"/>
    <cellStyle name="_xf05年工厂损益预算表格3-1215_X1 GOM 4 Comp_(CHAO) FY10 Forecast#1 Regional Comment_Sample Format_Ａ&amp;O Consolidation Format_FCST3+9_v3" xfId="8235" xr:uid="{62E75565-E8AD-4897-A27C-F8B7309DB631}"/>
    <cellStyle name="_xf05年工厂损益预算表格3-1215_X1 GOM 4 Comp_(CHAO) FY10 Forecast#1 Regional Comment_Sample Format_A&amp;O Format" xfId="8236" xr:uid="{422AA05C-9BDF-42FA-9F48-B3717E337052}"/>
    <cellStyle name="_xf05年工厂损益预算表格3-1215_X1 GOM 4 Comp_(CHAO) FY10 Forecast#1 Regional Comment_Sample Format_A&amp;O Format_FCST3+9" xfId="8237" xr:uid="{E6D5337A-80BC-40AB-B499-119C497399DB}"/>
    <cellStyle name="_xf05年工厂损益预算表格3-1215_X1 GOM 4 Comp_(CHAO) FY10 Forecast#1 Regional Comment_Sample Format_A&amp;O Format_FCST3+9_v1" xfId="8238" xr:uid="{71F28064-7EA7-4AAF-A41A-8E90FFF8930A}"/>
    <cellStyle name="_xf05年工厂损益预算表格3-1215_X1 GOM 4 Comp_【Master】 FY12 Simulation Excel PKG for Auto" xfId="8239" xr:uid="{B47B18E4-2D73-4D63-A4E6-1C9933A66581}"/>
    <cellStyle name="_xf05年工厂损益预算表格3-1215_X1 GOM 4 Comp_【Master】 FY12 Simulation Excel PKG for Auto (2)" xfId="8240" xr:uid="{8C86C783-3AE5-45FB-8760-05DCD8642112}"/>
    <cellStyle name="_xf05年工厂损益预算表格3-1215_X1 GOM 4 Comp_【Master】 FY12 Simulation Excel PKG for Auto_sugii" xfId="8241" xr:uid="{0E21D1A0-161D-43FA-9230-EE30D627976D}"/>
    <cellStyle name="_xf05年工厂损益预算表格3-1215_X1 GOM 4 Comp_【Master】 FY12 Simulation Excel PKG for Auto_sugii (2)" xfId="8242" xr:uid="{0209219F-A252-403B-A007-1C482E598EF8}"/>
    <cellStyle name="_xf05年工厂损益预算表格3-1215_X1 GOM 4 Comp_【Shibayama】 FY12 Simulation Excel PKG for Auto" xfId="8243" xr:uid="{43E1BDCD-4ECC-451A-85E3-7129CBA73361}"/>
    <cellStyle name="_xf05年工厂损益预算表格3-1215_X1 GOM 4 Comp_Ａ&amp;O Consolidation Format_FCST3+9_v3" xfId="8244" xr:uid="{A3D98DBE-73C5-4901-8006-A24DD87C43DA}"/>
    <cellStyle name="_xf05年工厂损益预算表格3-1215_X1 GOM 4 Comp_A&amp;O Format" xfId="8245" xr:uid="{24F000A9-4E92-4F77-87E9-2B2AFFB1B5DE}"/>
    <cellStyle name="_xf05年工厂损益预算表格3-1215_X1 GOM 4 Comp_A&amp;O Format_FCST3+9" xfId="8246" xr:uid="{A3302756-B13A-4E3C-9CD3-F9A7DE660035}"/>
    <cellStyle name="_xf05年工厂损益预算表格3-1215_X1 GOM 4 Comp_A&amp;O Format_FCST3+9_v1" xfId="8247" xr:uid="{60355A03-858C-4892-8807-3C1AF7142D1D}"/>
    <cellStyle name="_xf05年工厂损益预算表格3-1215_X1 GOM 4 Comp_CHAO #2 Forecast Summary" xfId="8248" xr:uid="{0866A2B1-7941-4C84-A47F-3CD3A47FE028}"/>
    <cellStyle name="_xf05年工厂损益预算表格3-1215_X1 GOM 4 Comp_CHAO #2 Forecast Summary_FY12 Budget Final OC-China" xfId="8249" xr:uid="{A03CA1E6-1C4A-4FEE-B3DD-B5F39F2278BF}"/>
    <cellStyle name="_xf05年工厂损益预算表格3-1215_X1 GOM 4 Comp_CHAO #2 Forecast Summary_Sample Format" xfId="8250" xr:uid="{3386278E-68C2-43E3-A1D1-F457AA9E6603}"/>
    <cellStyle name="_xf05年工厂损益预算表格3-1215_X1 GOM 4 Comp_CHAO #2 Forecast Summary_Sample Format_Ａ&amp;O Consolidation Format_FCST3+9_v3" xfId="8251" xr:uid="{5EAA56BE-70FC-478F-BC6C-366106731902}"/>
    <cellStyle name="_xf05年工厂损益预算表格3-1215_X1 GOM 4 Comp_CHAO #2 Forecast Summary_Sample Format_A&amp;O Format" xfId="8252" xr:uid="{DCAF1396-0349-462E-88EB-4D7E0C066D51}"/>
    <cellStyle name="_xf05年工厂损益预算表格3-1215_X1 GOM 4 Comp_CHAO #2 Forecast Summary_Sample Format_A&amp;O Format_FCST3+9" xfId="8253" xr:uid="{302537F0-B229-4753-81A7-BD48E0A670D4}"/>
    <cellStyle name="_xf05年工厂损益预算表格3-1215_X1 GOM 4 Comp_CHAO #2 Forecast Summary_Sample Format_A&amp;O Format_FCST3+9_v1" xfId="8254" xr:uid="{0D236B61-E671-4329-9DFE-39C76701AA05}"/>
    <cellStyle name="_xf05年工厂损益预算表格3-1215_X1 GOM 4 Comp_Correct FC#2 AO OP" xfId="8255" xr:uid="{78C99305-57F7-41FB-A11E-34F323DD30B9}"/>
    <cellStyle name="_xf05年工厂损益预算表格3-1215_X1 GOM 4 Comp_Correct FC#2 AO OP_FY12 Budget Final OC-China" xfId="8256" xr:uid="{49B4BDA2-BBE1-4EA0-9989-E893A90DD3E8}"/>
    <cellStyle name="_xf05年工厂损益预算表格3-1215_X1 GOM 4 Comp_Correct FC#2 AO OP_Sample Format" xfId="8257" xr:uid="{3056DA2A-3B54-43F1-9CFE-7586E4EBACED}"/>
    <cellStyle name="_xf05年工厂损益预算表格3-1215_X1 GOM 4 Comp_Correct FC#2 AO OP_Sample Format_Ａ&amp;O Consolidation Format_FCST3+9_v3" xfId="8258" xr:uid="{B16427C1-B613-4B91-816D-305BB8AA5824}"/>
    <cellStyle name="_xf05年工厂损益预算表格3-1215_X1 GOM 4 Comp_Correct FC#2 AO OP_Sample Format_A&amp;O Format" xfId="8259" xr:uid="{2E95036F-8452-4470-A79A-4996A28D9AE6}"/>
    <cellStyle name="_xf05年工厂损益预算表格3-1215_X1 GOM 4 Comp_Correct FC#2 AO OP_Sample Format_A&amp;O Format_FCST3+9" xfId="8260" xr:uid="{BD847881-565C-4C38-8313-1BBABDD44543}"/>
    <cellStyle name="_xf05年工厂损益预算表格3-1215_X1 GOM 4 Comp_Correct FC#2 AO OP_Sample Format_A&amp;O Format_FCST3+9_v1" xfId="8261" xr:uid="{881B13CF-2940-4F5C-929E-B4B0848EB8F9}"/>
    <cellStyle name="_xf05年工厂损益预算表格3-1215_X1 GOM 4 Comp_FCF_FY12 BUD Simulation Excel PKG for Auto_v2" xfId="8262" xr:uid="{92597E12-6A80-43FA-AABD-F64D8D38B8F8}"/>
    <cellStyle name="_xf05年工厂损益预算表格3-1215_X1 GOM 4 Comp_FY10 FC#2_OP_Variance" xfId="8263" xr:uid="{2C7BF685-39DA-48C4-8D8F-1F80DAE768A7}"/>
    <cellStyle name="_xf05年工厂损益预算表格3-1215_X1 GOM 4 Comp_FY10 FC#2_OP_Variance_FY12 Budget Final OC-China" xfId="8264" xr:uid="{16F0289F-EFF6-49E2-83E6-B52B95789D9D}"/>
    <cellStyle name="_xf05年工厂损益预算表格3-1215_X1 GOM 4 Comp_FY10 FC#2_OP_Variance_Sample Format" xfId="8265" xr:uid="{6A323EC8-81E3-43A1-8E9A-259F9FDFA776}"/>
    <cellStyle name="_xf05年工厂损益预算表格3-1215_X1 GOM 4 Comp_FY10 FC#2_OP_Variance_Sample Format_Ａ&amp;O Consolidation Format_FCST3+9_v3" xfId="8266" xr:uid="{1537E380-07C2-465D-9D98-2923FF869564}"/>
    <cellStyle name="_xf05年工厂损益预算表格3-1215_X1 GOM 4 Comp_FY10 FC#2_OP_Variance_Sample Format_A&amp;O Format" xfId="8267" xr:uid="{C6F39F10-7A3F-4E85-A1F3-9EEB49DBAFAD}"/>
    <cellStyle name="_xf05年工厂损益预算表格3-1215_X1 GOM 4 Comp_FY10 FC#2_OP_Variance_Sample Format_A&amp;O Format_FCST3+9" xfId="8268" xr:uid="{F94DEB72-8B43-4D90-B114-34D8A7F6F17E}"/>
    <cellStyle name="_xf05年工厂损益预算表格3-1215_X1 GOM 4 Comp_FY10 FC#2_OP_Variance_Sample Format_A&amp;O Format_FCST3+9_v1" xfId="8269" xr:uid="{70B5A401-377D-4E02-8571-EE2640DC0F73}"/>
    <cellStyle name="_xf05年工厂损益预算表格3-1215_X1 GOM 4 Comp_FY11 Reply#1_FY11 3X9" xfId="8270" xr:uid="{D1B6D715-DE4F-465F-A938-951AAC11AFF1}"/>
    <cellStyle name="_xf05年工厂损益预算表格3-1215_X1 GOM 4 Comp_FY12 BP_Simulation information PKG_R" xfId="8271" xr:uid="{08A92EAA-6003-4337-9735-945AA52817D5}"/>
    <cellStyle name="_xf05年工厂损益预算表格3-1215_X1 GOM 4 Comp_FY12 BP_Simulation information PKG_R（SGA）" xfId="8272" xr:uid="{CF2DDDDC-FCC9-47B5-860D-7577FD4760F6}"/>
    <cellStyle name="_xf05年工厂损益预算表格3-1215_X1 GOM 4 Comp_v1 FY11 Budget Sim summary" xfId="8273" xr:uid="{3E19E760-92F6-4206-8255-E2620ED87E19}"/>
    <cellStyle name="_xf05年工厂损益预算表格3-1215_X1 GOM 4 Comp_v1 FY11 Budget Sim summary_FY12 Budget Final OC-China" xfId="8274" xr:uid="{A4357CA6-C73D-45BE-B165-A5BD006666A2}"/>
    <cellStyle name="_xf05年工厂损益预算表格3-1215_X1 GOM 4 Comp_v1 FY11 Budget Sim summary_Sample Format" xfId="8275" xr:uid="{E7FC7017-8BA7-49B3-B1C5-F916EAE2D514}"/>
    <cellStyle name="_xf05年工厂损益预算表格3-1215_X1 GOM 4 Comp_v1 FY11 Budget Sim summary_Sample Format_Ａ&amp;O Consolidation Format_FCST3+9_v3" xfId="8276" xr:uid="{27EE291A-FB85-4E4E-ABAD-F3ADDDA90238}"/>
    <cellStyle name="_xf05年工厂损益预算表格3-1215_X1 GOM 4 Comp_v1 FY11 Budget Sim summary_Sample Format_A&amp;O Format" xfId="8277" xr:uid="{DDFC1869-9BE1-42CF-8CF0-D9780A059CF7}"/>
    <cellStyle name="_xf05年工厂损益预算表格3-1215_X1 GOM 4 Comp_v1 FY11 Budget Sim summary_Sample Format_A&amp;O Format_FCST3+9" xfId="8278" xr:uid="{04B61D9A-3E09-46F9-A0D2-EB6E6F0440CB}"/>
    <cellStyle name="_xf05年工厂损益预算表格3-1215_X1 GOM 4 Comp_v1 FY11 Budget Sim summary_Sample Format_A&amp;O Format_FCST3+9_v1" xfId="8279" xr:uid="{CC01A325-F476-4611-8641-D1A4FD85E3CA}"/>
    <cellStyle name="_xf05年工厂损益预算表格3-1215_X1 GOM 4 Comp_v2 CHAO #2 Forecast Summary" xfId="8280" xr:uid="{028D7136-08EC-4330-9DBD-1B4C7DFD9A27}"/>
    <cellStyle name="_xf05年工厂损益预算表格3-1215_X1 GOM 4 Comp_v2 CHAO #2 Forecast Summary_FY12 Budget Final OC-China" xfId="8281" xr:uid="{C8CC6174-99CC-49BC-B79E-94FB59FB026D}"/>
    <cellStyle name="_xf05年工厂损益预算表格3-1215_X1 GOM 4 Comp_v2 CHAO #2 Forecast Summary_Sample Format" xfId="8282" xr:uid="{8DF243A8-CA3C-45B7-B971-353C118ADDE4}"/>
    <cellStyle name="_xf05年工厂损益预算表格3-1215_X1 GOM 4 Comp_v2 CHAO #2 Forecast Summary_Sample Format_Ａ&amp;O Consolidation Format_FCST3+9_v3" xfId="8283" xr:uid="{890BB4BA-419B-4EDD-B93C-2B22E5ACF012}"/>
    <cellStyle name="_xf05年工厂损益预算表格3-1215_X1 GOM 4 Comp_v2 CHAO #2 Forecast Summary_Sample Format_A&amp;O Format" xfId="8284" xr:uid="{85AC3666-C13B-480A-AADF-04A0E44079F2}"/>
    <cellStyle name="_xf05年工厂损益预算表格3-1215_X1 GOM 4 Comp_v2 CHAO #2 Forecast Summary_Sample Format_A&amp;O Format_FCST3+9" xfId="8285" xr:uid="{7BF2FC1C-7ECC-43AF-8F02-3E5B784E42C8}"/>
    <cellStyle name="_xf05年工厂损益预算表格3-1215_X1 GOM 4 Comp_v2 CHAO #2 Forecast Summary_Sample Format_A&amp;O Format_FCST3+9_v1" xfId="8286" xr:uid="{0C1FF2AA-9EDE-441B-BAD9-F3BEAA585023}"/>
    <cellStyle name="_xf05年工厂损益预算表格3-1215_X1 GOM 4 Comp_v2 FY10 FC#2_OP_Variance" xfId="8287" xr:uid="{9FA26DA8-D2EB-4096-8761-E4E39E2A1647}"/>
    <cellStyle name="_xf05年工厂损益预算表格3-1215_X1 GOM 4 Comp_v2 FY10 FC#2_OP_Variance_FY12 Budget Final OC-China" xfId="8288" xr:uid="{DD5DB5C5-8F94-4D0E-812D-2834C28C92D1}"/>
    <cellStyle name="_xf05年工厂损益预算表格3-1215_X1 GOM 4 Comp_v2 FY10 FC#2_OP_Variance_Sample Format" xfId="8289" xr:uid="{CD9FA77F-7D93-45D0-B4B0-D2CA61FA7B12}"/>
    <cellStyle name="_xf05年工厂损益预算表格3-1215_X1 GOM 4 Comp_v2 FY10 FC#2_OP_Variance_Sample Format_Ａ&amp;O Consolidation Format_FCST3+9_v3" xfId="8290" xr:uid="{5A8795BE-A0EB-47A5-AEF7-4265289D589F}"/>
    <cellStyle name="_xf05年工厂损益预算表格3-1215_X1 GOM 4 Comp_v2 FY10 FC#2_OP_Variance_Sample Format_A&amp;O Format" xfId="8291" xr:uid="{F29A4F76-186F-4ABC-B004-E2C54AF98568}"/>
    <cellStyle name="_xf05年工厂损益预算表格3-1215_X1 GOM 4 Comp_v2 FY10 FC#2_OP_Variance_Sample Format_A&amp;O Format_FCST3+9" xfId="8292" xr:uid="{A5E90E4F-FA9B-474F-9029-BD6E7905D89D}"/>
    <cellStyle name="_xf05年工厂损益预算表格3-1215_X1 GOM 4 Comp_v2 FY10 FC#2_OP_Variance_Sample Format_A&amp;O Format_FCST3+9_v1" xfId="8293" xr:uid="{03DFCB51-1FE7-4E3F-8453-C23BE7BE961B}"/>
    <cellStyle name="_xf05年工厂损益预算表格3-1215_X1 GOM 4 Comp_v5 FY11 Budget Sim summary" xfId="8294" xr:uid="{9464FE34-7A0B-465A-AE37-862DE301DFED}"/>
    <cellStyle name="_xf05年工厂损益预算表格3-1215_X1 GOM 4 Comp_v5 FY11 Budget Sim summary_FY12 Budget Final OC-China" xfId="8295" xr:uid="{F7EBCAC5-DDFD-40D5-94CE-CE76455E879C}"/>
    <cellStyle name="_xf05年工厂损益预算表格3-1215_X1 GOM 4 Comp_v5 FY11 Budget Sim summary_Sample Format" xfId="8296" xr:uid="{13C5E788-D072-49F4-8AEB-4FF8BE00B77B}"/>
    <cellStyle name="_xf05年工厂损益预算表格3-1215_X1 GOM 4 Comp_v5 FY11 Budget Sim summary_Sample Format_Ａ&amp;O Consolidation Format_FCST3+9_v3" xfId="8297" xr:uid="{3EB56D18-1933-4122-8478-9C10A9A75F4D}"/>
    <cellStyle name="_xf05年工厂损益预算表格3-1215_X1 GOM 4 Comp_v5 FY11 Budget Sim summary_Sample Format_A&amp;O Format" xfId="8298" xr:uid="{17AF786E-115F-4992-8B45-2E6AAF05E680}"/>
    <cellStyle name="_xf05年工厂损益预算表格3-1215_X1 GOM 4 Comp_v5 FY11 Budget Sim summary_Sample Format_A&amp;O Format_FCST3+9" xfId="8299" xr:uid="{9CBB8670-A8AB-4BC8-885E-BDF91C57F102}"/>
    <cellStyle name="_xf05年工厂损益预算表格3-1215_X1 GOM 4 Comp_v5 FY11 Budget Sim summary_Sample Format_A&amp;O Format_FCST3+9_v1" xfId="8300" xr:uid="{13F2289F-13A7-46FC-BAF3-EFAE41977DD6}"/>
    <cellStyle name="_xf05年工厂损益预算表格3-1215_X1 GOM 4 Comp_コピー【Master】 FY12 Simula tion Excel PKG for Auto" xfId="8301" xr:uid="{5F192080-A445-49E0-A6DD-616C6EA36709}"/>
    <cellStyle name="_xf05年工厂损益预算表格3-1215_X1 GOM 4 Comp_これマスター　FCF_FY12 Simulation Excel PKG for Auto" xfId="8302" xr:uid="{7DBD7933-E1D7-408F-B334-422723E44F6D}"/>
    <cellStyle name="_xf05年工厂损益预算表格3-1215_コピー ～ 2009年5＋7 售  (47万台）(090619) (予算Ｆｉｎａｌ＆Variable変更　補正版)" xfId="8303" xr:uid="{63DE4D43-28D2-4E7C-A376-97CBB65BF6CF}"/>
    <cellStyle name="_xf05年工厂损益预算表格3-1215_コピー【Master】 FY12 Simula tion Excel PKG for Auto" xfId="8304" xr:uid="{9254B561-9D79-41E1-B1FF-63CB20C60FAF}"/>
    <cellStyle name="_xf05年工厂损益预算表格3-1215_これマスター　FCF_FY12 Simulation Excel PKG for Auto" xfId="8305" xr:uid="{303276B3-4246-435F-9E0F-83C9962B6DD3}"/>
    <cellStyle name="_xf05年工厂损益预算表格3-1215_前提条件表格-V4" xfId="8307" xr:uid="{1BB06465-DB02-4462-A49D-B561F7FE6D5A}"/>
    <cellStyle name="_xf05年工厂损益预算表格3-1215_前提条件表格-V4_销售部2007年人员计划" xfId="8308" xr:uid="{3B40093D-74CF-4BBC-B56C-B915FF634FB2}"/>
    <cellStyle name="_xf05年工厂损益预算表格3-1215_王宏达-09 02 11 L02B Volume Mix MSRP" xfId="8306" xr:uid="{CF888DFB-1FD3-4C6B-B00E-0E7D98218846}"/>
    <cellStyle name="_xf05年工厂损益预算表格3-1215_销售部2007年人员计划" xfId="8309" xr:uid="{D2129FCE-C46B-4091-8D31-8DF3BF7F20E6}"/>
    <cellStyle name="_XFFS(05预算3-29)" xfId="8310" xr:uid="{54334CD8-50FE-4A68-B914-6736A93190FE}"/>
    <cellStyle name="_XFFS(05预算3-29)_08 budget 071018" xfId="8311" xr:uid="{CFD1624D-3CF0-49E0-980E-BE4392F2BA2F}"/>
    <cellStyle name="_XFFS(05预算3-29)_0902見直し" xfId="8312" xr:uid="{FB9844AA-3DE3-421F-B786-422AE5B95EC3}"/>
    <cellStyle name="_XFFS(05预算3-29)_09budget 081022" xfId="8313" xr:uid="{E7280A4E-106D-4BCB-AD9C-E0FAA8E5B144}"/>
    <cellStyle name="_XFFS(05预算3-29)_2009_TDC_MonthlyActual" xfId="8314" xr:uid="{DCBACB09-7ED5-4E3E-9D6A-415331E119AF}"/>
    <cellStyle name="_XFFS(05预算3-29)_2009年VME車種別(20100303)" xfId="8315" xr:uid="{63298ED9-D7E7-4D4A-B649-D6C7F0DA7AEC}"/>
    <cellStyle name="_XFFS(05预算3-29)_ＣＹ10予算見直し後(600K モデル別)" xfId="8316" xr:uid="{3D31B344-5837-4A34-963C-46C787B340FF}"/>
    <cellStyle name="_XFFS(05预算3-29)_J11J MC+Elongation(松）" xfId="8317" xr:uid="{79D6E56E-BE18-472C-9986-D9812970A7AE}"/>
    <cellStyle name="_XFFS(05预算3-29)_L11K MC TDC 090306 (2)" xfId="8318" xr:uid="{F2B7078C-5FCC-4815-997B-E5F01273B9C7}"/>
    <cellStyle name="_XFFS(05预算3-29)_L42F TDC KKJ SOP 2010 Dec (090929) with MC (2)" xfId="8319" xr:uid="{465EA5C4-3FF1-4FD8-A590-2D52A5521F76}"/>
    <cellStyle name="_XFFS(05预算3-29)_N11J MC+Elongation(松）" xfId="8320" xr:uid="{5EA592DB-5220-4E7D-BCEC-9FE9E3CF16F3}"/>
    <cellStyle name="_XFFS(05预算3-29)_P32E MC TDC with MC (100206)" xfId="8321" xr:uid="{D76E3624-D9AE-4050-8916-6D3FD85993C8}"/>
    <cellStyle name="_XFFS(05预算3-29)_P32L LCP TDC Case3 (0900221)" xfId="8322" xr:uid="{095EFEBE-E32B-4AC4-B6A0-CD1C6D6EC37B}"/>
    <cellStyle name="_XFFS(05预算3-29)_TDC SUMMARY SHEET for MTP (version 2.1 100526)" xfId="8323" xr:uid="{2952D0A9-C7A7-4253-B62B-2E3B5A158E48}"/>
    <cellStyle name="_XFFS(05预算3-29)_TDC SUMMARY SHEET for MTP (version 3.0 100526)" xfId="8324" xr:uid="{3293C5EC-F950-4E1E-BE7F-9068843A5059}"/>
    <cellStyle name="_XFFS(05预算3-29)_Volume Assumption &amp; Current Models" xfId="8325" xr:uid="{906A54FA-8E8D-4401-BE70-E2644398BDB0}"/>
    <cellStyle name="_XFFS(05预算3-29)_コピー ～ 2009年5＋7 售  (47万台）(090619) (予算Ｆｉｎａｌ＆Variable変更　補正版)" xfId="8326" xr:uid="{7C616059-38BE-4DD4-8AC6-B9D4AD35901D}"/>
    <cellStyle name="_XFFS损益" xfId="8327" xr:uid="{DA2251A8-06B6-4F06-B562-F7E1F9AE2165}"/>
    <cellStyle name="_XFFS损益(原)" xfId="8328" xr:uid="{766D11F0-AA9A-4CC1-9574-E60F80A52AE3}"/>
    <cellStyle name="_XFFS损益(原)_08 budget 071018" xfId="8329" xr:uid="{6B22CCF8-AFB6-440E-987E-A1FEEA331534}"/>
    <cellStyle name="_XFFS损益(原)_0902見直し" xfId="8330" xr:uid="{6262D7D9-A6CF-4B98-830B-6F6F842D54B0}"/>
    <cellStyle name="_XFFS损益(原)_09budget 081022" xfId="8331" xr:uid="{C0C904C8-7314-4858-B7FE-66347B739AC6}"/>
    <cellStyle name="_XFFS损益(原)_2009_TDC_MonthlyActual" xfId="8332" xr:uid="{25B859E6-068B-4D22-8748-DFF39E8E93E6}"/>
    <cellStyle name="_XFFS损益(原)_2009年VME車種別(20100303)" xfId="8333" xr:uid="{0FF869E8-8D78-4B43-9D03-C17ACD423D64}"/>
    <cellStyle name="_XFFS损益(原)_ＣＹ10予算見直し後(600K モデル別)" xfId="8334" xr:uid="{454D1632-AD73-419B-AF67-02377EE087FE}"/>
    <cellStyle name="_XFFS损益(原)_J11J MC+Elongation(松）" xfId="8335" xr:uid="{7814ADA6-1CCF-4BF7-ADEF-6A9B3025500B}"/>
    <cellStyle name="_XFFS损益(原)_L11K MC TDC 090306 (2)" xfId="8336" xr:uid="{67F91B06-D38A-4A66-8C2B-C221F53C213E}"/>
    <cellStyle name="_XFFS损益(原)_L42F TDC KKJ SOP 2010 Dec (090929) with MC (2)" xfId="8337" xr:uid="{7D3A4850-6104-4A5E-93CB-B51ACCD50E77}"/>
    <cellStyle name="_XFFS损益(原)_N11J MC+Elongation(松）" xfId="8338" xr:uid="{DDCCC1BD-BFE7-4F7D-A97E-0207361DA0AC}"/>
    <cellStyle name="_XFFS损益(原)_P32E MC TDC with MC (100206)" xfId="8339" xr:uid="{A62A5D19-C05D-4611-82F1-1ECCE66EC52A}"/>
    <cellStyle name="_XFFS损益(原)_P32L LCP TDC Case3 (0900221)" xfId="8340" xr:uid="{348C8097-F913-4626-BB1F-1641C1C59303}"/>
    <cellStyle name="_XFFS损益(原)_TDC SUMMARY SHEET for MTP (version 2.1 100526)" xfId="8341" xr:uid="{E0B84329-DC31-444B-9133-E5C1B61CF4E9}"/>
    <cellStyle name="_XFFS损益(原)_TDC SUMMARY SHEET for MTP (version 3.0 100526)" xfId="8342" xr:uid="{A1BB8645-8917-4E6A-BE20-7CF231EA8C70}"/>
    <cellStyle name="_XFFS损益(原)_Volume Assumption &amp; Current Models" xfId="8343" xr:uid="{C6CB6F90-0CBD-4D0D-AE9F-522BF7E96E51}"/>
    <cellStyle name="_XFFS损益(原)_コピー ～ 2009年5＋7 售  (47万台）(090619) (予算Ｆｉｎａｌ＆Variable変更　補正版)" xfId="8344" xr:uid="{6D4ACC8D-4F26-40E6-B3C5-A8DED04F2424}"/>
    <cellStyle name="_XFFS损益_08 budget 071018" xfId="8345" xr:uid="{5B5ECF3C-8044-46F1-A72D-B8B651237005}"/>
    <cellStyle name="_XFFS损益_0902見直し" xfId="8346" xr:uid="{6A8CDADC-F1A2-4497-A269-51C1EEC47E96}"/>
    <cellStyle name="_XFFS损益_09budget 081022" xfId="8347" xr:uid="{61909A87-7B01-4559-A262-ED791BCEF72A}"/>
    <cellStyle name="_XFFS损益_2009_TDC_MonthlyActual" xfId="8348" xr:uid="{57C5C89C-FE94-4BB2-AF9B-0AAD75DE9D28}"/>
    <cellStyle name="_XFFS损益_2009年VME車種別(20100303)" xfId="8349" xr:uid="{0B6D97A8-01EA-4DE4-9D6E-40EB7391B1A2}"/>
    <cellStyle name="_XFFS损益_ＣＹ10予算見直し後(600K モデル別)" xfId="8350" xr:uid="{75285215-40D1-41AF-8EB4-4A21F124383E}"/>
    <cellStyle name="_XFFS损益_J11J MC+Elongation(松）" xfId="8351" xr:uid="{C08E7252-6DBA-45BF-8AAD-96F488EAE91C}"/>
    <cellStyle name="_XFFS损益_L11K MC TDC 090306 (2)" xfId="8352" xr:uid="{4955223F-6C91-4767-8BD6-0B93B3180F0D}"/>
    <cellStyle name="_XFFS损益_L42F TDC KKJ SOP 2010 Dec (090929) with MC (2)" xfId="8353" xr:uid="{1BA28BF3-0D1B-4DE6-8020-3A3AE4EB027C}"/>
    <cellStyle name="_XFFS损益_N11J MC+Elongation(松）" xfId="8354" xr:uid="{AFE95E5B-F340-4CFC-BB3D-0BFEF1FB3AF5}"/>
    <cellStyle name="_XFFS损益_P32E MC TDC with MC (100206)" xfId="8355" xr:uid="{42CC19C1-0043-4A1C-B36E-FEE56377AF91}"/>
    <cellStyle name="_XFFS损益_P32L LCP TDC Case3 (0900221)" xfId="8356" xr:uid="{01D2F13A-D537-4891-AF81-705723246F02}"/>
    <cellStyle name="_XFFS损益_TDC SUMMARY SHEET for MTP (version 2.1 100526)" xfId="8357" xr:uid="{D1966DCA-586D-44D5-AF30-5081D9D0530C}"/>
    <cellStyle name="_XFFS损益_TDC SUMMARY SHEET for MTP (version 3.0 100526)" xfId="8358" xr:uid="{D8A91739-4E35-475C-9E60-C0E9766449ED}"/>
    <cellStyle name="_XFFS损益_Volume Assumption &amp; Current Models" xfId="8359" xr:uid="{9384128E-F4A8-400B-AA4F-96BCEF4266D5}"/>
    <cellStyle name="_XFFS损益_コピー ～ 2009年5＋7 售  (47万台）(090619) (予算Ｆｉｎａｌ＆Variable変更　補正版)" xfId="8360" xr:uid="{244B709B-1CBC-4028-9FA9-1BD3DE1C0CF9}"/>
    <cellStyle name="_XF预算" xfId="8361" xr:uid="{6CC7B82C-256C-48E8-A0BE-002D23773704}"/>
    <cellStyle name="_Xie_DFL_2K1,2Y1_Lisong,Henkel" xfId="8362" xr:uid="{E9AE643F-5BB4-489C-B446-E0F5A498AE95}"/>
    <cellStyle name="_Xie_DFL_2X1_Basell" xfId="8363" xr:uid="{6922D8F6-37EC-4A34-9D29-209CE0E6639A}"/>
    <cellStyle name="_YNM UPDATED 080707 FY08 Fcst #2 (5+7) Reply PKG_E" xfId="8364" xr:uid="{CF047436-BDF5-4807-BD22-1E1E734751E0}"/>
    <cellStyle name="_YNM UPDATED 080707 FY08 Fcst #2 (5+7) Reply PKG_E_2010 Reply 3 PXP Report v2 0 DISTv2 (2)" xfId="8365" xr:uid="{0ABC7EFE-05A4-4C40-B0F2-CCE4F7D81B95}"/>
    <cellStyle name="_Z34_NML_NZE_No PMI (Z34 for EUR) (FX rate update)_112808" xfId="8366" xr:uid="{DEF92AC4-D65D-4B4B-9F7B-8CD375EBD43E}"/>
    <cellStyle name="_Zhao_DFL_1A1_NSC,JFE,KOBE,PSC" xfId="8367" xr:uid="{4F3D1A67-A0E8-42C4-A8D9-4E276EBE9B1A}"/>
    <cellStyle name="_コピーFY11 Budget#1 Excel PKG" xfId="8368" xr:uid="{9261498A-09E0-45D8-B434-94BB55A26D23}"/>
    <cellStyle name="_コピーFY11 Budget#1 Excel PKG 2" xfId="8369" xr:uid="{EE4AE2B2-252B-4640-B209-2D53BE6668E2}"/>
    <cellStyle name="_コピーFY11 Budget#1 Excel PKG 2 2" xfId="8370" xr:uid="{4F1A8050-4540-49A3-8C3F-880B3C59B9AC}"/>
    <cellStyle name="_コピーFY11 Budget#1 Excel PKG 2 2 2" xfId="26032" xr:uid="{30B665B1-8B35-446E-9AAA-9DAAFFDC6DC4}"/>
    <cellStyle name="_コピーFY11 Budget#1 Excel PKG 3" xfId="8371" xr:uid="{99C1A71D-6D83-49AA-BF49-17ACBC6B6659}"/>
    <cellStyle name="_コピーFY11 Budget#1 Excel PKG 3 2" xfId="8372" xr:uid="{DA6EF2AA-A93F-4011-80EB-3D465923BF5D}"/>
    <cellStyle name="_コピーXie_DFL_2X1_Basell" xfId="8373" xr:uid="{BCD3D78A-A01B-4066-BA05-A8E684634F36}"/>
    <cellStyle name="_みつはし" xfId="8374" xr:uid="{F036D382-2153-4FD0-956A-A1AEBA352045}"/>
    <cellStyle name="_みつはし 2" xfId="8375" xr:uid="{CB30C066-0A96-41B7-884E-7E0EDBEF11A7}"/>
    <cellStyle name="_みつはし 2 2" xfId="8376" xr:uid="{7B3490BC-B519-479C-AB97-9D91722FCD17}"/>
    <cellStyle name="_みつはし 2 2 2" xfId="8377" xr:uid="{9572A372-E286-44B0-806C-F45BF5103FE6}"/>
    <cellStyle name="_みつはし 2 2 2 2" xfId="8378" xr:uid="{D9399A08-2259-41A7-A6A5-B1AD11A202C2}"/>
    <cellStyle name="_みつはし 2 2 2 2 2" xfId="26033" xr:uid="{19D37881-C9AC-4A34-A8F6-E754140698AB}"/>
    <cellStyle name="_みつはし 2 2 3" xfId="8379" xr:uid="{56E11AC7-0EBE-45FE-A987-10001AB36B51}"/>
    <cellStyle name="_みつはし 2 2 4" xfId="8380" xr:uid="{10EB4C5C-CE4B-412A-8075-601E5FA0ED57}"/>
    <cellStyle name="_みつはし 2 2 4 2" xfId="26034" xr:uid="{788100FC-110B-4DBE-86E9-DF1D0C638B20}"/>
    <cellStyle name="_みつはし 2 3" xfId="8381" xr:uid="{CB528C05-3A34-4ACD-AA31-B122B3E62654}"/>
    <cellStyle name="_みつはし 2 3 2" xfId="26035" xr:uid="{61782616-349C-4F1D-A4DD-A57521B501EA}"/>
    <cellStyle name="_みつはし 2_FY13 Budget Simulation Excel PKG for Auto by company" xfId="8382" xr:uid="{3AA592FD-298E-444D-AE84-84715AD4EF73}"/>
    <cellStyle name="_みつはし 3" xfId="8383" xr:uid="{FB37332A-18E9-4B31-BD9E-0F9C031B759D}"/>
    <cellStyle name="_みつはし 4" xfId="8384" xr:uid="{2266173D-D057-4CF6-8915-B2AC37F2522A}"/>
    <cellStyle name="_みつはし 4 2" xfId="26036" xr:uid="{A2DB90DB-2E67-4D2C-9842-F1DE3886DEAB}"/>
    <cellStyle name="_みつはし_DFL FY13 Simulation Data version 1010-2(A7C)" xfId="8385" xr:uid="{4FBC470A-D7C9-41F7-9A3A-4F595D6DB77A}"/>
    <cellStyle name="_みつはし_DFL FY13 Simulation Data version 1010-2(A7C) 2" xfId="8386" xr:uid="{870E28C5-DD0C-4828-B0BF-87A705C119DF}"/>
    <cellStyle name="_みつはし_DFL FY13 Simulation Data version 1010-2(A7C) 2 2" xfId="8387" xr:uid="{7B384EAD-E7AB-498D-9EDC-23DECD22B5E4}"/>
    <cellStyle name="_みつはし_DFL FY13 Simulation Data version 1010-2(A7C) 2 2 2" xfId="8388" xr:uid="{8C18BBCE-D0AE-4145-AC5B-F375E9191D7C}"/>
    <cellStyle name="_みつはし_DFL FY13 Simulation Data version 1010-2(A7C) 2 2 2 2" xfId="26037" xr:uid="{AAD3E35E-1E0C-4614-B883-6BBDB91E09FE}"/>
    <cellStyle name="_みつはし_DFL FY13 Simulation Data version 1010-2(A7C) 2 3" xfId="8389" xr:uid="{124F24C0-56DD-4CE5-B97D-7AD3BF31AC16}"/>
    <cellStyle name="_みつはし_DFL FY13 Simulation Data version 1010-2(A7C) 2 4" xfId="8390" xr:uid="{DA677918-A32D-4A5D-A448-A21849298C9D}"/>
    <cellStyle name="_みつはし_DFL FY13 Simulation Data version 1010-2(A7C) 2 4 2" xfId="26038" xr:uid="{D57016B2-72DF-4163-A536-1CA3135234E4}"/>
    <cellStyle name="_みつはし_DFL FY13 Simulation Data version 1010-2(A7C) 3" xfId="8391" xr:uid="{E42DCDFF-CA12-4A36-AC53-CDBC2C3A5B28}"/>
    <cellStyle name="_みつはし_DFL FY13 Simulation Data version 1010-2(A7C) 3 2" xfId="26039" xr:uid="{8AA223F5-D96A-4948-8AB8-803BB3CEC620}"/>
    <cellStyle name="_みつはし_DFL FY13 Simulation Data version 1010-2(A7C)_FY13 Budget Simulation Excel PKG for Auto by company" xfId="8392" xr:uid="{EBE7EC64-C344-4F29-937C-397166491A70}"/>
    <cellStyle name="_みつはし_FY13 Budget Simulation Excel PKG for Auto by company" xfId="8393" xr:uid="{77AB8F94-27E8-49E7-8C6F-F60743EDD68C}"/>
    <cellStyle name="_豢揃蹋 060410" xfId="8394" xr:uid="{72F75023-179A-4EB6-9370-2ED17E982DA7}"/>
    <cellStyle name="_豢揃蹋 060410 2" xfId="8395" xr:uid="{60D04FB4-64E9-47E8-82C0-5AF7E35F0BFF}"/>
    <cellStyle name="_豢揃蹋 060410 2 2" xfId="8396" xr:uid="{1DF3ED33-E4E1-4557-904B-373DF4D44862}"/>
    <cellStyle name="_豢揃蹋 060410 2 2 2" xfId="8397" xr:uid="{8360C61E-F898-4600-B9DB-6BBE8CB8A726}"/>
    <cellStyle name="_豢揃蹋 060410 2 2 2 2" xfId="8398" xr:uid="{9014261C-F9CC-4D85-8CD6-6935FD8DC2C8}"/>
    <cellStyle name="_豢揃蹋 060410 2 2 2 2 2" xfId="26040" xr:uid="{7295BCFD-1C77-4460-964D-2F6B5AAF5693}"/>
    <cellStyle name="_豢揃蹋 060410 2 2 3" xfId="8399" xr:uid="{D58B5A56-DA5B-4EC4-A009-A37D2D3912D6}"/>
    <cellStyle name="_豢揃蹋 060410 2 2 4" xfId="8400" xr:uid="{375A0C08-6208-480A-ADFC-B21B8B989D8F}"/>
    <cellStyle name="_豢揃蹋 060410 2 2 4 2" xfId="26041" xr:uid="{D81D2524-33DA-4160-9ED3-C49ADE1EA535}"/>
    <cellStyle name="_豢揃蹋 060410 2 3" xfId="8401" xr:uid="{96090718-CAAC-4094-A3BD-17CF884AF149}"/>
    <cellStyle name="_豢揃蹋 060410 2 3 2" xfId="26042" xr:uid="{420A8961-2DDB-4FD6-B7FA-589809ADE3AF}"/>
    <cellStyle name="_豢揃蹋 060410 2_FY13 Budget Simulation Excel PKG for Auto by company" xfId="8402" xr:uid="{30F03A17-425C-44FE-B978-E8C8CBC91FEC}"/>
    <cellStyle name="_豢揃蹋 060410 3" xfId="8403" xr:uid="{987D9446-54FD-4583-A921-4E074C050A8A}"/>
    <cellStyle name="_豢揃蹋 060410 4" xfId="8404" xr:uid="{20AC7703-206D-4EEF-9CBC-D78494CF0367}"/>
    <cellStyle name="_豢揃蹋 060410 4 2" xfId="26043" xr:uid="{21C1983F-0125-4927-8A80-1CF44174188B}"/>
    <cellStyle name="_豢揃蹋 060410_DFL FY13 Simulation Data version 1010-2(A7C)" xfId="8405" xr:uid="{7427124F-951D-4CAE-9D7F-3628C404C020}"/>
    <cellStyle name="_豢揃蹋 060410_DFL FY13 Simulation Data version 1010-2(A7C) 2" xfId="8406" xr:uid="{E8C47677-EA6A-4621-BD76-0E9EAC0DBDFA}"/>
    <cellStyle name="_豢揃蹋 060410_DFL FY13 Simulation Data version 1010-2(A7C) 2 2" xfId="8407" xr:uid="{1A57D085-5BF1-48F7-8379-33C0304966A9}"/>
    <cellStyle name="_豢揃蹋 060410_DFL FY13 Simulation Data version 1010-2(A7C) 2 2 2" xfId="8408" xr:uid="{BA031FAC-9408-451F-B18F-93FE4C4896B0}"/>
    <cellStyle name="_豢揃蹋 060410_DFL FY13 Simulation Data version 1010-2(A7C) 2 2 2 2" xfId="26044" xr:uid="{FABAC39A-EFE7-43F0-BD51-018E495A70AF}"/>
    <cellStyle name="_豢揃蹋 060410_DFL FY13 Simulation Data version 1010-2(A7C) 2 3" xfId="8409" xr:uid="{E3894FED-D786-411F-AFFE-3BAD5AF1FE91}"/>
    <cellStyle name="_豢揃蹋 060410_DFL FY13 Simulation Data version 1010-2(A7C) 2 4" xfId="8410" xr:uid="{CCC59A42-1CE5-4F23-8C32-F7BA5CCB0599}"/>
    <cellStyle name="_豢揃蹋 060410_DFL FY13 Simulation Data version 1010-2(A7C) 2 4 2" xfId="26045" xr:uid="{A3E6C6D3-D7AC-415E-9FBF-C9968575E503}"/>
    <cellStyle name="_豢揃蹋 060410_DFL FY13 Simulation Data version 1010-2(A7C) 3" xfId="8411" xr:uid="{7382C752-44D4-4850-89B2-81EDD4ED2A76}"/>
    <cellStyle name="_豢揃蹋 060410_DFL FY13 Simulation Data version 1010-2(A7C) 3 2" xfId="26046" xr:uid="{43F650FF-3F0E-4682-88DF-A7B8D177C352}"/>
    <cellStyle name="_豢揃蹋 060410_DFL FY13 Simulation Data version 1010-2(A7C)_FY13 Budget Simulation Excel PKG for Auto by company" xfId="8412" xr:uid="{08F2AD8E-291C-49CD-ACB3-57D613FBF737}"/>
    <cellStyle name="_豢揃蹋 060410_FY13 Budget Simulation Excel PKG for Auto by company" xfId="8413" xr:uid="{299DE8CB-36AC-4CCB-8B7D-BFDA8BAE2E14}"/>
    <cellStyle name="_현황 (2)" xfId="8631" xr:uid="{1DCF0C06-AB82-4256-B2FB-7DA9DC522FC3}"/>
    <cellStyle name="_현황 (2) 2" xfId="26069" xr:uid="{9F534793-FD78-483E-91CC-240EFC2B92CE}"/>
    <cellStyle name="_현황 (2)_1" xfId="8632" xr:uid="{279E9682-8023-49CE-A880-764D4C5F43EA}"/>
    <cellStyle name="_현황 (2)_1 2" xfId="26070" xr:uid="{CD2ECC01-8839-482F-876D-58E230F0892E}"/>
    <cellStyle name="_万友通货量-Jan" xfId="8597" xr:uid="{D42A5ADD-A2E9-4849-96A4-8D062383D777}"/>
    <cellStyle name="_万友通货量-Jan 2" xfId="8598" xr:uid="{25400679-15C7-4DE1-BE79-0D365A807C4F}"/>
    <cellStyle name="_万友通货量-Jan 2 2" xfId="26068" xr:uid="{2165A2BA-919A-4A10-A06D-48D5A603C43C}"/>
    <cellStyle name="_上下比較" xfId="8494" xr:uid="{86FE1CE3-56C3-47E5-A989-6A9A05A67026}"/>
    <cellStyle name="_上下比較_0902見直し" xfId="8495" xr:uid="{864060A2-19A7-481C-8D14-B20BD35D58D0}"/>
    <cellStyle name="_上下比較_09budget 081022" xfId="8496" xr:uid="{7497822F-76D6-47CA-BBCB-2FFCFD270B44}"/>
    <cellStyle name="_上下比較_2009_TDC_MonthlyActual" xfId="8497" xr:uid="{A7EB117A-1AF3-447D-BB88-6D6125E37B26}"/>
    <cellStyle name="_上下比較_2009年VME車種別(20100303)" xfId="8498" xr:uid="{9ACCEDF2-B964-45DA-8957-23AECEDDB74F}"/>
    <cellStyle name="_上下比較_ＣＹ10予算見直し後(600K モデル別)" xfId="8499" xr:uid="{2CC23C6D-EC6E-466A-81CE-9F6A9E97E2BB}"/>
    <cellStyle name="_上下比較_J11J MC+Elongation(松）" xfId="8500" xr:uid="{90BEF3E0-E415-4354-93F4-193CA76B4D94}"/>
    <cellStyle name="_上下比較_L11K MC TDC 090306 (2)" xfId="8501" xr:uid="{DF54130D-111D-4D07-B481-A00C8A873B9B}"/>
    <cellStyle name="_上下比較_L42F TDC KKJ SOP 2010 Dec (090929) with MC (2)" xfId="8502" xr:uid="{873A67C5-27FD-4BD7-B786-FACC68BB9683}"/>
    <cellStyle name="_上下比較_N11J MC+Elongation(松）" xfId="8503" xr:uid="{D356319B-2D88-445F-A39E-6136C2516DBE}"/>
    <cellStyle name="_上下比較_P32E MC TDC with MC (100206)" xfId="8504" xr:uid="{C74E2BF2-6689-4781-BA5E-AD34E6B6E58B}"/>
    <cellStyle name="_上下比較_P32L LCP TDC Case3 (0900221)" xfId="8505" xr:uid="{CBA915EF-DAA2-4E60-A5BA-88E6FDBFD0FC}"/>
    <cellStyle name="_上下比較_TDC SUMMARY SHEET for MTP (version 2.1 100526)" xfId="8506" xr:uid="{F479F3E8-1C1B-4026-A2E6-38E5C3D7C78A}"/>
    <cellStyle name="_上下比較_TDC SUMMARY SHEET for MTP (version 3.0 100526)" xfId="8507" xr:uid="{8AD270F4-0B40-42EB-8834-88EE8F3B8B15}"/>
    <cellStyle name="_上下比較_Volume Assumption &amp; Current Models" xfId="8508" xr:uid="{0B2EB92D-E637-4DDC-B869-7EBD8E91A308}"/>
    <cellStyle name="_上下比較_コピー ～ 2009年5＋7 售  (47万台）(090619) (予算Ｆｉｎａｌ＆Variable変更　補正版)" xfId="8509" xr:uid="{8201AEB3-2471-4B72-AE19-D484918652D9}"/>
    <cellStyle name="_上半年汇率影响" xfId="8510" xr:uid="{CD020809-0C76-4B96-AB9C-8E1AE58D59C8}"/>
    <cellStyle name="_上半年汇率影响_09'CV市况(按11.08发布值测算)" xfId="8511" xr:uid="{B58821CB-6AB1-432E-9261-1BE78F91C3AA}"/>
    <cellStyle name="_东风有办发〔2006〕19号  附件" xfId="8633" xr:uid="{2AD37DD1-636B-4C25-9012-4FAA248F0BF8}"/>
    <cellStyle name="_事业计划表格050805" xfId="8489" xr:uid="{19A1C506-FA13-4E07-8E0E-D25740D4815D}"/>
    <cellStyle name="_人员分解" xfId="8565" xr:uid="{4FE4A028-6A62-4EE9-9097-5F254F7B13C7}"/>
    <cellStyle name="_人员表格" xfId="8564" xr:uid="{8D4FEE21-A431-418B-8DF3-200C58D8F977}"/>
    <cellStyle name="_人员计划明细表" xfId="8566" xr:uid="{A0DAAE69-A53C-45D9-847D-F29647EBEEC9}"/>
    <cellStyle name="_人员预算表格" xfId="8567" xr:uid="{E068C647-156B-4EE1-BCB8-A1EA174FC043}"/>
    <cellStyle name="_人工成本" xfId="8544" xr:uid="{1010F49E-C6CA-47B1-BDDF-E08A52771017}"/>
    <cellStyle name="_人工成本_08 budget 071018" xfId="8545" xr:uid="{979008D5-7841-4F4F-84C6-E9C72E918391}"/>
    <cellStyle name="_人工成本_0902見直し" xfId="8546" xr:uid="{8706420D-E318-4DBA-A029-672BC1D5BCC0}"/>
    <cellStyle name="_人工成本_09budget 081022" xfId="8547" xr:uid="{181B4F48-4587-437D-A833-BF67CE08A9B9}"/>
    <cellStyle name="_人工成本_2009_TDC_MonthlyActual" xfId="8548" xr:uid="{A79A6E3F-7FED-48ED-BC6E-FC94ADF2CDD5}"/>
    <cellStyle name="_人工成本_2009年VME車種別(20100303)" xfId="8549" xr:uid="{F7662451-0158-465F-938A-6565410EFDFF}"/>
    <cellStyle name="_人工成本_ＣＹ10予算見直し後(600K モデル別)" xfId="8550" xr:uid="{6FDBB08F-8403-4C42-A42F-6B659ED44537}"/>
    <cellStyle name="_人工成本_J11J MC+Elongation(松）" xfId="8551" xr:uid="{4CF171B4-F35F-4851-9D4E-DE84CFE0FC7A}"/>
    <cellStyle name="_人工成本_L11K MC TDC 090306 (2)" xfId="8552" xr:uid="{D8CA867B-4C0C-4F27-909E-67F239A6FFBF}"/>
    <cellStyle name="_人工成本_L42F TDC KKJ SOP 2010 Dec (090929) with MC (2)" xfId="8553" xr:uid="{0A6305F1-0B42-4D37-B8AD-5EF934A89A1C}"/>
    <cellStyle name="_人工成本_N11J MC+Elongation(松）" xfId="8554" xr:uid="{61943742-E9D2-4737-8C01-B14DBE424EC5}"/>
    <cellStyle name="_人工成本_P32E MC TDC with MC (100206)" xfId="8555" xr:uid="{D2BDD1DB-35F0-4E3F-887E-61634A2FAFE9}"/>
    <cellStyle name="_人工成本_P32L LCP TDC Case3 (0900221)" xfId="8556" xr:uid="{8C47BD91-7F91-48E4-A426-FCE05479773C}"/>
    <cellStyle name="_人工成本_TDC SUMMARY SHEET for MTP (version 2.1 100526)" xfId="8557" xr:uid="{FE6A4BAF-4A2B-4856-9943-C73FC3F954B3}"/>
    <cellStyle name="_人工成本_TDC SUMMARY SHEET for MTP (version 3.0 100526)" xfId="8558" xr:uid="{1105C435-3435-454F-8C3B-980197F84AD9}"/>
    <cellStyle name="_人工成本_Volume Assumption &amp; Current Models" xfId="8559" xr:uid="{D2F340C7-3BA3-4300-8A2D-4574B422DD88}"/>
    <cellStyle name="_人工成本_コピー ～ 2009年5＋7 售  (47万台）(090619) (予算Ｆｉｎａｌ＆Variable変更　補正版)" xfId="8560" xr:uid="{EBC2BA87-4142-4CED-82FE-4641CE36C1E9}"/>
    <cellStyle name="_人工成本月度分析" xfId="8561" xr:uid="{25EE5981-4875-4682-B67E-DE550E22368D}"/>
    <cellStyle name="_人工成本月度分析2" xfId="8562" xr:uid="{564CC8B0-8371-421C-BF65-FC081FE1029D}"/>
    <cellStyle name="_人工成本汇总" xfId="8563" xr:uid="{CA188EE4-B3ED-4368-B571-3C4D9A705297}"/>
    <cellStyle name="_修正）FY11台数前提" xfId="8491" xr:uid="{A537F0D5-34F3-4345-97E0-39474B474DD4}"/>
    <cellStyle name="_假设前提" xfId="8602" xr:uid="{C78F8DA2-3C14-43A3-AFD5-96DEA83FCE69}"/>
    <cellStyle name="_假设前提_(for confirmation to Regin team) FX impact (Simu vs Updated) by MC" xfId="8603" xr:uid="{9B8261C2-59E4-439A-9D33-E0BC8C5D2948}"/>
    <cellStyle name="_假设前提_【0207】BP_reply_Outside profit_Price List_R" xfId="8604" xr:uid="{96D126E2-ECF7-4113-969F-EDBF798820EA}"/>
    <cellStyle name="_假设前提_08 budget 071018" xfId="8605" xr:uid="{EE6B3BC1-A5D6-4841-9212-10515A04F90F}"/>
    <cellStyle name="_假设前提_0902見直し" xfId="8606" xr:uid="{EC333750-04BE-40CB-B96E-323790A86478}"/>
    <cellStyle name="_假设前提_09budget 081022" xfId="8607" xr:uid="{FE7E8F59-8875-440F-AB67-BCA0FBECBF62}"/>
    <cellStyle name="_假设前提_09'CV市况(按11.08发布值测算)" xfId="8608" xr:uid="{B1580380-0B90-4CF8-9A6C-4C737079BA7A}"/>
    <cellStyle name="_假设前提_2009_TDC_MonthlyActual" xfId="8609" xr:uid="{E32A5677-034E-4904-AAEC-FF62AFA881FB}"/>
    <cellStyle name="_假设前提_2009年VME車種別(20100303)" xfId="8610" xr:uid="{E9FE07E4-27D2-49E6-B4C1-A00801C3743C}"/>
    <cellStyle name="_假设前提_CY09 material risk compare-0615-16 LP" xfId="8611" xr:uid="{A980A162-3294-4914-8DBA-9D26117A278D}"/>
    <cellStyle name="_假设前提_ＣＹ10予算見直し後(600K モデル別)" xfId="8612" xr:uid="{26A8A0EB-F550-417E-9018-DEE5CE24FE46}"/>
    <cellStyle name="_假设前提_FCF_FY12 BUD Simulation Excel PKG for Auto_v2" xfId="8613" xr:uid="{C3C82BC2-3EE8-4B50-9766-673BB91FFB29}"/>
    <cellStyle name="_假设前提_FY09 material forecast5+7 0616 for financial report" xfId="8614" xr:uid="{C3ADFB7A-BE04-485C-85C8-A29E5F462EF8}"/>
    <cellStyle name="_假设前提_FY10 FC#2 Pricing Analysis to Central" xfId="8615" xr:uid="{66C29737-AAFC-4707-9AB9-6938E39237EC}"/>
    <cellStyle name="_假设前提_FY12 BP_Simulation information PKG_R" xfId="8616" xr:uid="{3ACA75DB-BE20-4158-BB34-0E157CF76C00}"/>
    <cellStyle name="_假设前提_J11J MC+Elongation(松）" xfId="8617" xr:uid="{F3303BCF-AF91-4EDE-B052-72A1A3E505E9}"/>
    <cellStyle name="_假设前提_L11K MC TDC 090306 (2)" xfId="8618" xr:uid="{BD93CE3D-413C-4D72-8CBD-20F0E704EFD1}"/>
    <cellStyle name="_假设前提_L42F TDC KKJ SOP 2010 Dec (090929) with MC (2)" xfId="8619" xr:uid="{4368DF5F-6DAD-421B-AF01-5F1761CD0048}"/>
    <cellStyle name="_假设前提_N11J MC+Elongation(松）" xfId="8620" xr:uid="{612A6AFF-6296-444B-A5F7-A7C7BAF6E4A0}"/>
    <cellStyle name="_假设前提_NI_Forecast_FY10_120110" xfId="8621" xr:uid="{64E6EE25-99E6-472E-913C-58EB7B30BE98}"/>
    <cellStyle name="_假设前提_P32E MC TDC with MC (100206)" xfId="8622" xr:uid="{7751B46D-82D2-4B46-BA1B-EFD7909357EA}"/>
    <cellStyle name="_假设前提_P32L LCP TDC Case3 (0900221)" xfId="8623" xr:uid="{E9B1ABA2-62B1-4385-8F08-5DD72E7A33A4}"/>
    <cellStyle name="_假设前提_Tax Expense FY10 7x5 to FPA 113010" xfId="8624" xr:uid="{A922B282-D6B7-4E86-862E-A9AB8B721F4B}"/>
    <cellStyle name="_假设前提_TDC SUMMARY SHEET for MTP (version 2.1 100526)" xfId="8625" xr:uid="{E8065E45-A49E-4CF8-A151-9D2B1AB7FC04}"/>
    <cellStyle name="_假设前提_TDC SUMMARY SHEET for MTP (version 3.0 100526)" xfId="8626" xr:uid="{A8E35C0D-C669-4D4C-97BF-33CB8EA0ACD5}"/>
    <cellStyle name="_假设前提_Volume Assumption &amp; Current Models" xfId="8627" xr:uid="{41548638-2546-4EEC-8DE3-5321C4B8F81A}"/>
    <cellStyle name="_假设前提_コピー ～ 2009年5＋7 售  (47万台）(090619) (予算Ｆｉｎａｌ＆Variable変更　補正版)" xfId="8628" xr:uid="{72C72F36-A212-462C-9711-08D485BCCD47}"/>
    <cellStyle name="_元華X11C-ET交貨合格率" xfId="8423" xr:uid="{5D975A70-467D-4F31-A132-6D78CE984B77}"/>
    <cellStyle name="_元華X11C-ET交貨合格率 2" xfId="8424" xr:uid="{61047750-607B-4DBE-845E-5B91AA753119}"/>
    <cellStyle name="_元華X11C-ET交貨合格率 2 2" xfId="8425" xr:uid="{CDEA5B73-126E-4ECA-9110-52D235BD23D1}"/>
    <cellStyle name="_元華X11C-ET交貨合格率 2 2 2" xfId="26048" xr:uid="{5DCED6E0-FF93-42D4-B402-2CF7510894B2}"/>
    <cellStyle name="_元華X11C-ET交貨合格率 3" xfId="8426" xr:uid="{C642358F-7905-4BCE-A777-E8CE4B46C36F}"/>
    <cellStyle name="_元華X11C-ET交貨合格率 3 2" xfId="26049" xr:uid="{5FCA80DE-C0FA-4A27-9938-8E151B461162}"/>
    <cellStyle name="_元華X11C-ET交貨合格率_Fcst#2　FY13台数諸元表13.9.18" xfId="8427" xr:uid="{8540E830-4A75-4670-B080-D16A163B36AF}"/>
    <cellStyle name="_元華X11C-ET交貨合格率_FY13 Final ReplyBUD vs Forecast#3_AESC（台数諸元) 単価差Adjust値作成" xfId="8428" xr:uid="{4EE8F303-79D6-4295-975A-874C4E97743E}"/>
    <cellStyle name="_元華X11C-ET交貨合格率_FY13 Monthly ReplyBUD（台数諸元) ルノー修正13 5 20" xfId="8429" xr:uid="{B0698E52-6709-477C-8335-CC6B594D7899}"/>
    <cellStyle name="_元華X11C-ET交貨合格率_FY13台数諸元表（201307実績-売上金額いり）" xfId="8430" xr:uid="{F03ED9F0-9D9C-469E-9422-6C26AD246A80}"/>
    <cellStyle name="_元華X11C-ET交貨合格率_FY13台数諸元表（予算vs実績）" xfId="8431" xr:uid="{091691E9-693F-4361-9334-46869D109117}"/>
    <cellStyle name="_党工部" xfId="8578" xr:uid="{97B9B02E-6C48-4338-B5A7-30FA087FC502}"/>
    <cellStyle name="_前提条件表格20050526" xfId="8570" xr:uid="{0C40366F-E951-483A-B314-3AAD7E8A92F1}"/>
    <cellStyle name="_前提条件表格20050526_CY09 material risk compare-0615-16 LP" xfId="8571" xr:uid="{E16364C3-7613-479C-A793-49E2D1C65A8D}"/>
    <cellStyle name="_前提条件表格20050526_FY09 material forecast5+7 0616 for financial report" xfId="8572" xr:uid="{0A60B121-BC09-4CA3-81B3-0CBA18C65312}"/>
    <cellStyle name="_前提条件表格-V4(SM060524）" xfId="8573" xr:uid="{672E0417-F73E-4E5D-B3B8-CD51800CAC86}"/>
    <cellStyle name="_前提条件表格-V4(SM060524）_CY09 material risk compare-0615-16 LP" xfId="8574" xr:uid="{A58F8398-A040-413B-B1A0-1A2D9BE30FF5}"/>
    <cellStyle name="_前提条件表格-V4(SM060524）_FY09 material forecast5+7 0616 for financial report" xfId="8575" xr:uid="{5CCB488B-8EE5-402A-B514-FA454CA9FE8D}"/>
    <cellStyle name="_副本08年生产计划(修订版N2)-080123" xfId="8592" xr:uid="{F53BB29B-17AF-4FCD-901D-BDC5005B0C3F}"/>
    <cellStyle name="_副本投資ガイドfinal（修改）" xfId="8593" xr:uid="{A6AEE13B-C951-4E89-8F0D-164795EEAAE7}"/>
    <cellStyle name="_副本投資ガイドfinal（修改）两地工厂折旧预算05.3.21" xfId="8594" xr:uid="{D14C416E-851C-405D-9882-F9B01F4EB2A5}"/>
    <cellStyle name="_单价预测" xfId="8634" xr:uid="{B4AD3F68-4B2E-4B37-9670-D2F499B29A17}"/>
    <cellStyle name="_原材@价表" xfId="8432" xr:uid="{9165AF70-6546-4BBE-9120-9102F23913A7}"/>
    <cellStyle name="_原材@价表 2" xfId="8433" xr:uid="{74231615-DA7D-4F0A-B45C-6B0EFF35440D}"/>
    <cellStyle name="_原材@价表 2 2" xfId="8434" xr:uid="{F4FFC671-058B-4957-B7E1-699365137F60}"/>
    <cellStyle name="_原材@价表 2 2 2" xfId="8435" xr:uid="{2234895E-8E1F-464E-AF73-0B0050306CCD}"/>
    <cellStyle name="_原材@价表 2 2 2 2" xfId="8436" xr:uid="{7709AA56-4544-4BDC-9AD0-5A7F2FB32F3A}"/>
    <cellStyle name="_原材@价表 2 2 2 2 2" xfId="26050" xr:uid="{6E105947-6DD8-4212-A654-8716FA9B5510}"/>
    <cellStyle name="_原材@价表 2 2 3" xfId="8437" xr:uid="{CEFEE618-74AB-44B2-BD7D-8AC017E69B86}"/>
    <cellStyle name="_原材@价表 2 2 4" xfId="8438" xr:uid="{2854DEC4-E60B-4F4B-A216-AB13E0A4EF8D}"/>
    <cellStyle name="_原材@价表 2 2 4 2" xfId="26051" xr:uid="{A534E81A-3255-42F6-B32C-CA8A146C0716}"/>
    <cellStyle name="_原材@价表 2 3" xfId="8439" xr:uid="{72053511-AA75-4267-9511-707BBE5AB747}"/>
    <cellStyle name="_原材@价表 2 3 2" xfId="26052" xr:uid="{E6FF405D-58F1-4406-BA44-560843D63E7F}"/>
    <cellStyle name="_原材@价表 2_FY13 Budget Simulation Excel PKG for Auto by company" xfId="8440" xr:uid="{3C6831A7-3989-432A-9C4E-628E3F9849F6}"/>
    <cellStyle name="_原材@价表 3" xfId="8441" xr:uid="{44A2356B-BE38-4DD2-815A-A680A74568B5}"/>
    <cellStyle name="_原材@价表 4" xfId="8442" xr:uid="{EC56720D-DF59-4CA0-961E-4D9A2CE8DC1F}"/>
    <cellStyle name="_原材@价表 4 2" xfId="26053" xr:uid="{9045A718-A21F-4B2C-855A-A0464097FFD3}"/>
    <cellStyle name="_原材@价表_DFL FY13 Simulation Data version 1010-2(A7C)" xfId="8443" xr:uid="{38FFC70F-C3B2-4613-853F-0AA2DFA3849F}"/>
    <cellStyle name="_原材@价表_DFL FY13 Simulation Data version 1010-2(A7C) 2" xfId="8444" xr:uid="{4F2DAF8D-B1BB-47AD-B532-3097AEAC37E4}"/>
    <cellStyle name="_原材@价表_DFL FY13 Simulation Data version 1010-2(A7C) 2 2" xfId="8445" xr:uid="{305CC46E-99E5-4B6B-829E-45633FF248F3}"/>
    <cellStyle name="_原材@价表_DFL FY13 Simulation Data version 1010-2(A7C) 2 2 2" xfId="8446" xr:uid="{A88B7D23-8043-4810-8200-7A3920CAD5B4}"/>
    <cellStyle name="_原材@价表_DFL FY13 Simulation Data version 1010-2(A7C) 2 2 2 2" xfId="26054" xr:uid="{4C522CBA-7E2D-4357-B1C5-32757AF02D25}"/>
    <cellStyle name="_原材@价表_DFL FY13 Simulation Data version 1010-2(A7C) 2 3" xfId="8447" xr:uid="{44F93038-0CCA-4098-A18B-15D94E87E84D}"/>
    <cellStyle name="_原材@价表_DFL FY13 Simulation Data version 1010-2(A7C) 2 4" xfId="8448" xr:uid="{540D6AD0-5FFC-4D83-B6F7-AD363A9BDF10}"/>
    <cellStyle name="_原材@价表_DFL FY13 Simulation Data version 1010-2(A7C) 2 4 2" xfId="26055" xr:uid="{BCF3A078-4A21-4E06-B913-12A66D2FFAF7}"/>
    <cellStyle name="_原材@价表_DFL FY13 Simulation Data version 1010-2(A7C) 3" xfId="8449" xr:uid="{E5BDE13F-3D3E-4C9C-ACEF-C5FB6C0E2478}"/>
    <cellStyle name="_原材@价表_DFL FY13 Simulation Data version 1010-2(A7C) 3 2" xfId="26056" xr:uid="{53BF7AEA-AEFD-4F3F-AADA-3072E1CF843B}"/>
    <cellStyle name="_原材@价表_DFL FY13 Simulation Data version 1010-2(A7C)_FY13 Budget Simulation Excel PKG for Auto by company" xfId="8450" xr:uid="{B1F010C8-292A-4F7E-8F25-C20553DD0BCB}"/>
    <cellStyle name="_原材@价表_FY13 Budget Simulation Excel PKG for Auto by company" xfId="8451" xr:uid="{7C97CC4E-C1CD-451D-8F0F-854B0C1C4F2F}"/>
    <cellStyle name="_原材料价表" xfId="8452" xr:uid="{3A1A181B-172E-4333-B4B1-D102AFC8CB44}"/>
    <cellStyle name="_原材料价表 2" xfId="8453" xr:uid="{DDFAEF4C-6727-4B15-BC09-7A6EF50737EC}"/>
    <cellStyle name="_原材料价表 2 2" xfId="8454" xr:uid="{B7C52EAF-8A4D-4FC5-8FF7-60C26F7E3C31}"/>
    <cellStyle name="_原材料价表 2 2 2" xfId="8455" xr:uid="{ACB3FF6D-BC26-4962-96E3-41CB724119CB}"/>
    <cellStyle name="_原材料价表 2 2 2 2" xfId="8456" xr:uid="{F359BB05-E841-43BC-9030-5F777182A675}"/>
    <cellStyle name="_原材料价表 2 2 2 2 2" xfId="26057" xr:uid="{D9F08294-6670-4367-B187-1BF73C36E2EF}"/>
    <cellStyle name="_原材料价表 2 2 3" xfId="8457" xr:uid="{307A7589-A8C1-402E-8F54-B9337270F4B0}"/>
    <cellStyle name="_原材料价表 2 2 4" xfId="8458" xr:uid="{34BC3958-6887-4F44-9C64-8F4FD1ABBFDC}"/>
    <cellStyle name="_原材料价表 2 2 4 2" xfId="26058" xr:uid="{BE392750-96B1-4119-A524-DC481BE4EB60}"/>
    <cellStyle name="_原材料价表 2 3" xfId="8459" xr:uid="{ABDFE08C-4FD7-4FF4-8B0B-0523189EFEC4}"/>
    <cellStyle name="_原材料价表 2 3 2" xfId="26059" xr:uid="{D1003142-4828-431B-B91C-E3EE41652640}"/>
    <cellStyle name="_原材料价表 2_FY13 Budget Simulation Excel PKG for Auto by company" xfId="8460" xr:uid="{4F7FFCC0-6D6F-44BD-9537-8CDD857E730C}"/>
    <cellStyle name="_原材料价表 3" xfId="8461" xr:uid="{9CF8EE17-E662-49AD-BB59-61A8E855D9E3}"/>
    <cellStyle name="_原材料价表 4" xfId="8462" xr:uid="{6099AA41-1E60-44E9-A175-87CBF2E2114F}"/>
    <cellStyle name="_原材料价表 4 2" xfId="26060" xr:uid="{7A48562E-C49A-4B7D-8622-0DEE28018749}"/>
    <cellStyle name="_原材料价表_DFL FY13 Simulation Data version 1010-2(A7C)" xfId="8463" xr:uid="{A5C9D1F9-68C1-42A9-8CFC-6A8C10892559}"/>
    <cellStyle name="_原材料价表_DFL FY13 Simulation Data version 1010-2(A7C) 2" xfId="8464" xr:uid="{3C40A6D2-E0E8-4B9E-82B0-D9B1C9C0C6BE}"/>
    <cellStyle name="_原材料价表_DFL FY13 Simulation Data version 1010-2(A7C) 2 2" xfId="8465" xr:uid="{5BEB0E5B-46A2-40C9-BB73-08AA1C7AF09D}"/>
    <cellStyle name="_原材料价表_DFL FY13 Simulation Data version 1010-2(A7C) 2 2 2" xfId="8466" xr:uid="{3AEF5724-985A-468B-A7DC-D0A9419DF668}"/>
    <cellStyle name="_原材料价表_DFL FY13 Simulation Data version 1010-2(A7C) 2 2 2 2" xfId="26061" xr:uid="{6C0649AD-E2E4-4D17-AE5B-768CEB4C5ED2}"/>
    <cellStyle name="_原材料价表_DFL FY13 Simulation Data version 1010-2(A7C) 2 3" xfId="8467" xr:uid="{D920FE68-2975-4EB6-B138-2B76091A9BB4}"/>
    <cellStyle name="_原材料价表_DFL FY13 Simulation Data version 1010-2(A7C) 2 4" xfId="8468" xr:uid="{329153D9-2098-4EC3-B13A-ED5E9F8EEE8C}"/>
    <cellStyle name="_原材料价表_DFL FY13 Simulation Data version 1010-2(A7C) 2 4 2" xfId="26062" xr:uid="{DCB3EB88-C696-4548-8701-47DB7DEB98E7}"/>
    <cellStyle name="_原材料价表_DFL FY13 Simulation Data version 1010-2(A7C) 3" xfId="8469" xr:uid="{6B82077B-A171-4817-B456-8C5B0FF9152D}"/>
    <cellStyle name="_原材料价表_DFL FY13 Simulation Data version 1010-2(A7C) 3 2" xfId="26063" xr:uid="{3378735D-12D9-49DE-A54C-BD36E2B8CFAE}"/>
    <cellStyle name="_原材料价表_DFL FY13 Simulation Data version 1010-2(A7C)_FY13 Budget Simulation Excel PKG for Auto by company" xfId="8470" xr:uid="{CF1D4FC2-0349-44E3-90CF-B91231FFEB0E}"/>
    <cellStyle name="_原材料价表_FY13 Budget Simulation Excel PKG for Auto by company" xfId="8471" xr:uid="{39DACA46-EE09-49BA-861B-AA2F4B9EA7AD}"/>
    <cellStyle name="_台数修正版" xfId="8576" xr:uid="{3551FB9B-BFB2-459B-BDBB-DD0C8C94B852}"/>
    <cellStyle name="_各工程新车准备费汇总04.2.9（报财务数据）4790.4万细分" xfId="8414" xr:uid="{58DE14BB-CF82-493E-B1B9-5E4AABE84B61}"/>
    <cellStyle name="_呉江0709売上棚卸内訳" xfId="8482" xr:uid="{5482BB55-EFA9-4C78-B10C-7F0F5C8D5A8A}"/>
    <cellStyle name="_呉江2008上期実績(電池)" xfId="8483" xr:uid="{3B0B76F2-33C6-4A07-A624-B440A9665483}"/>
    <cellStyle name="_呉江棚卸明細" xfId="8484" xr:uid="{ACFDA93B-4C54-4FC1-BE33-57DC6D827066}"/>
    <cellStyle name="_品確紀錄" xfId="8583" xr:uid="{B231145B-2371-49E2-AD22-78B9BF18A5F0}"/>
    <cellStyle name="_品確紀錄 2" xfId="8584" xr:uid="{D53EC50D-3FB3-450C-A159-ECE77910B39F}"/>
    <cellStyle name="_品確紀錄 2 2" xfId="8585" xr:uid="{94F7E8C5-0F3C-4739-826C-67F5485220C5}"/>
    <cellStyle name="_品確紀錄 2 2 2" xfId="26066" xr:uid="{90160DFB-ADDC-464C-A642-0F3246F64654}"/>
    <cellStyle name="_品確紀錄 3" xfId="8586" xr:uid="{D68DD325-B8DD-4905-8E48-3DF5C87EBC12}"/>
    <cellStyle name="_品確紀錄 3 2" xfId="26067" xr:uid="{13949870-D7B7-4B72-890C-B576B26FA6B4}"/>
    <cellStyle name="_品確紀錄_Fcst#2　FY13台数諸元表13.9.18" xfId="8587" xr:uid="{C5ECB56A-EAB8-47F6-B253-321EA8604C75}"/>
    <cellStyle name="_品確紀錄_FY13 Final ReplyBUD vs Forecast#3_AESC（台数諸元) 単価差Adjust値作成" xfId="8588" xr:uid="{E53EB837-D62C-40E5-B76C-C69926260314}"/>
    <cellStyle name="_品確紀錄_FY13 Monthly ReplyBUD（台数諸元) ルノー修正13 5 20" xfId="8589" xr:uid="{0200CD87-10E2-436D-8067-D195EC4FDE48}"/>
    <cellStyle name="_品確紀錄_FY13台数諸元表（201307実績-売上金額いり）" xfId="8590" xr:uid="{C05A62B1-C9C8-4AAF-A4FF-CA0C9E93967B}"/>
    <cellStyle name="_品確紀錄_FY13台数諸元表（予算vs実績）" xfId="8591" xr:uid="{E4686499-4A87-460C-A133-04CBD9002545}"/>
    <cellStyle name="_商用车05PLAN人员分析050908" xfId="8492" xr:uid="{68D26260-DF1A-4B3A-AC06-7DF5A1B11184}"/>
    <cellStyle name="_商用车公司05PLAN第二版含划转部门0811" xfId="8493" xr:uid="{D4BBCA64-B60B-4713-9820-F648456C0DAF}"/>
    <cellStyle name="_固定资产本部" xfId="8481" xr:uid="{A4649052-D7C5-4122-90BC-C30583E3C068}"/>
    <cellStyle name="_复件 爱心活动铺底清单" xfId="8635" xr:uid="{F8CF1739-A99C-46BD-BF7D-E2349BD10083}"/>
    <cellStyle name="_实际完成" xfId="8636" xr:uid="{FBAEC868-791D-42DF-B032-77E1DCA9C829}"/>
    <cellStyle name="_实际完成 2" xfId="8637" xr:uid="{87AF5E95-ABF7-427E-8C6D-B2F544560419}"/>
    <cellStyle name="_实际完成 2 2" xfId="8638" xr:uid="{0C5FCF66-59E8-48D8-A22F-5396AEC6F815}"/>
    <cellStyle name="_实际完成 2 2 2" xfId="8639" xr:uid="{2B4C34FE-F833-4E57-9189-39D6E418D1E5}"/>
    <cellStyle name="_实际完成 2 2 2 2" xfId="26071" xr:uid="{81AB6783-7B2F-410A-A8F0-4EFB3F9E3980}"/>
    <cellStyle name="_实际完成 3" xfId="8640" xr:uid="{45CE00F8-B16D-4E80-95C1-9B51E0A44EE4}"/>
    <cellStyle name="_实际完成_Sheet2" xfId="8641" xr:uid="{5F31A43A-A31A-4532-88F6-FFDB4D537E71}"/>
    <cellStyle name="_実見#2(05097)" xfId="8490" xr:uid="{8A613024-65C3-4393-9D01-B718154DDDC8}"/>
    <cellStyle name="_宱旓宯俀" xfId="8642" xr:uid="{ECB5913C-4F75-452B-A10A-D447435E4D34}"/>
    <cellStyle name="_宱旓宯俀_(for confirmation to Regin team) FX impact (Simu vs Updated) by MC" xfId="8643" xr:uid="{12E0F31E-C12A-4580-AC5F-09615F3B6963}"/>
    <cellStyle name="_宱旓宯俀_【0207】BP_reply_Outside profit_Price List_R" xfId="8644" xr:uid="{239FE8B6-FD8D-490A-B803-5C05CCFEC8E1}"/>
    <cellStyle name="_宱旓宯俀_08 budget 071018" xfId="8645" xr:uid="{0ED522ED-FE90-4FD6-B2FC-99142D68D0CB}"/>
    <cellStyle name="_宱旓宯俀_0902見直し" xfId="8646" xr:uid="{865FA303-ADDD-4A4B-BAA2-F4E73085E7D8}"/>
    <cellStyle name="_宱旓宯俀_09budget 081022" xfId="8647" xr:uid="{F2930839-224E-4070-AD5A-A6A013A33082}"/>
    <cellStyle name="_宱旓宯俀_2008年PDI预算 (销售部0)" xfId="8648" xr:uid="{9B562984-ACF5-4C24-8489-5A786D789D02}"/>
    <cellStyle name="_宱旓宯俀_2009_TDC_MonthlyActual" xfId="8649" xr:uid="{5362CFBF-69F2-46A4-8D84-AFE5F9C7C147}"/>
    <cellStyle name="_宱旓宯俀_2009年VME車種別(20100303)" xfId="8650" xr:uid="{7957B3D0-487B-4583-9EE7-EF0481BD6DB9}"/>
    <cellStyle name="_宱旓宯俀_CY09 material risk compare-0615-16 LP" xfId="8651" xr:uid="{5332B928-44B9-4C72-9ED7-834969D32B4E}"/>
    <cellStyle name="_宱旓宯俀_ＣＹ10予算見直し後(600K モデル別)" xfId="8652" xr:uid="{50650598-D868-4443-9222-F6D83198694B}"/>
    <cellStyle name="_宱旓宯俀_FCF_FY12 BUD Simulation Excel PKG for Auto_v2" xfId="8653" xr:uid="{8DFDCEBA-C6DE-449A-B8B3-F565C1B50BAF}"/>
    <cellStyle name="_宱旓宯俀_FY09 material forecast5+7 0616 for financial report" xfId="8654" xr:uid="{E55542B3-B136-4120-ADA3-1E273796FAB9}"/>
    <cellStyle name="_宱旓宯俀_FY11 Reply#1_FY11 3X9" xfId="8655" xr:uid="{9D101767-EDA6-437E-9F44-361786339D2E}"/>
    <cellStyle name="_宱旓宯俀_FY12 BP_Simulation information PKG_R" xfId="8656" xr:uid="{CCB7D867-0DF2-489A-A6A3-C3FCDA210900}"/>
    <cellStyle name="_宱旓宯俀_J11J MC+Elongation(松）" xfId="8657" xr:uid="{07A814C1-483C-45E3-85FB-3E75B3ACBFB3}"/>
    <cellStyle name="_宱旓宯俀_KD_PWT_20111128" xfId="8658" xr:uid="{36D266D8-362D-45B8-8263-4D4ABA580005}"/>
    <cellStyle name="_宱旓宯俀_L11K MC TDC 090306 (2)" xfId="8659" xr:uid="{B3094F33-AD43-4CD5-B914-F3DFEE369B53}"/>
    <cellStyle name="_宱旓宯俀_L42F TDC KKJ SOP 2010 Dec (090929) with MC (2)" xfId="8660" xr:uid="{DE00BE5E-6FC6-4139-B5F6-DB215A8AF7FF}"/>
    <cellStyle name="_宱旓宯俀_N11J MC+Elongation(松）" xfId="8661" xr:uid="{E4E23ED6-BE47-438C-87DF-5E45100C381D}"/>
    <cellStyle name="_宱旓宯俀_NMEF_Accessory" xfId="8662" xr:uid="{CD70F38B-A181-4394-85A5-C6E075D1323B}"/>
    <cellStyle name="_宱旓宯俀_NMT Outside profit Sep" xfId="8663" xr:uid="{32F86FF4-383B-4E00-B75B-442C0A236527}"/>
    <cellStyle name="_宱旓宯俀_NS_Outside profit change_simulation_1118_volmix" xfId="8664" xr:uid="{ACB9E7E6-7325-40CC-BD1C-8FBA61596B1C}"/>
    <cellStyle name="_宱旓宯俀_P32E MC TDC with MC (100206)" xfId="8665" xr:uid="{D7952AB8-98CA-4F47-959F-673860FDAD99}"/>
    <cellStyle name="_宱旓宯俀_P32L LCP TDC Case3 (0900221)" xfId="8666" xr:uid="{07E075F3-990D-4806-BE5B-58EB896BE439}"/>
    <cellStyle name="_宱旓宯俀_TDC SUMMARY SHEET for MTP (version 2.1 100526)" xfId="8667" xr:uid="{96A7BB7B-2D93-45B2-B14D-C2C67C21157C}"/>
    <cellStyle name="_宱旓宯俀_TDC SUMMARY SHEET for MTP (version 3.0 100526)" xfId="8668" xr:uid="{55406B95-368F-459A-B94B-0D80157A6B0E}"/>
    <cellStyle name="_宱旓宯俀_Volume Assumption &amp; Current Models" xfId="8669" xr:uid="{853F9EC0-D087-4CD5-AE30-AF6BC8799363}"/>
    <cellStyle name="_宱旓宯俀_コピー ～ 2009年5＋7 售  (47万台）(090619) (予算Ｆｉｎａｌ＆Variable変更　補正版)" xfId="8670" xr:uid="{20E4B405-1DE8-46C6-942C-217DD6599FCB}"/>
    <cellStyle name="_宱旓宯俁" xfId="8671" xr:uid="{1FA4BD9D-4ED5-475B-88BB-C02F250C4153}"/>
    <cellStyle name="_宱旓宯俁_(for confirmation to Regin team) FX impact (Simu vs Updated) by MC" xfId="8672" xr:uid="{6AEACFB3-619B-42F2-B18B-E28A489EB127}"/>
    <cellStyle name="_宱旓宯俁_【0207】BP_reply_Outside profit_Price List_R" xfId="8673" xr:uid="{F1D1A4F9-BFB5-430B-9C06-EBA54CD3DDAC}"/>
    <cellStyle name="_宱旓宯俁_08 budget 071018" xfId="8674" xr:uid="{0691F25E-D2BB-4769-A3F7-9541A193436D}"/>
    <cellStyle name="_宱旓宯俁_0902見直し" xfId="8675" xr:uid="{60BBFD89-4A8A-4647-A713-B4DA867A8A5B}"/>
    <cellStyle name="_宱旓宯俁_09budget 081022" xfId="8676" xr:uid="{CD9D1896-95B8-445B-B1B0-3002B87376CF}"/>
    <cellStyle name="_宱旓宯俁_2008年PDI预算 (销售部0)" xfId="8677" xr:uid="{45E81E5C-FDD8-40B7-B351-1A6ABF179EE0}"/>
    <cellStyle name="_宱旓宯俁_2009_TDC_MonthlyActual" xfId="8678" xr:uid="{C477E429-2DCB-4BBB-AD83-CA57678B5A5E}"/>
    <cellStyle name="_宱旓宯俁_2009年VME車種別(20100303)" xfId="8679" xr:uid="{BD6461C2-D0EC-44C4-BC25-10C9E17A33B1}"/>
    <cellStyle name="_宱旓宯俁_CY09 material risk compare-0615-16 LP" xfId="8680" xr:uid="{1C69FF00-78FA-458E-8DE0-F45AAB6DE08D}"/>
    <cellStyle name="_宱旓宯俁_ＣＹ10予算見直し後(600K モデル別)" xfId="8681" xr:uid="{58B12602-60BE-4C81-AD83-070633795CC4}"/>
    <cellStyle name="_宱旓宯俁_FCF_FY12 BUD Simulation Excel PKG for Auto_v2" xfId="8682" xr:uid="{BDAFEEAB-9A95-4285-B3A7-F7ABC7D0961A}"/>
    <cellStyle name="_宱旓宯俁_FY09 material forecast5+7 0616 for financial report" xfId="8683" xr:uid="{6B5EE3D5-048F-43A6-BE76-DC7F12D45805}"/>
    <cellStyle name="_宱旓宯俁_FY11 Reply#1_FY11 3X9" xfId="8684" xr:uid="{BE187CA5-E645-4227-B4C6-E3B970C646F7}"/>
    <cellStyle name="_宱旓宯俁_FY12 BP_Simulation information PKG_R" xfId="8685" xr:uid="{E7710225-1370-4098-B979-AE5C237FC29F}"/>
    <cellStyle name="_宱旓宯俁_J11J MC+Elongation(松）" xfId="8686" xr:uid="{FCED1698-F8DD-4631-8B0B-10B34A4D1ACE}"/>
    <cellStyle name="_宱旓宯俁_KD_PWT_20111128" xfId="8687" xr:uid="{F398EA0A-3E85-4AD7-B1F5-F2BF6C77682E}"/>
    <cellStyle name="_宱旓宯俁_L11K MC TDC 090306 (2)" xfId="8688" xr:uid="{61AE11E6-9E86-45E1-8736-E433974033E4}"/>
    <cellStyle name="_宱旓宯俁_L42F TDC KKJ SOP 2010 Dec (090929) with MC (2)" xfId="8689" xr:uid="{D7DC046B-BBA3-4231-87A3-D859DFA54FCA}"/>
    <cellStyle name="_宱旓宯俁_N11J MC+Elongation(松）" xfId="8690" xr:uid="{67C2859C-F6BD-43AA-978D-C2734D3BEE46}"/>
    <cellStyle name="_宱旓宯俁_NMEF_Accessory" xfId="8691" xr:uid="{21890ECC-B93F-4F0B-AF62-D74DA8101F30}"/>
    <cellStyle name="_宱旓宯俁_NMT Outside profit Sep" xfId="8692" xr:uid="{72194180-CE35-488A-8AE4-290F4D0D2FDE}"/>
    <cellStyle name="_宱旓宯俁_NS_Outside profit change_simulation_1118_volmix" xfId="8693" xr:uid="{2F0DD8F9-E7F7-4AC7-B274-F03A6E6C9C0D}"/>
    <cellStyle name="_宱旓宯俁_P32E MC TDC with MC (100206)" xfId="8694" xr:uid="{6B5D75F4-3E8F-423D-8AE2-CAB90933B4AF}"/>
    <cellStyle name="_宱旓宯俁_P32L LCP TDC Case3 (0900221)" xfId="8695" xr:uid="{F052CCA0-27E6-4A9D-BD9E-9E5D63DF82E4}"/>
    <cellStyle name="_宱旓宯俁_TDC SUMMARY SHEET for MTP (version 2.1 100526)" xfId="8696" xr:uid="{1D4209DA-F992-4050-9C63-054BE9F5EEB4}"/>
    <cellStyle name="_宱旓宯俁_TDC SUMMARY SHEET for MTP (version 3.0 100526)" xfId="8697" xr:uid="{304C60BF-4C7E-4A28-ACBC-DE85BD374B8B}"/>
    <cellStyle name="_宱旓宯俁_Volume Assumption &amp; Current Models" xfId="8698" xr:uid="{D7923F6B-ACC1-40E2-A220-DE14E6CB777C}"/>
    <cellStyle name="_宱旓宯俁_コピー ～ 2009年5＋7 售  (47万台）(090619) (予算Ｆｉｎａｌ＆Variable変更　補正版)" xfId="8699" xr:uid="{A6E25A0F-1758-4FE2-A98E-1909704F87F6}"/>
    <cellStyle name="_容器表具体尺寸" xfId="8600" xr:uid="{B3E19DE3-6B10-422D-988C-2595057AFCE3}"/>
    <cellStyle name="_工资" xfId="8485" xr:uid="{697E7A89-88AE-47B4-8B1B-5EF4A9483822}"/>
    <cellStyle name="_市場部予算 8+4  " xfId="8487" xr:uid="{ED9C3985-8CEB-46AC-BEE8-DBFF2E4F18DE}"/>
    <cellStyle name="_市場部予算 8+4   2" xfId="8488" xr:uid="{647DD9A5-435D-4CD7-8D99-5A560A3786D4}"/>
    <cellStyle name="_年底预提明细表-shen" xfId="8579" xr:uid="{7F8E08F0-1D99-4D81-9F74-90FE51040463}"/>
    <cellStyle name="_年度最好预测-060330" xfId="8580" xr:uid="{BC6533FD-F96D-4948-9362-08A54DD1036B}"/>
    <cellStyle name="_广告" xfId="8629" xr:uid="{2B0AECF6-2CBB-4D10-BB26-8277DCB2E492}"/>
    <cellStyle name="_广告 2" xfId="8630" xr:uid="{20D51B38-8E8C-4BFE-951A-D40330F2EF5A}"/>
    <cellStyle name="_总经办事" xfId="8700" xr:uid="{00B37F52-C7F0-467F-928C-55B08D28BBCD}"/>
    <cellStyle name="_折旧(期间费用)" xfId="8569" xr:uid="{A7F3F699-7E0C-4F08-832D-73C7F039E873}"/>
    <cellStyle name="_携嚢_050524" xfId="8416" xr:uid="{7B972D93-C107-4BF7-A45E-D5CBF0D0D9D2}"/>
    <cellStyle name="_料率一覧表 070726" xfId="8601" xr:uid="{D25EDD7C-2758-45BD-8134-8CE12247E423}"/>
    <cellStyle name="_新增间接人员调查及业务量分析" xfId="8543" xr:uid="{3624AD6F-00AB-42F0-BEE4-AB738CC22BF9}"/>
    <cellStyle name="_新工厂" xfId="8542" xr:uid="{932F14B7-F13A-4C6B-B7D4-ACD2D48EA84D}"/>
    <cellStyle name="_新建 Microsoft Excel 工作表" xfId="8515" xr:uid="{268DDCF1-FC97-42C4-9ED6-235F9D93E902}"/>
    <cellStyle name="_新建 Microsoft Excel 工作表_(for confirmation to Regin team) FX impact (Simu vs Updated) by MC" xfId="8516" xr:uid="{DB35A4FD-64B8-4628-B889-FFD26A354B27}"/>
    <cellStyle name="_新建 Microsoft Excel 工作表_【0207】BP_reply_Outside profit_Price List_R" xfId="8517" xr:uid="{17D9498C-7FB7-4CEF-9020-38F7599A3F5F}"/>
    <cellStyle name="_新建 Microsoft Excel 工作表_08 budget 071018" xfId="8518" xr:uid="{2F644994-47E9-4E33-9438-F6AB0A2D7F2F}"/>
    <cellStyle name="_新建 Microsoft Excel 工作表_0902見直し" xfId="8519" xr:uid="{C6BDDA08-C840-4686-AC42-89D18758B6BB}"/>
    <cellStyle name="_新建 Microsoft Excel 工作表_09budget 081022" xfId="8520" xr:uid="{218F112F-D795-4769-A5D8-3120C0E3BFF5}"/>
    <cellStyle name="_新建 Microsoft Excel 工作表_09'CV市况(按11.08发布值测算)" xfId="8521" xr:uid="{4D81310D-2B70-4152-8CD8-306F217862F1}"/>
    <cellStyle name="_新建 Microsoft Excel 工作表_2009_TDC_MonthlyActual" xfId="8522" xr:uid="{1710EFD3-4D28-4653-8397-B5414D7EC05E}"/>
    <cellStyle name="_新建 Microsoft Excel 工作表_2009年VME車種別(20100303)" xfId="8523" xr:uid="{E143A262-517B-4769-BE90-DBF860EAE357}"/>
    <cellStyle name="_新建 Microsoft Excel 工作表_CY09 material risk compare-0615-16 LP" xfId="8524" xr:uid="{A290D54C-FDE3-4414-A172-CED21705657C}"/>
    <cellStyle name="_新建 Microsoft Excel 工作表_ＣＹ10予算見直し後(600K モデル別)" xfId="8525" xr:uid="{390362BE-8E74-41B4-B20C-9015666C8B5A}"/>
    <cellStyle name="_新建 Microsoft Excel 工作表_FCF_FY12 BUD Simulation Excel PKG for Auto_v2" xfId="8526" xr:uid="{33DC9EF4-C895-411E-835D-DFBF7621C52C}"/>
    <cellStyle name="_新建 Microsoft Excel 工作表_FY09 material forecast5+7 0616 for financial report" xfId="8527" xr:uid="{CA319EB1-CAAD-49F2-8FBB-D175E9C2EA8C}"/>
    <cellStyle name="_新建 Microsoft Excel 工作表_FY10 FC#2 Pricing Analysis to Central" xfId="8528" xr:uid="{F59FABB9-57E0-4E53-9B0B-16143A930237}"/>
    <cellStyle name="_新建 Microsoft Excel 工作表_FY12 BP_Simulation information PKG_R" xfId="8529" xr:uid="{F73BFFEB-AFF4-4AD5-A143-9805ACBDE2AB}"/>
    <cellStyle name="_新建 Microsoft Excel 工作表_J11J MC+Elongation(松）" xfId="8530" xr:uid="{E29F1CCC-6C7B-4308-AC5B-9CF7C2FAFF86}"/>
    <cellStyle name="_新建 Microsoft Excel 工作表_L11K MC TDC 090306 (2)" xfId="8531" xr:uid="{80A034C6-8B18-4294-8729-53D0FA793E9A}"/>
    <cellStyle name="_新建 Microsoft Excel 工作表_L42F TDC KKJ SOP 2010 Dec (090929) with MC (2)" xfId="8532" xr:uid="{24AA0588-023E-46A9-AA61-FFC70E0D8B69}"/>
    <cellStyle name="_新建 Microsoft Excel 工作表_N11J MC+Elongation(松）" xfId="8533" xr:uid="{6E70807A-1D9F-4C96-8C0D-E336700F7767}"/>
    <cellStyle name="_新建 Microsoft Excel 工作表_NI_Forecast_FY10_120110" xfId="8534" xr:uid="{68F9490E-E966-4918-96B8-8F62ACCA9B67}"/>
    <cellStyle name="_新建 Microsoft Excel 工作表_P32E MC TDC with MC (100206)" xfId="8535" xr:uid="{00AED09F-BC62-44B1-8F59-54164B2956EC}"/>
    <cellStyle name="_新建 Microsoft Excel 工作表_P32L LCP TDC Case3 (0900221)" xfId="8536" xr:uid="{5D67DC3F-F74B-40E6-9332-95A60AF52D54}"/>
    <cellStyle name="_新建 Microsoft Excel 工作表_Tax Expense FY10 7x5 to FPA 113010" xfId="8537" xr:uid="{BC0626DF-4443-4E50-A382-7CA60AD6B04C}"/>
    <cellStyle name="_新建 Microsoft Excel 工作表_TDC SUMMARY SHEET for MTP (version 2.1 100526)" xfId="8538" xr:uid="{DA3AFF59-007E-4F9D-A596-48DC1F308EB6}"/>
    <cellStyle name="_新建 Microsoft Excel 工作表_TDC SUMMARY SHEET for MTP (version 3.0 100526)" xfId="8539" xr:uid="{C0BBCE48-D941-4069-9938-B0E258F89740}"/>
    <cellStyle name="_新建 Microsoft Excel 工作表_Volume Assumption &amp; Current Models" xfId="8540" xr:uid="{54AFC271-9B6F-444D-BCD3-1FDF59A9CED7}"/>
    <cellStyle name="_新建 Microsoft Excel 工作表_コピー ～ 2009年5＋7 售  (47万台）(090619) (予算Ｆｉｎａｌ＆Variable変更　補正版)" xfId="8541" xr:uid="{E506D957-CA89-40A1-8BB6-E69D6675A3E8}"/>
    <cellStyle name="_新規投資分償却費05Plan(生产）" xfId="8512" xr:uid="{973E6633-62D9-414C-B99C-34FF14B2348C}"/>
    <cellStyle name="_新規投資分償却費05Plan(生产）_CY09 material risk compare-0615-16 LP" xfId="8513" xr:uid="{37758EA1-C27D-412E-9891-43536859106A}"/>
    <cellStyle name="_新規投資分償却費05Plan(生产）_FY09 material forecast5+7 0616 for financial report" xfId="8514" xr:uid="{2ED21046-6032-4A8D-9BB9-C87C15D9E4A4}"/>
    <cellStyle name="_月度分解" xfId="8417" xr:uid="{CC2DD142-287D-4B84-BF60-1FD02791287B}"/>
    <cellStyle name="_月度分解 2" xfId="8418" xr:uid="{E4A17795-A12A-40AE-802D-C276D3FECD30}"/>
    <cellStyle name="_月度分解 2 2" xfId="8419" xr:uid="{97DABEF3-4368-4087-935F-91DBDB14DD8E}"/>
    <cellStyle name="_月度分解 2 2 2" xfId="8420" xr:uid="{E4727756-D830-4691-84A9-C95689AC5AA7}"/>
    <cellStyle name="_月度分解 2 2 2 2" xfId="26047" xr:uid="{189BDC39-25FB-4C2A-8465-03EE62B79913}"/>
    <cellStyle name="_月度分解 3" xfId="8421" xr:uid="{99800940-0A87-44D0-8D2C-64821A7D415F}"/>
    <cellStyle name="_服务开发部" xfId="8595" xr:uid="{8EAA7A74-FA10-4FA5-AC6D-0E8ADFC21B8C}"/>
    <cellStyle name="_步行图" xfId="8701" xr:uid="{BAE57434-D7C9-437E-BB8B-A1511C7041ED}"/>
    <cellStyle name="_步行图_CY09 material risk compare-0615-16 LP" xfId="8702" xr:uid="{8D50F162-EE4C-4BCE-B158-43B559EC795E}"/>
    <cellStyle name="_步行图_FY09 material forecast5+7 0616 for financial report" xfId="8703" xr:uid="{EF12D104-1E2F-4824-8527-C4D8D8ED4C5A}"/>
    <cellStyle name="_比较" xfId="8582" xr:uid="{300A7F61-1D75-4052-A065-2B3D09A5E6CB}"/>
    <cellStyle name="_汇总PV" xfId="8704" xr:uid="{17764B29-914E-486F-8265-287E766DCC3A}"/>
    <cellStyle name="_汇总PV_(for confirmation to Regin team) FX impact (Simu vs Updated) by MC" xfId="8705" xr:uid="{4AF8826D-73CA-4DE3-B0FF-F59DF0542E54}"/>
    <cellStyle name="_汇总PV_【0207】BP_reply_Outside profit_Price List_R" xfId="8706" xr:uid="{949816FA-7A4D-4B17-9DB0-4813F902B42D}"/>
    <cellStyle name="_汇总PV_08 budget 071018" xfId="8707" xr:uid="{794CAF3F-39FC-4821-AC44-A0712DC4E7D1}"/>
    <cellStyle name="_汇总PV_0902見直し" xfId="8708" xr:uid="{106E254D-99CF-4F5F-920E-4D9ECEFDAA2A}"/>
    <cellStyle name="_汇总PV_09budget 081022" xfId="8709" xr:uid="{D0F4921B-8E4B-482A-8196-122A0036DBD7}"/>
    <cellStyle name="_汇总PV_09'CV市况(按11.08发布值测算)" xfId="8710" xr:uid="{316AFD7E-568A-4CB5-A546-EABEECA055AA}"/>
    <cellStyle name="_汇总PV_2009_TDC_MonthlyActual" xfId="8711" xr:uid="{0268FC0C-A31A-4F83-9616-80EFAF3393B4}"/>
    <cellStyle name="_汇总PV_2009年VME車種別(20100303)" xfId="8712" xr:uid="{EC657780-7501-43E8-AE57-973ACB72E432}"/>
    <cellStyle name="_汇总PV_CY09 material risk compare-0615-16 LP" xfId="8713" xr:uid="{0C0CDAE8-C885-47A9-A6FF-C0D3DBF9A451}"/>
    <cellStyle name="_汇总PV_ＣＹ10予算見直し後(600K モデル別)" xfId="8714" xr:uid="{4DEA0062-C0AC-4040-9329-484670D1FA6B}"/>
    <cellStyle name="_汇总PV_FCF_FY12 BUD Simulation Excel PKG for Auto_v2" xfId="8715" xr:uid="{78901ABA-BFCE-4D3D-BBE8-4CD9F693E2B3}"/>
    <cellStyle name="_汇总PV_FY09 material forecast5+7 0616 for financial report" xfId="8716" xr:uid="{0CC53B0A-5E12-458E-84D0-4C8589A8647A}"/>
    <cellStyle name="_汇总PV_FY10 FC#2 Pricing Analysis to Central" xfId="8717" xr:uid="{6637F702-9CC7-4AF3-8AB8-30D978EA33B3}"/>
    <cellStyle name="_汇总PV_FY12 BP_Simulation information PKG_R" xfId="8718" xr:uid="{B224ECAD-1FFF-4279-B9BF-89D6889D1ED0}"/>
    <cellStyle name="_汇总PV_J11J MC+Elongation(松）" xfId="8719" xr:uid="{84BAD2CB-181D-49FA-858E-CB411519E331}"/>
    <cellStyle name="_汇总PV_L11K MC TDC 090306 (2)" xfId="8720" xr:uid="{F15312A6-A01A-4A8C-9D13-FDA4D70CF48B}"/>
    <cellStyle name="_汇总PV_L42F TDC KKJ SOP 2010 Dec (090929) with MC (2)" xfId="8721" xr:uid="{57F7C9C3-3CA1-4482-A9BB-C13C59B5A574}"/>
    <cellStyle name="_汇总PV_N11J MC+Elongation(松）" xfId="8722" xr:uid="{1AFD7085-901C-42CC-9822-8D99D74B87DD}"/>
    <cellStyle name="_汇总PV_NI_Forecast_FY10_120110" xfId="8723" xr:uid="{1E1263A9-1EAB-4B5A-B405-6AFD0C38CF84}"/>
    <cellStyle name="_汇总PV_P32E MC TDC with MC (100206)" xfId="8724" xr:uid="{5A355F31-1602-41B0-80E6-3CEE501C4B48}"/>
    <cellStyle name="_汇总PV_P32L LCP TDC Case3 (0900221)" xfId="8725" xr:uid="{E809E038-BDC5-4D94-B791-933697F710DB}"/>
    <cellStyle name="_汇总PV_Tax Expense FY10 7x5 to FPA 113010" xfId="8726" xr:uid="{64AF4D1B-16D2-49C1-B107-2B41A478C56A}"/>
    <cellStyle name="_汇总PV_TDC SUMMARY SHEET for MTP (version 2.1 100526)" xfId="8727" xr:uid="{FD2E10B4-969C-4D38-916B-4C85E3072344}"/>
    <cellStyle name="_汇总PV_TDC SUMMARY SHEET for MTP (version 3.0 100526)" xfId="8728" xr:uid="{0D4A0B36-F66F-4559-99E2-209DFA303EAD}"/>
    <cellStyle name="_汇总PV_Volume Assumption &amp; Current Models" xfId="8729" xr:uid="{C30D5BD7-FF05-4E32-A409-F9521FA55AA9}"/>
    <cellStyle name="_汇总PV_コピー ～ 2009年5＋7 售  (47万台）(090619) (予算Ｆｉｎａｌ＆Variable変更　補正版)" xfId="8730" xr:uid="{A722A94A-ECCD-433D-8CBB-7CBA71160476}"/>
    <cellStyle name="_派驻" xfId="8581" xr:uid="{8126C33A-07FD-4B81-9562-92D7D82777B9}"/>
    <cellStyle name="_生产台数" xfId="8568" xr:uid="{F185066F-ECFF-4303-8A13-2793524E3058}"/>
    <cellStyle name="_目標値検討" xfId="8599" xr:uid="{385367FD-907B-4FA5-A216-DDEE0AF69A0C}"/>
    <cellStyle name="_研发表" xfId="8422" xr:uid="{40C9ED56-ADC5-4E59-AFAE-47DBC8750439}"/>
    <cellStyle name="_管理部05BP计划(人工、成本、管理费）" xfId="8415" xr:uid="{208457C8-910C-4622-92F2-EB93EBB7CC96}"/>
    <cellStyle name="_訂正版）FY10BP FCST#3（NML分）Carry over 月別追記" xfId="8577" xr:uid="{DEF5DCD5-0DD0-4FA3-9D73-54834AB9AA8E}"/>
    <cellStyle name="_设备工装" xfId="8731" xr:uid="{934FE3CA-AA5C-4F6D-90DB-9112F12B9CB1}"/>
    <cellStyle name="_财务分析报告34-财务费用&amp;投资&amp;汇率关税&amp;其他" xfId="8732" xr:uid="{25317F9B-D28D-48AF-BE5F-9D764B51E206}"/>
    <cellStyle name="_财务分析报告34-财务费用&amp;投资&amp;汇率关税&amp;其他_(for confirmation to Regin team) FX impact (Simu vs Updated) by MC" xfId="8733" xr:uid="{24150117-AFC8-4BCD-AAAF-4D919D2F6B9E}"/>
    <cellStyle name="_财务分析报告34-财务费用&amp;投资&amp;汇率关税&amp;其他_【0207】BP_reply_Outside profit_Price List_R" xfId="8734" xr:uid="{1411F2B0-80B9-4544-A198-CFD53252D09A}"/>
    <cellStyle name="_财务分析报告34-财务费用&amp;投资&amp;汇率关税&amp;其他_08 budget 071018" xfId="8735" xr:uid="{A38076D2-3D28-4CCE-8441-AC200A134941}"/>
    <cellStyle name="_财务分析报告34-财务费用&amp;投资&amp;汇率关税&amp;其他_0902見直し" xfId="8736" xr:uid="{87A8C44F-5FCC-4EB0-BCF2-DDEB0F5D11FC}"/>
    <cellStyle name="_财务分析报告34-财务费用&amp;投资&amp;汇率关税&amp;其他_09budget 081022" xfId="8737" xr:uid="{A1C11336-1CF6-46BF-BCCD-CC6783588A5E}"/>
    <cellStyle name="_财务分析报告34-财务费用&amp;投资&amp;汇率关税&amp;其他_09'CV市况(按11.08发布值测算)" xfId="8738" xr:uid="{25E8235D-9F05-43E1-AA83-C6EAE5A0A1C9}"/>
    <cellStyle name="_财务分析报告34-财务费用&amp;投资&amp;汇率关税&amp;其他_2009_TDC_MonthlyActual" xfId="8739" xr:uid="{1DAB7DCB-A45E-4E2D-B124-6573AF589081}"/>
    <cellStyle name="_财务分析报告34-财务费用&amp;投资&amp;汇率关税&amp;其他_2009年VME車種別(20100303)" xfId="8740" xr:uid="{274BC4BC-EBF8-4956-A5B5-5E22B0792933}"/>
    <cellStyle name="_财务分析报告34-财务费用&amp;投资&amp;汇率关税&amp;其他_CY09 material risk compare-0615-16 LP" xfId="8741" xr:uid="{00D3E370-DD3E-458D-AE6C-E5D5B8D1809F}"/>
    <cellStyle name="_财务分析报告34-财务费用&amp;投资&amp;汇率关税&amp;其他_ＣＹ10予算見直し後(600K モデル別)" xfId="8742" xr:uid="{7E08BD02-4574-4B3C-B828-47E06CEB32DC}"/>
    <cellStyle name="_财务分析报告34-财务费用&amp;投资&amp;汇率关税&amp;其他_FCF_FY12 BUD Simulation Excel PKG for Auto_v2" xfId="8743" xr:uid="{34226FF2-0C77-451E-8BA4-4A59175E20E9}"/>
    <cellStyle name="_财务分析报告34-财务费用&amp;投资&amp;汇率关税&amp;其他_FY09 material forecast5+7 0616 for financial report" xfId="8744" xr:uid="{F5A9FA55-8500-4471-BFFD-DE237344EC90}"/>
    <cellStyle name="_财务分析报告34-财务费用&amp;投资&amp;汇率关税&amp;其他_FY10 FC#2 Pricing Analysis to Central" xfId="8745" xr:uid="{A88ABDC1-DC8D-4297-82E1-25F944D10899}"/>
    <cellStyle name="_财务分析报告34-财务费用&amp;投资&amp;汇率关税&amp;其他_FY12 BP_Simulation information PKG_R" xfId="8746" xr:uid="{18DE243B-EBF7-4230-BFE7-8474D38B2C93}"/>
    <cellStyle name="_财务分析报告34-财务费用&amp;投资&amp;汇率关税&amp;其他_J11J MC+Elongation(松）" xfId="8747" xr:uid="{F7387256-ADAA-4DB8-A0C1-B7D0204F4EF3}"/>
    <cellStyle name="_财务分析报告34-财务费用&amp;投资&amp;汇率关税&amp;其他_L11K MC TDC 090306 (2)" xfId="8748" xr:uid="{6A558429-D33B-4A5A-A313-B09F3F7CB39A}"/>
    <cellStyle name="_财务分析报告34-财务费用&amp;投资&amp;汇率关税&amp;其他_L42F TDC KKJ SOP 2010 Dec (090929) with MC (2)" xfId="8749" xr:uid="{139B8365-A16A-4D7F-A74A-439451EB83ED}"/>
    <cellStyle name="_财务分析报告34-财务费用&amp;投资&amp;汇率关税&amp;其他_N11J MC+Elongation(松）" xfId="8750" xr:uid="{5AC7E806-95BC-4872-AE49-401EA35AA623}"/>
    <cellStyle name="_财务分析报告34-财务费用&amp;投资&amp;汇率关税&amp;其他_NI_Forecast_FY10_120110" xfId="8751" xr:uid="{9A310B77-AC88-4FD1-A8C0-813E5E0BEA26}"/>
    <cellStyle name="_财务分析报告34-财务费用&amp;投资&amp;汇率关税&amp;其他_P32E MC TDC with MC (100206)" xfId="8752" xr:uid="{0618F1F2-C97E-4FFF-8C86-9378627D72B8}"/>
    <cellStyle name="_财务分析报告34-财务费用&amp;投资&amp;汇率关税&amp;其他_P32L LCP TDC Case3 (0900221)" xfId="8753" xr:uid="{AB0EE78D-751F-4000-B382-40C9A387C253}"/>
    <cellStyle name="_财务分析报告34-财务费用&amp;投资&amp;汇率关税&amp;其他_Tax Expense FY10 7x5 to FPA 113010" xfId="8754" xr:uid="{754C2F75-8477-40A4-BCEF-F8347E2BEA20}"/>
    <cellStyle name="_财务分析报告34-财务费用&amp;投资&amp;汇率关税&amp;其他_TDC SUMMARY SHEET for MTP (version 2.1 100526)" xfId="8755" xr:uid="{EA80F572-8C46-4E38-9484-FAC14B32036B}"/>
    <cellStyle name="_财务分析报告34-财务费用&amp;投资&amp;汇率关税&amp;其他_TDC SUMMARY SHEET for MTP (version 3.0 100526)" xfId="8756" xr:uid="{1E20611C-EE0D-4EB4-8221-D429C34B2217}"/>
    <cellStyle name="_财务分析报告34-财务费用&amp;投资&amp;汇率关税&amp;其他_Volume Assumption &amp; Current Models" xfId="8757" xr:uid="{9F05D66E-501E-473C-A06C-91DEC8F64867}"/>
    <cellStyle name="_财务分析报告34-财务费用&amp;投资&amp;汇率关税&amp;其他_コピー ～ 2009年5＋7 售  (47万台）(090619) (予算Ｆｉｎａｌ＆Variable変更　補正版)" xfId="8758" xr:uid="{DF76DBAB-A96F-4D60-AD42-6B9D49BFC049}"/>
    <cellStyle name="_返利推算05年" xfId="8596" xr:uid="{2954E1EB-AFCE-4E3B-B329-DE77A9B13260}"/>
    <cellStyle name="_采购管理总部07-10年人员计划" xfId="8486" xr:uid="{E900BEC1-09BF-4374-9D80-03CAA45E0FDE}"/>
    <cellStyle name="_销量预算(pv)" xfId="8759" xr:uid="{AB31D6AA-EE14-420F-A35D-7A4626BF43FE}"/>
    <cellStyle name="_销量预算(pv)_(for confirmation to Regin team) FX impact (Simu vs Updated) by MC" xfId="8760" xr:uid="{06550A4E-52C4-43B5-93E5-D4205005A8F5}"/>
    <cellStyle name="_销量预算(pv)_【0207】BP_reply_Outside profit_Price List_R" xfId="8761" xr:uid="{71671860-3918-48CE-8C59-E1DC5A0BF4D0}"/>
    <cellStyle name="_销量预算(pv)_08 budget 071018" xfId="8762" xr:uid="{E240400D-94BF-4A21-AA53-F5EAD610808A}"/>
    <cellStyle name="_销量预算(pv)_0902見直し" xfId="8763" xr:uid="{0A0B9166-5553-4734-ACBE-120B6C941F8C}"/>
    <cellStyle name="_销量预算(pv)_09budget 081022" xfId="8764" xr:uid="{73F5C635-6159-4D8F-B1AA-254587AB6907}"/>
    <cellStyle name="_销量预算(pv)_09'CV市况(按11.08发布值测算)" xfId="8765" xr:uid="{31A25AA8-2A8A-4F0B-93EA-470A242B6B91}"/>
    <cellStyle name="_销量预算(pv)_2009_TDC_MonthlyActual" xfId="8766" xr:uid="{6B1EA323-A7E9-4B76-B0A7-681B6F4F9D95}"/>
    <cellStyle name="_销量预算(pv)_2009年VME車種別(20100303)" xfId="8767" xr:uid="{A14D03F6-52DE-4988-B03B-22FBBCBA8BEB}"/>
    <cellStyle name="_销量预算(pv)_CY09 material risk compare-0615-16 LP" xfId="8768" xr:uid="{305CCD09-9902-47E5-9C4E-0BE55B139060}"/>
    <cellStyle name="_销量预算(pv)_ＣＹ10予算見直し後(600K モデル別)" xfId="8769" xr:uid="{AAB0A5BB-57DB-499A-BD16-7D877C8AF15E}"/>
    <cellStyle name="_销量预算(pv)_FCF_FY12 BUD Simulation Excel PKG for Auto_v2" xfId="8770" xr:uid="{FD2C2F46-BD7C-4BEF-92EA-F3E81094684F}"/>
    <cellStyle name="_销量预算(pv)_FY09 material forecast5+7 0616 for financial report" xfId="8771" xr:uid="{D9258240-A995-42E8-8D02-A5892ACADA8F}"/>
    <cellStyle name="_销量预算(pv)_FY10 FC#2 Pricing Analysis to Central" xfId="8772" xr:uid="{CBAEAAC0-FD8A-4503-846B-757F630F904E}"/>
    <cellStyle name="_销量预算(pv)_FY12 BP_Simulation information PKG_R" xfId="8773" xr:uid="{B46657E9-2A69-404B-80AB-82DA23109D4F}"/>
    <cellStyle name="_销量预算(pv)_J11J MC+Elongation(松）" xfId="8774" xr:uid="{6E322858-4CC1-4DAF-9218-31B801E8CB0B}"/>
    <cellStyle name="_销量预算(pv)_L11K MC TDC 090306 (2)" xfId="8775" xr:uid="{526AC51A-EB80-4B4A-8605-E0F36925CF5D}"/>
    <cellStyle name="_销量预算(pv)_L42F TDC KKJ SOP 2010 Dec (090929) with MC (2)" xfId="8776" xr:uid="{E4B5E632-D7CA-4FAF-9FB5-1D43DCE6E064}"/>
    <cellStyle name="_销量预算(pv)_N11J MC+Elongation(松）" xfId="8777" xr:uid="{371CF4FB-50E4-4766-94CC-615411D1EDD1}"/>
    <cellStyle name="_销量预算(pv)_NI_Forecast_FY10_120110" xfId="8778" xr:uid="{45667EEE-5663-45D0-B99E-E3B49278ECEB}"/>
    <cellStyle name="_销量预算(pv)_P32E MC TDC with MC (100206)" xfId="8779" xr:uid="{D513E619-FFAB-4FD3-A2BB-A2CE89AB44E5}"/>
    <cellStyle name="_销量预算(pv)_P32L LCP TDC Case3 (0900221)" xfId="8780" xr:uid="{3B2B1323-A278-486A-B530-D8A748176276}"/>
    <cellStyle name="_销量预算(pv)_Tax Expense FY10 7x5 to FPA 113010" xfId="8781" xr:uid="{E3CB1643-F940-4571-9CE0-D48BBCDAB26B}"/>
    <cellStyle name="_销量预算(pv)_TDC SUMMARY SHEET for MTP (version 2.1 100526)" xfId="8782" xr:uid="{9384763A-C032-4B87-8A1B-477D401AD2E6}"/>
    <cellStyle name="_销量预算(pv)_TDC SUMMARY SHEET for MTP (version 3.0 100526)" xfId="8783" xr:uid="{3107E5C0-3F7B-4C46-8C7F-6811ADD47C53}"/>
    <cellStyle name="_销量预算(pv)_Volume Assumption &amp; Current Models" xfId="8784" xr:uid="{7D4773C8-50BC-463B-BEC0-93441DAC5A6B}"/>
    <cellStyle name="_销量预算(pv)_コピー ～ 2009年5＋7 售  (47万台）(090619) (予算Ｆｉｎａｌ＆Variable変更　補正版)" xfId="8785" xr:uid="{3FC31EC7-53BF-44D4-A624-70962D62AA8A}"/>
    <cellStyle name="_限定確認用(826DB)" xfId="8472" xr:uid="{7B78143C-04A0-4B93-B400-3E47C53F8822}"/>
    <cellStyle name="_限定確認用(826DB) 2" xfId="8473" xr:uid="{AEDF1151-DBD3-4713-8DBE-B4A653403697}"/>
    <cellStyle name="_限定確認用(826DB) 2 2" xfId="8474" xr:uid="{3AF48DAE-D710-49FA-BB3A-F159B7C327BC}"/>
    <cellStyle name="_限定確認用(826DB) 2 2 2" xfId="26064" xr:uid="{596F9E62-7D7F-4AFD-AD2A-C38A5A0EEBAD}"/>
    <cellStyle name="_限定確認用(826DB) 3" xfId="8475" xr:uid="{1F198C07-F5D3-4FEC-BF87-7E77ED6A1547}"/>
    <cellStyle name="_限定確認用(826DB) 3 2" xfId="26065" xr:uid="{579FEF3E-97E0-44E2-88B9-E6388307A69E}"/>
    <cellStyle name="_限定確認用(826DB)_Fcst#2　FY13台数諸元表13.9.18" xfId="8476" xr:uid="{E1F7B103-4B65-457C-870F-2D1BB5A90684}"/>
    <cellStyle name="_限定確認用(826DB)_FY13 Final ReplyBUD vs Forecast#3_AESC（台数諸元) 単価差Adjust値作成" xfId="8477" xr:uid="{D4CE5499-AD34-4264-8686-3D15EEDEC686}"/>
    <cellStyle name="_限定確認用(826DB)_FY13 Monthly ReplyBUD（台数諸元) ルノー修正13 5 20" xfId="8478" xr:uid="{ACE7C3BD-0F8E-4257-A000-29C5FDF87390}"/>
    <cellStyle name="_限定確認用(826DB)_FY13台数諸元表（201307実績-売上金額いり）" xfId="8479" xr:uid="{98DA30B3-0408-4FBA-8797-675D1116BCB6}"/>
    <cellStyle name="_限定確認用(826DB)_FY13台数諸元表（予算vs実績）" xfId="8480" xr:uid="{7E8EFB61-97D5-4383-AD72-F9A1CE15D453}"/>
    <cellStyle name="_预提费用的管理" xfId="8787" xr:uid="{A6628F75-20D7-4CA0-977E-148FD151B05C}"/>
    <cellStyle name="_预算最终版汇总(含日产裕隆)" xfId="8786" xr:uid="{807ED91D-A4F3-4357-9F0F-167987AC94BB}"/>
    <cellStyle name="{Comma [0]}" xfId="8788" xr:uid="{298B5B69-6F2B-49DD-B5E2-3149C4E869D0}"/>
    <cellStyle name="{Comma}" xfId="8789" xr:uid="{2E43BE0D-AF98-47C4-A63F-C5146246734B}"/>
    <cellStyle name="{Date}" xfId="8790" xr:uid="{9BC99A8B-B925-406B-82CB-51FF022B74EA}"/>
    <cellStyle name="{Month}" xfId="8791" xr:uid="{0B08283B-60B9-4D7B-BF40-9AE39E0AACA4}"/>
    <cellStyle name="{Percent}" xfId="8792" xr:uid="{5EE6A617-37E3-4A55-80A5-6E5C3B281952}"/>
    <cellStyle name="{Thousand [0]}" xfId="8793" xr:uid="{4B2FE378-1520-4771-B359-B9251B980E0D}"/>
    <cellStyle name="{Thousand}" xfId="8794" xr:uid="{8FEEE754-6C0C-4446-B7FB-01DAAB4090BA}"/>
    <cellStyle name="{Z'0000(1 dec)}" xfId="8795" xr:uid="{85806B9A-7939-40F0-AA20-BF46CB6F84E8}"/>
    <cellStyle name="{Z'0000(4 dec)}" xfId="8796" xr:uid="{F45A6F07-E7DB-4A47-8E14-C9E06713C39D}"/>
    <cellStyle name="||" xfId="8797" xr:uid="{52039CB2-E671-4C81-9F40-84F3AD89D77C}"/>
    <cellStyle name="’?‰? [0.00]_”???‘???" xfId="8798" xr:uid="{2868A95F-2B8E-45CA-8824-1BFDBFC169C8}"/>
    <cellStyle name="’?‰?_”???‘???" xfId="8799" xr:uid="{6F0771AF-F614-447F-AEDB-40734995DE91}"/>
    <cellStyle name="’E?Y [0.00]_Ladder Report" xfId="8800" xr:uid="{0A36B36C-E70A-4390-A841-421225C76BF9}"/>
    <cellStyle name="’E?Y_Ladder Report" xfId="8801" xr:uid="{DE75E1E6-8279-48EC-AE59-925380AF8D46}"/>
    <cellStyle name="’E］Y [0.00]_02Feb_Quick_NMISA(revised)" xfId="8802" xr:uid="{C564F649-1977-4724-9340-9046D7A7FA46}"/>
    <cellStyle name="’E]Y [0.00]_Book1li" xfId="8803" xr:uid="{E3832B03-3A8E-491C-A027-FA8BAFE346B0}"/>
    <cellStyle name="’E］Y [0.00]_Ladder Report" xfId="8804" xr:uid="{89642628-57E9-4DB4-BAA3-1B5011805E89}"/>
    <cellStyle name="’E］Y_02Feb_Quick_NMISA(revised)" xfId="8805" xr:uid="{5B3E7236-3105-4F44-A720-D201C74CF751}"/>
    <cellStyle name="’E]Y_Book1]_" xfId="8806" xr:uid="{91F8A1C8-20A8-4C3C-87FB-C0E2F8F15C7E}"/>
    <cellStyle name="’E］Y_Ladder Report" xfId="8807" xr:uid="{9CE35CC8-B51D-4417-BD21-1A9509B5C6A9}"/>
    <cellStyle name="’E・Y [0.00]_currentKC GL" xfId="8808" xr:uid="{C4F4E839-4174-49EC-8905-507E7094F908}"/>
    <cellStyle name="’E・Y_currentKC GL" xfId="8809" xr:uid="{23ED4F5D-3576-4582-8366-9723FE96D2ED}"/>
    <cellStyle name="’Ê‰Ý [0.00]_00A_NMXR2" xfId="8810" xr:uid="{4835223C-7A0C-4A56-BA70-2B0E85A4B2EA}"/>
    <cellStyle name="’E‰Y [0.00]_011003 Attaachment3" xfId="8811" xr:uid="{2746411D-DC87-4F5E-A16F-93F1A29A7A5D}"/>
    <cellStyle name="’Ê‰Ý [0.00]_011003 Attaachment3" xfId="8812" xr:uid="{BC50223D-644D-4CB8-81D3-AAD15FFDCEB5}"/>
    <cellStyle name="’E‰Y [0.00]_011003 Attaachment3 2" xfId="8813" xr:uid="{65B061AE-D1A3-4FCE-AF86-C362E7B91C78}"/>
    <cellStyle name="’Ê‰Ý [0.00]_01MY Value Cost Study" xfId="8814" xr:uid="{22217660-47D0-4097-AD51-E584A02B5E3B}"/>
    <cellStyle name="’E‰Y [0.00]_02Feb_Quick_NMISA(revised)" xfId="8815" xr:uid="{068FA42D-E694-4107-B680-020C6EEA665F}"/>
    <cellStyle name="’Ê‰Ý [0.00]_03Mar_Quick_NMISA" xfId="8816" xr:uid="{1DE53617-A623-4326-B85A-C43B2FF9B676}"/>
    <cellStyle name="’E‰Y [0.00]_0402 Bought out Cost Reduction Summary" xfId="8817" xr:uid="{08D106B7-0900-47FC-8828-D055548AD6A6}"/>
    <cellStyle name="’Ê‰Ý [0.00]_CapForecast01.01" xfId="8818" xr:uid="{CB621EFA-3FF0-48B8-BA7A-EE783D59F367}"/>
    <cellStyle name="’E‰Y [0.00]_Feuil1 (2)" xfId="8819" xr:uid="{40821E86-3DBE-4816-87FB-D4671F04340B}"/>
    <cellStyle name="’Ê‰Ý [0.00]_ga pack manfg" xfId="8820" xr:uid="{EA43AB47-7C20-4C4A-BC55-D90E84C1AD5A}"/>
    <cellStyle name="’E‰Y [0.00]_ga pack nsc" xfId="8821" xr:uid="{57050004-00C4-4AF4-AA91-D5EF4ACCD631}"/>
    <cellStyle name="’Ê‰Ý [0.00]_Model Mix" xfId="8822" xr:uid="{818999C0-F405-4A15-B91B-C647CAE7B25E}"/>
    <cellStyle name="’E‰Y [0.00]_Monthly NCC Monitoring (YTD summary)" xfId="8823" xr:uid="{BF61DB4F-39B6-4145-9AEB-03CA3661F0F5}"/>
    <cellStyle name="’Ê‰Ý [0.00]_NNA_serv_fee" xfId="8824" xr:uid="{BA078596-9CB5-41DE-B598-3DEB54CE6B0C}"/>
    <cellStyle name="’E‰Y [0.00]_Packages and Options (2)" xfId="8825" xr:uid="{3FEDF4B4-9681-43AF-B391-B1113F50FE72}"/>
    <cellStyle name="’Ê‰Ý [0.00]_Revised_Manuf_Quick_Rep" xfId="8826" xr:uid="{468AE4D7-99A5-4935-B693-6A754E904531}"/>
    <cellStyle name="’E‰Y [0.00]_Status by Model2" xfId="8827" xr:uid="{BB5FCABD-5B02-4E6D-846B-E5AF7D1113D7}"/>
    <cellStyle name="’E‰Y_011003 Attaachment3" xfId="8828" xr:uid="{6F98338B-40C9-4840-A177-E6E705387AFE}"/>
    <cellStyle name="’Ê‰Ý_011003 Attaachment3" xfId="8829" xr:uid="{00E0D312-1CE1-4CB2-826F-E33A3C8CEA7B}"/>
    <cellStyle name="’E‰Y_011003 Attaachment3 2" xfId="8830" xr:uid="{BDE820C5-4A52-4F54-8A8D-6D1D173D11CB}"/>
    <cellStyle name="’Ê‰Ý_01MY Value Cost Study" xfId="8831" xr:uid="{A5B9C6A7-E5EF-49DB-BD65-E66F4E9FA1DD}"/>
    <cellStyle name="’E‰Y_02Feb_Quick_NMISA(revised)" xfId="8832" xr:uid="{C5C5A57B-602E-4732-833B-E028127C114B}"/>
    <cellStyle name="’Ê‰Ý_03Mar_Quick_NMISA" xfId="8833" xr:uid="{3DD9ACD7-5F38-492E-B0FF-C05F0ECFAE63}"/>
    <cellStyle name="’E‰Y_0402 Bought out Cost Reduction Summary" xfId="8834" xr:uid="{81ABE32C-F14C-413E-B1A7-2FCCC6AEB847}"/>
    <cellStyle name="’Ê‰Ý_CapForecast01.01" xfId="8835" xr:uid="{351C238A-7B9F-43C3-9CD2-DDC1DF723EC0}"/>
    <cellStyle name="’E‰Y_Feuil1 (2)" xfId="8836" xr:uid="{492FF744-0588-446A-B679-BC31D633D8FB}"/>
    <cellStyle name="’Ê‰Ý_ga pack manfg" xfId="8837" xr:uid="{BB72BD73-B761-4EE5-B0CE-25DF31592DCE}"/>
    <cellStyle name="’E‰Y_ga pack nsc" xfId="8838" xr:uid="{32CB7DEC-79C8-4956-94A4-AF5703AA2C34}"/>
    <cellStyle name="’Ê‰Ý_laroux" xfId="8839" xr:uid="{C5281BB8-9619-45AF-A551-621C7C0A2E4B}"/>
    <cellStyle name="’E‰Y_Monthly NCC Monitoring (YTD summary)" xfId="8840" xr:uid="{1D91067A-6D2D-4253-A66F-685668E1F85E}"/>
    <cellStyle name="’Ê‰Ý_NNA_serv_fee" xfId="8841" xr:uid="{FC931DE8-840E-41C2-B40A-DD338ED51139}"/>
    <cellStyle name="’E‰Y_Read me first" xfId="8842" xr:uid="{1F45A856-0DBC-4731-918A-FCE3D1FFE1AD}"/>
    <cellStyle name="’Ê‰Ý_Revised_Manuf_Quick_Rep" xfId="8843" xr:uid="{73D99F86-0BCD-4B4F-A80F-95FA26A277DC}"/>
    <cellStyle name="’E‰Y_Status by Model2" xfId="8844" xr:uid="{005EA04F-D634-4B76-88B0-F322CE3629E8}"/>
    <cellStyle name="‹l]Af}r" xfId="8845" xr:uid="{592F9961-BE70-4F85-9E56-BD8C5D85D255}"/>
    <cellStyle name="‹l]Af}r 2" xfId="8846" xr:uid="{DCA06C1B-B852-48B8-8954-D7303904A6E9}"/>
    <cellStyle name="–¢’è‹`" xfId="8847" xr:uid="{2915DC1A-40CA-4878-B840-DB3286CE46BD}"/>
    <cellStyle name="¤@¯ECefiro" xfId="8848" xr:uid="{53864671-DD0F-4D53-9139-B2AEB8C6BA2A}"/>
    <cellStyle name="¤@¯EM" xfId="8849" xr:uid="{BBFFDA11-92D5-4DE5-8EB7-B4AD437ED857}"/>
    <cellStyle name="¤@¯EM segment" xfId="8850" xr:uid="{9B589D77-D12C-45DA-9837-9A575B65090A}"/>
    <cellStyle name="¤@¯ES" xfId="8851" xr:uid="{E3B6957E-AB5A-4B77-A613-7B6F07F488D6}"/>
    <cellStyle name="¤@¯ES segment" xfId="8852" xr:uid="{305D9B0F-419D-4278-A181-E92BC3E44D2D}"/>
    <cellStyle name="¤@¯ESS" xfId="8853" xr:uid="{7020DF99-ED04-4005-BE92-555439FA8572}"/>
    <cellStyle name="¤d¤À¦E0]_Cefiro" xfId="8854" xr:uid="{2F410DA0-70C5-48B4-823C-D9CCCE8D5F9D}"/>
    <cellStyle name="¤d¤À¦ECefiro" xfId="8855" xr:uid="{416DED4B-95F1-4592-B6EA-00A81F22885C}"/>
    <cellStyle name="¤d¤À¦EM segment" xfId="8856" xr:uid="{3835BE0C-4926-4930-97C5-B42605839824}"/>
    <cellStyle name="¤d¤À¦ES segment" xfId="8857" xr:uid="{C7716FD3-5346-4017-A89A-3A46E95BEB30}"/>
    <cellStyle name="=C:\WINDOWS\SYSTEM32\COMMAND.COM" xfId="8858" xr:uid="{3321A3A7-3B1D-4602-92F5-F3EB5A83B4A6}"/>
    <cellStyle name="=today()" xfId="8859" xr:uid="{3FACBE90-5B7D-4ABB-ACF3-AB82285F77D3}"/>
    <cellStyle name="・・ [0.00]_・??・??" xfId="8860" xr:uid="{4379E066-CBFF-4DF3-9E47-D2531EA77B32}"/>
    <cellStyle name="・・_・??・??" xfId="8861" xr:uid="{265ABE4D-E7A5-4683-83EC-BA7F8D723E94}"/>
    <cellStyle name="•\??®?®?™n™C™p©[™™“™N" xfId="8862" xr:uid="{C8E8EFED-FDF6-4531-AF3F-DE8370B1A01B}"/>
    <cellStyle name="•\|I©E©E™n™C™p©[™™“™N" xfId="8863" xr:uid="{DF853B3E-DF18-4742-94BF-90CFE29A3FD2}"/>
    <cellStyle name="•\¦Ï‚Ý‚ÌƒnƒCƒp[ƒŠƒ“ƒN" xfId="8864" xr:uid="{47C68B09-1FE9-4A88-8A08-8AC765AD95F0}"/>
    <cellStyle name="•\Ž¦Ï‚Ý‚ÌƒnƒCƒp[??ƒN" xfId="8865" xr:uid="{0B77D3F2-0EE5-4AA3-BB63-F48B936B5753}"/>
    <cellStyle name="•\Ž¦Ï‚Ý‚ÌƒnƒCƒp[ƒŠƒ“ƒN" xfId="8866" xr:uid="{CA6B4BDD-2D40-40CE-B013-4654795C45AA}"/>
    <cellStyle name="•\Ž¦Ï‚Ý‚ÌƒnƒCƒp[ƒŠƒ“ƒN 2" xfId="8867" xr:uid="{F2350249-BD40-4685-BB10-0B12980654A9}"/>
    <cellStyle name="•\Ž¦Ï‚Ý‚ÌƒnƒCƒp[ƒŠƒ“ƒN 2 2" xfId="8868" xr:uid="{F3A57FD5-BAD6-4531-834F-D3C95304F074}"/>
    <cellStyle name="•\Ž¦Ï‚Ý‚ÌƒnƒCƒp[ƒŠƒ“ƒN 2 3" xfId="8869" xr:uid="{67D2F3AC-44F1-4F6E-A530-0B5A5EBF10F3}"/>
    <cellStyle name="•\Ž¦Ï‚Ý‚ÌƒnƒCƒp[ƒŠƒ“ƒN 3" xfId="8870" xr:uid="{30E9800D-60DA-4F01-A884-369CF25A7D1E}"/>
    <cellStyle name="•\Ž¦Ï‚Ý‚ÌƒnƒCƒp[ƒŠƒ“ƒN 4" xfId="8871" xr:uid="{25D2C438-CCA5-4E68-8954-A54C4494E8EB}"/>
    <cellStyle name="•\Ž¦Ï‚Ý‚ÌƒnƒCƒp[ƒŠƒ“ƒN_Fcst#2　FY13台数諸元表13 9 19" xfId="8872" xr:uid="{79446898-D3BA-423A-9E0D-84B6710CF1AA}"/>
    <cellStyle name="•W??_Sheet2 (2)" xfId="8873" xr:uid="{BDDA74D5-7785-4087-88A0-2062EC1554B8}"/>
    <cellStyle name="•W?_Read me first" xfId="8874" xr:uid="{C9918B56-7C09-4825-B1C0-A912E7F74B66}"/>
    <cellStyle name="•W€_ Kaku N 0810" xfId="8875" xr:uid="{5F8DB97D-6142-41BF-BB0F-57272FCDD1C6}"/>
    <cellStyle name="•W_02Feb_Quick_NMISA(revised)" xfId="8876" xr:uid="{2EF3DD9E-2260-460D-852F-B9A2789F4995}"/>
    <cellStyle name="•WЏЂ_Sheet2 (2)" xfId="8877" xr:uid="{69B2F3CE-FEAA-4EA8-852D-156B7409827F}"/>
    <cellStyle name="_x000b_À_x000d__x0014__x0016_À_x0018__x001a_À_x001d_" xfId="8878" xr:uid="{D7E6D974-A1B4-4DD6-96EE-28245CE5F6E0}"/>
    <cellStyle name="\|IEEnCp[N" xfId="8880" xr:uid="{0E25F241-6AEC-4A74-B990-ADAF8D2C4899}"/>
    <cellStyle name="\|IEEnCp[N 2" xfId="8881" xr:uid="{93B0B77D-67E1-469A-994D-FA2B20D3D56E}"/>
    <cellStyle name="\|IEEnCp[N 3" xfId="8882" xr:uid="{37507A3C-D222-4F9F-A20F-A9F8A76F0787}"/>
    <cellStyle name="\¦ÏÝÌnCp[N" xfId="8883" xr:uid="{3CFA19F3-1C18-4A4B-9EE2-8D4DAC4B3100}"/>
    <cellStyle name="\¦ÏÝÌnCp[N 2" xfId="8884" xr:uid="{F5052F58-2F7F-4B0E-969A-C522C85AD851}"/>
    <cellStyle name="\¦ÏÝÌnCp[N 2 2" xfId="8885" xr:uid="{33B83129-34CF-463C-A9BB-6363EB50B3E5}"/>
    <cellStyle name="\¦ÏÝÌnCp[N 2 3" xfId="8886" xr:uid="{A657F9CC-BED2-4A96-AD40-FC304A4161DA}"/>
    <cellStyle name="\¦ÏÝÌnCp[N 2 4" xfId="8887" xr:uid="{CA10607D-3688-4AFC-9EFF-33BDD2C69C1A}"/>
    <cellStyle name="\¦ÏÝÌnCp[N 3" xfId="8888" xr:uid="{5462776B-D1FB-47EA-8745-11BA83ED2219}"/>
    <cellStyle name="\¦ÏÝÌnCp[N 4" xfId="8889" xr:uid="{F06250A1-DC9F-46B2-8978-CA9642E97C15}"/>
    <cellStyle name="¢è`" xfId="8879" xr:uid="{2075B15D-23E6-4570-A07E-B2994DABD167}"/>
    <cellStyle name="?J_Yäyå«?" xfId="8890" xr:uid="{8BA7C653-3837-4433-B3A3-6B9C9F53D392}"/>
    <cellStyle name="aOe [0.00]_760-06(PART LIST)" xfId="8891" xr:uid="{9CBCC5FF-E605-4598-B578-5E48E5E48E8A}"/>
    <cellStyle name="aOe_760-06(PART LIST)" xfId="8892" xr:uid="{742E9218-4288-4D5C-8271-9FE1BCBE6EAE}"/>
    <cellStyle name="æØè [0.00]_(Prod parts)" xfId="8893" xr:uid="{C333EDED-7502-451E-A73D-D44A3846B64A}"/>
    <cellStyle name="æØè_(Prod parts)" xfId="8894" xr:uid="{139AC709-96A8-4950-AF96-4625F7ACECBA}"/>
    <cellStyle name="êÊ_0225Ôso·ñ" xfId="8895" xr:uid="{FF5113C3-A8B9-4B99-9581-BA21A2C20DD1}"/>
    <cellStyle name="ÊÝ [0.00]_(Prod parts)" xfId="8896" xr:uid="{525E6857-0AAB-4B27-9977-A33688FFD5DA}"/>
    <cellStyle name="EY [0.00]_760-06(PART LIST)" xfId="8897" xr:uid="{2E23C1DE-7763-437E-9974-B4EC44E14094}"/>
    <cellStyle name="ÊÝ_(Prod parts)" xfId="8898" xr:uid="{C80A1CEB-E231-4DAE-834D-C56EDD490011}"/>
    <cellStyle name="EY_760-06(PART LIST)" xfId="8899" xr:uid="{297E6CB1-6083-4A23-BE9A-4B54A9A4D874}"/>
    <cellStyle name="ÊÝ_laroux" xfId="8900" xr:uid="{E803584D-9F88-4A12-B739-0A6743527153}"/>
    <cellStyle name="fE?Y [0.00]_Ladder Report" xfId="8901" xr:uid="{DFD2E396-B0BC-42F8-9C2F-50F10CDE1818}"/>
    <cellStyle name="fE?Y_Ladder Report" xfId="8902" xr:uid="{600C0DFE-8D81-4C69-9C04-DAFCD72DA083}"/>
    <cellStyle name="fE]Y [0.00]_Ladder Report" xfId="8903" xr:uid="{7C81E431-E146-4ACA-A8ED-202729628D0C}"/>
    <cellStyle name="fE]Y_Ladder Report" xfId="8904" xr:uid="{BFF42C50-9D71-465E-A699-B5BAD2BFAE39}"/>
    <cellStyle name="fEEY [0.00]_currentKC GL" xfId="8905" xr:uid="{C71A467C-E4FE-40A2-921A-9ECF77F740D4}"/>
    <cellStyle name="fEEY_currentKC GL" xfId="8906" xr:uid="{457692E8-18D9-42B5-89E8-B0C261F5DA8D}"/>
    <cellStyle name="fEñY [0.00]_?`?p?O???Lñ??\" xfId="8907" xr:uid="{70811352-1DA0-4FB8-8D6E-64A31CE1303D}"/>
    <cellStyle name="fEnY [0.00]_Book1" xfId="8908" xr:uid="{781C2FE8-01C1-4437-9489-995B93EC1FDD}"/>
    <cellStyle name="fEñY_?`?p?O???Lñ??\" xfId="8909" xr:uid="{06205AD3-3257-4F2E-B355-102218D07CBB}"/>
    <cellStyle name="fEnY_Book1" xfId="8910" xr:uid="{3ECBD7F3-00F4-4905-9115-92AAEF0FBB49}"/>
    <cellStyle name="nCp[N" xfId="8911" xr:uid="{594EE3BF-B16B-4BA5-8946-B77630C17D16}"/>
    <cellStyle name="nCp[N 2" xfId="8912" xr:uid="{970F38CA-9D32-43CC-A01F-F27E1225BC13}"/>
    <cellStyle name="nCp[N 2 2" xfId="8913" xr:uid="{EB103355-87BD-4B64-9572-DC54105DD31B}"/>
    <cellStyle name="nCp[N 2 3" xfId="8914" xr:uid="{6A32E74E-ACA0-4344-B2B4-6CB448E4F5CE}"/>
    <cellStyle name="nCp[N 2 4" xfId="8915" xr:uid="{BF68B3EF-B3F6-4BC7-BD10-940F5978A6DA}"/>
    <cellStyle name="nCp[N 3" xfId="8916" xr:uid="{9D00926C-CE56-47E7-92F1-4D6E6F66F53D}"/>
    <cellStyle name="nCp[N 4" xfId="8917" xr:uid="{2EF9424B-9AD0-46D8-B87C-0C35EA94114F}"/>
    <cellStyle name="ÙäÜ [0]_W?" xfId="8918" xr:uid="{ABBAFEFF-B9A6-4A55-9FF3-12E7B2EEF22D}"/>
    <cellStyle name="ÙäÜ_W?" xfId="8919" xr:uid="{E93DD030-2A1D-4636-9463-B1ED0DEA0A91}"/>
    <cellStyle name="W_»Ìß×²ÔÖÌñv¿" xfId="8920" xr:uid="{4FA1703B-C19A-4633-8859-A2D85753A11D}"/>
    <cellStyle name="Ý¼[0]" xfId="8921" xr:uid="{7233894E-134A-4E30-AB95-525BDE109670}"/>
    <cellStyle name="0,0_x000d__x000a_NA_x000d__x000a_" xfId="8922" xr:uid="{1DA1824F-75CC-4235-AE59-5EFAAD650672}"/>
    <cellStyle name="0,0_x000d__x000a_NA_x000d__x000a_ 2" xfId="8923" xr:uid="{B516EDE9-FB0A-4F73-8C95-EADA3345DF90}"/>
    <cellStyle name="0,0_x000d__x000a_NA_x000d__x000a_ 2 2" xfId="8924" xr:uid="{3F3FC58D-7614-4455-829A-92E635A16B32}"/>
    <cellStyle name="0,0_x000d__x000a_NA_x000d__x000a_ 3" xfId="8925" xr:uid="{A1FE5D56-31BC-40E1-9DE4-7D2A2043BF7E}"/>
    <cellStyle name="0.0" xfId="8926" xr:uid="{59FD476A-6658-4720-BB72-454EDDB16967}"/>
    <cellStyle name="0.0 2" xfId="8927" xr:uid="{5AF79479-4382-4BC8-8558-4024A1387EE0}"/>
    <cellStyle name="0.0 3" xfId="8928" xr:uid="{606C6C39-4442-43AE-8BAB-188A373D875D}"/>
    <cellStyle name="0.00" xfId="8929" xr:uid="{1CA6024D-78E2-4763-BD47-03634B909F80}"/>
    <cellStyle name="0.000" xfId="8930" xr:uid="{BFB404D2-9EF8-4703-B7D1-9591C1239769}"/>
    <cellStyle name="0.0000" xfId="8931" xr:uid="{F4FA6FBE-CD1A-40CF-82DF-587A146A0D61}"/>
    <cellStyle name="0????" xfId="8932" xr:uid="{CC540E6F-36D0-4352-8E01-DE6580A5924B}"/>
    <cellStyle name="0????_x0003_" xfId="8933" xr:uid="{7CA4F363-E556-480D-B2E9-E863B6847A18}"/>
    <cellStyle name="0???? 2" xfId="8934" xr:uid="{FFC068C1-E502-4020-82A1-ECF24901B36F}"/>
    <cellStyle name="0????_x0003_ 2" xfId="8935" xr:uid="{31A9C17E-B039-44CF-8ED4-3D56320D063F}"/>
    <cellStyle name="0????_x000a_" xfId="8936" xr:uid="{EA0F22E4-A7AD-4A86-8D54-AD9A3D1174D9}"/>
    <cellStyle name="0????_x000a_ 2" xfId="8937" xr:uid="{73A8DE38-2BC6-4618-9A98-563A6D4A610D}"/>
    <cellStyle name="0????nly" xfId="8938" xr:uid="{82B528DB-868A-4E4B-8E19-4EE130CEBC1F}"/>
    <cellStyle name="0????nly 2" xfId="8939" xr:uid="{CB5FFE33-8C1B-4C72-8A69-8567E6D50200}"/>
    <cellStyle name="0????rd:" xfId="8940" xr:uid="{63022325-EFED-43CD-8766-818260778CC7}"/>
    <cellStyle name="0????rd: 2" xfId="8941" xr:uid="{C76ED450-C6AA-488E-81CB-E89BBAC1D36D}"/>
    <cellStyle name="000" xfId="8942" xr:uid="{D7E2ED59-FC33-4336-86CF-8775932FFDC7}"/>
    <cellStyle name="000 10" xfId="26072" xr:uid="{3E562A44-21C4-4627-92A6-1888BF5D5CFA}"/>
    <cellStyle name="000 10 2" xfId="37860" xr:uid="{2E999A28-E2FE-4322-93E9-C8563A62FC56}"/>
    <cellStyle name="000 11" xfId="28084" xr:uid="{C23C28A4-C3A0-4E3A-AA97-D6126BDBEBEA}"/>
    <cellStyle name="000 2" xfId="8943" xr:uid="{E07D52DE-FC59-4618-BEEA-47240B74A20E}"/>
    <cellStyle name="000 2 10" xfId="28085" xr:uid="{CAAE971E-CF36-4622-BC00-BBCD5070CD08}"/>
    <cellStyle name="000 2 2" xfId="8944" xr:uid="{680CF396-D071-4133-93A6-EC796A763ABF}"/>
    <cellStyle name="000 2 2 2" xfId="8945" xr:uid="{573225B6-72A0-4D4C-B9D1-BC6059D4E6FE}"/>
    <cellStyle name="000 2 2 2 10" xfId="8946" xr:uid="{987A95A2-523E-478D-B564-5DBF3F3C6B11}"/>
    <cellStyle name="000 2 2 2 10 2" xfId="26076" xr:uid="{759250DD-C2D0-4CE4-BF6B-5C8F06248786}"/>
    <cellStyle name="000 2 2 2 10 2 2" xfId="37864" xr:uid="{95DB9656-51A1-48BE-8F31-D48C21FEEC12}"/>
    <cellStyle name="000 2 2 2 10 3" xfId="28088" xr:uid="{4BDB183B-3271-4CAA-947B-9EF7D100A786}"/>
    <cellStyle name="000 2 2 2 11" xfId="8947" xr:uid="{0B5BDB45-53B8-4A39-938A-A8181AF4580B}"/>
    <cellStyle name="000 2 2 2 11 2" xfId="26077" xr:uid="{DE3ECA95-2812-4942-BA3B-0ECBF0E551FE}"/>
    <cellStyle name="000 2 2 2 11 2 2" xfId="37865" xr:uid="{A40365F8-08F0-4721-916E-C2DF7CC20F75}"/>
    <cellStyle name="000 2 2 2 11 3" xfId="28089" xr:uid="{B66B8E29-4265-4462-AD72-90C6D157947E}"/>
    <cellStyle name="000 2 2 2 12" xfId="8948" xr:uid="{03C57E0E-DC18-40F6-BDEC-628652548609}"/>
    <cellStyle name="000 2 2 2 12 2" xfId="26078" xr:uid="{2170196F-67E1-41A0-8400-7F6FA35FB71D}"/>
    <cellStyle name="000 2 2 2 12 2 2" xfId="37866" xr:uid="{752D799C-B80D-4CCC-A795-79B1C7F77B0E}"/>
    <cellStyle name="000 2 2 2 12 3" xfId="28090" xr:uid="{B3DDCAA5-2FA5-499F-996E-B3719CAB5D3B}"/>
    <cellStyle name="000 2 2 2 13" xfId="8949" xr:uid="{37B4D32F-BBB3-4743-A0AA-AEA581AD5AAA}"/>
    <cellStyle name="000 2 2 2 13 2" xfId="26079" xr:uid="{F7B72722-5ED9-4BD7-8286-D2225ED85A25}"/>
    <cellStyle name="000 2 2 2 13 2 2" xfId="37867" xr:uid="{9F01E5EA-1F3B-4878-9FAB-83469B012FA4}"/>
    <cellStyle name="000 2 2 2 13 3" xfId="28091" xr:uid="{661C8969-9A5C-442F-BF22-A7F04201642D}"/>
    <cellStyle name="000 2 2 2 14" xfId="8950" xr:uid="{2F6B27CD-9375-47B8-85D0-9187F550E806}"/>
    <cellStyle name="000 2 2 2 14 2" xfId="26080" xr:uid="{49961151-1BAA-4902-90F1-42160350F4D9}"/>
    <cellStyle name="000 2 2 2 14 2 2" xfId="37868" xr:uid="{B2E89E90-49A6-490E-94E3-34D203C06236}"/>
    <cellStyle name="000 2 2 2 14 3" xfId="28092" xr:uid="{71B62407-C5B3-493A-8B50-C53835A195AE}"/>
    <cellStyle name="000 2 2 2 15" xfId="8951" xr:uid="{6EF5E962-F18F-4E08-A59F-E1F204B3CCCC}"/>
    <cellStyle name="000 2 2 2 15 2" xfId="26081" xr:uid="{CE360720-4DD9-45B9-98A5-DF643E896369}"/>
    <cellStyle name="000 2 2 2 15 2 2" xfId="37869" xr:uid="{876860B1-EAD5-44FB-A450-9210C20F5CEF}"/>
    <cellStyle name="000 2 2 2 15 3" xfId="28093" xr:uid="{475EE571-64F4-4901-B7F2-2D1A99D4A128}"/>
    <cellStyle name="000 2 2 2 16" xfId="8952" xr:uid="{0B54FC08-6FF8-4551-806E-2C6C5D4E1641}"/>
    <cellStyle name="000 2 2 2 16 2" xfId="26082" xr:uid="{A1647893-AA2E-4214-BF1A-CE1CBF002102}"/>
    <cellStyle name="000 2 2 2 16 2 2" xfId="37870" xr:uid="{834208C5-6ED6-4CF1-BE1D-C818B141C90C}"/>
    <cellStyle name="000 2 2 2 16 3" xfId="28094" xr:uid="{70935F3A-BFD4-49AA-9E0D-E662DBF2798F}"/>
    <cellStyle name="000 2 2 2 17" xfId="26075" xr:uid="{C46396B4-172D-40EF-8CEF-7F54675A127F}"/>
    <cellStyle name="000 2 2 2 17 2" xfId="37863" xr:uid="{9449565B-D65B-48FD-8C92-14420334DE50}"/>
    <cellStyle name="000 2 2 2 18" xfId="28087" xr:uid="{A2FC2B67-E0B2-4D52-BC54-9B2D5FECB1B3}"/>
    <cellStyle name="000 2 2 2 2" xfId="8953" xr:uid="{2C3A3CAF-FEFE-460F-A524-F958BE14A2FB}"/>
    <cellStyle name="000 2 2 2 2 2" xfId="26083" xr:uid="{83DD0443-AFE1-4BDC-8458-3CA2AEB22468}"/>
    <cellStyle name="000 2 2 2 2 2 2" xfId="37871" xr:uid="{3325EABB-3B79-499F-9BB6-2DD023F6C2D7}"/>
    <cellStyle name="000 2 2 2 2 3" xfId="28095" xr:uid="{3A0A83EC-D9C0-45F6-B11A-F4B3478C9180}"/>
    <cellStyle name="000 2 2 2 3" xfId="8954" xr:uid="{87D51251-83B2-4E35-8CEC-65FB6DBB1296}"/>
    <cellStyle name="000 2 2 2 3 2" xfId="26084" xr:uid="{8C619733-10EC-47EC-BF6F-F0E86C350E23}"/>
    <cellStyle name="000 2 2 2 3 2 2" xfId="37872" xr:uid="{8926987E-02B5-4F6D-B867-31FA042EA59B}"/>
    <cellStyle name="000 2 2 2 3 3" xfId="28096" xr:uid="{37607084-C72E-4010-B95F-C6C5F4E73F86}"/>
    <cellStyle name="000 2 2 2 4" xfId="8955" xr:uid="{0E33D56D-A52E-466B-BC9F-DF2D8EFFA5AE}"/>
    <cellStyle name="000 2 2 2 4 2" xfId="26085" xr:uid="{F3974934-B0F9-42C0-A309-6CC3C8675A4E}"/>
    <cellStyle name="000 2 2 2 4 2 2" xfId="37873" xr:uid="{B282F77E-C3FD-4A9E-BF56-EE9B423FC983}"/>
    <cellStyle name="000 2 2 2 4 3" xfId="28097" xr:uid="{2E56719B-C28B-492A-B1A3-F65DDCACA28B}"/>
    <cellStyle name="000 2 2 2 5" xfId="8956" xr:uid="{EA73C8E9-AD1D-4142-A948-260497114DEA}"/>
    <cellStyle name="000 2 2 2 5 2" xfId="26086" xr:uid="{427CA83A-890E-4C04-A33B-05B2A7DB456F}"/>
    <cellStyle name="000 2 2 2 5 2 2" xfId="37874" xr:uid="{F36CB01B-C0AB-495C-A1FE-1F2B3DD9F231}"/>
    <cellStyle name="000 2 2 2 5 3" xfId="28098" xr:uid="{14B52914-8C66-4C6F-A388-8D91A1DFECF1}"/>
    <cellStyle name="000 2 2 2 6" xfId="8957" xr:uid="{DA2FF97F-C836-44BB-B2DE-CEAA693EA5B0}"/>
    <cellStyle name="000 2 2 2 6 2" xfId="26087" xr:uid="{A56F2283-99B2-4B72-AEC7-D60CFDB96534}"/>
    <cellStyle name="000 2 2 2 6 2 2" xfId="37875" xr:uid="{B77DA0CE-39C1-4CBB-81BD-F015BD94B0D4}"/>
    <cellStyle name="000 2 2 2 6 3" xfId="28099" xr:uid="{47F175E4-1FC3-4B66-AF5A-F32B3B6CD177}"/>
    <cellStyle name="000 2 2 2 7" xfId="8958" xr:uid="{9E5C30FE-94D5-4A91-A91F-28F4D5B0CA98}"/>
    <cellStyle name="000 2 2 2 7 2" xfId="26088" xr:uid="{FCA010B2-91EA-4CB5-95D7-DC3CEE56E6A7}"/>
    <cellStyle name="000 2 2 2 7 2 2" xfId="37876" xr:uid="{CB91F8F2-8B78-4461-AA0F-A5CBF24289E7}"/>
    <cellStyle name="000 2 2 2 7 3" xfId="28100" xr:uid="{13CC0949-252A-4053-A2D0-8A6AB0AFD4EE}"/>
    <cellStyle name="000 2 2 2 8" xfId="8959" xr:uid="{BD02B411-323F-4E89-AA35-79982F0E42FD}"/>
    <cellStyle name="000 2 2 2 8 2" xfId="26089" xr:uid="{241E8041-36D6-4739-B864-3964D3D8F2D1}"/>
    <cellStyle name="000 2 2 2 8 2 2" xfId="37877" xr:uid="{FF7C4436-221E-45AA-AF79-2D3C985ACDFA}"/>
    <cellStyle name="000 2 2 2 8 3" xfId="28101" xr:uid="{29ED43C0-53D2-4B72-BB4C-8E2DC22302AE}"/>
    <cellStyle name="000 2 2 2 9" xfId="8960" xr:uid="{B4CF4D5E-1B25-4138-A809-639BB0CEFFAC}"/>
    <cellStyle name="000 2 2 2 9 2" xfId="26090" xr:uid="{671D1423-2B83-41AB-9575-96906186CD74}"/>
    <cellStyle name="000 2 2 2 9 2 2" xfId="37878" xr:uid="{D78042E1-8E67-4DCA-BD15-0BBE0E5E7B1A}"/>
    <cellStyle name="000 2 2 2 9 3" xfId="28102" xr:uid="{83AA6A3D-5BD4-4A2F-A0C9-F743685C4547}"/>
    <cellStyle name="000 2 2 3" xfId="8961" xr:uid="{0EF1EA69-6311-466E-96AA-510A88917F1E}"/>
    <cellStyle name="000 2 2 3 2" xfId="26091" xr:uid="{5C76E1D7-3271-414B-9B25-43E4B906057F}"/>
    <cellStyle name="000 2 2 3 2 2" xfId="37879" xr:uid="{F26C3D5A-EBBF-4F22-90F5-1111560CEA7A}"/>
    <cellStyle name="000 2 2 3 3" xfId="28103" xr:uid="{C583F3CB-0100-469C-9028-72617DF2C6AB}"/>
    <cellStyle name="000 2 2 4" xfId="8962" xr:uid="{FF33B4CA-2ABA-4E45-A374-0B7DF30120C2}"/>
    <cellStyle name="000 2 2 4 2" xfId="26092" xr:uid="{EDC23767-70E9-4405-8D94-38E06FBADA99}"/>
    <cellStyle name="000 2 2 4 2 2" xfId="37880" xr:uid="{F878FCBA-56D3-4EC6-B616-45F958D0BFC8}"/>
    <cellStyle name="000 2 2 4 3" xfId="28104" xr:uid="{9A381171-91B4-4CD9-8D3E-C6F93266B261}"/>
    <cellStyle name="000 2 2 5" xfId="8963" xr:uid="{86FB3A00-92A6-4162-8596-32D885624013}"/>
    <cellStyle name="000 2 2 5 2" xfId="26093" xr:uid="{B06BACF5-D336-48D4-B547-D5D153E2C323}"/>
    <cellStyle name="000 2 2 5 2 2" xfId="37881" xr:uid="{15170497-0446-4B62-98F3-2A2018CE805D}"/>
    <cellStyle name="000 2 2 5 3" xfId="28105" xr:uid="{E441AAEE-E9DA-4664-A135-837BB8F6C50F}"/>
    <cellStyle name="000 2 2 6" xfId="8964" xr:uid="{E1894F95-A4F5-4328-BAAB-32102820E68E}"/>
    <cellStyle name="000 2 2 6 2" xfId="26094" xr:uid="{D5C1F612-8B9A-4D79-B997-C349E0E3C331}"/>
    <cellStyle name="000 2 2 6 2 2" xfId="37882" xr:uid="{E0E837BF-202A-4328-B351-D1BB95C2DF65}"/>
    <cellStyle name="000 2 2 6 3" xfId="28106" xr:uid="{5341D2D5-01D0-4BD9-900A-239988D6ECEA}"/>
    <cellStyle name="000 2 2 7" xfId="8965" xr:uid="{BEC4E0BE-64BD-4514-9BB1-B12C7E073BBD}"/>
    <cellStyle name="000 2 2 7 2" xfId="26095" xr:uid="{9C05B3AB-ED41-4BD3-92CD-94AD1684DAD3}"/>
    <cellStyle name="000 2 2 7 2 2" xfId="37883" xr:uid="{5459C73C-0E83-49AA-A1E1-DC0B92D428C2}"/>
    <cellStyle name="000 2 2 7 3" xfId="28107" xr:uid="{6DD0D71C-AAEA-4067-BEC3-6FD8E8D1DF45}"/>
    <cellStyle name="000 2 2 8" xfId="26074" xr:uid="{BABAE024-21E0-46A9-82C3-62AC4802BDA0}"/>
    <cellStyle name="000 2 2 8 2" xfId="37862" xr:uid="{6847A436-1B1A-4830-8A05-C736DFF3EE2C}"/>
    <cellStyle name="000 2 2 9" xfId="28086" xr:uid="{B9FC738F-CD4D-44C4-BB9A-09143DD1ADF7}"/>
    <cellStyle name="000 2 3" xfId="8966" xr:uid="{591E01C4-D779-4F16-AE33-37C7A3091934}"/>
    <cellStyle name="000 2 3 10" xfId="8967" xr:uid="{72FA735C-923A-4A3B-9F5B-A35755A7B617}"/>
    <cellStyle name="000 2 3 10 2" xfId="26097" xr:uid="{72AAFF47-CAED-4847-B2F4-D9FA849DD540}"/>
    <cellStyle name="000 2 3 10 2 2" xfId="37885" xr:uid="{4068EF65-49D7-4A1B-B2FB-6E4B896491F8}"/>
    <cellStyle name="000 2 3 10 3" xfId="28109" xr:uid="{E7EFDF52-C563-459A-B48C-6F6B20CDB36F}"/>
    <cellStyle name="000 2 3 11" xfId="8968" xr:uid="{843548EE-91F4-4B27-A65D-D7FF02ADA20F}"/>
    <cellStyle name="000 2 3 11 2" xfId="26098" xr:uid="{A2FDAB10-91B3-4D51-A168-7038D6501AD2}"/>
    <cellStyle name="000 2 3 11 2 2" xfId="37886" xr:uid="{86F3AA6B-586D-43A4-8272-BA1FE191CD1F}"/>
    <cellStyle name="000 2 3 11 3" xfId="28110" xr:uid="{7309CFE6-BEC8-4D41-95E8-F56A278C7964}"/>
    <cellStyle name="000 2 3 12" xfId="8969" xr:uid="{2679869F-080B-48E2-8495-5D13899BEDA5}"/>
    <cellStyle name="000 2 3 12 2" xfId="26099" xr:uid="{987E687C-03E4-4A17-B7A4-4F8B3E74D8AB}"/>
    <cellStyle name="000 2 3 12 2 2" xfId="37887" xr:uid="{AE81AAC5-0FCB-4C93-B1DE-CB9103F62202}"/>
    <cellStyle name="000 2 3 12 3" xfId="28111" xr:uid="{33AFB54E-8BE4-49C7-AC18-F5F4C3B06A7C}"/>
    <cellStyle name="000 2 3 13" xfId="8970" xr:uid="{72187E17-3D14-4997-8768-8DCEBF9FE259}"/>
    <cellStyle name="000 2 3 13 2" xfId="26100" xr:uid="{3228EDE2-3E41-4206-BCF5-6D3CBDABE7BF}"/>
    <cellStyle name="000 2 3 13 2 2" xfId="37888" xr:uid="{9D150560-09E6-4BB2-9C33-72AF0DDE744F}"/>
    <cellStyle name="000 2 3 13 3" xfId="28112" xr:uid="{510F5D2E-F556-42C3-9166-9CD201299A3B}"/>
    <cellStyle name="000 2 3 14" xfId="8971" xr:uid="{2FFD296F-7700-4F78-8DD0-6A1FD5E8197B}"/>
    <cellStyle name="000 2 3 14 2" xfId="26101" xr:uid="{5B8EF188-E380-455B-83BC-194810EFBF95}"/>
    <cellStyle name="000 2 3 14 2 2" xfId="37889" xr:uid="{F4173671-7D75-41E7-B30E-87ADE7F8DCFC}"/>
    <cellStyle name="000 2 3 14 3" xfId="28113" xr:uid="{B56A65CE-7410-489A-84A5-F7B23E91453E}"/>
    <cellStyle name="000 2 3 15" xfId="8972" xr:uid="{AB962889-CF6C-4520-8FA2-1CF92FCE2DA1}"/>
    <cellStyle name="000 2 3 15 2" xfId="26102" xr:uid="{84809467-B181-422A-ACC2-31F05A3A14EF}"/>
    <cellStyle name="000 2 3 15 2 2" xfId="37890" xr:uid="{60923ED3-AFBE-42DF-A2E2-6F3B5D0E9CCE}"/>
    <cellStyle name="000 2 3 15 3" xfId="28114" xr:uid="{9867CB69-20E9-43FE-8E29-2CAE104054C0}"/>
    <cellStyle name="000 2 3 16" xfId="8973" xr:uid="{7C5A9E45-BCCF-4699-8AAA-1E9331FC788F}"/>
    <cellStyle name="000 2 3 16 2" xfId="26103" xr:uid="{631FA3D6-7961-486A-9B13-FDAD48CE4EA7}"/>
    <cellStyle name="000 2 3 16 2 2" xfId="37891" xr:uid="{824AB67F-4C6E-4E4B-9B6E-97F4DBCDE197}"/>
    <cellStyle name="000 2 3 16 3" xfId="28115" xr:uid="{5AC154A7-98DC-427E-B952-8A8332B87ED9}"/>
    <cellStyle name="000 2 3 17" xfId="26096" xr:uid="{90F38785-9A2A-4D17-B81D-DAE0B53FAFE9}"/>
    <cellStyle name="000 2 3 17 2" xfId="37884" xr:uid="{CA2B907E-F89C-4187-88ED-18527ADC67F3}"/>
    <cellStyle name="000 2 3 18" xfId="28108" xr:uid="{0780A4E8-9135-404C-A6B0-344D1D7908A8}"/>
    <cellStyle name="000 2 3 2" xfId="8974" xr:uid="{78423C09-0859-4353-BB20-1488FE2CFAD7}"/>
    <cellStyle name="000 2 3 2 2" xfId="26104" xr:uid="{760D9A3E-D480-4787-B0B9-67523ACA84FE}"/>
    <cellStyle name="000 2 3 2 2 2" xfId="37892" xr:uid="{F4A36D69-87DF-48EC-B061-68DADFD07C46}"/>
    <cellStyle name="000 2 3 2 3" xfId="28116" xr:uid="{09148118-5B98-4DC3-ABE8-E8A286822414}"/>
    <cellStyle name="000 2 3 3" xfId="8975" xr:uid="{BA2A7AAC-E9C4-4E69-94FA-5355EC4D72C7}"/>
    <cellStyle name="000 2 3 3 2" xfId="26105" xr:uid="{CE869EC3-0B8A-46C8-87E2-93E5EFA0F8F8}"/>
    <cellStyle name="000 2 3 3 2 2" xfId="37893" xr:uid="{C05B664F-08B9-4EF7-B676-3426C026944F}"/>
    <cellStyle name="000 2 3 3 3" xfId="28117" xr:uid="{CAEFA51C-2592-4795-B8C6-B1DBD2C99C6E}"/>
    <cellStyle name="000 2 3 4" xfId="8976" xr:uid="{0D93FD99-1A52-404B-878B-898EBA1604D1}"/>
    <cellStyle name="000 2 3 4 2" xfId="26106" xr:uid="{EC9C27C5-DB5E-4CE3-A505-0DCD2EB1AFFC}"/>
    <cellStyle name="000 2 3 4 2 2" xfId="37894" xr:uid="{BDCFDEF9-6A46-4439-83E8-C46750AD7F5B}"/>
    <cellStyle name="000 2 3 4 3" xfId="28118" xr:uid="{F1331615-2D54-4932-8136-5765014865C0}"/>
    <cellStyle name="000 2 3 5" xfId="8977" xr:uid="{8C20E6D5-50C3-4495-902B-CFF3E9C6873E}"/>
    <cellStyle name="000 2 3 5 2" xfId="26107" xr:uid="{E612720D-3741-41B3-A6DF-E4EE7D834DC8}"/>
    <cellStyle name="000 2 3 5 2 2" xfId="37895" xr:uid="{26912FEC-328C-4A84-8A3D-0FBC1F324E9C}"/>
    <cellStyle name="000 2 3 5 3" xfId="28119" xr:uid="{96A6F11B-9E14-4CA3-A34B-42FB1983EE17}"/>
    <cellStyle name="000 2 3 6" xfId="8978" xr:uid="{6053D7EE-F235-4310-AE73-A02341D9CF1F}"/>
    <cellStyle name="000 2 3 6 2" xfId="26108" xr:uid="{321D8458-584E-4971-A064-27C0229EC29E}"/>
    <cellStyle name="000 2 3 6 2 2" xfId="37896" xr:uid="{096A0AA5-69FE-4F2D-AB3C-9381AF650C6F}"/>
    <cellStyle name="000 2 3 6 3" xfId="28120" xr:uid="{059302C7-2714-4A36-AF95-29C11FFA4F7B}"/>
    <cellStyle name="000 2 3 7" xfId="8979" xr:uid="{88A2FF89-70A3-421F-8C94-9C80F0410D19}"/>
    <cellStyle name="000 2 3 7 2" xfId="26109" xr:uid="{D76C375B-693C-4992-8C41-ACB4DA67AC7C}"/>
    <cellStyle name="000 2 3 7 2 2" xfId="37897" xr:uid="{F8DBDBB1-21F6-4FF7-9635-1C048CFB8D9E}"/>
    <cellStyle name="000 2 3 7 3" xfId="28121" xr:uid="{BC4D6B38-C099-4BB8-B584-1217FC7D4E39}"/>
    <cellStyle name="000 2 3 8" xfId="8980" xr:uid="{9BDF2619-6CCC-421E-ABC8-BC1C40AB57BF}"/>
    <cellStyle name="000 2 3 8 2" xfId="26110" xr:uid="{94C24E54-9244-4CB4-8B95-BD3CCAAFB306}"/>
    <cellStyle name="000 2 3 8 2 2" xfId="37898" xr:uid="{F6597DB4-30A8-41B9-B6CB-6383EE293C56}"/>
    <cellStyle name="000 2 3 8 3" xfId="28122" xr:uid="{31FA0C31-CAA1-490A-8E8B-9583F89799EE}"/>
    <cellStyle name="000 2 3 9" xfId="8981" xr:uid="{B407052E-6CE2-4EB6-BBFB-DDBF6CE5D8B8}"/>
    <cellStyle name="000 2 3 9 2" xfId="26111" xr:uid="{CD5A0EE9-4D32-4B5B-B68D-6D13F45D5F39}"/>
    <cellStyle name="000 2 3 9 2 2" xfId="37899" xr:uid="{BD8AD9DF-6F6C-4AA0-810E-40B48517CE28}"/>
    <cellStyle name="000 2 3 9 3" xfId="28123" xr:uid="{24F27BAC-3618-4A30-ABAF-2A9A1930A305}"/>
    <cellStyle name="000 2 4" xfId="8982" xr:uid="{1858763F-19BD-40A9-A899-F3656F3C92BE}"/>
    <cellStyle name="000 2 4 2" xfId="26112" xr:uid="{E3616C45-C6D8-4B73-A25B-2023FCA1F501}"/>
    <cellStyle name="000 2 4 2 2" xfId="37900" xr:uid="{FB42CB7F-3D0C-402B-B48E-1DB63AD4FE33}"/>
    <cellStyle name="000 2 4 3" xfId="28124" xr:uid="{965130C7-26D2-433E-BC5F-4967AC1F77A6}"/>
    <cellStyle name="000 2 5" xfId="8983" xr:uid="{CED9E709-9F59-4CD9-AFB3-A79CB67B7945}"/>
    <cellStyle name="000 2 5 2" xfId="26113" xr:uid="{9BEEB51A-5D8F-4D6A-A685-2B13A261FDFD}"/>
    <cellStyle name="000 2 5 2 2" xfId="37901" xr:uid="{404883BC-6AAE-4CCD-BFF0-B55826D98876}"/>
    <cellStyle name="000 2 5 3" xfId="28125" xr:uid="{C650E617-9E1D-4AE9-86B2-CDBF01470890}"/>
    <cellStyle name="000 2 6" xfId="8984" xr:uid="{51882C9E-C62D-4171-BD6D-FD2D993EFC26}"/>
    <cellStyle name="000 2 6 2" xfId="26114" xr:uid="{8111070C-0A5D-437F-8267-3818B2A06B0A}"/>
    <cellStyle name="000 2 6 2 2" xfId="37902" xr:uid="{235C4372-4A3C-4FFD-A282-D0A65F8735C5}"/>
    <cellStyle name="000 2 6 3" xfId="28126" xr:uid="{57CD4D73-A664-48FA-8F5A-7396DB1402BA}"/>
    <cellStyle name="000 2 7" xfId="8985" xr:uid="{EFFA4DA4-B0D2-477C-A571-24075E06889B}"/>
    <cellStyle name="000 2 7 2" xfId="26115" xr:uid="{699368C8-56AA-4991-B8EE-15C3EEDCA458}"/>
    <cellStyle name="000 2 7 2 2" xfId="37903" xr:uid="{5D6128CA-18FA-4D9D-AB98-98B39C000037}"/>
    <cellStyle name="000 2 7 3" xfId="28127" xr:uid="{B3DC990A-5EB1-4DE0-B5DF-8090B41A6E6A}"/>
    <cellStyle name="000 2 8" xfId="8986" xr:uid="{4A76B501-34F3-4901-8481-420A9DDDB4F0}"/>
    <cellStyle name="000 2 8 2" xfId="26116" xr:uid="{45864B1B-181D-4779-9526-8BAF460E30DA}"/>
    <cellStyle name="000 2 8 2 2" xfId="37904" xr:uid="{09817020-AAF7-4E35-AE95-DF2DC5A8821E}"/>
    <cellStyle name="000 2 8 3" xfId="28128" xr:uid="{6C4601AF-D517-4D12-8D9D-6EEC46E077C6}"/>
    <cellStyle name="000 2 9" xfId="26073" xr:uid="{1701FCDB-2AA5-484D-B596-A236634A0B00}"/>
    <cellStyle name="000 2 9 2" xfId="37861" xr:uid="{9D8080A5-E75B-4179-B1DD-AB8BE2C8DD4F}"/>
    <cellStyle name="000 3" xfId="8987" xr:uid="{4BF34A74-797D-4E9B-A93C-601CDE3EF0F9}"/>
    <cellStyle name="000 3 2" xfId="8988" xr:uid="{BF4EE090-8191-473E-8CB6-03B522F7E82B}"/>
    <cellStyle name="000 3 2 10" xfId="8989" xr:uid="{0F96ED69-9818-46B4-B634-983B4A61128D}"/>
    <cellStyle name="000 3 2 10 2" xfId="26119" xr:uid="{53F1E43D-9722-47BC-8B18-10E84EFBE115}"/>
    <cellStyle name="000 3 2 10 2 2" xfId="37907" xr:uid="{DE3F58BC-DD76-4C02-BA30-63BAB458B04C}"/>
    <cellStyle name="000 3 2 10 3" xfId="28131" xr:uid="{AAE710C1-FB5F-41D2-AD11-57B60458B82F}"/>
    <cellStyle name="000 3 2 11" xfId="8990" xr:uid="{E050F92E-044E-4E27-B750-53C9E36FAB50}"/>
    <cellStyle name="000 3 2 11 2" xfId="26120" xr:uid="{9881DE61-1A41-4EDD-A167-52192C3B5EF9}"/>
    <cellStyle name="000 3 2 11 2 2" xfId="37908" xr:uid="{DFB4D774-3655-4016-9E8F-C954C093B66D}"/>
    <cellStyle name="000 3 2 11 3" xfId="28132" xr:uid="{DCBC1994-540C-45BF-82BD-3E39EEA44232}"/>
    <cellStyle name="000 3 2 12" xfId="8991" xr:uid="{E6ACF8BC-76EB-47C9-ABDC-1987B5425D6D}"/>
    <cellStyle name="000 3 2 12 2" xfId="26121" xr:uid="{3767CAC0-25E1-4D70-A39E-11DA3068DDFA}"/>
    <cellStyle name="000 3 2 12 2 2" xfId="37909" xr:uid="{D886D56E-E51A-4C7E-9A57-CBE7CAD7370F}"/>
    <cellStyle name="000 3 2 12 3" xfId="28133" xr:uid="{CEAEB0A9-D9D7-4C20-BCBD-D82CEA31C65D}"/>
    <cellStyle name="000 3 2 13" xfId="8992" xr:uid="{2D34F6A4-66C6-48B2-A67C-F9F41A5BAA71}"/>
    <cellStyle name="000 3 2 13 2" xfId="26122" xr:uid="{E21FA914-761E-4416-A35B-CF1BBF2BAEED}"/>
    <cellStyle name="000 3 2 13 2 2" xfId="37910" xr:uid="{064834FD-4936-4BAF-91E6-CF85E76F0585}"/>
    <cellStyle name="000 3 2 13 3" xfId="28134" xr:uid="{709832C8-7617-4D68-BEC3-06E9DF77305C}"/>
    <cellStyle name="000 3 2 14" xfId="8993" xr:uid="{49474B91-A43A-4778-855C-9B6092A07E5A}"/>
    <cellStyle name="000 3 2 14 2" xfId="26123" xr:uid="{4EBF5DAE-DB81-4C65-B446-1EE2C3A3FA06}"/>
    <cellStyle name="000 3 2 14 2 2" xfId="37911" xr:uid="{6257C681-CFDB-402F-A447-51C1F6FFDCAA}"/>
    <cellStyle name="000 3 2 14 3" xfId="28135" xr:uid="{D3C53D9D-0B9C-48CE-8E9D-D03EE93785B6}"/>
    <cellStyle name="000 3 2 15" xfId="8994" xr:uid="{27332067-3254-4FAF-BB99-04AAEEDE0AAC}"/>
    <cellStyle name="000 3 2 15 2" xfId="26124" xr:uid="{79C19FDB-2CE8-40DE-9E09-25C76E72DB9D}"/>
    <cellStyle name="000 3 2 15 2 2" xfId="37912" xr:uid="{23EDFABE-5E8B-45D7-BEE1-45E34050DCDC}"/>
    <cellStyle name="000 3 2 15 3" xfId="28136" xr:uid="{7E1E5EA1-DFFB-43C4-AC02-B414FFE26E6C}"/>
    <cellStyle name="000 3 2 16" xfId="8995" xr:uid="{579F489D-D4C6-4CC2-B335-89CDD36696C3}"/>
    <cellStyle name="000 3 2 16 2" xfId="26125" xr:uid="{1834022D-64DE-480F-8D2C-473A7A7ED85E}"/>
    <cellStyle name="000 3 2 16 2 2" xfId="37913" xr:uid="{2AF09690-32C8-40EA-9E9D-03FFCB83A805}"/>
    <cellStyle name="000 3 2 16 3" xfId="28137" xr:uid="{C037572A-B3C2-4D16-B9F3-F507EFD23C7D}"/>
    <cellStyle name="000 3 2 17" xfId="26118" xr:uid="{90B4DC86-D780-4905-A68B-E4CC66D917C7}"/>
    <cellStyle name="000 3 2 17 2" xfId="37906" xr:uid="{B3109C05-F9D3-4144-83C1-2BDC902FDBEE}"/>
    <cellStyle name="000 3 2 18" xfId="28130" xr:uid="{57F02D60-62F1-4B87-B08E-A234CBD80EC2}"/>
    <cellStyle name="000 3 2 2" xfId="8996" xr:uid="{241C2BA2-9930-46D5-8EF2-67883FCE6C01}"/>
    <cellStyle name="000 3 2 2 2" xfId="26126" xr:uid="{FD57654E-4E5E-4440-9B5F-90F5EB52DBAB}"/>
    <cellStyle name="000 3 2 2 2 2" xfId="37914" xr:uid="{A4E873C4-EC53-46EF-BFE3-74FF83CBED24}"/>
    <cellStyle name="000 3 2 2 3" xfId="28138" xr:uid="{D1607352-E8E0-4F6C-A1F4-51F36E1D5AEE}"/>
    <cellStyle name="000 3 2 3" xfId="8997" xr:uid="{489C8003-5FB3-463E-9C96-92325F00B715}"/>
    <cellStyle name="000 3 2 3 2" xfId="26127" xr:uid="{5B5557FA-7EE1-497B-AC75-331879E301ED}"/>
    <cellStyle name="000 3 2 3 2 2" xfId="37915" xr:uid="{6D373356-7262-4D8E-96EA-9785D8F405E1}"/>
    <cellStyle name="000 3 2 3 3" xfId="28139" xr:uid="{36BA9945-551F-4F79-A8BF-A7972993BD9D}"/>
    <cellStyle name="000 3 2 4" xfId="8998" xr:uid="{B558ED25-DF6E-4E94-98A7-6657FBAC2733}"/>
    <cellStyle name="000 3 2 4 2" xfId="26128" xr:uid="{86D38E6F-1A54-4D26-B525-EAF274D9854C}"/>
    <cellStyle name="000 3 2 4 2 2" xfId="37916" xr:uid="{A86A4BB7-7EC8-4861-A92C-F635FF63B176}"/>
    <cellStyle name="000 3 2 4 3" xfId="28140" xr:uid="{7D7D0E0F-82F6-44C6-888A-09F68D04643D}"/>
    <cellStyle name="000 3 2 5" xfId="8999" xr:uid="{F160DE46-62CD-4C69-9586-42AD854AEF5E}"/>
    <cellStyle name="000 3 2 5 2" xfId="26129" xr:uid="{F2335B1A-56ED-44BF-942A-84826D71C6C6}"/>
    <cellStyle name="000 3 2 5 2 2" xfId="37917" xr:uid="{F8601BFE-D7B8-43FF-A4DF-26B99F695B22}"/>
    <cellStyle name="000 3 2 5 3" xfId="28141" xr:uid="{39A70249-2ECC-490C-8832-4A7219C8FA18}"/>
    <cellStyle name="000 3 2 6" xfId="9000" xr:uid="{6529CC11-3CE4-476B-896C-9815C01BC5D8}"/>
    <cellStyle name="000 3 2 6 2" xfId="26130" xr:uid="{E5179FFE-B3AE-40E2-8CDD-DEBC53E483B9}"/>
    <cellStyle name="000 3 2 6 2 2" xfId="37918" xr:uid="{50A329CF-97DD-4386-8262-D8511F97D816}"/>
    <cellStyle name="000 3 2 6 3" xfId="28142" xr:uid="{83614798-EE19-4C22-A228-E30233C22460}"/>
    <cellStyle name="000 3 2 7" xfId="9001" xr:uid="{86CC1BDB-6CDC-48AC-B2E5-72F637766503}"/>
    <cellStyle name="000 3 2 7 2" xfId="26131" xr:uid="{05594065-4E1F-4E3B-B6C0-5462F9A35917}"/>
    <cellStyle name="000 3 2 7 2 2" xfId="37919" xr:uid="{F545E69A-C5FA-4327-85A2-66A6FE370B56}"/>
    <cellStyle name="000 3 2 7 3" xfId="28143" xr:uid="{336B179D-732F-40E3-952F-43A478CE4F16}"/>
    <cellStyle name="000 3 2 8" xfId="9002" xr:uid="{84470C2A-6E76-4FD2-A865-0BFAA9B14E78}"/>
    <cellStyle name="000 3 2 8 2" xfId="26132" xr:uid="{D06EA149-FB50-40CF-9EDB-B6A1644379BA}"/>
    <cellStyle name="000 3 2 8 2 2" xfId="37920" xr:uid="{DAE36274-3963-4525-B800-33D5C7D444C4}"/>
    <cellStyle name="000 3 2 8 3" xfId="28144" xr:uid="{3AD26FD0-00E4-4240-B11C-F35DB280B0BE}"/>
    <cellStyle name="000 3 2 9" xfId="9003" xr:uid="{466157CD-D6EA-404B-994B-1637B4AB406F}"/>
    <cellStyle name="000 3 2 9 2" xfId="26133" xr:uid="{A921B6CF-423D-459A-952B-9781AC59F71C}"/>
    <cellStyle name="000 3 2 9 2 2" xfId="37921" xr:uid="{46F1DC58-A87C-42BC-8BD0-14CCB4A7FCC4}"/>
    <cellStyle name="000 3 2 9 3" xfId="28145" xr:uid="{E07ABDB3-697E-4625-A69F-9011DAD632E2}"/>
    <cellStyle name="000 3 3" xfId="9004" xr:uid="{2AC865B3-2B0E-4ACE-A37F-09637D8B297F}"/>
    <cellStyle name="000 3 3 2" xfId="26134" xr:uid="{AD48FFBD-D03A-4B95-877F-AA53429B47AD}"/>
    <cellStyle name="000 3 3 2 2" xfId="37922" xr:uid="{F865F030-522B-46BF-8320-06DC91A269E5}"/>
    <cellStyle name="000 3 3 3" xfId="28146" xr:uid="{63A60375-3D34-40A0-AD1B-D042D715568F}"/>
    <cellStyle name="000 3 4" xfId="9005" xr:uid="{FA2F57A5-3F09-4196-A1FA-D3D899CA1320}"/>
    <cellStyle name="000 3 4 2" xfId="26135" xr:uid="{957AA3D9-489E-4C78-908C-25C18D0D4B17}"/>
    <cellStyle name="000 3 4 2 2" xfId="37923" xr:uid="{B218B211-A379-42FD-8A0A-2E5B516C07C2}"/>
    <cellStyle name="000 3 4 3" xfId="28147" xr:uid="{5568E846-3671-49FA-9AEC-8B3F5EB94DAE}"/>
    <cellStyle name="000 3 5" xfId="9006" xr:uid="{BAF2624B-249D-4534-BFB0-7D348ED3A470}"/>
    <cellStyle name="000 3 5 2" xfId="26136" xr:uid="{F233ACF5-4007-4232-874E-D1F250466993}"/>
    <cellStyle name="000 3 5 2 2" xfId="37924" xr:uid="{E1094BDE-A1B9-43C8-8591-7A434CDFABDF}"/>
    <cellStyle name="000 3 5 3" xfId="28148" xr:uid="{5BE37704-FE7F-4284-BBBC-0D221AADE517}"/>
    <cellStyle name="000 3 6" xfId="9007" xr:uid="{C77C7A31-4F0E-46B8-AFAB-F09183393EE9}"/>
    <cellStyle name="000 3 6 2" xfId="26137" xr:uid="{E8F70558-9F90-4521-A8DF-1BBDD720D583}"/>
    <cellStyle name="000 3 6 2 2" xfId="37925" xr:uid="{FCC1D3B5-20DF-4C27-9665-4EAD7E691285}"/>
    <cellStyle name="000 3 6 3" xfId="28149" xr:uid="{2553F075-37EC-4DB0-81C7-AE3F9CF114E4}"/>
    <cellStyle name="000 3 7" xfId="9008" xr:uid="{4169C76D-1A4A-4B3D-A98B-6E30F27A248D}"/>
    <cellStyle name="000 3 7 2" xfId="26138" xr:uid="{134592E3-0E1C-4DB9-9C18-D0F96845901E}"/>
    <cellStyle name="000 3 7 2 2" xfId="37926" xr:uid="{45E15F99-1834-4E11-BC58-D3141D27661F}"/>
    <cellStyle name="000 3 7 3" xfId="28150" xr:uid="{930BF1A2-15AE-4D72-98C8-DF66180F4D43}"/>
    <cellStyle name="000 3 8" xfId="26117" xr:uid="{E8FA8931-BBEF-48AC-8CC8-03AADBA52F32}"/>
    <cellStyle name="000 3 8 2" xfId="37905" xr:uid="{F9A2597F-C45A-4D6F-B1A1-21376600F4D8}"/>
    <cellStyle name="000 3 9" xfId="28129" xr:uid="{363E8B90-2DE0-484A-AEB7-906E771D2E5C}"/>
    <cellStyle name="000 4" xfId="9009" xr:uid="{15B17DF8-D88B-4118-95B0-30BBA0680AA9}"/>
    <cellStyle name="000 4 2" xfId="9010" xr:uid="{B00EB7D0-8F1F-491C-A132-5FAEB5C35E51}"/>
    <cellStyle name="000 4 2 10" xfId="9011" xr:uid="{E00CAC31-1DE0-434A-BFAC-B4E84751EABA}"/>
    <cellStyle name="000 4 2 10 2" xfId="26141" xr:uid="{63D6DB60-3ACC-4091-B10D-A9E1E377A6A9}"/>
    <cellStyle name="000 4 2 10 2 2" xfId="37929" xr:uid="{279CA23B-3408-4405-9986-56AC48F4C5CB}"/>
    <cellStyle name="000 4 2 10 3" xfId="28153" xr:uid="{28DF8233-7BFA-4ED2-B033-A406EA8DA93B}"/>
    <cellStyle name="000 4 2 11" xfId="9012" xr:uid="{6727FA9E-B4D2-49A4-81B8-778B7138A9F3}"/>
    <cellStyle name="000 4 2 11 2" xfId="26142" xr:uid="{06818CAC-7488-4C3E-85D8-271D31256C2E}"/>
    <cellStyle name="000 4 2 11 2 2" xfId="37930" xr:uid="{1B9DB238-3956-4AC6-BF5E-8C6E7DD76237}"/>
    <cellStyle name="000 4 2 11 3" xfId="28154" xr:uid="{51C6873E-BBB6-435B-928B-4F57C34A8FD9}"/>
    <cellStyle name="000 4 2 12" xfId="9013" xr:uid="{AFF86FEF-BF40-4FA1-8B97-5868EA5F9B80}"/>
    <cellStyle name="000 4 2 12 2" xfId="26143" xr:uid="{DC5839AB-F1B9-4CC2-93ED-AF21EB6524AE}"/>
    <cellStyle name="000 4 2 12 2 2" xfId="37931" xr:uid="{62E715C6-674A-4B37-8290-57895DEDB397}"/>
    <cellStyle name="000 4 2 12 3" xfId="28155" xr:uid="{C62EC8A6-4DFE-4E73-8C37-4C79B17BEC68}"/>
    <cellStyle name="000 4 2 13" xfId="9014" xr:uid="{4E5A6E7C-CB97-4DF0-926D-B89E5BBF7FE7}"/>
    <cellStyle name="000 4 2 13 2" xfId="26144" xr:uid="{F0D137D0-D5A5-4E91-8C6E-4B1747411624}"/>
    <cellStyle name="000 4 2 13 2 2" xfId="37932" xr:uid="{F93FF43D-0B9A-4C61-98DA-32E3FC15DC1F}"/>
    <cellStyle name="000 4 2 13 3" xfId="28156" xr:uid="{56E14FBF-D36B-49E1-91E2-8BB26C1DA7AE}"/>
    <cellStyle name="000 4 2 14" xfId="9015" xr:uid="{6B721EE3-A9BE-458D-87AD-8C0DB2373582}"/>
    <cellStyle name="000 4 2 14 2" xfId="26145" xr:uid="{764F36A4-BEC9-4EF2-A812-08FFB31E27A1}"/>
    <cellStyle name="000 4 2 14 2 2" xfId="37933" xr:uid="{6870B895-DA68-4687-A2D4-405D25B2CBCA}"/>
    <cellStyle name="000 4 2 14 3" xfId="28157" xr:uid="{FF71A026-13F9-440C-9159-F9850751EA1A}"/>
    <cellStyle name="000 4 2 15" xfId="9016" xr:uid="{8DC2844C-A2C0-4486-BEBA-3D3BB3C836FC}"/>
    <cellStyle name="000 4 2 15 2" xfId="26146" xr:uid="{4F337EC1-500A-4969-B130-7B7AC8E293FB}"/>
    <cellStyle name="000 4 2 15 2 2" xfId="37934" xr:uid="{AB459828-6615-47A9-A744-212EFB8E237C}"/>
    <cellStyle name="000 4 2 15 3" xfId="28158" xr:uid="{70CFD565-CB27-414F-9740-CB08779D0A69}"/>
    <cellStyle name="000 4 2 16" xfId="9017" xr:uid="{1328FA00-3EEE-454E-877A-3DB8AE2B9F09}"/>
    <cellStyle name="000 4 2 16 2" xfId="26147" xr:uid="{C8C5F895-C9E8-409D-8503-0BD078F1BB43}"/>
    <cellStyle name="000 4 2 16 2 2" xfId="37935" xr:uid="{9314CC36-28E4-4C84-81C1-64BB1CD3F80B}"/>
    <cellStyle name="000 4 2 16 3" xfId="28159" xr:uid="{C8C77A94-92A8-47F8-B8AF-E7878FF6CA52}"/>
    <cellStyle name="000 4 2 17" xfId="26140" xr:uid="{4F3E727B-69E5-45CF-978D-E9348A1AAB53}"/>
    <cellStyle name="000 4 2 17 2" xfId="37928" xr:uid="{98265F7B-988A-4BA3-9B3F-8DECA5B18B1E}"/>
    <cellStyle name="000 4 2 18" xfId="28152" xr:uid="{10A44C8F-00BA-48C4-8DBC-0D2BBAE1E86C}"/>
    <cellStyle name="000 4 2 2" xfId="9018" xr:uid="{33533095-C273-49C9-A217-B8EEDB529737}"/>
    <cellStyle name="000 4 2 2 2" xfId="26148" xr:uid="{84656453-081E-4277-A6E4-DD397DE0DFA2}"/>
    <cellStyle name="000 4 2 2 2 2" xfId="37936" xr:uid="{AC41A8EE-90D2-491A-A320-07A91D59080F}"/>
    <cellStyle name="000 4 2 2 3" xfId="28160" xr:uid="{491DEAAA-30D2-45E6-AB2D-7897932149FF}"/>
    <cellStyle name="000 4 2 3" xfId="9019" xr:uid="{04EE84CF-4F57-4483-9876-A52B7F89F612}"/>
    <cellStyle name="000 4 2 3 2" xfId="26149" xr:uid="{A377DEE1-F1A2-4507-9A46-E12A71603F24}"/>
    <cellStyle name="000 4 2 3 2 2" xfId="37937" xr:uid="{C260C44A-73C2-4629-8CA4-B483DACC3723}"/>
    <cellStyle name="000 4 2 3 3" xfId="28161" xr:uid="{9DB6D70B-C534-4531-BEB2-FFF4F968E887}"/>
    <cellStyle name="000 4 2 4" xfId="9020" xr:uid="{13558886-F48A-4E1C-B05E-75785816C488}"/>
    <cellStyle name="000 4 2 4 2" xfId="26150" xr:uid="{42BB3B0D-0A01-406C-A409-FA2E4EE36158}"/>
    <cellStyle name="000 4 2 4 2 2" xfId="37938" xr:uid="{467ECF16-98C2-428F-B02E-A3C5A10DA727}"/>
    <cellStyle name="000 4 2 4 3" xfId="28162" xr:uid="{C46F9B23-BC90-47E0-BDC2-5FA2E5D9F4C9}"/>
    <cellStyle name="000 4 2 5" xfId="9021" xr:uid="{649F909F-54A6-4A3F-8916-97C2F26ADA1D}"/>
    <cellStyle name="000 4 2 5 2" xfId="26151" xr:uid="{5E400825-C0DA-49C8-A0C7-0E9C72BC9A5C}"/>
    <cellStyle name="000 4 2 5 2 2" xfId="37939" xr:uid="{BC234877-CD15-435A-AB11-534E6DEE82C5}"/>
    <cellStyle name="000 4 2 5 3" xfId="28163" xr:uid="{2C3D301E-4755-470C-929F-5BE567115BA5}"/>
    <cellStyle name="000 4 2 6" xfId="9022" xr:uid="{A6533445-1157-4F23-963F-6D77850788F6}"/>
    <cellStyle name="000 4 2 6 2" xfId="26152" xr:uid="{CC477A9B-A7B2-44EE-A14D-C32A2B3DB5F7}"/>
    <cellStyle name="000 4 2 6 2 2" xfId="37940" xr:uid="{A9D619C7-B565-4BAD-959D-CB591BA49818}"/>
    <cellStyle name="000 4 2 6 3" xfId="28164" xr:uid="{19762629-D887-4400-A24C-30F614B7BE38}"/>
    <cellStyle name="000 4 2 7" xfId="9023" xr:uid="{5D211BA8-C1FF-43F3-B764-2B4890F29BFF}"/>
    <cellStyle name="000 4 2 7 2" xfId="26153" xr:uid="{FE01633B-2168-46F8-A7C5-09238FBBA2F6}"/>
    <cellStyle name="000 4 2 7 2 2" xfId="37941" xr:uid="{558E2752-E964-48B2-9847-2BFFFD3A4EEA}"/>
    <cellStyle name="000 4 2 7 3" xfId="28165" xr:uid="{DC09BA3F-AEED-440D-B817-D5393AD1F90A}"/>
    <cellStyle name="000 4 2 8" xfId="9024" xr:uid="{23CB6A02-5412-478F-9867-1D32EC17DF6C}"/>
    <cellStyle name="000 4 2 8 2" xfId="26154" xr:uid="{FC843648-647D-4763-B0C2-4C88E87894F0}"/>
    <cellStyle name="000 4 2 8 2 2" xfId="37942" xr:uid="{0BBF7DAE-1052-488B-8B9B-0962B68C069A}"/>
    <cellStyle name="000 4 2 8 3" xfId="28166" xr:uid="{0A5C12B1-E4D8-4FED-A81E-8384C01DB260}"/>
    <cellStyle name="000 4 2 9" xfId="9025" xr:uid="{8D909781-170C-4898-AAB5-141D67960859}"/>
    <cellStyle name="000 4 2 9 2" xfId="26155" xr:uid="{1B40DDE7-AC24-4D93-9681-D7B36F20C4C6}"/>
    <cellStyle name="000 4 2 9 2 2" xfId="37943" xr:uid="{AB678CD3-889C-4E5C-B3F4-B13C8E751D5C}"/>
    <cellStyle name="000 4 2 9 3" xfId="28167" xr:uid="{EC114191-C1B7-4CEB-A1A7-D6794462D11C}"/>
    <cellStyle name="000 4 3" xfId="9026" xr:uid="{502FFA00-662A-4BE1-98BD-1233A79A4354}"/>
    <cellStyle name="000 4 3 2" xfId="26156" xr:uid="{C7D76522-F668-4765-A68C-CD82C2B1D642}"/>
    <cellStyle name="000 4 3 2 2" xfId="37944" xr:uid="{983201C0-BE8E-44DC-B121-86E5BF6D3CB5}"/>
    <cellStyle name="000 4 3 3" xfId="28168" xr:uid="{D7DC7FD5-F78E-499A-9743-D25F3045CE7E}"/>
    <cellStyle name="000 4 4" xfId="9027" xr:uid="{3958C957-EFA9-47B5-AB90-5F98F9AA9A8B}"/>
    <cellStyle name="000 4 4 2" xfId="26157" xr:uid="{7210EF7A-92FC-48F2-B547-DD03F41030A1}"/>
    <cellStyle name="000 4 4 2 2" xfId="37945" xr:uid="{1C377463-F35A-4292-9B5A-5F8C7E201369}"/>
    <cellStyle name="000 4 4 3" xfId="28169" xr:uid="{AA6EE8AD-1FB5-46CA-90E5-E1366A5BE920}"/>
    <cellStyle name="000 4 5" xfId="9028" xr:uid="{40EF4537-E1F7-4CF8-945C-6479E46075FB}"/>
    <cellStyle name="000 4 5 2" xfId="26158" xr:uid="{3873047D-8796-4FC8-A505-8CF7F7E9D0DA}"/>
    <cellStyle name="000 4 5 2 2" xfId="37946" xr:uid="{98EE2CD0-5C6F-4E33-81D5-C915869BA569}"/>
    <cellStyle name="000 4 5 3" xfId="28170" xr:uid="{BB588824-BBAE-439C-BD4D-2ACB97A447A5}"/>
    <cellStyle name="000 4 6" xfId="9029" xr:uid="{A7562B75-49F5-42D2-851C-A1A810887CB7}"/>
    <cellStyle name="000 4 6 2" xfId="26159" xr:uid="{01C62FE2-1085-44C1-A8F7-08B6F745F5B8}"/>
    <cellStyle name="000 4 6 2 2" xfId="37947" xr:uid="{2707BEF4-BF5E-412F-AA24-B18A7B7E1434}"/>
    <cellStyle name="000 4 6 3" xfId="28171" xr:uid="{8E2CF39A-B2C2-4FB0-95AC-EA61BECBA261}"/>
    <cellStyle name="000 4 7" xfId="9030" xr:uid="{8EAF999E-43DD-4EFB-A857-1D38EB1F6249}"/>
    <cellStyle name="000 4 7 2" xfId="26160" xr:uid="{763FBDB0-50B6-4A06-A639-4A59D6802F01}"/>
    <cellStyle name="000 4 7 2 2" xfId="37948" xr:uid="{2C4C6C0C-72E6-4890-A23C-DB56CED7F6AF}"/>
    <cellStyle name="000 4 7 3" xfId="28172" xr:uid="{2CAB9E40-9E8E-4F04-99DC-5A5BE45A4FFA}"/>
    <cellStyle name="000 4 8" xfId="26139" xr:uid="{315179AD-A809-4356-A44A-125162FB1578}"/>
    <cellStyle name="000 4 8 2" xfId="37927" xr:uid="{09A2A026-E113-485C-95DF-67C84A3B7506}"/>
    <cellStyle name="000 4 9" xfId="28151" xr:uid="{CB7946DA-AC48-4066-968C-605DAF7915AF}"/>
    <cellStyle name="000 5" xfId="9031" xr:uid="{5AA9EEF5-1F60-4E8F-9387-D29945D0239F}"/>
    <cellStyle name="000 5 10" xfId="9032" xr:uid="{F328D440-DC87-4D96-B1CA-877E5532DB48}"/>
    <cellStyle name="000 5 10 2" xfId="26162" xr:uid="{555B13A5-4B10-44DC-94F6-40FE7A0C1F74}"/>
    <cellStyle name="000 5 10 2 2" xfId="37950" xr:uid="{93E234AB-E81D-47C7-88A6-7904C5267954}"/>
    <cellStyle name="000 5 10 3" xfId="28174" xr:uid="{1743C7C6-AC71-452E-9040-A4E0B4CE52E3}"/>
    <cellStyle name="000 5 11" xfId="9033" xr:uid="{B5B606B4-6510-4727-9350-EC69AE4F2C2A}"/>
    <cellStyle name="000 5 11 2" xfId="26163" xr:uid="{62771200-863D-4F24-A698-BBEAEE4881BB}"/>
    <cellStyle name="000 5 11 2 2" xfId="37951" xr:uid="{6659299D-A744-44C8-9866-40B0A3AB9C29}"/>
    <cellStyle name="000 5 11 3" xfId="28175" xr:uid="{10A76055-EBC5-4448-8641-17BA925E8A48}"/>
    <cellStyle name="000 5 12" xfId="9034" xr:uid="{572AB9C3-DD4B-4A46-896B-66B5B01997F4}"/>
    <cellStyle name="000 5 12 2" xfId="26164" xr:uid="{9B2D7DB3-7288-45DF-A326-E54CEE341029}"/>
    <cellStyle name="000 5 12 2 2" xfId="37952" xr:uid="{6A1F52FC-4584-4D2C-8E65-EE43A16546BA}"/>
    <cellStyle name="000 5 12 3" xfId="28176" xr:uid="{1F6993E5-2DC5-40D6-BD5D-E2DEDEDEC962}"/>
    <cellStyle name="000 5 13" xfId="9035" xr:uid="{D0218679-3F09-4F7D-A05E-BB15F5038D15}"/>
    <cellStyle name="000 5 13 2" xfId="26165" xr:uid="{9074627F-7997-4612-BB05-AA180C601463}"/>
    <cellStyle name="000 5 13 2 2" xfId="37953" xr:uid="{40DB4B13-8816-468E-ACF4-37A2AEE049DE}"/>
    <cellStyle name="000 5 13 3" xfId="28177" xr:uid="{4DA0D7DB-F415-4260-B2A4-DC8DC48119C9}"/>
    <cellStyle name="000 5 14" xfId="9036" xr:uid="{BFA4D496-B004-4CB5-90AC-9A22C20A2516}"/>
    <cellStyle name="000 5 14 2" xfId="26166" xr:uid="{537EC626-898C-4CEB-B9F7-599EB4B10CFD}"/>
    <cellStyle name="000 5 14 2 2" xfId="37954" xr:uid="{66F1D794-7B00-4E29-B486-1E36B93F9552}"/>
    <cellStyle name="000 5 14 3" xfId="28178" xr:uid="{C9FDC5AF-F8AE-4170-8737-05CE76505C41}"/>
    <cellStyle name="000 5 15" xfId="9037" xr:uid="{E7440513-7462-4347-913F-3E592A63F564}"/>
    <cellStyle name="000 5 15 2" xfId="26167" xr:uid="{E7BA7334-68D4-479B-9976-60AC150F285C}"/>
    <cellStyle name="000 5 15 2 2" xfId="37955" xr:uid="{6241F47B-3261-436B-9357-463798871DB4}"/>
    <cellStyle name="000 5 15 3" xfId="28179" xr:uid="{69772CD7-ED69-4EEC-B6F7-370232A3BAAA}"/>
    <cellStyle name="000 5 16" xfId="9038" xr:uid="{F1211949-E1DC-4B4B-BBEC-BFB3913B470E}"/>
    <cellStyle name="000 5 16 2" xfId="26168" xr:uid="{50AE539E-D1DD-46A0-AE41-22E95C5E3B5B}"/>
    <cellStyle name="000 5 16 2 2" xfId="37956" xr:uid="{1C3D7B1C-BC45-4572-9718-3468357C4EA7}"/>
    <cellStyle name="000 5 16 3" xfId="28180" xr:uid="{546EFE60-1BC7-4518-AAC9-ED80495EF33E}"/>
    <cellStyle name="000 5 17" xfId="26161" xr:uid="{03A86CC9-E6A7-446C-801D-DFEC2224EA6B}"/>
    <cellStyle name="000 5 17 2" xfId="37949" xr:uid="{B2D19298-7FBD-4143-8D4C-18870B2A9A5D}"/>
    <cellStyle name="000 5 18" xfId="28173" xr:uid="{477025EA-B630-472C-9379-C3267C391A71}"/>
    <cellStyle name="000 5 2" xfId="9039" xr:uid="{6172F084-24F5-4BC8-B2D1-DE106D3BF9AA}"/>
    <cellStyle name="000 5 2 2" xfId="26169" xr:uid="{5BC8CB50-9CB5-46AF-83CD-FB410DCF4F4B}"/>
    <cellStyle name="000 5 2 2 2" xfId="37957" xr:uid="{B1AB327E-D1BA-4E32-8AFF-CBE3E1BBC6C8}"/>
    <cellStyle name="000 5 2 3" xfId="28181" xr:uid="{4CDC3EB2-3A67-447C-A1FB-13823B6CCAF4}"/>
    <cellStyle name="000 5 3" xfId="9040" xr:uid="{296BD5DE-633C-4E14-9D4D-DA91C687B134}"/>
    <cellStyle name="000 5 3 2" xfId="26170" xr:uid="{88EE46F7-EFAB-482D-9C52-BDBA4F4EAC3F}"/>
    <cellStyle name="000 5 3 2 2" xfId="37958" xr:uid="{6372096C-FB6B-478E-9A9F-DAEEBF96BB77}"/>
    <cellStyle name="000 5 3 3" xfId="28182" xr:uid="{8F47602A-4FC3-4CC0-81E3-23E795C77C7D}"/>
    <cellStyle name="000 5 4" xfId="9041" xr:uid="{3147EAA1-C975-4FE9-BB1A-B6975F235393}"/>
    <cellStyle name="000 5 4 2" xfId="26171" xr:uid="{EC2AAD05-EFC0-4725-A8FD-9B47F51DCE4C}"/>
    <cellStyle name="000 5 4 2 2" xfId="37959" xr:uid="{859D866C-E63A-4A1A-A9EA-33C07CF9CE9F}"/>
    <cellStyle name="000 5 4 3" xfId="28183" xr:uid="{D720CFE0-6EC2-4C7A-9E0D-D8CC48DFD87B}"/>
    <cellStyle name="000 5 5" xfId="9042" xr:uid="{83CD7F4E-8452-407D-995C-C9BE02C90F4A}"/>
    <cellStyle name="000 5 5 2" xfId="26172" xr:uid="{ACD1F6F3-A631-48CF-976D-03B3F859483C}"/>
    <cellStyle name="000 5 5 2 2" xfId="37960" xr:uid="{4A0D8DE3-EA8A-4E78-9C86-FC2CAEB7B633}"/>
    <cellStyle name="000 5 5 3" xfId="28184" xr:uid="{F2C53D9B-8688-4FEB-AD8B-058A68D75FDA}"/>
    <cellStyle name="000 5 6" xfId="9043" xr:uid="{83DC60AD-D1BF-4695-913D-1C46F02616B9}"/>
    <cellStyle name="000 5 6 2" xfId="26173" xr:uid="{B68FA7E2-0CBF-4E81-8F54-E7FB5C6B134B}"/>
    <cellStyle name="000 5 6 2 2" xfId="37961" xr:uid="{BEF13516-62A9-4E11-A2B9-2AB329C9D534}"/>
    <cellStyle name="000 5 6 3" xfId="28185" xr:uid="{D03163AD-A75C-4076-905A-6D8A90EA6A73}"/>
    <cellStyle name="000 5 7" xfId="9044" xr:uid="{B3AB366B-0010-4169-84F5-110C6BF98092}"/>
    <cellStyle name="000 5 7 2" xfId="26174" xr:uid="{B936CBF4-A30F-412D-94BA-81881768D529}"/>
    <cellStyle name="000 5 7 2 2" xfId="37962" xr:uid="{62158554-F37D-4CDA-B2C2-4980D95F6518}"/>
    <cellStyle name="000 5 7 3" xfId="28186" xr:uid="{A3DC9E32-E4F8-4029-B8FD-47A61F5D9354}"/>
    <cellStyle name="000 5 8" xfId="9045" xr:uid="{E9FFC85A-0872-4F09-914C-22AB5BCFC61C}"/>
    <cellStyle name="000 5 8 2" xfId="26175" xr:uid="{36C85FDB-22CD-477E-B515-3DCA7E045C36}"/>
    <cellStyle name="000 5 8 2 2" xfId="37963" xr:uid="{BA4679F6-2586-4B6B-AECC-59192C2BE49D}"/>
    <cellStyle name="000 5 8 3" xfId="28187" xr:uid="{A5E0F592-0A94-4A4C-B85B-013F4486D8E9}"/>
    <cellStyle name="000 5 9" xfId="9046" xr:uid="{0498FD69-9695-464F-8AAE-466A0DBD2FBD}"/>
    <cellStyle name="000 5 9 2" xfId="26176" xr:uid="{F01CBAAE-2516-425B-9B4A-A857B605F913}"/>
    <cellStyle name="000 5 9 2 2" xfId="37964" xr:uid="{F44C498D-E933-49B7-A44B-1A22C5DC6C96}"/>
    <cellStyle name="000 5 9 3" xfId="28188" xr:uid="{2A13F166-6C5D-4C29-9124-974BECDFFAD5}"/>
    <cellStyle name="000 6" xfId="9047" xr:uid="{D66EE528-A608-4478-AD42-E41C57099208}"/>
    <cellStyle name="000 6 2" xfId="26177" xr:uid="{0E50CC63-2E32-47B3-842D-2BA64040EE65}"/>
    <cellStyle name="000 6 2 2" xfId="37965" xr:uid="{17FB8F09-877B-4C37-957B-6427505C727B}"/>
    <cellStyle name="000 6 3" xfId="28189" xr:uid="{98344A27-8DB9-4F43-A5A5-FC2917794465}"/>
    <cellStyle name="000 7" xfId="9048" xr:uid="{6023E5F5-3232-4F85-8551-9D60095C3222}"/>
    <cellStyle name="000 7 2" xfId="26178" xr:uid="{D33B4383-3FFE-4F6C-A458-FDFA7EF35E85}"/>
    <cellStyle name="000 7 2 2" xfId="37966" xr:uid="{E9DF1B05-3329-47A2-9F0A-AA70D5C32982}"/>
    <cellStyle name="000 7 3" xfId="28190" xr:uid="{CB59B980-B53A-42A4-AA23-C992967BDC4F}"/>
    <cellStyle name="000 8" xfId="9049" xr:uid="{33362D70-9E73-4D33-AEC5-B043154A98F8}"/>
    <cellStyle name="000 8 2" xfId="26179" xr:uid="{10201E96-7672-4C72-B15B-CB571541FDCB}"/>
    <cellStyle name="000 8 2 2" xfId="37967" xr:uid="{ACB8088A-6181-4D62-BFAB-C312D59F2243}"/>
    <cellStyle name="000 8 3" xfId="28191" xr:uid="{E2957A02-483B-4B10-9DC3-E652263FD933}"/>
    <cellStyle name="000 9" xfId="9050" xr:uid="{7BB05E61-6A12-40F9-9905-E9BB40D8D888}"/>
    <cellStyle name="000 9 2" xfId="26180" xr:uid="{8C458F70-05BB-4FC3-8B41-B62334EC25B4}"/>
    <cellStyle name="000 9 2 2" xfId="37968" xr:uid="{1D62ACEA-0845-470C-A9AA-B70FB3BF6F7C}"/>
    <cellStyle name="000 9 3" xfId="28192" xr:uid="{F36E76FF-3AA4-4C2A-AA79-DDA2016BA983}"/>
    <cellStyle name="010" xfId="9051" xr:uid="{67A481CD-9A0A-420F-9563-D676B29057A0}"/>
    <cellStyle name="010 10" xfId="26181" xr:uid="{609CA85B-2F04-476C-B326-5032E6CE4A21}"/>
    <cellStyle name="010 10 2" xfId="37969" xr:uid="{E9728A71-69DD-415E-961F-4392FB97AD58}"/>
    <cellStyle name="010 11" xfId="28193" xr:uid="{F5E031E5-80C4-428A-BC79-4221240FA1A1}"/>
    <cellStyle name="010 2" xfId="9052" xr:uid="{29403EA7-58AA-4B85-97A8-F75B2A00AD0A}"/>
    <cellStyle name="010 2 10" xfId="28194" xr:uid="{B6D6BF5C-DA7F-4557-888D-DDF4346B5370}"/>
    <cellStyle name="010 2 2" xfId="9053" xr:uid="{637E75F6-4797-4F79-9365-BE1D6B3A8D3A}"/>
    <cellStyle name="010 2 2 2" xfId="9054" xr:uid="{89A13F15-70A0-42CA-94DA-3C4E7F233BD3}"/>
    <cellStyle name="010 2 2 2 10" xfId="9055" xr:uid="{D14A5459-EA88-4AEA-B06B-EC02675073CC}"/>
    <cellStyle name="010 2 2 2 10 2" xfId="26185" xr:uid="{439F5BEB-9B35-4DA0-90FA-1C4D06DF5EE6}"/>
    <cellStyle name="010 2 2 2 10 2 2" xfId="37973" xr:uid="{3342F759-4CD4-4336-938E-D47091AE52BA}"/>
    <cellStyle name="010 2 2 2 10 3" xfId="28197" xr:uid="{60E0FBB3-4398-4286-B1F2-6AD8FC36047F}"/>
    <cellStyle name="010 2 2 2 11" xfId="9056" xr:uid="{F0AEECD1-D899-4758-A84D-B6F088391608}"/>
    <cellStyle name="010 2 2 2 11 2" xfId="26186" xr:uid="{62FA9D15-70ED-4E83-A90E-69B42014DA59}"/>
    <cellStyle name="010 2 2 2 11 2 2" xfId="37974" xr:uid="{1A4B04A6-AC61-4607-B02D-80CD69922102}"/>
    <cellStyle name="010 2 2 2 11 3" xfId="28198" xr:uid="{823F4811-008B-44C4-A3E0-5244E00228CA}"/>
    <cellStyle name="010 2 2 2 12" xfId="9057" xr:uid="{9C48433F-3D20-4EB6-A065-89B75470D6D9}"/>
    <cellStyle name="010 2 2 2 12 2" xfId="26187" xr:uid="{5502EE9D-0B4B-489D-83DB-59035B6C805E}"/>
    <cellStyle name="010 2 2 2 12 2 2" xfId="37975" xr:uid="{177EA40C-C35F-4F00-9961-90D8D0C365F0}"/>
    <cellStyle name="010 2 2 2 12 3" xfId="28199" xr:uid="{E85768C8-C934-4C03-81CF-5292ECD98CB9}"/>
    <cellStyle name="010 2 2 2 13" xfId="9058" xr:uid="{50356832-2AE1-4160-B8DB-1D52D40204FB}"/>
    <cellStyle name="010 2 2 2 13 2" xfId="26188" xr:uid="{A38CB8E4-E06C-452D-A9A5-512C05290DCF}"/>
    <cellStyle name="010 2 2 2 13 2 2" xfId="37976" xr:uid="{E1177566-021A-4DA1-B840-49D289A35AAD}"/>
    <cellStyle name="010 2 2 2 13 3" xfId="28200" xr:uid="{E11F6588-8A32-4612-A3BF-E86645FB2D3B}"/>
    <cellStyle name="010 2 2 2 14" xfId="9059" xr:uid="{9EC95A9F-1FED-47BE-8309-60B6039E19E9}"/>
    <cellStyle name="010 2 2 2 14 2" xfId="26189" xr:uid="{1D92689F-8E54-4F76-B8EF-F9B2C4DF224E}"/>
    <cellStyle name="010 2 2 2 14 2 2" xfId="37977" xr:uid="{32F2C278-EBB2-4693-AE28-E008D42B20D3}"/>
    <cellStyle name="010 2 2 2 14 3" xfId="28201" xr:uid="{E33AB27C-6B3A-4305-B8CE-ABFD59264962}"/>
    <cellStyle name="010 2 2 2 15" xfId="9060" xr:uid="{E1238C43-88EC-4FCA-AEB5-901CFAB2D7B6}"/>
    <cellStyle name="010 2 2 2 15 2" xfId="26190" xr:uid="{9A0DCECC-86F2-4344-9797-BF032C9E444C}"/>
    <cellStyle name="010 2 2 2 15 2 2" xfId="37978" xr:uid="{4375C164-D219-4D26-A2EE-F0E7E60DFEAA}"/>
    <cellStyle name="010 2 2 2 15 3" xfId="28202" xr:uid="{7A62A05F-558B-4162-AAEF-9DA1F973676F}"/>
    <cellStyle name="010 2 2 2 16" xfId="9061" xr:uid="{C534365B-B6F5-4800-AC6C-D8FF21B0499C}"/>
    <cellStyle name="010 2 2 2 16 2" xfId="26191" xr:uid="{C7381236-3F65-4C18-ADA3-0D1CE1F1F6D1}"/>
    <cellStyle name="010 2 2 2 16 2 2" xfId="37979" xr:uid="{79DD835F-0B78-4CFE-BE5C-A159A6449BC3}"/>
    <cellStyle name="010 2 2 2 16 3" xfId="28203" xr:uid="{4AC261A1-F9BF-4FD4-AD66-CD422099BE73}"/>
    <cellStyle name="010 2 2 2 17" xfId="26184" xr:uid="{DDE58DB7-FBA2-40A2-B510-70F5F59DA92D}"/>
    <cellStyle name="010 2 2 2 17 2" xfId="37972" xr:uid="{4C669FCD-87E8-4239-8B6D-BB867FA64DA8}"/>
    <cellStyle name="010 2 2 2 18" xfId="28196" xr:uid="{004AE255-4506-455C-9FC5-2A850C022072}"/>
    <cellStyle name="010 2 2 2 2" xfId="9062" xr:uid="{B39A36FF-7FDB-4AA2-9D5B-6DD0A002C830}"/>
    <cellStyle name="010 2 2 2 2 2" xfId="26192" xr:uid="{FC831702-9203-45ED-8347-838094DE2746}"/>
    <cellStyle name="010 2 2 2 2 2 2" xfId="37980" xr:uid="{16B8FE35-AD6C-4ADC-9971-3B9B75EB7533}"/>
    <cellStyle name="010 2 2 2 2 3" xfId="28204" xr:uid="{BFBE4AD5-F95B-45D2-A3CC-099074F87D8D}"/>
    <cellStyle name="010 2 2 2 3" xfId="9063" xr:uid="{1C378258-5FBB-4A6E-A767-A440CAC60547}"/>
    <cellStyle name="010 2 2 2 3 2" xfId="26193" xr:uid="{4AA737BD-5B8B-45C2-B0DE-0EA1A7799B7B}"/>
    <cellStyle name="010 2 2 2 3 2 2" xfId="37981" xr:uid="{65874950-0795-422A-B96B-5259DECA1EA5}"/>
    <cellStyle name="010 2 2 2 3 3" xfId="28205" xr:uid="{07B75B45-61F0-44EF-A32A-E8FB3564A364}"/>
    <cellStyle name="010 2 2 2 4" xfId="9064" xr:uid="{1E5A535E-C72B-412E-80BD-EBF26FBA50DA}"/>
    <cellStyle name="010 2 2 2 4 2" xfId="26194" xr:uid="{2EB2C187-1293-46DC-91AC-465099B88819}"/>
    <cellStyle name="010 2 2 2 4 2 2" xfId="37982" xr:uid="{30CA3AFF-9F2D-45B3-8898-92AB792D7C20}"/>
    <cellStyle name="010 2 2 2 4 3" xfId="28206" xr:uid="{D70ADEF1-7B12-45F2-9F76-71E094A05A47}"/>
    <cellStyle name="010 2 2 2 5" xfId="9065" xr:uid="{6C99774C-8844-4A73-BCD4-477AB3AFA89C}"/>
    <cellStyle name="010 2 2 2 5 2" xfId="26195" xr:uid="{66A36732-F524-4282-96C7-0CF65FEF8723}"/>
    <cellStyle name="010 2 2 2 5 2 2" xfId="37983" xr:uid="{8618B399-6031-4B10-80F1-B8BB6F14043A}"/>
    <cellStyle name="010 2 2 2 5 3" xfId="28207" xr:uid="{06173A00-4068-49D0-BCDE-5C6B0DFE09AF}"/>
    <cellStyle name="010 2 2 2 6" xfId="9066" xr:uid="{2D97DB0F-0CF0-411D-98B7-D8B1D58D7B59}"/>
    <cellStyle name="010 2 2 2 6 2" xfId="26196" xr:uid="{268499F7-F6DE-443E-97B9-82BF279D4E5E}"/>
    <cellStyle name="010 2 2 2 6 2 2" xfId="37984" xr:uid="{D15BE394-4667-421E-960F-09660D5672CB}"/>
    <cellStyle name="010 2 2 2 6 3" xfId="28208" xr:uid="{66B1E765-B7DC-459D-A76B-D4944A961657}"/>
    <cellStyle name="010 2 2 2 7" xfId="9067" xr:uid="{F773D924-487E-4770-9FE3-BCA4B37C625E}"/>
    <cellStyle name="010 2 2 2 7 2" xfId="26197" xr:uid="{1085DFC2-3FAC-456F-A512-B829EB44F047}"/>
    <cellStyle name="010 2 2 2 7 2 2" xfId="37985" xr:uid="{50589008-42FF-4A05-B060-0AAB40DA565D}"/>
    <cellStyle name="010 2 2 2 7 3" xfId="28209" xr:uid="{DCEBED7A-8FA8-4AA5-9462-AB4BFDC8E144}"/>
    <cellStyle name="010 2 2 2 8" xfId="9068" xr:uid="{4D0333DF-BE7F-4ED3-AD39-EB2FE798E71F}"/>
    <cellStyle name="010 2 2 2 8 2" xfId="26198" xr:uid="{12FD2A19-7DA3-4DF2-96D0-F19FF44EFD02}"/>
    <cellStyle name="010 2 2 2 8 2 2" xfId="37986" xr:uid="{6305AF63-8AE9-49EB-88FD-1E426D64ADFB}"/>
    <cellStyle name="010 2 2 2 8 3" xfId="28210" xr:uid="{4104E80C-B385-4AB3-AD15-9066EFED7362}"/>
    <cellStyle name="010 2 2 2 9" xfId="9069" xr:uid="{3CE20AA7-5645-4F35-9878-F6937A04EF2C}"/>
    <cellStyle name="010 2 2 2 9 2" xfId="26199" xr:uid="{B6392C09-6D8B-4AD7-AC9C-A5F55E3FD730}"/>
    <cellStyle name="010 2 2 2 9 2 2" xfId="37987" xr:uid="{8DA3C944-D162-4682-87CE-FC19E5D3CF64}"/>
    <cellStyle name="010 2 2 2 9 3" xfId="28211" xr:uid="{66EA03FB-46BE-4B6F-A8E3-A08081FE7268}"/>
    <cellStyle name="010 2 2 3" xfId="9070" xr:uid="{96C93F77-12BB-42F8-B382-6AF3DC1A697B}"/>
    <cellStyle name="010 2 2 3 2" xfId="26200" xr:uid="{14C6984A-B07F-4BEC-BD5C-426F14F4764F}"/>
    <cellStyle name="010 2 2 3 2 2" xfId="37988" xr:uid="{669B6E9B-396B-4EDB-BAD8-EAFD29F6D3BD}"/>
    <cellStyle name="010 2 2 3 3" xfId="28212" xr:uid="{A407D88F-B3BB-41BF-87EA-A9824B6D0F79}"/>
    <cellStyle name="010 2 2 4" xfId="9071" xr:uid="{D937EF2E-1F5F-486B-86B7-8CE3E2F04D25}"/>
    <cellStyle name="010 2 2 4 2" xfId="26201" xr:uid="{3EC938DE-43AE-4D75-B861-232EF9A0886E}"/>
    <cellStyle name="010 2 2 4 2 2" xfId="37989" xr:uid="{7D15D7EE-F718-4AB2-9FFB-72831257021E}"/>
    <cellStyle name="010 2 2 4 3" xfId="28213" xr:uid="{E2641D8F-EBF9-46C4-BC94-5CCC9EED395B}"/>
    <cellStyle name="010 2 2 5" xfId="9072" xr:uid="{2D28DAE2-5910-4A36-B93D-2309A51E9C69}"/>
    <cellStyle name="010 2 2 5 2" xfId="26202" xr:uid="{D72806FA-161E-454D-A95A-2209F8249628}"/>
    <cellStyle name="010 2 2 5 2 2" xfId="37990" xr:uid="{A5561497-A30A-4E79-B121-6FA892A8A335}"/>
    <cellStyle name="010 2 2 5 3" xfId="28214" xr:uid="{B001B17B-F331-40EC-A1BA-1EB1A7BBE16C}"/>
    <cellStyle name="010 2 2 6" xfId="9073" xr:uid="{9DACB941-8800-4AB2-8E4B-71C45C231206}"/>
    <cellStyle name="010 2 2 6 2" xfId="26203" xr:uid="{CF99E101-C8FB-4D66-B4F9-78BD17BCCEF4}"/>
    <cellStyle name="010 2 2 6 2 2" xfId="37991" xr:uid="{7BC3560F-3366-400B-ACB1-03D2C3C9B428}"/>
    <cellStyle name="010 2 2 6 3" xfId="28215" xr:uid="{9D210D5C-E0BB-4A5D-9976-9D876CB32E65}"/>
    <cellStyle name="010 2 2 7" xfId="9074" xr:uid="{E970359E-D56F-481B-BF61-2605CE3B99BD}"/>
    <cellStyle name="010 2 2 7 2" xfId="26204" xr:uid="{D34138A1-765C-4163-92C3-A19C9ED4EE44}"/>
    <cellStyle name="010 2 2 7 2 2" xfId="37992" xr:uid="{5D945901-07FA-4B61-B922-2E8E8478D0FF}"/>
    <cellStyle name="010 2 2 7 3" xfId="28216" xr:uid="{6FF7404F-66CC-4443-974B-EA4F36FB61D1}"/>
    <cellStyle name="010 2 2 8" xfId="26183" xr:uid="{D1D51DB3-000C-4EE3-81F5-8DD93CEA659D}"/>
    <cellStyle name="010 2 2 8 2" xfId="37971" xr:uid="{F3A30FBA-86CA-476D-BB88-F6AB7E96BB1A}"/>
    <cellStyle name="010 2 2 9" xfId="28195" xr:uid="{F2BCB241-6FC8-4131-9334-86D464E019B1}"/>
    <cellStyle name="010 2 3" xfId="9075" xr:uid="{9F42CCB4-666C-4005-A7D1-4BFB5B4440F0}"/>
    <cellStyle name="010 2 3 10" xfId="9076" xr:uid="{DB065B68-2AFB-4FCC-896D-67254E0F7387}"/>
    <cellStyle name="010 2 3 10 2" xfId="26206" xr:uid="{B59DF6F6-1862-47BF-8B84-A9F2003C34CD}"/>
    <cellStyle name="010 2 3 10 2 2" xfId="37994" xr:uid="{7AF4C687-A077-4D5F-9913-3FFA9758B6E9}"/>
    <cellStyle name="010 2 3 10 3" xfId="28218" xr:uid="{0CB24724-42F8-4082-A0EE-D25B19A1AB27}"/>
    <cellStyle name="010 2 3 11" xfId="9077" xr:uid="{408746AF-ABB7-4FCD-8130-B626AA65C901}"/>
    <cellStyle name="010 2 3 11 2" xfId="26207" xr:uid="{E57917D3-9FC4-469D-8A39-37E477A1C9A2}"/>
    <cellStyle name="010 2 3 11 2 2" xfId="37995" xr:uid="{2DDAF5B8-B7AD-4236-BADB-FE0A303D11EE}"/>
    <cellStyle name="010 2 3 11 3" xfId="28219" xr:uid="{D0B70555-DBF0-4A40-AA20-BD3B01E3A261}"/>
    <cellStyle name="010 2 3 12" xfId="9078" xr:uid="{58897653-F9AC-4086-81BA-CEA18C3945AA}"/>
    <cellStyle name="010 2 3 12 2" xfId="26208" xr:uid="{05315A0C-3327-4574-A7D7-1BCCCE223D92}"/>
    <cellStyle name="010 2 3 12 2 2" xfId="37996" xr:uid="{1140497B-FD39-4ED2-9A32-92381EB35EE4}"/>
    <cellStyle name="010 2 3 12 3" xfId="28220" xr:uid="{1F9C568E-BF0E-4E74-ACF8-F4D7CF306534}"/>
    <cellStyle name="010 2 3 13" xfId="9079" xr:uid="{A177E99B-FC6D-41D9-9150-BEED5EA8A0C6}"/>
    <cellStyle name="010 2 3 13 2" xfId="26209" xr:uid="{C2DD36FC-66C6-4FC6-A4EC-467934B1FBE8}"/>
    <cellStyle name="010 2 3 13 2 2" xfId="37997" xr:uid="{F89F079A-A4BA-4F9B-8CF2-CE541529A3C0}"/>
    <cellStyle name="010 2 3 13 3" xfId="28221" xr:uid="{0A52AF17-0C9C-448B-B937-A2705F16C9BB}"/>
    <cellStyle name="010 2 3 14" xfId="9080" xr:uid="{B2FDF7F8-C774-41CF-929D-D06BDD581839}"/>
    <cellStyle name="010 2 3 14 2" xfId="26210" xr:uid="{0222F0C9-EAFA-4C46-9593-399A4B0F27E4}"/>
    <cellStyle name="010 2 3 14 2 2" xfId="37998" xr:uid="{74290111-2DF9-4A12-B911-CAD7AA9A9E25}"/>
    <cellStyle name="010 2 3 14 3" xfId="28222" xr:uid="{1C01DBB4-40B7-49D7-BC6A-E561842CCC8A}"/>
    <cellStyle name="010 2 3 15" xfId="9081" xr:uid="{80377ECB-020D-4024-9836-8D591E36BDD4}"/>
    <cellStyle name="010 2 3 15 2" xfId="26211" xr:uid="{C8DEFC6F-3DF5-4D67-AF27-AB29EDBA8C1A}"/>
    <cellStyle name="010 2 3 15 2 2" xfId="37999" xr:uid="{BF7D5899-481C-4AB1-AF65-39911C78A9F6}"/>
    <cellStyle name="010 2 3 15 3" xfId="28223" xr:uid="{0342B3FD-3091-401C-9A2D-7686EA7D95C7}"/>
    <cellStyle name="010 2 3 16" xfId="9082" xr:uid="{D2A83F71-0511-47E6-8B28-9A12CDD7DC57}"/>
    <cellStyle name="010 2 3 16 2" xfId="26212" xr:uid="{20252B37-FCF2-4F67-BC05-A4CAC15682C7}"/>
    <cellStyle name="010 2 3 16 2 2" xfId="38000" xr:uid="{B856A0BA-1EBB-43BC-9EA7-5EAB671911A4}"/>
    <cellStyle name="010 2 3 16 3" xfId="28224" xr:uid="{88C64CB5-BF9B-4930-854B-B8D146B6D22C}"/>
    <cellStyle name="010 2 3 17" xfId="26205" xr:uid="{DD3E6B3F-EB07-4AE8-B6FA-0F577459CFAA}"/>
    <cellStyle name="010 2 3 17 2" xfId="37993" xr:uid="{4F69EA02-E710-466E-A096-26FE9F1FCA56}"/>
    <cellStyle name="010 2 3 18" xfId="28217" xr:uid="{4F664E24-FF5D-47DB-A268-B6035FCD0773}"/>
    <cellStyle name="010 2 3 2" xfId="9083" xr:uid="{4DFC21A0-7926-4CA4-A908-5978FF2148C0}"/>
    <cellStyle name="010 2 3 2 2" xfId="26213" xr:uid="{9EA156CE-94C5-4C6F-BA00-751D72D893CE}"/>
    <cellStyle name="010 2 3 2 2 2" xfId="38001" xr:uid="{E54ED2EE-F671-4993-A8FF-EF8251DC16EF}"/>
    <cellStyle name="010 2 3 2 3" xfId="28225" xr:uid="{A3245898-3773-4095-A46A-C1E813913FB7}"/>
    <cellStyle name="010 2 3 3" xfId="9084" xr:uid="{17FE5A39-8320-4A3C-8201-0B03DA7049E2}"/>
    <cellStyle name="010 2 3 3 2" xfId="26214" xr:uid="{8641D829-D13B-4D74-A38E-6899F4400F90}"/>
    <cellStyle name="010 2 3 3 2 2" xfId="38002" xr:uid="{BBD234D9-0A5B-428E-93F8-78A1DFE033C1}"/>
    <cellStyle name="010 2 3 3 3" xfId="28226" xr:uid="{0F80F4DF-DD9B-4257-939F-396984C4813E}"/>
    <cellStyle name="010 2 3 4" xfId="9085" xr:uid="{6CC64DC7-F325-462B-9673-BDA83B899A8C}"/>
    <cellStyle name="010 2 3 4 2" xfId="26215" xr:uid="{FE9E6BF6-ABB1-4FB5-8C99-CD85543C24B1}"/>
    <cellStyle name="010 2 3 4 2 2" xfId="38003" xr:uid="{BE943267-7253-4A12-B208-B7F12EFD3A2F}"/>
    <cellStyle name="010 2 3 4 3" xfId="28227" xr:uid="{DF87E3E7-F80D-4BC7-BC19-A0A1E62FA7F1}"/>
    <cellStyle name="010 2 3 5" xfId="9086" xr:uid="{5322E905-D74B-4C3F-9EC7-A04F96BED5F8}"/>
    <cellStyle name="010 2 3 5 2" xfId="26216" xr:uid="{6548D8DB-1AC5-4862-B07B-1F5A8EC7909C}"/>
    <cellStyle name="010 2 3 5 2 2" xfId="38004" xr:uid="{2D7018D5-455F-42CF-B2B3-D3F1FA3575FF}"/>
    <cellStyle name="010 2 3 5 3" xfId="28228" xr:uid="{AF5A4603-3735-4D71-BC65-4BCCD909983E}"/>
    <cellStyle name="010 2 3 6" xfId="9087" xr:uid="{A410371C-750D-4654-B3FE-964F250D8707}"/>
    <cellStyle name="010 2 3 6 2" xfId="26217" xr:uid="{DE1ECC7F-8103-4302-AC66-5B5254903507}"/>
    <cellStyle name="010 2 3 6 2 2" xfId="38005" xr:uid="{AE01E1C6-FF32-492F-B75C-9BFCB8B69603}"/>
    <cellStyle name="010 2 3 6 3" xfId="28229" xr:uid="{78417BE0-45BF-4E4F-96B2-E1C036F85765}"/>
    <cellStyle name="010 2 3 7" xfId="9088" xr:uid="{3BC17FAC-6B7A-4823-8E86-41F5603820EC}"/>
    <cellStyle name="010 2 3 7 2" xfId="26218" xr:uid="{D2A37952-C469-4046-A0BC-FCC8A00FDD5B}"/>
    <cellStyle name="010 2 3 7 2 2" xfId="38006" xr:uid="{E2912229-1F24-467A-985E-B3D900579D6F}"/>
    <cellStyle name="010 2 3 7 3" xfId="28230" xr:uid="{067CC4EC-0905-4552-A1DA-088CE9FCDBF9}"/>
    <cellStyle name="010 2 3 8" xfId="9089" xr:uid="{642612DA-F452-4114-92B7-A82BECC1400B}"/>
    <cellStyle name="010 2 3 8 2" xfId="26219" xr:uid="{C7778AA9-11D3-4EA9-A7F1-C535019067DF}"/>
    <cellStyle name="010 2 3 8 2 2" xfId="38007" xr:uid="{4BBCFD72-DB3E-4DA7-8358-2AAF22AD4858}"/>
    <cellStyle name="010 2 3 8 3" xfId="28231" xr:uid="{7F82A78A-F55C-4A9D-808B-7AEDB4D5A5B1}"/>
    <cellStyle name="010 2 3 9" xfId="9090" xr:uid="{B9A02364-ABB1-4A6D-838C-911527EB6711}"/>
    <cellStyle name="010 2 3 9 2" xfId="26220" xr:uid="{9AD8E87D-7919-4069-9402-9F69A5D38D5A}"/>
    <cellStyle name="010 2 3 9 2 2" xfId="38008" xr:uid="{F37506FC-CDD1-4DF8-8E39-985047815B43}"/>
    <cellStyle name="010 2 3 9 3" xfId="28232" xr:uid="{D9981207-05DD-4841-B8B9-286D01FBD5B1}"/>
    <cellStyle name="010 2 4" xfId="9091" xr:uid="{FFFABB70-4A2C-4BBB-8996-A35B5E625843}"/>
    <cellStyle name="010 2 4 2" xfId="26221" xr:uid="{054159E0-76B4-4336-BBD3-D12AAEE3D38B}"/>
    <cellStyle name="010 2 4 2 2" xfId="38009" xr:uid="{EFF7B2F5-A92E-4ABC-8A07-7E348DA90CBE}"/>
    <cellStyle name="010 2 4 3" xfId="28233" xr:uid="{E709AEA1-A2ED-49CC-8D3B-668067984E61}"/>
    <cellStyle name="010 2 5" xfId="9092" xr:uid="{2521B5FE-D444-4343-9966-9B217E548764}"/>
    <cellStyle name="010 2 5 2" xfId="26222" xr:uid="{27D214F6-9196-4DC8-8FF5-A05B464ADD45}"/>
    <cellStyle name="010 2 5 2 2" xfId="38010" xr:uid="{B040D28F-C9F6-4CBD-B8CD-EBACE1BD6534}"/>
    <cellStyle name="010 2 5 3" xfId="28234" xr:uid="{F9EE7812-3869-4732-871A-17B7EE46CE67}"/>
    <cellStyle name="010 2 6" xfId="9093" xr:uid="{336568DE-DBDF-483C-81EE-A3C055919BF7}"/>
    <cellStyle name="010 2 6 2" xfId="26223" xr:uid="{B5FBCB48-C73F-4E9A-B21D-F8CF60B5FF55}"/>
    <cellStyle name="010 2 6 2 2" xfId="38011" xr:uid="{D4D0A512-A9CD-49A0-827A-15B22FC9C563}"/>
    <cellStyle name="010 2 6 3" xfId="28235" xr:uid="{52363186-7921-43EB-8BDA-7FE3CF2464EB}"/>
    <cellStyle name="010 2 7" xfId="9094" xr:uid="{3C1B8B8C-2E44-4E88-A897-228FC0ED756E}"/>
    <cellStyle name="010 2 7 2" xfId="26224" xr:uid="{3DB3B2B5-E315-4088-AC22-6D14968E4884}"/>
    <cellStyle name="010 2 7 2 2" xfId="38012" xr:uid="{1528DCEF-2A09-4C4B-8C1C-86ABE2EEA5E6}"/>
    <cellStyle name="010 2 7 3" xfId="28236" xr:uid="{92A834CB-F4D6-44DB-9F8B-BC37918F7644}"/>
    <cellStyle name="010 2 8" xfId="9095" xr:uid="{424D5634-4797-44A6-81F3-DD059F2D592A}"/>
    <cellStyle name="010 2 8 2" xfId="26225" xr:uid="{48890CD5-1CD3-4D09-8D43-C6AEE3BDE0CF}"/>
    <cellStyle name="010 2 8 2 2" xfId="38013" xr:uid="{13A092C8-52DE-428A-A7AB-395F638AF847}"/>
    <cellStyle name="010 2 8 3" xfId="28237" xr:uid="{01BE13B0-981B-4CEF-895E-D9AB13F1D7BC}"/>
    <cellStyle name="010 2 9" xfId="26182" xr:uid="{C1BED478-157D-41AA-82CC-42933681F49B}"/>
    <cellStyle name="010 2 9 2" xfId="37970" xr:uid="{094D44A7-D830-4D3A-90EA-5AAEE2887A78}"/>
    <cellStyle name="010 3" xfId="9096" xr:uid="{04223321-623A-47EE-970E-6363AD79E3CB}"/>
    <cellStyle name="010 3 2" xfId="9097" xr:uid="{A405A79D-1018-4C09-BD17-5794E3A086B4}"/>
    <cellStyle name="010 3 2 10" xfId="9098" xr:uid="{B1DB545D-C4F2-4F4C-93B1-D6A56AA55DA5}"/>
    <cellStyle name="010 3 2 10 2" xfId="26228" xr:uid="{AD58571F-44B4-4AEF-B47F-51C461012859}"/>
    <cellStyle name="010 3 2 10 2 2" xfId="38016" xr:uid="{ADF31533-75C1-4C79-987E-CFA08BAEAC26}"/>
    <cellStyle name="010 3 2 10 3" xfId="28240" xr:uid="{F316C0F4-1B6F-4F48-888A-895F9893C17E}"/>
    <cellStyle name="010 3 2 11" xfId="9099" xr:uid="{65D68DEB-A2AC-4842-B57C-D7725858FF66}"/>
    <cellStyle name="010 3 2 11 2" xfId="26229" xr:uid="{6FC42F6E-ADD1-4ECB-B8A2-770DBBDEBF66}"/>
    <cellStyle name="010 3 2 11 2 2" xfId="38017" xr:uid="{16A85D7A-4061-4E9C-A9C4-D2B013B0A667}"/>
    <cellStyle name="010 3 2 11 3" xfId="28241" xr:uid="{089EC4B7-1067-4BE6-935B-334122051188}"/>
    <cellStyle name="010 3 2 12" xfId="9100" xr:uid="{CDB5A82F-562D-4530-AD9D-578D015D13F5}"/>
    <cellStyle name="010 3 2 12 2" xfId="26230" xr:uid="{D51064BB-F5B3-4656-925F-CB267BBC52DF}"/>
    <cellStyle name="010 3 2 12 2 2" xfId="38018" xr:uid="{CE647F9D-1F52-4EA4-B970-C13EB0B46261}"/>
    <cellStyle name="010 3 2 12 3" xfId="28242" xr:uid="{382FF45A-01FB-44F0-BEBC-114853472002}"/>
    <cellStyle name="010 3 2 13" xfId="9101" xr:uid="{618858E2-BB77-4CE2-9D96-A2BB1B67EEAC}"/>
    <cellStyle name="010 3 2 13 2" xfId="26231" xr:uid="{480F3956-1137-4718-A708-881EC76F1BFE}"/>
    <cellStyle name="010 3 2 13 2 2" xfId="38019" xr:uid="{38E460E3-89A3-4E75-9C84-F0906FCB1987}"/>
    <cellStyle name="010 3 2 13 3" xfId="28243" xr:uid="{5F48EF8B-47B4-4F35-9C78-FEA4C2F33303}"/>
    <cellStyle name="010 3 2 14" xfId="9102" xr:uid="{27AEDC65-94EB-45C1-A0D7-49134C800D55}"/>
    <cellStyle name="010 3 2 14 2" xfId="26232" xr:uid="{2C4CBB4E-D4F9-4D09-AA0D-E307CE59C746}"/>
    <cellStyle name="010 3 2 14 2 2" xfId="38020" xr:uid="{99490060-B421-46C3-A132-A708F5E34F83}"/>
    <cellStyle name="010 3 2 14 3" xfId="28244" xr:uid="{D27CEF03-19BF-4A1B-ACAA-32833D25569E}"/>
    <cellStyle name="010 3 2 15" xfId="9103" xr:uid="{DFA872B3-DA4B-4157-ABD8-CE96C28DCE32}"/>
    <cellStyle name="010 3 2 15 2" xfId="26233" xr:uid="{D23CBECF-A148-4342-A841-260F28671E80}"/>
    <cellStyle name="010 3 2 15 2 2" xfId="38021" xr:uid="{64A3340B-1ECA-4BE2-A2C0-2EA9DED5DE88}"/>
    <cellStyle name="010 3 2 15 3" xfId="28245" xr:uid="{396D3DDC-B7DF-4847-B6B8-BD89A26F08B4}"/>
    <cellStyle name="010 3 2 16" xfId="9104" xr:uid="{67628392-9345-4CC8-BD7A-4C48AEBC24F6}"/>
    <cellStyle name="010 3 2 16 2" xfId="26234" xr:uid="{D05FE17E-4842-4CD3-AB7C-C10143501D5A}"/>
    <cellStyle name="010 3 2 16 2 2" xfId="38022" xr:uid="{03844D44-0717-4DFE-B412-F193F5096B9E}"/>
    <cellStyle name="010 3 2 16 3" xfId="28246" xr:uid="{B7B128D0-B133-47A2-A555-70E666DA0624}"/>
    <cellStyle name="010 3 2 17" xfId="26227" xr:uid="{97BD20E9-64C5-4B32-B376-4BD7801E220D}"/>
    <cellStyle name="010 3 2 17 2" xfId="38015" xr:uid="{90AF7ABF-BB4F-4E33-95C4-7209EB997552}"/>
    <cellStyle name="010 3 2 18" xfId="28239" xr:uid="{F01DA11D-EF87-4D5B-9370-DF568894DA15}"/>
    <cellStyle name="010 3 2 2" xfId="9105" xr:uid="{7DBAA393-6E8A-49F3-90CC-4D2996F4EE16}"/>
    <cellStyle name="010 3 2 2 2" xfId="26235" xr:uid="{FAC1D527-A87F-4CD4-AFCA-4FA3F194A573}"/>
    <cellStyle name="010 3 2 2 2 2" xfId="38023" xr:uid="{A2857881-C525-4A05-B202-962036A25AE7}"/>
    <cellStyle name="010 3 2 2 3" xfId="28247" xr:uid="{0DC8D488-98B0-4495-9680-A3BCB21BEAFD}"/>
    <cellStyle name="010 3 2 3" xfId="9106" xr:uid="{30D76E9C-77D4-4F25-BBAC-C19F1024FB8B}"/>
    <cellStyle name="010 3 2 3 2" xfId="26236" xr:uid="{5ADA4162-3F1E-4AD5-9173-4FDC68173721}"/>
    <cellStyle name="010 3 2 3 2 2" xfId="38024" xr:uid="{482CFACD-B641-48F7-907A-7034A6352745}"/>
    <cellStyle name="010 3 2 3 3" xfId="28248" xr:uid="{E07088EA-E3E8-435A-9F57-2C1C06379BB6}"/>
    <cellStyle name="010 3 2 4" xfId="9107" xr:uid="{7D0A62D8-492A-4870-B041-182991730270}"/>
    <cellStyle name="010 3 2 4 2" xfId="26237" xr:uid="{3B646C24-01B2-4AE5-BFC4-329EB7589D16}"/>
    <cellStyle name="010 3 2 4 2 2" xfId="38025" xr:uid="{AA59B8EA-EC1F-4ED6-8591-DF13E8FCAA7A}"/>
    <cellStyle name="010 3 2 4 3" xfId="28249" xr:uid="{F07EE6C3-C258-45A5-BB61-12368869409E}"/>
    <cellStyle name="010 3 2 5" xfId="9108" xr:uid="{AA39FB50-3808-4891-B0EB-05DDFE8A76E5}"/>
    <cellStyle name="010 3 2 5 2" xfId="26238" xr:uid="{39F45C23-507B-466F-BA9E-E5B514F8E5C9}"/>
    <cellStyle name="010 3 2 5 2 2" xfId="38026" xr:uid="{D652E00A-53B8-4917-8F4D-0E1A110D53E9}"/>
    <cellStyle name="010 3 2 5 3" xfId="28250" xr:uid="{3D35F95F-E717-4582-A809-67FE64C472D6}"/>
    <cellStyle name="010 3 2 6" xfId="9109" xr:uid="{F02353F0-46A9-4E7D-B4C1-104882C157AC}"/>
    <cellStyle name="010 3 2 6 2" xfId="26239" xr:uid="{B27F67D1-8931-4379-97DC-ECA188C6660C}"/>
    <cellStyle name="010 3 2 6 2 2" xfId="38027" xr:uid="{3DC19896-C2FA-4683-8809-970409A1155A}"/>
    <cellStyle name="010 3 2 6 3" xfId="28251" xr:uid="{483B7A2D-CC85-48FB-BAA7-2268D8DFC990}"/>
    <cellStyle name="010 3 2 7" xfId="9110" xr:uid="{44EBB86B-6CBC-4A33-B6FB-A4C4331D693F}"/>
    <cellStyle name="010 3 2 7 2" xfId="26240" xr:uid="{1193B481-2933-4177-A94E-EC6064D0FE8E}"/>
    <cellStyle name="010 3 2 7 2 2" xfId="38028" xr:uid="{C34DB0DC-8256-429B-B0CF-F6A09685FD66}"/>
    <cellStyle name="010 3 2 7 3" xfId="28252" xr:uid="{93ED7F19-2423-4A1B-9FBC-5CB92056DDC7}"/>
    <cellStyle name="010 3 2 8" xfId="9111" xr:uid="{E3C6B28B-7B15-4C2A-B4D8-D230A8622748}"/>
    <cellStyle name="010 3 2 8 2" xfId="26241" xr:uid="{0E8F4F34-37CE-4B4F-A9B8-C7DC80D617D5}"/>
    <cellStyle name="010 3 2 8 2 2" xfId="38029" xr:uid="{6992EC14-7CBA-46EF-852C-852A57B4FD13}"/>
    <cellStyle name="010 3 2 8 3" xfId="28253" xr:uid="{C6756035-DD82-49C3-88B6-CBB2CFD91C51}"/>
    <cellStyle name="010 3 2 9" xfId="9112" xr:uid="{4EB37343-0C1F-4CBC-9F57-BFB351E70E0C}"/>
    <cellStyle name="010 3 2 9 2" xfId="26242" xr:uid="{6D541D4F-48EB-4F9E-81EC-6A8A1FFE32BB}"/>
    <cellStyle name="010 3 2 9 2 2" xfId="38030" xr:uid="{D0C238D2-1C06-4B0F-993C-0B72FEE0057C}"/>
    <cellStyle name="010 3 2 9 3" xfId="28254" xr:uid="{99592A48-0265-428C-B28A-46CFA07DC9EF}"/>
    <cellStyle name="010 3 3" xfId="9113" xr:uid="{20B71109-B517-466E-BE06-972905616DDB}"/>
    <cellStyle name="010 3 3 2" xfId="26243" xr:uid="{D8695A30-C558-4429-9115-7540C1F82AD8}"/>
    <cellStyle name="010 3 3 2 2" xfId="38031" xr:uid="{A3FBCDAC-1643-4E3F-9913-EC421EEE15DD}"/>
    <cellStyle name="010 3 3 3" xfId="28255" xr:uid="{74150F84-A4AA-4486-9DAF-8E6AF8D6A675}"/>
    <cellStyle name="010 3 4" xfId="9114" xr:uid="{55FD43BF-3A8F-4A14-8D9A-2090C6F65704}"/>
    <cellStyle name="010 3 4 2" xfId="26244" xr:uid="{60FEEFDD-A269-4871-AD2B-52F66B5C2BE1}"/>
    <cellStyle name="010 3 4 2 2" xfId="38032" xr:uid="{C4BD9F7D-80DB-4EF6-83C7-7AB5E112DABD}"/>
    <cellStyle name="010 3 4 3" xfId="28256" xr:uid="{0BF74615-0345-4989-B9CA-C306DF9248DF}"/>
    <cellStyle name="010 3 5" xfId="9115" xr:uid="{13286CC2-D4EB-45EE-856A-4B62E9FCE90D}"/>
    <cellStyle name="010 3 5 2" xfId="26245" xr:uid="{F3811DD1-C5B8-4036-8A65-462C08A2E1F8}"/>
    <cellStyle name="010 3 5 2 2" xfId="38033" xr:uid="{848788FA-5C54-499E-A2DB-900CD7E70E05}"/>
    <cellStyle name="010 3 5 3" xfId="28257" xr:uid="{407A87DB-F6CB-4EC1-879B-4D1C2B8BA70D}"/>
    <cellStyle name="010 3 6" xfId="9116" xr:uid="{2CCEADD2-4866-4F55-9C53-A15D5A5E101F}"/>
    <cellStyle name="010 3 6 2" xfId="26246" xr:uid="{F7DCA134-3301-4F2A-85AA-4C87A0B38FB0}"/>
    <cellStyle name="010 3 6 2 2" xfId="38034" xr:uid="{7A8B6D1D-9AB0-4D55-9547-5FC1DBA8F438}"/>
    <cellStyle name="010 3 6 3" xfId="28258" xr:uid="{08D703A3-55FF-4105-8897-48A71D979B0F}"/>
    <cellStyle name="010 3 7" xfId="9117" xr:uid="{D6E500B0-84E7-4DA4-A6DC-4C3FC7270DC0}"/>
    <cellStyle name="010 3 7 2" xfId="26247" xr:uid="{11D50C03-93F9-4A9F-9A5A-425CA1421D86}"/>
    <cellStyle name="010 3 7 2 2" xfId="38035" xr:uid="{D16FE075-1FEF-463F-9AF3-6FF8047790D5}"/>
    <cellStyle name="010 3 7 3" xfId="28259" xr:uid="{A544FCE5-A792-400A-BE2B-7B2E76B92FB2}"/>
    <cellStyle name="010 3 8" xfId="26226" xr:uid="{7AD8AF1F-AB09-4E94-96F6-C667431272F1}"/>
    <cellStyle name="010 3 8 2" xfId="38014" xr:uid="{A5E0E6F4-B9D9-479F-A967-7E226B1A8772}"/>
    <cellStyle name="010 3 9" xfId="28238" xr:uid="{8DD61E03-C199-42BF-BC80-764D27AAB2A4}"/>
    <cellStyle name="010 4" xfId="9118" xr:uid="{3974B7B4-426D-4B08-A9BD-B49DEC228F06}"/>
    <cellStyle name="010 4 2" xfId="9119" xr:uid="{8C89E9B0-90B2-44E6-867F-66026BCE848D}"/>
    <cellStyle name="010 4 2 10" xfId="9120" xr:uid="{755D56E1-5932-4CBC-AEA3-46820BCC8753}"/>
    <cellStyle name="010 4 2 10 2" xfId="26250" xr:uid="{028FB0F8-A242-4E53-98DA-F712A36E2F71}"/>
    <cellStyle name="010 4 2 10 2 2" xfId="38038" xr:uid="{20484DA2-09BB-46D1-9077-A515B20F35DC}"/>
    <cellStyle name="010 4 2 10 3" xfId="28262" xr:uid="{4F790FD0-2D45-4B18-AF11-3DD2F7357616}"/>
    <cellStyle name="010 4 2 11" xfId="9121" xr:uid="{8356F01C-C19D-4847-914A-31397CF59FE6}"/>
    <cellStyle name="010 4 2 11 2" xfId="26251" xr:uid="{C7141324-6D98-47B2-B43D-EF023B8059E0}"/>
    <cellStyle name="010 4 2 11 2 2" xfId="38039" xr:uid="{3A88C0B4-8ECA-4F33-AC79-F0666E44AB6F}"/>
    <cellStyle name="010 4 2 11 3" xfId="28263" xr:uid="{FA443AB2-5665-42AF-8B85-2E8ECE6FFF60}"/>
    <cellStyle name="010 4 2 12" xfId="9122" xr:uid="{866CA79F-6480-4530-AFD5-94B2FA16DD1F}"/>
    <cellStyle name="010 4 2 12 2" xfId="26252" xr:uid="{ACAD1565-21E7-437C-9AC3-56AC23614B95}"/>
    <cellStyle name="010 4 2 12 2 2" xfId="38040" xr:uid="{48B5A44C-44DB-4FF9-99CD-A872DF0C551F}"/>
    <cellStyle name="010 4 2 12 3" xfId="28264" xr:uid="{5EB6431B-7331-4E9B-96E9-E84E29A15938}"/>
    <cellStyle name="010 4 2 13" xfId="9123" xr:uid="{2AEACAFC-4BD6-444E-88E3-83AF1B9A2AC6}"/>
    <cellStyle name="010 4 2 13 2" xfId="26253" xr:uid="{E840D118-AED9-4055-9E12-758A5A74A699}"/>
    <cellStyle name="010 4 2 13 2 2" xfId="38041" xr:uid="{F358E845-0AE8-467A-9970-AF174BB082D5}"/>
    <cellStyle name="010 4 2 13 3" xfId="28265" xr:uid="{6CDBE920-E058-4311-9D82-CF610B6A9DB7}"/>
    <cellStyle name="010 4 2 14" xfId="9124" xr:uid="{4E0C7577-E594-48EC-92D5-2FF118690E3E}"/>
    <cellStyle name="010 4 2 14 2" xfId="26254" xr:uid="{CBC4DBD9-9EF9-44DD-B5DF-C1080EC23DF4}"/>
    <cellStyle name="010 4 2 14 2 2" xfId="38042" xr:uid="{2FA8B632-D146-4B18-996F-9686AEC9548D}"/>
    <cellStyle name="010 4 2 14 3" xfId="28266" xr:uid="{235098F3-E9BE-43F2-A316-F8AC6892F4B7}"/>
    <cellStyle name="010 4 2 15" xfId="9125" xr:uid="{B6CE91FE-8F0F-4624-B5C4-28546659DFD0}"/>
    <cellStyle name="010 4 2 15 2" xfId="26255" xr:uid="{E258B740-DCDE-4782-AD46-E0A7FAF29264}"/>
    <cellStyle name="010 4 2 15 2 2" xfId="38043" xr:uid="{D06CA29E-9D53-48F3-BEA6-AF1D4749BB37}"/>
    <cellStyle name="010 4 2 15 3" xfId="28267" xr:uid="{345BBB68-4778-47D9-A8B9-D5CEE56A8704}"/>
    <cellStyle name="010 4 2 16" xfId="9126" xr:uid="{F6819D16-0FE4-4BA9-8AF0-C1CEDCBE6354}"/>
    <cellStyle name="010 4 2 16 2" xfId="26256" xr:uid="{E1B1A14C-DAAD-41A7-8D05-57D6150F20C9}"/>
    <cellStyle name="010 4 2 16 2 2" xfId="38044" xr:uid="{EB01F1E9-89BB-43CC-84C2-51F11C196593}"/>
    <cellStyle name="010 4 2 16 3" xfId="28268" xr:uid="{8EA3A69C-3629-4B24-B1FD-13A199D5B1FD}"/>
    <cellStyle name="010 4 2 17" xfId="26249" xr:uid="{700ACC65-B3CB-4A00-8149-B3130D2D52DF}"/>
    <cellStyle name="010 4 2 17 2" xfId="38037" xr:uid="{48A8F2E0-3B55-489C-A0C2-68EF036CF7C9}"/>
    <cellStyle name="010 4 2 18" xfId="28261" xr:uid="{E0654D06-CA27-43CE-9512-C3CE38627A0F}"/>
    <cellStyle name="010 4 2 2" xfId="9127" xr:uid="{D756DC29-9378-42CA-81BF-FCE51A961252}"/>
    <cellStyle name="010 4 2 2 2" xfId="26257" xr:uid="{4714CBAF-BC10-4B7A-931A-C1D8F7CEFD30}"/>
    <cellStyle name="010 4 2 2 2 2" xfId="38045" xr:uid="{AB281EF5-6395-499A-8BA5-334FF7369D93}"/>
    <cellStyle name="010 4 2 2 3" xfId="28269" xr:uid="{C1335D44-587A-4EAE-836A-5D0B77EA15EF}"/>
    <cellStyle name="010 4 2 3" xfId="9128" xr:uid="{033FD7FE-9709-4C94-B499-6A12D89E5485}"/>
    <cellStyle name="010 4 2 3 2" xfId="26258" xr:uid="{BFC2DE8C-1CB0-4034-B94D-8275A71138A3}"/>
    <cellStyle name="010 4 2 3 2 2" xfId="38046" xr:uid="{78BBF14A-2B22-42B4-B619-106F0C1FA55B}"/>
    <cellStyle name="010 4 2 3 3" xfId="28270" xr:uid="{6113F139-06B3-4483-81C3-D061B67D1EC8}"/>
    <cellStyle name="010 4 2 4" xfId="9129" xr:uid="{B2D815EC-3449-4BF5-9D65-9072B2AC93D4}"/>
    <cellStyle name="010 4 2 4 2" xfId="26259" xr:uid="{107AD9B1-869E-4F47-A0A7-69EB9EF083C9}"/>
    <cellStyle name="010 4 2 4 2 2" xfId="38047" xr:uid="{78A7BDEC-FF3D-44C8-AA6E-7662A2BB55AB}"/>
    <cellStyle name="010 4 2 4 3" xfId="28271" xr:uid="{4307FC18-A2AB-4380-BEE0-990B452CE597}"/>
    <cellStyle name="010 4 2 5" xfId="9130" xr:uid="{BEA34C03-DB16-4583-9CCA-16FD96851BA4}"/>
    <cellStyle name="010 4 2 5 2" xfId="26260" xr:uid="{D56E98A4-0AE9-4A07-A411-E01B1F9F9066}"/>
    <cellStyle name="010 4 2 5 2 2" xfId="38048" xr:uid="{60131AB0-3719-4147-A7FF-3E493C249D57}"/>
    <cellStyle name="010 4 2 5 3" xfId="28272" xr:uid="{2C5C9F48-5791-4A2E-AF8A-418862E71245}"/>
    <cellStyle name="010 4 2 6" xfId="9131" xr:uid="{AA4364F0-2FDA-4187-B9BD-459FE84CAEDA}"/>
    <cellStyle name="010 4 2 6 2" xfId="26261" xr:uid="{59C94496-56D1-4F52-ACBB-07D7D0F0A7A1}"/>
    <cellStyle name="010 4 2 6 2 2" xfId="38049" xr:uid="{89384665-E28F-4643-AE0D-12AAF8DE6E57}"/>
    <cellStyle name="010 4 2 6 3" xfId="28273" xr:uid="{2943BD0E-CD74-420E-9D99-15C1CFB03159}"/>
    <cellStyle name="010 4 2 7" xfId="9132" xr:uid="{7AA40263-ADCA-4E25-9C2E-3D46BEE68B16}"/>
    <cellStyle name="010 4 2 7 2" xfId="26262" xr:uid="{3FD804AB-F979-4208-B92B-960A2E64CA8F}"/>
    <cellStyle name="010 4 2 7 2 2" xfId="38050" xr:uid="{2357CF9D-BADF-4FB1-9DA6-7C98C8A95910}"/>
    <cellStyle name="010 4 2 7 3" xfId="28274" xr:uid="{1DD7DAEF-DE21-419C-AEEA-FBD3B8C4125F}"/>
    <cellStyle name="010 4 2 8" xfId="9133" xr:uid="{1E063917-5C6A-425C-AB38-B1C8BD5A9F58}"/>
    <cellStyle name="010 4 2 8 2" xfId="26263" xr:uid="{FFD6C96F-F1A4-4773-8A10-30FB2466344B}"/>
    <cellStyle name="010 4 2 8 2 2" xfId="38051" xr:uid="{0F874991-721A-4111-89E2-2D56ACB01A27}"/>
    <cellStyle name="010 4 2 8 3" xfId="28275" xr:uid="{25918714-E3DB-44B2-BD75-5F76B2F8D666}"/>
    <cellStyle name="010 4 2 9" xfId="9134" xr:uid="{8521CB3C-FAB4-4437-BDAB-DED72061FA1F}"/>
    <cellStyle name="010 4 2 9 2" xfId="26264" xr:uid="{4A82E872-72E9-495C-BECA-2660BD5E19C4}"/>
    <cellStyle name="010 4 2 9 2 2" xfId="38052" xr:uid="{A33C9AA5-A330-4093-94C6-26036A59AAA8}"/>
    <cellStyle name="010 4 2 9 3" xfId="28276" xr:uid="{67A01991-F0FC-48F6-BF15-EA2BBB1E90E5}"/>
    <cellStyle name="010 4 3" xfId="9135" xr:uid="{808AC67F-665B-4C62-900A-18F199FCAB0D}"/>
    <cellStyle name="010 4 3 2" xfId="26265" xr:uid="{5D55CAB8-8D1B-40B5-BB8E-8DBF51BB64D6}"/>
    <cellStyle name="010 4 3 2 2" xfId="38053" xr:uid="{155D9CDC-D4CE-4B7D-9276-B1CE6E51850F}"/>
    <cellStyle name="010 4 3 3" xfId="28277" xr:uid="{C837DF37-8FEF-4912-BA39-A0D10D5F4566}"/>
    <cellStyle name="010 4 4" xfId="9136" xr:uid="{3E8D4DFB-BFBF-4CAA-B99D-865FE1555917}"/>
    <cellStyle name="010 4 4 2" xfId="26266" xr:uid="{580A75E7-0BF9-4BAD-8B6F-0DD6D98266E9}"/>
    <cellStyle name="010 4 4 2 2" xfId="38054" xr:uid="{7152158F-AE4F-4EA8-B600-B65742B7A5BE}"/>
    <cellStyle name="010 4 4 3" xfId="28278" xr:uid="{4D3C41E1-3A5D-4FDF-B7AC-918E859B8403}"/>
    <cellStyle name="010 4 5" xfId="9137" xr:uid="{5C4F0B30-E789-403E-929C-FEE136C00345}"/>
    <cellStyle name="010 4 5 2" xfId="26267" xr:uid="{F9C4CB91-3B02-48A9-9F5E-62120A4F8B25}"/>
    <cellStyle name="010 4 5 2 2" xfId="38055" xr:uid="{4FB01B47-AB8A-4D8E-B16D-A02C72E9DF2A}"/>
    <cellStyle name="010 4 5 3" xfId="28279" xr:uid="{7C46E280-0338-47E4-97B3-C2920FD05F39}"/>
    <cellStyle name="010 4 6" xfId="9138" xr:uid="{5E020AA4-ADDC-4D08-8E4F-19BBA680AF14}"/>
    <cellStyle name="010 4 6 2" xfId="26268" xr:uid="{8E1D6F03-1E12-45E7-9A71-D53D92BE68DD}"/>
    <cellStyle name="010 4 6 2 2" xfId="38056" xr:uid="{64D0BB43-500E-4F09-B613-DA781BAB01A4}"/>
    <cellStyle name="010 4 6 3" xfId="28280" xr:uid="{2812D60E-0C9C-4A70-A058-62CB337B212E}"/>
    <cellStyle name="010 4 7" xfId="9139" xr:uid="{B53F9E1B-F19C-470E-B7B8-B461706DFAA5}"/>
    <cellStyle name="010 4 7 2" xfId="26269" xr:uid="{65F261DB-B03C-438E-B744-83F3ADCE9DE0}"/>
    <cellStyle name="010 4 7 2 2" xfId="38057" xr:uid="{BEA444EB-6A2C-43BC-B28E-23750CF0F3BF}"/>
    <cellStyle name="010 4 7 3" xfId="28281" xr:uid="{E510F9F7-8BEA-4590-9384-8C6ADCF77486}"/>
    <cellStyle name="010 4 8" xfId="26248" xr:uid="{9DC6D160-9579-44E7-97B8-0C0C85C31313}"/>
    <cellStyle name="010 4 8 2" xfId="38036" xr:uid="{E0ABE22C-FF2F-4D5D-8D91-1B3E8BAC911D}"/>
    <cellStyle name="010 4 9" xfId="28260" xr:uid="{D5B9C113-E94D-48B3-B416-32CEBE6B2654}"/>
    <cellStyle name="010 5" xfId="9140" xr:uid="{D3D11979-1EFA-4499-95C2-EA6A7891C2EB}"/>
    <cellStyle name="010 5 10" xfId="9141" xr:uid="{49C02390-DAB0-4CF1-BD15-76441DD3A68D}"/>
    <cellStyle name="010 5 10 2" xfId="26271" xr:uid="{596CCB58-EE31-466F-911F-DDEFAF1281B9}"/>
    <cellStyle name="010 5 10 2 2" xfId="38059" xr:uid="{F845FF4A-41B6-4D66-B371-26D38928B6BE}"/>
    <cellStyle name="010 5 10 3" xfId="28283" xr:uid="{596B4BD6-1FB4-48C7-872B-CC7EB65699A2}"/>
    <cellStyle name="010 5 11" xfId="9142" xr:uid="{A7FFCE6B-1245-4E3C-AB28-09DFFBC23830}"/>
    <cellStyle name="010 5 11 2" xfId="26272" xr:uid="{0780D472-804D-4FED-A46F-EA856D8E85AC}"/>
    <cellStyle name="010 5 11 2 2" xfId="38060" xr:uid="{343CDAF7-6E57-493B-A09E-B4BAC7EE58E9}"/>
    <cellStyle name="010 5 11 3" xfId="28284" xr:uid="{B31DED07-3FC9-4902-9FE2-76229FC316F1}"/>
    <cellStyle name="010 5 12" xfId="9143" xr:uid="{CC58DF7D-B397-4F8D-8929-47A49E2D503C}"/>
    <cellStyle name="010 5 12 2" xfId="26273" xr:uid="{F9A27F05-D8F5-4D60-9033-78198DD69D99}"/>
    <cellStyle name="010 5 12 2 2" xfId="38061" xr:uid="{4B7C2DF0-ECA0-40AC-B0B2-04D8BEE23C58}"/>
    <cellStyle name="010 5 12 3" xfId="28285" xr:uid="{970EC685-FA32-42FA-BD80-37AD13C52418}"/>
    <cellStyle name="010 5 13" xfId="9144" xr:uid="{5404236C-35AE-44B1-945E-A4AEDB87BCE8}"/>
    <cellStyle name="010 5 13 2" xfId="26274" xr:uid="{EAC12D23-C90F-4E34-B7E1-F50DCCF0507C}"/>
    <cellStyle name="010 5 13 2 2" xfId="38062" xr:uid="{E35EC324-743E-46E3-9CF1-33E98A00165E}"/>
    <cellStyle name="010 5 13 3" xfId="28286" xr:uid="{52F3B031-BA27-4DA1-B7F3-616B190CCDE0}"/>
    <cellStyle name="010 5 14" xfId="9145" xr:uid="{52EB235D-AFEF-40A9-8E5B-2EC80333FCED}"/>
    <cellStyle name="010 5 14 2" xfId="26275" xr:uid="{3BF02214-A833-4ED6-BCEF-9854997B8180}"/>
    <cellStyle name="010 5 14 2 2" xfId="38063" xr:uid="{EA0BD428-16A7-487E-B61B-933D717DF2DF}"/>
    <cellStyle name="010 5 14 3" xfId="28287" xr:uid="{74335F62-A8E5-4377-A437-3C34ED250682}"/>
    <cellStyle name="010 5 15" xfId="9146" xr:uid="{EFD94624-3DE1-41BD-A915-026A42ED3209}"/>
    <cellStyle name="010 5 15 2" xfId="26276" xr:uid="{E9A71872-BF5F-4B3C-90E1-B58FF61C4044}"/>
    <cellStyle name="010 5 15 2 2" xfId="38064" xr:uid="{E7903D0C-6ED8-4FAF-919F-FD91289417C1}"/>
    <cellStyle name="010 5 15 3" xfId="28288" xr:uid="{BB09E6CF-2BA1-4158-8A85-7CEB81B35BD7}"/>
    <cellStyle name="010 5 16" xfId="9147" xr:uid="{AF813223-5C16-400C-9BBE-C52DAA636936}"/>
    <cellStyle name="010 5 16 2" xfId="26277" xr:uid="{D8C33A9D-F4DD-4176-9B6D-60F1676B50AC}"/>
    <cellStyle name="010 5 16 2 2" xfId="38065" xr:uid="{8AB509BA-929E-437A-B4FF-4C8E1FBD71EF}"/>
    <cellStyle name="010 5 16 3" xfId="28289" xr:uid="{401A60CB-11D3-4013-90CF-6CC745754121}"/>
    <cellStyle name="010 5 17" xfId="26270" xr:uid="{57BFCB68-56DB-4E76-BFCB-6A1CEBC9DD0A}"/>
    <cellStyle name="010 5 17 2" xfId="38058" xr:uid="{1F218ACC-CE61-4B00-AA2A-E82090F6015B}"/>
    <cellStyle name="010 5 18" xfId="28282" xr:uid="{4FF9EF74-2CA2-44A5-9F57-E3E4E0E49D80}"/>
    <cellStyle name="010 5 2" xfId="9148" xr:uid="{382753EA-AD7D-4FDB-90BC-0F772EB4FBB8}"/>
    <cellStyle name="010 5 2 2" xfId="26278" xr:uid="{AE3D4A46-2FAB-408B-8876-396C4975BE7B}"/>
    <cellStyle name="010 5 2 2 2" xfId="38066" xr:uid="{B2D5DC69-E570-426F-915B-CA04AA816E2F}"/>
    <cellStyle name="010 5 2 3" xfId="28290" xr:uid="{4320F0CB-74B7-4909-8FC4-80E85A7EFB9C}"/>
    <cellStyle name="010 5 3" xfId="9149" xr:uid="{4E72218D-704D-42F0-8203-910A4CF42CBE}"/>
    <cellStyle name="010 5 3 2" xfId="26279" xr:uid="{2D82AFDB-C912-46DA-A7C2-DA7F633103E9}"/>
    <cellStyle name="010 5 3 2 2" xfId="38067" xr:uid="{5F629F62-5770-4301-8E61-F47B2BCF6922}"/>
    <cellStyle name="010 5 3 3" xfId="28291" xr:uid="{9E29220A-07E1-4A9A-B4BD-63B5A31E7E05}"/>
    <cellStyle name="010 5 4" xfId="9150" xr:uid="{AB5767D5-37CD-4CEF-B205-9F8CC827B05B}"/>
    <cellStyle name="010 5 4 2" xfId="26280" xr:uid="{747EDE75-85FC-4C3A-921F-79BC12BA9D56}"/>
    <cellStyle name="010 5 4 2 2" xfId="38068" xr:uid="{99BE7ED0-1957-40FC-B9CA-4E309EBCF7FB}"/>
    <cellStyle name="010 5 4 3" xfId="28292" xr:uid="{AA4C416C-EACB-4D2D-B4E2-59324796B49B}"/>
    <cellStyle name="010 5 5" xfId="9151" xr:uid="{76D7B6CB-94E2-46A6-B776-FFFC7C1F15ED}"/>
    <cellStyle name="010 5 5 2" xfId="26281" xr:uid="{0448EBA6-FBF4-4FB4-BC3A-854A0592E141}"/>
    <cellStyle name="010 5 5 2 2" xfId="38069" xr:uid="{3A543B2D-5644-4853-A22F-D19A1C1AC0DA}"/>
    <cellStyle name="010 5 5 3" xfId="28293" xr:uid="{3627911A-95A2-41AF-ACBC-083CD8C40E4F}"/>
    <cellStyle name="010 5 6" xfId="9152" xr:uid="{93FD1F17-B66B-421C-8A01-CA62A0BECB39}"/>
    <cellStyle name="010 5 6 2" xfId="26282" xr:uid="{13232E51-5AAF-46E6-9393-E9246870295E}"/>
    <cellStyle name="010 5 6 2 2" xfId="38070" xr:uid="{9059CA58-1FEC-459F-9F0F-25954DB7B841}"/>
    <cellStyle name="010 5 6 3" xfId="28294" xr:uid="{20DDE6AD-0186-46BA-A351-B77CCC39341E}"/>
    <cellStyle name="010 5 7" xfId="9153" xr:uid="{01D7ED36-70A1-4773-9A09-74A135FB6550}"/>
    <cellStyle name="010 5 7 2" xfId="26283" xr:uid="{32287097-1524-4B6C-B0FC-16C728619EEF}"/>
    <cellStyle name="010 5 7 2 2" xfId="38071" xr:uid="{B0772722-80A0-4269-8C2A-B43B287C201D}"/>
    <cellStyle name="010 5 7 3" xfId="28295" xr:uid="{9D50CF88-2A9B-460D-921A-2F59DB956F21}"/>
    <cellStyle name="010 5 8" xfId="9154" xr:uid="{D5EF5142-0708-4F7D-B8BC-1F7B97A94AB0}"/>
    <cellStyle name="010 5 8 2" xfId="26284" xr:uid="{85B64584-ECD9-4EDE-BA5C-E5380360B10B}"/>
    <cellStyle name="010 5 8 2 2" xfId="38072" xr:uid="{EC076310-28D7-48F7-A342-6A8504D1F421}"/>
    <cellStyle name="010 5 8 3" xfId="28296" xr:uid="{524FDF50-EA41-4062-85B7-C53349D40052}"/>
    <cellStyle name="010 5 9" xfId="9155" xr:uid="{5ACA0D48-C4B5-44DE-8147-7BB18787BD9F}"/>
    <cellStyle name="010 5 9 2" xfId="26285" xr:uid="{971F11BB-04B9-4D0E-A878-454ECB629C79}"/>
    <cellStyle name="010 5 9 2 2" xfId="38073" xr:uid="{B66DB7A6-97E3-4C47-ABBA-561A3DACC4FA}"/>
    <cellStyle name="010 5 9 3" xfId="28297" xr:uid="{872A89D5-8094-4CBA-8FA4-51ABE00D5383}"/>
    <cellStyle name="010 6" xfId="9156" xr:uid="{8476DE6B-E78D-4E33-841F-579B3A59C501}"/>
    <cellStyle name="010 6 2" xfId="26286" xr:uid="{2B430726-CAFC-4E2C-9968-036F11B80FAF}"/>
    <cellStyle name="010 6 2 2" xfId="38074" xr:uid="{F81CA447-5067-425E-9E0C-752FC92200D9}"/>
    <cellStyle name="010 6 3" xfId="28298" xr:uid="{0269CD70-DFC0-45D8-96C8-560F9369B873}"/>
    <cellStyle name="010 7" xfId="9157" xr:uid="{17D49056-9BA8-406D-A3F1-BABE7147775F}"/>
    <cellStyle name="010 7 2" xfId="26287" xr:uid="{08817B57-0DEF-4FEF-976E-54BE6E7269E3}"/>
    <cellStyle name="010 7 2 2" xfId="38075" xr:uid="{20AB321A-D24C-40C7-B168-4EB729A7D865}"/>
    <cellStyle name="010 7 3" xfId="28299" xr:uid="{0913E556-31AA-4801-993A-549AB6C857E8}"/>
    <cellStyle name="010 8" xfId="9158" xr:uid="{2E91DB79-BE88-4222-883D-18A40E6613E6}"/>
    <cellStyle name="010 8 2" xfId="26288" xr:uid="{6592A762-4CCE-44DA-BAE3-812725DB64B9}"/>
    <cellStyle name="010 8 2 2" xfId="38076" xr:uid="{39369081-A2EA-49E4-9989-CBF118BD94C3}"/>
    <cellStyle name="010 8 3" xfId="28300" xr:uid="{F4B430F1-C479-4CDD-B4AA-5277DABE1BF5}"/>
    <cellStyle name="010 9" xfId="9159" xr:uid="{15BA87FB-4539-4856-96F2-F71AD57D3AEB}"/>
    <cellStyle name="010 9 2" xfId="26289" xr:uid="{4A58C4D1-9965-4D95-A9EC-D37E4256CF02}"/>
    <cellStyle name="010 9 2 2" xfId="38077" xr:uid="{45205DAD-9DE2-4C85-8B05-12E12A35B32A}"/>
    <cellStyle name="010 9 3" xfId="28301" xr:uid="{3C320FA5-572C-422A-8880-47FF496BDBF8}"/>
    <cellStyle name="0付き数字" xfId="9160" xr:uid="{F54A46D2-8ACA-40D9-B8C0-2CBD9A87F355}"/>
    <cellStyle name="0付き数字 2" xfId="9161" xr:uid="{D36C2ACD-5E32-485A-9567-36802A8974F7}"/>
    <cellStyle name="0付き数字 2 2" xfId="9162" xr:uid="{FAB7694C-6531-481F-8DB4-0D86A9C572FF}"/>
    <cellStyle name="0付き数字 2 2 2" xfId="9163" xr:uid="{8A43B506-0476-47ED-99B0-7F7A156607F2}"/>
    <cellStyle name="0付き数字 2 3" xfId="9164" xr:uid="{3B8F6562-A73B-4DFC-9823-244B72819EF7}"/>
    <cellStyle name="0付き数字 3" xfId="9165" xr:uid="{F97539A8-87AF-460A-A2DF-B2707A655099}"/>
    <cellStyle name="0付き数字?_x0008_??" xfId="9166" xr:uid="{93B64D29-F4D8-4894-8F55-CBA5569B4EAD}"/>
    <cellStyle name="0付き数字?_x0008_?? 2" xfId="9167" xr:uid="{2D0F8C91-C2D1-4CCF-8ABD-581A9DEDC8CF}"/>
    <cellStyle name="1eoDA2_?A°a?μAoC\" xfId="9168" xr:uid="{7F6D4AD0-E1BB-4AAF-9286-05A1FE0EA902}"/>
    <cellStyle name="¹éºÐÀ²_±âÅ¸" xfId="9169" xr:uid="{BED3ED13-6818-41ED-B118-FECC2A2C1F8F}"/>
    <cellStyle name="1eoDA2_°a?μAoC\" xfId="9170" xr:uid="{88E6CC08-5D32-44ED-8187-7A822F833624}"/>
    <cellStyle name="¹éºÐÀ²_°æ¿µÁöÇ¥" xfId="9171" xr:uid="{B42D9F94-2E19-4EDE-8D12-1A64EC643A29}"/>
    <cellStyle name="20 % - Accent1" xfId="9172" xr:uid="{2DDC8CEC-064A-446B-AAA2-F0000F875D38}"/>
    <cellStyle name="20 % - Accent1 2" xfId="9173" xr:uid="{DB05FB1A-039A-4D6B-889B-E9DC5BD29441}"/>
    <cellStyle name="20 % - Accent2" xfId="9174" xr:uid="{3EBE9823-B2C6-4046-AE9B-BFACBA3FBCFE}"/>
    <cellStyle name="20 % - Accent2 2" xfId="9175" xr:uid="{ADEBDCF4-36E0-4555-9360-28F78B88F2B5}"/>
    <cellStyle name="20 % - Accent3" xfId="9176" xr:uid="{B4C7BD12-DC77-4293-B95B-B5F8C539D031}"/>
    <cellStyle name="20 % - Accent3 2" xfId="9177" xr:uid="{30327385-E78D-4046-9A91-9C2E981950AD}"/>
    <cellStyle name="20 % - Accent4" xfId="9178" xr:uid="{7AAAE52C-1BDA-44BA-90F4-F4BB30986A02}"/>
    <cellStyle name="20 % - Accent4 2" xfId="9179" xr:uid="{6EA17BF9-800F-4AA1-BC49-01C3023F9676}"/>
    <cellStyle name="20 % - Accent5" xfId="9180" xr:uid="{9A2D84C8-9508-48A8-BB62-CA414AC2CC42}"/>
    <cellStyle name="20 % - Accent5 2" xfId="9181" xr:uid="{CF5786C0-786A-4226-B950-CDDC79AE3DBF}"/>
    <cellStyle name="20 % - Accent6" xfId="9182" xr:uid="{1C9D9411-0C88-4143-A997-35AA06ACDAE9}"/>
    <cellStyle name="20 % - Accent6 2" xfId="9183" xr:uid="{A310577B-5E7F-4178-8B58-192C2EFB9F34}"/>
    <cellStyle name="20% - Accent1 2" xfId="9185" xr:uid="{9F757064-52A7-4268-83DA-AF96CE7AF298}"/>
    <cellStyle name="20% - Accent1 2 2" xfId="9186" xr:uid="{31E00B52-E211-423D-95ED-A7E60D18608D}"/>
    <cellStyle name="20% - Accent1 2 3" xfId="9187" xr:uid="{DACD050F-FA06-4580-B79E-E4FF235937BB}"/>
    <cellStyle name="20% - Accent1 3" xfId="9188" xr:uid="{BD8F9D61-6EE0-4DD8-B546-C1B9B373A8AE}"/>
    <cellStyle name="20% - Accent1 3 2" xfId="9189" xr:uid="{428FFE2D-4428-417F-9441-754A537E13D7}"/>
    <cellStyle name="20% - Accent1 4" xfId="9190" xr:uid="{4953CC55-7469-49E2-A3F3-DC978FB61C6D}"/>
    <cellStyle name="20% - Accent1 4 2" xfId="9191" xr:uid="{876D0C0B-342E-43B9-9FD7-17A2B34575D0}"/>
    <cellStyle name="20% - Accent1 4 3" xfId="9192" xr:uid="{6B92DACD-F96D-4A54-A46C-B8FE0CD8AD7F}"/>
    <cellStyle name="20% - Accent1 4 4" xfId="9193" xr:uid="{D8589E54-398C-4D92-B134-43408F8B5A96}"/>
    <cellStyle name="20% - Accent1 5" xfId="9194" xr:uid="{EC2183F6-EEA5-42C1-AE89-2C3DD7008BC0}"/>
    <cellStyle name="20% - Accent1 5 2" xfId="9195" xr:uid="{33CE9487-435C-4BA6-875F-B2ED91FBF1CF}"/>
    <cellStyle name="20% - Accent1 5 3" xfId="9196" xr:uid="{B97BD34E-68FA-458B-8004-EEBA6AFBAD49}"/>
    <cellStyle name="20% - Accent1 6" xfId="9197" xr:uid="{FCC280CB-C11E-4BFF-878B-634AE145852D}"/>
    <cellStyle name="20% - Accent1 7" xfId="9198" xr:uid="{3B35C757-F6FA-4984-9A2F-FB7472F7C529}"/>
    <cellStyle name="20% - Accent1 8" xfId="9199" xr:uid="{FCF4DC58-5D2A-4056-BEF1-10A1567FDD6E}"/>
    <cellStyle name="20% - Accent1 9" xfId="9184" xr:uid="{EDABD751-AC80-484A-A51E-BA479A99E1DE}"/>
    <cellStyle name="20% - Accent2 2" xfId="9201" xr:uid="{2C0B0814-247B-4102-BD8E-C0C1B477D2B7}"/>
    <cellStyle name="20% - Accent2 2 2" xfId="9202" xr:uid="{1CA430C5-6B6B-4B80-A263-1EA2A4ADBF37}"/>
    <cellStyle name="20% - Accent2 2 3" xfId="9203" xr:uid="{D8AD6B7F-F647-4894-A309-5E0942915DDA}"/>
    <cellStyle name="20% - Accent2 3" xfId="9204" xr:uid="{A8487C49-815D-4957-834D-71433EA3B7D0}"/>
    <cellStyle name="20% - Accent2 3 2" xfId="9205" xr:uid="{4F349F76-64DB-400C-BCB3-1D9BC4BC394E}"/>
    <cellStyle name="20% - Accent2 4" xfId="9206" xr:uid="{0B4A82C9-7B2B-4F31-80D4-2802F8E7A8C1}"/>
    <cellStyle name="20% - Accent2 4 2" xfId="9207" xr:uid="{6331C50F-C636-4573-A4D9-E3B91925D066}"/>
    <cellStyle name="20% - Accent2 4 3" xfId="9208" xr:uid="{77E8C0F1-C1FD-4848-AAC9-960DB698452D}"/>
    <cellStyle name="20% - Accent2 4 4" xfId="9209" xr:uid="{ED21591D-C2AF-434A-8609-15C4087F857F}"/>
    <cellStyle name="20% - Accent2 5" xfId="9210" xr:uid="{12A3E841-AFED-43B1-9083-F8D7ED701FF4}"/>
    <cellStyle name="20% - Accent2 5 2" xfId="9211" xr:uid="{C1F00E5A-E40B-45F5-A129-73A7AEF3D2CE}"/>
    <cellStyle name="20% - Accent2 5 3" xfId="9212" xr:uid="{EEDE818C-A549-4A0B-B177-6827EC774B4F}"/>
    <cellStyle name="20% - Accent2 6" xfId="9213" xr:uid="{7E68FA68-7AEE-490F-851C-C23FF22E220E}"/>
    <cellStyle name="20% - Accent2 7" xfId="9214" xr:uid="{C0149EAD-4D87-4588-BB56-BC7A7FD8A98F}"/>
    <cellStyle name="20% - Accent2 8" xfId="9215" xr:uid="{2A5EA26A-7EDE-4BF8-A4B7-3E01BDE73140}"/>
    <cellStyle name="20% - Accent2 9" xfId="9200" xr:uid="{0C45EAE6-F9D1-4D0F-8F83-93D01809730F}"/>
    <cellStyle name="20% - Accent3 2" xfId="9217" xr:uid="{8CA036D9-A3E4-4839-89D2-133C18E8766D}"/>
    <cellStyle name="20% - Accent3 2 2" xfId="9218" xr:uid="{90EED72B-AA84-4407-8B2F-900AEDD83FBB}"/>
    <cellStyle name="20% - Accent3 2 3" xfId="9219" xr:uid="{6FC4B593-C6D4-45E4-B941-D72D6F795364}"/>
    <cellStyle name="20% - Accent3 3" xfId="9220" xr:uid="{4F354154-69DB-473A-9B43-703A658829F6}"/>
    <cellStyle name="20% - Accent3 3 2" xfId="9221" xr:uid="{482CFC1B-7C89-4EC7-AA00-BFB5653DD02E}"/>
    <cellStyle name="20% - Accent3 4" xfId="9222" xr:uid="{C1E9BD2C-232E-4BD3-9529-9DA744F79157}"/>
    <cellStyle name="20% - Accent3 4 2" xfId="9223" xr:uid="{AEA12FE9-22A2-4E4A-B988-77424DF6585C}"/>
    <cellStyle name="20% - Accent3 4 3" xfId="9224" xr:uid="{0480B417-EE3D-4873-A768-9DF52826943F}"/>
    <cellStyle name="20% - Accent3 4 4" xfId="9225" xr:uid="{244B2670-357C-45A4-8F76-CA44FD18AA5A}"/>
    <cellStyle name="20% - Accent3 5" xfId="9226" xr:uid="{3F334E1C-F5DE-4F79-95E3-AADAF78DBF0C}"/>
    <cellStyle name="20% - Accent3 5 2" xfId="9227" xr:uid="{7E3E4F58-81B4-40DF-B830-902398A68861}"/>
    <cellStyle name="20% - Accent3 5 3" xfId="9228" xr:uid="{A5EE3635-1BAA-4D5D-A5C3-E84581457740}"/>
    <cellStyle name="20% - Accent3 6" xfId="9229" xr:uid="{DD1AF9B4-055E-40AC-A260-115C58229DFA}"/>
    <cellStyle name="20% - Accent3 7" xfId="9230" xr:uid="{4C86E14A-AE9E-4DF5-AE87-F135A06197AB}"/>
    <cellStyle name="20% - Accent3 8" xfId="9231" xr:uid="{C3A552EC-D4EA-4ECB-9FC1-6F4C14A58521}"/>
    <cellStyle name="20% - Accent3 9" xfId="9216" xr:uid="{56E3BB3C-E0D3-4377-9058-6F7A3575D14B}"/>
    <cellStyle name="20% - Accent4 2" xfId="9233" xr:uid="{A8621B1E-E09D-4345-8163-2DD97E71A3D8}"/>
    <cellStyle name="20% - Accent4 2 2" xfId="9234" xr:uid="{630ADA2F-D810-44BC-BF03-9362CD273683}"/>
    <cellStyle name="20% - Accent4 2 3" xfId="9235" xr:uid="{1C8ECF36-F6A5-4EC7-B157-93D219479E4C}"/>
    <cellStyle name="20% - Accent4 3" xfId="9236" xr:uid="{1065BCF2-52ED-455D-972A-63AE28787E40}"/>
    <cellStyle name="20% - Accent4 3 2" xfId="9237" xr:uid="{80F10BDE-94EF-4969-8272-83C9F21FC5DA}"/>
    <cellStyle name="20% - Accent4 4" xfId="9238" xr:uid="{79EB8F87-C8D3-4F57-B9EA-ABEE8EB8FFBB}"/>
    <cellStyle name="20% - Accent4 4 2" xfId="9239" xr:uid="{4CDDC22E-A1E2-44B9-85AD-899845694D98}"/>
    <cellStyle name="20% - Accent4 4 3" xfId="9240" xr:uid="{D3DAB15D-21B0-46AD-B3BC-B8B321624731}"/>
    <cellStyle name="20% - Accent4 4 4" xfId="9241" xr:uid="{54C7EDD5-D63A-4A40-A6E7-16CA631AA973}"/>
    <cellStyle name="20% - Accent4 5" xfId="9242" xr:uid="{0532602C-D8D1-4DB3-886C-E53024AEB702}"/>
    <cellStyle name="20% - Accent4 5 2" xfId="9243" xr:uid="{459D9680-6AF5-440B-B7C4-6C91B09BE58B}"/>
    <cellStyle name="20% - Accent4 5 3" xfId="9244" xr:uid="{0797E021-F33A-4254-91F9-470B937B562C}"/>
    <cellStyle name="20% - Accent4 6" xfId="9245" xr:uid="{4DA0595F-C17D-46C5-8EDB-67769ED58E96}"/>
    <cellStyle name="20% - Accent4 7" xfId="9246" xr:uid="{A711462F-565A-48B4-B75D-49BE5836BE8E}"/>
    <cellStyle name="20% - Accent4 8" xfId="9247" xr:uid="{E97AD0BB-77AF-4B9E-B3F3-BF54D3CAD0C4}"/>
    <cellStyle name="20% - Accent4 9" xfId="9232" xr:uid="{A186A592-F770-4F6F-B01F-7757259D196B}"/>
    <cellStyle name="20% - Accent5 2" xfId="9249" xr:uid="{7FD85AB9-9A91-44A7-AF77-DE0E2CEF9024}"/>
    <cellStyle name="20% - Accent5 2 2" xfId="9250" xr:uid="{72A90F6C-F0ED-4600-BD79-D6DE54A8E99F}"/>
    <cellStyle name="20% - Accent5 3" xfId="9251" xr:uid="{0C3FBDDD-AF8C-4613-B066-F51C4EE152D4}"/>
    <cellStyle name="20% - Accent5 3 2" xfId="9252" xr:uid="{847051B8-56B9-4B17-8825-5A9F75FF78B8}"/>
    <cellStyle name="20% - Accent5 4" xfId="9253" xr:uid="{08BBDB05-4B49-413A-B09C-45F5930E69D9}"/>
    <cellStyle name="20% - Accent5 4 2" xfId="9254" xr:uid="{87D17B19-605A-4380-9666-07E71784D82D}"/>
    <cellStyle name="20% - Accent5 4 3" xfId="9255" xr:uid="{83AED0C5-7BC5-4FC5-9C4E-2D0CE44F18E3}"/>
    <cellStyle name="20% - Accent5 4 4" xfId="9256" xr:uid="{26BAF754-DBD8-4A68-A54D-9664346FA1B8}"/>
    <cellStyle name="20% - Accent5 5" xfId="9257" xr:uid="{AE16ADA1-4DE3-4129-BFCA-B0EA566C3D14}"/>
    <cellStyle name="20% - Accent5 5 2" xfId="9258" xr:uid="{16A23C4A-8E89-48F6-A139-CD60BACA8E37}"/>
    <cellStyle name="20% - Accent5 5 3" xfId="9259" xr:uid="{E130C6EA-FF8A-4039-AE83-F2C25F071A54}"/>
    <cellStyle name="20% - Accent5 6" xfId="9260" xr:uid="{287E4998-765A-4B5B-8620-BA6E2510EF4F}"/>
    <cellStyle name="20% - Accent5 7" xfId="9261" xr:uid="{EA3CA160-0A22-4CAE-9B21-F4BC3E386B74}"/>
    <cellStyle name="20% - Accent5 8" xfId="9248" xr:uid="{6E189058-9EC6-4FEA-9C77-C1CF4D798533}"/>
    <cellStyle name="20% - Accent6 2" xfId="9263" xr:uid="{0DADDB83-9740-4CC3-9FBC-7BB027813044}"/>
    <cellStyle name="20% - Accent6 2 2" xfId="9264" xr:uid="{E5896FE8-87FC-462C-AAFB-56C268F053BE}"/>
    <cellStyle name="20% - Accent6 2 3" xfId="9265" xr:uid="{09593E55-749A-49BC-889D-D25DA62C96E8}"/>
    <cellStyle name="20% - Accent6 3" xfId="9266" xr:uid="{CA180E58-6B96-4C4D-8BA7-E8F1F790D434}"/>
    <cellStyle name="20% - Accent6 3 2" xfId="9267" xr:uid="{013C9024-6BD3-4161-A710-3E5838AE1875}"/>
    <cellStyle name="20% - Accent6 4" xfId="9268" xr:uid="{7927DD1A-3DD5-4D43-930C-6E0E46E1E421}"/>
    <cellStyle name="20% - Accent6 4 2" xfId="9269" xr:uid="{5361A27A-75F2-4878-8844-344ED57A76D8}"/>
    <cellStyle name="20% - Accent6 4 3" xfId="9270" xr:uid="{C865C4B1-8320-4CCB-9B74-9C96A2DB36E8}"/>
    <cellStyle name="20% - Accent6 4 4" xfId="9271" xr:uid="{012353E1-28AD-442E-9D47-FA5344D6269C}"/>
    <cellStyle name="20% - Accent6 5" xfId="9272" xr:uid="{BBEBDE7C-457D-4CDC-A36D-E995EE6EF121}"/>
    <cellStyle name="20% - Accent6 5 2" xfId="9273" xr:uid="{345B0DF0-91B6-4C1D-A01E-1B3898C57DC7}"/>
    <cellStyle name="20% - Accent6 5 3" xfId="9274" xr:uid="{76A78CDF-3CE0-4159-B8A6-FEEE10C8E5A6}"/>
    <cellStyle name="20% - Accent6 6" xfId="9275" xr:uid="{A2E54D30-CBBB-4D57-AC56-0FEFEA8EE6C0}"/>
    <cellStyle name="20% - Accent6 7" xfId="9276" xr:uid="{C2AC1407-7441-4893-9E95-F8E5EDA688C3}"/>
    <cellStyle name="20% - Accent6 8" xfId="9277" xr:uid="{A83257AC-9CEC-4726-A1E8-AE4FCA5380C3}"/>
    <cellStyle name="20% - Accent6 9" xfId="9262" xr:uid="{21D5F682-F983-456C-9A0B-45C71DB6BF6C}"/>
    <cellStyle name="20% - Énfasis1" xfId="9278" xr:uid="{A9FD2C7C-F2E6-4A45-A0B9-6BDDC5E69FE1}"/>
    <cellStyle name="20% - Énfasis2" xfId="9279" xr:uid="{BA32EB66-E446-4C66-ADAA-35A98D565CA1}"/>
    <cellStyle name="20% - Énfasis3" xfId="9280" xr:uid="{3E70C302-96EA-4E76-B06D-10D02C0515D7}"/>
    <cellStyle name="20% - Énfasis4" xfId="9281" xr:uid="{84E933D2-61DE-46F5-89C1-177438146DE1}"/>
    <cellStyle name="20% - Énfasis5" xfId="9282" xr:uid="{A64F7317-7C4F-4599-B918-C3F3027F20FF}"/>
    <cellStyle name="20% - Énfasis6" xfId="9283" xr:uid="{234A9250-7351-4FB8-93A9-1D9DAFE9BD4C}"/>
    <cellStyle name="20% - アクセント 1 10" xfId="9284" xr:uid="{AC546EB9-03E0-46FF-815E-17CCCCB9A25C}"/>
    <cellStyle name="20% - アクセント 1 2" xfId="9285" xr:uid="{0A229701-5CD6-4D1A-9D72-A40FA5E588BC}"/>
    <cellStyle name="20% - アクセント 1 2 2" xfId="9286" xr:uid="{76197D54-05F9-424B-96B8-7D9942C917A8}"/>
    <cellStyle name="20% - アクセント 1 3" xfId="9287" xr:uid="{192862F0-BA0E-4725-9052-87D853201DF9}"/>
    <cellStyle name="20% - アクセント 1 4" xfId="9288" xr:uid="{86F6DD3D-B4AE-471D-A649-F684F44D7A58}"/>
    <cellStyle name="20% - アクセント 1 5" xfId="9289" xr:uid="{17D075D4-BC9F-401C-807D-7DE658AC29A5}"/>
    <cellStyle name="20% - アクセント 1 6" xfId="9290" xr:uid="{AF98E2F6-213E-4CBB-B462-5DE4CEA4FD15}"/>
    <cellStyle name="20% - アクセント 1 7" xfId="9291" xr:uid="{4821DC70-9760-44F5-B1DA-1230F53A523D}"/>
    <cellStyle name="20% - アクセント 1 8" xfId="9292" xr:uid="{81B7E7C8-FEFF-40D9-8C1B-2C127472474C}"/>
    <cellStyle name="20% - アクセント 1 9" xfId="9293" xr:uid="{8084250D-0576-46D3-9830-4049062F8B3B}"/>
    <cellStyle name="20% - アクセント 2 10" xfId="9294" xr:uid="{44B16E74-34B3-4305-8DA2-47EBAB59F9EC}"/>
    <cellStyle name="20% - アクセント 2 2" xfId="9295" xr:uid="{4AA12FFC-BF8B-43BA-81CD-9EDCC7CC80ED}"/>
    <cellStyle name="20% - アクセント 2 2 2" xfId="9296" xr:uid="{FBEAE516-AB4E-47AC-939B-F45B2AF1BDFC}"/>
    <cellStyle name="20% - アクセント 2 3" xfId="9297" xr:uid="{7F97CCA6-5303-40AD-8BC9-56953BFFC28F}"/>
    <cellStyle name="20% - アクセント 2 4" xfId="9298" xr:uid="{BF86836B-1E89-42CE-876D-CE8F412CAED5}"/>
    <cellStyle name="20% - アクセント 2 5" xfId="9299" xr:uid="{0EF47118-F4BC-4517-8EB7-049E8B94656A}"/>
    <cellStyle name="20% - アクセント 2 6" xfId="9300" xr:uid="{9448C722-805A-4E15-A280-47622F1E36FA}"/>
    <cellStyle name="20% - アクセント 2 7" xfId="9301" xr:uid="{B2DC8BB3-81C6-4AA2-A2C1-E388E0B46D03}"/>
    <cellStyle name="20% - アクセント 2 8" xfId="9302" xr:uid="{F4E94196-F405-47C2-BA5A-01E08F08FE1C}"/>
    <cellStyle name="20% - アクセント 2 9" xfId="9303" xr:uid="{4402CC64-D3E9-4ECC-885B-015F693BDED5}"/>
    <cellStyle name="20% - アクセント 3 10" xfId="9304" xr:uid="{8D584F2F-7D27-46F0-B39C-E3A6C2E1BE06}"/>
    <cellStyle name="20% - アクセント 3 2" xfId="9305" xr:uid="{3F5C7D9B-E7F0-4BBE-A8C4-84B607058A97}"/>
    <cellStyle name="20% - アクセント 3 2 2" xfId="9306" xr:uid="{40E4BEF8-2851-48E5-AC6E-B2DFE2ED05EF}"/>
    <cellStyle name="20% - アクセント 3 3" xfId="9307" xr:uid="{626ED56E-1498-4AAC-8246-23C431EF1FF8}"/>
    <cellStyle name="20% - アクセント 3 4" xfId="9308" xr:uid="{5D39F079-E8FA-47FC-8798-8F1FDD26EBB1}"/>
    <cellStyle name="20% - アクセント 3 5" xfId="9309" xr:uid="{DF440C13-C661-4B5F-B535-FC7CA1F036A7}"/>
    <cellStyle name="20% - アクセント 3 6" xfId="9310" xr:uid="{506615D6-5DC2-4F8F-9879-8B93A9F54CC1}"/>
    <cellStyle name="20% - アクセント 3 7" xfId="9311" xr:uid="{E3638205-E6F6-44B3-A1F3-31F795C48FB3}"/>
    <cellStyle name="20% - アクセント 3 8" xfId="9312" xr:uid="{D7834C84-625E-4E79-8255-93C312723C15}"/>
    <cellStyle name="20% - アクセント 3 9" xfId="9313" xr:uid="{0BDA9639-E016-4A3C-AAA7-6FCEC2971556}"/>
    <cellStyle name="20% - アクセント 4 10" xfId="9314" xr:uid="{A4E5B431-C549-46FC-B6C6-A41C246B3CCA}"/>
    <cellStyle name="20% - アクセント 4 2" xfId="9315" xr:uid="{CD9F5697-C8C4-4D7C-B997-610A6942E158}"/>
    <cellStyle name="20% - アクセント 4 2 2" xfId="9316" xr:uid="{9E931171-20E0-47D2-9F46-362522993888}"/>
    <cellStyle name="20% - アクセント 4 3" xfId="9317" xr:uid="{9B68FC48-116C-4A8F-B1F3-24A2B58994E3}"/>
    <cellStyle name="20% - アクセント 4 4" xfId="9318" xr:uid="{7169DE9B-8E9D-455B-9DCF-DCB45CA4EEB1}"/>
    <cellStyle name="20% - アクセント 4 5" xfId="9319" xr:uid="{9F6E30B8-21BA-4C05-AB64-46A9BED62FB2}"/>
    <cellStyle name="20% - アクセント 4 6" xfId="9320" xr:uid="{4605F86A-32C4-4D95-830F-140BD95F6ABE}"/>
    <cellStyle name="20% - アクセント 4 7" xfId="9321" xr:uid="{78C81A45-8D9E-4B09-A41D-5835AB1C223D}"/>
    <cellStyle name="20% - アクセント 4 8" xfId="9322" xr:uid="{4963DB7E-634E-437D-BC32-84CC7AECD0B0}"/>
    <cellStyle name="20% - アクセント 4 9" xfId="9323" xr:uid="{8EF03F56-42A9-410B-948A-D1723FC10E98}"/>
    <cellStyle name="20% - アクセント 5 10" xfId="9324" xr:uid="{471118C1-C30F-4CAC-A67D-EAB1C219E7A0}"/>
    <cellStyle name="20% - アクセント 5 2" xfId="9325" xr:uid="{72A98B1D-98AE-4DC2-ADC5-201FB87F1919}"/>
    <cellStyle name="20% - アクセント 5 2 2" xfId="9326" xr:uid="{E938D597-0C31-4A41-ACC5-C681FEC312B0}"/>
    <cellStyle name="20% - アクセント 5 3" xfId="9327" xr:uid="{8FB4BC8C-EEC8-4B6D-B4F3-FD78EF16758E}"/>
    <cellStyle name="20% - アクセント 5 4" xfId="9328" xr:uid="{AECCCB0D-97DD-40B7-9AEF-BEC2635F68AD}"/>
    <cellStyle name="20% - アクセント 5 5" xfId="9329" xr:uid="{FCF5CE84-928F-4CEB-9CAC-C8E6D1C0BD7F}"/>
    <cellStyle name="20% - アクセント 5 6" xfId="9330" xr:uid="{6818FB69-ABCB-474A-9A29-AC6AE2711EDA}"/>
    <cellStyle name="20% - アクセント 5 7" xfId="9331" xr:uid="{EB221DA7-4A12-4BA9-BE6F-0C5DCBFD2B9C}"/>
    <cellStyle name="20% - アクセント 5 8" xfId="9332" xr:uid="{7EACCBF9-0E2F-4B48-8CCF-A826F34B26BF}"/>
    <cellStyle name="20% - アクセント 5 9" xfId="9333" xr:uid="{F3B2A219-E49D-407D-AA90-1935B8983924}"/>
    <cellStyle name="20% - アクセント 6 10" xfId="9334" xr:uid="{3627F8CC-F75F-4AED-B5C4-1F43D1165C1A}"/>
    <cellStyle name="20% - アクセント 6 2" xfId="9335" xr:uid="{27AE94E0-C634-45A5-906E-0E311D30A5CE}"/>
    <cellStyle name="20% - アクセント 6 2 2" xfId="9336" xr:uid="{8D1CB00C-0637-4E53-8470-9B1563C4946A}"/>
    <cellStyle name="20% - アクセント 6 3" xfId="9337" xr:uid="{9455B78C-87DC-437B-9E5A-209E5E6099B2}"/>
    <cellStyle name="20% - アクセント 6 4" xfId="9338" xr:uid="{ADC98CF7-9F5F-45AB-9694-E6E9A4EE3A6C}"/>
    <cellStyle name="20% - アクセント 6 5" xfId="9339" xr:uid="{EBCB2074-75F9-4787-82E6-A057ECCC5ACA}"/>
    <cellStyle name="20% - アクセント 6 6" xfId="9340" xr:uid="{118D34D0-0FA3-4496-8930-C0336279415E}"/>
    <cellStyle name="20% - アクセント 6 7" xfId="9341" xr:uid="{E1FF9DF7-E206-4C10-923C-A7E6F0CB68B4}"/>
    <cellStyle name="20% - アクセント 6 8" xfId="9342" xr:uid="{59431F8B-6A99-43E0-99DB-D76FE8CE642F}"/>
    <cellStyle name="20% - アクセント 6 9" xfId="9343" xr:uid="{FFD33190-13EB-4B2E-B99D-AB59372943D5}"/>
    <cellStyle name="20% - 强调文字颜色 1" xfId="9344" xr:uid="{BABEF2C4-4CE5-4310-99B8-6EBFC9ACA47A}"/>
    <cellStyle name="20% - 强调文字颜色 1 2" xfId="9345" xr:uid="{F6569FB3-E0B0-4A0B-B852-720C39B28542}"/>
    <cellStyle name="20% - 强调文字颜色 1 2 2" xfId="9346" xr:uid="{B01A1D1D-35A4-4780-995A-7ABDB87C6E5F}"/>
    <cellStyle name="20% - 强调文字颜色 1 2 2 2" xfId="9347" xr:uid="{10F2CA4F-3590-4CC0-AAC2-8A83CC9E86B3}"/>
    <cellStyle name="20% - 强调文字颜色 1 2 2 2 2" xfId="26290" xr:uid="{2AD7B1D9-A667-4BB6-9C63-10A1D4598DE6}"/>
    <cellStyle name="20% - 强调文字颜色 1 2 3" xfId="9348" xr:uid="{CCB8A31D-839E-47E5-9C76-FB45F883F80E}"/>
    <cellStyle name="20% - 强调文字颜色 1 2 4" xfId="9349" xr:uid="{61307E1C-BD85-4760-BFDF-7A2EDBE8E208}"/>
    <cellStyle name="20% - 强调文字颜色 1 2 4 2" xfId="26291" xr:uid="{74BBE929-D8A9-4E86-90A2-8F46065771CB}"/>
    <cellStyle name="20% - 强调文字颜色 1 3" xfId="9350" xr:uid="{7B5DD70B-E0FE-4A6C-A957-C844BFB26B26}"/>
    <cellStyle name="20% - 强调文字颜色 1 3 2" xfId="26292" xr:uid="{BBF4B299-D9BA-47AC-8FA8-A9AC3A3E48E7}"/>
    <cellStyle name="20% - 强调文字颜色 2" xfId="9351" xr:uid="{96C29679-0576-4832-8EC9-16638B094705}"/>
    <cellStyle name="20% - 强调文字颜色 2 2" xfId="9352" xr:uid="{17E6769C-C0B2-4939-8347-B8F797814F99}"/>
    <cellStyle name="20% - 强调文字颜色 2 2 2" xfId="9353" xr:uid="{56DA7621-9C1C-48F3-B0BD-05B37B3AB450}"/>
    <cellStyle name="20% - 强调文字颜色 2 2 2 2" xfId="9354" xr:uid="{AC33DC17-4EE0-4226-ADFB-EE65F56582A6}"/>
    <cellStyle name="20% - 强调文字颜色 2 2 2 2 2" xfId="26293" xr:uid="{9C3C5692-D4B4-4D97-8706-E1D600F3968D}"/>
    <cellStyle name="20% - 强调文字颜色 2 2 3" xfId="9355" xr:uid="{8178008B-97FA-4DCB-9000-024003D6722A}"/>
    <cellStyle name="20% - 强调文字颜色 2 2 4" xfId="9356" xr:uid="{19F81E16-130F-4CB9-8984-77EDE025CF74}"/>
    <cellStyle name="20% - 强调文字颜色 2 2 4 2" xfId="26294" xr:uid="{7AD9C035-6B55-4B76-AE65-889739429487}"/>
    <cellStyle name="20% - 强调文字颜色 2 3" xfId="9357" xr:uid="{E68FC2BD-0716-4A9F-A344-9CCA34EA2984}"/>
    <cellStyle name="20% - 强调文字颜色 2 3 2" xfId="26295" xr:uid="{9CBA2CB3-DD78-4C98-9E17-840395356D44}"/>
    <cellStyle name="20% - 强调文字颜色 3" xfId="9358" xr:uid="{646B69AE-5BB6-461B-85A7-6D5A7969C344}"/>
    <cellStyle name="20% - 强调文字颜色 3 2" xfId="9359" xr:uid="{7E038B5C-5274-44C3-87EF-78895436547D}"/>
    <cellStyle name="20% - 强调文字颜色 3 2 2" xfId="9360" xr:uid="{E1E10523-B6D9-486F-A3D5-6A717F2D23CC}"/>
    <cellStyle name="20% - 强调文字颜色 3 2 2 2" xfId="9361" xr:uid="{E2DDC842-9651-4A1D-A5FB-D27ADDEA70EE}"/>
    <cellStyle name="20% - 强调文字颜色 3 2 2 2 2" xfId="26296" xr:uid="{4EE59552-8F09-41E0-A25D-57ACA9CB3EE4}"/>
    <cellStyle name="20% - 强调文字颜色 3 2 3" xfId="9362" xr:uid="{C8B22994-97C7-41B2-BF31-C7FB0957DE4E}"/>
    <cellStyle name="20% - 强调文字颜色 3 2 4" xfId="9363" xr:uid="{FE676CD3-143B-4DC1-800C-F248EA99DBEC}"/>
    <cellStyle name="20% - 强调文字颜色 3 2 4 2" xfId="26297" xr:uid="{B0B0535A-6B41-42E7-B89B-3327C21CBE9D}"/>
    <cellStyle name="20% - 强调文字颜色 3 3" xfId="9364" xr:uid="{19C0A46F-7DAA-43C0-A5FF-A1395CA77A69}"/>
    <cellStyle name="20% - 强调文字颜色 3 3 2" xfId="26298" xr:uid="{3CF535CC-07D8-49B0-BF15-917035A94A4C}"/>
    <cellStyle name="20% - 强调文字颜色 4" xfId="9365" xr:uid="{005CCAF5-A0B4-464E-BAD0-E427A8EA9812}"/>
    <cellStyle name="20% - 强调文字颜色 4 2" xfId="9366" xr:uid="{DE549B7F-AADF-4B51-AC81-C66BEFB9B60C}"/>
    <cellStyle name="20% - 强调文字颜色 4 2 2" xfId="9367" xr:uid="{D3DE6BEB-7420-433F-A5FF-C57932C0F896}"/>
    <cellStyle name="20% - 强调文字颜色 4 2 2 2" xfId="9368" xr:uid="{3BB82BA9-5F59-41A4-B11F-756CBB82E319}"/>
    <cellStyle name="20% - 强调文字颜色 4 2 2 2 2" xfId="26299" xr:uid="{C41277F7-3D7E-49C3-922D-672E1983F939}"/>
    <cellStyle name="20% - 强调文字颜色 4 2 3" xfId="9369" xr:uid="{1A781C69-29FD-4382-B99A-F409966E98A5}"/>
    <cellStyle name="20% - 强调文字颜色 4 2 4" xfId="9370" xr:uid="{D1D11554-2D66-4554-BBDD-0571A2938453}"/>
    <cellStyle name="20% - 强调文字颜色 4 2 4 2" xfId="26300" xr:uid="{EEF7FEED-B469-441F-AFD1-301EDE9AA40F}"/>
    <cellStyle name="20% - 强调文字颜色 4 3" xfId="9371" xr:uid="{6B18E066-F273-4460-BA2F-DF2AFF3C1ADB}"/>
    <cellStyle name="20% - 强调文字颜色 4 3 2" xfId="26301" xr:uid="{2CBC8C24-C0B9-44FB-81CE-59387BBF23CD}"/>
    <cellStyle name="20% - 强调文字颜色 5" xfId="9372" xr:uid="{B6D59182-A158-4903-8454-DD3F8AB3B031}"/>
    <cellStyle name="20% - 强调文字颜色 5 2" xfId="9373" xr:uid="{C62EA44E-0B09-42F3-8B6E-B5B999669AAE}"/>
    <cellStyle name="20% - 强调文字颜色 5 2 2" xfId="9374" xr:uid="{1862F708-9C8C-44C0-915F-2DB655CAB247}"/>
    <cellStyle name="20% - 强调文字颜色 5 2 2 2" xfId="9375" xr:uid="{CE35D606-F2E4-4B1C-8E81-98453E60B38C}"/>
    <cellStyle name="20% - 强调文字颜色 5 2 2 2 2" xfId="26302" xr:uid="{216C1857-45BD-4DAC-9053-AFC05E020290}"/>
    <cellStyle name="20% - 强调文字颜色 5 2 3" xfId="9376" xr:uid="{4631A9DE-26F6-4AC5-8AF1-C9EADE0A4DA7}"/>
    <cellStyle name="20% - 强调文字颜色 5 2 4" xfId="9377" xr:uid="{ABCD8C22-95DF-4F66-A844-EBD1C9484B58}"/>
    <cellStyle name="20% - 强调文字颜色 5 2 4 2" xfId="26303" xr:uid="{F787CCD3-FC9E-4928-8F59-34818E7D1730}"/>
    <cellStyle name="20% - 强调文字颜色 5 3" xfId="9378" xr:uid="{026757AA-965B-4450-9115-5CC16E651C6D}"/>
    <cellStyle name="20% - 强调文字颜色 5 3 2" xfId="26304" xr:uid="{6303E0CF-5435-4D5A-B621-C92CE01800FD}"/>
    <cellStyle name="20% - 强调文字颜色 6" xfId="9379" xr:uid="{565D4032-37CC-44E2-9DDD-0ECEFFBB4CE4}"/>
    <cellStyle name="20% - 强调文字颜色 6 2" xfId="9380" xr:uid="{AB811F04-4961-4012-B4AE-3CB390FEB703}"/>
    <cellStyle name="20% - 强调文字颜色 6 2 2" xfId="9381" xr:uid="{7F3E362C-7CEF-43E1-8BE8-18CC334F378E}"/>
    <cellStyle name="20% - 强调文字颜色 6 2 2 2" xfId="9382" xr:uid="{7E905156-2E10-4907-81C4-5508E64A63A9}"/>
    <cellStyle name="20% - 强调文字颜色 6 2 2 2 2" xfId="26305" xr:uid="{F6FF638D-B558-48A1-892D-C375EE706CDE}"/>
    <cellStyle name="20% - 强调文字颜色 6 2 3" xfId="9383" xr:uid="{610E5A9E-59D4-41C5-B892-44DFB107E124}"/>
    <cellStyle name="20% - 强调文字颜色 6 2 4" xfId="9384" xr:uid="{96D521AB-EA51-4227-9327-DC720256D166}"/>
    <cellStyle name="20% - 强调文字颜色 6 2 4 2" xfId="26306" xr:uid="{AC1769B7-656C-460A-9159-2EC8DE6C8E75}"/>
    <cellStyle name="20% - 强调文字颜色 6 3" xfId="9385" xr:uid="{6C3CB09B-300C-4933-96D7-96B7E6411B68}"/>
    <cellStyle name="20% - 强调文字颜色 6 3 2" xfId="26307" xr:uid="{19449D88-0372-4218-8618-8EA4A01DEA73}"/>
    <cellStyle name="3 decimales" xfId="9386" xr:uid="{8D207362-5654-49CC-A7D2-2734BA0E98C8}"/>
    <cellStyle name="3232" xfId="9387" xr:uid="{1EF3DD19-460B-4AB2-A899-947FE3F56BE4}"/>
    <cellStyle name="3232 2" xfId="9388" xr:uid="{B48603DF-ABA9-4757-AC90-98AE7C24A2B3}"/>
    <cellStyle name="³f¹E[0]_Cefiro" xfId="9389" xr:uid="{56276C6D-4B7C-4587-B330-66C1908218B7}"/>
    <cellStyle name="³f¹ô_Cefiro" xfId="9390" xr:uid="{1C96C57E-E145-4432-95B7-9F82E085D61B}"/>
    <cellStyle name="40 % - Accent1" xfId="9391" xr:uid="{7E9CAD1A-F396-472F-8974-4687B6FF85AD}"/>
    <cellStyle name="40 % - Accent1 2" xfId="9392" xr:uid="{FC4A18BB-624A-467F-896E-3EBAE1FD8F45}"/>
    <cellStyle name="40 % - Accent2" xfId="9393" xr:uid="{9DF998F4-DD5C-46FB-AB3E-B6E0EF919B7D}"/>
    <cellStyle name="40 % - Accent2 2" xfId="9394" xr:uid="{A8783316-A8F7-4F45-86CB-52D535227AD2}"/>
    <cellStyle name="40 % - Accent3" xfId="9395" xr:uid="{864E3AF7-758E-4822-8EAF-DC89E0DBC5BF}"/>
    <cellStyle name="40 % - Accent3 2" xfId="9396" xr:uid="{C5EE2A47-8529-40F7-BB7A-606C4148630D}"/>
    <cellStyle name="40 % - Accent4" xfId="9397" xr:uid="{13448367-0D39-40A5-8A86-E0A5AD29C076}"/>
    <cellStyle name="40 % - Accent4 2" xfId="9398" xr:uid="{601CCAC8-EAE9-4135-B40F-1F0A5012A9C9}"/>
    <cellStyle name="40 % - Accent5" xfId="9399" xr:uid="{2C004B4B-3027-412E-9650-7CECE3CBBF55}"/>
    <cellStyle name="40 % - Accent5 2" xfId="9400" xr:uid="{FB13B46E-2B46-45AD-9B2E-F3FDD25D1A90}"/>
    <cellStyle name="40 % - Accent6" xfId="9401" xr:uid="{590EAB5B-FCA9-46B8-90E7-ABD4E1B9266C}"/>
    <cellStyle name="40 % - Accent6 2" xfId="9402" xr:uid="{4DDED2CE-9E7A-469E-8B8A-509881A43AA5}"/>
    <cellStyle name="40% - Accent1 2" xfId="9404" xr:uid="{E5DA83F8-98B2-4A71-95DE-8D2089500998}"/>
    <cellStyle name="40% - Accent1 2 2" xfId="9405" xr:uid="{DF75F789-731C-4EA2-A161-738E6CDBD95A}"/>
    <cellStyle name="40% - Accent1 2 3" xfId="9406" xr:uid="{38F50215-9A66-4EBA-9993-5018D911EBC5}"/>
    <cellStyle name="40% - Accent1 3" xfId="9407" xr:uid="{CAE0A12C-EDED-45C8-8238-4D1FBF49DEB7}"/>
    <cellStyle name="40% - Accent1 3 2" xfId="9408" xr:uid="{8186C165-B63D-41CF-8146-90850178CDE5}"/>
    <cellStyle name="40% - Accent1 4" xfId="9409" xr:uid="{6C498D7C-C7C2-485C-B143-0F65A6A2E5F8}"/>
    <cellStyle name="40% - Accent1 4 2" xfId="9410" xr:uid="{5305520A-065F-4D20-A254-C857713194A7}"/>
    <cellStyle name="40% - Accent1 4 3" xfId="9411" xr:uid="{78D8F1A1-3406-4AAE-B831-F2E91A28F915}"/>
    <cellStyle name="40% - Accent1 4 4" xfId="9412" xr:uid="{76925918-2C12-4F50-91DE-1CEAF99BA809}"/>
    <cellStyle name="40% - Accent1 5" xfId="9413" xr:uid="{2B7D9FF6-0581-4AF3-A326-227E1A2A3ADF}"/>
    <cellStyle name="40% - Accent1 5 2" xfId="9414" xr:uid="{870384FE-55B6-4FBD-8437-6C4D8B7BCEF4}"/>
    <cellStyle name="40% - Accent1 5 3" xfId="9415" xr:uid="{517F4D29-D73C-49EE-B671-E832C4F4BB5B}"/>
    <cellStyle name="40% - Accent1 6" xfId="9416" xr:uid="{1A2552F8-672D-4A5E-B38E-05C521415B3C}"/>
    <cellStyle name="40% - Accent1 7" xfId="9417" xr:uid="{3B03BD32-F09C-4E72-9788-71CF9F125072}"/>
    <cellStyle name="40% - Accent1 8" xfId="9418" xr:uid="{B56BF3EF-DA4E-4E19-B937-B2A213C3C0E1}"/>
    <cellStyle name="40% - Accent1 9" xfId="9403" xr:uid="{1267DF95-BC17-4CE5-BB9E-1074D25E626A}"/>
    <cellStyle name="40% - Accent2 2" xfId="9420" xr:uid="{4351A645-613C-4106-BB7E-361238DEE20C}"/>
    <cellStyle name="40% - Accent2 2 2" xfId="9421" xr:uid="{1635160B-4C13-43D2-8BF4-A11A30925846}"/>
    <cellStyle name="40% - Accent2 3" xfId="9422" xr:uid="{EC084878-6405-4BB1-BEF8-80A0CDACF388}"/>
    <cellStyle name="40% - Accent2 3 2" xfId="9423" xr:uid="{6F159FF0-AABE-4A8E-8C42-2EEAF3A59C63}"/>
    <cellStyle name="40% - Accent2 4" xfId="9424" xr:uid="{3BB7E83C-1D16-48CF-99C9-C51568D24974}"/>
    <cellStyle name="40% - Accent2 4 2" xfId="9425" xr:uid="{97CB4524-3205-4587-B82B-DD4FFDCFC551}"/>
    <cellStyle name="40% - Accent2 4 3" xfId="9426" xr:uid="{0EF5C6F0-AE32-429E-A3CA-0B3F01D35FE0}"/>
    <cellStyle name="40% - Accent2 4 4" xfId="9427" xr:uid="{A9F89C27-0804-437F-BFBE-55B5A285D36F}"/>
    <cellStyle name="40% - Accent2 5" xfId="9428" xr:uid="{D93614EE-88DC-4428-9241-1AC2E84A31A3}"/>
    <cellStyle name="40% - Accent2 5 2" xfId="9429" xr:uid="{2A3F0B36-2A59-495B-9A22-4D5AC8466864}"/>
    <cellStyle name="40% - Accent2 5 3" xfId="9430" xr:uid="{F6D82D7A-806C-4FEB-82FE-B0D6155C95F2}"/>
    <cellStyle name="40% - Accent2 6" xfId="9431" xr:uid="{1AC53604-3001-445C-8AC8-84F2B6575B1E}"/>
    <cellStyle name="40% - Accent2 7" xfId="9432" xr:uid="{3AD5F583-B234-4426-A6B0-7A74331D752C}"/>
    <cellStyle name="40% - Accent2 8" xfId="9419" xr:uid="{2E2057D8-3BE6-4D9B-9DA8-F9D11E4D5AAF}"/>
    <cellStyle name="40% - Accent3 2" xfId="9434" xr:uid="{23169A78-AC7B-4589-A9E6-582EB1B0D777}"/>
    <cellStyle name="40% - Accent3 2 2" xfId="9435" xr:uid="{343356F1-754F-42AD-A320-047F2A902F6E}"/>
    <cellStyle name="40% - Accent3 2 3" xfId="9436" xr:uid="{62A39D07-40F0-4FF4-9898-A2767A9F19B1}"/>
    <cellStyle name="40% - Accent3 3" xfId="9437" xr:uid="{BA97F57E-5FB9-445B-8EF2-7B2775844F63}"/>
    <cellStyle name="40% - Accent3 3 2" xfId="9438" xr:uid="{CA99E3A9-A8DB-4EE8-AC93-0A795C028F80}"/>
    <cellStyle name="40% - Accent3 4" xfId="9439" xr:uid="{9CE3F88E-4018-4227-A38F-EF2F188AE69A}"/>
    <cellStyle name="40% - Accent3 4 2" xfId="9440" xr:uid="{62DEB576-9B63-4F13-A44D-87BEECF58200}"/>
    <cellStyle name="40% - Accent3 4 3" xfId="9441" xr:uid="{59253E0C-92DF-43F7-86BE-8C242CEFD9FE}"/>
    <cellStyle name="40% - Accent3 4 4" xfId="9442" xr:uid="{D16AF9CC-97ED-42B4-BF35-7F0C4F085A18}"/>
    <cellStyle name="40% - Accent3 5" xfId="9443" xr:uid="{469B3AD2-65BC-45DC-8DC7-5140BA264C9D}"/>
    <cellStyle name="40% - Accent3 5 2" xfId="9444" xr:uid="{F95DE5FE-7E48-49E8-A070-3E141C9B6367}"/>
    <cellStyle name="40% - Accent3 5 3" xfId="9445" xr:uid="{18DA7328-BF82-44A3-A872-F42C63BE440E}"/>
    <cellStyle name="40% - Accent3 6" xfId="9446" xr:uid="{462D7AFB-5FB6-4A91-9B42-D3651EF8D8A3}"/>
    <cellStyle name="40% - Accent3 7" xfId="9447" xr:uid="{B238608D-6178-473D-8123-C385D1D63E8F}"/>
    <cellStyle name="40% - Accent3 8" xfId="9448" xr:uid="{C6A0F5B1-3AA5-47F0-805A-85664AD70376}"/>
    <cellStyle name="40% - Accent3 9" xfId="9433" xr:uid="{FCC9A386-674F-4075-81D6-E138DC9951E5}"/>
    <cellStyle name="40% - Accent4 2" xfId="9450" xr:uid="{FFBB6786-3EB3-464F-9EDE-BBBDB5223A18}"/>
    <cellStyle name="40% - Accent4 2 2" xfId="9451" xr:uid="{824F3776-9877-40EE-9CFD-0DC59080B1A0}"/>
    <cellStyle name="40% - Accent4 2 3" xfId="9452" xr:uid="{D0255C0B-FD6C-4160-9462-46F97CEB0A62}"/>
    <cellStyle name="40% - Accent4 3" xfId="9453" xr:uid="{4E85577E-04F7-4E65-9489-E5A47F3BFAFD}"/>
    <cellStyle name="40% - Accent4 3 2" xfId="9454" xr:uid="{D8A77746-B002-4D3F-A15F-2BE92EFBC959}"/>
    <cellStyle name="40% - Accent4 4" xfId="9455" xr:uid="{8F9B68D2-D862-4C9A-8319-411CBC73AD7F}"/>
    <cellStyle name="40% - Accent4 4 2" xfId="9456" xr:uid="{B3CE4D95-DA2C-4BBF-9C3E-A9815D4BB3BF}"/>
    <cellStyle name="40% - Accent4 4 3" xfId="9457" xr:uid="{2DC4B12F-C72B-496C-9C6D-B963ABD17F93}"/>
    <cellStyle name="40% - Accent4 4 4" xfId="9458" xr:uid="{170100DF-0232-4A9F-9EBB-2554B90271B4}"/>
    <cellStyle name="40% - Accent4 5" xfId="9459" xr:uid="{935C514C-7B15-4896-B1A0-E52FD8CCAD9F}"/>
    <cellStyle name="40% - Accent4 5 2" xfId="9460" xr:uid="{563853EA-5CDE-4B10-AA3A-EE1EB025B1B5}"/>
    <cellStyle name="40% - Accent4 5 3" xfId="9461" xr:uid="{200AE31E-0D7C-471E-A314-C85949A91CAB}"/>
    <cellStyle name="40% - Accent4 6" xfId="9462" xr:uid="{8CB70555-F508-4ACC-A239-F77A466D3B50}"/>
    <cellStyle name="40% - Accent4 7" xfId="9463" xr:uid="{C740C82C-22B3-450E-9E83-9C9C1D48E8CB}"/>
    <cellStyle name="40% - Accent4 8" xfId="9464" xr:uid="{206D58F7-42F7-40BB-BEAD-712166C36695}"/>
    <cellStyle name="40% - Accent4 9" xfId="9449" xr:uid="{59C471DB-6CD9-41B7-9665-C223613E2AE4}"/>
    <cellStyle name="40% - Accent5 2" xfId="9466" xr:uid="{8AF80AF6-A6FD-4A84-877C-193AC4AE686B}"/>
    <cellStyle name="40% - Accent5 2 2" xfId="9467" xr:uid="{28E7F90E-13B2-449E-A410-090029957D72}"/>
    <cellStyle name="40% - Accent5 3" xfId="9468" xr:uid="{31C6D80E-2D05-4B61-AA15-719EA8F19908}"/>
    <cellStyle name="40% - Accent5 3 2" xfId="9469" xr:uid="{7E5AFB8B-AA99-4D29-B08D-0C9E9D17C249}"/>
    <cellStyle name="40% - Accent5 4" xfId="9470" xr:uid="{4CD01261-E841-4CF7-89DB-8937D4A228C2}"/>
    <cellStyle name="40% - Accent5 4 2" xfId="9471" xr:uid="{FFC6FD9B-18FE-47D9-9EA8-791436755E8F}"/>
    <cellStyle name="40% - Accent5 4 3" xfId="9472" xr:uid="{C78511A6-2AB1-4FE4-8D0D-A2E1CB7F7B79}"/>
    <cellStyle name="40% - Accent5 4 4" xfId="9473" xr:uid="{176987CC-4E59-4BC6-A777-9BA31DCF5F85}"/>
    <cellStyle name="40% - Accent5 5" xfId="9474" xr:uid="{F9F0516C-E649-47FF-97F7-B166F1CA1D9A}"/>
    <cellStyle name="40% - Accent5 5 2" xfId="9475" xr:uid="{86A24DF6-58AA-4BDC-A104-DC2A706788A9}"/>
    <cellStyle name="40% - Accent5 5 3" xfId="9476" xr:uid="{ED8E2343-4A99-4D83-B1CF-229600862BBC}"/>
    <cellStyle name="40% - Accent5 6" xfId="9477" xr:uid="{97AD68F6-D3F0-4762-8D6F-15471982F75B}"/>
    <cellStyle name="40% - Accent5 7" xfId="9478" xr:uid="{8F23C7F1-B03F-4CE3-8B8C-8ED96E8C6878}"/>
    <cellStyle name="40% - Accent5 8" xfId="9479" xr:uid="{72A34494-A954-4F0A-B9BF-7E9D401E0BD1}"/>
    <cellStyle name="40% - Accent5 9" xfId="9465" xr:uid="{F6E95453-E5FB-40C0-B662-E4FD5A885871}"/>
    <cellStyle name="40% - Accent6 2" xfId="9481" xr:uid="{96392338-A1CC-40E9-B9D0-C2F91C937F72}"/>
    <cellStyle name="40% - Accent6 2 2" xfId="9482" xr:uid="{4FC39965-0BC9-4AA0-BE5F-58F83CF12A5D}"/>
    <cellStyle name="40% - Accent6 2 3" xfId="9483" xr:uid="{99F83313-5061-43D5-A59C-03B2DD806042}"/>
    <cellStyle name="40% - Accent6 3" xfId="9484" xr:uid="{4D8BF259-3FF1-4A4B-B8DD-EA35D75157FF}"/>
    <cellStyle name="40% - Accent6 3 2" xfId="9485" xr:uid="{CC6C4A7D-761D-443D-A583-DDEC2A7B22EB}"/>
    <cellStyle name="40% - Accent6 4" xfId="9486" xr:uid="{D0172BA9-211B-41A0-B32E-2CF0641BB5DA}"/>
    <cellStyle name="40% - Accent6 4 2" xfId="9487" xr:uid="{71617C12-E0BD-44AF-9658-4E41A3F50799}"/>
    <cellStyle name="40% - Accent6 4 3" xfId="9488" xr:uid="{678DCF05-FDB9-48E2-9803-971C73762B33}"/>
    <cellStyle name="40% - Accent6 4 4" xfId="9489" xr:uid="{1E4729A6-1667-45BB-9E67-CC7F344B7839}"/>
    <cellStyle name="40% - Accent6 5" xfId="9490" xr:uid="{DC081E2B-3802-46FD-8617-32BC77D8128C}"/>
    <cellStyle name="40% - Accent6 5 2" xfId="9491" xr:uid="{4FE15DB0-82C8-4DE3-BD57-90B10086B019}"/>
    <cellStyle name="40% - Accent6 5 3" xfId="9492" xr:uid="{21FD177A-47A3-4FA5-8151-E65B64079061}"/>
    <cellStyle name="40% - Accent6 6" xfId="9493" xr:uid="{78DB9156-64D5-4928-8696-A425BABD2611}"/>
    <cellStyle name="40% - Accent6 7" xfId="9494" xr:uid="{AFADDC47-BFEE-4509-BF2E-1A6905BD005B}"/>
    <cellStyle name="40% - Accent6 8" xfId="9495" xr:uid="{DA81AD42-2759-4821-9044-592EAB0D89F9}"/>
    <cellStyle name="40% - Accent6 9" xfId="9480" xr:uid="{6F8DE9D4-AB23-4F1C-B742-5F4724733163}"/>
    <cellStyle name="40% - Énfasis1" xfId="9496" xr:uid="{F657BC57-CE6A-4512-A0C9-DBC98C510F43}"/>
    <cellStyle name="40% - Énfasis2" xfId="9497" xr:uid="{6C1FB819-2C9D-47E0-83DA-200CEC3F9168}"/>
    <cellStyle name="40% - Énfasis3" xfId="9498" xr:uid="{22D7B1F2-6A56-4D2C-B42A-A22078151C7A}"/>
    <cellStyle name="40% - Énfasis4" xfId="9499" xr:uid="{C0FCDD9B-59DA-416E-A621-6B860A5497EC}"/>
    <cellStyle name="40% - Énfasis5" xfId="9500" xr:uid="{29E9859A-808C-4E10-B36A-12F0519B3E8A}"/>
    <cellStyle name="40% - Énfasis6" xfId="9501" xr:uid="{AD3FC337-B147-4827-AC1B-8C2F9F7D6CCD}"/>
    <cellStyle name="40% - アクセント 1 10" xfId="9502" xr:uid="{33687776-1049-4939-B442-463C27812B99}"/>
    <cellStyle name="40% - アクセント 1 2" xfId="9503" xr:uid="{8162998E-0FA6-4CA9-A5D3-B4B721BF4972}"/>
    <cellStyle name="40% - アクセント 1 2 2" xfId="9504" xr:uid="{C2E790FA-AE31-40DC-B788-CDC778273E97}"/>
    <cellStyle name="40% - アクセント 1 3" xfId="9505" xr:uid="{569E0891-1260-4A18-9A51-FCA54995FA4F}"/>
    <cellStyle name="40% - アクセント 1 4" xfId="9506" xr:uid="{054B9CE5-FACC-4B30-BEF4-E69887FF5161}"/>
    <cellStyle name="40% - アクセント 1 5" xfId="9507" xr:uid="{F33416B1-3B96-4726-8BCD-814162F5030A}"/>
    <cellStyle name="40% - アクセント 1 6" xfId="9508" xr:uid="{4205F848-AF9F-4CD7-ACF2-38DC4EDC4F73}"/>
    <cellStyle name="40% - アクセント 1 7" xfId="9509" xr:uid="{A1D5AE64-12D6-4FB4-8EBD-9C70696DCB31}"/>
    <cellStyle name="40% - アクセント 1 8" xfId="9510" xr:uid="{647D2A6C-2E4C-4C42-90F5-2F2ED5ED5A04}"/>
    <cellStyle name="40% - アクセント 1 9" xfId="9511" xr:uid="{AA606920-2040-46D8-8D58-BC7AC3334D9F}"/>
    <cellStyle name="40% - アクセント 2 10" xfId="9512" xr:uid="{713C4D1F-D36B-40A5-AE02-36A1D617FADC}"/>
    <cellStyle name="40% - アクセント 2 2" xfId="9513" xr:uid="{8FFF19CB-CED5-4C34-9BA3-CF20FA4825EB}"/>
    <cellStyle name="40% - アクセント 2 2 2" xfId="9514" xr:uid="{FFC7FBDA-7564-4D8A-980F-468DFAB54B32}"/>
    <cellStyle name="40% - アクセント 2 3" xfId="9515" xr:uid="{ECD82F09-C3B1-4A6C-96AE-F7FF49FB583B}"/>
    <cellStyle name="40% - アクセント 2 4" xfId="9516" xr:uid="{90DC945B-822D-4AC4-93A5-1040DD641477}"/>
    <cellStyle name="40% - アクセント 2 5" xfId="9517" xr:uid="{72159134-0CC9-4B46-B60C-83C364DB387B}"/>
    <cellStyle name="40% - アクセント 2 6" xfId="9518" xr:uid="{7AADD5C5-52A1-42C7-814E-9EDCCC49354A}"/>
    <cellStyle name="40% - アクセント 2 7" xfId="9519" xr:uid="{7924A378-9E4E-4176-BB49-8D12582B8FEA}"/>
    <cellStyle name="40% - アクセント 2 8" xfId="9520" xr:uid="{E9FE20A7-2438-4C62-B5C4-0F4ED5FA7E4A}"/>
    <cellStyle name="40% - アクセント 2 9" xfId="9521" xr:uid="{FBE5C95C-238C-4765-88DD-07C9E1250E69}"/>
    <cellStyle name="40% - アクセント 3 10" xfId="9522" xr:uid="{4DFCCCB7-7742-45C6-9CF3-59FA94F78E1C}"/>
    <cellStyle name="40% - アクセント 3 2" xfId="9523" xr:uid="{BCA29CC0-B7AA-4E09-9333-82029A5D0339}"/>
    <cellStyle name="40% - アクセント 3 2 2" xfId="9524" xr:uid="{41BBC00D-716F-41B5-893E-EC0C6FDE3625}"/>
    <cellStyle name="40% - アクセント 3 3" xfId="9525" xr:uid="{E522D241-B590-49B3-AB60-136594B19036}"/>
    <cellStyle name="40% - アクセント 3 4" xfId="9526" xr:uid="{408F0F7C-B797-4DDE-BE34-46FF26AB7E3D}"/>
    <cellStyle name="40% - アクセント 3 5" xfId="9527" xr:uid="{6347FBD9-4153-4E72-B1F7-DEE8EE695BDF}"/>
    <cellStyle name="40% - アクセント 3 6" xfId="9528" xr:uid="{E1CBFE87-A78D-4657-853E-16284A2D398A}"/>
    <cellStyle name="40% - アクセント 3 7" xfId="9529" xr:uid="{9B3FA90D-45C6-4B09-86A1-1F2BFC3CB55F}"/>
    <cellStyle name="40% - アクセント 3 8" xfId="9530" xr:uid="{9D81DD87-2F19-46F0-AE9B-C0CED28B5F62}"/>
    <cellStyle name="40% - アクセント 3 9" xfId="9531" xr:uid="{55C8C7DC-3D41-47FA-A132-83ED07624551}"/>
    <cellStyle name="40% - アクセント 4 10" xfId="9532" xr:uid="{46AA483A-FD95-4145-ACA2-06E09B3757D3}"/>
    <cellStyle name="40% - アクセント 4 2" xfId="9533" xr:uid="{52B8E42F-212D-46A5-BF07-AABD6BF46D74}"/>
    <cellStyle name="40% - アクセント 4 2 2" xfId="9534" xr:uid="{78826D65-33E3-40AB-9654-C892FD678743}"/>
    <cellStyle name="40% - アクセント 4 3" xfId="9535" xr:uid="{6BCB48A8-1A22-4C45-BA86-15DCF21B66DA}"/>
    <cellStyle name="40% - アクセント 4 4" xfId="9536" xr:uid="{D8965EDD-72E1-41BC-BF43-FE3BD5CFD64D}"/>
    <cellStyle name="40% - アクセント 4 5" xfId="9537" xr:uid="{91DE874D-E58F-4973-BA98-CC6A2E06B733}"/>
    <cellStyle name="40% - アクセント 4 6" xfId="9538" xr:uid="{C9E45244-1FA6-4907-9A7A-E53260934EE9}"/>
    <cellStyle name="40% - アクセント 4 7" xfId="9539" xr:uid="{AFA25479-1B4A-4250-B695-4A2B207EA24D}"/>
    <cellStyle name="40% - アクセント 4 8" xfId="9540" xr:uid="{CB46B142-557C-4693-98C1-B2CEC45BD3FE}"/>
    <cellStyle name="40% - アクセント 4 9" xfId="9541" xr:uid="{77443D48-957C-448B-860F-62D3662C2691}"/>
    <cellStyle name="40% - アクセント 5 10" xfId="9542" xr:uid="{C81B6A4C-BD28-4FBF-85E6-FC6E5A7C0E31}"/>
    <cellStyle name="40% - アクセント 5 2" xfId="9543" xr:uid="{76E198CB-A291-41D6-B31F-B1C2BB27839D}"/>
    <cellStyle name="40% - アクセント 5 2 2" xfId="9544" xr:uid="{376B392C-3D07-41F2-9687-9F6096F57980}"/>
    <cellStyle name="40% - アクセント 5 3" xfId="9545" xr:uid="{3B2737E0-A594-43D7-93A3-997ADAB9C360}"/>
    <cellStyle name="40% - アクセント 5 4" xfId="9546" xr:uid="{8482475B-386F-4682-9E0B-D3140E428934}"/>
    <cellStyle name="40% - アクセント 5 5" xfId="9547" xr:uid="{AF8B3D3F-0C8F-4C48-88D7-63C9E41608F4}"/>
    <cellStyle name="40% - アクセント 5 6" xfId="9548" xr:uid="{9C0272A2-F0AA-442E-AFFD-5379B09B64A4}"/>
    <cellStyle name="40% - アクセント 5 7" xfId="9549" xr:uid="{DA3FA7DE-3094-41F2-A09C-A7EF906C6736}"/>
    <cellStyle name="40% - アクセント 5 8" xfId="9550" xr:uid="{264FFD72-29AD-46E3-AA46-74799F141274}"/>
    <cellStyle name="40% - アクセント 5 9" xfId="9551" xr:uid="{127C9C40-6A53-40A5-8FD8-DA331CCA16B4}"/>
    <cellStyle name="40% - アクセント 6 10" xfId="9552" xr:uid="{8FAA5F6E-8988-4469-88DA-02C096DC8274}"/>
    <cellStyle name="40% - アクセント 6 2" xfId="9553" xr:uid="{C78517D2-8289-478C-8FE0-AF8F3868EC96}"/>
    <cellStyle name="40% - アクセント 6 2 2" xfId="9554" xr:uid="{23284828-155A-4C58-8930-AD23F45D228E}"/>
    <cellStyle name="40% - アクセント 6 3" xfId="9555" xr:uid="{93857766-F16B-4B0F-9ED1-F74348246AE4}"/>
    <cellStyle name="40% - アクセント 6 4" xfId="9556" xr:uid="{DC73A9D0-209F-4A65-9DE5-BCD0AAD58828}"/>
    <cellStyle name="40% - アクセント 6 5" xfId="9557" xr:uid="{A8F0901A-6296-45FF-B305-E74FA90D0CFF}"/>
    <cellStyle name="40% - アクセント 6 6" xfId="9558" xr:uid="{AB807BC9-968D-46F5-A0CA-043CF8491728}"/>
    <cellStyle name="40% - アクセント 6 7" xfId="9559" xr:uid="{3BFCAEA2-B435-4B66-BF1E-162CB2D14290}"/>
    <cellStyle name="40% - アクセント 6 8" xfId="9560" xr:uid="{232B0370-C2EF-47B4-A361-FA29C4A17688}"/>
    <cellStyle name="40% - アクセント 6 9" xfId="9561" xr:uid="{BF80FE70-A6F4-402B-8688-4CCFC0F14863}"/>
    <cellStyle name="40% - 强调文字颜色 1" xfId="9562" xr:uid="{16BE37A6-3E14-4ED4-8124-80FF41886D30}"/>
    <cellStyle name="40% - 强调文字颜色 1 2" xfId="9563" xr:uid="{EDEA2691-7214-4815-B625-E8D2A7B79EEA}"/>
    <cellStyle name="40% - 强调文字颜色 1 2 2" xfId="9564" xr:uid="{009CE09B-90FA-45B2-9A9F-AC6DF0E79634}"/>
    <cellStyle name="40% - 强调文字颜色 1 2 2 2" xfId="9565" xr:uid="{F9A0BB85-11B0-4113-BD5F-E37A95AEA6A3}"/>
    <cellStyle name="40% - 强调文字颜色 1 2 2 2 2" xfId="26308" xr:uid="{EAE9488B-907B-43AA-B44B-2B5077F37F58}"/>
    <cellStyle name="40% - 强调文字颜色 1 2 3" xfId="9566" xr:uid="{E81D9AD9-330C-45F9-82F9-D1A78714FB53}"/>
    <cellStyle name="40% - 强调文字颜色 1 2 4" xfId="9567" xr:uid="{1E6E276B-27A7-42C6-A1B2-A86AF157AD5C}"/>
    <cellStyle name="40% - 强调文字颜色 1 2 4 2" xfId="26309" xr:uid="{422B46C8-92A4-49D6-9FB1-A8ED31482745}"/>
    <cellStyle name="40% - 强调文字颜色 1 3" xfId="9568" xr:uid="{9A37FC41-C409-41D2-B690-518554382A9C}"/>
    <cellStyle name="40% - 强调文字颜色 1 3 2" xfId="26310" xr:uid="{7F9B7A4A-170B-4375-9AF4-C3B265FF7A25}"/>
    <cellStyle name="40% - 强调文字颜色 2" xfId="9569" xr:uid="{B4848E9A-1500-4AAD-AA9D-2D865A95A979}"/>
    <cellStyle name="40% - 强调文字颜色 2 2" xfId="9570" xr:uid="{BE670F8B-7B6E-405C-9CB2-1DBA870706EF}"/>
    <cellStyle name="40% - 强调文字颜色 2 2 2" xfId="9571" xr:uid="{A2E49CE8-C8BF-4DAE-A33F-D4A4E9D901E9}"/>
    <cellStyle name="40% - 强调文字颜色 2 2 2 2" xfId="9572" xr:uid="{0A4300BC-ED7E-4E4B-AF73-5EA871A31D40}"/>
    <cellStyle name="40% - 强调文字颜色 2 2 2 2 2" xfId="26311" xr:uid="{DD9DED15-504F-4D7A-9ED2-0E63580DBB57}"/>
    <cellStyle name="40% - 强调文字颜色 2 2 3" xfId="9573" xr:uid="{215B6692-1AF6-4B8B-B3BD-76B1FCC94BE4}"/>
    <cellStyle name="40% - 强调文字颜色 2 2 4" xfId="9574" xr:uid="{AA82FA6B-0EA7-430E-919B-B0CAF8054F3C}"/>
    <cellStyle name="40% - 强调文字颜色 2 2 4 2" xfId="26312" xr:uid="{1CB7CBB2-303C-42EA-8EA8-8F68DFAC4A8D}"/>
    <cellStyle name="40% - 强调文字颜色 2 3" xfId="9575" xr:uid="{C85F7120-7DB0-4793-BD20-11346CC6DB7C}"/>
    <cellStyle name="40% - 强调文字颜色 2 3 2" xfId="26313" xr:uid="{F84459FE-1541-4552-BE16-F27C885547F4}"/>
    <cellStyle name="40% - 强调文字颜色 3" xfId="9576" xr:uid="{F4694793-679A-49DA-B909-5BA2A26E7EDD}"/>
    <cellStyle name="40% - 强调文字颜色 3 2" xfId="9577" xr:uid="{1D382EB5-4E87-4747-8D74-660B1B4D6F44}"/>
    <cellStyle name="40% - 强调文字颜色 3 2 2" xfId="9578" xr:uid="{E69F4E2D-7C9A-4FA7-9D68-B9A96595BBD4}"/>
    <cellStyle name="40% - 强调文字颜色 3 2 2 2" xfId="9579" xr:uid="{E59F4E3E-C051-4E98-A22A-1943C223AA11}"/>
    <cellStyle name="40% - 强调文字颜色 3 2 2 2 2" xfId="26314" xr:uid="{B47ACD4D-02EF-44D1-BCF9-116A073FB141}"/>
    <cellStyle name="40% - 强调文字颜色 3 2 3" xfId="9580" xr:uid="{631029F4-2179-4B43-ADBD-2790D0B50502}"/>
    <cellStyle name="40% - 强调文字颜色 3 2 4" xfId="9581" xr:uid="{92DA302C-152E-4F30-A63D-8AFFCFDFC11F}"/>
    <cellStyle name="40% - 强调文字颜色 3 2 4 2" xfId="26315" xr:uid="{98648BAD-E0CE-4E1A-9396-D6C1D066E8D6}"/>
    <cellStyle name="40% - 强调文字颜色 3 3" xfId="9582" xr:uid="{80F6848F-9A24-440D-9EAF-9A72CB084134}"/>
    <cellStyle name="40% - 强调文字颜色 3 3 2" xfId="26316" xr:uid="{EFB0AB7C-EFAA-406E-BD86-31A9E487AD73}"/>
    <cellStyle name="40% - 强调文字颜色 4" xfId="9583" xr:uid="{ACC73902-F907-4EC6-8944-7A271939C278}"/>
    <cellStyle name="40% - 强调文字颜色 4 2" xfId="9584" xr:uid="{BBC2173C-32B7-4A80-B6C4-7F8B51F420A5}"/>
    <cellStyle name="40% - 强调文字颜色 4 2 2" xfId="9585" xr:uid="{D02BD1A7-0489-4406-8F6D-7173ED505DE9}"/>
    <cellStyle name="40% - 强调文字颜色 4 2 2 2" xfId="9586" xr:uid="{D3634463-B79A-4028-ADDD-070341F767C0}"/>
    <cellStyle name="40% - 强调文字颜色 4 2 2 2 2" xfId="26317" xr:uid="{4158C8EA-B1F5-46A4-912D-9C4945E278B5}"/>
    <cellStyle name="40% - 强调文字颜色 4 2 3" xfId="9587" xr:uid="{95BC5BB9-E28F-4DC0-BCF3-F7E0C8800568}"/>
    <cellStyle name="40% - 强调文字颜色 4 2 4" xfId="9588" xr:uid="{704E0C46-F417-47F2-8FEC-7BE2EA9068D1}"/>
    <cellStyle name="40% - 强调文字颜色 4 2 4 2" xfId="26318" xr:uid="{2643DFF5-0F60-4564-B1AB-260E76FCCBE7}"/>
    <cellStyle name="40% - 强调文字颜色 4 3" xfId="9589" xr:uid="{F7212237-052B-4585-AF9C-06F3728679DD}"/>
    <cellStyle name="40% - 强调文字颜色 4 3 2" xfId="26319" xr:uid="{DC8CB283-135D-4B9F-945E-57D089DAF52A}"/>
    <cellStyle name="40% - 强调文字颜色 5" xfId="9590" xr:uid="{FF0D41BA-D713-4729-B389-1DE2D46DB8B5}"/>
    <cellStyle name="40% - 强调文字颜色 5 2" xfId="9591" xr:uid="{730701CE-1040-4552-94E2-20538A625483}"/>
    <cellStyle name="40% - 强调文字颜色 5 2 2" xfId="9592" xr:uid="{785001F1-E46E-43F6-9EA3-1C296BBA53F4}"/>
    <cellStyle name="40% - 强调文字颜色 5 2 2 2" xfId="9593" xr:uid="{C5C2CC21-EBED-42A1-BD22-2E84F62E668B}"/>
    <cellStyle name="40% - 强调文字颜色 5 2 2 2 2" xfId="26320" xr:uid="{6AE76AF3-4307-4CC9-BC53-EB8A622A9D33}"/>
    <cellStyle name="40% - 强调文字颜色 5 2 3" xfId="9594" xr:uid="{60FF694E-6117-4ADD-83F0-AA334AED05C9}"/>
    <cellStyle name="40% - 强调文字颜色 5 2 4" xfId="9595" xr:uid="{C45F0AA0-7419-4B78-8F39-C941F1198B97}"/>
    <cellStyle name="40% - 强调文字颜色 5 2 4 2" xfId="26321" xr:uid="{0C68276F-3E60-4C73-8D0E-EF92536FFF0C}"/>
    <cellStyle name="40% - 强调文字颜色 5 3" xfId="9596" xr:uid="{4674B378-6CE9-4D05-A168-9888F78FE463}"/>
    <cellStyle name="40% - 强调文字颜色 5 3 2" xfId="26322" xr:uid="{0EB90FC1-AFC0-4BE4-B03A-1DA30500F677}"/>
    <cellStyle name="40% - 强调文字颜色 6" xfId="9597" xr:uid="{0CB6F22B-B9D3-4EFE-B5C5-2964C02BDD8A}"/>
    <cellStyle name="40% - 强调文字颜色 6 2" xfId="9598" xr:uid="{BFD13F79-EFDC-4FCA-916D-7354716A7176}"/>
    <cellStyle name="40% - 强调文字颜色 6 2 2" xfId="9599" xr:uid="{0FEE7FE9-C346-4505-83C7-DE74D8BB79EA}"/>
    <cellStyle name="40% - 强调文字颜色 6 2 2 2" xfId="9600" xr:uid="{B8D6E13D-C97B-4025-8374-CD654AEFEE7E}"/>
    <cellStyle name="40% - 强调文字颜色 6 2 2 2 2" xfId="26323" xr:uid="{F3935FB2-3D28-4977-A4A5-4F5C06AEBEDF}"/>
    <cellStyle name="40% - 强调文字颜色 6 2 3" xfId="9601" xr:uid="{0C63E121-2A92-49DC-9E36-3C71A381746C}"/>
    <cellStyle name="40% - 强调文字颜色 6 2 4" xfId="9602" xr:uid="{1361B2C4-4BA2-48F5-9D70-4A02BF5BD32B}"/>
    <cellStyle name="40% - 强调文字颜色 6 2 4 2" xfId="26324" xr:uid="{CA68BBB3-DC20-4B2D-990F-488744D6841A}"/>
    <cellStyle name="40% - 强调文字颜色 6 3" xfId="9603" xr:uid="{FB74B69D-7E86-438C-9CD9-3719E5FFC4F3}"/>
    <cellStyle name="40% - 强调文字颜色 6 3 2" xfId="26325" xr:uid="{3D6FC3E9-CAD0-4106-BA0B-BC5494A88521}"/>
    <cellStyle name="60 % - Accent1" xfId="9604" xr:uid="{1E8386FB-9583-4377-A29E-0DECBA11A26C}"/>
    <cellStyle name="60 % - Accent2" xfId="9605" xr:uid="{0F125F25-6772-48DF-A177-C515F4EFA845}"/>
    <cellStyle name="60 % - Accent3" xfId="9606" xr:uid="{C756EAED-3C43-411D-A652-5F5408BB2A97}"/>
    <cellStyle name="60 % - Accent4" xfId="9607" xr:uid="{B35EFF28-1138-48F2-A335-3BAB47E63B86}"/>
    <cellStyle name="60 % - Accent5" xfId="9608" xr:uid="{56E21F6E-81BE-4E4B-9498-79BE6C0B0725}"/>
    <cellStyle name="60 % - Accent6" xfId="9609" xr:uid="{5AAEB3FB-6CE2-492E-B24B-C5C703C77FF6}"/>
    <cellStyle name="60% - Accent1 2" xfId="9611" xr:uid="{562CE7A9-22AC-4BFB-87BA-35BEAE4D2BD2}"/>
    <cellStyle name="60% - Accent1 3" xfId="9612" xr:uid="{D996B55B-4E88-4EFB-99A4-4F27C83922A8}"/>
    <cellStyle name="60% - Accent1 4" xfId="9613" xr:uid="{636D5BE1-DB52-4A59-97E2-4244E09ACACB}"/>
    <cellStyle name="60% - Accent1 5" xfId="9614" xr:uid="{3B56D6E2-0FA6-4002-A2EA-90C0589CC3E8}"/>
    <cellStyle name="60% - Accent1 6" xfId="9615" xr:uid="{6F59197D-6E45-4968-B1E6-840099488EBB}"/>
    <cellStyle name="60% - Accent1 7" xfId="9616" xr:uid="{73930041-6345-4E81-892A-1A732289C39C}"/>
    <cellStyle name="60% - Accent1 8" xfId="9610" xr:uid="{8FA54323-CAB2-4722-A0C2-E337A529ADCE}"/>
    <cellStyle name="60% - Accent2 2" xfId="9618" xr:uid="{E4BC20F4-0D17-4C44-A5D8-EF327AC073CB}"/>
    <cellStyle name="60% - Accent2 3" xfId="9619" xr:uid="{E25D6F18-B5AA-41D1-AD34-6E42F3C0D5A5}"/>
    <cellStyle name="60% - Accent2 4" xfId="9620" xr:uid="{BCFF8E97-4D74-4812-95A1-AE6D393DC120}"/>
    <cellStyle name="60% - Accent2 5" xfId="9621" xr:uid="{68756846-A3E5-423A-A9A6-B50B55D2DA1E}"/>
    <cellStyle name="60% - Accent2 6" xfId="9622" xr:uid="{A5A6E7EC-4D01-4851-95BE-A12B95945948}"/>
    <cellStyle name="60% - Accent2 7" xfId="9623" xr:uid="{6766B804-E4A4-4805-BFC9-33D3AB53BA6C}"/>
    <cellStyle name="60% - Accent2 8" xfId="9617" xr:uid="{F1E4056E-9775-4213-B5C3-FE4FECC58DF5}"/>
    <cellStyle name="60% - Accent3 2" xfId="9625" xr:uid="{D34F746F-29E3-4488-9418-88A964EB35E0}"/>
    <cellStyle name="60% - Accent3 3" xfId="9626" xr:uid="{C81099DC-1693-4A3F-9953-81B924053F07}"/>
    <cellStyle name="60% - Accent3 4" xfId="9627" xr:uid="{97E92C31-B9A2-4322-BAB8-F1F7AF0CD78F}"/>
    <cellStyle name="60% - Accent3 5" xfId="9628" xr:uid="{84EAEC7F-1976-4935-A7E2-A15C3EA23463}"/>
    <cellStyle name="60% - Accent3 6" xfId="9629" xr:uid="{CB0B176E-78CE-4555-8470-2BFDF3ADAFAC}"/>
    <cellStyle name="60% - Accent3 7" xfId="9630" xr:uid="{65DAEA8E-CB88-4C20-8F22-44E5305AE0C7}"/>
    <cellStyle name="60% - Accent3 8" xfId="9624" xr:uid="{EAFB3D60-D48F-4AAE-AC4A-7DA3176B3FE1}"/>
    <cellStyle name="60% - Accent4 2" xfId="9632" xr:uid="{56FBB5E8-A81E-42E0-BB23-7E2F344FE944}"/>
    <cellStyle name="60% - Accent4 3" xfId="9633" xr:uid="{97C812F7-F56D-4FCB-A066-A073346D0D91}"/>
    <cellStyle name="60% - Accent4 4" xfId="9634" xr:uid="{B907702D-09C9-43CC-9CF2-FA7D77ED943C}"/>
    <cellStyle name="60% - Accent4 5" xfId="9635" xr:uid="{C63EE091-B81E-4E50-AE8C-4674E2FBB2FD}"/>
    <cellStyle name="60% - Accent4 6" xfId="9636" xr:uid="{2DD09256-0907-45DB-A50B-92F80352C991}"/>
    <cellStyle name="60% - Accent4 7" xfId="9637" xr:uid="{3FF50EDC-C430-426F-BF86-2F4766598325}"/>
    <cellStyle name="60% - Accent4 8" xfId="9631" xr:uid="{632D7A55-24AF-447E-A50A-6FCA4FDF17FD}"/>
    <cellStyle name="60% - Accent5 2" xfId="9639" xr:uid="{921123F1-F3D8-43D9-940E-54FD1F0DBBCD}"/>
    <cellStyle name="60% - Accent5 3" xfId="9640" xr:uid="{3D74CA96-C917-49EF-96C8-1F9ABDC22454}"/>
    <cellStyle name="60% - Accent5 4" xfId="9641" xr:uid="{BB560F4D-A296-4B31-99F7-883B7A6B60E8}"/>
    <cellStyle name="60% - Accent5 5" xfId="9642" xr:uid="{87DAC902-4559-489A-B77D-5C9699465C87}"/>
    <cellStyle name="60% - Accent5 6" xfId="9643" xr:uid="{A2C607C7-4D85-479A-B9B6-0FBE082EEDE3}"/>
    <cellStyle name="60% - Accent5 7" xfId="9644" xr:uid="{09374616-BA24-4CDF-9F0C-6F531940A2F0}"/>
    <cellStyle name="60% - Accent5 8" xfId="9638" xr:uid="{4ED5DFF2-CCD6-45CF-B1A4-88C996916421}"/>
    <cellStyle name="60% - Accent6 2" xfId="9646" xr:uid="{044CF17A-B9CD-4613-9E67-ADCE632D1DCF}"/>
    <cellStyle name="60% - Accent6 3" xfId="9647" xr:uid="{4695148D-5F00-4C1A-9C56-AAEE2921BD6D}"/>
    <cellStyle name="60% - Accent6 4" xfId="9648" xr:uid="{A6F58CE2-DC23-48B5-BDCD-300E5C2858EF}"/>
    <cellStyle name="60% - Accent6 5" xfId="9649" xr:uid="{C980332A-6927-4304-B9B7-913945B77606}"/>
    <cellStyle name="60% - Accent6 6" xfId="9650" xr:uid="{38E47035-C85F-4BE9-9EA6-994338E58686}"/>
    <cellStyle name="60% - Accent6 7" xfId="9651" xr:uid="{117D383C-426C-4050-A1F7-775B417918E1}"/>
    <cellStyle name="60% - Accent6 8" xfId="9645" xr:uid="{648199F7-CF5D-4109-8AFE-3BD68CDF24C4}"/>
    <cellStyle name="60% - Énfasis1" xfId="9652" xr:uid="{92C65952-9D5B-4C40-ABD7-A4292BD489FD}"/>
    <cellStyle name="60% - Énfasis2" xfId="9653" xr:uid="{E2DD6F65-C43C-4A94-AA3C-07FA18744A2C}"/>
    <cellStyle name="60% - Énfasis3" xfId="9654" xr:uid="{C4D2B57B-A5E6-4259-AF76-7DF45BA55B40}"/>
    <cellStyle name="60% - Énfasis4" xfId="9655" xr:uid="{971EF09B-CFFD-4732-9477-6D4D876BD2AE}"/>
    <cellStyle name="60% - Énfasis5" xfId="9656" xr:uid="{60A2E1EF-B33A-4F03-92E4-F4705485D0E3}"/>
    <cellStyle name="60% - Énfasis6" xfId="9657" xr:uid="{0B0328CE-D045-4674-9EBB-FA0FD7666968}"/>
    <cellStyle name="60% - アクセント 1 2" xfId="9658" xr:uid="{BFF9A0FB-560C-41AB-81DD-6CAF5C657B1F}"/>
    <cellStyle name="60% - アクセント 1 2 2" xfId="9659" xr:uid="{44398D00-90FF-4B18-A596-582F13276276}"/>
    <cellStyle name="60% - アクセント 1 3" xfId="9660" xr:uid="{DD784306-427A-4BEC-8F6A-7E2771D03178}"/>
    <cellStyle name="60% - アクセント 2 2" xfId="9661" xr:uid="{A0FD6C98-91EA-43A4-9B30-F512EED8CE09}"/>
    <cellStyle name="60% - アクセント 2 2 2" xfId="9662" xr:uid="{BF035990-4CB7-4386-A8D4-2BC55D821B55}"/>
    <cellStyle name="60% - アクセント 2 3" xfId="9663" xr:uid="{030E8A65-77EB-4DF3-A4A3-E7E434C44C8A}"/>
    <cellStyle name="60% - アクセント 3 2" xfId="9664" xr:uid="{34C84580-12A4-48A9-97F7-0AAB74FA1195}"/>
    <cellStyle name="60% - アクセント 3 2 2" xfId="9665" xr:uid="{3D33410E-6CD2-4F0C-B48E-271789903C68}"/>
    <cellStyle name="60% - アクセント 3 3" xfId="9666" xr:uid="{0BAE81F4-BA7E-464A-8C17-DE7C1C90F1AB}"/>
    <cellStyle name="60% - アクセント 4 2" xfId="9667" xr:uid="{09FB634C-C528-4C8F-A567-EFF9733120B5}"/>
    <cellStyle name="60% - アクセント 4 2 2" xfId="9668" xr:uid="{06D26102-E6A9-4A68-8DE5-25C690820F1F}"/>
    <cellStyle name="60% - アクセント 4 3" xfId="9669" xr:uid="{7A3E28B9-F80B-4CEC-988B-06CEB995B69B}"/>
    <cellStyle name="60% - アクセント 5 2" xfId="9670" xr:uid="{E3295942-A7EC-453F-AAB2-B398596DD1E4}"/>
    <cellStyle name="60% - アクセント 5 2 2" xfId="9671" xr:uid="{6AC32D95-8329-4D4A-A638-9F352C406234}"/>
    <cellStyle name="60% - アクセント 5 3" xfId="9672" xr:uid="{459974EF-7A59-412B-AC94-A19D26D97221}"/>
    <cellStyle name="60% - アクセント 6 2" xfId="9673" xr:uid="{721FDA15-CDAE-4503-8E83-1AED2AF38BFA}"/>
    <cellStyle name="60% - アクセント 6 2 2" xfId="9674" xr:uid="{9D24B8D5-7949-46CF-BC36-938BCA2BCE72}"/>
    <cellStyle name="60% - アクセント 6 3" xfId="9675" xr:uid="{533143CC-A053-4E81-8A60-FB5A1811DA82}"/>
    <cellStyle name="60% - 强调文字颜色 1" xfId="9676" xr:uid="{7FE9F77C-1089-4EC2-8C8E-6FD89EA06FCA}"/>
    <cellStyle name="60% - 强调文字颜色 1 2" xfId="9677" xr:uid="{4DD6149D-911C-42A5-9D31-69D82958BD54}"/>
    <cellStyle name="60% - 强调文字颜色 1 2 2" xfId="9678" xr:uid="{4B2C325E-3A60-4D09-AEA4-95FDDD45EBF9}"/>
    <cellStyle name="60% - 强调文字颜色 1 2 2 2" xfId="9679" xr:uid="{635F6CFF-56BE-45E8-960C-A6938EA91E9D}"/>
    <cellStyle name="60% - 强调文字颜色 1 2 2 2 2" xfId="26326" xr:uid="{FAF8BE4A-D8A0-40CB-AADB-EE2ADD7C7D89}"/>
    <cellStyle name="60% - 强调文字颜色 1 2 3" xfId="9680" xr:uid="{3E9C1E0B-0270-477F-BA69-743C2CB384CB}"/>
    <cellStyle name="60% - 强调文字颜色 1 2 4" xfId="9681" xr:uid="{62283198-8C97-415B-8955-7083E676CB0A}"/>
    <cellStyle name="60% - 强调文字颜色 1 2 4 2" xfId="26327" xr:uid="{8FFD939C-6236-4B42-B8A4-DF75249808B7}"/>
    <cellStyle name="60% - 强调文字颜色 1 3" xfId="9682" xr:uid="{6C148890-C3D6-416A-8ADA-231B21D5DB3D}"/>
    <cellStyle name="60% - 强调文字颜色 1 3 2" xfId="26328" xr:uid="{D5C1B54D-EC6E-4CAA-981B-6B275CAE4050}"/>
    <cellStyle name="60% - 强调文字颜色 2" xfId="9683" xr:uid="{BBB5AF2B-0825-434B-9D78-DF1DD49B416C}"/>
    <cellStyle name="60% - 强调文字颜色 2 2" xfId="9684" xr:uid="{48F0C59A-2BE0-4DCE-B552-13AC33C4ED52}"/>
    <cellStyle name="60% - 强调文字颜色 2 2 2" xfId="9685" xr:uid="{780F7CC4-2298-46DC-9558-2081BC34A6FE}"/>
    <cellStyle name="60% - 强调文字颜色 2 2 2 2" xfId="9686" xr:uid="{D455D9BD-6B8F-4201-969F-79C7BD9E97CC}"/>
    <cellStyle name="60% - 强调文字颜色 2 2 2 2 2" xfId="26329" xr:uid="{3CB9A992-173B-438D-8B81-45A32A954AFF}"/>
    <cellStyle name="60% - 强调文字颜色 2 2 3" xfId="9687" xr:uid="{67629A52-00BF-4446-96F0-9DBE639D5DF8}"/>
    <cellStyle name="60% - 强调文字颜色 2 2 4" xfId="9688" xr:uid="{1C4B1326-3A22-4675-B274-3F185E90630F}"/>
    <cellStyle name="60% - 强调文字颜色 2 2 4 2" xfId="26330" xr:uid="{AD6B41B6-1001-4E95-A69D-63FA80EC7B89}"/>
    <cellStyle name="60% - 强调文字颜色 2 3" xfId="9689" xr:uid="{16561186-4C17-47BD-B674-0A45B876F7CD}"/>
    <cellStyle name="60% - 强调文字颜色 2 3 2" xfId="26331" xr:uid="{E9E68A1F-0D87-4D1C-B0DE-3FD58CC51746}"/>
    <cellStyle name="60% - 强调文字颜色 3" xfId="9690" xr:uid="{AC4B1DC5-62E4-4842-8A4C-41D64CDB60CE}"/>
    <cellStyle name="60% - 强调文字颜色 3 2" xfId="9691" xr:uid="{EF688233-0ABE-4B53-A87F-88E2194EA6CF}"/>
    <cellStyle name="60% - 强调文字颜色 3 2 2" xfId="9692" xr:uid="{390328D6-F4D4-4E21-AD74-109236EBF1B9}"/>
    <cellStyle name="60% - 强调文字颜色 3 2 2 2" xfId="9693" xr:uid="{7D26B045-EAD4-4378-A57E-1A49CB9D2A7C}"/>
    <cellStyle name="60% - 强调文字颜色 3 2 2 2 2" xfId="26332" xr:uid="{EC3D5D56-7BE0-4462-AB4A-C4254126CFB8}"/>
    <cellStyle name="60% - 强调文字颜色 3 2 3" xfId="9694" xr:uid="{F90160BF-38FB-4C36-9334-931B8BDF7964}"/>
    <cellStyle name="60% - 强调文字颜色 3 2 4" xfId="9695" xr:uid="{CE5D3129-8741-452D-ACFC-79F22FB4BFE3}"/>
    <cellStyle name="60% - 强调文字颜色 3 2 4 2" xfId="26333" xr:uid="{64273569-B622-4B2E-9001-B14EEA04D979}"/>
    <cellStyle name="60% - 强调文字颜色 3 3" xfId="9696" xr:uid="{D25430D5-D0DA-4A99-8321-401BFD6A5FAF}"/>
    <cellStyle name="60% - 强调文字颜色 3 3 2" xfId="26334" xr:uid="{9B936259-34D4-4D2C-9D15-436DDBFB212C}"/>
    <cellStyle name="60% - 强调文字颜色 4" xfId="9697" xr:uid="{148F0DAE-DE28-4A09-8CB5-EAD5E5951A3A}"/>
    <cellStyle name="60% - 强调文字颜色 4 2" xfId="9698" xr:uid="{10E878CF-F859-4891-AF01-272865703B99}"/>
    <cellStyle name="60% - 强调文字颜色 4 2 2" xfId="9699" xr:uid="{66C68755-547C-4E45-9DC1-DB2D7ADBA4A4}"/>
    <cellStyle name="60% - 强调文字颜色 4 2 2 2" xfId="9700" xr:uid="{B830911B-1FF4-4540-9260-A79E20F3F1E3}"/>
    <cellStyle name="60% - 强调文字颜色 4 2 2 2 2" xfId="26335" xr:uid="{979D02B4-5A03-4AAA-949B-BC6B807BA0F5}"/>
    <cellStyle name="60% - 强调文字颜色 4 2 3" xfId="9701" xr:uid="{B192397D-FE9B-4C33-988A-F162E947CF16}"/>
    <cellStyle name="60% - 强调文字颜色 4 2 4" xfId="9702" xr:uid="{9DEA6CA5-290A-43F0-A581-94C43FB6B657}"/>
    <cellStyle name="60% - 强调文字颜色 4 2 4 2" xfId="26336" xr:uid="{DA458340-74A5-4A7D-847F-3E9D8F29D486}"/>
    <cellStyle name="60% - 强调文字颜色 4 3" xfId="9703" xr:uid="{B1229F52-8298-4612-B1B3-BB9E9ED3F331}"/>
    <cellStyle name="60% - 强调文字颜色 4 3 2" xfId="26337" xr:uid="{B9BE372D-2AB9-4DE3-8EEE-DA411E7EF23C}"/>
    <cellStyle name="60% - 强调文字颜色 5" xfId="9704" xr:uid="{15FE3E56-A91E-4132-AFD6-F2404D7D2DC1}"/>
    <cellStyle name="60% - 强调文字颜色 5 2" xfId="9705" xr:uid="{E2418A03-859D-46AA-8B82-D0E928D9E50A}"/>
    <cellStyle name="60% - 强调文字颜色 5 2 2" xfId="9706" xr:uid="{8DF14C2D-3832-4EF1-982A-C2E2CB60F38D}"/>
    <cellStyle name="60% - 强调文字颜色 5 2 2 2" xfId="9707" xr:uid="{60487689-8FF4-40B9-9036-EB7A53A3E347}"/>
    <cellStyle name="60% - 强调文字颜色 5 2 2 2 2" xfId="26338" xr:uid="{CE8B4C8C-F05A-4386-A712-EB0EEDCACC75}"/>
    <cellStyle name="60% - 强调文字颜色 5 2 3" xfId="9708" xr:uid="{94249F66-A0F9-4FC3-8D79-7646C4871369}"/>
    <cellStyle name="60% - 强调文字颜色 5 2 4" xfId="9709" xr:uid="{30AA6C60-4A6D-4DBF-9FD7-BE81D74E6E14}"/>
    <cellStyle name="60% - 强调文字颜色 5 2 4 2" xfId="26339" xr:uid="{54F7F8CF-F678-4A40-92D6-4ED18793452D}"/>
    <cellStyle name="60% - 强调文字颜色 5 3" xfId="9710" xr:uid="{0E9FC98C-B209-4396-9955-51F3431FE219}"/>
    <cellStyle name="60% - 强调文字颜色 5 3 2" xfId="26340" xr:uid="{B8B1446C-7048-4CF3-9730-25F76CC44E17}"/>
    <cellStyle name="60% - 强调文字颜色 6" xfId="9711" xr:uid="{7AC925EF-FFC8-481F-BFA5-66CCCDCDF4D0}"/>
    <cellStyle name="60% - 强调文字颜色 6 2" xfId="9712" xr:uid="{EC322BC0-418F-4565-9F40-95F6271536DF}"/>
    <cellStyle name="60% - 强调文字颜色 6 2 2" xfId="9713" xr:uid="{F5C46E3C-F0E7-42D3-B53C-01103550EAA7}"/>
    <cellStyle name="60% - 强调文字颜色 6 2 2 2" xfId="9714" xr:uid="{1FA7B3AC-1215-4563-B1DD-0EBBB9E1E761}"/>
    <cellStyle name="60% - 强调文字颜色 6 2 2 2 2" xfId="26341" xr:uid="{4F50CAD5-6529-4958-8798-CA7266CA725F}"/>
    <cellStyle name="60% - 强调文字颜色 6 2 3" xfId="9715" xr:uid="{5A2A9645-EAB2-452D-8931-FA721295629C}"/>
    <cellStyle name="60% - 强调文字颜色 6 2 4" xfId="9716" xr:uid="{AD0BA932-FA07-4DBA-A00D-97C6765F8F76}"/>
    <cellStyle name="60% - 强调文字颜色 6 2 4 2" xfId="26342" xr:uid="{DDE0FD78-B036-4DA0-B6BA-5925D9CF2936}"/>
    <cellStyle name="60% - 强调文字颜色 6 3" xfId="9717" xr:uid="{F0C34375-130B-4429-9CDD-BDD16DEC7987}"/>
    <cellStyle name="60% - 强调文字颜色 6 3 2" xfId="26343" xr:uid="{9DF62747-2D21-4C35-825B-EA5E4136490D}"/>
    <cellStyle name="65" xfId="9718" xr:uid="{F747454F-5BCD-4CFE-9232-F8BE1F89D134}"/>
    <cellStyle name="65 2" xfId="9719" xr:uid="{5AA6BAED-883E-45CD-99EE-287FEFFC00CE}"/>
    <cellStyle name="74" xfId="9720" xr:uid="{BA6ACE2B-BF7D-4E1B-B47A-FE71230B4D4E}"/>
    <cellStyle name="74 2" xfId="9721" xr:uid="{761B5AA8-FBDD-46BB-A8F7-E9FAF8D2C390}"/>
    <cellStyle name="74 2 2" xfId="28303" xr:uid="{4C0B74D7-EEF6-4EEE-9539-8D55EC63A465}"/>
    <cellStyle name="74 3" xfId="28302" xr:uid="{B0E3E3B8-6C30-4059-B1CD-00943EF41E42}"/>
    <cellStyle name="A" xfId="9722" xr:uid="{E24B92A1-9D96-468D-9860-D158097F4C05}"/>
    <cellStyle name="A 2" xfId="9723" xr:uid="{4175EB88-D5BA-4F72-8177-C7ACB2FCE035}"/>
    <cellStyle name="A 3" xfId="9724" xr:uid="{E0D4ADA0-8351-4E21-B0F2-0CDF46A7F735}"/>
    <cellStyle name="A 3 2" xfId="28304" xr:uid="{B3098006-BDC4-4EB6-B518-FE871E361B52}"/>
    <cellStyle name="A_%e5%a4%8d%e4%bb%b6+(2)+06BP%e4%ba%ba%e5%b7%a520060615%3f6%e5%b9%b4%e9%a2%84%e7%ae%97%e7%89%88%3fxls" xfId="9725" xr:uid="{6424F042-F151-4E90-915A-C178E157C189}"/>
    <cellStyle name="A_~5077427" xfId="9726" xr:uid="{9863E238-20D4-48D3-8D15-6A72B1CCFBAB}"/>
    <cellStyle name="A_~6063492" xfId="9727" xr:uid="{62A7AF1C-5586-4569-9870-32F25C9A6E2E}"/>
    <cellStyle name="A_~6063492 2" xfId="9728" xr:uid="{B79F91CE-8585-4740-8758-F2F698322D35}"/>
    <cellStyle name="A_~6063492 3" xfId="9729" xr:uid="{D6CD1586-8B8E-4EE4-B902-AB2E0B5EABCC}"/>
    <cellStyle name="A_~7532513" xfId="9730" xr:uid="{06067B3B-0124-4799-974D-3B4F06E3C965}"/>
    <cellStyle name="A_【0207】BP_reply_Outside profit_Price List_R" xfId="9731" xr:uid="{1774EB64-5BE3-44E8-905D-E10EE53C15ED}"/>
    <cellStyle name="A_040108)L11K製造計劃修訂版 (塗裝)040105" xfId="9732" xr:uid="{CCBF095F-201F-4582-8F8D-12ECFD465DDD}"/>
    <cellStyle name="A_040108)L11K製造計劃修訂版 (塗裝)040105 2" xfId="9733" xr:uid="{BF1F0DEA-9A01-4AAD-B6BE-AE02733EEE04}"/>
    <cellStyle name="A_040108)L11K製造計劃修訂版 (塗裝)040105 3" xfId="9734" xr:uid="{2EC06844-7580-4D76-8C1D-CD9036B072E9}"/>
    <cellStyle name="A_05年2月PIC目標及實績統計" xfId="9735" xr:uid="{2CB4120F-F223-43C0-816F-54FE5DFAE7F8}"/>
    <cellStyle name="A_05年2月PIC目標及實績統計 2" xfId="9736" xr:uid="{A9519843-D64E-4A3F-BC13-9D0C934F32DF}"/>
    <cellStyle name="A_05年2月PIC目標及實績統計 3" xfId="9737" xr:uid="{66E03F41-CBDC-4A6D-9898-DF3793132C85}"/>
    <cellStyle name="A_05年中期计划.20" xfId="9738" xr:uid="{25932530-D336-4706-9083-41AE5DC1ED2F}"/>
    <cellStyle name="A_05年中期计划.20_销售部2007年人员计划" xfId="9739" xr:uid="{3CE84937-C436-458F-9979-7616FD97C941}"/>
    <cellStyle name="A_06BP SM Assumption060620（draft）" xfId="9740" xr:uid="{BA1E0D88-4146-4A92-B8D0-FF5E0B92C887}"/>
    <cellStyle name="A_06BP SM Assumption060830（draft）" xfId="9741" xr:uid="{DB8F5BC1-FB30-4380-8586-46FCC33B8DA9}"/>
    <cellStyle name="A_06年投资预算0719" xfId="9744" xr:uid="{038A273A-8D62-4ED6-BD53-604721F68ACC}"/>
    <cellStyle name="A_06年投资预算0719 2" xfId="9745" xr:uid="{564859FC-093E-4E4D-B991-8BAB8353FC65}"/>
    <cellStyle name="A_06年投资预算0719_%e5%a4%8d%e4%bb%b6+(2)+06BP%e4%ba%ba%e5%b7%a520060615%3f6%e5%b9%b4%e9%a2%84%e7%ae%97%e7%89%88%3fxls" xfId="9746" xr:uid="{9C301616-A39F-428F-9C91-7DBCED0EFDBE}"/>
    <cellStyle name="A_06年投资预算0719_08 AD Budget10.18" xfId="9747" xr:uid="{DCD584B6-ADE8-4A04-91D7-914520AF14D5}"/>
    <cellStyle name="A_06年投资预算0719_08 budget 071015" xfId="9748" xr:uid="{93148F3C-C6AF-4AA0-8890-D551833307C2}"/>
    <cellStyle name="A_06年投资预算0719_0902見直し" xfId="9749" xr:uid="{5E588E19-68C1-4336-B19D-50A68A78125F}"/>
    <cellStyle name="A_06年投资预算0719_2009_TDC_MonthlyActual" xfId="9750" xr:uid="{68702CA3-56E9-43DA-9B9D-626A16AA00AE}"/>
    <cellStyle name="A_06年投资预算0719_2009年VME車種別(20100303)" xfId="9751" xr:uid="{96B07361-D3E1-48BA-96E6-0620194BCB47}"/>
    <cellStyle name="A_06年投资预算0719_CY09 市場部予算5+7" xfId="9752" xr:uid="{293A4D5B-E5F5-4CD9-A4E5-6297DDC07751}"/>
    <cellStyle name="A_06年投资预算0719_CY10 市場部予算5+7" xfId="9753" xr:uid="{058B972C-0C8A-4B97-A6B6-1C10C107B035}"/>
    <cellStyle name="A_06年投资预算0719_FY13 Budget Simulation Excel PKG for Auto by company" xfId="9754" xr:uid="{77F9FED4-D293-4318-8D88-EF912B521874}"/>
    <cellStyle name="A_06年投资预算0719_销售部2007年人员计划" xfId="9755" xr:uid="{5AC7400F-F1CE-4A3B-B94E-E71A3F80A3E4}"/>
    <cellStyle name="A_06年预测及07年预算" xfId="9756" xr:uid="{F5282C90-3437-4C0D-A8B6-7DD573B6D702}"/>
    <cellStyle name="A_06年预测及07年预算 2" xfId="9757" xr:uid="{B2FAF98D-F2F8-4B13-BBFE-6992A322EE10}"/>
    <cellStyle name="A_06年预测及07年预算 2 2" xfId="9758" xr:uid="{6788AA75-907A-41A8-9C07-24F16DB55D98}"/>
    <cellStyle name="A_06年预测及07年预算 2 2 2" xfId="26344" xr:uid="{D043E84F-04BC-4A2F-9670-AF429B08A1F8}"/>
    <cellStyle name="A_06年预测及07年预算 2 2 2 2" xfId="38078" xr:uid="{6E92992F-673C-459C-BB19-2CA7357D7FA3}"/>
    <cellStyle name="A_06年预测及07年预算 2 2 3" xfId="28307" xr:uid="{98C0C5EE-71D2-4FCA-BD69-43F103C89206}"/>
    <cellStyle name="A_06年预测及07年预算 2 3" xfId="28306" xr:uid="{64888DE3-17DB-47CC-B80A-7B529C4D489C}"/>
    <cellStyle name="A_06年预测及07年预算 3" xfId="9759" xr:uid="{00A3BCAD-C35D-42F0-9A74-D9B0BABFD230}"/>
    <cellStyle name="A_06年预测及07年预算 3 2" xfId="26345" xr:uid="{40DD04E1-D243-446C-BFD8-66AE98989B6A}"/>
    <cellStyle name="A_06年预测及07年预算 3 2 2" xfId="38079" xr:uid="{D4737E7D-8A30-4DB9-A4BC-C285097FBD75}"/>
    <cellStyle name="A_06年预测及07年预算 3 3" xfId="28308" xr:uid="{830F4057-5F6D-401B-8383-6C52591BA5F2}"/>
    <cellStyle name="A_06年预测及07年预算 4" xfId="28305" xr:uid="{DBAC8DDE-D649-4370-A3FC-4A274C81E327}"/>
    <cellStyle name="A_06管理技术人员－2630（2536的基础上减10％）－5.31版（报交NPW版）" xfId="9742" xr:uid="{6C7B941B-AB5E-45C8-AB77-0390C675C9B6}"/>
    <cellStyle name="A_06管理技术人员－2630（2536的基础上减10％）－5.31版（报交NPW版）_销售部2007年人员计划" xfId="9743" xr:uid="{A8D57C33-6BFE-4113-B184-ABCCADD9D731}"/>
    <cellStyle name="A_07～10年中期人员预算（雷新宇20060615第一版）发杭国华" xfId="9760" xr:uid="{B07684DE-5895-4E2A-935A-88613B6592F7}"/>
    <cellStyle name="A_070年人员预算-08(1).25" xfId="9761" xr:uid="{BC24401C-1E87-42D7-8A59-5D62351CABA2}"/>
    <cellStyle name="A_07年PV损益预算表（第一版）" xfId="9762" xr:uid="{0E2AE14C-0490-417A-A73B-22948B3DC040}"/>
    <cellStyle name="A_07年PV损益预算表（第一版） 2" xfId="9763" xr:uid="{0B250E84-B778-4527-8C24-C6B89AE9CD3E}"/>
    <cellStyle name="A_07年PV损益预算表（第一版） 2 2" xfId="9764" xr:uid="{A3145849-2BC2-4084-A529-9BC504045AAA}"/>
    <cellStyle name="A_07年PV损益预算表（第一版） 2 2 2" xfId="9765" xr:uid="{157F4E02-9F9F-444B-84DF-D6546C22D731}"/>
    <cellStyle name="A_07年PV损益预算表（第一版） 2 2 2 2" xfId="26346" xr:uid="{CC0D4CE9-17BC-4DC5-AD48-3AEA9F86E63F}"/>
    <cellStyle name="A_07年PV损益预算表（第一版） 2 2 2 2 2" xfId="38080" xr:uid="{D725E4AA-F504-40E2-A795-2DBA9F4CD7C7}"/>
    <cellStyle name="A_07年PV损益预算表（第一版） 2 2 2 3" xfId="28312" xr:uid="{3977E45A-AD09-4CFA-AC9A-E68021E9B8CC}"/>
    <cellStyle name="A_07年PV损益预算表（第一版） 2 2 3" xfId="28311" xr:uid="{DC84B777-5C70-41BE-A329-7D36E3989EFD}"/>
    <cellStyle name="A_07年PV损益预算表（第一版） 2 3" xfId="9766" xr:uid="{D8757D5A-7715-43C2-90A5-C90EBC0C62FE}"/>
    <cellStyle name="A_07年PV损益预算表（第一版） 2 3 2" xfId="26347" xr:uid="{71BADCEE-AFE3-4F4E-8FFA-03162FE52987}"/>
    <cellStyle name="A_07年PV损益预算表（第一版） 2 3 2 2" xfId="38081" xr:uid="{643807E2-12FD-4E83-8623-D8C71E10C8B4}"/>
    <cellStyle name="A_07年PV损益预算表（第一版） 2 3 3" xfId="28313" xr:uid="{A5351585-86D9-4961-8387-A4E80DC5270D}"/>
    <cellStyle name="A_07年PV损益预算表（第一版） 2 4" xfId="28310" xr:uid="{7DD1777A-3240-4658-BDE0-89D335380777}"/>
    <cellStyle name="A_07年PV损益预算表（第一版） 3" xfId="9767" xr:uid="{4E636207-8FB4-4B62-9DC1-47935DFB3DF5}"/>
    <cellStyle name="A_07年PV损益预算表（第一版） 3 2" xfId="9768" xr:uid="{B9C21BA0-8E7B-4EE6-9112-9F6A99CFE258}"/>
    <cellStyle name="A_07年PV损益预算表（第一版） 3 2 2" xfId="26348" xr:uid="{676F6B24-4A81-4198-91CD-9CE2B4D7E137}"/>
    <cellStyle name="A_07年PV损益预算表（第一版） 3 2 2 2" xfId="38082" xr:uid="{A38BFFCB-5E2C-4A5B-A5F8-A68FC492C9DF}"/>
    <cellStyle name="A_07年PV损益预算表（第一版） 3 2 3" xfId="28315" xr:uid="{1D23C6C6-706E-44F6-8AE7-A65F9573999F}"/>
    <cellStyle name="A_07年PV损益预算表（第一版） 3 3" xfId="28314" xr:uid="{15D7ADB8-0ACC-4A4C-8D46-D7F9ED24D6C4}"/>
    <cellStyle name="A_07年PV损益预算表（第一版） 4" xfId="9769" xr:uid="{03BD3395-8730-47EF-82EA-4319075932A5}"/>
    <cellStyle name="A_07年PV损益预算表（第一版） 4 2" xfId="26349" xr:uid="{6F3073E8-C3EB-4923-A918-DAEB07A3B963}"/>
    <cellStyle name="A_07年PV损益预算表（第一版） 4 2 2" xfId="38083" xr:uid="{376F7826-FE4E-40B5-8C4A-A81AEBABFA6E}"/>
    <cellStyle name="A_07年PV损益预算表（第一版） 4 3" xfId="28316" xr:uid="{581B492E-C75B-48FD-854D-C781BB3A4D59}"/>
    <cellStyle name="A_07年PV损益预算表（第一版） 5" xfId="28309" xr:uid="{DA50E9AC-8136-4E25-920E-E2B4B28DB518}"/>
    <cellStyle name="A_1st vs 2nd" xfId="9770" xr:uid="{4681FCF4-6B93-452D-9E91-64F153C28BA0}"/>
    <cellStyle name="A_1st vs 2nd 2" xfId="9771" xr:uid="{FC251703-EBD0-4E07-B01D-744CDCF209AC}"/>
    <cellStyle name="A_1st vs 2nd 2 2" xfId="9772" xr:uid="{576BCABC-F6B0-4E51-B696-2C03209055AF}"/>
    <cellStyle name="A_1st vs 2nd 2 2 2" xfId="9773" xr:uid="{BE308155-F956-447D-A6FC-BBBB8AC4584A}"/>
    <cellStyle name="A_1st vs 2nd 2 2 2 2" xfId="26350" xr:uid="{2DEF4781-FA49-4039-88FF-198E6EA9EDE2}"/>
    <cellStyle name="A_1st vs 2nd 2 2 2 2 2" xfId="38084" xr:uid="{39996229-5AC1-4698-8C80-CAF1FE231765}"/>
    <cellStyle name="A_1st vs 2nd 2 2 2 3" xfId="28320" xr:uid="{568BF314-F0E8-4F17-A6D5-129CC9859775}"/>
    <cellStyle name="A_1st vs 2nd 2 2 3" xfId="28319" xr:uid="{91570B38-F758-4EDB-A697-A04CEA0CE590}"/>
    <cellStyle name="A_1st vs 2nd 2 3" xfId="9774" xr:uid="{BCF35960-1B2B-4DCD-AC2C-53B690B71C7F}"/>
    <cellStyle name="A_1st vs 2nd 2 3 2" xfId="26351" xr:uid="{E99100E1-FAF6-4913-8936-010C4D4E87EC}"/>
    <cellStyle name="A_1st vs 2nd 2 3 2 2" xfId="38085" xr:uid="{217E831D-77F6-496A-B2AE-50BAE1E1FE15}"/>
    <cellStyle name="A_1st vs 2nd 2 3 3" xfId="28321" xr:uid="{94248951-9C0D-45F9-A223-F37A75085863}"/>
    <cellStyle name="A_1st vs 2nd 2 4" xfId="28318" xr:uid="{9EF9EC32-47F1-4C91-B3A8-8C31757700FB}"/>
    <cellStyle name="A_1st vs 2nd 3" xfId="9775" xr:uid="{94012AFB-BC2C-4AC0-9B11-E4AA34539FDA}"/>
    <cellStyle name="A_1st vs 2nd 3 2" xfId="9776" xr:uid="{C554A0EE-8C7F-42E2-8931-F72081A6E2C0}"/>
    <cellStyle name="A_1st vs 2nd 3 2 2" xfId="26352" xr:uid="{13797186-DA44-41B7-9290-9E4740F24CEA}"/>
    <cellStyle name="A_1st vs 2nd 3 2 2 2" xfId="38086" xr:uid="{C53A30EB-F2C3-4656-867C-531A90DE3242}"/>
    <cellStyle name="A_1st vs 2nd 3 2 3" xfId="28323" xr:uid="{96874C92-B051-41B8-BB18-E92E68440E28}"/>
    <cellStyle name="A_1st vs 2nd 3 3" xfId="28322" xr:uid="{E00261A4-8C98-4233-B087-B3C3AAFA0E8B}"/>
    <cellStyle name="A_1st vs 2nd 4" xfId="9777" xr:uid="{F5D3D2FA-96D6-43AC-A0AF-84F8048B4D52}"/>
    <cellStyle name="A_1st vs 2nd 4 2" xfId="26353" xr:uid="{A53709A5-D7FE-4323-B9C6-A7A679C25484}"/>
    <cellStyle name="A_1st vs 2nd 4 2 2" xfId="38087" xr:uid="{84D744B0-78E0-4BFE-B051-0CA1ABDCD673}"/>
    <cellStyle name="A_1st vs 2nd 4 3" xfId="28324" xr:uid="{03467BB5-CD70-42AA-9908-6ABC96AE539D}"/>
    <cellStyle name="A_1st vs 2nd 5" xfId="28317" xr:uid="{372398A6-FD4B-42A4-93D0-7A1B4209A03F}"/>
    <cellStyle name="A_2007年期间折旧费用" xfId="9778" xr:uid="{0B72A92F-DD86-4E78-9010-DCEB80168533}"/>
    <cellStyle name="A_506 YL X11C 予実績比較" xfId="9779" xr:uid="{31A5F36A-CC7B-4EF3-8E5A-61073142D74D}"/>
    <cellStyle name="A_506 YL X11C 予実績比較 2" xfId="9780" xr:uid="{8DC518DC-5761-4605-8952-4B60EB762B71}"/>
    <cellStyle name="A_506 YL X11C 予実績比較 3" xfId="9781" xr:uid="{601462D6-6342-4C8A-A6D0-302C7B7E30C7}"/>
    <cellStyle name="A_9 20人工成本" xfId="9782" xr:uid="{858F031C-0716-42DB-9036-6B6B4188120F}"/>
    <cellStyle name="A_9 20人工成本_%e5%a4%8d%e4%bb%b6+(2)+06BP%e4%ba%ba%e5%b7%a520060615%3f6%e5%b9%b4%e9%a2%84%e7%ae%97%e7%89%88%3fxls" xfId="9783" xr:uid="{5DCD15A3-9C70-4A69-8198-4A1913B96CBC}"/>
    <cellStyle name="A_9 20人工成本_销售部2007年人员计划" xfId="9784" xr:uid="{89C12514-8A82-4FCC-850A-F3F3A46E82EB}"/>
    <cellStyle name="A_A案成本分離(1223案)" xfId="9785" xr:uid="{A87B2B5A-5D28-473F-8509-B673A1D88561}"/>
    <cellStyle name="A_A案成本分離(1223案) 2" xfId="9786" xr:uid="{E2CE95DE-F496-4E87-9ADB-1E784A5C88D2}"/>
    <cellStyle name="A_A案成本分離(1223案) 3" xfId="9787" xr:uid="{903AD5C5-32D2-44A7-960D-592386F7B8D7}"/>
    <cellStyle name="A_Book1" xfId="9788" xr:uid="{082BFF39-7553-4C63-B0AE-F16CF5CBAE18}"/>
    <cellStyle name="A_Book1 2" xfId="9789" xr:uid="{3975F25D-0B11-4608-981E-0E3C8F04C66F}"/>
    <cellStyle name="A_Book1_FY13 Budget Simulation Excel PKG for Auto by company" xfId="9790" xr:uid="{ED984EA3-A64A-4456-8AAC-CFA9AD749350}"/>
    <cellStyle name="A_Book2" xfId="9791" xr:uid="{8AEC331A-46F3-4B7C-B76A-49CD8724BB6E}"/>
    <cellStyle name="A_Budget ver01 ananlusis" xfId="9792" xr:uid="{190A2CFF-0EE7-45BD-9575-EE1F5A02C3B8}"/>
    <cellStyle name="A_CE製造費用20050126" xfId="9793" xr:uid="{9817A64F-0D60-46C5-90EA-097EBD0FCA48}"/>
    <cellStyle name="A_Common ENG製造計畫20050314-2" xfId="9794" xr:uid="{268B58C8-3511-4EC4-801E-65153361A3B2}"/>
    <cellStyle name="A_DFL75预测汇报（会议版）" xfId="9795" xr:uid="{196732E4-21D8-4081-8EA3-80F1C37AD0C1}"/>
    <cellStyle name="A_DFL75预测汇报（会议版） 2" xfId="9796" xr:uid="{FC35BE0F-3727-4C0C-97A3-1FA863F3458A}"/>
    <cellStyle name="A_DFL75预测汇报（会议版） 2 2" xfId="9797" xr:uid="{DCDA352C-95F5-418B-8D7D-641E7E220FF2}"/>
    <cellStyle name="A_DFL75预测汇报（会议版） 2 2 2" xfId="9798" xr:uid="{7578F144-321D-474A-ADB7-4D793A8392C5}"/>
    <cellStyle name="A_DFL75预测汇报（会议版） 2 2 2 2" xfId="26354" xr:uid="{ED6DD28D-DE89-4732-B88F-341E8C8624F5}"/>
    <cellStyle name="A_DFL75预测汇报（会议版） 2 2 2 2 2" xfId="38088" xr:uid="{AD1EA088-9E7E-49D2-BB5B-D9C3FC5FA2A4}"/>
    <cellStyle name="A_DFL75预测汇报（会议版） 2 2 2 3" xfId="28328" xr:uid="{F78F63C9-54D6-4F33-B9FA-AC8D1A42279D}"/>
    <cellStyle name="A_DFL75预测汇报（会议版） 2 2 3" xfId="28327" xr:uid="{3D06FFD7-E3A4-4862-92E3-75E1821F48DC}"/>
    <cellStyle name="A_DFL75预测汇报（会议版） 2 3" xfId="9799" xr:uid="{865B76C8-D308-4F78-9567-7FF25F3532FE}"/>
    <cellStyle name="A_DFL75预测汇报（会议版） 2 3 2" xfId="26355" xr:uid="{DCEE7422-4877-4354-9BA1-4FD48CE3984F}"/>
    <cellStyle name="A_DFL75预测汇报（会议版） 2 3 2 2" xfId="38089" xr:uid="{3A04054C-7971-4116-B69F-46DA944319C1}"/>
    <cellStyle name="A_DFL75预测汇报（会议版） 2 3 3" xfId="28329" xr:uid="{7800C8DE-993F-454A-96D0-2363CFBFE319}"/>
    <cellStyle name="A_DFL75预测汇报（会议版） 2 4" xfId="28326" xr:uid="{D37EF5D8-6FAA-4DC9-8DC4-BF995F92A68D}"/>
    <cellStyle name="A_DFL75预测汇报（会议版） 3" xfId="9800" xr:uid="{811D7920-3D7A-407D-BBF2-B4FFF628EB45}"/>
    <cellStyle name="A_DFL75预测汇报（会议版） 3 2" xfId="9801" xr:uid="{43868EB4-8842-439A-9FB5-2F46CE3BB5F8}"/>
    <cellStyle name="A_DFL75预测汇报（会议版） 3 2 2" xfId="26356" xr:uid="{1C654D1E-BED7-4C5B-B07E-B97D74DAB8A2}"/>
    <cellStyle name="A_DFL75预测汇报（会议版） 3 2 2 2" xfId="38090" xr:uid="{63CF69C1-9F83-43F6-A71C-CB67AF40626C}"/>
    <cellStyle name="A_DFL75预测汇报（会议版） 3 2 3" xfId="28331" xr:uid="{B4FF17DB-390D-4212-BD5E-A5F12ECEEA40}"/>
    <cellStyle name="A_DFL75预测汇报（会议版） 3 3" xfId="28330" xr:uid="{EC720554-85C5-4C99-9452-40A4867B1C75}"/>
    <cellStyle name="A_DFL75预测汇报（会议版） 4" xfId="9802" xr:uid="{BF34F28F-B4A3-4FE0-BE1A-C7E44E6F30D0}"/>
    <cellStyle name="A_DFL75预测汇报（会议版） 4 2" xfId="26357" xr:uid="{31FF4B4D-7F7A-4431-AE61-26F8D44F8322}"/>
    <cellStyle name="A_DFL75预测汇报（会议版） 4 2 2" xfId="38091" xr:uid="{D5951CFC-742C-40DC-AED9-3A3839C7CA40}"/>
    <cellStyle name="A_DFL75预测汇报（会议版） 4 3" xfId="28332" xr:uid="{DCDCDA1C-439F-4112-9CBF-6F331C8FD7C8}"/>
    <cellStyle name="A_DFL75预测汇报（会议版） 5" xfId="28325" xr:uid="{5B0E71D1-D1B1-4F75-A40D-CE46052E7BE1}"/>
    <cellStyle name="A_FY10 FC2+10" xfId="9803" xr:uid="{59DFA18F-3435-473E-9D73-7DA3B1968114}"/>
    <cellStyle name="A_FY10 FC2+10 2" xfId="9804" xr:uid="{EFEB7876-E5C7-49BB-AF7B-E31A2D9F4A5D}"/>
    <cellStyle name="A_FY10 FC2+10 2 2" xfId="9805" xr:uid="{D4DE4E88-8043-44C6-B9D0-6A68B43430C9}"/>
    <cellStyle name="A_FY10 FC2+10 2 2 2" xfId="26358" xr:uid="{B26007B2-DBD0-438D-871D-93C3471A2F98}"/>
    <cellStyle name="A_FY10 FC2+10 2 2 2 2" xfId="38092" xr:uid="{BEC6810F-E956-4CB1-9843-E66CB93175A6}"/>
    <cellStyle name="A_FY10 FC2+10 2 2 3" xfId="28335" xr:uid="{693C6743-78E4-4DFC-AD84-1BCE74CD2A94}"/>
    <cellStyle name="A_FY10 FC2+10 2 3" xfId="28334" xr:uid="{33A4235F-9C67-4133-87B7-483B407985D7}"/>
    <cellStyle name="A_FY10 FC2+10 3" xfId="9806" xr:uid="{D1DF9642-DF61-444E-AA7B-47A6CC5988E7}"/>
    <cellStyle name="A_FY10 FC2+10 3 2" xfId="26359" xr:uid="{0149068E-C3FF-4610-A07E-D2FDE33A976A}"/>
    <cellStyle name="A_FY10 FC2+10 3 2 2" xfId="38093" xr:uid="{E2482FB1-43A2-4C38-8EFE-39CF04B3970A}"/>
    <cellStyle name="A_FY10 FC2+10 3 3" xfId="28336" xr:uid="{A57797F6-B208-40A0-A534-B7E3AEBAD1DC}"/>
    <cellStyle name="A_FY10 FC2+10 4" xfId="28333" xr:uid="{C1971E56-21B3-45AB-AFDD-381D3B81C1FD}"/>
    <cellStyle name="A_HD人力最终版6(1).20" xfId="9808" xr:uid="{46F72AF0-F5E3-41FA-A8C4-022E184A0213}"/>
    <cellStyle name="A_HD人力最终版6(1).20_销售部2007年人员计划" xfId="9809" xr:uid="{155DB867-83DE-477B-AFB1-8EAF97ADC080}"/>
    <cellStyle name="A_HD工厂计划明细表BP" xfId="9807" xr:uid="{76D1C191-DC0E-493C-A70F-4ED354648CC9}"/>
    <cellStyle name="A_HR labor cost" xfId="9810" xr:uid="{4055210B-17C2-4C9A-9586-F673436AF4BB}"/>
    <cellStyle name="A_HR labor cost_%e5%a4%8d%e4%bb%b6+(2)+06BP%e4%ba%ba%e5%b7%a520060615%3f6%e5%b9%b4%e9%a2%84%e7%ae%97%e7%89%88%3fxls" xfId="9811" xr:uid="{535CEE79-CE07-4E28-8759-8CE90139453B}"/>
    <cellStyle name="A_HR labor cost_销售部2007年人员计划" xfId="9812" xr:uid="{9CB9794A-ACD6-4F91-97BE-F5D9783C5E22}"/>
    <cellStyle name="A_JA 試作工時預估彙整-三義廠及生管部(0907)" xfId="9813" xr:uid="{82EF6BD5-76B5-4B21-942C-0F09FCC95A41}"/>
    <cellStyle name="A_JA試作工時(零技引擎)" xfId="9814" xr:uid="{C9EFF7A5-5E06-4D98-B40B-831B53A4E902}"/>
    <cellStyle name="A_JA試裝工時9月(生管部)" xfId="9815" xr:uid="{12FDB06F-3E3E-4C4C-8201-5CAFDCED21CD}"/>
    <cellStyle name="A_L11C製造計劃-壓造N" xfId="9816" xr:uid="{4270CF58-B1EC-4758-8B73-59ABC9462A34}"/>
    <cellStyle name="A_L11C製造計劃-壓造N 2" xfId="9817" xr:uid="{153FD3BE-AACD-461F-BCCC-2386A549F67D}"/>
    <cellStyle name="A_L11C製造計劃-壓造N 3" xfId="9818" xr:uid="{B38A4809-5286-4B46-88C2-D516181EE860}"/>
    <cellStyle name="A_L11K(YL)全體製造計劃-040103(修)" xfId="9819" xr:uid="{240BAFA0-D97D-4DE8-8F95-9E9516EA6D60}"/>
    <cellStyle name="A_L42F TWN BMP(BODY)-Rev05-050729" xfId="9820" xr:uid="{F995B580-FB84-4231-B8E6-E382A153F962}"/>
    <cellStyle name="A_L42F TWN BMP(BODY)-Rev05-050729 2" xfId="9821" xr:uid="{52DB9C22-9AD3-4E6C-91A0-ACC3A7D967F8}"/>
    <cellStyle name="A_L42F TWN BMP(BODY)-Rev05-050729 3" xfId="9822" xr:uid="{2EA38333-3ECD-492B-9CF5-293EB77EA3E3}"/>
    <cellStyle name="A_L42F膠計算" xfId="9823" xr:uid="{C8D7EE0A-CA0D-4004-9790-EB056C933F0F}"/>
    <cellStyle name="A_L42F膠計算 2" xfId="9824" xr:uid="{CE44B48A-6074-4226-9A66-502206BC8EC6}"/>
    <cellStyle name="A_L42F膠計算 3" xfId="9825" xr:uid="{1993C291-F1F6-4AF7-B4B6-F71D54B32DE0}"/>
    <cellStyle name="A_Lot 2 進度" xfId="9826" xr:uid="{8CBB8DA9-844B-40A2-836F-BA33136763AD}"/>
    <cellStyle name="A_MKM SCHEDUIE_Dec-10" xfId="9827" xr:uid="{8B6900B4-5235-47A5-8E08-74EBAD58AEFC}"/>
    <cellStyle name="A_MKM SCHEDUIE_Dec-10_週間日程計劃940117" xfId="9828" xr:uid="{17A306C4-9205-40C9-B778-749CB7B319F2}"/>
    <cellStyle name="A_MKM SCHEDUIE_Dec-10_週間日程計劃940124" xfId="9829" xr:uid="{81CB5B15-1E3B-4F2B-B04A-BAB7E6BBD263}"/>
    <cellStyle name="A_MKM SCHEDUIE_Dec-10_週間日程計劃940324" xfId="9830" xr:uid="{8DE396BD-CBB2-4D8F-8698-C6464BE2E76D}"/>
    <cellStyle name="A_MKM SCHEDUIE_Nov-15" xfId="9831" xr:uid="{43F09FFB-D170-45AD-A283-20133DC7CC41}"/>
    <cellStyle name="A_MKM SCHEDUIE_Nov-15_週間日程計劃931123" xfId="9832" xr:uid="{C908F130-1470-4BBB-84B0-0774D57737D1}"/>
    <cellStyle name="A_MKM SCHEDUIE_Nov-15_週間日程計劃931206" xfId="9833" xr:uid="{75F1A964-60E9-4EED-84A7-EFE08497EDCC}"/>
    <cellStyle name="A_MKM SCHEDUIE_Nov-15_週間日程計劃940117" xfId="9834" xr:uid="{BD391AEA-DC03-43E5-9A9A-4FF933C6F065}"/>
    <cellStyle name="A_MKM SCHEDUIE_Nov-15_週間日程計劃940124" xfId="9835" xr:uid="{9BE50D65-603E-4816-8C8D-C10BD81FFCB4}"/>
    <cellStyle name="A_MKM SCHEDUIE_Nov-15_週間日程計劃940324" xfId="9836" xr:uid="{1F6B57BB-5992-4A23-9E02-E795BC74AE73}"/>
    <cellStyle name="A_MKM SCHEDUIE_Nov-26" xfId="9837" xr:uid="{32B02E89-2FBE-4306-A456-09493B701FC2}"/>
    <cellStyle name="A_MKM SCHEDUIE_Nov-26_週間日程計劃940117" xfId="9838" xr:uid="{F54C7F72-4DC8-4D51-B728-AD0BC886ED96}"/>
    <cellStyle name="A_MKM SCHEDUIE_Nov-26_週間日程計劃940124" xfId="9839" xr:uid="{B52BF34C-1349-4403-BD6B-0336BD491BEF}"/>
    <cellStyle name="A_MKM SCHEDUIE_Nov-26_週間日程計劃940324" xfId="9840" xr:uid="{975B85B8-738E-4303-8892-C1A02BA6025A}"/>
    <cellStyle name="A_MTP シニカル台数1" xfId="9841" xr:uid="{11417E8B-06E5-40F2-9CD8-EB04F301C168}"/>
    <cellStyle name="A_NML 7 + 5 Report (2)" xfId="9842" xr:uid="{A08992C7-3724-4593-980C-635BB93B6ADC}"/>
    <cellStyle name="A_P32E&amp;L42F-DSTR-生技" xfId="9843" xr:uid="{A4D52D17-7CAF-418A-9AEE-E183BAEE942B}"/>
    <cellStyle name="A_P32E&amp;L42F-DSTR-生技 2" xfId="9844" xr:uid="{BEE2D870-91B6-4FBB-AA1B-04094C9BF941}"/>
    <cellStyle name="A_P32E&amp;L42F-DSTR-生技 3" xfId="9845" xr:uid="{466324B9-1925-4BE9-A686-3EABC489E3D3}"/>
    <cellStyle name="A_P32E直労変動" xfId="9846" xr:uid="{5BA7C971-66C2-430A-99D6-DD6F5A359C64}"/>
    <cellStyle name="A_PIC 費用一覽表LIST" xfId="9847" xr:uid="{CF84A3C4-87A0-47E7-A34D-FF5547D71893}"/>
    <cellStyle name="A_PIC 費用一覽表LIST(資訊)" xfId="9848" xr:uid="{8CD1A20E-9DC4-47BD-89B9-DC52306AD31A}"/>
    <cellStyle name="A_Propos" xfId="9849" xr:uid="{2973B040-63E5-4940-9421-D43C21601F17}"/>
    <cellStyle name="A_PT-06plan0619" xfId="9850" xr:uid="{3D4A0EB6-9EC4-4011-8DC9-EA77737179D1}"/>
    <cellStyle name="A_simulation testing July1" xfId="9851" xr:uid="{2C3093F8-5212-4272-841D-D9EF373F980B}"/>
    <cellStyle name="A_simulation testing July1 2" xfId="9852" xr:uid="{BE64709E-DC53-4F4E-A95F-FAB0BFB40D85}"/>
    <cellStyle name="A_simulation testing July1 2 2" xfId="9853" xr:uid="{8CE6E1BA-0381-45B8-BC96-F42141F40C9F}"/>
    <cellStyle name="A_simulation testing July1 2 2 2" xfId="26360" xr:uid="{5E3A1478-D4E8-46D3-A660-F5C0FA49D2AC}"/>
    <cellStyle name="A_simulation testing July1 2 2 2 2" xfId="38094" xr:uid="{04B9F3CA-603B-4802-BBEF-2778FDBDC0BA}"/>
    <cellStyle name="A_simulation testing July1 2 2 3" xfId="28339" xr:uid="{6B7ED5AE-AF99-4316-82E9-388CB4B91C01}"/>
    <cellStyle name="A_simulation testing July1 2 3" xfId="28338" xr:uid="{37E1BA9A-74FE-4B6C-8DBC-E159048CE99B}"/>
    <cellStyle name="A_simulation testing July1 3" xfId="9854" xr:uid="{6A63E360-0030-47EE-8D58-05E503FD3B90}"/>
    <cellStyle name="A_simulation testing July1 3 2" xfId="26361" xr:uid="{92EDE949-3840-4FE7-B7A7-BA733EDBB31B}"/>
    <cellStyle name="A_simulation testing July1 3 2 2" xfId="38095" xr:uid="{97CA90E6-2164-431B-9429-E4640714A97D}"/>
    <cellStyle name="A_simulation testing July1 3 3" xfId="28340" xr:uid="{1DE52E66-BAB3-4B7F-B612-D2B35DDA6728}"/>
    <cellStyle name="A_simulation testing July1 4" xfId="28337" xr:uid="{377B3E8F-98E4-4311-8AE9-F6EE0F139F82}"/>
    <cellStyle name="A_VT 06＼07-10投资计划" xfId="9855" xr:uid="{4C8265E5-3C16-4C77-80CC-5DF3E8263CF0}"/>
    <cellStyle name="A_VT 06＼07-10投资计划_0902見直し" xfId="9856" xr:uid="{C0F355EB-8C63-4BE2-8E31-C1F27CA73E39}"/>
    <cellStyle name="A_VT 06＼07-10投资计划_09budget 081022" xfId="9857" xr:uid="{85A8A7C8-3D2E-40B6-BE6F-02B390462F3B}"/>
    <cellStyle name="A_VT 06＼07-10投资计划_CY09 市場部予算5+7" xfId="9858" xr:uid="{5F2BBC23-9A32-4B2E-97FE-9339BA65C4B9}"/>
    <cellStyle name="A_VT 06＼07-10投资计划_CY10 市場部予算5+7" xfId="9859" xr:uid="{E8AEDFF2-61EC-468E-8F9C-05634140BBB2}"/>
    <cellStyle name="A_VT 06＼07-10投资计划_ＣＹ10予算見直し後(600K モデル別)" xfId="9860" xr:uid="{D164A9BE-E071-472A-AE99-4E470985C47A}"/>
    <cellStyle name="A_VT 06＼07-10投资计划_J11J MC+Elongation(松）" xfId="9861" xr:uid="{05E62F9D-1B10-4B0C-8F7B-4A3B5A89942C}"/>
    <cellStyle name="A_VT 06＼07-10投资计划_L11K MC TDC 090306 (2)" xfId="9862" xr:uid="{26DA4C91-1FD2-4EAA-95BA-5F99E307A92F}"/>
    <cellStyle name="A_VT 06＼07-10投资计划_L42F TDC KKJ SOP 2010 Dec (090929) with MC (2)" xfId="9863" xr:uid="{4473EF16-521A-42AD-88FC-4A61958A5352}"/>
    <cellStyle name="A_VT 06＼07-10投资计划_N11J MC+Elongation(松）" xfId="9864" xr:uid="{C79379E0-FBDC-4FFE-B81E-B5B364BA26FF}"/>
    <cellStyle name="A_VT 06＼07-10投资计划_P32E MC TDC with MC (100206)" xfId="9865" xr:uid="{3A8150E6-6A3D-4850-8394-4D3870C097F2}"/>
    <cellStyle name="A_VT 06＼07-10投资计划_P32L LCP TDC Case3 (0900221)" xfId="9866" xr:uid="{B1DA10C9-077E-475B-A4FD-A9D58F634651}"/>
    <cellStyle name="A_VT 06＼07-10投资计划_TDC SUMMARY SHEET for MTP (version 2.1 100526)" xfId="9867" xr:uid="{9BDBE3C3-76C7-4E9D-A1D7-277BAE3C6845}"/>
    <cellStyle name="A_VT 06＼07-10投资计划_TDC SUMMARY SHEET for MTP (version 3.0 100526)" xfId="9868" xr:uid="{11035293-079E-49B2-BE56-FF1A5FBED4DB}"/>
    <cellStyle name="A_VT 06＼07-10投资计划_Volume Assumption &amp; Current Models" xfId="9869" xr:uid="{B4AE5DA0-C582-47A1-AEF2-B6B8AADD5DA0}"/>
    <cellStyle name="A_VT 06＼07-10投资计划_コピー ～ 2009年5＋7 售  (47万台）(090619) (予算Ｆｉｎａｌ＆Variable変更　補正版)" xfId="9870" xr:uid="{1FB3AE85-A95E-48B6-BE0C-9D3F813760D5}"/>
    <cellStyle name="A_X11C ET試作日報2005-10-13" xfId="9872" xr:uid="{D994C3A4-C403-43C5-9DD2-FD00FF86A08C}"/>
    <cellStyle name="A_X11C ET試作日報2005-10-5" xfId="9873" xr:uid="{BC92187E-55A0-4522-90B3-E58201AC873F}"/>
    <cellStyle name="A_X11C ET試作日報2005-9-10" xfId="9874" xr:uid="{B69A1CC1-CF83-481E-9421-4E6E0A6A9471}"/>
    <cellStyle name="A_X11C ET試作日報2005-9-22" xfId="9875" xr:uid="{3213965A-C288-42A7-A2A1-88A5A8F4588B}"/>
    <cellStyle name="A_X11C ET試作日報2005-9-29" xfId="9876" xr:uid="{296102CB-587B-4A14-A661-0A63868829EA}"/>
    <cellStyle name="A_X11C ET試作進度管控表-1013" xfId="9871" xr:uid="{6BA312FD-98B2-4204-899B-374A6A6BFDEC}"/>
    <cellStyle name="A_X11C Man. Plan Paint (Summery)YLO0722" xfId="9877" xr:uid="{3173819A-E75C-49A9-BD18-6F6C4AA0A682}"/>
    <cellStyle name="A_X11C Man. Plan Paint (Summery)YLO0722 2" xfId="9878" xr:uid="{FB508C8E-6F53-4CA1-9BC1-EA747C07D66E}"/>
    <cellStyle name="A_X11C Man. Plan Paint (Summery)YLO0722 3" xfId="9879" xr:uid="{2D97958E-23FC-4E1D-BD4C-09A561970340}"/>
    <cellStyle name="A_X11C Man. Plan Paint (Summery)YLO0722_~1727885" xfId="9880" xr:uid="{A4DF7A77-D13F-45B2-8E39-D9FF997F805E}"/>
    <cellStyle name="A_X11C Man. Plan Paint (Summery)YLO0722_~4348813" xfId="9881" xr:uid="{11391C10-162E-4D1F-836F-BF47DD851EC9}"/>
    <cellStyle name="A_X11C Man. Plan Paint (Summery)YLO0722_~7532513" xfId="9882" xr:uid="{60F88531-6561-4A16-B206-5F6C287520DB}"/>
    <cellStyle name="A_X11C Man. Plan Paint (Summery)YLO0722_050711)P32E基本製造計画_01" xfId="9883" xr:uid="{97B6CF14-8672-4194-9C94-2BAC63923512}"/>
    <cellStyle name="A_X11C Man. Plan Paint (Summery)YLO0722_050711)P32E基本製造計画_01 2" xfId="9884" xr:uid="{D1C9E677-469E-4183-A17F-D6C32A9AC0DA}"/>
    <cellStyle name="A_X11C Man. Plan Paint (Summery)YLO0722_050711)P32E基本製造計画_01 3" xfId="9885" xr:uid="{60289DAC-86C2-48B7-93BA-E72B778573DF}"/>
    <cellStyle name="A_X11C Man. Plan Paint (Summery)YLO0722_F91A基本製造計画2" xfId="9886" xr:uid="{70B56B39-F156-44D8-9E8A-DCFAFE754F29}"/>
    <cellStyle name="A_X11C Man. Plan Paint (Summery)YLO0722_F91A基本製造計画2 2" xfId="9887" xr:uid="{2EC72AB1-00B0-4A67-88B6-AC618D28D4C6}"/>
    <cellStyle name="A_X11C Man. Plan Paint (Summery)YLO0722_F91A基本製造計画2 3" xfId="9888" xr:uid="{C1BF1AB9-4895-4088-A27D-F8BC9F961168}"/>
    <cellStyle name="A_X11C Man. Plan Paint (Summery)YLO0722_L42F SOURCING FOLLOW UP-060907" xfId="9889" xr:uid="{14C771B6-0FE8-4091-B7AF-774452AD3536}"/>
    <cellStyle name="A_X11C Man. Plan Paint (Summery)YLO0722_L42F SOURCING FOLLOW-UP" xfId="9890" xr:uid="{B0C14B48-486B-4871-A3DF-F2C9FEFD3F39}"/>
    <cellStyle name="A_X11C Man. Plan Paint (Summery)YLO0722_L42F sourcing status-1012-YNTC" xfId="9891" xr:uid="{4AB940DD-ACFB-4F37-9DBC-5ED66D070FF6}"/>
    <cellStyle name="A_X11C Man. Plan Paint (Summery)YLO0722_L42F TWN BMP(BODY)-Rev05-050729" xfId="9892" xr:uid="{40A0238F-6EB8-4AAA-8837-B6AD7022233A}"/>
    <cellStyle name="A_X11C Man. Plan Paint (Summery)YLO0722_L42F TWN BMP(BODY)-Rev05-050729 2" xfId="9893" xr:uid="{CAFB33D2-81D8-4D97-A97D-EC7D438D4329}"/>
    <cellStyle name="A_X11C Man. Plan Paint (Summery)YLO0722_L42F TWN BMP(BODY)-Rev05-050729 3" xfId="9894" xr:uid="{9293D215-8570-4A7A-9894-0FBCE0023734}"/>
    <cellStyle name="A_X11C Man. Plan Paint (Summery)YLO0722_L42F TWN BPP(Paint) Rev3-05.8.1" xfId="9895" xr:uid="{2709CC50-B903-4462-82B9-0DDA69E6753A}"/>
    <cellStyle name="A_X11C Man. Plan Paint (Summery)YLO0722_L42F TWN BPP(Paint) Rev3-05.8.1 2" xfId="9896" xr:uid="{A7A41DFF-43A6-43F8-BDD4-8CE2D456D386}"/>
    <cellStyle name="A_X11C Man. Plan Paint (Summery)YLO0722_L42F TWN BPP(Paint) Rev3-05.8.1 3" xfId="9897" xr:uid="{6E8DAD1C-C8A2-422E-A375-7D2595238B4E}"/>
    <cellStyle name="A_X11C Man. Plan Paint (Summery)YLO0722_L42F&amp;P32ECKJ比較修" xfId="9898" xr:uid="{868ED07D-7B34-4698-9911-918AC5AE27BB}"/>
    <cellStyle name="A_X11C Man. Plan Paint (Summery)YLO0722_L42F&amp;P32ECKJ比較修 2" xfId="9899" xr:uid="{A37B8FC5-A5DA-4BA4-8DA8-EDC308FEF517}"/>
    <cellStyle name="A_X11C Man. Plan Paint (Summery)YLO0722_L42F&amp;P32ECKJ比較修 3" xfId="9900" xr:uid="{E926962C-82C8-4B5B-9DC0-34D4547D0EFA}"/>
    <cellStyle name="A_X11C Man. Plan Paint (Summery)YLO0722_L42F_TWN_BPP(PRESS)_Rev3_05.08.01" xfId="9901" xr:uid="{F444CB85-E4B8-4C41-B3E5-1ABBF5971DB7}"/>
    <cellStyle name="A_X11C Man. Plan Paint (Summery)YLO0722_L42F_TWN_BPP(PRESS)_Rev3_05.08.01 2" xfId="9902" xr:uid="{49A92025-A7C6-463D-8867-60AC5D1C95D8}"/>
    <cellStyle name="A_X11C Man. Plan Paint (Summery)YLO0722_L42F_TWN_BPP(PRESS)_Rev3_05.08.01 3" xfId="9903" xr:uid="{61776E12-F76A-481E-BD8D-EBCBD006AFAE}"/>
    <cellStyle name="A_X11C Man. Plan Paint (Summery)YLO0722_L42F-IE" xfId="9904" xr:uid="{057DE09E-2F3F-4DCD-A61D-4B52DF70A30E}"/>
    <cellStyle name="A_X11C Man. Plan Paint (Summery)YLO0722_L42F全体版YLM呈核用0803" xfId="9905" xr:uid="{B7463726-CB72-4AA4-B23D-4AF6D72ACC28}"/>
    <cellStyle name="A_X11C Man. Plan Paint (Summery)YLO0722_L42F全体版YLM呈核用2005-12-23" xfId="9906" xr:uid="{7D007698-3A3C-44B5-888F-BBF0B8565505}"/>
    <cellStyle name="A_X11C Man. Plan Paint (Summery)YLO0722_P32E&amp;L42F-DSTR-生技" xfId="9907" xr:uid="{2FD79962-9D5E-419E-ACE4-20D2A6CE181E}"/>
    <cellStyle name="A_X11C Man. Plan Paint (Summery)YLO0722_P32E&amp;L42F-DSTR-生技 2" xfId="9908" xr:uid="{28C3C8ED-56F5-4523-9123-1AFA804CF88B}"/>
    <cellStyle name="A_X11C Man. Plan Paint (Summery)YLO0722_P32E&amp;L42F-DSTR-生技 3" xfId="9909" xr:uid="{08079C06-9A28-404C-B09B-68DD7566D49D}"/>
    <cellStyle name="A_X11C Man. Plan Paint (Summery)YLO0722_P32E_TWN_BMP(BODY)_Rev02_(050721)" xfId="9910" xr:uid="{22857E8C-243A-452A-B097-8F19DA66983F}"/>
    <cellStyle name="A_X11C Man. Plan Paint (Summery)YLO0722_P32E_TWN_BMP(BODY)_Rev02_(050721) 2" xfId="9911" xr:uid="{470C6EA4-4C98-4F8E-ACEE-8D4CFDC6C11F}"/>
    <cellStyle name="A_X11C Man. Plan Paint (Summery)YLO0722_P32E_TWN_BMP(BODY)_Rev02_(050721) 3" xfId="9912" xr:uid="{F3A9E349-8530-494A-863D-DEE88010AE1D}"/>
    <cellStyle name="A_X11C Man. Plan Paint (Summery)YLO0722_PIC 費用一覽表LIST" xfId="9913" xr:uid="{16EB4003-8B88-410A-9A17-DDB29B59B464}"/>
    <cellStyle name="A_X11C Man. Plan Paint (Summery)YLO0722_PIC 費用一覽表LIST(資訊)" xfId="9914" xr:uid="{060A61CE-4A60-417E-98DC-1C4363B21C17}"/>
    <cellStyle name="A_X11C Man. Plan Paint (Summery)YLO0722_X11C ET試作進度管控表-09201" xfId="9915" xr:uid="{85A0452C-2E97-4330-A74F-75F85CA2E36D}"/>
    <cellStyle name="A_X11C Man. Plan Paint (Summery)YLO0722_X11C ET試作進度管控表-0922" xfId="9916" xr:uid="{1AFC34C6-CE17-4682-82A5-F5D3A5C0AFDE}"/>
    <cellStyle name="A_X11C Man. Plan Paint (Summery)YLO0722_X11C ET試作進度管控表-0923" xfId="9917" xr:uid="{AF9398D3-4AEF-4C45-92E2-1C69A9D14E15}"/>
    <cellStyle name="A_X11C Man. Plan Paint (Summery)YLO0722_X11C ET試作進度管控表-1004" xfId="9918" xr:uid="{DA70B22E-E97E-4C05-9D80-119E069C7116}"/>
    <cellStyle name="A_X11C Man. Plan Paint (Summery)YLO0722_X11C ET試作進度管控表-1005" xfId="9919" xr:uid="{7DC4AD58-5238-42EC-92E1-77CCABDAA634}"/>
    <cellStyle name="A_X11C Man. Plan Paint (Summery)YLO0722_X11C ET試作進度管控表-1013" xfId="9920" xr:uid="{124D8D32-7203-412E-BF0E-07E6AE902849}"/>
    <cellStyle name="A_X11C Man. Plan Paint (Summery)YLO0722_X11C壓造ET試作日程計劃1" xfId="9933" xr:uid="{352B9B87-B93C-4552-B73D-A9B7923862A1}"/>
    <cellStyle name="A_X11C Man. Plan Paint (Summery)YLO0722_X11C壓造ET試作日程計劃1_~4348813" xfId="9934" xr:uid="{840D15FE-F214-4D27-865D-CA6CF4191D28}"/>
    <cellStyle name="A_X11C Man. Plan Paint (Summery)YLO0722_X11C壓造ET試作日程計劃1_X11C ET試作進度管控表-09201" xfId="9935" xr:uid="{75201862-E4B6-4473-8CD5-DF487A9B3457}"/>
    <cellStyle name="A_X11C Man. Plan Paint (Summery)YLO0722_X11C壓造ET試作日程計劃1_X11C ET試作進度管控表-0922" xfId="9936" xr:uid="{1178B87C-BE85-49DC-88A1-15370E8D69D4}"/>
    <cellStyle name="A_X11C Man. Plan Paint (Summery)YLO0722_X11C壓造ET試作日程計劃1_X11C ET試作進度管控表-0923" xfId="9937" xr:uid="{215E2A49-9FC2-41A9-B79F-40B9208365E7}"/>
    <cellStyle name="A_X11C Man. Plan Paint (Summery)YLO0722_X11C壓造ET試作日程計劃1_X11C ET試作進度管控表-1004" xfId="9938" xr:uid="{680C58BD-0C7E-4429-BEDD-C41F3A2BF371}"/>
    <cellStyle name="A_X11C Man. Plan Paint (Summery)YLO0722_X11C壓造ET試作日程計劃1_X11C ET試作進度管控表-1005" xfId="9939" xr:uid="{5A1437DC-04C2-4188-9937-4E40BFBD9389}"/>
    <cellStyle name="A_X11C Man. Plan Paint (Summery)YLO0722_X11C壓造ET試作日程計劃1_X11C ET試作進度管控表-1013" xfId="9940" xr:uid="{0BBD96C3-B0BE-4AEA-B8A6-6883176CA7F8}"/>
    <cellStyle name="A_X11C Man. Plan Paint (Summery)YLO0722_X11C壓造品質進度管理表" xfId="9941" xr:uid="{5CC86FF9-5CC0-43D7-8C42-3D750D46920C}"/>
    <cellStyle name="A_X11C Man. Plan Paint (Summery)YLO0722_X11C製造計劃(全體)-20040729" xfId="9927" xr:uid="{3EE23265-4A3C-4FEE-961F-4179E1B7F4B9}"/>
    <cellStyle name="A_X11C Man. Plan Paint (Summery)YLO0722_X11C製造計劃(全體)-20040729 2" xfId="9928" xr:uid="{D8A3067D-AF5D-401D-A14D-A00FFB0C1447}"/>
    <cellStyle name="A_X11C Man. Plan Paint (Summery)YLO0722_X11C製造計劃(全體)-20040729 3" xfId="9929" xr:uid="{089D9B61-4C9E-4ADB-825E-7CB2FA2CF756}"/>
    <cellStyle name="A_X11C Man. Plan Paint (Summery)YLO0722_X11C製造計劃(全體)-20040805YLM  CONFIRM" xfId="9930" xr:uid="{57A757D3-6FD5-4156-95C2-F35BDC672F4E}"/>
    <cellStyle name="A_X11C Man. Plan Paint (Summery)YLO0722_X11C製造計劃(全體)-20040805YLM  CONFIRM 2" xfId="9931" xr:uid="{5CCCB2AE-EBAA-4D4F-9805-9567F8DCEDD0}"/>
    <cellStyle name="A_X11C Man. Plan Paint (Summery)YLO0722_X11C製造計劃(全體)-20040805YLM  CONFIRM 3" xfId="9932" xr:uid="{A85AB226-E04F-46A2-8EAC-FC2D72E8B8C7}"/>
    <cellStyle name="A_X11C Man. Plan Paint (Summery)YLO0722_X11C車型ET試作日程計劃修訂0920" xfId="9921" xr:uid="{D1D26960-7CEE-485E-B5B6-7E636F74D611}"/>
    <cellStyle name="A_X11C Man. Plan Paint (Summery)YLO0722_X11C車型ET試作日程計劃修訂0920_X11C ET試作進度管控表-0922" xfId="9922" xr:uid="{937286F7-BFB5-46D2-882D-9BF4A2626AD8}"/>
    <cellStyle name="A_X11C Man. Plan Paint (Summery)YLO0722_X11C車型ET試作日程計劃修訂0920_X11C ET試作進度管控表-0923" xfId="9923" xr:uid="{DCB78FD1-68CE-4A82-BAC6-D45D404D5A3C}"/>
    <cellStyle name="A_X11C Man. Plan Paint (Summery)YLO0722_X11C車型ET試作日程計劃修訂0920_X11C ET試作進度管控表-1004" xfId="9924" xr:uid="{86B315D4-CC9B-4041-94D6-FD6ED4947557}"/>
    <cellStyle name="A_X11C Man. Plan Paint (Summery)YLO0722_X11C車型ET試作日程計劃修訂0920_X11C ET試作進度管控表-1005" xfId="9925" xr:uid="{B2A24B5A-0D99-4900-B610-3AF20700503F}"/>
    <cellStyle name="A_X11C Man. Plan Paint (Summery)YLO0722_X11C車型ET試作日程計劃修訂0920_X11C ET試作進度管控表-1013" xfId="9926" xr:uid="{03C11A5D-FB57-4256-919A-CAF5E2762D9F}"/>
    <cellStyle name="A_X11C Man. Plan Paint (Summery)YLO0722_X11J Project Labour Plan" xfId="9942" xr:uid="{0EBBF0D3-A8B2-42A0-A599-7FEB1829078B}"/>
    <cellStyle name="A_X11C Man. Plan Paint (Summery)YLO0722_X11J-製造計劃(壓造)-050222修正（０Ｋ）" xfId="9943" xr:uid="{35EDD2DB-8612-47E5-89EE-9AD87677CA1B}"/>
    <cellStyle name="A_X11C Man. Plan Paint (Summery)YLO0722_全体" xfId="9947" xr:uid="{D83FCAAB-9C9A-48E4-871C-E43BDD2F10C2}"/>
    <cellStyle name="A_X11C Man. Plan Paint (Summery)YLO0722_引擎台數" xfId="9944" xr:uid="{B2153DF6-3298-4640-8C7A-6B6C6C153922}"/>
    <cellStyle name="A_X11C Man. Plan Paint (Summery)YLO0722_研修派遣及課題表" xfId="9945" xr:uid="{F37DDAA6-200E-48E5-A822-66A512144B9B}"/>
    <cellStyle name="A_X11C Man. Plan Paint (Summery)YLO0722_聯絡會-060828-QIA-L42F" xfId="9948" xr:uid="{1235F863-0A38-4E84-B6E0-6A877CF076B7}"/>
    <cellStyle name="A_X11C Man. Plan Paint (Summery)YLO0722_車体版050203" xfId="9946" xr:uid="{BFDE72A8-958B-4836-9AD3-314EB37E7A01}"/>
    <cellStyle name="A_X11C製造計劃(全體)-20040729" xfId="9971" xr:uid="{E6B5EE01-ADEF-4BFA-9276-09B714DD8DDE}"/>
    <cellStyle name="A_X11C車型ET試作日程計劃6.2版案" xfId="9949" xr:uid="{1D940F16-0F37-4F76-9085-94AC912F1123}"/>
    <cellStyle name="A_X11C車型ET試作日程計劃6.2版案_~4348813" xfId="9950" xr:uid="{2A806069-62A1-43A3-9935-B58EFE029ED0}"/>
    <cellStyle name="A_X11C車型ET試作日程計劃6.2版案_X11C ET試作進度管控表-09201" xfId="9951" xr:uid="{AF5A8C54-163E-4D44-B0B6-99DFE6CF8B1C}"/>
    <cellStyle name="A_X11C車型ET試作日程計劃6.2版案_X11C ET試作進度管控表-0922" xfId="9952" xr:uid="{9B61747D-416B-4DA0-A34F-E5D8FAC18BFD}"/>
    <cellStyle name="A_X11C車型ET試作日程計劃6.2版案_X11C ET試作進度管控表-0923" xfId="9953" xr:uid="{CDFD4023-18FC-48E6-90C5-4E6872FB1D96}"/>
    <cellStyle name="A_X11C車型ET試作日程計劃6.2版案_X11C ET試作進度管控表-1004" xfId="9954" xr:uid="{B3FA9A27-1F13-41B3-A8BC-FB8BFC10CB56}"/>
    <cellStyle name="A_X11C車型ET試作日程計劃6.2版案_X11C ET試作進度管控表-1005" xfId="9955" xr:uid="{5BD4ED2D-50BA-4477-91E9-7988A8581147}"/>
    <cellStyle name="A_X11C車型ET試作日程計劃6.2版案_X11C ET試作進度管控表-1013" xfId="9956" xr:uid="{140A406C-89EA-4DCE-BA68-F7D7DD9A5EC5}"/>
    <cellStyle name="A_X11C車型ET試作日程計劃修訂0915" xfId="9957" xr:uid="{ACF39C80-FDEA-4DFE-A9B4-81786C122E88}"/>
    <cellStyle name="A_X11C車型ET試作日程計劃修訂0915_~4348813" xfId="9958" xr:uid="{3EAAD113-0B89-4E06-8E9D-C79634D453AC}"/>
    <cellStyle name="A_X11C車型ET試作日程計劃修訂0915_X11C ET試作進度管控表-09201" xfId="9959" xr:uid="{44AD79A4-420A-403A-A111-0626D0CA136F}"/>
    <cellStyle name="A_X11C車型ET試作日程計劃修訂0915_X11C ET試作進度管控表-0922" xfId="9960" xr:uid="{6F96E342-D5AA-42BC-950C-C585C6950F26}"/>
    <cellStyle name="A_X11C車型ET試作日程計劃修訂0915_X11C ET試作進度管控表-0923" xfId="9961" xr:uid="{A6584835-4B60-42CB-A037-457C0E849A79}"/>
    <cellStyle name="A_X11C車型ET試作日程計劃修訂0915_X11C ET試作進度管控表-1004" xfId="9962" xr:uid="{DCE123DF-35F8-4C35-89C1-CF6A633F4E2B}"/>
    <cellStyle name="A_X11C車型ET試作日程計劃修訂0915_X11C ET試作進度管控表-1005" xfId="9963" xr:uid="{07E47A32-81C2-4DE5-9FCF-6B905CDBB591}"/>
    <cellStyle name="A_X11C車型ET試作日程計劃修訂0915_X11C ET試作進度管控表-1013" xfId="9964" xr:uid="{E65BAA19-FD62-449E-AB21-0A1DA9B1D99A}"/>
    <cellStyle name="A_X11C車型ET試作日程計劃修訂0920" xfId="9965" xr:uid="{942BF402-57DC-48A1-AA50-BF74C41ECC58}"/>
    <cellStyle name="A_X11C車型ET試作日程計劃修訂0920_X11C ET試作進度管控表-0922" xfId="9966" xr:uid="{338A5514-F302-49FD-9BBB-5D11013074EC}"/>
    <cellStyle name="A_X11C車型ET試作日程計劃修訂0920_X11C ET試作進度管控表-0923" xfId="9967" xr:uid="{D7A9B1C3-ED5B-46A9-B47D-2A868EF8FBC7}"/>
    <cellStyle name="A_X11C車型ET試作日程計劃修訂0920_X11C ET試作進度管控表-1004" xfId="9968" xr:uid="{E0332C3E-1A10-40C6-B8A5-C8AEE7F5195B}"/>
    <cellStyle name="A_X11C車型ET試作日程計劃修訂0920_X11C ET試作進度管控表-1005" xfId="9969" xr:uid="{B9B4960D-23A0-4C96-BFBF-C7026C6B0C16}"/>
    <cellStyle name="A_X11C車型ET試作日程計劃修訂0920_X11C ET試作進度管控表-1013" xfId="9970" xr:uid="{9689238A-EA49-4A2C-AC18-B9E3AA2701A1}"/>
    <cellStyle name="A_X11J DST暫定版(050126)" xfId="9972" xr:uid="{3BE38A98-16E0-4357-8A37-DD54E38D86ED}"/>
    <cellStyle name="A_X11J DST暫定版(050126) 2" xfId="9973" xr:uid="{0F4ACEEF-3A74-47C7-AF97-EB7DC11FF307}"/>
    <cellStyle name="A_X11J DST暫定版(050126) 3" xfId="9974" xr:uid="{0D4EB63D-D9C4-4FFA-9243-440F2609C4EF}"/>
    <cellStyle name="A_X11J油漆製造計劃0223" xfId="9989" xr:uid="{EABB0301-8482-444D-9B0F-D03EB56FAB69}"/>
    <cellStyle name="A_X11J油漆製造計劃0223_~3171008" xfId="9990" xr:uid="{C9A8ACF3-0A94-48D3-A631-4E29B118045A}"/>
    <cellStyle name="A_X11J油漆製造計劃0223_~7914923" xfId="9991" xr:uid="{CC880276-6149-4E2F-894D-5470995C99DA}"/>
    <cellStyle name="A_X11J油漆製造計劃0223_050602)X11J GOM XH ENG製造計-畫_JPN" xfId="9992" xr:uid="{8EE05A85-8D3F-4A6C-8F86-97830A4E610E}"/>
    <cellStyle name="A_X11J油漆製造計劃0223_C24 MINOR CHANGE 製造計劃(車裝)-2004-12-31" xfId="9993" xr:uid="{7DABE2B5-ECBE-4094-8389-8713724D02F8}"/>
    <cellStyle name="A_X11J油漆製造計劃0223_Common ENG製造計畫20050314" xfId="9994" xr:uid="{78A1FDE8-C30F-4533-815C-DCAE40D0131B}"/>
    <cellStyle name="A_X11J油漆製造計劃0223_Common ENG製造計畫20050314-2" xfId="9995" xr:uid="{33D84EB6-A0E0-4115-A587-3C34A2521811}"/>
    <cellStyle name="A_X11J油漆製造計劃0223_Common ENG製造計畫20060128" xfId="9996" xr:uid="{0488B14C-CE3F-436A-AF51-40A4662566BC}"/>
    <cellStyle name="A_X11J油漆製造計劃0223_NR 改 OR25 ENG製造計劃" xfId="9997" xr:uid="{CB914082-666B-47EC-B2A2-210F01E5A60C}"/>
    <cellStyle name="A_X11J油漆製造計劃0223_X11J用XH16製造計畫20050602-1" xfId="9998" xr:uid="{8443C4B5-E9D1-41C8-8C75-2F2A9098065F}"/>
    <cellStyle name="A_X11J製造計劃(全体版）" xfId="9975" xr:uid="{2FDBEE16-D387-4D78-A01D-EB2F22935633}"/>
    <cellStyle name="A_X11J製造計劃---壓造N" xfId="9977" xr:uid="{528A1B09-6DB5-4DA7-B311-A491B8B14F98}"/>
    <cellStyle name="A_X11J製造計劃---壓造N 2" xfId="9978" xr:uid="{8CE8A4CA-71B8-457B-861C-61331427E4D4}"/>
    <cellStyle name="A_X11J製造計劃---壓造N 3" xfId="9979" xr:uid="{A62FB11A-4AC7-48A7-8844-546CC940526B}"/>
    <cellStyle name="A_X11J製造計劃---壓造N_~3171008" xfId="9980" xr:uid="{5469F8D8-38BA-4694-8ED0-79092C19D5DC}"/>
    <cellStyle name="A_X11J製造計劃---壓造N_~7914923" xfId="9981" xr:uid="{3A2B0911-923C-445A-8C3B-0F7116210D6E}"/>
    <cellStyle name="A_X11J製造計劃---壓造N_050602)X11J GOM XH ENG製造計-畫_JPN" xfId="9982" xr:uid="{0BB484D0-2FE2-452D-8343-988FAE183508}"/>
    <cellStyle name="A_X11J製造計劃---壓造N_C24 MINOR CHANGE 製造計劃(車裝)-2004-12-31" xfId="9983" xr:uid="{F9EA08F0-4ED2-4B18-A9BC-1D67EB621EC4}"/>
    <cellStyle name="A_X11J製造計劃---壓造N_Common ENG製造計畫20050314" xfId="9984" xr:uid="{5C450668-29A7-461B-BB7B-ECDC53F954D1}"/>
    <cellStyle name="A_X11J製造計劃---壓造N_Common ENG製造計畫20050314-2" xfId="9985" xr:uid="{8FAFF158-1A64-4E07-831A-76179209D3F0}"/>
    <cellStyle name="A_X11J製造計劃---壓造N_Common ENG製造計畫20060128" xfId="9986" xr:uid="{48D07FF0-AB14-41DF-9052-3EF374BEA419}"/>
    <cellStyle name="A_X11J製造計劃---壓造N_NR 改 OR25 ENG製造計劃" xfId="9987" xr:uid="{EEF35EB9-D18F-4C75-828D-AD3A0558123D}"/>
    <cellStyle name="A_X11J製造計劃---壓造N_X11J用XH16製造計畫20050602-1" xfId="9988" xr:uid="{5D268FFF-79DE-45B1-AFEA-DF941E3F3A2F}"/>
    <cellStyle name="A_X11J製造計劃封面" xfId="9976" xr:uid="{CFE49892-E7AC-4CEB-82D5-D630AC221D08}"/>
    <cellStyle name="A_XF预算" xfId="9999" xr:uid="{89A28E85-8F31-49D8-98C0-01052C5190D8}"/>
    <cellStyle name="A_XF预算 2" xfId="10000" xr:uid="{6ECB20DA-815C-40CC-8E08-48A0C28D3AF9}"/>
    <cellStyle name="A_XF预算 2 2" xfId="10001" xr:uid="{85AB79AE-A381-4987-B458-D8E2D885C08A}"/>
    <cellStyle name="A_XF预算 2 2 2" xfId="26362" xr:uid="{42639829-1DC4-4FAB-AEC0-23EF2476140F}"/>
    <cellStyle name="A_XF预算 2 2 2 2" xfId="38096" xr:uid="{4AF8CC40-0797-4F83-AF97-60547F8E826C}"/>
    <cellStyle name="A_XF预算 2 2 3" xfId="28343" xr:uid="{435B84EE-1D48-47B6-B197-9AF355079247}"/>
    <cellStyle name="A_XF预算 2 3" xfId="28342" xr:uid="{DD7BA923-FDC0-4827-8202-A7F351CD14FE}"/>
    <cellStyle name="A_XF预算 3" xfId="10002" xr:uid="{DD367D2F-0C3D-4F50-A3ED-7A05B96943B0}"/>
    <cellStyle name="A_XF预算 3 2" xfId="26363" xr:uid="{B1DA2DA0-A368-4AA1-B6C4-8881A3B5E83D}"/>
    <cellStyle name="A_XF预算 3 2 2" xfId="38097" xr:uid="{8287A754-C01E-4325-B69C-340DD098823D}"/>
    <cellStyle name="A_XF预算 3 3" xfId="28344" xr:uid="{3E2907AA-02D0-4010-AB3F-3893DBFD11D1}"/>
    <cellStyle name="A_XF预算 4" xfId="28341" xr:uid="{1B3071CF-7EBB-48B9-BF69-6F17814771B6}"/>
    <cellStyle name="A_人工" xfId="10028" xr:uid="{3FA5DC20-17A3-4812-AC65-D9588C54CD31}"/>
    <cellStyle name="A_前提条件表格-V4" xfId="10033" xr:uid="{041E3B95-26AB-4A99-BE0A-75A48EC22BF0}"/>
    <cellStyle name="A_前提条件表格-V4_销售部2007年人员计划" xfId="10034" xr:uid="{10CC1EF8-7454-4B54-8449-F65A794CF031}"/>
    <cellStyle name="A_售后事业部07-10投资汇总" xfId="10035" xr:uid="{48A7475A-6BA8-49DC-91DE-CE11B2D48CED}"/>
    <cellStyle name="A_售后事业部07-10投资汇总_0902見直し" xfId="10036" xr:uid="{69F0CE66-654B-424C-9756-6C4C076EB64F}"/>
    <cellStyle name="A_售后事业部07-10投资汇总_09budget 081022" xfId="10037" xr:uid="{6340D413-73CC-4084-9C6C-14FD39ED753D}"/>
    <cellStyle name="A_售后事业部07-10投资汇总_CY09 市場部予算5+7" xfId="10038" xr:uid="{212B656D-019D-45A0-8870-DD0C8A1CA7F0}"/>
    <cellStyle name="A_售后事业部07-10投资汇总_CY10 市場部予算5+7" xfId="10039" xr:uid="{70BE22B1-5E08-4AD9-9A6A-45D9A8065419}"/>
    <cellStyle name="A_售后事业部07-10投资汇总_ＣＹ10予算見直し後(600K モデル別)" xfId="10040" xr:uid="{0A8C9F79-497B-4975-A513-9C58974AB63E}"/>
    <cellStyle name="A_售后事业部07-10投资汇总_J11J MC+Elongation(松）" xfId="10041" xr:uid="{405A4DF9-F0F5-4A53-BE30-7CB5D77E440F}"/>
    <cellStyle name="A_售后事业部07-10投资汇总_L11K MC TDC 090306 (2)" xfId="10042" xr:uid="{78E4A8F6-4F21-4604-AF0C-DA95C9671930}"/>
    <cellStyle name="A_售后事业部07-10投资汇总_L42F TDC KKJ SOP 2010 Dec (090929) with MC (2)" xfId="10043" xr:uid="{088BFCFF-CB0D-4711-98B4-408F2B962EB4}"/>
    <cellStyle name="A_售后事业部07-10投资汇总_N11J MC+Elongation(松）" xfId="10044" xr:uid="{B9E1E65D-B9B4-4E78-8994-A2584891B5D8}"/>
    <cellStyle name="A_售后事业部07-10投资汇总_P32E MC TDC with MC (100206)" xfId="10045" xr:uid="{30694EDD-D154-4F20-9B7B-3376309AC636}"/>
    <cellStyle name="A_售后事业部07-10投资汇总_P32L LCP TDC Case3 (0900221)" xfId="10046" xr:uid="{BF880F24-AE14-4C50-9BC8-A45BF3499CDF}"/>
    <cellStyle name="A_售后事业部07-10投资汇总_TDC SUMMARY SHEET for MTP (version 2.1 100526)" xfId="10047" xr:uid="{0AA2AC10-1188-4686-9AD8-4F1C2BA5060A}"/>
    <cellStyle name="A_售后事业部07-10投资汇总_TDC SUMMARY SHEET for MTP (version 3.0 100526)" xfId="10048" xr:uid="{5D94B305-B0AD-46A9-9C00-3D6BC073FEF3}"/>
    <cellStyle name="A_售后事业部07-10投资汇总_Volume Assumption &amp; Current Models" xfId="10049" xr:uid="{12079236-884E-4DD2-BF2C-A322FAAEEA09}"/>
    <cellStyle name="A_售后事业部07-10投资汇总_コピー ～ 2009年5＋7 售  (47万台）(090619) (予算Ｆｉｎａｌ＆Variable変更　補正版)" xfId="10050" xr:uid="{62E1CC67-68AE-4DBE-AF99-3C4EA1116144}"/>
    <cellStyle name="A_市场信息部MRD" xfId="10011" xr:uid="{00DC8A47-DE37-4E15-964F-E612E8EF57FF}"/>
    <cellStyle name="A_市场信息部MRD 2" xfId="10012" xr:uid="{483E0F48-6E98-4C33-B8C4-B97E92EABC78}"/>
    <cellStyle name="A_市场信息部MRD 2 2" xfId="10013" xr:uid="{BF8AC0D2-6DAB-4C62-BD35-3756A7EA1EBA}"/>
    <cellStyle name="A_市场信息部MRD 2 2 2" xfId="26364" xr:uid="{49BB37FB-9FB0-40CC-958E-862D3F591C46}"/>
    <cellStyle name="A_市场信息部MRD 2 2 2 2" xfId="38098" xr:uid="{869F987B-3512-4628-B40D-584C38E956AB}"/>
    <cellStyle name="A_市场信息部MRD 2 2 3" xfId="28347" xr:uid="{AFB2811B-EDAD-4A58-8046-08C3CB08C6B7}"/>
    <cellStyle name="A_市场信息部MRD 2 3" xfId="28346" xr:uid="{40C56568-BDBB-45ED-A518-87C69E79F967}"/>
    <cellStyle name="A_市场信息部MRD 3" xfId="10014" xr:uid="{ECE2EC04-C673-4B9F-A69D-ABF0E7E635B4}"/>
    <cellStyle name="A_市场信息部MRD 3 2" xfId="26365" xr:uid="{ECABDF49-1673-44C8-BD9C-734B43498432}"/>
    <cellStyle name="A_市场信息部MRD 3 2 2" xfId="38099" xr:uid="{8DB8DD1E-8050-49D5-8CA9-A30DB983811E}"/>
    <cellStyle name="A_市场信息部MRD 3 3" xfId="28348" xr:uid="{A070C1FC-1F93-4842-BC4A-CC80921CC669}"/>
    <cellStyle name="A_市场信息部MRD 4" xfId="28345" xr:uid="{12A45F6F-4C21-4B26-908F-81091445CFE7}"/>
    <cellStyle name="A_引擎台數" xfId="10006" xr:uid="{43963611-20FE-416B-8D93-E41BB2B1900C}"/>
    <cellStyle name="A_引擎場3月JA試裝工時" xfId="10003" xr:uid="{0BCF50D9-6E61-4999-9677-293897DBE066}"/>
    <cellStyle name="A_引擎場3月JA試裝工時 2" xfId="10004" xr:uid="{BFB8F8FB-EA6B-48DD-96E6-10CE59E68C12}"/>
    <cellStyle name="A_引擎場3月JA試裝工時 3" xfId="10005" xr:uid="{3F1C4EF2-9860-4C83-9DCC-E72669319918}"/>
    <cellStyle name="A_折旧" xfId="10029" xr:uid="{742BBE09-247E-4E37-9AAA-D8B91909BC16}"/>
    <cellStyle name="A_折旧 2" xfId="10030" xr:uid="{66837DBC-6A53-4D5D-89AE-C9403F3115C3}"/>
    <cellStyle name="A_折旧 2 2" xfId="10031" xr:uid="{3469EC8B-7032-4095-B13D-ABACB23C83B3}"/>
    <cellStyle name="A_折旧 2 2 2" xfId="26366" xr:uid="{5CD053D0-6C26-4489-B92E-C78A13697330}"/>
    <cellStyle name="A_折旧 2 2 2 2" xfId="38100" xr:uid="{98B6C8FC-D32E-494A-96B8-999B748C5F56}"/>
    <cellStyle name="A_折旧 2 2 3" xfId="28351" xr:uid="{75F91E77-152D-4618-AEC4-17C64AE20325}"/>
    <cellStyle name="A_折旧 2 3" xfId="28350" xr:uid="{079BD7C9-4A82-4878-A7F9-C54934EF4380}"/>
    <cellStyle name="A_折旧 3" xfId="10032" xr:uid="{E9DDCD04-1631-42B9-8CAE-2DB4FE367B68}"/>
    <cellStyle name="A_折旧 3 2" xfId="26367" xr:uid="{B35ECC68-C1B4-4DCB-82E4-55116C5D8527}"/>
    <cellStyle name="A_折旧 3 2 2" xfId="38101" xr:uid="{E6B60075-2AC8-4AD0-936B-F0EED2ADBF6A}"/>
    <cellStyle name="A_折旧 3 3" xfId="28352" xr:uid="{2534456D-DBAB-4A73-B6B2-07FD0F736260}"/>
    <cellStyle name="A_折旧 4" xfId="28349" xr:uid="{4A25B392-2DF1-4807-9EFD-FE86BDBC2F9E}"/>
    <cellStyle name="A_新規投資分償却費05Plan(生产）" xfId="10016" xr:uid="{01280EBE-004C-4347-A03C-D84455D5E4CD}"/>
    <cellStyle name="A_新規投資分償却費05Plan(生产） 2" xfId="10017" xr:uid="{15CC4C91-18E2-46A3-81C4-AF69AD62333D}"/>
    <cellStyle name="A_新規投資分償却費05Plan(生产）_%e5%a4%8d%e4%bb%b6+(2)+06BP%e4%ba%ba%e5%b7%a520060615%3f6%e5%b9%b4%e9%a2%84%e7%ae%97%e7%89%88%3fxls" xfId="10018" xr:uid="{59AA14A4-69CD-464C-8194-ACA704DDF618}"/>
    <cellStyle name="A_新規投資分償却費05Plan(生产）_08 AD Budget10.18" xfId="10019" xr:uid="{160AA6B9-4731-47E6-BC51-68149430F6C8}"/>
    <cellStyle name="A_新規投資分償却費05Plan(生产）_08 budget 071015" xfId="10020" xr:uid="{92E71E31-63EF-4E45-8A0A-F0B23F837361}"/>
    <cellStyle name="A_新規投資分償却費05Plan(生产）_0902見直し" xfId="10021" xr:uid="{3B6BE212-3A8C-4F62-8D86-BFB7CDBF349E}"/>
    <cellStyle name="A_新規投資分償却費05Plan(生产）_2009_TDC_MonthlyActual" xfId="10022" xr:uid="{2E05FB87-5B57-4671-871B-D76ADE9E9308}"/>
    <cellStyle name="A_新規投資分償却費05Plan(生产）_2009年VME車種別(20100303)" xfId="10023" xr:uid="{01E2E0F3-AD37-47B9-95B9-BB4508D65E87}"/>
    <cellStyle name="A_新規投資分償却費05Plan(生产）_CY09 市場部予算5+7" xfId="10024" xr:uid="{8941BF4C-C7B3-4AEC-89B5-902788039DD3}"/>
    <cellStyle name="A_新規投資分償却費05Plan(生产）_CY10 市場部予算5+7" xfId="10025" xr:uid="{9FED91E5-A8C9-4356-9823-658E26F7A5B1}"/>
    <cellStyle name="A_新規投資分償却費05Plan(生产）_FY13 Budget Simulation Excel PKG for Auto by company" xfId="10026" xr:uid="{A684EE54-CC1F-4340-8BEC-5582B643B6A0}"/>
    <cellStyle name="A_新規投資分償却費05Plan(生产）_销售部2007年人员计划" xfId="10027" xr:uid="{FC687D84-9BDA-498A-9C03-8C551735946D}"/>
    <cellStyle name="A_研修派遣及課題表" xfId="10010" xr:uid="{07761107-4209-4F55-AA18-A9E9DE8EE78A}"/>
    <cellStyle name="A_管理部05BP计划(人工、成本、管理费）" xfId="10007" xr:uid="{17DC6D1F-63F6-4183-A4C4-E8E0F2DEBCF0}"/>
    <cellStyle name="A_管理部05BP计划(人工、成本、管理费）_%e5%a4%8d%e4%bb%b6+(2)+06BP%e4%ba%ba%e5%b7%a520060615%3f6%e5%b9%b4%e9%a2%84%e7%ae%97%e7%89%88%3fxls" xfId="10008" xr:uid="{CC5AEEDC-F8F8-431A-BE38-BFCA39969375}"/>
    <cellStyle name="A_管理部05BP计划(人工、成本、管理费）_销售部2007年人员计划" xfId="10009" xr:uid="{3A40625B-769A-4FBE-BF76-2CAD78284B21}"/>
    <cellStyle name="A_膠用量計算方式" xfId="10051" xr:uid="{877261EB-B815-4204-881A-5A9D7BFFDA2C}"/>
    <cellStyle name="A_膠用量計算方式 2" xfId="10052" xr:uid="{19365E5E-9709-4903-A648-A49BCF081EFC}"/>
    <cellStyle name="A_膠用量計算方式 3" xfId="10053" xr:uid="{9000A87E-331E-4E46-96C5-7F6DF4BFBC53}"/>
    <cellStyle name="A_車体版050203" xfId="10015" xr:uid="{4CAD338F-D97B-4721-AC87-C20A70BCBF98}"/>
    <cellStyle name="A_销售部2007年人员计划" xfId="10054" xr:uid="{1EEF5F73-83F3-4182-A0EC-9552DB11B760}"/>
    <cellStyle name="A・- [0]_?A°a?μAoC\" xfId="10055" xr:uid="{3D5C617B-86D6-438E-AF2B-4035322D3FD8}"/>
    <cellStyle name="A・-_?A°a?μAoC\" xfId="10056" xr:uid="{F0C8834B-E0A1-4CA0-8F12-575E47153C01}"/>
    <cellStyle name="ÅE­ [0]_±âÅ¸" xfId="10057" xr:uid="{E99485C6-5122-4535-9209-205AED06EF27}"/>
    <cellStyle name="ÅE­_±âÅ¸" xfId="10058" xr:uid="{255EB30E-3866-44A1-9E40-FC63B3C9B83D}"/>
    <cellStyle name="Accent1 - 20%" xfId="10060" xr:uid="{4C7B62ED-2994-428F-A333-EFF8FCAF3545}"/>
    <cellStyle name="Accent1 - 40%" xfId="10061" xr:uid="{AF7594AB-0AF1-42C3-BDFC-BD0C3B17F16E}"/>
    <cellStyle name="Accent1 - 60%" xfId="10062" xr:uid="{CA894EC4-F195-4840-B072-2F40EC95DDC7}"/>
    <cellStyle name="Accent1 10" xfId="10063" xr:uid="{757A46F8-3209-4D79-9E20-709E68785D18}"/>
    <cellStyle name="Accent1 11" xfId="10064" xr:uid="{148FA498-7BAF-4879-B2D3-550D99AAAEEF}"/>
    <cellStyle name="Accent1 12" xfId="10065" xr:uid="{EA4B0482-AC3C-4942-8F0F-4B3FC162C7F9}"/>
    <cellStyle name="Accent1 13" xfId="10066" xr:uid="{FF96CBDC-CEB0-452A-A0C3-CDD06BDD3AE6}"/>
    <cellStyle name="Accent1 14" xfId="10067" xr:uid="{67652416-6390-4E4B-A0F1-C8003BCCE26C}"/>
    <cellStyle name="Accent1 15" xfId="10068" xr:uid="{2E96433F-5C12-4DE6-B288-F65BBF5092F1}"/>
    <cellStyle name="Accent1 16" xfId="10069" xr:uid="{FBD3817C-4B58-494D-9864-D76BFBAB07B7}"/>
    <cellStyle name="Accent1 17" xfId="10070" xr:uid="{A9A3ED1D-B752-47A4-8B7E-B99E6AA7CEF1}"/>
    <cellStyle name="Accent1 18" xfId="10071" xr:uid="{302338AA-6471-44B8-B1E5-B0139D905071}"/>
    <cellStyle name="Accent1 19" xfId="10072" xr:uid="{3046D780-F1AB-432A-B378-037F43B54C74}"/>
    <cellStyle name="Accent1 2" xfId="10073" xr:uid="{1266EBE9-0FA8-4B14-B6CC-2C9DC51A1FA7}"/>
    <cellStyle name="Accent1 2 2" xfId="10074" xr:uid="{1A3EA19F-FB62-40F8-82EA-B97F929DC496}"/>
    <cellStyle name="Accent1 2 3" xfId="10075" xr:uid="{71FEABBD-100B-4D80-B0A6-DDB7A4FDBECC}"/>
    <cellStyle name="Accent1 20" xfId="10076" xr:uid="{FD6602EA-F0A1-488A-B31A-3936BFF6E7A0}"/>
    <cellStyle name="Accent1 21" xfId="10077" xr:uid="{373E1C3C-BDF0-4012-BEF3-560313369961}"/>
    <cellStyle name="Accent1 22" xfId="10078" xr:uid="{73A657C8-A73B-41D8-B926-B42971B0DDCB}"/>
    <cellStyle name="Accent1 23" xfId="10079" xr:uid="{AEE8FA2A-BB1D-40D6-9551-F61990F870EF}"/>
    <cellStyle name="Accent1 24" xfId="10080" xr:uid="{06A97EC4-7113-4F83-AB7A-3DBA97E23599}"/>
    <cellStyle name="Accent1 25" xfId="10081" xr:uid="{C49F9FA3-1156-4B3A-8109-388FB1EED7E7}"/>
    <cellStyle name="Accent1 26" xfId="10082" xr:uid="{B20CAB9D-4654-4418-8351-766ADD20C1A5}"/>
    <cellStyle name="Accent1 27" xfId="10083" xr:uid="{9773AFA2-E918-4341-AE9D-E7CDAE52AB88}"/>
    <cellStyle name="Accent1 28" xfId="10084" xr:uid="{ED94309E-41BD-4E0B-BC8A-7208029CA13F}"/>
    <cellStyle name="Accent1 29" xfId="10085" xr:uid="{DBDC9E85-81EB-41A5-AC1F-5D63E43B632C}"/>
    <cellStyle name="Accent1 3" xfId="10086" xr:uid="{D3A452B6-0A3B-40D7-BB7A-9C79AC676EF1}"/>
    <cellStyle name="Accent1 30" xfId="10087" xr:uid="{7280A213-CDAC-434F-8BD2-29C46F198E13}"/>
    <cellStyle name="Accent1 31" xfId="10088" xr:uid="{B94DADF6-E00C-4270-9D35-0FFC8BC08E91}"/>
    <cellStyle name="Accent1 32" xfId="10059" xr:uid="{2F2A2A94-AAA6-4F67-8636-A4EB905D2AF9}"/>
    <cellStyle name="Accent1 4" xfId="10089" xr:uid="{F0A8560C-C3DF-4924-820C-3B0C48879557}"/>
    <cellStyle name="Accent1 5" xfId="10090" xr:uid="{98FBFBF5-4D78-4127-AA5E-FFB3DED44A8E}"/>
    <cellStyle name="Accent1 6" xfId="10091" xr:uid="{4C35A92F-ED50-45C0-B5FE-8712D8976E64}"/>
    <cellStyle name="Accent1 7" xfId="10092" xr:uid="{2D18C65F-50C6-4430-B4E7-4F8142DC7DDE}"/>
    <cellStyle name="Accent1 8" xfId="10093" xr:uid="{3F651CBC-471B-4AC4-9AA7-814A41BA3947}"/>
    <cellStyle name="Accent1 9" xfId="10094" xr:uid="{C22776A1-5009-4F2D-9E15-43E1D0A5B6E9}"/>
    <cellStyle name="Accent2 - 20%" xfId="10096" xr:uid="{F33CD63A-EFBA-4BE4-9FF7-F09BEA339DD1}"/>
    <cellStyle name="Accent2 - 40%" xfId="10097" xr:uid="{EEB30A00-1A64-41AF-A130-50C15AAD49F5}"/>
    <cellStyle name="Accent2 - 60%" xfId="10098" xr:uid="{67C424CC-92CF-48DE-8349-29E8DB6E51B7}"/>
    <cellStyle name="Accent2 10" xfId="10099" xr:uid="{F13B722F-2BA2-4D1E-AE5A-F35A79DC85D4}"/>
    <cellStyle name="Accent2 11" xfId="10100" xr:uid="{7470F32E-7CAE-4DFB-87DE-F285890EE5B5}"/>
    <cellStyle name="Accent2 12" xfId="10101" xr:uid="{69B043BE-CF16-45CB-8978-2794634A926B}"/>
    <cellStyle name="Accent2 13" xfId="10102" xr:uid="{75180F9D-20AC-459F-8096-F1777EA23267}"/>
    <cellStyle name="Accent2 14" xfId="10103" xr:uid="{38CF4508-B559-4CBE-B580-2D4B12DDD265}"/>
    <cellStyle name="Accent2 15" xfId="10104" xr:uid="{6BE57814-49B2-4FE0-9096-70232590FB03}"/>
    <cellStyle name="Accent2 16" xfId="10105" xr:uid="{9B890616-0645-47EB-878C-89B6DFE61F1C}"/>
    <cellStyle name="Accent2 17" xfId="10106" xr:uid="{96385101-B66D-4C0F-961B-0C8C05C09432}"/>
    <cellStyle name="Accent2 18" xfId="10107" xr:uid="{4CF4D27C-4F87-4280-AA3D-EE8C0CC6DEEF}"/>
    <cellStyle name="Accent2 19" xfId="10108" xr:uid="{4A1493DE-BAE9-45C7-8906-1C244CE40589}"/>
    <cellStyle name="Accent2 2" xfId="10109" xr:uid="{5E86A0F5-E627-48E7-97F9-05ED174A56EF}"/>
    <cellStyle name="Accent2 2 2" xfId="10110" xr:uid="{15D037F7-07D7-43B8-B11F-AF2984AAA7DF}"/>
    <cellStyle name="Accent2 2 3" xfId="10111" xr:uid="{7A99FB54-0E40-4466-ACA8-F5B8FA66EDBC}"/>
    <cellStyle name="Accent2 20" xfId="10112" xr:uid="{71243E81-831E-4138-BA9F-9393B396E7F0}"/>
    <cellStyle name="Accent2 21" xfId="10113" xr:uid="{7902C7A7-E0DD-4B65-B355-BA36F16170E6}"/>
    <cellStyle name="Accent2 22" xfId="10114" xr:uid="{32E5B134-E616-4B2C-B137-0809FF4673EC}"/>
    <cellStyle name="Accent2 23" xfId="10115" xr:uid="{09B05049-64C3-4192-BB86-7CF7A5C01692}"/>
    <cellStyle name="Accent2 24" xfId="10116" xr:uid="{1045DAD6-48DC-4614-8F52-955276A3371C}"/>
    <cellStyle name="Accent2 25" xfId="10117" xr:uid="{7D5F1D6D-88EF-48A7-9FFE-1A7E9DAE994C}"/>
    <cellStyle name="Accent2 26" xfId="10118" xr:uid="{42ED761F-D9CA-4BB2-A9D2-7F6990DD63B4}"/>
    <cellStyle name="Accent2 27" xfId="10119" xr:uid="{7FBB4BDD-676C-4B31-AB91-18260696EE4D}"/>
    <cellStyle name="Accent2 28" xfId="10120" xr:uid="{4EC4B5CB-18C3-497F-8AF1-449ADAC87CD6}"/>
    <cellStyle name="Accent2 29" xfId="10121" xr:uid="{CC00608E-9F5D-4767-8563-12907C648DC5}"/>
    <cellStyle name="Accent2 3" xfId="10122" xr:uid="{50DA8CBC-38C4-4A7E-A824-12125400568C}"/>
    <cellStyle name="Accent2 30" xfId="10123" xr:uid="{80FD8C0E-315F-44FB-8AAE-4AD05767798D}"/>
    <cellStyle name="Accent2 31" xfId="10124" xr:uid="{5EA62900-01FE-4A38-AD98-150BC37D3E8B}"/>
    <cellStyle name="Accent2 32" xfId="10095" xr:uid="{91524A3D-F502-4493-9EF4-A1B4242ACD1A}"/>
    <cellStyle name="Accent2 4" xfId="10125" xr:uid="{05A871FB-42ED-4F70-AAF5-74CB21F97A4A}"/>
    <cellStyle name="Accent2 5" xfId="10126" xr:uid="{0B1CC5D4-AC93-4274-A09D-3A4B1F0E00EB}"/>
    <cellStyle name="Accent2 6" xfId="10127" xr:uid="{41542578-84FA-4772-A559-F6E903C7C7ED}"/>
    <cellStyle name="Accent2 7" xfId="10128" xr:uid="{6E565426-FDA4-4945-911A-CE9296AC295D}"/>
    <cellStyle name="Accent2 8" xfId="10129" xr:uid="{0DE64397-1274-4DBE-9C56-F39EC4407B5B}"/>
    <cellStyle name="Accent2 9" xfId="10130" xr:uid="{7008925B-FCCE-4339-9C24-DE613BB25046}"/>
    <cellStyle name="Accent3 - 20%" xfId="10132" xr:uid="{2A59DF26-279C-4BE1-98BF-7FDED08CFF30}"/>
    <cellStyle name="Accent3 - 40%" xfId="10133" xr:uid="{505FCD62-07A1-4D8A-A49E-9A73323AFBDA}"/>
    <cellStyle name="Accent3 - 60%" xfId="10134" xr:uid="{67AF0262-089E-48BC-8706-653DC2FF9C1A}"/>
    <cellStyle name="Accent3 10" xfId="10135" xr:uid="{AEDDEE6A-F8C7-4E0A-89A0-8A2D1077FEFB}"/>
    <cellStyle name="Accent3 11" xfId="10136" xr:uid="{8F5C0286-30D1-4AC1-99E1-029A1D667F89}"/>
    <cellStyle name="Accent3 12" xfId="10137" xr:uid="{28EFA243-B3C1-4D88-A68C-B413C24398EC}"/>
    <cellStyle name="Accent3 13" xfId="10138" xr:uid="{93A9D651-7632-488E-BC24-A44FE0B7D71E}"/>
    <cellStyle name="Accent3 14" xfId="10139" xr:uid="{B7593A87-6052-485D-B75D-8F26BA2F9529}"/>
    <cellStyle name="Accent3 15" xfId="10140" xr:uid="{7F9A1474-B8AC-489A-A71B-D2900D3FF398}"/>
    <cellStyle name="Accent3 16" xfId="10141" xr:uid="{5B39E3E6-8C89-4BE3-B56D-6D4686634A95}"/>
    <cellStyle name="Accent3 17" xfId="10142" xr:uid="{8C720DF5-8B4F-4F8F-BA2E-15B01DA7F302}"/>
    <cellStyle name="Accent3 18" xfId="10143" xr:uid="{69B3B049-D1F5-44CF-9282-4261068F38AA}"/>
    <cellStyle name="Accent3 19" xfId="10144" xr:uid="{1EDB52E8-F711-432A-BB92-177F847EEF7A}"/>
    <cellStyle name="Accent3 2" xfId="10145" xr:uid="{85E1A863-D209-4942-8410-0964C15C4954}"/>
    <cellStyle name="Accent3 2 2" xfId="10146" xr:uid="{6F77DE79-834B-424E-BBF6-73528AFBC179}"/>
    <cellStyle name="Accent3 2 3" xfId="10147" xr:uid="{38D2F61C-9F69-4D86-BC3D-88AC847D4D0C}"/>
    <cellStyle name="Accent3 20" xfId="10148" xr:uid="{D2C2F546-2676-4907-9982-7ACC5BA56076}"/>
    <cellStyle name="Accent3 21" xfId="10149" xr:uid="{38C4627F-9230-4695-8CDB-BCD4B2D10C5E}"/>
    <cellStyle name="Accent3 22" xfId="10150" xr:uid="{F7385032-EF1D-4896-8E0F-E17EE76ACDF9}"/>
    <cellStyle name="Accent3 23" xfId="10151" xr:uid="{174A4BBF-5A63-4142-BE70-9EA9E9AF73EC}"/>
    <cellStyle name="Accent3 24" xfId="10152" xr:uid="{620E90A0-5251-4F07-B895-11CA8EAD5524}"/>
    <cellStyle name="Accent3 25" xfId="10153" xr:uid="{E5CDEE75-B746-4D91-B238-0E1B00214614}"/>
    <cellStyle name="Accent3 26" xfId="10154" xr:uid="{638C7AA9-718F-4AB6-B466-8C60082027AA}"/>
    <cellStyle name="Accent3 27" xfId="10155" xr:uid="{43B49299-224D-4994-9334-3CF138A6777A}"/>
    <cellStyle name="Accent3 28" xfId="10156" xr:uid="{FA5A2E8F-511F-4A88-9955-CFA9FF7228D0}"/>
    <cellStyle name="Accent3 29" xfId="10157" xr:uid="{9BD112F2-C80B-452B-9D5E-ED1ACBAF7551}"/>
    <cellStyle name="Accent3 3" xfId="10158" xr:uid="{E34DED89-39F5-4C5E-B6AE-02821BACD1AA}"/>
    <cellStyle name="Accent3 30" xfId="10159" xr:uid="{F9F60B81-6BA4-4015-AD9D-2D0BAF478192}"/>
    <cellStyle name="Accent3 31" xfId="10160" xr:uid="{A8540B4E-109F-446A-8C1A-2FABBA630A1F}"/>
    <cellStyle name="Accent3 32" xfId="10131" xr:uid="{1977BEEA-E4AE-4CDB-8F38-638FCA2967AE}"/>
    <cellStyle name="Accent3 4" xfId="10161" xr:uid="{3AD263D1-2157-4448-A961-52BA649C7E7F}"/>
    <cellStyle name="Accent3 5" xfId="10162" xr:uid="{660D5837-E417-418E-A45A-492AF958D06F}"/>
    <cellStyle name="Accent3 6" xfId="10163" xr:uid="{D50D79DD-7538-423D-9F58-EB916D7C80F7}"/>
    <cellStyle name="Accent3 7" xfId="10164" xr:uid="{607A3394-A0E9-440B-A117-DF68A8CCB918}"/>
    <cellStyle name="Accent3 8" xfId="10165" xr:uid="{75095327-DFBD-4133-8D78-770CD8821541}"/>
    <cellStyle name="Accent3 9" xfId="10166" xr:uid="{9ABF6CA1-183A-436A-A395-1BDF21C2925D}"/>
    <cellStyle name="Accent4 - 20%" xfId="10168" xr:uid="{269EB9AC-6281-4039-AD31-EE088D2E6884}"/>
    <cellStyle name="Accent4 - 40%" xfId="10169" xr:uid="{2D23548A-A897-492B-8953-EB460DDEAB97}"/>
    <cellStyle name="Accent4 - 60%" xfId="10170" xr:uid="{F366ACB8-F43A-4449-A5F0-8B82C3B7C2F8}"/>
    <cellStyle name="Accent4 10" xfId="10171" xr:uid="{EFC1DA31-E2DB-482D-9512-9934D66E7B91}"/>
    <cellStyle name="Accent4 11" xfId="10172" xr:uid="{4CA2094A-3A9A-42A4-B5C4-486D037B6DFB}"/>
    <cellStyle name="Accent4 12" xfId="10173" xr:uid="{D9307791-168B-4F61-AFE1-BED684C79E9A}"/>
    <cellStyle name="Accent4 13" xfId="10174" xr:uid="{96DC4F35-40E0-4C06-B074-34A2AC4FBB3D}"/>
    <cellStyle name="Accent4 14" xfId="10175" xr:uid="{6A0D966A-B2B0-4C3D-9AE8-61BB86095A8F}"/>
    <cellStyle name="Accent4 15" xfId="10176" xr:uid="{A85E50B9-AC70-4534-BBF2-31DB204E337C}"/>
    <cellStyle name="Accent4 16" xfId="10177" xr:uid="{FC50D4CE-457E-4282-9D10-C28FBA51BFF9}"/>
    <cellStyle name="Accent4 17" xfId="10178" xr:uid="{ECE011A8-F3E3-468C-951C-D162D19E6ACE}"/>
    <cellStyle name="Accent4 18" xfId="10179" xr:uid="{29C0456E-3CF9-4743-A064-97B237358DA3}"/>
    <cellStyle name="Accent4 19" xfId="10180" xr:uid="{0E6C19C8-C150-4499-8096-3694FE02D58E}"/>
    <cellStyle name="Accent4 2" xfId="10181" xr:uid="{232EDBD8-E6B6-4630-AD3C-E3208755B30D}"/>
    <cellStyle name="Accent4 2 2" xfId="10182" xr:uid="{A5CE1E0D-A7DE-439B-B02C-E510325E30F9}"/>
    <cellStyle name="Accent4 2 3" xfId="10183" xr:uid="{B95056DF-2301-41DC-8076-4306A8468C13}"/>
    <cellStyle name="Accent4 20" xfId="10184" xr:uid="{039A6688-484A-4BCB-B992-0C1C8D70F3C0}"/>
    <cellStyle name="Accent4 21" xfId="10185" xr:uid="{6C63E118-A1DC-4BCB-A555-DE99F518591A}"/>
    <cellStyle name="Accent4 22" xfId="10186" xr:uid="{2877F388-ADDF-40D1-A6C5-F24959FC1881}"/>
    <cellStyle name="Accent4 23" xfId="10187" xr:uid="{5353DA41-162F-4179-864F-34D8700AE8A1}"/>
    <cellStyle name="Accent4 24" xfId="10188" xr:uid="{65B3EB28-B356-45BC-83ED-AC063DAE92DA}"/>
    <cellStyle name="Accent4 25" xfId="10189" xr:uid="{154EE2BF-33FB-48EC-B768-4D6D948B551F}"/>
    <cellStyle name="Accent4 26" xfId="10190" xr:uid="{7B32A0DD-F4CC-4675-A17B-BF37E1718E35}"/>
    <cellStyle name="Accent4 27" xfId="10191" xr:uid="{9F6C2DE5-FFED-4A7B-8CE9-149D8B7B2290}"/>
    <cellStyle name="Accent4 28" xfId="10192" xr:uid="{05172E8B-C37E-4EE6-A4F4-B77A5AF15BAB}"/>
    <cellStyle name="Accent4 29" xfId="10193" xr:uid="{07113176-C109-4514-90FC-02BFBA8361E5}"/>
    <cellStyle name="Accent4 3" xfId="10194" xr:uid="{7C178980-12CF-47A9-A7E8-BB1AE2E39B63}"/>
    <cellStyle name="Accent4 30" xfId="10195" xr:uid="{8478F2E3-3F29-4F50-BBDB-B9568BE15907}"/>
    <cellStyle name="Accent4 31" xfId="10196" xr:uid="{BDBCFEA5-6620-44AB-B584-729BA3E813A1}"/>
    <cellStyle name="Accent4 32" xfId="10167" xr:uid="{279E27D9-CFBA-4D1F-8335-F063EE6912A8}"/>
    <cellStyle name="Accent4 4" xfId="10197" xr:uid="{D5425BE4-41B6-4D9E-97CB-DECCBE96AF36}"/>
    <cellStyle name="Accent4 5" xfId="10198" xr:uid="{CF46E0A1-DF6D-47E0-A0AA-7A7694FEB32D}"/>
    <cellStyle name="Accent4 6" xfId="10199" xr:uid="{64B53645-4830-451C-A5B3-9C1645618C99}"/>
    <cellStyle name="Accent4 7" xfId="10200" xr:uid="{94B5D90E-A948-4275-A9E9-1477500D6B46}"/>
    <cellStyle name="Accent4 8" xfId="10201" xr:uid="{E86DE864-93C8-44F8-A247-3D0697357B64}"/>
    <cellStyle name="Accent4 9" xfId="10202" xr:uid="{D997217B-FA74-4723-850E-AFDC51358689}"/>
    <cellStyle name="Accent5 - 20%" xfId="10204" xr:uid="{6CA72145-A20B-4419-AB8F-01AC2B8FF93D}"/>
    <cellStyle name="Accent5 - 40%" xfId="10205" xr:uid="{B831A078-4D3C-4234-AC84-0A2468B69C80}"/>
    <cellStyle name="Accent5 - 60%" xfId="10206" xr:uid="{5E202CB8-D530-4158-9AF8-E06E333890E0}"/>
    <cellStyle name="Accent5 2" xfId="10207" xr:uid="{B2329754-5151-4DFB-9385-81A796FF87B1}"/>
    <cellStyle name="Accent5 3" xfId="10208" xr:uid="{1C09A2BB-4614-447C-AB1D-AED7320F695C}"/>
    <cellStyle name="Accent5 4" xfId="10209" xr:uid="{13EBDF2D-7443-45B2-96AC-9ED23A28A127}"/>
    <cellStyle name="Accent5 5" xfId="10203" xr:uid="{0796B51D-9EB3-463F-8B81-9431C6F7BE5B}"/>
    <cellStyle name="Accent6 - 20%" xfId="10211" xr:uid="{D56BACDD-93B8-4EFE-B5AE-04870CB41F64}"/>
    <cellStyle name="Accent6 - 40%" xfId="10212" xr:uid="{39D1FE0C-F02B-4290-81A9-6F76B606403D}"/>
    <cellStyle name="Accent6 - 60%" xfId="10213" xr:uid="{3982C277-D4E6-4CCC-B981-026485C782C8}"/>
    <cellStyle name="Accent6 10" xfId="10214" xr:uid="{D8746A16-AA1A-4966-A97B-4A648E3D7E35}"/>
    <cellStyle name="Accent6 11" xfId="10215" xr:uid="{5E8C0BF0-AF7A-41DC-8915-D65F15F35B81}"/>
    <cellStyle name="Accent6 12" xfId="10216" xr:uid="{86C26723-DF56-44BB-8309-CE25AEFA3F03}"/>
    <cellStyle name="Accent6 13" xfId="10217" xr:uid="{8BAD2312-FCE2-45DB-8AE7-358E2406B3FA}"/>
    <cellStyle name="Accent6 14" xfId="10218" xr:uid="{7EB00C1A-670C-4381-993F-89951183CE4F}"/>
    <cellStyle name="Accent6 15" xfId="10219" xr:uid="{67E73BAF-68A5-438B-BCB2-1A8B97315FFD}"/>
    <cellStyle name="Accent6 16" xfId="10220" xr:uid="{B277204B-0FC7-49ED-86C6-B3317FEEB82D}"/>
    <cellStyle name="Accent6 17" xfId="10221" xr:uid="{B832FD2E-ECB4-4A44-9CEE-95F8BBA5FD3E}"/>
    <cellStyle name="Accent6 18" xfId="10222" xr:uid="{86D11378-F61B-4E92-8B6B-2ED1C0F3A24F}"/>
    <cellStyle name="Accent6 19" xfId="10223" xr:uid="{EB86BEFA-2FDF-4405-8915-D97070690902}"/>
    <cellStyle name="Accent6 2" xfId="10224" xr:uid="{8DA7BD4C-FCC8-4B87-BEB4-62533067336C}"/>
    <cellStyle name="Accent6 2 2" xfId="10225" xr:uid="{A921B5EE-6C2F-45F0-9A33-0136AF8EA531}"/>
    <cellStyle name="Accent6 2 3" xfId="10226" xr:uid="{1519E588-B619-46AB-A0FC-7C44978A4190}"/>
    <cellStyle name="Accent6 20" xfId="10227" xr:uid="{04D9DB81-4493-492A-B2E4-FAA1A1052741}"/>
    <cellStyle name="Accent6 21" xfId="10228" xr:uid="{8BCBDFAE-717E-4398-B20C-A069E2EA03AA}"/>
    <cellStyle name="Accent6 22" xfId="10229" xr:uid="{E0594CAD-57F7-463C-BB8D-DF4E0A4B664A}"/>
    <cellStyle name="Accent6 23" xfId="10230" xr:uid="{96857132-6A47-4A00-84FF-21987E75ED68}"/>
    <cellStyle name="Accent6 24" xfId="10231" xr:uid="{5D15AF61-9720-4290-8147-165A34665893}"/>
    <cellStyle name="Accent6 25" xfId="10232" xr:uid="{B29288EC-3D32-474B-BA0F-F0BBCE61BBC8}"/>
    <cellStyle name="Accent6 26" xfId="10233" xr:uid="{E9B92570-91A9-4E0C-8884-176E02D99AA6}"/>
    <cellStyle name="Accent6 27" xfId="10234" xr:uid="{BDC3C462-10D3-450B-8003-37462C797623}"/>
    <cellStyle name="Accent6 28" xfId="10235" xr:uid="{B564DCEC-3507-43B9-B0C8-3A295267ECE2}"/>
    <cellStyle name="Accent6 29" xfId="10236" xr:uid="{8479860F-C1EB-4294-A7AF-151510B8F00E}"/>
    <cellStyle name="Accent6 3" xfId="10237" xr:uid="{BDA6ADCF-386D-432A-B375-F0EA350581F8}"/>
    <cellStyle name="Accent6 30" xfId="10238" xr:uid="{AB62B280-4223-46A8-A1E9-8E464FDC666E}"/>
    <cellStyle name="Accent6 31" xfId="10239" xr:uid="{D7C3C81E-DE14-4FB2-81B9-BD600D6F4478}"/>
    <cellStyle name="Accent6 32" xfId="10210" xr:uid="{1DD01400-8986-4AA4-A780-C961218648D2}"/>
    <cellStyle name="Accent6 4" xfId="10240" xr:uid="{B296D9EB-25DD-4ADF-9AA2-F6E464619509}"/>
    <cellStyle name="Accent6 5" xfId="10241" xr:uid="{9DAF3F6C-8973-4085-97CD-5F46973C74AE}"/>
    <cellStyle name="Accent6 6" xfId="10242" xr:uid="{E8815838-03FC-4783-B67C-749AF8CDF685}"/>
    <cellStyle name="Accent6 7" xfId="10243" xr:uid="{BDB5BA83-71FF-4E39-8CE3-1352CA0866D5}"/>
    <cellStyle name="Accent6 8" xfId="10244" xr:uid="{64BF792E-20F0-4B63-ABE1-8B960242E24A}"/>
    <cellStyle name="Accent6 9" xfId="10245" xr:uid="{3D6E48DF-1B3C-4EB9-9D9A-651A5070E5C0}"/>
    <cellStyle name="Accounting" xfId="10246" xr:uid="{7DB27429-D534-454B-9017-9D5D36951A44}"/>
    <cellStyle name="Accounting 2" xfId="26368" xr:uid="{D9FB899A-D601-4127-A37D-237D28AE09BC}"/>
    <cellStyle name="Actual Date" xfId="10247" xr:uid="{A721B017-8364-451E-A9E7-2755EE9F548E}"/>
    <cellStyle name="Actual Date 2" xfId="26369" xr:uid="{5619C11C-B3FD-4D9B-A946-EE40CF4BF246}"/>
    <cellStyle name="ÅëÈ­ [0]_°¡°øÀç°í " xfId="10248" xr:uid="{F4695BB4-7DA8-4CA8-AB99-9CA8A1AA999B}"/>
    <cellStyle name="AeE­ [0]_°u¸RC×¸n_¾÷A¾º° " xfId="10249" xr:uid="{0940185E-5A03-4C4A-93A6-D5F4E1146C8C}"/>
    <cellStyle name="ÅëÈ­_°¡°øÀç°í " xfId="10250" xr:uid="{E5D7229F-420D-43A6-90F2-3878A92CAE08}"/>
    <cellStyle name="AeE­_°u¸RC×¸n_¾÷A¾º° " xfId="10251" xr:uid="{8F97BB85-2B7C-47FC-94D6-455528D9779A}"/>
    <cellStyle name="ALIGNMENT" xfId="10252" xr:uid="{9470E104-221E-47E1-9204-1AE38B55117E}"/>
    <cellStyle name="Amounts_Board" xfId="19" xr:uid="{23672C76-4D48-4581-8A77-2809937D5742}"/>
    <cellStyle name="args.style" xfId="10253" xr:uid="{FB2B3991-CF51-4C4E-8D03-7A0C3AE74AFC}"/>
    <cellStyle name="Array Enter" xfId="10254" xr:uid="{CEA39A74-9A06-4882-B1D5-8504B9154D90}"/>
    <cellStyle name="Array Enter 2" xfId="10255" xr:uid="{987D9E3E-5C32-4993-BF90-F48AD469D0F1}"/>
    <cellStyle name="AT，¶ [0]_?A°a?μAoC\" xfId="10256" xr:uid="{1759A07A-A7AF-400A-B8CA-7649BB059F05}"/>
    <cellStyle name="AT，¶_?A°a?μAoC\" xfId="10257" xr:uid="{A6C5A787-0DE6-440F-ABBA-D564D164E334}"/>
    <cellStyle name="AÞ¸¶ [0]_  A¾  CO  " xfId="10258" xr:uid="{E0424BCB-981D-4B6A-82A1-AAE4D227BBF8}"/>
    <cellStyle name="ÄÞ¸¶ [0]_±âÅ¸" xfId="10259" xr:uid="{0A7D7C77-D7AA-4D82-98B0-4FEBDA6E878A}"/>
    <cellStyle name="AÞ¸¶ [0]_°u¸RC×¸n_¾÷A¾º° " xfId="10260" xr:uid="{F7324473-4089-4097-AB8B-160BB46E7EC7}"/>
    <cellStyle name="ÄÞ¸¶ [0]_ÀE " xfId="10261" xr:uid="{2DDBE362-25C4-4334-962B-83B62BC58FF1}"/>
    <cellStyle name="AÞ¸¶ [0]_INQUIRY ¿?¾÷AßAø " xfId="10262" xr:uid="{D535E20E-16F3-4FCA-AC78-7582C933EE19}"/>
    <cellStyle name="ÄÞ¸¶ [0]_Price Adjustment(010106)" xfId="10263" xr:uid="{6CBBC5E8-EC16-4C80-AB55-9A05EEAC0F14}"/>
    <cellStyle name="AÞ¸¶_  A¾  CO  " xfId="10264" xr:uid="{B913C549-1249-415C-957F-DB3F7454B3DC}"/>
    <cellStyle name="ÄÞ¸¶_±âÅ¸" xfId="10265" xr:uid="{31A0AE30-3224-4481-BA8A-CFC436E7CD45}"/>
    <cellStyle name="AÞ¸¶_°u¸RC×¸n_¾÷A¾º° " xfId="10266" xr:uid="{96437626-00E3-4C65-B6B3-94765C57B856}"/>
    <cellStyle name="ÄÞ¸¶_ÀE " xfId="10267" xr:uid="{5037D208-5FEF-4285-B261-E6450CB83D44}"/>
    <cellStyle name="AÞ¸¶_INQUIRY ¿?¾÷AßAø " xfId="10268" xr:uid="{9AD56A2A-232A-488F-8C1F-12FCBF11D990}"/>
    <cellStyle name="AutoFormat-Optionen" xfId="10269" xr:uid="{C991C08C-8344-467E-9322-8442779B7876}"/>
    <cellStyle name="AutoFormat-Optionen 3" xfId="10270" xr:uid="{17CEA234-F7C9-43A2-83E0-F124D2088C9F}"/>
    <cellStyle name="Avertissement" xfId="10271" xr:uid="{DF52DEC5-62BD-4C00-978B-9B1A928BE933}"/>
    <cellStyle name="_x000f_b" xfId="10272" xr:uid="{2500DC47-0E94-4144-831D-5D5A38754093}"/>
    <cellStyle name="Background" xfId="10273" xr:uid="{D6D17F85-0BB8-4E64-B272-1D56E69245B8}"/>
    <cellStyle name="Background 2" xfId="10274" xr:uid="{55C4F2C8-6E5B-4549-9098-6CA75657BB67}"/>
    <cellStyle name="Bad 2" xfId="10276" xr:uid="{67758AB8-B695-45C2-975E-AA1FC88DEE8D}"/>
    <cellStyle name="Bad 3" xfId="10277" xr:uid="{3FC20AE5-54BF-4881-8B13-05C412400FF1}"/>
    <cellStyle name="Bad 4" xfId="10278" xr:uid="{0F76365C-735F-4F49-91B6-6B31F866B586}"/>
    <cellStyle name="Bad 5" xfId="10279" xr:uid="{2A9D9B88-EA35-40EB-8B18-969801F9BE2A}"/>
    <cellStyle name="Bad 6" xfId="10280" xr:uid="{5DF15098-7A45-4121-81DC-C3F246602AC5}"/>
    <cellStyle name="Bad 7" xfId="10281" xr:uid="{6CFD7ADD-0E24-4A3A-ADF1-A229D7DF49F5}"/>
    <cellStyle name="Bad 8" xfId="10275" xr:uid="{3A6C47AF-AC01-40B7-BA8D-221AAD4BE24E}"/>
    <cellStyle name="Besuchter Hyperlink_17.11.03 TL-ProfitStudy04 GERM" xfId="10282" xr:uid="{277A9582-EBAF-4AF9-BCFE-EB83E951D947}"/>
    <cellStyle name="Blank" xfId="10283" xr:uid="{4D0EB32D-C680-4EEE-BA89-161807D0283B}"/>
    <cellStyle name="Blanquear" xfId="10284" xr:uid="{18090AF0-9963-4D0D-B634-E84467DC17A2}"/>
    <cellStyle name="Blue" xfId="10285" xr:uid="{81DBFA8E-9AA2-4718-823B-52ADDED4A884}"/>
    <cellStyle name="Bold 11" xfId="10286" xr:uid="{7B6CFFB2-2CDB-4C1F-972C-4F255679DA54}"/>
    <cellStyle name="Bold 11 2" xfId="10287" xr:uid="{05B119A8-B2E9-44C5-A91B-073B8CC9D088}"/>
    <cellStyle name="Border" xfId="10288" xr:uid="{A9D001F2-57C2-4DA1-AC72-54F94FC6B419}"/>
    <cellStyle name="Border 2" xfId="10289" xr:uid="{40CBBF67-CB5B-40EC-A7E6-C3F87E8F1EDF}"/>
    <cellStyle name="Border 2 2" xfId="10290" xr:uid="{9BD21AAE-4380-43D8-AF72-551FDB8DCE87}"/>
    <cellStyle name="Border 2 2 10" xfId="10291" xr:uid="{D8979B0E-0AAD-4AD2-B914-D3AC545E9DC7}"/>
    <cellStyle name="Border 2 2 10 2" xfId="10292" xr:uid="{E83E68C3-13D7-424B-A266-8B44860BD606}"/>
    <cellStyle name="Border 2 2 10 2 2" xfId="28357" xr:uid="{0CA07BA8-C82C-4676-B657-C29C9B9BCF5F}"/>
    <cellStyle name="Border 2 2 10 3" xfId="28356" xr:uid="{C4B76733-4306-4D40-ACDD-675FAE484C88}"/>
    <cellStyle name="Border 2 2 11" xfId="10293" xr:uid="{21FD76A1-2DBA-4124-9C86-8C8F4C8B9BCF}"/>
    <cellStyle name="Border 2 2 11 2" xfId="10294" xr:uid="{ED545DA7-72DB-4E27-B422-F6B26A10F8E0}"/>
    <cellStyle name="Border 2 2 11 2 2" xfId="28359" xr:uid="{10E8CF98-DE9F-4B28-ACD3-6F6143F3DED5}"/>
    <cellStyle name="Border 2 2 11 3" xfId="28358" xr:uid="{A26C0ABA-DD94-4A1A-B589-652E8AFE792F}"/>
    <cellStyle name="Border 2 2 12" xfId="10295" xr:uid="{AC3C603C-55A2-4ED6-B908-B6B6BBD48B23}"/>
    <cellStyle name="Border 2 2 12 2" xfId="10296" xr:uid="{E6DC8B7A-5767-46D9-90D6-263A891E75F5}"/>
    <cellStyle name="Border 2 2 12 2 2" xfId="28361" xr:uid="{12BEB831-1D0E-4C5F-963E-4D9EF253E4D9}"/>
    <cellStyle name="Border 2 2 12 3" xfId="28360" xr:uid="{059AE112-7EF7-4100-85D7-E9F5B8490FFE}"/>
    <cellStyle name="Border 2 2 13" xfId="10297" xr:uid="{D89B44E7-9B54-4BF7-B8C0-1247F529C35D}"/>
    <cellStyle name="Border 2 2 13 2" xfId="10298" xr:uid="{90861433-3D6E-45D8-BBD2-FE84C800B77D}"/>
    <cellStyle name="Border 2 2 13 2 2" xfId="28363" xr:uid="{537E5D53-FFE7-4633-91AA-82357E453A79}"/>
    <cellStyle name="Border 2 2 13 3" xfId="28362" xr:uid="{246BBCDD-E6BE-4D9A-B463-EAB42984ED71}"/>
    <cellStyle name="Border 2 2 14" xfId="10299" xr:uid="{85107FEB-D552-4207-AAF6-D994C28CA6CD}"/>
    <cellStyle name="Border 2 2 14 2" xfId="10300" xr:uid="{6C8D095E-33AC-460E-A92F-C6B2FF43779E}"/>
    <cellStyle name="Border 2 2 14 2 2" xfId="28365" xr:uid="{10E34CF2-83EC-4DAD-8368-9A4205D502B2}"/>
    <cellStyle name="Border 2 2 14 3" xfId="28364" xr:uid="{F7100E73-0113-4FBB-836F-421AF8547CCA}"/>
    <cellStyle name="Border 2 2 15" xfId="10301" xr:uid="{37181C16-F1DD-4795-AC82-7FCCA00C4003}"/>
    <cellStyle name="Border 2 2 15 2" xfId="10302" xr:uid="{1648E86C-B7D6-48C2-A234-BEAFC20D19C2}"/>
    <cellStyle name="Border 2 2 15 2 2" xfId="28367" xr:uid="{684AD97F-DD96-46AE-8A49-EF2E60223671}"/>
    <cellStyle name="Border 2 2 15 3" xfId="28366" xr:uid="{1EB5BC66-4BF9-4B51-B2DB-D3B4E80DD1C5}"/>
    <cellStyle name="Border 2 2 16" xfId="10303" xr:uid="{98046105-5DCD-4468-913F-9690DABED819}"/>
    <cellStyle name="Border 2 2 16 2" xfId="28368" xr:uid="{44F5D743-D2F9-4A36-8C94-1D36CEC72D5C}"/>
    <cellStyle name="Border 2 2 17" xfId="28355" xr:uid="{BC461C3F-0F03-478B-A4EE-FBC1DB2D859A}"/>
    <cellStyle name="Border 2 2 2" xfId="10304" xr:uid="{577B6C18-F4F3-428F-B637-29B2FCD98FEA}"/>
    <cellStyle name="Border 2 2 2 2" xfId="10305" xr:uid="{3927BBF2-2FE4-4FA1-B238-004C431A8975}"/>
    <cellStyle name="Border 2 2 2 2 2" xfId="28370" xr:uid="{860F169E-CFD5-4E8C-A7A1-DEB842D6DD1C}"/>
    <cellStyle name="Border 2 2 2 3" xfId="28369" xr:uid="{CFC6D6D2-0DA5-4D74-9A8D-9A448699C987}"/>
    <cellStyle name="Border 2 2 3" xfId="10306" xr:uid="{9A3EBC46-33D0-45A1-BCB0-F0DAD6CC9DE5}"/>
    <cellStyle name="Border 2 2 3 2" xfId="10307" xr:uid="{24983960-7241-4049-94F5-5DD9C3F2D5DF}"/>
    <cellStyle name="Border 2 2 3 2 2" xfId="28372" xr:uid="{E4B2E490-6849-4329-B92C-E2273BCC19D2}"/>
    <cellStyle name="Border 2 2 3 3" xfId="28371" xr:uid="{AC09791B-C240-4C72-8508-91239A7B99D7}"/>
    <cellStyle name="Border 2 2 4" xfId="10308" xr:uid="{8AABAD3A-0013-4DB9-912A-797C9E9A662B}"/>
    <cellStyle name="Border 2 2 4 2" xfId="10309" xr:uid="{CDF3A48E-F674-4289-9885-F267043ED0DF}"/>
    <cellStyle name="Border 2 2 4 2 2" xfId="28374" xr:uid="{07CF031E-6708-4F1B-B955-80AFB4EEB9F5}"/>
    <cellStyle name="Border 2 2 4 3" xfId="28373" xr:uid="{22FC1EA5-26CA-4627-9E55-A1458EA0ECB3}"/>
    <cellStyle name="Border 2 2 5" xfId="10310" xr:uid="{63F1AEBD-3849-40BC-BFEE-824DAC49E4D7}"/>
    <cellStyle name="Border 2 2 5 2" xfId="10311" xr:uid="{7499ED44-96DF-467A-9EEA-00983BD7263C}"/>
    <cellStyle name="Border 2 2 5 2 2" xfId="28376" xr:uid="{1CBF17E4-D502-4E4E-84DC-BF75E6DB62C0}"/>
    <cellStyle name="Border 2 2 5 3" xfId="28375" xr:uid="{C3B3B05D-225C-42F2-B909-B647E4347CF0}"/>
    <cellStyle name="Border 2 2 6" xfId="10312" xr:uid="{AC71E0C6-0C7D-4E45-B966-9D96F0ABB032}"/>
    <cellStyle name="Border 2 2 6 2" xfId="10313" xr:uid="{0B735033-55BC-4ED5-B279-BC8E1BD4F3EE}"/>
    <cellStyle name="Border 2 2 6 2 2" xfId="28378" xr:uid="{7DBD2289-CE88-43C2-A2D1-EB560DBB3ABE}"/>
    <cellStyle name="Border 2 2 6 3" xfId="28377" xr:uid="{6E15E40B-4BC5-41FB-8FB2-2188AD4CF536}"/>
    <cellStyle name="Border 2 2 7" xfId="10314" xr:uid="{E7638655-E132-403D-840C-9AE1883A2A7A}"/>
    <cellStyle name="Border 2 2 7 2" xfId="10315" xr:uid="{E684B89E-DA8C-47B5-A6CC-D8B7DCDA803A}"/>
    <cellStyle name="Border 2 2 7 2 2" xfId="28380" xr:uid="{31861F5E-DD6E-4088-A128-D3FF055A8B5C}"/>
    <cellStyle name="Border 2 2 7 3" xfId="28379" xr:uid="{6E0D9584-B8C4-4281-9FAE-9460D8043B8E}"/>
    <cellStyle name="Border 2 2 8" xfId="10316" xr:uid="{3B19F6D4-ADF3-4912-8228-B08AA596B773}"/>
    <cellStyle name="Border 2 2 8 2" xfId="10317" xr:uid="{738D7C53-43F5-4B81-93CB-DB58866D34B5}"/>
    <cellStyle name="Border 2 2 8 2 2" xfId="28382" xr:uid="{BCB61AAC-B5E7-4275-B874-0D7152A89529}"/>
    <cellStyle name="Border 2 2 8 3" xfId="28381" xr:uid="{D8DCDFF7-524E-4980-8978-F9BD2090C994}"/>
    <cellStyle name="Border 2 2 9" xfId="10318" xr:uid="{8872A184-9BBD-414E-9923-4D926B9EAC60}"/>
    <cellStyle name="Border 2 2 9 2" xfId="10319" xr:uid="{5FF4752B-49BC-4568-A802-CFEE95EBC627}"/>
    <cellStyle name="Border 2 2 9 2 2" xfId="28384" xr:uid="{F31C7AE5-C9DC-4A27-A268-CC39E4001027}"/>
    <cellStyle name="Border 2 2 9 3" xfId="28383" xr:uid="{9D010D60-64FC-4D82-B84A-B98294F0BBC3}"/>
    <cellStyle name="Border 2 3" xfId="10320" xr:uid="{634E136B-9334-4A91-B1AB-E48628796E4C}"/>
    <cellStyle name="Border 2 3 2" xfId="10321" xr:uid="{B9688C51-54BF-42AE-B744-1F286E349936}"/>
    <cellStyle name="Border 2 3 2 2" xfId="28386" xr:uid="{79B9756E-3565-455E-B4E1-935C5E68A6F6}"/>
    <cellStyle name="Border 2 3 3" xfId="28385" xr:uid="{1FFE23C3-505F-4E63-8D7E-DEB5EF0C7DB1}"/>
    <cellStyle name="Border 2 4" xfId="10322" xr:uid="{56FEB3A7-5456-4AA5-BE3D-06AD523A7E6A}"/>
    <cellStyle name="Border 2 4 2" xfId="10323" xr:uid="{A0E6741A-71F1-4119-AD67-677493B72C42}"/>
    <cellStyle name="Border 2 4 2 2" xfId="28388" xr:uid="{CDA584BB-6B03-4B1D-836E-BF8201A29AC0}"/>
    <cellStyle name="Border 2 4 3" xfId="28387" xr:uid="{A906552C-0928-44B4-B460-A30DBAD46A58}"/>
    <cellStyle name="Border 2 5" xfId="10324" xr:uid="{A068A210-0A13-44F8-985B-AE8946F1DAE6}"/>
    <cellStyle name="Border 2 5 2" xfId="28389" xr:uid="{C99557C9-90F2-46DE-977A-CE46CACABBAC}"/>
    <cellStyle name="Border 2 6" xfId="28354" xr:uid="{9D542AD0-248E-408E-AAE4-E51F62A59DF6}"/>
    <cellStyle name="Border 3" xfId="10325" xr:uid="{B3174B86-5049-4F15-B722-81E1A1A2CA9C}"/>
    <cellStyle name="Border 3 10" xfId="10326" xr:uid="{3C35E8ED-1550-40AB-BB58-676B5ED8D823}"/>
    <cellStyle name="Border 3 10 2" xfId="10327" xr:uid="{41D1C073-84AC-48EA-A772-A83DD20DC0B5}"/>
    <cellStyle name="Border 3 10 2 2" xfId="28392" xr:uid="{5D7BAD09-5CCE-4725-AB37-8303F00D6C89}"/>
    <cellStyle name="Border 3 10 3" xfId="28391" xr:uid="{E268EE21-09D6-4924-8C3E-DFEEC90BC09B}"/>
    <cellStyle name="Border 3 11" xfId="10328" xr:uid="{79CA075F-D5FE-445E-A465-4674C357CD80}"/>
    <cellStyle name="Border 3 11 2" xfId="10329" xr:uid="{15EE69D9-1F90-4304-B8F2-CC5C1D8D2C77}"/>
    <cellStyle name="Border 3 11 2 2" xfId="28394" xr:uid="{8C296DFF-36F9-42B0-9A06-71569DB4EA18}"/>
    <cellStyle name="Border 3 11 3" xfId="28393" xr:uid="{E423833B-05F9-469C-B502-D8E6218C4F06}"/>
    <cellStyle name="Border 3 12" xfId="10330" xr:uid="{AE90D3F2-87C1-43E6-BEBB-E238AE5C4CE7}"/>
    <cellStyle name="Border 3 12 2" xfId="10331" xr:uid="{47062EFF-1694-48C0-8593-AAB529F14EAC}"/>
    <cellStyle name="Border 3 12 2 2" xfId="28396" xr:uid="{F60A81DB-ED15-4B96-9834-B3823D07492D}"/>
    <cellStyle name="Border 3 12 3" xfId="28395" xr:uid="{C6757430-62DD-4DC3-8662-0B5EE0ACA30F}"/>
    <cellStyle name="Border 3 13" xfId="10332" xr:uid="{F73A4B99-40AB-4BE1-8A00-6CE963579877}"/>
    <cellStyle name="Border 3 13 2" xfId="10333" xr:uid="{468A6111-DB49-4551-9D72-B9E51207DBB2}"/>
    <cellStyle name="Border 3 13 2 2" xfId="28398" xr:uid="{C5796CEC-452F-4B4C-A323-ACAC02E8D49B}"/>
    <cellStyle name="Border 3 13 3" xfId="28397" xr:uid="{49A8048E-CFCD-494E-885E-2DF48BC7F5EA}"/>
    <cellStyle name="Border 3 14" xfId="10334" xr:uid="{4C21C409-3043-41D7-BDA3-642326554030}"/>
    <cellStyle name="Border 3 14 2" xfId="10335" xr:uid="{9CA1E431-7B7F-406F-9051-25675E510BCB}"/>
    <cellStyle name="Border 3 14 2 2" xfId="28400" xr:uid="{0E7C77B4-D151-48D2-B538-4CD0EA3FE436}"/>
    <cellStyle name="Border 3 14 3" xfId="28399" xr:uid="{F393BC0D-BA07-4066-A2E4-0A1BBE311965}"/>
    <cellStyle name="Border 3 15" xfId="10336" xr:uid="{345B9566-D523-49D7-A71D-FABC5E2082BA}"/>
    <cellStyle name="Border 3 15 2" xfId="10337" xr:uid="{2794E29A-3B41-4BFE-8D37-94055A898787}"/>
    <cellStyle name="Border 3 15 2 2" xfId="28402" xr:uid="{D939A58F-9E70-4032-B4B5-AEEF61AB1002}"/>
    <cellStyle name="Border 3 15 3" xfId="28401" xr:uid="{7FB184EB-3EA2-4AFC-9C3F-270F769912A3}"/>
    <cellStyle name="Border 3 16" xfId="10338" xr:uid="{621E2C41-CC93-458F-9B37-934D86DEC77E}"/>
    <cellStyle name="Border 3 16 2" xfId="28403" xr:uid="{6BD7DB2B-4494-478A-8F06-C4D6DDE2CD32}"/>
    <cellStyle name="Border 3 17" xfId="28390" xr:uid="{B73C57A1-7A53-4C9F-A5AD-B7ABFAF95D2C}"/>
    <cellStyle name="Border 3 2" xfId="10339" xr:uid="{DB2F6A3A-E574-460E-8FC6-A1B5DDDDD410}"/>
    <cellStyle name="Border 3 2 2" xfId="10340" xr:uid="{8A6A15F7-47FF-4BFE-9A08-2C9DB2DBFD7A}"/>
    <cellStyle name="Border 3 2 2 2" xfId="28405" xr:uid="{D8243DF8-09AA-493D-9C81-9DF2DE789FB8}"/>
    <cellStyle name="Border 3 2 3" xfId="28404" xr:uid="{F4F4F201-3333-4352-A37A-ECA8F9852466}"/>
    <cellStyle name="Border 3 3" xfId="10341" xr:uid="{D48B8109-ADF1-4A12-B95F-248193472E9A}"/>
    <cellStyle name="Border 3 3 2" xfId="10342" xr:uid="{1F4F35EE-2E9F-4287-97E2-FECC322E72EC}"/>
    <cellStyle name="Border 3 3 2 2" xfId="28407" xr:uid="{51BB811B-3F0C-4D48-8634-089F5B28E90F}"/>
    <cellStyle name="Border 3 3 3" xfId="28406" xr:uid="{19C5ABFC-5B91-4B9A-A9A8-523C5CF3F209}"/>
    <cellStyle name="Border 3 4" xfId="10343" xr:uid="{BCAE5EB2-3ADE-411D-99C6-7FE3F353947C}"/>
    <cellStyle name="Border 3 4 2" xfId="10344" xr:uid="{ECE8C94D-FE41-4E3C-90E9-C517FF2FBBE4}"/>
    <cellStyle name="Border 3 4 2 2" xfId="28409" xr:uid="{C1E629D9-925B-4850-A253-1C7CAF1AFA87}"/>
    <cellStyle name="Border 3 4 3" xfId="28408" xr:uid="{24753553-5E00-490B-B1E2-D8CB5A353A6E}"/>
    <cellStyle name="Border 3 5" xfId="10345" xr:uid="{661FF3F7-28EC-41BE-AAF5-74EF84F35C21}"/>
    <cellStyle name="Border 3 5 2" xfId="10346" xr:uid="{7EF1BE8D-AAEA-488F-B0CD-31D2163308C2}"/>
    <cellStyle name="Border 3 5 2 2" xfId="28411" xr:uid="{75778BE9-B8FA-4EF7-8E5E-6F1931A84BDE}"/>
    <cellStyle name="Border 3 5 3" xfId="28410" xr:uid="{3A659393-6FE6-475D-9104-66CF0CB888F4}"/>
    <cellStyle name="Border 3 6" xfId="10347" xr:uid="{31671621-4E49-4F27-8D4F-22F2560EB814}"/>
    <cellStyle name="Border 3 6 2" xfId="10348" xr:uid="{E4B6BDA1-FC76-4DD0-BC6C-B9F2EAB9D064}"/>
    <cellStyle name="Border 3 6 2 2" xfId="28413" xr:uid="{2442D826-657F-4A9B-80E0-9F9030780B22}"/>
    <cellStyle name="Border 3 6 3" xfId="28412" xr:uid="{F9315D9B-1E14-4EB8-BC01-89F59EE56975}"/>
    <cellStyle name="Border 3 7" xfId="10349" xr:uid="{04751E98-CA24-4591-B049-E88D5CC13B66}"/>
    <cellStyle name="Border 3 7 2" xfId="10350" xr:uid="{7110968D-421A-49E9-8C19-30ED1C6E9CD0}"/>
    <cellStyle name="Border 3 7 2 2" xfId="28415" xr:uid="{12D77453-F31A-4182-8CC4-057890121FA8}"/>
    <cellStyle name="Border 3 7 3" xfId="28414" xr:uid="{8A35354E-1422-4C3E-8B69-81A709DD9B15}"/>
    <cellStyle name="Border 3 8" xfId="10351" xr:uid="{FE231D30-A112-4628-BA31-69095633473F}"/>
    <cellStyle name="Border 3 8 2" xfId="10352" xr:uid="{7FDB6609-3DB8-47DD-9C47-AEC8588ECFF4}"/>
    <cellStyle name="Border 3 8 2 2" xfId="28417" xr:uid="{1091C25E-2456-4383-9127-E21B6EEF2F26}"/>
    <cellStyle name="Border 3 8 3" xfId="28416" xr:uid="{0390DEB1-13AE-4F33-B5AD-6968BA3DDCF8}"/>
    <cellStyle name="Border 3 9" xfId="10353" xr:uid="{2857FFE0-FE5D-4E0F-BE63-4F697A74C443}"/>
    <cellStyle name="Border 3 9 2" xfId="10354" xr:uid="{30638073-A813-40BF-8CEF-91E2D2B1DE82}"/>
    <cellStyle name="Border 3 9 2 2" xfId="28419" xr:uid="{C9B82BE0-5F6B-4B78-80EC-DFA0731046AA}"/>
    <cellStyle name="Border 3 9 3" xfId="28418" xr:uid="{987585A1-D8CB-4123-A1CB-BC99810E8395}"/>
    <cellStyle name="Border 4" xfId="10355" xr:uid="{5BA905EB-2F30-4ADD-A719-178DBF5A9A1A}"/>
    <cellStyle name="Border 4 2" xfId="10356" xr:uid="{D6AB3177-A5EA-4129-BD67-584212581967}"/>
    <cellStyle name="Border 4 2 2" xfId="28421" xr:uid="{4868596B-47AC-441A-A3DA-D123E251FB70}"/>
    <cellStyle name="Border 4 3" xfId="28420" xr:uid="{8F6A364C-6E19-4B9E-BEF6-3E1885B29060}"/>
    <cellStyle name="Border 5" xfId="10357" xr:uid="{1BBF0066-37B9-4CB3-A260-0A5025C2C468}"/>
    <cellStyle name="Border 5 2" xfId="10358" xr:uid="{91BC7607-4608-4A40-9CC7-37A5E37B59A5}"/>
    <cellStyle name="Border 5 2 2" xfId="28423" xr:uid="{9D91425C-02DD-4B6C-A645-4A50CAD7DA5C}"/>
    <cellStyle name="Border 5 3" xfId="28422" xr:uid="{D0621D4D-965D-4839-84ED-8F135CC95AA1}"/>
    <cellStyle name="Border 6" xfId="10359" xr:uid="{F50CE056-53AD-4DAB-B0AE-08F185FCB5FD}"/>
    <cellStyle name="Border 6 2" xfId="10360" xr:uid="{5DA950C3-8E4D-47EC-8934-9FAAB4A79CDE}"/>
    <cellStyle name="Border 6 2 2" xfId="28425" xr:uid="{410CDB86-14D8-43F1-8C95-772583C8F372}"/>
    <cellStyle name="Border 6 3" xfId="28424" xr:uid="{BA44E2E9-95CE-4589-8EA5-5D46E384DD60}"/>
    <cellStyle name="Border 7" xfId="10361" xr:uid="{D22DC145-A559-4EA6-B58B-D0BCCB8C1BA1}"/>
    <cellStyle name="Border 7 2" xfId="28426" xr:uid="{8A5E2064-0C2C-4EAD-8F83-D5297A55DE45}"/>
    <cellStyle name="Border 8" xfId="28353" xr:uid="{4A2B506D-E1F9-473E-8A49-896DC7EA7C2E}"/>
    <cellStyle name="Border1" xfId="10362" xr:uid="{B02BD3E1-1571-479B-936C-F309A88C703F}"/>
    <cellStyle name="Border1 2" xfId="10363" xr:uid="{6F498E05-8E3A-4FB3-BE51-92949CE99311}"/>
    <cellStyle name="Border1 2 2" xfId="10364" xr:uid="{A5AE024A-9E8A-4F1B-977F-D02F562B2982}"/>
    <cellStyle name="Border1 2 2 2" xfId="10365" xr:uid="{F006299E-E4A3-4EFD-AC9F-ADD82465C8CC}"/>
    <cellStyle name="Border1 2 2 2 10" xfId="10366" xr:uid="{9634C985-5C7E-4F7F-9387-7182F45BA480}"/>
    <cellStyle name="Border1 2 2 2 11" xfId="10367" xr:uid="{B3E58D08-82F8-42D0-B6A7-9754DE56E154}"/>
    <cellStyle name="Border1 2 2 2 12" xfId="10368" xr:uid="{2111A3B3-C571-473D-918C-FB14324085A2}"/>
    <cellStyle name="Border1 2 2 2 13" xfId="10369" xr:uid="{F9A315B2-435E-4907-80FF-8CE840C5A9D9}"/>
    <cellStyle name="Border1 2 2 2 14" xfId="10370" xr:uid="{5D6017A3-388E-4524-8A5A-9897E5B7B379}"/>
    <cellStyle name="Border1 2 2 2 15" xfId="10371" xr:uid="{9F7E4ADA-505D-4F85-AEC1-0BE017B545C9}"/>
    <cellStyle name="Border1 2 2 2 16" xfId="10372" xr:uid="{21AB589D-489A-489C-AD69-3ED723065414}"/>
    <cellStyle name="Border1 2 2 2 17" xfId="10373" xr:uid="{BB8F842A-F9DC-4F05-809F-E2CB0361041A}"/>
    <cellStyle name="Border1 2 2 2 18" xfId="10374" xr:uid="{07BE507A-7F08-4FDE-824E-D71571BCF5A4}"/>
    <cellStyle name="Border1 2 2 2 19" xfId="10375" xr:uid="{D4BC7080-F73F-42B0-937E-FE24199E3EDC}"/>
    <cellStyle name="Border1 2 2 2 2" xfId="10376" xr:uid="{0AFBF817-8F9E-4108-899A-C2BCAE0052DC}"/>
    <cellStyle name="Border1 2 2 2 20" xfId="10377" xr:uid="{59D5A01A-579B-4896-B9D1-861C12FFF24F}"/>
    <cellStyle name="Border1 2 2 2 21" xfId="10378" xr:uid="{629001EA-31F0-4F93-9DAA-8365CDD88673}"/>
    <cellStyle name="Border1 2 2 2 22" xfId="10379" xr:uid="{6A7B1DB6-A0AA-4159-9421-5232CBFF028D}"/>
    <cellStyle name="Border1 2 2 2 23" xfId="10380" xr:uid="{EEBAE18F-FB88-46E1-84E3-9882B0A96641}"/>
    <cellStyle name="Border1 2 2 2 24" xfId="10381" xr:uid="{64BDB92A-3960-4438-860B-AF78F8E1AD2A}"/>
    <cellStyle name="Border1 2 2 2 3" xfId="10382" xr:uid="{FA14B192-6B0C-4B17-98C9-F865C974A130}"/>
    <cellStyle name="Border1 2 2 2 4" xfId="10383" xr:uid="{DDE86530-AA03-4825-836F-9DB45BB42AD0}"/>
    <cellStyle name="Border1 2 2 2 5" xfId="10384" xr:uid="{82EA11D4-CD77-4FE0-9AAE-8C62B265E9B5}"/>
    <cellStyle name="Border1 2 2 2 6" xfId="10385" xr:uid="{9C09A41C-5E61-4AFF-B448-07D7F42533D4}"/>
    <cellStyle name="Border1 2 2 2 7" xfId="10386" xr:uid="{61E2AE8C-BC00-4D06-A33B-DCAF3AD027C0}"/>
    <cellStyle name="Border1 2 2 2 8" xfId="10387" xr:uid="{3A31A5AF-7C0F-41CF-B80D-200EA54FCC95}"/>
    <cellStyle name="Border1 2 2 2 9" xfId="10388" xr:uid="{83160D61-8AA3-4454-A0F2-CD082C4D9EE4}"/>
    <cellStyle name="Border1 2 3" xfId="10389" xr:uid="{7B5D5C4F-3973-4414-8BB4-1F76FC915F54}"/>
    <cellStyle name="Border1 2 3 10" xfId="10390" xr:uid="{2B4736AB-8A47-4D2C-9EFF-49AE5AFF0B72}"/>
    <cellStyle name="Border1 2 3 11" xfId="10391" xr:uid="{3F7A03F6-69E6-4A07-8538-E4BCBDB94510}"/>
    <cellStyle name="Border1 2 3 12" xfId="10392" xr:uid="{41E082DD-9DDF-490B-B0CC-36DD1A265AE5}"/>
    <cellStyle name="Border1 2 3 13" xfId="10393" xr:uid="{91E6230E-A134-4C75-B1A0-39E22A3BA6F6}"/>
    <cellStyle name="Border1 2 3 14" xfId="10394" xr:uid="{F328843C-71C2-4513-BC3A-90DD4B908299}"/>
    <cellStyle name="Border1 2 3 15" xfId="10395" xr:uid="{EBC408E0-0027-4848-B447-7411C6225C67}"/>
    <cellStyle name="Border1 2 3 16" xfId="10396" xr:uid="{E27EC469-279C-4F80-9CF2-DDB32E34FAC7}"/>
    <cellStyle name="Border1 2 3 17" xfId="10397" xr:uid="{C8075AC5-B6D0-4B12-A5D9-A7978A07716A}"/>
    <cellStyle name="Border1 2 3 18" xfId="10398" xr:uid="{6F10EF01-D216-4A57-913F-6C5C0505DBDF}"/>
    <cellStyle name="Border1 2 3 19" xfId="10399" xr:uid="{6411F364-060A-49F7-BE88-2FCC610E2626}"/>
    <cellStyle name="Border1 2 3 2" xfId="10400" xr:uid="{3065AE18-55E1-4364-B545-59FD668B97EE}"/>
    <cellStyle name="Border1 2 3 20" xfId="10401" xr:uid="{6E708B1A-DBA7-40E4-8944-7C101C992867}"/>
    <cellStyle name="Border1 2 3 21" xfId="10402" xr:uid="{D7028AB4-BFD3-4E6E-A2D7-BB5A580D2BFE}"/>
    <cellStyle name="Border1 2 3 22" xfId="10403" xr:uid="{76DEA5F1-AA7F-4623-8750-FE6F94F554D1}"/>
    <cellStyle name="Border1 2 3 23" xfId="10404" xr:uid="{F3101699-CCAE-4792-BBD6-759DEFA89AFF}"/>
    <cellStyle name="Border1 2 3 24" xfId="10405" xr:uid="{1634623A-8462-4F50-A5E4-3BD5CC20199E}"/>
    <cellStyle name="Border1 2 3 3" xfId="10406" xr:uid="{CED1E3B7-A4E3-4F75-9B5D-7A39253A491C}"/>
    <cellStyle name="Border1 2 3 4" xfId="10407" xr:uid="{1F8E19C5-37E1-4C82-961A-F833D0FD7B0A}"/>
    <cellStyle name="Border1 2 3 5" xfId="10408" xr:uid="{995CAFEF-12E2-4F49-B8AA-1980124F8B5F}"/>
    <cellStyle name="Border1 2 3 6" xfId="10409" xr:uid="{03D5DA2A-F440-477F-A1B8-CC8048E9507B}"/>
    <cellStyle name="Border1 2 3 7" xfId="10410" xr:uid="{58DCE9AC-3429-4B0A-BF6F-1781035D5CB0}"/>
    <cellStyle name="Border1 2 3 8" xfId="10411" xr:uid="{4A457705-2EB5-47FC-B29C-36FF5A7FABE6}"/>
    <cellStyle name="Border1 2 3 9" xfId="10412" xr:uid="{D3464BFB-C1D3-494A-A35F-8CBBFBF026E8}"/>
    <cellStyle name="Border1 3" xfId="10413" xr:uid="{88A697FC-01DE-4EB1-99E1-C020399E78E6}"/>
    <cellStyle name="Border1 3 2" xfId="10414" xr:uid="{6158DC7F-940C-4D24-86F5-35709D5E6E66}"/>
    <cellStyle name="Border1 3 2 10" xfId="10415" xr:uid="{DCAF3432-3200-438F-8CAF-DBB8CAB84091}"/>
    <cellStyle name="Border1 3 2 11" xfId="10416" xr:uid="{258277EB-CEFE-4933-A22A-47BD816A32C0}"/>
    <cellStyle name="Border1 3 2 12" xfId="10417" xr:uid="{E250D060-4FAB-4742-BF3A-EC57FE11E1DD}"/>
    <cellStyle name="Border1 3 2 13" xfId="10418" xr:uid="{98E4646D-8C69-4B57-A20B-49DBAA65B838}"/>
    <cellStyle name="Border1 3 2 14" xfId="10419" xr:uid="{86A7E8CE-3850-45F2-80AA-2DF4CDD927B9}"/>
    <cellStyle name="Border1 3 2 15" xfId="10420" xr:uid="{9E9BA469-B2EB-46A8-8B3E-CF00EB425AA9}"/>
    <cellStyle name="Border1 3 2 16" xfId="10421" xr:uid="{48D52A86-D022-4114-9D01-3635CCD09315}"/>
    <cellStyle name="Border1 3 2 17" xfId="10422" xr:uid="{8C944117-E4C5-455D-A426-E358632F9983}"/>
    <cellStyle name="Border1 3 2 18" xfId="10423" xr:uid="{AD847EA8-3395-45D3-B232-2B946F4B81BE}"/>
    <cellStyle name="Border1 3 2 19" xfId="10424" xr:uid="{694BC57E-5067-4990-AB52-B5755DE50FFE}"/>
    <cellStyle name="Border1 3 2 2" xfId="10425" xr:uid="{1BA3C688-FD5C-435D-9AC5-1F6D47906C56}"/>
    <cellStyle name="Border1 3 2 20" xfId="10426" xr:uid="{1C002F97-CD8F-401E-9520-7FF6EE4AC6F3}"/>
    <cellStyle name="Border1 3 2 21" xfId="10427" xr:uid="{CAB3D2BF-4B93-4D9B-AFB7-885783C0266F}"/>
    <cellStyle name="Border1 3 2 22" xfId="10428" xr:uid="{82D3D96B-A651-464F-A580-8F84D901A68E}"/>
    <cellStyle name="Border1 3 2 23" xfId="10429" xr:uid="{1BC82066-04F8-42A9-8347-4EC6BE5E4C47}"/>
    <cellStyle name="Border1 3 2 24" xfId="10430" xr:uid="{1AD36E8E-AA83-4EA2-889D-D43A5D6C4068}"/>
    <cellStyle name="Border1 3 2 3" xfId="10431" xr:uid="{F82A32E5-4B5A-4DF8-9375-979847D76DDD}"/>
    <cellStyle name="Border1 3 2 4" xfId="10432" xr:uid="{377EF95B-9681-4E2A-8849-CAE2F864D2B3}"/>
    <cellStyle name="Border1 3 2 5" xfId="10433" xr:uid="{086B6170-545C-435E-AA27-8F41B27599C8}"/>
    <cellStyle name="Border1 3 2 6" xfId="10434" xr:uid="{3117B01B-E2C9-4346-87C0-81F394C05E04}"/>
    <cellStyle name="Border1 3 2 7" xfId="10435" xr:uid="{E1A2164E-7899-4EAB-94CF-6B2DA9C05BEF}"/>
    <cellStyle name="Border1 3 2 8" xfId="10436" xr:uid="{8759FADA-F683-4EC2-8CD7-02B16484A839}"/>
    <cellStyle name="Border1 3 2 9" xfId="10437" xr:uid="{CFCEA384-6007-4110-9DC0-BC6789E59126}"/>
    <cellStyle name="Border1 4" xfId="10438" xr:uid="{17FC9D50-CDDB-44D6-ADFE-EC95694D431C}"/>
    <cellStyle name="Border1 4 2" xfId="10439" xr:uid="{45FE6258-22D3-4726-95C9-5CD7084E8649}"/>
    <cellStyle name="Border1 4 2 10" xfId="10440" xr:uid="{6E90461C-2DE1-41EA-9269-7AC3421DDBAD}"/>
    <cellStyle name="Border1 4 2 11" xfId="10441" xr:uid="{79813CD9-E563-4135-9403-3CCC6B9D0433}"/>
    <cellStyle name="Border1 4 2 12" xfId="10442" xr:uid="{E4FECD1E-9EA4-49DF-B02D-A8812E7A2261}"/>
    <cellStyle name="Border1 4 2 13" xfId="10443" xr:uid="{CB1A1DC1-7D36-41F7-9C5B-FD4DAA31750C}"/>
    <cellStyle name="Border1 4 2 14" xfId="10444" xr:uid="{5CF81191-4F4A-45F0-8403-0EB548D658FD}"/>
    <cellStyle name="Border1 4 2 15" xfId="10445" xr:uid="{725AED62-C19B-4E37-802D-70E995D1029A}"/>
    <cellStyle name="Border1 4 2 16" xfId="10446" xr:uid="{167D3C16-762F-4D7C-A980-F02087D1AA82}"/>
    <cellStyle name="Border1 4 2 17" xfId="10447" xr:uid="{691D63A8-81B4-4A4F-A6B0-1E8DB434ACB6}"/>
    <cellStyle name="Border1 4 2 18" xfId="10448" xr:uid="{BD99E92C-09D4-4792-A8F6-946192918326}"/>
    <cellStyle name="Border1 4 2 19" xfId="10449" xr:uid="{493E7871-F20F-4A6F-BE2E-92017EF30961}"/>
    <cellStyle name="Border1 4 2 2" xfId="10450" xr:uid="{CF9D8A27-F8B7-4528-86EC-D90898628CBD}"/>
    <cellStyle name="Border1 4 2 20" xfId="10451" xr:uid="{FC9546F4-8334-4672-AA9D-90490645980C}"/>
    <cellStyle name="Border1 4 2 21" xfId="10452" xr:uid="{55B1ADE0-A3B9-4422-A90F-F462C1546103}"/>
    <cellStyle name="Border1 4 2 22" xfId="10453" xr:uid="{520AFA6E-8D91-4A6F-8FFF-A9850786D900}"/>
    <cellStyle name="Border1 4 2 23" xfId="10454" xr:uid="{99A8D336-85E7-466D-B5FC-3BC75E8F7897}"/>
    <cellStyle name="Border1 4 2 24" xfId="10455" xr:uid="{4C863521-1BC3-4597-931D-8F2C9E87969D}"/>
    <cellStyle name="Border1 4 2 3" xfId="10456" xr:uid="{8E0DCACB-3DFC-494B-B99E-E17A540FBC73}"/>
    <cellStyle name="Border1 4 2 4" xfId="10457" xr:uid="{90FBD4CA-765F-4078-8F76-CE71FB78A3F9}"/>
    <cellStyle name="Border1 4 2 5" xfId="10458" xr:uid="{C86BBD70-AA14-4FC2-88BB-634D603738CE}"/>
    <cellStyle name="Border1 4 2 6" xfId="10459" xr:uid="{1D3A1CE7-67EC-491C-BE53-E60BE9D2DD3F}"/>
    <cellStyle name="Border1 4 2 7" xfId="10460" xr:uid="{A0817D4B-1194-4729-8CBC-04F84B84D5DF}"/>
    <cellStyle name="Border1 4 2 8" xfId="10461" xr:uid="{E7A36DA6-AF2E-4061-B4CD-750619B5F73C}"/>
    <cellStyle name="Border1 4 2 9" xfId="10462" xr:uid="{29B6702F-E8A0-419F-85F1-0FB20C7573D2}"/>
    <cellStyle name="Border1 5" xfId="10463" xr:uid="{C30B4C3D-C5F1-4144-B67D-BDE904402A71}"/>
    <cellStyle name="Border1 5 10" xfId="10464" xr:uid="{083A7399-3FD5-4CCD-911D-1BBB90E9A756}"/>
    <cellStyle name="Border1 5 11" xfId="10465" xr:uid="{EB411172-AD47-4BBE-9A74-836BBA115879}"/>
    <cellStyle name="Border1 5 12" xfId="10466" xr:uid="{FD997067-CCC3-4788-AC87-D6DAC399B112}"/>
    <cellStyle name="Border1 5 13" xfId="10467" xr:uid="{993BC42D-8CDE-4D69-9397-F8DBE47732C2}"/>
    <cellStyle name="Border1 5 14" xfId="10468" xr:uid="{D0775EFD-0EAF-46C6-9855-920AB0E8C9AE}"/>
    <cellStyle name="Border1 5 15" xfId="10469" xr:uid="{D056BD8D-C5AE-4556-814E-D2ACCB02BBC5}"/>
    <cellStyle name="Border1 5 16" xfId="10470" xr:uid="{1E2E1812-CC38-45A5-A94A-9F9FBE595236}"/>
    <cellStyle name="Border1 5 17" xfId="10471" xr:uid="{4912A794-2E17-491D-9AC3-35B85381DDE3}"/>
    <cellStyle name="Border1 5 18" xfId="10472" xr:uid="{6C0F575D-D160-4646-B06E-3AE373AD3835}"/>
    <cellStyle name="Border1 5 19" xfId="10473" xr:uid="{313D820A-7D48-4BEF-B611-D481F0902DE6}"/>
    <cellStyle name="Border1 5 2" xfId="10474" xr:uid="{D2C755A9-B057-412C-8D51-FB529744C070}"/>
    <cellStyle name="Border1 5 20" xfId="10475" xr:uid="{69F6CB49-3386-4561-87E6-C4D07C98B11A}"/>
    <cellStyle name="Border1 5 21" xfId="10476" xr:uid="{AC3EA307-B39B-4079-B2F1-409042009EE5}"/>
    <cellStyle name="Border1 5 22" xfId="10477" xr:uid="{4ABF2F25-FE17-459E-A37F-75ADC7FB603C}"/>
    <cellStyle name="Border1 5 23" xfId="10478" xr:uid="{E05B8ADE-71AC-4056-A67E-AD4C8D72BD7D}"/>
    <cellStyle name="Border1 5 24" xfId="10479" xr:uid="{89FC231F-B0D8-414C-980B-CAB620D7AFF9}"/>
    <cellStyle name="Border1 5 3" xfId="10480" xr:uid="{F137E808-B652-4F64-8AD6-376BB8821998}"/>
    <cellStyle name="Border1 5 4" xfId="10481" xr:uid="{358FEA4F-ED8D-420D-94F0-362285FB9FF3}"/>
    <cellStyle name="Border1 5 5" xfId="10482" xr:uid="{218D3021-F8C7-4D22-9D01-802901E6C90F}"/>
    <cellStyle name="Border1 5 6" xfId="10483" xr:uid="{DA9C8CFD-8555-46C0-BC45-8DBEE3E727A6}"/>
    <cellStyle name="Border1 5 7" xfId="10484" xr:uid="{6C3385D2-3B7C-4253-9B67-5A4725EADF01}"/>
    <cellStyle name="Border1 5 8" xfId="10485" xr:uid="{2EDBD2FC-7D48-47E7-ADB0-3421D95A4308}"/>
    <cellStyle name="Border1 5 9" xfId="10486" xr:uid="{FC13F77E-D4CE-4014-874F-38D7A47551CE}"/>
    <cellStyle name="Border1 6" xfId="10487" xr:uid="{C7FD55A1-46FE-4A2D-AA12-B5DBDEC27A64}"/>
    <cellStyle name="Border2" xfId="10488" xr:uid="{429631CF-B551-4736-85B5-59C072CFA000}"/>
    <cellStyle name="Border2 2" xfId="10489" xr:uid="{F682D3DE-F374-436D-9E35-046D6A5B0EF8}"/>
    <cellStyle name="Border2 2 2" xfId="10490" xr:uid="{72C55CF2-0F66-4033-BE02-FB759C9EAED8}"/>
    <cellStyle name="Border2 2 2 2" xfId="10491" xr:uid="{266ED4E8-A1FA-4FCA-BF07-96EB1FDB6C6A}"/>
    <cellStyle name="Border2 2 2 2 10" xfId="10492" xr:uid="{0332A3D6-0114-4CB1-9FFE-7549C7195220}"/>
    <cellStyle name="Border2 2 2 2 11" xfId="10493" xr:uid="{EBA95A6E-B001-4229-8877-2CD2FB34EEF4}"/>
    <cellStyle name="Border2 2 2 2 12" xfId="10494" xr:uid="{BB23D01E-048D-44F7-9782-5436345122EC}"/>
    <cellStyle name="Border2 2 2 2 13" xfId="10495" xr:uid="{12676665-E7E1-4DC1-9E70-117E1B7CAD09}"/>
    <cellStyle name="Border2 2 2 2 14" xfId="10496" xr:uid="{28793A99-40AC-48D9-BB97-F703E15CFA3F}"/>
    <cellStyle name="Border2 2 2 2 15" xfId="10497" xr:uid="{1D6B92B7-5434-416B-A3F7-9046F475A4C3}"/>
    <cellStyle name="Border2 2 2 2 16" xfId="10498" xr:uid="{4AAF63BB-95F6-4068-AEFB-980DB219D593}"/>
    <cellStyle name="Border2 2 2 2 17" xfId="10499" xr:uid="{2DF41ADA-79D3-4A9B-A640-220C20F964BB}"/>
    <cellStyle name="Border2 2 2 2 18" xfId="10500" xr:uid="{9AF7232D-73B0-401B-9D55-F11D8C311BA6}"/>
    <cellStyle name="Border2 2 2 2 19" xfId="10501" xr:uid="{7719E5FA-4E49-42E1-A464-F86F83A5DBC1}"/>
    <cellStyle name="Border2 2 2 2 2" xfId="10502" xr:uid="{71F1F891-EAB9-4DFF-976B-9A47E572D6FB}"/>
    <cellStyle name="Border2 2 2 2 20" xfId="10503" xr:uid="{60AA1A8A-B136-4AC5-82F5-81B661C0CAE0}"/>
    <cellStyle name="Border2 2 2 2 21" xfId="10504" xr:uid="{35DD2582-1A59-488D-8519-F1EAC5CF9D0B}"/>
    <cellStyle name="Border2 2 2 2 22" xfId="10505" xr:uid="{5897DC0C-73DB-4DF2-AAEC-C50F7A2F31F6}"/>
    <cellStyle name="Border2 2 2 2 23" xfId="10506" xr:uid="{31DEA6B4-4269-4431-B183-59E21B57F668}"/>
    <cellStyle name="Border2 2 2 2 24" xfId="10507" xr:uid="{683EA7CF-5D1C-465F-9C59-8E37B47C59A9}"/>
    <cellStyle name="Border2 2 2 2 3" xfId="10508" xr:uid="{88C703F5-5D41-41AF-95C4-4B7C88DCEEAC}"/>
    <cellStyle name="Border2 2 2 2 4" xfId="10509" xr:uid="{07D57FF7-39FB-47FE-824D-C7D6C0D0A8C2}"/>
    <cellStyle name="Border2 2 2 2 5" xfId="10510" xr:uid="{7B8801FF-CF15-4FC1-BF61-A28F91173FE2}"/>
    <cellStyle name="Border2 2 2 2 6" xfId="10511" xr:uid="{37036787-3D6C-4AAC-896B-3083C493790F}"/>
    <cellStyle name="Border2 2 2 2 7" xfId="10512" xr:uid="{80024553-8538-4001-A23E-F638248256CC}"/>
    <cellStyle name="Border2 2 2 2 8" xfId="10513" xr:uid="{9E50407E-85FF-4EEF-9DA8-C3ADE6B48AB9}"/>
    <cellStyle name="Border2 2 2 2 9" xfId="10514" xr:uid="{68A2F2E9-8477-4BB2-A87D-46D4754F8257}"/>
    <cellStyle name="Border2 2 3" xfId="10515" xr:uid="{429AD310-5FF7-404D-84C0-7368D9823404}"/>
    <cellStyle name="Border2 2 3 10" xfId="10516" xr:uid="{9C674FC4-6CC7-49D4-9E3A-351FA1FC3386}"/>
    <cellStyle name="Border2 2 3 11" xfId="10517" xr:uid="{DEC87A1C-6ADF-4337-B091-BC187DF7C786}"/>
    <cellStyle name="Border2 2 3 12" xfId="10518" xr:uid="{EAE1DE17-D2E1-4A51-B89F-B987B9B6848B}"/>
    <cellStyle name="Border2 2 3 13" xfId="10519" xr:uid="{8B4C4A12-1A28-47DE-81F3-63BFC1AA93AB}"/>
    <cellStyle name="Border2 2 3 14" xfId="10520" xr:uid="{DE80CAC7-8C7F-421A-A7C3-2B606489B598}"/>
    <cellStyle name="Border2 2 3 15" xfId="10521" xr:uid="{95CAA374-E85E-4442-A603-48AFBD758578}"/>
    <cellStyle name="Border2 2 3 16" xfId="10522" xr:uid="{AC35BFE4-00BC-4FC9-9550-622FBA0ED933}"/>
    <cellStyle name="Border2 2 3 17" xfId="10523" xr:uid="{45CAC867-8373-4290-857D-4FE5E961D400}"/>
    <cellStyle name="Border2 2 3 18" xfId="10524" xr:uid="{50847F6D-4229-4FBA-86EC-FA4709FFD264}"/>
    <cellStyle name="Border2 2 3 19" xfId="10525" xr:uid="{8A9E3540-6383-46B7-AD26-40824AB565E9}"/>
    <cellStyle name="Border2 2 3 2" xfId="10526" xr:uid="{497CD261-4A14-4290-A42F-3A6368349F15}"/>
    <cellStyle name="Border2 2 3 20" xfId="10527" xr:uid="{8C6100D9-044A-4AC4-B823-5B7F28177BDC}"/>
    <cellStyle name="Border2 2 3 21" xfId="10528" xr:uid="{03F45E06-C0B2-4BB9-999E-99DB2B6AFE95}"/>
    <cellStyle name="Border2 2 3 22" xfId="10529" xr:uid="{E78D3FC4-ECB9-44D1-904F-BF65C059DE6D}"/>
    <cellStyle name="Border2 2 3 23" xfId="10530" xr:uid="{07671E03-C2F3-4AC0-9A57-483886EA4235}"/>
    <cellStyle name="Border2 2 3 24" xfId="10531" xr:uid="{CEC017E4-E1F3-4758-8F72-0FA924F006DA}"/>
    <cellStyle name="Border2 2 3 3" xfId="10532" xr:uid="{0E49C813-4416-49B1-ACB3-15741DF561D8}"/>
    <cellStyle name="Border2 2 3 4" xfId="10533" xr:uid="{51250A31-B59D-4838-B7FC-F30BD65E31FF}"/>
    <cellStyle name="Border2 2 3 5" xfId="10534" xr:uid="{1719FCF3-2EB2-4767-B4F0-3A6F7EBDFF02}"/>
    <cellStyle name="Border2 2 3 6" xfId="10535" xr:uid="{424A4F70-46BD-4629-AFEA-8355FB51EFCE}"/>
    <cellStyle name="Border2 2 3 7" xfId="10536" xr:uid="{CEE2512D-91F5-451C-B766-AFCB789CE573}"/>
    <cellStyle name="Border2 2 3 8" xfId="10537" xr:uid="{791710E7-325A-43D5-B75A-F66BFB8B9773}"/>
    <cellStyle name="Border2 2 3 9" xfId="10538" xr:uid="{D078AFC4-6B3E-404E-B3CE-BB88FFB4D129}"/>
    <cellStyle name="Border2 3" xfId="10539" xr:uid="{11B3880B-1662-4FB8-8954-50379B7150C1}"/>
    <cellStyle name="Border2 3 2" xfId="10540" xr:uid="{E6E25F27-2751-4E3B-A2CE-2B53553ACD0E}"/>
    <cellStyle name="Border2 3 2 10" xfId="10541" xr:uid="{A205CD2C-2C77-46A5-948A-7A26677DF2D1}"/>
    <cellStyle name="Border2 3 2 11" xfId="10542" xr:uid="{7FEF3D36-9823-4165-930E-31F7822642E8}"/>
    <cellStyle name="Border2 3 2 12" xfId="10543" xr:uid="{EC12CBCE-F8D0-4F0B-9081-6977135A6637}"/>
    <cellStyle name="Border2 3 2 13" xfId="10544" xr:uid="{14594509-3EF3-42CE-9016-898081A4D71B}"/>
    <cellStyle name="Border2 3 2 14" xfId="10545" xr:uid="{01BBD400-85FE-4DC4-9BCB-1BB8C8DF51C4}"/>
    <cellStyle name="Border2 3 2 15" xfId="10546" xr:uid="{275E74FA-4FB6-4BC6-91C1-2296F4281696}"/>
    <cellStyle name="Border2 3 2 16" xfId="10547" xr:uid="{3AFBEF7C-5F1A-4670-B30E-DA3FDF81E426}"/>
    <cellStyle name="Border2 3 2 17" xfId="10548" xr:uid="{C50B3895-579E-4806-85BE-33348DDF9CF4}"/>
    <cellStyle name="Border2 3 2 18" xfId="10549" xr:uid="{00F876BD-1B7D-41F2-B343-38AD8E0320E9}"/>
    <cellStyle name="Border2 3 2 19" xfId="10550" xr:uid="{DB3068D6-5073-433E-BF14-3212D80B4B3F}"/>
    <cellStyle name="Border2 3 2 2" xfId="10551" xr:uid="{EFA363DC-2AEF-4520-96FB-2B7BD53F90A8}"/>
    <cellStyle name="Border2 3 2 20" xfId="10552" xr:uid="{97C9E185-FF1C-493C-BF7C-3D3941663CE2}"/>
    <cellStyle name="Border2 3 2 21" xfId="10553" xr:uid="{1DAF7375-50E3-4389-939E-5EE6E2635F50}"/>
    <cellStyle name="Border2 3 2 22" xfId="10554" xr:uid="{8ED52AEA-6B4F-4718-A220-57595E7CB229}"/>
    <cellStyle name="Border2 3 2 23" xfId="10555" xr:uid="{97771042-2ACB-451F-A25F-867C8A0881E2}"/>
    <cellStyle name="Border2 3 2 24" xfId="10556" xr:uid="{E5060C4A-6AE5-433D-9739-BAE7A59DA974}"/>
    <cellStyle name="Border2 3 2 3" xfId="10557" xr:uid="{69BEEE64-F654-4AAA-A310-BC58D8B52BD9}"/>
    <cellStyle name="Border2 3 2 4" xfId="10558" xr:uid="{4C1DF59B-6EE4-4263-9BB1-0E5B3E5C6DB9}"/>
    <cellStyle name="Border2 3 2 5" xfId="10559" xr:uid="{555545A1-F8A9-4F84-95AD-C9420104D2FB}"/>
    <cellStyle name="Border2 3 2 6" xfId="10560" xr:uid="{AAEB5BEE-0F17-43DF-9BB4-5D82C947B75A}"/>
    <cellStyle name="Border2 3 2 7" xfId="10561" xr:uid="{3B4BE7D5-C1CA-42A0-AD7B-7231B2E9CEE5}"/>
    <cellStyle name="Border2 3 2 8" xfId="10562" xr:uid="{F1C13719-3ED8-4CE6-8767-B2200AA2092C}"/>
    <cellStyle name="Border2 3 2 9" xfId="10563" xr:uid="{7CFF9C04-CC8C-47A6-B549-698431D122B9}"/>
    <cellStyle name="Border2 4" xfId="10564" xr:uid="{61DECE6F-D578-487C-B463-611497C8B764}"/>
    <cellStyle name="Border2 4 2" xfId="10565" xr:uid="{4AFBBC40-1AEA-4A91-815F-32F5512A782F}"/>
    <cellStyle name="Border2 4 2 10" xfId="10566" xr:uid="{56EFF496-6B3B-4C4E-A559-09D432DAED3D}"/>
    <cellStyle name="Border2 4 2 11" xfId="10567" xr:uid="{8C437E58-036E-4109-BE9D-795D29958EF9}"/>
    <cellStyle name="Border2 4 2 12" xfId="10568" xr:uid="{B9EF6468-D027-4718-9FC7-73BE97E9D52F}"/>
    <cellStyle name="Border2 4 2 13" xfId="10569" xr:uid="{393B496B-9FD8-4E78-B2E0-3A371312731F}"/>
    <cellStyle name="Border2 4 2 14" xfId="10570" xr:uid="{46CD83E1-203E-4957-8ADF-5B7F33B1C5BE}"/>
    <cellStyle name="Border2 4 2 15" xfId="10571" xr:uid="{0C54B3E0-1580-4DEC-80A3-1DD164DCB840}"/>
    <cellStyle name="Border2 4 2 16" xfId="10572" xr:uid="{B2232212-3644-431B-8318-EE011EBD4289}"/>
    <cellStyle name="Border2 4 2 17" xfId="10573" xr:uid="{92824C17-4495-499A-A32D-C04604B4E5B1}"/>
    <cellStyle name="Border2 4 2 18" xfId="10574" xr:uid="{E73EF8CD-D3ED-45D0-84F1-D0FFA23DB56D}"/>
    <cellStyle name="Border2 4 2 19" xfId="10575" xr:uid="{98BAF38E-41E0-4F98-8EA1-4E24F2EAE52E}"/>
    <cellStyle name="Border2 4 2 2" xfId="10576" xr:uid="{716AE922-4FCF-4F51-A771-1D3C9B3C073E}"/>
    <cellStyle name="Border2 4 2 20" xfId="10577" xr:uid="{FB8ABF87-1E1F-4FFE-9B6F-5592C212F938}"/>
    <cellStyle name="Border2 4 2 21" xfId="10578" xr:uid="{3823E5EB-E8C8-4D6C-BCA7-EAEEEDDBA4C8}"/>
    <cellStyle name="Border2 4 2 22" xfId="10579" xr:uid="{24BA4CD9-070C-44DC-B5B4-71E11CCC269E}"/>
    <cellStyle name="Border2 4 2 23" xfId="10580" xr:uid="{1EA029DE-5E07-40D5-BC26-354298055343}"/>
    <cellStyle name="Border2 4 2 24" xfId="10581" xr:uid="{407343AD-1A27-4694-9CE7-6BF5316D9FCD}"/>
    <cellStyle name="Border2 4 2 3" xfId="10582" xr:uid="{E434686B-BB82-446A-A860-106A1C4338CB}"/>
    <cellStyle name="Border2 4 2 4" xfId="10583" xr:uid="{63BD27A3-594F-4A39-8A86-3E2A5E043F5F}"/>
    <cellStyle name="Border2 4 2 5" xfId="10584" xr:uid="{FD370C6B-7B10-401B-937C-9CB8094BF0B1}"/>
    <cellStyle name="Border2 4 2 6" xfId="10585" xr:uid="{8A9B9C20-6364-4826-9AE6-ED6F0A2556FF}"/>
    <cellStyle name="Border2 4 2 7" xfId="10586" xr:uid="{DA96ADD7-7FFF-4C41-B116-281E2F15CF88}"/>
    <cellStyle name="Border2 4 2 8" xfId="10587" xr:uid="{6EE327E7-AF73-48AE-B92B-08720DA68568}"/>
    <cellStyle name="Border2 4 2 9" xfId="10588" xr:uid="{793BCA13-5A42-450C-8950-03B877532A9B}"/>
    <cellStyle name="Border2 5" xfId="10589" xr:uid="{D2985166-19E6-41C3-80CB-564CA81085CA}"/>
    <cellStyle name="Border2 5 10" xfId="10590" xr:uid="{672A9056-A71B-4D5E-9E66-A6D5F39FC10E}"/>
    <cellStyle name="Border2 5 11" xfId="10591" xr:uid="{E78C780B-CE2A-4A25-A991-F629C69B67AB}"/>
    <cellStyle name="Border2 5 12" xfId="10592" xr:uid="{CCD7A16D-C61D-43BA-A904-80E1855C6DE3}"/>
    <cellStyle name="Border2 5 13" xfId="10593" xr:uid="{CCA96B4A-B218-4FEE-AEE6-704D9186422D}"/>
    <cellStyle name="Border2 5 14" xfId="10594" xr:uid="{1E8D3A20-8C2C-42AC-8769-1FFEBC4BDD3A}"/>
    <cellStyle name="Border2 5 15" xfId="10595" xr:uid="{74C0EAF0-C4AD-4A56-B42C-E189C577D8D7}"/>
    <cellStyle name="Border2 5 16" xfId="10596" xr:uid="{292C28CA-0E51-4EAB-B131-79EB8D08027A}"/>
    <cellStyle name="Border2 5 17" xfId="10597" xr:uid="{3E96018E-F6FB-4F08-AEC2-D962D0775D40}"/>
    <cellStyle name="Border2 5 18" xfId="10598" xr:uid="{B7022832-2A3B-4B72-8255-1CB0DD57F2C8}"/>
    <cellStyle name="Border2 5 19" xfId="10599" xr:uid="{93C90171-F6D8-401F-AA3A-D191F2C1A239}"/>
    <cellStyle name="Border2 5 2" xfId="10600" xr:uid="{2BBFA196-2046-4BDA-B249-45257C7A89DB}"/>
    <cellStyle name="Border2 5 20" xfId="10601" xr:uid="{0E73D80A-EFFE-4CF0-9C1E-69A3E75A9334}"/>
    <cellStyle name="Border2 5 21" xfId="10602" xr:uid="{3B24ED45-F478-4F19-89D9-94610FD91745}"/>
    <cellStyle name="Border2 5 22" xfId="10603" xr:uid="{C328C3F4-3A6C-4A97-8CE3-285ADD0E5961}"/>
    <cellStyle name="Border2 5 23" xfId="10604" xr:uid="{8F4B2F8D-F148-4480-8E7B-B76EEB6639EF}"/>
    <cellStyle name="Border2 5 24" xfId="10605" xr:uid="{3EAFA2CC-6F04-4F86-A09A-09CA80F0C176}"/>
    <cellStyle name="Border2 5 3" xfId="10606" xr:uid="{360B0B4E-0324-4E62-B4FA-E410ACC8C916}"/>
    <cellStyle name="Border2 5 4" xfId="10607" xr:uid="{884B9E9D-FD33-474C-9DDE-860FB075EB3D}"/>
    <cellStyle name="Border2 5 5" xfId="10608" xr:uid="{B90B7187-7CAE-41A9-B9ED-D1599326EF0C}"/>
    <cellStyle name="Border2 5 6" xfId="10609" xr:uid="{DF10CD53-43C6-401F-A78C-7CD3FA74FBA5}"/>
    <cellStyle name="Border2 5 7" xfId="10610" xr:uid="{B67FF291-EF5C-416B-B8B1-83A3BBF45319}"/>
    <cellStyle name="Border2 5 8" xfId="10611" xr:uid="{772F9764-3C28-416F-8157-375F8EE8CEBA}"/>
    <cellStyle name="Border2 5 9" xfId="10612" xr:uid="{4E3B9483-4FB4-4E07-BF96-EFA1B61D23CF}"/>
    <cellStyle name="Border2 6" xfId="10613" xr:uid="{BC2AB044-A789-4A72-B56E-52698DDA75E2}"/>
    <cellStyle name="Border3" xfId="10614" xr:uid="{8C9AC81B-F62B-4F91-AFA6-15045572F551}"/>
    <cellStyle name="Border3 2" xfId="10615" xr:uid="{F8681A07-A786-492A-8C2C-D89CAA5DE3CA}"/>
    <cellStyle name="Border3 2 2" xfId="10616" xr:uid="{847A2C8D-6268-48B3-A208-D5A269C8BC15}"/>
    <cellStyle name="Border3 2 2 2" xfId="10617" xr:uid="{7FA36883-66EB-4B4B-9805-F2D9F389EED3}"/>
    <cellStyle name="Border3 2 2 2 10" xfId="10618" xr:uid="{D5BDA489-17E4-49B8-B418-E8B7C2D4F6F7}"/>
    <cellStyle name="Border3 2 2 2 11" xfId="10619" xr:uid="{50BA4388-1AFF-4359-AF05-972271EA42B9}"/>
    <cellStyle name="Border3 2 2 2 12" xfId="10620" xr:uid="{B157DFA4-1CCC-4BEC-99FD-0999CD84DAE1}"/>
    <cellStyle name="Border3 2 2 2 13" xfId="10621" xr:uid="{A65190E8-42FF-4A74-B8ED-E83798CBE30E}"/>
    <cellStyle name="Border3 2 2 2 14" xfId="10622" xr:uid="{6E76BF8D-816F-4896-BB0D-12D07C3FD3D2}"/>
    <cellStyle name="Border3 2 2 2 15" xfId="10623" xr:uid="{54970CDA-945E-4E4B-B939-47E40D104A42}"/>
    <cellStyle name="Border3 2 2 2 16" xfId="10624" xr:uid="{AEF5C355-305A-45DC-BD33-ED8FB811C03F}"/>
    <cellStyle name="Border3 2 2 2 17" xfId="10625" xr:uid="{3D9A5B74-2CCB-470A-B7C7-70B8121CB970}"/>
    <cellStyle name="Border3 2 2 2 18" xfId="10626" xr:uid="{0ADD0C23-1713-45F3-9A7C-16D228EDF0BE}"/>
    <cellStyle name="Border3 2 2 2 19" xfId="10627" xr:uid="{8AAC427E-3332-4724-B7C9-9E9DD00CEC0D}"/>
    <cellStyle name="Border3 2 2 2 2" xfId="10628" xr:uid="{ECB20A7F-BEBA-4949-B599-0C8E3C1E070B}"/>
    <cellStyle name="Border3 2 2 2 20" xfId="10629" xr:uid="{4974C32D-D4C7-436B-A610-D61DCA751496}"/>
    <cellStyle name="Border3 2 2 2 21" xfId="10630" xr:uid="{B452E040-277C-48B8-9B10-B38BA05DCBFF}"/>
    <cellStyle name="Border3 2 2 2 22" xfId="10631" xr:uid="{2696A906-6B51-48A6-955D-E1EE434BD9B2}"/>
    <cellStyle name="Border3 2 2 2 23" xfId="10632" xr:uid="{AF9EA8BF-AB7B-4525-A676-B8165686B775}"/>
    <cellStyle name="Border3 2 2 2 24" xfId="10633" xr:uid="{5FA7F23F-8C20-4506-AE7B-B0E30B10514F}"/>
    <cellStyle name="Border3 2 2 2 3" xfId="10634" xr:uid="{01F83D8E-49A2-4708-B38B-0C717B8FABC7}"/>
    <cellStyle name="Border3 2 2 2 4" xfId="10635" xr:uid="{4A2D0AA5-7045-4B03-9D3C-CCC8AABC46F9}"/>
    <cellStyle name="Border3 2 2 2 5" xfId="10636" xr:uid="{FAD581A6-AE54-43D9-8E86-D4317123DED0}"/>
    <cellStyle name="Border3 2 2 2 6" xfId="10637" xr:uid="{06608338-227A-4724-8D8D-CAD5B1CFF276}"/>
    <cellStyle name="Border3 2 2 2 7" xfId="10638" xr:uid="{F71402B1-D61C-4A9E-9332-CE4E52897EDB}"/>
    <cellStyle name="Border3 2 2 2 8" xfId="10639" xr:uid="{FCF284D0-1C7A-478C-BCFF-39385F8D5DEA}"/>
    <cellStyle name="Border3 2 2 2 9" xfId="10640" xr:uid="{1650B99D-D134-40D3-909B-32FDD674ABF7}"/>
    <cellStyle name="Border3 2 3" xfId="10641" xr:uid="{3D9B2BE6-DAA9-45C0-AD49-52131FAE164F}"/>
    <cellStyle name="Border3 2 3 10" xfId="10642" xr:uid="{E9451A47-4D2B-46AF-9E8C-338F711D0F00}"/>
    <cellStyle name="Border3 2 3 11" xfId="10643" xr:uid="{BADAAA15-17EF-4C1A-B86F-FBD42D09F52B}"/>
    <cellStyle name="Border3 2 3 12" xfId="10644" xr:uid="{99AAD7F1-9629-438D-B1D0-D37AF3C42CAD}"/>
    <cellStyle name="Border3 2 3 13" xfId="10645" xr:uid="{A2109FBD-D441-4F74-A8C2-034A10FF2880}"/>
    <cellStyle name="Border3 2 3 14" xfId="10646" xr:uid="{22CFBF09-C7A1-4E75-91D8-36B3D7C68BC1}"/>
    <cellStyle name="Border3 2 3 15" xfId="10647" xr:uid="{0F683F5F-09F6-4826-89BF-56A0DBFA98CE}"/>
    <cellStyle name="Border3 2 3 16" xfId="10648" xr:uid="{7062E705-E4D7-4E6F-89B8-93EF3BE7029E}"/>
    <cellStyle name="Border3 2 3 17" xfId="10649" xr:uid="{89BD4F43-FC98-4499-A111-69B6BF012186}"/>
    <cellStyle name="Border3 2 3 18" xfId="10650" xr:uid="{E6715700-E0B8-427D-9F42-2970C47E00AC}"/>
    <cellStyle name="Border3 2 3 19" xfId="10651" xr:uid="{C6A598B5-36A8-4B49-80DE-2156728B9AAA}"/>
    <cellStyle name="Border3 2 3 2" xfId="10652" xr:uid="{D8C4B102-B38D-430A-8FB1-3052DC814A1F}"/>
    <cellStyle name="Border3 2 3 20" xfId="10653" xr:uid="{4784C8A6-CB5F-4081-A7F4-0B95F0D33E7C}"/>
    <cellStyle name="Border3 2 3 21" xfId="10654" xr:uid="{22983CF7-3AD3-4D2C-9BF5-B1A9CDF57AF5}"/>
    <cellStyle name="Border3 2 3 22" xfId="10655" xr:uid="{64AB6B67-4136-4B1C-8E33-19BEEBE983F5}"/>
    <cellStyle name="Border3 2 3 23" xfId="10656" xr:uid="{9D020078-E8B6-4798-B077-466AA510EE0F}"/>
    <cellStyle name="Border3 2 3 24" xfId="10657" xr:uid="{611233FA-FC3E-414C-9C5E-BC178594CD87}"/>
    <cellStyle name="Border3 2 3 3" xfId="10658" xr:uid="{145F9B46-DC1E-40A6-9C75-637A9B7D67F8}"/>
    <cellStyle name="Border3 2 3 4" xfId="10659" xr:uid="{E1EA3232-CAE8-4869-B729-F9B9F0DCC118}"/>
    <cellStyle name="Border3 2 3 5" xfId="10660" xr:uid="{1058B3F6-7C3C-492C-A9E7-175D3EC4F717}"/>
    <cellStyle name="Border3 2 3 6" xfId="10661" xr:uid="{7E91EC30-C638-436D-B290-0EB619BCE00C}"/>
    <cellStyle name="Border3 2 3 7" xfId="10662" xr:uid="{8F929C70-1A72-4EFC-8ADB-AE1A416D1D63}"/>
    <cellStyle name="Border3 2 3 8" xfId="10663" xr:uid="{8779B35F-D9ED-4F94-9608-1C17A26F5F97}"/>
    <cellStyle name="Border3 2 3 9" xfId="10664" xr:uid="{C486FB32-10E1-4583-9826-D52E36A5AF9C}"/>
    <cellStyle name="Border3 3" xfId="10665" xr:uid="{79FB2BC7-9DFB-416D-982B-0D4A5622A4F0}"/>
    <cellStyle name="Border3 3 2" xfId="10666" xr:uid="{D560BDB4-4660-4FF5-AE6D-C8579A9EE95A}"/>
    <cellStyle name="Border3 3 2 10" xfId="10667" xr:uid="{10DE003C-644B-4543-8E8B-B3187455AA83}"/>
    <cellStyle name="Border3 3 2 11" xfId="10668" xr:uid="{3F577A97-DE42-4105-A71D-EC35B4F20CBF}"/>
    <cellStyle name="Border3 3 2 12" xfId="10669" xr:uid="{B51E1660-6C20-43D1-9672-3C38313B08E4}"/>
    <cellStyle name="Border3 3 2 13" xfId="10670" xr:uid="{E7D7DEE1-47EC-4B0C-AA97-F503017998E9}"/>
    <cellStyle name="Border3 3 2 14" xfId="10671" xr:uid="{55A04805-721A-47CF-A441-B33A31A0E45D}"/>
    <cellStyle name="Border3 3 2 15" xfId="10672" xr:uid="{0816B25D-867A-4620-92EA-315679B7F357}"/>
    <cellStyle name="Border3 3 2 16" xfId="10673" xr:uid="{972C3F07-69B4-49C9-AE98-FD111DAE0B0B}"/>
    <cellStyle name="Border3 3 2 17" xfId="10674" xr:uid="{05E99AFC-F247-406D-A9C5-6A26E3E77315}"/>
    <cellStyle name="Border3 3 2 18" xfId="10675" xr:uid="{2E731E6B-E953-46AE-A546-7F73E27F67B7}"/>
    <cellStyle name="Border3 3 2 19" xfId="10676" xr:uid="{0506A0B2-51A2-4DDF-B1A3-63AC85F6108A}"/>
    <cellStyle name="Border3 3 2 2" xfId="10677" xr:uid="{D7691F10-2BE0-4154-9615-5101FFDA82FC}"/>
    <cellStyle name="Border3 3 2 20" xfId="10678" xr:uid="{2AF1C3B2-8DF3-4426-B874-D98A2FD23908}"/>
    <cellStyle name="Border3 3 2 21" xfId="10679" xr:uid="{1AEB613E-637B-419A-9475-E6A49D02F2C3}"/>
    <cellStyle name="Border3 3 2 22" xfId="10680" xr:uid="{214C8708-32DD-4A70-9590-717627791421}"/>
    <cellStyle name="Border3 3 2 23" xfId="10681" xr:uid="{46F6F1C0-1DAA-4AA2-A81C-A6E8B449DB8A}"/>
    <cellStyle name="Border3 3 2 24" xfId="10682" xr:uid="{582EABF2-8968-4452-9FED-1D3FC905BC08}"/>
    <cellStyle name="Border3 3 2 3" xfId="10683" xr:uid="{5A6B4B06-6736-4D32-94CE-C50DA63FDCC0}"/>
    <cellStyle name="Border3 3 2 4" xfId="10684" xr:uid="{1C3C1BEA-C570-418A-B27D-7E7CD3756AB3}"/>
    <cellStyle name="Border3 3 2 5" xfId="10685" xr:uid="{8A1AAD06-14D1-4874-9840-6A1048D73798}"/>
    <cellStyle name="Border3 3 2 6" xfId="10686" xr:uid="{4874D626-27C3-48A6-87AB-F37449F9E2EF}"/>
    <cellStyle name="Border3 3 2 7" xfId="10687" xr:uid="{6F7772B6-7F41-498F-8AAB-F5A8B67C09A0}"/>
    <cellStyle name="Border3 3 2 8" xfId="10688" xr:uid="{ADDB9C16-881E-4797-AA9F-E7162CD29E8B}"/>
    <cellStyle name="Border3 3 2 9" xfId="10689" xr:uid="{F6F4F5F4-598A-4C8D-AAD3-6ACEA409C4BD}"/>
    <cellStyle name="Border3 4" xfId="10690" xr:uid="{09A6A320-FC48-4C06-B8E0-FCF2A2DDAEFE}"/>
    <cellStyle name="Border3 4 2" xfId="10691" xr:uid="{307B18A9-51ED-4A4B-A85B-040CC352B3B1}"/>
    <cellStyle name="Border3 4 2 10" xfId="10692" xr:uid="{292C7DE1-2C1E-404A-9EA3-4B071491D374}"/>
    <cellStyle name="Border3 4 2 11" xfId="10693" xr:uid="{AED97F50-AEED-43D8-9460-BC9F31BCAF59}"/>
    <cellStyle name="Border3 4 2 12" xfId="10694" xr:uid="{C10D967C-0666-461C-A18A-E13033826C0C}"/>
    <cellStyle name="Border3 4 2 13" xfId="10695" xr:uid="{581886ED-C764-4CD3-ABB2-47F435CEE7A0}"/>
    <cellStyle name="Border3 4 2 14" xfId="10696" xr:uid="{2E5A4DA7-0552-47DC-8F68-2BFD503C6AFF}"/>
    <cellStyle name="Border3 4 2 15" xfId="10697" xr:uid="{E5A81657-7D67-4154-8DAF-6EC86211AE76}"/>
    <cellStyle name="Border3 4 2 16" xfId="10698" xr:uid="{FD2FE7E8-94B3-4282-9FA0-30C94B204E89}"/>
    <cellStyle name="Border3 4 2 17" xfId="10699" xr:uid="{918FC82F-76EE-4879-B981-D07101366E6E}"/>
    <cellStyle name="Border3 4 2 18" xfId="10700" xr:uid="{3BA217B7-67A3-41A2-BCC1-EA9ED89B7234}"/>
    <cellStyle name="Border3 4 2 19" xfId="10701" xr:uid="{0925EBD4-E6E4-474A-8021-E62B38FA6CFD}"/>
    <cellStyle name="Border3 4 2 2" xfId="10702" xr:uid="{578DB333-6635-4054-9AB1-20DCC7E695BC}"/>
    <cellStyle name="Border3 4 2 20" xfId="10703" xr:uid="{587C4A38-0660-4BA5-9DF5-0AD6AEA71F43}"/>
    <cellStyle name="Border3 4 2 21" xfId="10704" xr:uid="{3FD54A1E-FE9F-4341-9D8C-C3FB8880A85F}"/>
    <cellStyle name="Border3 4 2 22" xfId="10705" xr:uid="{A19AE5DB-CBAD-4BA4-B7FC-C7AFA0E6C31A}"/>
    <cellStyle name="Border3 4 2 23" xfId="10706" xr:uid="{5C71AA0B-7383-4677-A8DE-353C9550AC72}"/>
    <cellStyle name="Border3 4 2 24" xfId="10707" xr:uid="{35A47ACE-9863-4ACD-BBAA-1C5F4BB33A47}"/>
    <cellStyle name="Border3 4 2 3" xfId="10708" xr:uid="{3CDE0FEC-1EAC-44AF-8910-D40D1CF8B543}"/>
    <cellStyle name="Border3 4 2 4" xfId="10709" xr:uid="{D59D0F16-54BA-44E5-84A5-8BA5D3AFD8D6}"/>
    <cellStyle name="Border3 4 2 5" xfId="10710" xr:uid="{79D65ADD-B421-4437-B86B-78D04DF73997}"/>
    <cellStyle name="Border3 4 2 6" xfId="10711" xr:uid="{7CB190F0-CF3A-45A6-833E-37799B694AD3}"/>
    <cellStyle name="Border3 4 2 7" xfId="10712" xr:uid="{9A1F8BAA-ECF2-4B65-BF5F-BF2DF3C6CA28}"/>
    <cellStyle name="Border3 4 2 8" xfId="10713" xr:uid="{E8724D95-A902-46AA-9CA5-6CD45CB2BDE2}"/>
    <cellStyle name="Border3 4 2 9" xfId="10714" xr:uid="{20819CC5-3A17-4F58-8738-1D800B5FD3DA}"/>
    <cellStyle name="Border3 5" xfId="10715" xr:uid="{9EDEFD94-6219-4B92-9BD8-737153100AC4}"/>
    <cellStyle name="Border3 5 10" xfId="10716" xr:uid="{7CF2C3D5-079E-4BCA-8F8E-D1ECF3554735}"/>
    <cellStyle name="Border3 5 11" xfId="10717" xr:uid="{BB347F6E-125B-4804-95EA-619BBC606A1C}"/>
    <cellStyle name="Border3 5 12" xfId="10718" xr:uid="{A596B36D-1A4C-424C-A7F7-09AF84783970}"/>
    <cellStyle name="Border3 5 13" xfId="10719" xr:uid="{2E838AB6-7877-4351-AEA3-6D9040EADC50}"/>
    <cellStyle name="Border3 5 14" xfId="10720" xr:uid="{0C9AC0FC-3A6F-4B95-AB8B-DA1484D5A07A}"/>
    <cellStyle name="Border3 5 15" xfId="10721" xr:uid="{10D7A596-D9CE-432D-9224-BB10C9383BC2}"/>
    <cellStyle name="Border3 5 16" xfId="10722" xr:uid="{BE60B258-4837-47B4-8C1C-266F954EFD5B}"/>
    <cellStyle name="Border3 5 17" xfId="10723" xr:uid="{F8EDCC39-977F-4D7E-B67F-2C121F53AA0C}"/>
    <cellStyle name="Border3 5 18" xfId="10724" xr:uid="{37244E38-079F-42EB-A73C-B0D12AC60FCF}"/>
    <cellStyle name="Border3 5 19" xfId="10725" xr:uid="{B0EA11C0-2539-41ED-AD9C-0674AFF4E822}"/>
    <cellStyle name="Border3 5 2" xfId="10726" xr:uid="{B1498D5D-07AC-49B0-8894-0A7FFD5CC54D}"/>
    <cellStyle name="Border3 5 20" xfId="10727" xr:uid="{8D54D03F-750A-4609-95C0-5B13FCAF234D}"/>
    <cellStyle name="Border3 5 21" xfId="10728" xr:uid="{9CDA9432-FDDF-4180-B85A-E6560C12EEAA}"/>
    <cellStyle name="Border3 5 22" xfId="10729" xr:uid="{38DCBB63-FD0E-40B8-9C1C-82B4CC654644}"/>
    <cellStyle name="Border3 5 23" xfId="10730" xr:uid="{54D2B8C6-5DA0-48FB-A8E5-3C6E37609866}"/>
    <cellStyle name="Border3 5 24" xfId="10731" xr:uid="{D1B151CF-DF5F-4BE3-AEEB-48DEE465B46D}"/>
    <cellStyle name="Border3 5 3" xfId="10732" xr:uid="{AA3E42D9-6E14-4099-AAA8-D516C2A2F909}"/>
    <cellStyle name="Border3 5 4" xfId="10733" xr:uid="{F85FBDD2-64BD-44EC-8E6D-F085CAB1BD50}"/>
    <cellStyle name="Border3 5 5" xfId="10734" xr:uid="{38286357-084F-4B77-8E45-2F5CA6CDBF70}"/>
    <cellStyle name="Border3 5 6" xfId="10735" xr:uid="{8B4739D1-84B0-457A-A3C4-D2D22F516806}"/>
    <cellStyle name="Border3 5 7" xfId="10736" xr:uid="{698FDA85-1458-45B4-A3B5-BC62AD52D64C}"/>
    <cellStyle name="Border3 5 8" xfId="10737" xr:uid="{D95F3B00-78DB-4EE8-9B09-2BB18ACBC50F}"/>
    <cellStyle name="Border3 5 9" xfId="10738" xr:uid="{E72EA844-39A1-4E08-B53B-6D9CFD1F3063}"/>
    <cellStyle name="Border3 6" xfId="10739" xr:uid="{FA6F97FF-43B2-47D9-A13C-0A1E2ED7FF3B}"/>
    <cellStyle name="BPchg" xfId="10740" xr:uid="{405BFA6A-820D-4A07-AE0B-F9F05DBCB592}"/>
    <cellStyle name="BPChgB" xfId="10741" xr:uid="{A111F3B9-F925-45DD-AABA-20CD259B537D}"/>
    <cellStyle name="BPchgStd" xfId="10742" xr:uid="{66203EC7-D14F-47AE-80A3-464D5C7730E4}"/>
    <cellStyle name="Buena" xfId="10743" xr:uid="{F41610F2-CE22-419A-B53E-A56F5B0D191C}"/>
    <cellStyle name="BuiltOpt_Content" xfId="10744" xr:uid="{FE9DA556-047E-47B8-8971-7E02DB1196B1}"/>
    <cellStyle name="BuiltOption_Content" xfId="10745" xr:uid="{9D58582D-B33A-401C-9CDB-3F055EFC0F0F}"/>
    <cellStyle name="C?AØ_¿?¾÷CoE² " xfId="10746" xr:uid="{D2B60E26-82EA-4046-8A30-EE09553B76DB}"/>
    <cellStyle name="C\AO_??oIAIA?" xfId="10747" xr:uid="{9ECA9388-B560-4E70-8A3E-4F984617C728}"/>
    <cellStyle name="Ç¥ÁØ_¸ÅÃâ.¼ÕÀÍ " xfId="10748" xr:uid="{B4EBB463-C53F-464B-B24C-EF6BE396252F}"/>
    <cellStyle name="C￥AØ_¿μ¾÷CoE² " xfId="10749" xr:uid="{CE13C0F8-271E-4CE5-9D04-F37B69E6B1FC}"/>
    <cellStyle name="Ç¥ÁØ_°èÈ¹" xfId="10750" xr:uid="{F253D0C0-4ED2-4B7A-A846-2244760476E8}"/>
    <cellStyle name="C￥AØ_°u¸RC×¸n_¾÷A¾º° " xfId="10751" xr:uid="{65EA5696-8E2E-4B4E-83F5-DCCAC82D470C}"/>
    <cellStyle name="Ç¥ÁØ_Commercial_expenses2001" xfId="10752" xr:uid="{D5AC6AD1-24FF-4A2E-BEFD-643331B436DA}"/>
    <cellStyle name="C￥AØ_M105CDT " xfId="10753" xr:uid="{C779F1A9-DE32-4C6D-8789-F1233B6D1EF6}"/>
    <cellStyle name="Ç¥ÁØ_Price Adjustment(010106)" xfId="10754" xr:uid="{DBE0AC5F-18D9-4C32-BA1E-5DFB3097C9F4}"/>
    <cellStyle name="Ç§Î»·Ö¸ô[0]_TVCUE" xfId="10755" xr:uid="{8AEDF0EC-B7D0-4ED4-9D99-6A94BD8405C8}"/>
    <cellStyle name="Ç§Î»·Ö¸ô_TVCUE" xfId="10756" xr:uid="{FCADD06F-D572-4B2E-8707-AEC1FB9ECAEA}"/>
    <cellStyle name="Cabecera 1" xfId="10757" xr:uid="{FF5E7B64-54B6-49C2-A1D6-A7C0C36B1D22}"/>
    <cellStyle name="Cabecera 2" xfId="10758" xr:uid="{F7132B70-83E1-4F5E-B7DC-3C7055F10CD6}"/>
    <cellStyle name="CadenceDéfaut" xfId="10759" xr:uid="{70DA25AA-41E5-4FE4-B7D8-5354DB833A53}"/>
    <cellStyle name="Cal.Fermé" xfId="10760" xr:uid="{8021D66A-E134-418C-AB3E-482EE3B74D40}"/>
    <cellStyle name="Cal.Fermé 2" xfId="10761" xr:uid="{A9895432-72E5-4EF3-9D8D-CAD9B49E0DBE}"/>
    <cellStyle name="Cal.Ouvert" xfId="10762" xr:uid="{4141138C-6DAD-45BE-A98B-549EA9CCC7F3}"/>
    <cellStyle name="Calc Cu" xfId="10763" xr:uid="{3DB0BD5A-8A24-4FBB-87A2-02440355DEF2}"/>
    <cellStyle name="Calc Currency (0)" xfId="10764" xr:uid="{51D2FB30-4137-45B2-BEB0-0B2DD62326BA}"/>
    <cellStyle name="Calc Currency (0) 2" xfId="10765" xr:uid="{B61D90E8-53F5-4D31-BE62-169020CF825B}"/>
    <cellStyle name="Calc Currency (0) 2 2" xfId="10766" xr:uid="{68379F11-554F-491B-BC13-21FFB08ABFD1}"/>
    <cellStyle name="Calc Currency (0) 3" xfId="10767" xr:uid="{83BCE6C2-3F75-4B4E-BC01-2A02ADCE94ED}"/>
    <cellStyle name="Calc Currency (0) 4" xfId="10768" xr:uid="{0520EA41-9341-462D-9BAD-93C95D319859}"/>
    <cellStyle name="Calc Currency (2)" xfId="10769" xr:uid="{1FC05804-CA7A-42D3-A1C5-A2F52E55C879}"/>
    <cellStyle name="Calc Currency (2) 2" xfId="10770" xr:uid="{144F5F37-2EDF-4858-B520-5F9B034D580D}"/>
    <cellStyle name="Calc Percent (0)" xfId="10771" xr:uid="{C3C76C60-4129-4DCC-8083-646227686C1A}"/>
    <cellStyle name="Calc Percent (0) 2" xfId="10772" xr:uid="{E3B4969C-305A-40B8-9F72-E1BA586B9291}"/>
    <cellStyle name="Calc Percent (1)" xfId="10773" xr:uid="{E736542E-7286-488F-A707-23DA378711ED}"/>
    <cellStyle name="Calc Percent (1) 2" xfId="10774" xr:uid="{E3729CF5-94F6-40E7-A901-CB1737A5E8DF}"/>
    <cellStyle name="Calc Percent (2)" xfId="10775" xr:uid="{0BB28773-BDB4-4EC0-AEB6-4DE9A0803BE7}"/>
    <cellStyle name="Calc Percent (2) 2" xfId="10776" xr:uid="{7BA2202E-789E-4AD9-B3EB-F7F93944A952}"/>
    <cellStyle name="Calc Units (0)" xfId="10777" xr:uid="{0B913E28-4E8E-41B0-A567-A99BF3316912}"/>
    <cellStyle name="Calc Units (0) 2" xfId="10778" xr:uid="{F1044FC2-D25E-4378-ADA5-76770DB482C7}"/>
    <cellStyle name="Calc Units (1)" xfId="10779" xr:uid="{BC0E397C-BDB5-4C8B-A18C-360B27B91543}"/>
    <cellStyle name="Calc Units (1) 2" xfId="10780" xr:uid="{75AA9C76-0489-4E2F-AEEA-C81C7389472F}"/>
    <cellStyle name="Calc Units (2)" xfId="10781" xr:uid="{D97F180A-5537-436D-A61C-19CB25EC5794}"/>
    <cellStyle name="Calc Units (2) 2" xfId="10782" xr:uid="{A8BEA8BD-95CD-4328-9289-8261E88DD763}"/>
    <cellStyle name="Calcul" xfId="10783" xr:uid="{9B721ACF-8457-4B83-AF2F-C2E7794FDFFD}"/>
    <cellStyle name="Calcul 10" xfId="10784" xr:uid="{FA97B24E-B184-4738-A2AA-FFC087F94AB9}"/>
    <cellStyle name="Calcul 10 2" xfId="28428" xr:uid="{0C499E30-37CA-4C92-B488-5DC203F296B5}"/>
    <cellStyle name="Calcul 11" xfId="10785" xr:uid="{D9E7C79A-10ED-4359-85F4-FB400EE23E72}"/>
    <cellStyle name="Calcul 11 2" xfId="28429" xr:uid="{16593295-D9ED-43F7-8D1F-662C449D0362}"/>
    <cellStyle name="Calcul 12" xfId="10786" xr:uid="{AD3853AE-C64F-4DDB-8AF1-AFBE7B9BDDB5}"/>
    <cellStyle name="Calcul 12 2" xfId="28430" xr:uid="{99F49603-4104-48CB-8C70-330D71CE53AF}"/>
    <cellStyle name="Calcul 13" xfId="10787" xr:uid="{A1EB76E0-4EF8-4D66-9BB6-AF1C3A703D71}"/>
    <cellStyle name="Calcul 13 2" xfId="28431" xr:uid="{505C676D-7B96-460B-8453-1C676E033E02}"/>
    <cellStyle name="Calcul 14" xfId="10788" xr:uid="{3A41552A-3E61-4C4C-89A8-5B3F87D3202D}"/>
    <cellStyle name="Calcul 14 2" xfId="28432" xr:uid="{64C73814-F661-4044-88DA-E3B05E0811C2}"/>
    <cellStyle name="Calcul 15" xfId="10789" xr:uid="{FB0B63B7-2B95-469F-8805-303EB9E2CB97}"/>
    <cellStyle name="Calcul 15 2" xfId="28433" xr:uid="{BB62E275-047F-4ADA-85B6-85EF212B280C}"/>
    <cellStyle name="Calcul 16" xfId="10790" xr:uid="{C056EA1A-502A-4A8D-B760-936A9F3E755D}"/>
    <cellStyle name="Calcul 16 2" xfId="28434" xr:uid="{DECB6A34-07CE-49B9-AD78-21DE6DF14FDB}"/>
    <cellStyle name="Calcul 17" xfId="10791" xr:uid="{467A18E3-CC54-4535-9710-658818E0287C}"/>
    <cellStyle name="Calcul 17 2" xfId="28435" xr:uid="{FF48CEDA-9CB8-4818-B03B-AFEABA4270EB}"/>
    <cellStyle name="Calcul 18" xfId="10792" xr:uid="{435E54CF-BD69-4D87-A8C9-0285B653F0E5}"/>
    <cellStyle name="Calcul 18 2" xfId="28436" xr:uid="{BC361871-0718-4A70-A176-55C61CE064D4}"/>
    <cellStyle name="Calcul 19" xfId="10793" xr:uid="{C4B490E1-40DB-4F98-9634-CB447BA1D814}"/>
    <cellStyle name="Calcul 19 2" xfId="28437" xr:uid="{E14DB9C3-D54E-4377-B129-2384634A8286}"/>
    <cellStyle name="Calcul 2" xfId="10794" xr:uid="{DE718470-02CC-48A9-8984-2F7B5B798F30}"/>
    <cellStyle name="Calcul 2 10" xfId="10795" xr:uid="{8BDEFCB5-9B9F-40EF-97B2-40FE9D60A362}"/>
    <cellStyle name="Calcul 2 10 2" xfId="28439" xr:uid="{F6B2FCE6-BF85-4F39-AF3B-E11CBA167194}"/>
    <cellStyle name="Calcul 2 11" xfId="10796" xr:uid="{9FF3882C-5081-4FCA-861F-099F5FF52C49}"/>
    <cellStyle name="Calcul 2 11 2" xfId="28440" xr:uid="{C1AA6C60-540F-4958-8AA9-BCFC26154B0D}"/>
    <cellStyle name="Calcul 2 12" xfId="10797" xr:uid="{4E278C05-D141-4042-87A5-9253BEA06513}"/>
    <cellStyle name="Calcul 2 12 2" xfId="28441" xr:uid="{E73A402D-7B46-488C-8FD2-C6D6A0C84769}"/>
    <cellStyle name="Calcul 2 13" xfId="10798" xr:uid="{126AF9E3-1BE7-4AD4-96DC-2148F3ECEEAB}"/>
    <cellStyle name="Calcul 2 13 2" xfId="28442" xr:uid="{76AD4709-9E21-405A-86A1-22A60B0E3DA7}"/>
    <cellStyle name="Calcul 2 14" xfId="10799" xr:uid="{105347EF-8CC7-4913-806D-35FAF35E9DE4}"/>
    <cellStyle name="Calcul 2 14 2" xfId="28443" xr:uid="{19802856-FBBD-448B-B69D-E9FC9318DC0F}"/>
    <cellStyle name="Calcul 2 15" xfId="10800" xr:uid="{9E332B24-963E-46CB-992E-B6550E82C16B}"/>
    <cellStyle name="Calcul 2 15 2" xfId="28444" xr:uid="{8753D157-752B-4210-B114-CE87C0F28C20}"/>
    <cellStyle name="Calcul 2 16" xfId="10801" xr:uid="{AED9F4EB-EC32-4281-9693-8544B7B03BEF}"/>
    <cellStyle name="Calcul 2 16 2" xfId="28445" xr:uid="{4DC4C727-DB14-44F6-9548-CB997586135F}"/>
    <cellStyle name="Calcul 2 17" xfId="10802" xr:uid="{0C7D3BFE-1745-4346-98A5-DFE0E2628696}"/>
    <cellStyle name="Calcul 2 17 2" xfId="28446" xr:uid="{A03F3A25-46C3-4425-B7B0-5644F7586808}"/>
    <cellStyle name="Calcul 2 18" xfId="28438" xr:uid="{EC9267F9-5F2E-4CD8-A2B2-7BDFD72EFF69}"/>
    <cellStyle name="Calcul 2 2" xfId="10803" xr:uid="{4386C262-6FCF-4966-9504-D32377C41DEC}"/>
    <cellStyle name="Calcul 2 2 10" xfId="10804" xr:uid="{E873270D-495A-4BEC-9874-72F7F71EF0E4}"/>
    <cellStyle name="Calcul 2 2 10 2" xfId="28448" xr:uid="{8065C215-8BEC-42CC-B144-DE521FF12706}"/>
    <cellStyle name="Calcul 2 2 11" xfId="10805" xr:uid="{B3FB455F-CDC9-44A7-9D86-68329B13CC24}"/>
    <cellStyle name="Calcul 2 2 11 2" xfId="28449" xr:uid="{64B5E443-E8C1-452B-A5D7-7D21F864DDB1}"/>
    <cellStyle name="Calcul 2 2 12" xfId="10806" xr:uid="{BDDFBCA4-6C8B-4033-AAFE-27E101CD76D4}"/>
    <cellStyle name="Calcul 2 2 12 2" xfId="28450" xr:uid="{70FA430D-51FA-47F6-AC0D-8419E2B559FA}"/>
    <cellStyle name="Calcul 2 2 13" xfId="10807" xr:uid="{3D1C4AE1-6E1A-46D6-AC87-E4C9EC3110D6}"/>
    <cellStyle name="Calcul 2 2 13 2" xfId="28451" xr:uid="{B3CF0176-313A-457F-9D0A-3E040D728522}"/>
    <cellStyle name="Calcul 2 2 14" xfId="10808" xr:uid="{66994291-2DB9-4E90-A2A9-30BB1BA366E1}"/>
    <cellStyle name="Calcul 2 2 14 2" xfId="28452" xr:uid="{DBAEA481-1005-4107-863B-81FE9B6AB33E}"/>
    <cellStyle name="Calcul 2 2 15" xfId="10809" xr:uid="{216A3B90-0E9E-4AC2-A53B-5442044D3D8B}"/>
    <cellStyle name="Calcul 2 2 15 2" xfId="28453" xr:uid="{8965F5D6-028A-4ECF-8889-D184AB02EC48}"/>
    <cellStyle name="Calcul 2 2 16" xfId="10810" xr:uid="{249692D3-4845-44F8-9C30-48CD358393C4}"/>
    <cellStyle name="Calcul 2 2 16 2" xfId="28454" xr:uid="{1A190C52-C2F7-49C8-9746-C67110DC0A69}"/>
    <cellStyle name="Calcul 2 2 17" xfId="28447" xr:uid="{759A29A8-B90D-4A00-BE61-8327994ED4E9}"/>
    <cellStyle name="Calcul 2 2 2" xfId="10811" xr:uid="{D66DD091-46D4-42A6-AB37-C41305089C3B}"/>
    <cellStyle name="Calcul 2 2 2 10" xfId="10812" xr:uid="{F1AB446B-2CF7-48BC-9577-F7743EB305A6}"/>
    <cellStyle name="Calcul 2 2 2 10 2" xfId="28456" xr:uid="{40D0A2AA-6560-4F15-B3D8-1251A5704C0E}"/>
    <cellStyle name="Calcul 2 2 2 11" xfId="10813" xr:uid="{4237DB4D-B159-4E2D-84F2-7EE4B08748DD}"/>
    <cellStyle name="Calcul 2 2 2 11 2" xfId="28457" xr:uid="{D32C4592-F9B4-4CDC-9380-44E87F6567AE}"/>
    <cellStyle name="Calcul 2 2 2 12" xfId="10814" xr:uid="{63FA2C57-C360-459C-A8F2-405973A3BB11}"/>
    <cellStyle name="Calcul 2 2 2 12 2" xfId="28458" xr:uid="{AE181677-980A-42F8-A1B9-A67C60D8F091}"/>
    <cellStyle name="Calcul 2 2 2 13" xfId="10815" xr:uid="{22F9E850-4DE5-4FA5-990D-10C4E64C9EA9}"/>
    <cellStyle name="Calcul 2 2 2 13 2" xfId="28459" xr:uid="{11FF984E-3616-428D-842F-87F10AD0D4BE}"/>
    <cellStyle name="Calcul 2 2 2 14" xfId="10816" xr:uid="{9DFAB260-F693-4EF4-8F9B-B9C72E6DB879}"/>
    <cellStyle name="Calcul 2 2 2 14 2" xfId="28460" xr:uid="{7B9909C9-ACA0-49D7-B6F3-AA1E96CC3673}"/>
    <cellStyle name="Calcul 2 2 2 15" xfId="28455" xr:uid="{F168B75D-C538-47F9-B110-4E6D1D30D268}"/>
    <cellStyle name="Calcul 2 2 2 2" xfId="10817" xr:uid="{C7229F86-E803-405E-B669-5D054B85F702}"/>
    <cellStyle name="Calcul 2 2 2 2 2" xfId="28461" xr:uid="{F6047BCF-4F56-46B2-AF5B-10C62AE5FF7C}"/>
    <cellStyle name="Calcul 2 2 2 3" xfId="10818" xr:uid="{9DF83A2E-04FF-471F-BC6D-791AD20E5305}"/>
    <cellStyle name="Calcul 2 2 2 3 2" xfId="28462" xr:uid="{FBE152D0-02E9-4CB4-95AD-FA827E8DF002}"/>
    <cellStyle name="Calcul 2 2 2 4" xfId="10819" xr:uid="{36C81F4D-62C7-48E4-8C69-3DA9D78AF488}"/>
    <cellStyle name="Calcul 2 2 2 4 2" xfId="28463" xr:uid="{EF4C9B2C-0E30-4666-81D9-5A507A6705AC}"/>
    <cellStyle name="Calcul 2 2 2 5" xfId="10820" xr:uid="{E4C6093B-356B-4320-82B5-5AC7E63F6322}"/>
    <cellStyle name="Calcul 2 2 2 5 2" xfId="28464" xr:uid="{491246A9-0EAA-443E-B2DF-0730BE00A4B6}"/>
    <cellStyle name="Calcul 2 2 2 6" xfId="10821" xr:uid="{D635E4AE-29BE-4CE7-9D16-C45815C06227}"/>
    <cellStyle name="Calcul 2 2 2 6 2" xfId="28465" xr:uid="{FF002A51-E45C-4055-82F8-950AE61EB58D}"/>
    <cellStyle name="Calcul 2 2 2 7" xfId="10822" xr:uid="{D45ED3B4-5EEE-4E35-8301-7F7FADF49457}"/>
    <cellStyle name="Calcul 2 2 2 7 2" xfId="28466" xr:uid="{575DCB59-F279-4C4C-9B0C-43A4615239FA}"/>
    <cellStyle name="Calcul 2 2 2 8" xfId="10823" xr:uid="{0F1BBC32-BAF0-4131-B50F-EE72FD43E4F7}"/>
    <cellStyle name="Calcul 2 2 2 8 2" xfId="28467" xr:uid="{19D82279-C061-43FF-909F-A576D2177044}"/>
    <cellStyle name="Calcul 2 2 2 9" xfId="10824" xr:uid="{B457814F-B893-4969-8E24-78CEDF98FD0F}"/>
    <cellStyle name="Calcul 2 2 2 9 2" xfId="28468" xr:uid="{0DA2BA81-7C55-4218-A95A-3B6E19AFBDA0}"/>
    <cellStyle name="Calcul 2 2 3" xfId="10825" xr:uid="{989785C7-A294-4D34-B1BC-E2935C57E7F2}"/>
    <cellStyle name="Calcul 2 2 3 2" xfId="28469" xr:uid="{7C69B96C-D2F3-47D8-99EE-D309CD17A4D3}"/>
    <cellStyle name="Calcul 2 2 4" xfId="10826" xr:uid="{42E0845B-82AA-4A8A-A926-9D64B72FEE6D}"/>
    <cellStyle name="Calcul 2 2 4 2" xfId="28470" xr:uid="{906E87FB-899F-4DE2-AF59-0342472054C0}"/>
    <cellStyle name="Calcul 2 2 5" xfId="10827" xr:uid="{FAF24EE7-3518-4B97-939C-164B21106206}"/>
    <cellStyle name="Calcul 2 2 5 2" xfId="28471" xr:uid="{C6DFD128-EDCE-4A40-A4DD-509FFF406EBF}"/>
    <cellStyle name="Calcul 2 2 6" xfId="10828" xr:uid="{BAA6E419-F64B-4C59-AD0A-5EBE26854566}"/>
    <cellStyle name="Calcul 2 2 6 2" xfId="28472" xr:uid="{E8D898AD-295F-4FFD-83B1-B5610EEEA82B}"/>
    <cellStyle name="Calcul 2 2 7" xfId="10829" xr:uid="{1F0D489D-C6D2-4960-965F-3F4D1D9FF57C}"/>
    <cellStyle name="Calcul 2 2 7 2" xfId="28473" xr:uid="{39E2D00E-87A0-427A-B769-941AE1BA8C4F}"/>
    <cellStyle name="Calcul 2 2 8" xfId="10830" xr:uid="{AF02875E-E471-4D01-BA77-2921A89435C5}"/>
    <cellStyle name="Calcul 2 2 8 2" xfId="28474" xr:uid="{BF411D52-36D1-41D2-8DB2-1D11F1512143}"/>
    <cellStyle name="Calcul 2 2 9" xfId="10831" xr:uid="{6DD08EF8-00FE-4122-A3C4-07BCAE3CF197}"/>
    <cellStyle name="Calcul 2 2 9 2" xfId="28475" xr:uid="{1BB4732F-C8C1-45AA-BFF3-C64739EAE715}"/>
    <cellStyle name="Calcul 2 3" xfId="10832" xr:uid="{746E2716-AA90-4C9E-986B-BD718898D804}"/>
    <cellStyle name="Calcul 2 3 10" xfId="10833" xr:uid="{371ED97D-D660-47E9-A9FC-316653E25983}"/>
    <cellStyle name="Calcul 2 3 10 2" xfId="28477" xr:uid="{39163DED-3713-4045-A6FA-44B02267ECA8}"/>
    <cellStyle name="Calcul 2 3 11" xfId="10834" xr:uid="{952E5642-50F6-49AD-9C32-3554C01AD8D9}"/>
    <cellStyle name="Calcul 2 3 11 2" xfId="28478" xr:uid="{B5DB4C6C-A133-4946-B6E4-D7F22BC6DFA4}"/>
    <cellStyle name="Calcul 2 3 12" xfId="10835" xr:uid="{1146921A-20D0-47D1-83EF-62B30B7808C4}"/>
    <cellStyle name="Calcul 2 3 12 2" xfId="28479" xr:uid="{0E3BF95D-A6AD-4387-9E41-D00970D1605D}"/>
    <cellStyle name="Calcul 2 3 13" xfId="10836" xr:uid="{51D0F419-2C20-447F-ADC9-CFCF2BDA8017}"/>
    <cellStyle name="Calcul 2 3 13 2" xfId="28480" xr:uid="{2347F943-97AA-4316-AE96-6AAC8060F995}"/>
    <cellStyle name="Calcul 2 3 14" xfId="10837" xr:uid="{F840E677-5D2B-4A46-B239-60383C08A328}"/>
    <cellStyle name="Calcul 2 3 14 2" xfId="28481" xr:uid="{66A4B06E-17E1-4EC0-8063-7C632424B516}"/>
    <cellStyle name="Calcul 2 3 15" xfId="28476" xr:uid="{2B476254-9D7B-4AA2-A0D2-7C0A8998A711}"/>
    <cellStyle name="Calcul 2 3 2" xfId="10838" xr:uid="{93ADF1F2-6CD7-4CA6-A7F8-462070DBA54D}"/>
    <cellStyle name="Calcul 2 3 2 2" xfId="28482" xr:uid="{34759A3F-565F-46B3-A44B-F42F101CA130}"/>
    <cellStyle name="Calcul 2 3 3" xfId="10839" xr:uid="{B0C426C5-C8B2-4D9C-99F9-3024DE13D56C}"/>
    <cellStyle name="Calcul 2 3 3 2" xfId="28483" xr:uid="{A6791C6E-0AE4-451B-A4C0-907162D37F26}"/>
    <cellStyle name="Calcul 2 3 4" xfId="10840" xr:uid="{6A6F63A0-6708-4BD4-B372-50594628A946}"/>
    <cellStyle name="Calcul 2 3 4 2" xfId="28484" xr:uid="{BDCFF5F3-1834-4F61-BCE8-5E2B951CF1A6}"/>
    <cellStyle name="Calcul 2 3 5" xfId="10841" xr:uid="{6C03C44E-F96E-4E3C-A3D4-1C75D61C32AC}"/>
    <cellStyle name="Calcul 2 3 5 2" xfId="28485" xr:uid="{019E2686-A53B-441E-A696-740DDA9D1DF3}"/>
    <cellStyle name="Calcul 2 3 6" xfId="10842" xr:uid="{30CDAC71-9757-4C5F-A762-38783E573243}"/>
    <cellStyle name="Calcul 2 3 6 2" xfId="28486" xr:uid="{CE2C5FA2-E90E-4DD7-9502-8A39E68ECF50}"/>
    <cellStyle name="Calcul 2 3 7" xfId="10843" xr:uid="{CAD4C7BA-6AC5-4776-96D2-CFB9A0E22DE5}"/>
    <cellStyle name="Calcul 2 3 7 2" xfId="28487" xr:uid="{35B0E928-C29A-4693-9E0E-413FB4CA2C77}"/>
    <cellStyle name="Calcul 2 3 8" xfId="10844" xr:uid="{D57DD727-9676-4ABC-B605-139ECC78E50D}"/>
    <cellStyle name="Calcul 2 3 8 2" xfId="28488" xr:uid="{0B0EC1D7-701B-4B63-84FE-F203BEC94D5B}"/>
    <cellStyle name="Calcul 2 3 9" xfId="10845" xr:uid="{053A646E-EDAF-46F5-809C-94AFF16C3B7A}"/>
    <cellStyle name="Calcul 2 3 9 2" xfId="28489" xr:uid="{232F5ADE-10E9-42C1-B620-43C1BFD0BD14}"/>
    <cellStyle name="Calcul 2 4" xfId="10846" xr:uid="{F0DA93CC-FB47-4208-8B65-A83544BF2BAC}"/>
    <cellStyle name="Calcul 2 4 2" xfId="28490" xr:uid="{320B9A36-7B0F-4BD6-9DD7-46026D19BA54}"/>
    <cellStyle name="Calcul 2 5" xfId="10847" xr:uid="{0536BAA0-9EB5-4292-8B69-55D4970C824C}"/>
    <cellStyle name="Calcul 2 5 2" xfId="28491" xr:uid="{2A790A9D-9F54-4876-906C-07474FD4BFDB}"/>
    <cellStyle name="Calcul 2 6" xfId="10848" xr:uid="{02F997BA-2BD1-497F-9AF5-881873607ED0}"/>
    <cellStyle name="Calcul 2 6 2" xfId="28492" xr:uid="{D8D401E6-ED6C-4D38-8F9F-E823F765A275}"/>
    <cellStyle name="Calcul 2 7" xfId="10849" xr:uid="{1C5CCEB5-B397-4B83-ABEF-24230B1B6BAE}"/>
    <cellStyle name="Calcul 2 7 2" xfId="28493" xr:uid="{C0A8F3E3-C208-4124-8871-0CADD6EB9A59}"/>
    <cellStyle name="Calcul 2 8" xfId="10850" xr:uid="{618BEA7A-0655-4666-A79A-E2BD47E75EDF}"/>
    <cellStyle name="Calcul 2 8 2" xfId="28494" xr:uid="{DDB9C235-C8EE-4ECA-9705-63C88967ECED}"/>
    <cellStyle name="Calcul 2 9" xfId="10851" xr:uid="{C2A76C2C-6948-48E9-8327-1B469980B1B6}"/>
    <cellStyle name="Calcul 2 9 2" xfId="28495" xr:uid="{F8CE972F-2C1C-46FD-B4E9-5C124C06D0F0}"/>
    <cellStyle name="Calcul 20" xfId="28427" xr:uid="{40A2F786-F176-408E-9285-0C2A5320F194}"/>
    <cellStyle name="Calcul 3" xfId="10852" xr:uid="{0C41C0A1-CD35-447C-8A6C-51981812C951}"/>
    <cellStyle name="Calcul 3 10" xfId="10853" xr:uid="{4E47B036-6C34-451C-9447-5D292E7937F0}"/>
    <cellStyle name="Calcul 3 10 2" xfId="28497" xr:uid="{A17E9DE2-FD1C-4FCA-90FB-49D3D0E3F1A7}"/>
    <cellStyle name="Calcul 3 11" xfId="10854" xr:uid="{5D08150A-246A-4A4F-99EA-2918AD1878E3}"/>
    <cellStyle name="Calcul 3 11 2" xfId="28498" xr:uid="{79BB0FB2-A134-4CB6-9D91-36D5E2ADE0BD}"/>
    <cellStyle name="Calcul 3 12" xfId="10855" xr:uid="{DC313BE0-2E53-4C04-A5A4-AEFABCA50E09}"/>
    <cellStyle name="Calcul 3 12 2" xfId="28499" xr:uid="{FC1F7822-6369-4992-A5BF-FE6E8D003353}"/>
    <cellStyle name="Calcul 3 13" xfId="10856" xr:uid="{8E1853CE-7735-4382-94DE-4457BEE9AEEB}"/>
    <cellStyle name="Calcul 3 13 2" xfId="28500" xr:uid="{5DBECEFA-19FE-4CAC-9C42-315E6006ADF6}"/>
    <cellStyle name="Calcul 3 14" xfId="10857" xr:uid="{6A5F4366-DF4B-4E79-ACB6-B90246897C4B}"/>
    <cellStyle name="Calcul 3 14 2" xfId="28501" xr:uid="{0F89F55A-F2B6-436C-8383-D792C413C4E7}"/>
    <cellStyle name="Calcul 3 15" xfId="10858" xr:uid="{D47EED2F-DB6E-4DDB-8D20-29688F02B69D}"/>
    <cellStyle name="Calcul 3 15 2" xfId="28502" xr:uid="{07A76BA2-A991-40C1-A034-4C21A391860A}"/>
    <cellStyle name="Calcul 3 16" xfId="10859" xr:uid="{B05B8DA0-18CE-4765-BBDD-2E63118287FB}"/>
    <cellStyle name="Calcul 3 16 2" xfId="28503" xr:uid="{AC98AF60-22D5-4A8A-8E29-B9514AF4620C}"/>
    <cellStyle name="Calcul 3 17" xfId="28496" xr:uid="{A25CBBB3-CD97-4B95-96BB-772DBD0FFA1B}"/>
    <cellStyle name="Calcul 3 2" xfId="10860" xr:uid="{FC531652-53F0-47E5-A2FB-65176179601F}"/>
    <cellStyle name="Calcul 3 2 10" xfId="10861" xr:uid="{8F81E2E6-FE90-4844-86A1-8895BB18CAF9}"/>
    <cellStyle name="Calcul 3 2 10 2" xfId="28505" xr:uid="{D4D140F4-A29D-4C21-9EA2-33DEB06FA5C4}"/>
    <cellStyle name="Calcul 3 2 11" xfId="10862" xr:uid="{1A70B2A0-9589-4FCD-9A6C-E92518D5FB0E}"/>
    <cellStyle name="Calcul 3 2 11 2" xfId="28506" xr:uid="{CBBDDE4B-5717-49D8-906D-E21E898CBF91}"/>
    <cellStyle name="Calcul 3 2 12" xfId="10863" xr:uid="{57EF8C21-E6DB-4E06-9DEC-AF09D1F8DBBD}"/>
    <cellStyle name="Calcul 3 2 12 2" xfId="28507" xr:uid="{186D390D-A0E9-4309-952E-EF986660B00E}"/>
    <cellStyle name="Calcul 3 2 13" xfId="10864" xr:uid="{6E406B44-EF34-482C-81C5-4741AFE93733}"/>
    <cellStyle name="Calcul 3 2 13 2" xfId="28508" xr:uid="{A4465FA9-AEE8-43CA-80FD-E79635BDF9B7}"/>
    <cellStyle name="Calcul 3 2 14" xfId="10865" xr:uid="{418164F2-6C98-44D9-876A-DC1E3F45BDE8}"/>
    <cellStyle name="Calcul 3 2 14 2" xfId="28509" xr:uid="{5E19A69D-84AA-41F1-A070-DED0AC4E308B}"/>
    <cellStyle name="Calcul 3 2 15" xfId="28504" xr:uid="{8F75892C-830B-4ACC-9D7A-262A103C3829}"/>
    <cellStyle name="Calcul 3 2 2" xfId="10866" xr:uid="{B6596697-80E4-49F6-8047-35AC735E47D8}"/>
    <cellStyle name="Calcul 3 2 2 2" xfId="28510" xr:uid="{610CA344-DEEE-46A4-A2E1-C4576571B3D8}"/>
    <cellStyle name="Calcul 3 2 3" xfId="10867" xr:uid="{96C92BBF-694A-4F74-B4A4-648F25128AE6}"/>
    <cellStyle name="Calcul 3 2 3 2" xfId="28511" xr:uid="{2588BB99-A486-424D-9A81-6BE90D0D3904}"/>
    <cellStyle name="Calcul 3 2 4" xfId="10868" xr:uid="{B33F09F4-59CE-4113-AB5B-C4FF6F1191E4}"/>
    <cellStyle name="Calcul 3 2 4 2" xfId="28512" xr:uid="{13F9A8CD-E16F-43F6-BA86-1CC898E0303B}"/>
    <cellStyle name="Calcul 3 2 5" xfId="10869" xr:uid="{DEF0F39E-73EF-459C-8044-EA31A9460396}"/>
    <cellStyle name="Calcul 3 2 5 2" xfId="28513" xr:uid="{10613867-B895-41CD-9EA0-CF0CD379785E}"/>
    <cellStyle name="Calcul 3 2 6" xfId="10870" xr:uid="{97A82A95-883E-4D74-AA2D-9F9889D803A8}"/>
    <cellStyle name="Calcul 3 2 6 2" xfId="28514" xr:uid="{F6A447AF-355C-44F5-AA3B-C5F1DD4C899D}"/>
    <cellStyle name="Calcul 3 2 7" xfId="10871" xr:uid="{662B4490-E50D-4A5A-A75E-071555D57AC1}"/>
    <cellStyle name="Calcul 3 2 7 2" xfId="28515" xr:uid="{F98DB87B-9304-4D96-B6D1-4B07143278FE}"/>
    <cellStyle name="Calcul 3 2 8" xfId="10872" xr:uid="{0F9868A9-F331-4A75-A2A2-EF901CA7645B}"/>
    <cellStyle name="Calcul 3 2 8 2" xfId="28516" xr:uid="{67F52A8E-972D-4A0D-991E-44F69A0C9712}"/>
    <cellStyle name="Calcul 3 2 9" xfId="10873" xr:uid="{9333AC04-B760-4CDD-8AC1-1FBC00ACF636}"/>
    <cellStyle name="Calcul 3 2 9 2" xfId="28517" xr:uid="{FD4DA327-2D99-4A01-A1B8-946A86D4B122}"/>
    <cellStyle name="Calcul 3 3" xfId="10874" xr:uid="{A85A353F-AC8B-44E4-B4B3-5B754FE002EB}"/>
    <cellStyle name="Calcul 3 3 2" xfId="28518" xr:uid="{5F2F435D-8136-4E20-8D7D-B3FBF4E9D32B}"/>
    <cellStyle name="Calcul 3 4" xfId="10875" xr:uid="{537D2641-A4B4-4120-8813-CC33E49C655D}"/>
    <cellStyle name="Calcul 3 4 2" xfId="28519" xr:uid="{90CE1621-7200-432F-AC23-A5523ADEF4F4}"/>
    <cellStyle name="Calcul 3 5" xfId="10876" xr:uid="{7A53E471-D1E4-4693-B0A8-4F041A9349D9}"/>
    <cellStyle name="Calcul 3 5 2" xfId="28520" xr:uid="{A94BE9AE-443C-4C04-9374-AAB1C0D59C69}"/>
    <cellStyle name="Calcul 3 6" xfId="10877" xr:uid="{DE198879-6D6F-4987-B3D4-4A7F6F19D6D0}"/>
    <cellStyle name="Calcul 3 6 2" xfId="28521" xr:uid="{D9ADF852-A5D2-4CC8-B1DE-FCC83E8ED0A1}"/>
    <cellStyle name="Calcul 3 7" xfId="10878" xr:uid="{B4DC4FF0-8534-443A-BF3F-295707DD30B8}"/>
    <cellStyle name="Calcul 3 7 2" xfId="28522" xr:uid="{FC5FCB69-776D-4208-9427-8E458FEBB6E7}"/>
    <cellStyle name="Calcul 3 8" xfId="10879" xr:uid="{BAB0DBD2-6507-4E57-B154-46B01FAC4037}"/>
    <cellStyle name="Calcul 3 8 2" xfId="28523" xr:uid="{416C3720-8D1B-4EAC-B1E7-00A0AF2683C9}"/>
    <cellStyle name="Calcul 3 9" xfId="10880" xr:uid="{8DA2FD55-F3FE-416A-A19E-29AFDBE4BE05}"/>
    <cellStyle name="Calcul 3 9 2" xfId="28524" xr:uid="{1587F7F6-A0E2-452F-82A8-DC65B48F529C}"/>
    <cellStyle name="Calcul 4" xfId="10881" xr:uid="{EC565E7B-4D79-4BCD-A491-C4E48398AE38}"/>
    <cellStyle name="Calcul 4 10" xfId="10882" xr:uid="{155349DE-ACED-440A-B5BB-710AEAC496CA}"/>
    <cellStyle name="Calcul 4 10 2" xfId="28526" xr:uid="{D08239A5-2024-4113-97FD-3CFD9D21BED8}"/>
    <cellStyle name="Calcul 4 11" xfId="10883" xr:uid="{D0EBEA40-670D-4138-8B7A-91F917F438F7}"/>
    <cellStyle name="Calcul 4 11 2" xfId="28527" xr:uid="{29C99EE5-F0B6-46F8-A80D-B10A673D47AB}"/>
    <cellStyle name="Calcul 4 12" xfId="10884" xr:uid="{18C7B314-F95C-4035-A9DD-17DB5E09042B}"/>
    <cellStyle name="Calcul 4 12 2" xfId="28528" xr:uid="{7F5C10A0-0F99-4541-B074-E4E0C1950502}"/>
    <cellStyle name="Calcul 4 13" xfId="10885" xr:uid="{EF55006F-F90F-4CDF-808D-42747226537B}"/>
    <cellStyle name="Calcul 4 13 2" xfId="28529" xr:uid="{0B0DAA52-CC77-4CDF-B3E7-46306A14AF00}"/>
    <cellStyle name="Calcul 4 14" xfId="10886" xr:uid="{32AFBC83-320A-4EE9-A823-186FFBE77429}"/>
    <cellStyle name="Calcul 4 14 2" xfId="28530" xr:uid="{EB90CAAC-3273-44E5-BA7E-342F9951CFE7}"/>
    <cellStyle name="Calcul 4 15" xfId="10887" xr:uid="{33159960-2FA6-49A1-8C1F-F8CFBF005EAA}"/>
    <cellStyle name="Calcul 4 15 2" xfId="28531" xr:uid="{5092A52E-B391-450A-A8EC-780C1B62DD1D}"/>
    <cellStyle name="Calcul 4 16" xfId="10888" xr:uid="{08DBED84-5D35-4CA2-9126-D8A168EBF6D2}"/>
    <cellStyle name="Calcul 4 16 2" xfId="28532" xr:uid="{C01B525F-F4CD-427F-BAFA-B4D8B7E96D9D}"/>
    <cellStyle name="Calcul 4 17" xfId="28525" xr:uid="{F5B3FF4C-33B0-48A6-8533-0E6638D0248C}"/>
    <cellStyle name="Calcul 4 2" xfId="10889" xr:uid="{40688A67-40CF-40CF-A677-3B6D864A596B}"/>
    <cellStyle name="Calcul 4 2 10" xfId="10890" xr:uid="{27C88097-8361-4F93-904C-DECAF1B71844}"/>
    <cellStyle name="Calcul 4 2 10 2" xfId="28534" xr:uid="{ABD9446D-3065-4B28-AF7E-393CEC5830CE}"/>
    <cellStyle name="Calcul 4 2 11" xfId="10891" xr:uid="{AEECF510-EA3B-478A-861F-2EE1C82EC194}"/>
    <cellStyle name="Calcul 4 2 11 2" xfId="28535" xr:uid="{48347FA3-8281-4D5B-B057-2FABAF0BAD29}"/>
    <cellStyle name="Calcul 4 2 12" xfId="10892" xr:uid="{8D23A160-28CD-4358-86D7-00F83B7AB1EC}"/>
    <cellStyle name="Calcul 4 2 12 2" xfId="28536" xr:uid="{399BA87C-72EA-4CCD-9621-187FD98304B7}"/>
    <cellStyle name="Calcul 4 2 13" xfId="10893" xr:uid="{7CE1BECA-3C50-4645-BE5A-C562D3966721}"/>
    <cellStyle name="Calcul 4 2 13 2" xfId="28537" xr:uid="{405669D7-338E-4E00-AF5D-1B25AF27009A}"/>
    <cellStyle name="Calcul 4 2 14" xfId="10894" xr:uid="{9A48C513-87E6-4D8C-A662-9EFF1BFDA42B}"/>
    <cellStyle name="Calcul 4 2 14 2" xfId="28538" xr:uid="{E960B6D7-15CD-40FD-9D32-8E963EAC0249}"/>
    <cellStyle name="Calcul 4 2 15" xfId="28533" xr:uid="{BA5D8F2B-60F4-4F87-B2FC-D77A45AABBB6}"/>
    <cellStyle name="Calcul 4 2 2" xfId="10895" xr:uid="{886A9DCD-95ED-4255-A0AD-AFDADDF26FC8}"/>
    <cellStyle name="Calcul 4 2 2 2" xfId="28539" xr:uid="{3236AD95-2F9C-4C9D-ABC7-BCDB3CC9A325}"/>
    <cellStyle name="Calcul 4 2 3" xfId="10896" xr:uid="{DF2A569E-81B6-4C42-A62F-D9A16D135DA6}"/>
    <cellStyle name="Calcul 4 2 3 2" xfId="28540" xr:uid="{AA1756EE-F060-4B8F-8E84-73A1AC8541B6}"/>
    <cellStyle name="Calcul 4 2 4" xfId="10897" xr:uid="{B004681E-76E9-46B4-911C-0E8CA2C34402}"/>
    <cellStyle name="Calcul 4 2 4 2" xfId="28541" xr:uid="{ABF9AF97-9F83-4A26-821A-F83C1633AC6A}"/>
    <cellStyle name="Calcul 4 2 5" xfId="10898" xr:uid="{C9EC62C6-7E6D-4FD4-A2BD-ED71A0AED47E}"/>
    <cellStyle name="Calcul 4 2 5 2" xfId="28542" xr:uid="{D0D69B8F-BDDF-4599-855B-00D28357D398}"/>
    <cellStyle name="Calcul 4 2 6" xfId="10899" xr:uid="{D1464264-C8F0-4279-ABB8-340FBD6DF665}"/>
    <cellStyle name="Calcul 4 2 6 2" xfId="28543" xr:uid="{5EE5D451-1F63-4982-902B-8C7786489B73}"/>
    <cellStyle name="Calcul 4 2 7" xfId="10900" xr:uid="{DFD5A03E-D38B-404E-87DA-637B4667B634}"/>
    <cellStyle name="Calcul 4 2 7 2" xfId="28544" xr:uid="{789BB4E9-6515-4976-A152-438C31CB64EE}"/>
    <cellStyle name="Calcul 4 2 8" xfId="10901" xr:uid="{30860DE3-77BB-42EA-ABCF-C29579C64C6B}"/>
    <cellStyle name="Calcul 4 2 8 2" xfId="28545" xr:uid="{9B1ED04D-272C-45FB-A100-E7AB74BA7D2A}"/>
    <cellStyle name="Calcul 4 2 9" xfId="10902" xr:uid="{ED78E59D-4BDF-4AE8-A4B2-2BAE2DEA16DD}"/>
    <cellStyle name="Calcul 4 2 9 2" xfId="28546" xr:uid="{2284C168-D023-4A52-BF46-A4A25C30A73B}"/>
    <cellStyle name="Calcul 4 3" xfId="10903" xr:uid="{BC161E1A-B265-455E-8A8A-508D884A265A}"/>
    <cellStyle name="Calcul 4 3 2" xfId="28547" xr:uid="{E2A90D6D-FE11-4E89-B08C-8E0FB15A159B}"/>
    <cellStyle name="Calcul 4 4" xfId="10904" xr:uid="{5CF7E969-5CC2-4744-80C9-2EB66E483034}"/>
    <cellStyle name="Calcul 4 4 2" xfId="28548" xr:uid="{657BBA86-6F70-4B47-A83F-CE7A964E4305}"/>
    <cellStyle name="Calcul 4 5" xfId="10905" xr:uid="{4AD9B888-AD7D-4F4A-8A1B-F5B3A5955413}"/>
    <cellStyle name="Calcul 4 5 2" xfId="28549" xr:uid="{443873DF-7B9B-4661-933D-9E5EBB24ACC6}"/>
    <cellStyle name="Calcul 4 6" xfId="10906" xr:uid="{CA346C5B-7173-4AB3-9DF9-810B53FBBE03}"/>
    <cellStyle name="Calcul 4 6 2" xfId="28550" xr:uid="{30433F50-8760-4FAF-B68D-4B26CFFED1C8}"/>
    <cellStyle name="Calcul 4 7" xfId="10907" xr:uid="{E4E2E95C-18C6-410A-B225-5DD3776E45E7}"/>
    <cellStyle name="Calcul 4 7 2" xfId="28551" xr:uid="{FD76725B-1E42-42C2-9321-0D19886C6460}"/>
    <cellStyle name="Calcul 4 8" xfId="10908" xr:uid="{D482A956-7F19-4BE1-9232-50B27B36CAF1}"/>
    <cellStyle name="Calcul 4 8 2" xfId="28552" xr:uid="{D14570F9-8F2E-4E6F-A8DC-907C84FD1C50}"/>
    <cellStyle name="Calcul 4 9" xfId="10909" xr:uid="{5B5132B6-8686-4FAC-9D87-17293D68703D}"/>
    <cellStyle name="Calcul 4 9 2" xfId="28553" xr:uid="{90B5E56D-AAC0-4ADF-8AF6-1E0E550C9B2B}"/>
    <cellStyle name="Calcul 5" xfId="10910" xr:uid="{E2D67ACA-02AC-41C7-A483-2BCB9B2FF8DB}"/>
    <cellStyle name="Calcul 5 10" xfId="10911" xr:uid="{B7709F45-165A-4D44-B55D-004827DA88B7}"/>
    <cellStyle name="Calcul 5 10 2" xfId="28555" xr:uid="{3B0514FF-3BEE-4DA7-A6B5-DEB04CAE5237}"/>
    <cellStyle name="Calcul 5 11" xfId="10912" xr:uid="{A7584338-414C-400C-AB11-A6EBAD183769}"/>
    <cellStyle name="Calcul 5 11 2" xfId="28556" xr:uid="{A503E2E2-6FC8-4189-B980-8435AE348F28}"/>
    <cellStyle name="Calcul 5 12" xfId="10913" xr:uid="{331C6CA8-022E-4069-BF14-E5C217B34F65}"/>
    <cellStyle name="Calcul 5 12 2" xfId="28557" xr:uid="{55E8456C-F43B-41AB-8B8E-2DDB60A879C8}"/>
    <cellStyle name="Calcul 5 13" xfId="10914" xr:uid="{AEBB8ECA-4727-4712-B698-B450A974ECB2}"/>
    <cellStyle name="Calcul 5 13 2" xfId="28558" xr:uid="{B89918A3-6C22-43A6-AEFF-24EEADFE27CA}"/>
    <cellStyle name="Calcul 5 14" xfId="10915" xr:uid="{F1FED278-5ED1-48C9-92E8-3FE3DF5110C7}"/>
    <cellStyle name="Calcul 5 14 2" xfId="28559" xr:uid="{117E3C86-3A6B-48DF-8146-B4E84C95BCBD}"/>
    <cellStyle name="Calcul 5 15" xfId="28554" xr:uid="{63014D83-4F89-4599-B5E0-F25F87C04741}"/>
    <cellStyle name="Calcul 5 2" xfId="10916" xr:uid="{61B48A21-5493-4BFB-B542-1C76DFEE8DB8}"/>
    <cellStyle name="Calcul 5 2 2" xfId="28560" xr:uid="{ACDA14BE-0B9A-47A1-BA70-E022A28CC0F4}"/>
    <cellStyle name="Calcul 5 3" xfId="10917" xr:uid="{8A19876D-BE34-4B19-8F7F-B46998712A42}"/>
    <cellStyle name="Calcul 5 3 2" xfId="28561" xr:uid="{DD650777-D3C1-4D9D-B548-50B6FBAD9559}"/>
    <cellStyle name="Calcul 5 4" xfId="10918" xr:uid="{5C5490A7-4832-49DC-B60B-AC0CC1434B5E}"/>
    <cellStyle name="Calcul 5 4 2" xfId="28562" xr:uid="{B08405F8-4A64-43C2-9775-01ED2FCB2E27}"/>
    <cellStyle name="Calcul 5 5" xfId="10919" xr:uid="{41929739-FAFB-411C-B5F5-2E2AB7ED0E78}"/>
    <cellStyle name="Calcul 5 5 2" xfId="28563" xr:uid="{A3A90083-EB89-4EA6-826F-2A50649C1E4D}"/>
    <cellStyle name="Calcul 5 6" xfId="10920" xr:uid="{B23E3A76-3237-46DF-A8CF-9C426B10AC40}"/>
    <cellStyle name="Calcul 5 6 2" xfId="28564" xr:uid="{C5742AEE-3B39-40F7-B62E-7DD4097AE259}"/>
    <cellStyle name="Calcul 5 7" xfId="10921" xr:uid="{2A844D37-97C4-4A4E-A230-06E9A53F547E}"/>
    <cellStyle name="Calcul 5 7 2" xfId="28565" xr:uid="{25A2423A-54A4-4F1B-B18C-89C18ACB3C17}"/>
    <cellStyle name="Calcul 5 8" xfId="10922" xr:uid="{0C5D0C3D-8F6D-4239-9BF3-D28EE5340620}"/>
    <cellStyle name="Calcul 5 8 2" xfId="28566" xr:uid="{B6F24F2D-F400-41B2-98FE-7691147D3A7D}"/>
    <cellStyle name="Calcul 5 9" xfId="10923" xr:uid="{1C1A7417-30B3-4576-8C1A-22AE81F899C4}"/>
    <cellStyle name="Calcul 5 9 2" xfId="28567" xr:uid="{715CCE50-5871-4E27-B0CD-C3F61040F11F}"/>
    <cellStyle name="Calcul 6" xfId="10924" xr:uid="{92F91CCF-285F-473F-8E8D-3C21D8F3D09B}"/>
    <cellStyle name="Calcul 6 2" xfId="28568" xr:uid="{0064B4CF-4CEB-449B-AC4E-D44C1D866215}"/>
    <cellStyle name="Calcul 7" xfId="10925" xr:uid="{FA6D8F43-5703-4A44-9646-E84244165D2B}"/>
    <cellStyle name="Calcul 7 2" xfId="28569" xr:uid="{AA23340F-0861-4C61-A745-88FD87BABB2C}"/>
    <cellStyle name="Calcul 8" xfId="10926" xr:uid="{64058D7E-2C44-42B1-B9C8-0C88EE9A1EF8}"/>
    <cellStyle name="Calcul 8 2" xfId="28570" xr:uid="{CF078BE4-52D6-43A2-AEF5-D48EA74C2CF5}"/>
    <cellStyle name="Calcul 9" xfId="10927" xr:uid="{D6C58F7D-B182-483F-8CFA-607EEED996D1}"/>
    <cellStyle name="Calcul 9 2" xfId="28571" xr:uid="{CB40DE8B-175E-4C52-9B45-20E6C048B79D}"/>
    <cellStyle name="Calculation 10" xfId="10929" xr:uid="{CD590A31-D5DF-44E4-9FF0-1CCBF993AFEF}"/>
    <cellStyle name="Calculation 10 2" xfId="28573" xr:uid="{EED928A0-2B5F-4201-82E2-FBDCCEC1F379}"/>
    <cellStyle name="Calculation 11" xfId="10930" xr:uid="{627267DF-D0F2-474B-A14D-0B73291BC216}"/>
    <cellStyle name="Calculation 11 2" xfId="28574" xr:uid="{55E3C211-29C7-4352-9EC1-72A26EB9E8A2}"/>
    <cellStyle name="Calculation 12" xfId="10931" xr:uid="{4B831B77-9CFA-4736-A26B-00E12F771C45}"/>
    <cellStyle name="Calculation 12 2" xfId="28575" xr:uid="{D0219314-B356-4082-BA25-E3828801FA85}"/>
    <cellStyle name="Calculation 13" xfId="10932" xr:uid="{64C69E03-4FD3-4210-A965-A6571BFA726D}"/>
    <cellStyle name="Calculation 13 2" xfId="28576" xr:uid="{A781FB81-3353-4892-86C7-DA3A017331ED}"/>
    <cellStyle name="Calculation 14" xfId="10933" xr:uid="{AB3AA8B5-F3E4-4AE9-8D71-6088FDB15996}"/>
    <cellStyle name="Calculation 14 2" xfId="28577" xr:uid="{FDCC8141-4C7B-4D67-8FAF-FA955A88A0CF}"/>
    <cellStyle name="Calculation 15" xfId="10934" xr:uid="{7B96594C-18E1-4B8E-A08B-9A1FA7C81EE1}"/>
    <cellStyle name="Calculation 15 2" xfId="28578" xr:uid="{1146176A-67D8-4217-89C7-646816AD62D2}"/>
    <cellStyle name="Calculation 16" xfId="10935" xr:uid="{7722BC21-E520-4876-B6CC-A5B07DB501E8}"/>
    <cellStyle name="Calculation 16 2" xfId="28579" xr:uid="{CF92D5F7-C8AB-45BD-9170-60A7DAC7C111}"/>
    <cellStyle name="Calculation 17" xfId="10936" xr:uid="{440AE292-0258-42A7-8E76-AF35BAD1834D}"/>
    <cellStyle name="Calculation 17 2" xfId="28580" xr:uid="{AA3AF25C-8C5C-4B02-A102-DDAA6CA4AF7F}"/>
    <cellStyle name="Calculation 18" xfId="10937" xr:uid="{575AFBE2-F698-4C49-AD5F-22EC67F11065}"/>
    <cellStyle name="Calculation 18 2" xfId="28581" xr:uid="{89226979-1232-4847-BDA2-318C833AE5E6}"/>
    <cellStyle name="Calculation 19" xfId="10938" xr:uid="{854AB41B-9F55-4930-847C-1FB8D0C1A165}"/>
    <cellStyle name="Calculation 19 2" xfId="28582" xr:uid="{047FC8B0-ABCD-4732-ACB1-F306FA02D0AF}"/>
    <cellStyle name="Calculation 2" xfId="10939" xr:uid="{2C37DE58-CF41-46D1-82ED-E46E09CD4BA1}"/>
    <cellStyle name="Calculation 2 10" xfId="10940" xr:uid="{B3D7C032-3781-4E47-BEE9-BA772DF44D31}"/>
    <cellStyle name="Calculation 2 10 2" xfId="28584" xr:uid="{D64F38CD-B0C1-4A09-9F7F-B4993BA6FDFB}"/>
    <cellStyle name="Calculation 2 11" xfId="10941" xr:uid="{0CD1495D-5748-407B-9C57-55FB96DA99D8}"/>
    <cellStyle name="Calculation 2 11 2" xfId="28585" xr:uid="{761FC7DD-7F41-4539-8915-AF96D4D47423}"/>
    <cellStyle name="Calculation 2 12" xfId="10942" xr:uid="{E5F9B270-82E1-4A52-8C56-C39E865EE26B}"/>
    <cellStyle name="Calculation 2 12 2" xfId="28587" xr:uid="{ADA6E6D8-A9BE-4E7B-9941-977CA9F9D978}"/>
    <cellStyle name="Calculation 2 13" xfId="10943" xr:uid="{7A65716D-F0FB-4A25-ACA0-A4A9F50C43C7}"/>
    <cellStyle name="Calculation 2 13 2" xfId="28588" xr:uid="{958619AD-3F90-4A87-A70A-556A71389926}"/>
    <cellStyle name="Calculation 2 14" xfId="10944" xr:uid="{10AD189A-DAEB-4771-BD6B-188ABA1B9634}"/>
    <cellStyle name="Calculation 2 14 2" xfId="28589" xr:uid="{AB71633C-AD97-4762-82B5-C590F4E5DEE8}"/>
    <cellStyle name="Calculation 2 15" xfId="10945" xr:uid="{68A87FB0-4BBE-4657-A489-FFEEF4C37CD6}"/>
    <cellStyle name="Calculation 2 15 2" xfId="28590" xr:uid="{B60CB915-1549-4C74-A9AB-1A161D0A28AA}"/>
    <cellStyle name="Calculation 2 16" xfId="10946" xr:uid="{6C395BAA-903C-4CE3-AF1B-3EE52A6A4AF0}"/>
    <cellStyle name="Calculation 2 16 2" xfId="28591" xr:uid="{F4942FE5-B299-4DEC-850E-F4FBB1A06AE2}"/>
    <cellStyle name="Calculation 2 17" xfId="10947" xr:uid="{D2A7C128-A858-4816-B876-3DF24D5827E6}"/>
    <cellStyle name="Calculation 2 17 2" xfId="28592" xr:uid="{F125DF12-2D84-44DE-BBD6-41BD3BBC0D20}"/>
    <cellStyle name="Calculation 2 18" xfId="28583" xr:uid="{F64C5941-962D-492A-AB3D-50FA940037D9}"/>
    <cellStyle name="Calculation 2 2" xfId="10948" xr:uid="{37C9CAB2-176D-4EB3-A0FD-9D486A72909D}"/>
    <cellStyle name="Calculation 2 2 10" xfId="10949" xr:uid="{E7BF1592-04A9-48F5-8007-D4A76EE20007}"/>
    <cellStyle name="Calculation 2 2 10 2" xfId="28594" xr:uid="{502C818E-74D8-4AEA-8101-A024D3D67DE0}"/>
    <cellStyle name="Calculation 2 2 11" xfId="10950" xr:uid="{F4EC2795-4D21-4E9A-91F5-0A81CA69E358}"/>
    <cellStyle name="Calculation 2 2 11 2" xfId="28595" xr:uid="{29488880-6C2C-4889-9032-3742F41728A7}"/>
    <cellStyle name="Calculation 2 2 12" xfId="10951" xr:uid="{13A52FCC-D10E-46F6-8604-4B0A97870D94}"/>
    <cellStyle name="Calculation 2 2 12 2" xfId="28596" xr:uid="{54E5649A-12EC-4801-9BDA-0718FBA0D5DE}"/>
    <cellStyle name="Calculation 2 2 13" xfId="10952" xr:uid="{C4EBA9E8-0660-454A-AC44-B0CC3F898297}"/>
    <cellStyle name="Calculation 2 2 13 2" xfId="28597" xr:uid="{65E93397-3D31-4A17-843D-06EC7836AD6C}"/>
    <cellStyle name="Calculation 2 2 14" xfId="10953" xr:uid="{20446017-8799-44D7-9757-F872C6A4A8F4}"/>
    <cellStyle name="Calculation 2 2 14 2" xfId="28598" xr:uid="{4BCFD8A6-66C3-459B-849F-E1EAB0CCCD86}"/>
    <cellStyle name="Calculation 2 2 15" xfId="10954" xr:uid="{D1AFEFDF-891D-42C8-A634-DFCA48E6DC33}"/>
    <cellStyle name="Calculation 2 2 15 2" xfId="28599" xr:uid="{CE264985-DD81-4C7B-80F6-2FCE1E8EE693}"/>
    <cellStyle name="Calculation 2 2 16" xfId="10955" xr:uid="{7D0A1F7D-DADF-4908-961B-36900955D4B4}"/>
    <cellStyle name="Calculation 2 2 16 2" xfId="28600" xr:uid="{8C83DB44-4F78-4FA7-A1CE-F36CA7223970}"/>
    <cellStyle name="Calculation 2 2 17" xfId="28593" xr:uid="{D78FBF61-7D58-4D79-A517-CB6B2C3FB198}"/>
    <cellStyle name="Calculation 2 2 2" xfId="10956" xr:uid="{7F389BD3-6EAF-480E-AC09-2D26B4CFE84B}"/>
    <cellStyle name="Calculation 2 2 2 10" xfId="10957" xr:uid="{2867E199-13B1-4C47-8D30-6F7B423BD9A3}"/>
    <cellStyle name="Calculation 2 2 2 10 2" xfId="28602" xr:uid="{9B07E2E3-B9FE-482C-8663-8B42FA4B638D}"/>
    <cellStyle name="Calculation 2 2 2 11" xfId="10958" xr:uid="{5AEE2AA9-CB4A-4A1B-88B2-E2053105AB1F}"/>
    <cellStyle name="Calculation 2 2 2 11 2" xfId="28603" xr:uid="{B3B4738F-2027-46E6-80BD-B6EAD61CADA6}"/>
    <cellStyle name="Calculation 2 2 2 12" xfId="10959" xr:uid="{1C6014A7-83CA-41FD-ACA0-AC16BE9BF899}"/>
    <cellStyle name="Calculation 2 2 2 12 2" xfId="28604" xr:uid="{DFBEF9FF-F57B-4136-837A-5F60E985DE16}"/>
    <cellStyle name="Calculation 2 2 2 13" xfId="10960" xr:uid="{C794BABF-BC4D-4EEA-AEC7-B89D0F622411}"/>
    <cellStyle name="Calculation 2 2 2 13 2" xfId="27441" xr:uid="{FC396460-1C24-4C5F-AEA7-BC304533F184}"/>
    <cellStyle name="Calculation 2 2 2 14" xfId="10961" xr:uid="{728CEB2F-A2A9-48A2-81C5-649C217E6EB7}"/>
    <cellStyle name="Calculation 2 2 2 14 2" xfId="28605" xr:uid="{F3E8395E-AB0E-469A-80BE-E4A84FF528A6}"/>
    <cellStyle name="Calculation 2 2 2 15" xfId="28601" xr:uid="{1C269E44-E40C-4B9B-AD2E-2651E043A66C}"/>
    <cellStyle name="Calculation 2 2 2 2" xfId="10962" xr:uid="{BBE14E7E-7BB1-40ED-99B2-EBA2E09F11FF}"/>
    <cellStyle name="Calculation 2 2 2 2 2" xfId="28606" xr:uid="{74A2111A-71FE-44F5-B2CD-E2C62A8034AA}"/>
    <cellStyle name="Calculation 2 2 2 3" xfId="10963" xr:uid="{FE93EA92-CA18-44E7-AFE4-302AFD349E46}"/>
    <cellStyle name="Calculation 2 2 2 3 2" xfId="28607" xr:uid="{E5BED660-686C-43F1-86C4-0ECB8A379F8C}"/>
    <cellStyle name="Calculation 2 2 2 4" xfId="10964" xr:uid="{1A3F3E63-31C4-4304-A8EA-16042BF4D7BA}"/>
    <cellStyle name="Calculation 2 2 2 4 2" xfId="28608" xr:uid="{91103FB6-4311-4A4C-909E-AB0ECD027989}"/>
    <cellStyle name="Calculation 2 2 2 5" xfId="10965" xr:uid="{9AED8F94-2F36-4DEC-9799-02A888E99DD1}"/>
    <cellStyle name="Calculation 2 2 2 5 2" xfId="28609" xr:uid="{7A0211CE-2175-4D4D-B52F-D4A75C0E6B94}"/>
    <cellStyle name="Calculation 2 2 2 6" xfId="10966" xr:uid="{DD5CEDF9-4571-42C0-8C1F-C8074CA8C8C9}"/>
    <cellStyle name="Calculation 2 2 2 6 2" xfId="28610" xr:uid="{BB6E6EA5-C55F-430A-AE90-6A8761DFCDF5}"/>
    <cellStyle name="Calculation 2 2 2 7" xfId="10967" xr:uid="{045FCC32-F5E8-42B7-A8D6-D309A6E8E184}"/>
    <cellStyle name="Calculation 2 2 2 7 2" xfId="28611" xr:uid="{5EA4E7E2-86F2-405E-84CF-657226194C99}"/>
    <cellStyle name="Calculation 2 2 2 8" xfId="10968" xr:uid="{05F19188-443F-49CD-BD11-D71C9257D4DF}"/>
    <cellStyle name="Calculation 2 2 2 8 2" xfId="28612" xr:uid="{5995FC7A-6D14-46F5-A5B3-FA07C42BC4DE}"/>
    <cellStyle name="Calculation 2 2 2 9" xfId="10969" xr:uid="{6F76FBC8-E697-4039-9C1D-AA71FC088CB8}"/>
    <cellStyle name="Calculation 2 2 2 9 2" xfId="28613" xr:uid="{9ABA3FAA-5ACD-4B80-9548-537EC5884E4A}"/>
    <cellStyle name="Calculation 2 2 3" xfId="10970" xr:uid="{C8B087FA-9AAC-4262-9530-612FB8EA461C}"/>
    <cellStyle name="Calculation 2 2 3 2" xfId="28614" xr:uid="{B2537710-BC54-4DAA-ABF2-B674A02F00AB}"/>
    <cellStyle name="Calculation 2 2 4" xfId="10971" xr:uid="{31EFB834-33D9-4E27-9158-169D42404594}"/>
    <cellStyle name="Calculation 2 2 4 2" xfId="28615" xr:uid="{5D3E199E-3574-4D7B-A3A0-4754832F0902}"/>
    <cellStyle name="Calculation 2 2 5" xfId="10972" xr:uid="{F4AB132A-EE03-4A75-BD23-BA53C2E6DE6E}"/>
    <cellStyle name="Calculation 2 2 5 2" xfId="28616" xr:uid="{3C74B3C9-F83E-466C-AA45-D9FB1FF8B0D4}"/>
    <cellStyle name="Calculation 2 2 6" xfId="10973" xr:uid="{F81A5FF2-A166-4E5D-B62F-4174DF545A9B}"/>
    <cellStyle name="Calculation 2 2 6 2" xfId="28617" xr:uid="{0796E328-D230-446E-A7F1-CA4449F5EDE6}"/>
    <cellStyle name="Calculation 2 2 7" xfId="10974" xr:uid="{06C839E3-1EDD-4C89-A256-7F1BA48E5A7E}"/>
    <cellStyle name="Calculation 2 2 7 2" xfId="28618" xr:uid="{11A74E7B-D76C-4E99-B3D8-D5C097F85567}"/>
    <cellStyle name="Calculation 2 2 8" xfId="10975" xr:uid="{1D59516C-FF8C-4477-A53A-EA1805086F39}"/>
    <cellStyle name="Calculation 2 2 8 2" xfId="28619" xr:uid="{7078D098-2ADF-4B7E-9539-085957399B54}"/>
    <cellStyle name="Calculation 2 2 9" xfId="10976" xr:uid="{814BA464-4D10-439C-AF9E-4E6BA1CC1E49}"/>
    <cellStyle name="Calculation 2 2 9 2" xfId="28620" xr:uid="{793C07E5-4546-488A-BC60-7C2485481334}"/>
    <cellStyle name="Calculation 2 3" xfId="10977" xr:uid="{AF7CE18D-7972-4643-A315-9F8912FBC04D}"/>
    <cellStyle name="Calculation 2 3 10" xfId="10978" xr:uid="{599EB844-E969-4F79-A936-D54217CD899C}"/>
    <cellStyle name="Calculation 2 3 10 2" xfId="28622" xr:uid="{AF1304D8-4F2A-463C-AFA8-308AE5412FA2}"/>
    <cellStyle name="Calculation 2 3 11" xfId="10979" xr:uid="{23497431-ED3B-415C-88D5-0A0D691D787E}"/>
    <cellStyle name="Calculation 2 3 11 2" xfId="28623" xr:uid="{84D8DC36-6156-4992-B0DF-4B97D0E8140E}"/>
    <cellStyle name="Calculation 2 3 12" xfId="10980" xr:uid="{9290F845-08A9-49F6-BCC2-661F1ADF4A41}"/>
    <cellStyle name="Calculation 2 3 12 2" xfId="28624" xr:uid="{E779AA26-B580-43C5-8E80-7526D9A590E3}"/>
    <cellStyle name="Calculation 2 3 13" xfId="10981" xr:uid="{A9FFAF94-ED65-4E05-9C18-35739B9276E3}"/>
    <cellStyle name="Calculation 2 3 13 2" xfId="28625" xr:uid="{5585716B-3BB6-4EDA-9CEC-DF3E86051F29}"/>
    <cellStyle name="Calculation 2 3 14" xfId="10982" xr:uid="{D886288A-7331-42A4-A4ED-4E0EE12B127B}"/>
    <cellStyle name="Calculation 2 3 14 2" xfId="28626" xr:uid="{67F7C7A6-B05F-4C94-B3B7-3B65F962C42B}"/>
    <cellStyle name="Calculation 2 3 15" xfId="28621" xr:uid="{4BB2D3F9-852A-43A3-962C-2B4BB61FA366}"/>
    <cellStyle name="Calculation 2 3 2" xfId="10983" xr:uid="{5E97EDA7-F4F0-4A3F-A05C-5A47C12C2495}"/>
    <cellStyle name="Calculation 2 3 2 2" xfId="28627" xr:uid="{5F8816DF-3E78-467B-8A45-67108CCC0F8F}"/>
    <cellStyle name="Calculation 2 3 3" xfId="10984" xr:uid="{FBFAE494-3301-4F81-B4FD-AA0B19E48DEE}"/>
    <cellStyle name="Calculation 2 3 3 2" xfId="28628" xr:uid="{29E59BC5-910D-4043-8D4A-08E71A6A107B}"/>
    <cellStyle name="Calculation 2 3 4" xfId="10985" xr:uid="{37D7CD8A-084B-40FA-AB97-C38EE0F7472B}"/>
    <cellStyle name="Calculation 2 3 4 2" xfId="28629" xr:uid="{79675792-DFDA-4567-9340-BB54F1B00C64}"/>
    <cellStyle name="Calculation 2 3 5" xfId="10986" xr:uid="{F4B4D021-3546-4BEE-89C2-15331E5F3FAD}"/>
    <cellStyle name="Calculation 2 3 5 2" xfId="28630" xr:uid="{C91A9651-C8C2-4229-8FFF-465F1B6F9A54}"/>
    <cellStyle name="Calculation 2 3 6" xfId="10987" xr:uid="{4EAD7EC4-0B23-4DD4-AADF-AB10593AA360}"/>
    <cellStyle name="Calculation 2 3 6 2" xfId="28631" xr:uid="{1941FE67-7CD1-4855-8472-B202262C8F90}"/>
    <cellStyle name="Calculation 2 3 7" xfId="10988" xr:uid="{B312524A-EB3A-4B17-9B77-DB92A89086A6}"/>
    <cellStyle name="Calculation 2 3 7 2" xfId="28632" xr:uid="{B334DC85-292B-4C0A-BC08-83B2D052ABA1}"/>
    <cellStyle name="Calculation 2 3 8" xfId="10989" xr:uid="{4326AA54-1345-4102-ADD5-27CBB53877DF}"/>
    <cellStyle name="Calculation 2 3 8 2" xfId="28633" xr:uid="{A48C7937-D0FC-4613-A597-10DAF550A5B4}"/>
    <cellStyle name="Calculation 2 3 9" xfId="10990" xr:uid="{36332D53-E82A-4741-AD23-129F28D1F4B8}"/>
    <cellStyle name="Calculation 2 3 9 2" xfId="28634" xr:uid="{C587C5BF-75E5-4BD3-A27E-97917DF54F35}"/>
    <cellStyle name="Calculation 2 4" xfId="10991" xr:uid="{1790CC22-E08D-47FD-B5DC-268E4A85CFC3}"/>
    <cellStyle name="Calculation 2 4 2" xfId="28635" xr:uid="{BB866C22-1DF0-4F94-A00B-10253D94DDBE}"/>
    <cellStyle name="Calculation 2 5" xfId="10992" xr:uid="{0C0B631C-75DF-42A9-B10B-828738DAA1BE}"/>
    <cellStyle name="Calculation 2 5 2" xfId="28636" xr:uid="{75C17FE5-1FCC-4AD8-AB77-A8D457C3CF66}"/>
    <cellStyle name="Calculation 2 6" xfId="10993" xr:uid="{4E903546-27CE-42DF-B1A1-97499CFC105E}"/>
    <cellStyle name="Calculation 2 6 2" xfId="28637" xr:uid="{0464213D-B183-4A83-898B-68E30E8D13C6}"/>
    <cellStyle name="Calculation 2 7" xfId="10994" xr:uid="{2EFDE71E-5311-4206-BA89-591E0A4F95B8}"/>
    <cellStyle name="Calculation 2 7 2" xfId="28638" xr:uid="{56F432F9-AF72-4C73-B55B-B43559F398A0}"/>
    <cellStyle name="Calculation 2 8" xfId="10995" xr:uid="{5EA53149-CE5C-4C1B-8EE5-ED3A4922EC6E}"/>
    <cellStyle name="Calculation 2 8 2" xfId="28639" xr:uid="{C0AE7234-D37E-49AB-B49A-395148322292}"/>
    <cellStyle name="Calculation 2 9" xfId="10996" xr:uid="{7808F8EA-0C74-4506-9247-79F19C5313B3}"/>
    <cellStyle name="Calculation 2 9 2" xfId="28640" xr:uid="{C5C62E99-6902-467F-843E-9E53799AA83C}"/>
    <cellStyle name="Calculation 20" xfId="10997" xr:uid="{D35CE317-FF8A-45FB-8834-7212F0E55025}"/>
    <cellStyle name="Calculation 20 2" xfId="28641" xr:uid="{B27CBC81-D957-4560-AE3C-DFC1A1FDA3F9}"/>
    <cellStyle name="Calculation 21" xfId="10998" xr:uid="{F3782266-6EEC-43B0-ACBC-F7C0EC7E3CC0}"/>
    <cellStyle name="Calculation 21 2" xfId="28642" xr:uid="{9C7B5383-993C-444A-859F-04D6B3F2E4EE}"/>
    <cellStyle name="Calculation 22" xfId="10999" xr:uid="{0EF6977A-6487-4EE0-B88A-7583FE6841DE}"/>
    <cellStyle name="Calculation 22 2" xfId="28643" xr:uid="{7CF0A20E-CD65-4340-A15B-4494B5CCA9EC}"/>
    <cellStyle name="Calculation 23" xfId="11000" xr:uid="{91C6FE44-D568-4546-843D-1D5AD4C1B52B}"/>
    <cellStyle name="Calculation 23 2" xfId="28644" xr:uid="{F231055F-A44E-4B14-8B8F-7EAA585E3021}"/>
    <cellStyle name="Calculation 24" xfId="11001" xr:uid="{44FDE8EF-58EF-43C7-BD86-9C7E35452AD5}"/>
    <cellStyle name="Calculation 24 2" xfId="28645" xr:uid="{7C61D430-E34F-43E3-84C7-E7B7BE245282}"/>
    <cellStyle name="Calculation 25" xfId="11002" xr:uid="{F7CEEBC3-CD0F-4254-952C-0F21CD665D87}"/>
    <cellStyle name="Calculation 25 2" xfId="28646" xr:uid="{5E5F8BBA-C741-4C6F-A3B8-636E0AAD5D71}"/>
    <cellStyle name="Calculation 26" xfId="10928" xr:uid="{4DE750D9-751A-414E-842E-F750586DBD23}"/>
    <cellStyle name="Calculation 26 2" xfId="28572" xr:uid="{5CA138AF-9044-430D-8A2C-2CBCCE1A08FE}"/>
    <cellStyle name="Calculation 3" xfId="11003" xr:uid="{5258A051-2242-4CAE-AEC9-020AF178ED4A}"/>
    <cellStyle name="Calculation 3 10" xfId="11004" xr:uid="{D1598CF1-2517-44B4-B22F-0276CD3BE9A3}"/>
    <cellStyle name="Calculation 3 10 2" xfId="28648" xr:uid="{4D25D873-7176-44A4-965F-50954971C6CF}"/>
    <cellStyle name="Calculation 3 11" xfId="11005" xr:uid="{5ABA7963-5D1C-4836-8AFA-D77C08FCFAE3}"/>
    <cellStyle name="Calculation 3 11 2" xfId="28649" xr:uid="{7E8D2780-5D39-48E4-A976-C8E5F37B11F1}"/>
    <cellStyle name="Calculation 3 12" xfId="11006" xr:uid="{066EB70F-40E5-496D-939D-5DF25321F0E0}"/>
    <cellStyle name="Calculation 3 12 2" xfId="28650" xr:uid="{42FE1936-FD61-4855-B57F-A2F909B7AF05}"/>
    <cellStyle name="Calculation 3 13" xfId="11007" xr:uid="{D6E42049-D77E-4FD5-BAD2-F9D14CE44FA6}"/>
    <cellStyle name="Calculation 3 13 2" xfId="28651" xr:uid="{456DF52D-127B-41A5-98F3-8138AEDFB91B}"/>
    <cellStyle name="Calculation 3 14" xfId="11008" xr:uid="{54665F04-3FD6-4300-8589-8C2C719D0DAA}"/>
    <cellStyle name="Calculation 3 14 2" xfId="28652" xr:uid="{2226784D-B0D8-4E91-AF51-1F720A283F6A}"/>
    <cellStyle name="Calculation 3 15" xfId="11009" xr:uid="{768575BA-92C8-46FB-A4A0-02D3C74737FC}"/>
    <cellStyle name="Calculation 3 15 2" xfId="28653" xr:uid="{E3F2BBC6-1FA1-49B7-9185-8E816313E172}"/>
    <cellStyle name="Calculation 3 16" xfId="11010" xr:uid="{780DE284-B966-422A-B2FA-A7C07EB609A8}"/>
    <cellStyle name="Calculation 3 16 2" xfId="28654" xr:uid="{5C83831D-71F7-4140-AB8F-6A2FD939D390}"/>
    <cellStyle name="Calculation 3 17" xfId="11011" xr:uid="{EBAF3ABC-571A-4302-AF03-E1EE15CC81B8}"/>
    <cellStyle name="Calculation 3 17 2" xfId="28655" xr:uid="{025B4FC2-6101-4C75-8A61-BF08AA4726EE}"/>
    <cellStyle name="Calculation 3 18" xfId="11012" xr:uid="{F3091998-41A7-400C-BEF6-B89B72D8D7AC}"/>
    <cellStyle name="Calculation 3 18 2" xfId="28656" xr:uid="{3AF6C188-BD3E-4214-9122-BE28396CBA3B}"/>
    <cellStyle name="Calculation 3 19" xfId="11013" xr:uid="{5F7EB1EA-5DFC-451C-9613-479BFEA62A17}"/>
    <cellStyle name="Calculation 3 19 2" xfId="28657" xr:uid="{9108167D-BFA6-4590-8EC7-0C28F4084F28}"/>
    <cellStyle name="Calculation 3 2" xfId="11014" xr:uid="{67B50E44-A536-452B-9D31-1FAF1A4F74BF}"/>
    <cellStyle name="Calculation 3 2 10" xfId="11015" xr:uid="{21550887-0996-40ED-AEF7-57AC117F050C}"/>
    <cellStyle name="Calculation 3 2 10 2" xfId="28659" xr:uid="{F1A89E63-77E6-4A46-B2FB-1E69EB39B6CC}"/>
    <cellStyle name="Calculation 3 2 11" xfId="11016" xr:uid="{39384C92-B004-4E81-BB8F-56F30780ED92}"/>
    <cellStyle name="Calculation 3 2 11 2" xfId="28660" xr:uid="{6E9D88D5-FED8-4B46-BE66-B60625E24F9F}"/>
    <cellStyle name="Calculation 3 2 12" xfId="11017" xr:uid="{2563856D-EE84-4166-BD30-7A3B0935EAF1}"/>
    <cellStyle name="Calculation 3 2 12 2" xfId="28586" xr:uid="{136782ED-4C1D-4C20-9468-3AF067E73BE2}"/>
    <cellStyle name="Calculation 3 2 13" xfId="11018" xr:uid="{259245D6-1181-4901-A49F-2E9F902B2B21}"/>
    <cellStyle name="Calculation 3 2 13 2" xfId="28661" xr:uid="{DEF67510-A838-4B34-B16F-AA28FF37DAE3}"/>
    <cellStyle name="Calculation 3 2 14" xfId="11019" xr:uid="{205FF3F5-9D6D-430E-95FF-7838D38A9404}"/>
    <cellStyle name="Calculation 3 2 14 2" xfId="28662" xr:uid="{B041769A-5A9F-484D-BE73-9E83910FBD8F}"/>
    <cellStyle name="Calculation 3 2 15" xfId="11020" xr:uid="{0E5605B1-D1AD-48C1-B5FD-FF8F2A63B728}"/>
    <cellStyle name="Calculation 3 2 15 2" xfId="28663" xr:uid="{BDF23F58-FAEF-488B-A1A1-2E0A542A9055}"/>
    <cellStyle name="Calculation 3 2 16" xfId="11021" xr:uid="{B9435DD9-9BF2-42F3-9D15-6025B678301E}"/>
    <cellStyle name="Calculation 3 2 16 2" xfId="28664" xr:uid="{E0F20683-2009-4BE3-8017-554EF4A2EA1B}"/>
    <cellStyle name="Calculation 3 2 17" xfId="28658" xr:uid="{90070E66-46F3-4FD6-94F4-80F049D213E7}"/>
    <cellStyle name="Calculation 3 2 2" xfId="11022" xr:uid="{58FFDB5F-4023-4629-82BA-60DC00990056}"/>
    <cellStyle name="Calculation 3 2 2 10" xfId="11023" xr:uid="{0948AA5F-67BB-4416-B820-7ECC8628BCD1}"/>
    <cellStyle name="Calculation 3 2 2 10 2" xfId="28666" xr:uid="{E44E1904-F9A7-48CB-9DF2-0C48B6869C5C}"/>
    <cellStyle name="Calculation 3 2 2 11" xfId="11024" xr:uid="{ED9F9B0F-FEB3-4798-8DA8-C79C9EDCA4CF}"/>
    <cellStyle name="Calculation 3 2 2 11 2" xfId="28667" xr:uid="{52D7B14D-5AF5-4B9A-8189-210DE0584C37}"/>
    <cellStyle name="Calculation 3 2 2 12" xfId="11025" xr:uid="{10A41972-EB4F-420B-80A0-793527B2F593}"/>
    <cellStyle name="Calculation 3 2 2 12 2" xfId="28668" xr:uid="{AE1C77CC-31EE-45A7-AFFE-65BC25C012E5}"/>
    <cellStyle name="Calculation 3 2 2 13" xfId="11026" xr:uid="{F327E85C-2508-44F9-BE42-026DC8A2F2A9}"/>
    <cellStyle name="Calculation 3 2 2 13 2" xfId="28669" xr:uid="{D45C9325-0E2C-498D-B66C-3DFD354560BB}"/>
    <cellStyle name="Calculation 3 2 2 14" xfId="11027" xr:uid="{91415C36-F648-416E-97A1-863EEF4D1381}"/>
    <cellStyle name="Calculation 3 2 2 14 2" xfId="28670" xr:uid="{9EE96CB0-07C4-4FBE-8DB7-81E4D1461B7B}"/>
    <cellStyle name="Calculation 3 2 2 15" xfId="28665" xr:uid="{C53C5650-8842-4E33-96C3-6CD42B822D3E}"/>
    <cellStyle name="Calculation 3 2 2 2" xfId="11028" xr:uid="{4EFFE2C4-5903-49CD-938A-251045F5FE8A}"/>
    <cellStyle name="Calculation 3 2 2 2 2" xfId="28671" xr:uid="{0327FC13-0490-47FE-8F11-7EA292B3F2ED}"/>
    <cellStyle name="Calculation 3 2 2 3" xfId="11029" xr:uid="{1928F8AC-AB6F-4281-9826-DA27B6BD6497}"/>
    <cellStyle name="Calculation 3 2 2 3 2" xfId="28672" xr:uid="{AC4C31F9-B387-4BC1-AF67-1AD75DB3DED3}"/>
    <cellStyle name="Calculation 3 2 2 4" xfId="11030" xr:uid="{0461D3C0-319F-4F66-BE89-B24465E2EA40}"/>
    <cellStyle name="Calculation 3 2 2 4 2" xfId="28673" xr:uid="{FC5BE480-7465-4B56-92CE-BB6E0AADAD32}"/>
    <cellStyle name="Calculation 3 2 2 5" xfId="11031" xr:uid="{457BC555-8637-4F7C-8D44-6B8F5F32ABB9}"/>
    <cellStyle name="Calculation 3 2 2 5 2" xfId="28674" xr:uid="{F7671586-65EA-40EC-B7F5-6D55C89D24FE}"/>
    <cellStyle name="Calculation 3 2 2 6" xfId="11032" xr:uid="{3540B9FB-6908-4A6B-8018-4BE666EFD632}"/>
    <cellStyle name="Calculation 3 2 2 6 2" xfId="28675" xr:uid="{6AB3EB1D-0B41-42B3-A201-F021168B5C95}"/>
    <cellStyle name="Calculation 3 2 2 7" xfId="11033" xr:uid="{C2F646C6-D7BB-4579-9EB9-D129D7870DAA}"/>
    <cellStyle name="Calculation 3 2 2 7 2" xfId="28676" xr:uid="{B8038AB2-10A2-4EEC-99A1-5C8854332466}"/>
    <cellStyle name="Calculation 3 2 2 8" xfId="11034" xr:uid="{84D31DDB-1443-494C-ADE3-BEC705B6FC2D}"/>
    <cellStyle name="Calculation 3 2 2 8 2" xfId="28677" xr:uid="{02BB6CE0-485D-48E8-9E71-C95759DCFADE}"/>
    <cellStyle name="Calculation 3 2 2 9" xfId="11035" xr:uid="{5790185F-F6EF-4E76-B35E-CCDCEF0B9749}"/>
    <cellStyle name="Calculation 3 2 2 9 2" xfId="28678" xr:uid="{D337B05F-B333-42FA-B356-A2ABF6541EEC}"/>
    <cellStyle name="Calculation 3 2 3" xfId="11036" xr:uid="{3AA9947D-9038-4E05-B4E6-8738206FB1DC}"/>
    <cellStyle name="Calculation 3 2 3 2" xfId="28679" xr:uid="{A7AB99D8-0F2E-4815-899B-B4FEF9632821}"/>
    <cellStyle name="Calculation 3 2 4" xfId="11037" xr:uid="{8633064E-DD50-4D6C-9D33-85E046568D12}"/>
    <cellStyle name="Calculation 3 2 4 2" xfId="28681" xr:uid="{D88CEC59-79BE-45DC-B58A-889689FD527A}"/>
    <cellStyle name="Calculation 3 2 5" xfId="11038" xr:uid="{6D03FF04-0F35-42F9-99FF-0A8A0F2DAC7A}"/>
    <cellStyle name="Calculation 3 2 5 2" xfId="35980" xr:uid="{5425F93B-AFC4-4D26-8CD9-01FF4A9DCA1B}"/>
    <cellStyle name="Calculation 3 2 6" xfId="11039" xr:uid="{E8C69E9F-FBA2-4A1F-9E24-28E3823C0639}"/>
    <cellStyle name="Calculation 3 2 6 2" xfId="28682" xr:uid="{8B8E4648-2269-4673-B084-B09ED60CEDAB}"/>
    <cellStyle name="Calculation 3 2 7" xfId="11040" xr:uid="{B1286689-A722-4FEC-9737-212A3E086788}"/>
    <cellStyle name="Calculation 3 2 7 2" xfId="28683" xr:uid="{733ACEAD-7097-47B5-8146-740C39803799}"/>
    <cellStyle name="Calculation 3 2 8" xfId="11041" xr:uid="{FB9F68D4-6F2C-41C0-8155-DF8A58DBF044}"/>
    <cellStyle name="Calculation 3 2 8 2" xfId="28684" xr:uid="{6059693E-C680-4435-86CB-8C75D400BE57}"/>
    <cellStyle name="Calculation 3 2 9" xfId="11042" xr:uid="{CD903343-3618-4D32-BE45-BF24C9A889F8}"/>
    <cellStyle name="Calculation 3 2 9 2" xfId="28685" xr:uid="{7C910E11-010F-456B-BD7F-AB87FC0CED59}"/>
    <cellStyle name="Calculation 3 20" xfId="11043" xr:uid="{9CBFDFDD-3C68-44F1-B1CE-E891CB90D1D9}"/>
    <cellStyle name="Calculation 3 20 2" xfId="28686" xr:uid="{ECE2DFC8-7F1D-4C3B-B71B-550A64C7C9D6}"/>
    <cellStyle name="Calculation 3 21" xfId="11044" xr:uid="{E8FAB513-39DD-4FD2-8AF9-00CA848D0FD3}"/>
    <cellStyle name="Calculation 3 21 2" xfId="28687" xr:uid="{055B2FF1-0691-4608-A155-504656422F59}"/>
    <cellStyle name="Calculation 3 22" xfId="11045" xr:uid="{011416F5-63FB-48CC-9235-FA3300561B41}"/>
    <cellStyle name="Calculation 3 22 2" xfId="28688" xr:uid="{11E479D9-02C4-4D0B-8B25-93D7A17F532C}"/>
    <cellStyle name="Calculation 3 23" xfId="28647" xr:uid="{377B38D4-2117-4540-B6C0-BEB80411B65E}"/>
    <cellStyle name="Calculation 3 3" xfId="11046" xr:uid="{A285C288-2ABC-42F9-A38F-2FBFD4FCFFE1}"/>
    <cellStyle name="Calculation 3 3 10" xfId="11047" xr:uid="{E2BF39C0-0985-4069-A0EB-1B051D04E5D5}"/>
    <cellStyle name="Calculation 3 3 10 2" xfId="28690" xr:uid="{1760E546-F4CD-4D27-A5FC-88804E5AA8B5}"/>
    <cellStyle name="Calculation 3 3 11" xfId="11048" xr:uid="{B3A9A778-DA12-4215-BB92-F24D17A6B2B6}"/>
    <cellStyle name="Calculation 3 3 11 2" xfId="28691" xr:uid="{0EC546A2-6103-45D2-9EC2-CD080E196548}"/>
    <cellStyle name="Calculation 3 3 12" xfId="11049" xr:uid="{48C0E1F1-0272-4B8F-BC5E-9B08242F957F}"/>
    <cellStyle name="Calculation 3 3 12 2" xfId="28692" xr:uid="{73E4AC4B-4EBF-4C10-9190-E013C4AE14DF}"/>
    <cellStyle name="Calculation 3 3 13" xfId="11050" xr:uid="{351BA734-AFEF-4FE0-A4CA-1DA901428C98}"/>
    <cellStyle name="Calculation 3 3 13 2" xfId="28693" xr:uid="{FD51B5E2-2EAD-48C6-B97C-9AE6C6F4E73A}"/>
    <cellStyle name="Calculation 3 3 14" xfId="11051" xr:uid="{F943F709-DD50-4F34-BD10-B7F00E5FEE2E}"/>
    <cellStyle name="Calculation 3 3 14 2" xfId="28694" xr:uid="{B2C9668B-2007-4FBF-A537-6D419DFD8935}"/>
    <cellStyle name="Calculation 3 3 15" xfId="28689" xr:uid="{340897BF-B371-410E-8C3F-59CF63E8A076}"/>
    <cellStyle name="Calculation 3 3 2" xfId="11052" xr:uid="{4B04D7A9-AA47-41A0-8712-FC304639B9A2}"/>
    <cellStyle name="Calculation 3 3 2 2" xfId="28695" xr:uid="{D9994CA1-5FBD-475C-A6E6-BB25DB316611}"/>
    <cellStyle name="Calculation 3 3 3" xfId="11053" xr:uid="{47824F5D-965B-4367-A9F4-0F3FCC6C990D}"/>
    <cellStyle name="Calculation 3 3 3 2" xfId="28696" xr:uid="{03FEF568-EFAA-4C35-82DC-D27651109596}"/>
    <cellStyle name="Calculation 3 3 4" xfId="11054" xr:uid="{147CEE0B-653F-4FAB-A4AB-18F20E710563}"/>
    <cellStyle name="Calculation 3 3 4 2" xfId="28697" xr:uid="{376706A1-980B-4B76-A030-E1AD0A8FC392}"/>
    <cellStyle name="Calculation 3 3 5" xfId="11055" xr:uid="{F16BA30C-4E8B-4060-8F30-071AE5F2CCE0}"/>
    <cellStyle name="Calculation 3 3 5 2" xfId="28698" xr:uid="{CE66AD08-DCC7-46A4-AD8D-7AD31E568EAE}"/>
    <cellStyle name="Calculation 3 3 6" xfId="11056" xr:uid="{8101DA7C-2529-483B-BB89-E705BAC76DB1}"/>
    <cellStyle name="Calculation 3 3 6 2" xfId="28699" xr:uid="{307C283B-5AC5-4613-B2E8-7090D3F80224}"/>
    <cellStyle name="Calculation 3 3 7" xfId="11057" xr:uid="{378F3F4F-8679-4340-B55E-72664EA1B519}"/>
    <cellStyle name="Calculation 3 3 7 2" xfId="28700" xr:uid="{BF77AF7E-11BB-4334-B1B5-0E56E1F6D4FF}"/>
    <cellStyle name="Calculation 3 3 8" xfId="11058" xr:uid="{7C1CE425-7814-4A23-826A-03D25CE8AB5C}"/>
    <cellStyle name="Calculation 3 3 8 2" xfId="28701" xr:uid="{E9990126-B191-4366-8DEF-1FE7DA529E1D}"/>
    <cellStyle name="Calculation 3 3 9" xfId="11059" xr:uid="{FAEC89DF-AACE-4FF4-8222-58C5955E5B99}"/>
    <cellStyle name="Calculation 3 3 9 2" xfId="28702" xr:uid="{66055A17-A4F3-4AB9-B19A-424D25506B4D}"/>
    <cellStyle name="Calculation 3 4" xfId="11060" xr:uid="{31167EF4-2C92-433B-8BEF-32485BD9A20E}"/>
    <cellStyle name="Calculation 3 4 2" xfId="28703" xr:uid="{D0DA8582-ED1B-4FE0-B949-F59852056FE4}"/>
    <cellStyle name="Calculation 3 5" xfId="11061" xr:uid="{05FC330E-A9B3-410B-AC20-326B69CC599C}"/>
    <cellStyle name="Calculation 3 5 2" xfId="28704" xr:uid="{D7C97DFF-961F-48C4-8BD1-0B0320901B9D}"/>
    <cellStyle name="Calculation 3 6" xfId="11062" xr:uid="{AC6097BA-3D66-4BC8-AEFF-B64B401B71B2}"/>
    <cellStyle name="Calculation 3 6 2" xfId="28705" xr:uid="{E1725802-E64C-41B5-A6F8-10612A81786A}"/>
    <cellStyle name="Calculation 3 7" xfId="11063" xr:uid="{CA90C4B4-DEEA-4166-8271-BEAF8B3C406C}"/>
    <cellStyle name="Calculation 3 7 2" xfId="28706" xr:uid="{1EACF81A-AC55-4C5A-9565-FFA42E993A05}"/>
    <cellStyle name="Calculation 3 8" xfId="11064" xr:uid="{0F42263A-E8F2-4305-BCCD-041F020CA80D}"/>
    <cellStyle name="Calculation 3 8 2" xfId="28707" xr:uid="{E19A3C7B-B837-4877-8201-581378FFA470}"/>
    <cellStyle name="Calculation 3 9" xfId="11065" xr:uid="{EA3A8319-75E0-46E2-9FF6-88B577561E90}"/>
    <cellStyle name="Calculation 3 9 2" xfId="28708" xr:uid="{EC39477F-0958-4983-BE12-23DD0BA46D15}"/>
    <cellStyle name="Calculation 4" xfId="11066" xr:uid="{9FC5A75B-EC44-499A-A3DC-EEE5E4A423CE}"/>
    <cellStyle name="Calculation 4 10" xfId="11067" xr:uid="{CBF32443-9E72-4633-A7B7-86C76E8CB83E}"/>
    <cellStyle name="Calculation 4 10 2" xfId="28710" xr:uid="{FCB50397-A086-4752-9D14-87BAE6A6E7B6}"/>
    <cellStyle name="Calculation 4 11" xfId="11068" xr:uid="{83AF3BF2-D032-4817-A317-05836D9B27BC}"/>
    <cellStyle name="Calculation 4 11 2" xfId="28711" xr:uid="{9D3A1A69-CDCF-4713-B2A7-11B5BD070213}"/>
    <cellStyle name="Calculation 4 12" xfId="11069" xr:uid="{D4E6B8CC-1C1A-4DCE-B765-5F327AD28773}"/>
    <cellStyle name="Calculation 4 12 2" xfId="28712" xr:uid="{E2577A15-8443-459C-9064-C76154F44F10}"/>
    <cellStyle name="Calculation 4 13" xfId="11070" xr:uid="{FDFF6521-453D-41CC-827F-9EAD7697D0CD}"/>
    <cellStyle name="Calculation 4 13 2" xfId="28713" xr:uid="{BBB9ED4C-A6E0-4184-93C5-65F8B1803030}"/>
    <cellStyle name="Calculation 4 14" xfId="11071" xr:uid="{A8A6D61D-6FE5-4F11-8EF2-C3DC9AD061FD}"/>
    <cellStyle name="Calculation 4 14 2" xfId="28714" xr:uid="{84C604D2-EFA8-446B-9862-B0365B0EC351}"/>
    <cellStyle name="Calculation 4 15" xfId="11072" xr:uid="{69D4B195-1AF3-4F31-8BEF-EDD2C35C048B}"/>
    <cellStyle name="Calculation 4 15 2" xfId="28715" xr:uid="{9473FEF5-DBD7-4389-86F4-38FFDC0011AD}"/>
    <cellStyle name="Calculation 4 16" xfId="11073" xr:uid="{86FA9CA0-913E-4450-9DA0-830325AB80CD}"/>
    <cellStyle name="Calculation 4 16 2" xfId="28716" xr:uid="{EC8918E3-8279-4973-99CD-22FBBA5736AC}"/>
    <cellStyle name="Calculation 4 17" xfId="11074" xr:uid="{6D6F3DAD-0B8C-404E-9778-40D5BD7FB4F3}"/>
    <cellStyle name="Calculation 4 17 2" xfId="28717" xr:uid="{E46A9067-5D70-4B6C-97CE-B8FD9E462789}"/>
    <cellStyle name="Calculation 4 18" xfId="11075" xr:uid="{5299A252-6ED4-4C1A-93F4-4740C0698AFE}"/>
    <cellStyle name="Calculation 4 18 2" xfId="28718" xr:uid="{729BBD7A-4034-471A-8B2E-514559A30B73}"/>
    <cellStyle name="Calculation 4 19" xfId="11076" xr:uid="{670B0516-15F6-4692-A4F1-76D06BF08E43}"/>
    <cellStyle name="Calculation 4 19 2" xfId="28719" xr:uid="{2C5C9D98-996F-416C-9009-ADC0DA969F50}"/>
    <cellStyle name="Calculation 4 2" xfId="11077" xr:uid="{67B254C7-E813-44C8-8CA1-30FB4BB96265}"/>
    <cellStyle name="Calculation 4 2 10" xfId="11078" xr:uid="{DD4A18DB-353E-4A5B-AE3E-8C1977E8DEFF}"/>
    <cellStyle name="Calculation 4 2 10 2" xfId="28720" xr:uid="{D9DF49FC-0492-465E-A97A-ACDE5F852145}"/>
    <cellStyle name="Calculation 4 2 11" xfId="11079" xr:uid="{EE0909A8-E303-460C-A83E-30FD2B6844A9}"/>
    <cellStyle name="Calculation 4 2 11 2" xfId="28721" xr:uid="{F3DA35C1-DBDB-4533-BE65-A807F58741BC}"/>
    <cellStyle name="Calculation 4 2 12" xfId="11080" xr:uid="{5C115514-D285-4D90-A341-0CA132080E08}"/>
    <cellStyle name="Calculation 4 2 12 2" xfId="28722" xr:uid="{C91DD0FA-1CD9-4DD5-89DB-7FCA2E73C8F3}"/>
    <cellStyle name="Calculation 4 2 13" xfId="11081" xr:uid="{8630391E-AEFC-4F75-9E41-B047DB9F7918}"/>
    <cellStyle name="Calculation 4 2 13 2" xfId="28723" xr:uid="{5F47A6AB-9F8E-4266-A028-BEE4538A09F5}"/>
    <cellStyle name="Calculation 4 2 14" xfId="11082" xr:uid="{A5F393A6-797D-406F-A881-E9338BF20ADD}"/>
    <cellStyle name="Calculation 4 2 14 2" xfId="28724" xr:uid="{9831616D-23CC-44D0-BA4C-2BF02AEAD8D3}"/>
    <cellStyle name="Calculation 4 2 15" xfId="11083" xr:uid="{B042E6D0-8B54-453C-9F0F-11279FD21F21}"/>
    <cellStyle name="Calculation 4 2 15 2" xfId="28725" xr:uid="{AA23807D-6C04-4061-9197-CC78A9522361}"/>
    <cellStyle name="Calculation 4 2 16" xfId="11084" xr:uid="{76A8D180-39E5-4797-9056-5462F5E2C424}"/>
    <cellStyle name="Calculation 4 2 16 2" xfId="28726" xr:uid="{4B82442A-7AE9-40E1-8EBF-CEBEAF6D66E7}"/>
    <cellStyle name="Calculation 4 2 17" xfId="27442" xr:uid="{160A44D0-676B-46CE-B8B7-C2ED2FFAD5FF}"/>
    <cellStyle name="Calculation 4 2 2" xfId="11085" xr:uid="{3144739A-F627-4270-8270-4B41BE39F02C}"/>
    <cellStyle name="Calculation 4 2 2 10" xfId="11086" xr:uid="{E6C065A7-B455-43EA-B27D-9827BAB6CE61}"/>
    <cellStyle name="Calculation 4 2 2 10 2" xfId="28728" xr:uid="{6EB5CBD6-4370-4E08-89E1-18D8228B8CC6}"/>
    <cellStyle name="Calculation 4 2 2 11" xfId="11087" xr:uid="{8FE43E60-9FDC-4B2A-952A-46D7267D2737}"/>
    <cellStyle name="Calculation 4 2 2 11 2" xfId="28729" xr:uid="{F2A3E115-8D2D-4061-9D93-F05A079AA443}"/>
    <cellStyle name="Calculation 4 2 2 12" xfId="11088" xr:uid="{8EEC844E-DF7B-425E-BF8A-F374F880DA59}"/>
    <cellStyle name="Calculation 4 2 2 12 2" xfId="28730" xr:uid="{124BBA08-9994-4357-BEA5-394D06ECB388}"/>
    <cellStyle name="Calculation 4 2 2 13" xfId="11089" xr:uid="{8FD6D86F-32C0-4955-ABB5-D4E20013C412}"/>
    <cellStyle name="Calculation 4 2 2 13 2" xfId="28731" xr:uid="{2A0337E0-A69F-4A7C-9AC5-1BB99B9D4E1D}"/>
    <cellStyle name="Calculation 4 2 2 14" xfId="11090" xr:uid="{D3FBE4BD-ED00-4D42-AF90-196541EEB089}"/>
    <cellStyle name="Calculation 4 2 2 14 2" xfId="28732" xr:uid="{2B738CDC-1EFB-4594-9254-D71EBB0F9ED0}"/>
    <cellStyle name="Calculation 4 2 2 15" xfId="28727" xr:uid="{A848E32F-0760-4C85-9B0B-24608514722D}"/>
    <cellStyle name="Calculation 4 2 2 2" xfId="11091" xr:uid="{573FD2FB-EDA7-4220-819C-C477027835E0}"/>
    <cellStyle name="Calculation 4 2 2 2 2" xfId="28733" xr:uid="{5C359658-DC83-4A16-B593-60EDFE11C4C4}"/>
    <cellStyle name="Calculation 4 2 2 3" xfId="11092" xr:uid="{A51EF6A6-E828-43DF-B10A-B3B79677E433}"/>
    <cellStyle name="Calculation 4 2 2 3 2" xfId="28734" xr:uid="{D1CC5B60-EA90-4450-BC24-EEB21D13E120}"/>
    <cellStyle name="Calculation 4 2 2 4" xfId="11093" xr:uid="{F9BFBB1B-E037-42FD-9FF7-C4D8C2AB6D62}"/>
    <cellStyle name="Calculation 4 2 2 4 2" xfId="28735" xr:uid="{D60115C9-9AD0-4A57-8AFA-AE45F47B5F2D}"/>
    <cellStyle name="Calculation 4 2 2 5" xfId="11094" xr:uid="{6E5EF20B-623B-4BD2-B764-47C6A0C1C948}"/>
    <cellStyle name="Calculation 4 2 2 5 2" xfId="28736" xr:uid="{F1916F3D-3DD3-4A51-8C6A-F1686DC80FAE}"/>
    <cellStyle name="Calculation 4 2 2 6" xfId="11095" xr:uid="{37853F4D-F7BC-4424-9740-97390BEEB68C}"/>
    <cellStyle name="Calculation 4 2 2 6 2" xfId="28737" xr:uid="{99E90216-7899-45A1-B99A-B4D17D09F675}"/>
    <cellStyle name="Calculation 4 2 2 7" xfId="11096" xr:uid="{8E85A5B4-C39C-47D6-BC85-C553B2941814}"/>
    <cellStyle name="Calculation 4 2 2 7 2" xfId="28738" xr:uid="{67EF1013-72E5-46F7-83C5-064534DFDBB8}"/>
    <cellStyle name="Calculation 4 2 2 8" xfId="11097" xr:uid="{332D072D-8ABC-4E39-99E6-95D7DCB91AD2}"/>
    <cellStyle name="Calculation 4 2 2 8 2" xfId="28739" xr:uid="{1A1E4860-25D5-4F4E-B662-9B80F58BCFD3}"/>
    <cellStyle name="Calculation 4 2 2 9" xfId="11098" xr:uid="{2A93D215-AEBA-4280-82C3-C82F62999F5F}"/>
    <cellStyle name="Calculation 4 2 2 9 2" xfId="28740" xr:uid="{041FF642-62BF-4B68-8291-E137635E2F30}"/>
    <cellStyle name="Calculation 4 2 3" xfId="11099" xr:uid="{4B07617A-ACCF-4AD4-862D-B7BA30BBD591}"/>
    <cellStyle name="Calculation 4 2 3 2" xfId="28741" xr:uid="{1EFF1C7E-7DE3-41F2-84B7-B3502BA9213B}"/>
    <cellStyle name="Calculation 4 2 4" xfId="11100" xr:uid="{13EFD8D3-BD61-4E59-B860-50DD300D6C37}"/>
    <cellStyle name="Calculation 4 2 4 2" xfId="28742" xr:uid="{95AF711D-2BEF-4A75-A598-E15F1EF20BC9}"/>
    <cellStyle name="Calculation 4 2 5" xfId="11101" xr:uid="{0CBD1F0E-A3F3-43B8-A7BD-D1ECE9470AAB}"/>
    <cellStyle name="Calculation 4 2 5 2" xfId="28743" xr:uid="{4EAE8795-2355-41BE-8C6A-CCE1F26A704D}"/>
    <cellStyle name="Calculation 4 2 6" xfId="11102" xr:uid="{7469D215-F39E-40E4-B3D2-95A15E29DE63}"/>
    <cellStyle name="Calculation 4 2 6 2" xfId="28744" xr:uid="{D194C4A6-6C21-43B5-A398-4071F0FCF3A1}"/>
    <cellStyle name="Calculation 4 2 7" xfId="11103" xr:uid="{BDEBB20C-E365-4B34-848D-6B9C4540D2C2}"/>
    <cellStyle name="Calculation 4 2 7 2" xfId="28745" xr:uid="{3A203FC7-B33F-4277-AB62-664CEA5BF054}"/>
    <cellStyle name="Calculation 4 2 8" xfId="11104" xr:uid="{86C82FCC-875F-4247-9E8C-44182CA3F275}"/>
    <cellStyle name="Calculation 4 2 8 2" xfId="28746" xr:uid="{735C53DF-6FF4-4408-9228-50E1D09B988B}"/>
    <cellStyle name="Calculation 4 2 9" xfId="11105" xr:uid="{983C12F4-1307-48E1-9FBC-E3CABFC68C8B}"/>
    <cellStyle name="Calculation 4 2 9 2" xfId="28747" xr:uid="{A2587632-6018-4205-A38E-2AB704442588}"/>
    <cellStyle name="Calculation 4 20" xfId="11106" xr:uid="{07603CF6-625A-456C-ACFC-EF0F8F852E62}"/>
    <cellStyle name="Calculation 4 20 2" xfId="28748" xr:uid="{9FA645FD-373E-4535-A984-4DC5FD6AE19C}"/>
    <cellStyle name="Calculation 4 21" xfId="11107" xr:uid="{D9014411-4E9F-4947-B984-B3472E3E3945}"/>
    <cellStyle name="Calculation 4 21 2" xfId="28749" xr:uid="{26862CBA-F2C1-48C8-83B8-EA15AD363925}"/>
    <cellStyle name="Calculation 4 22" xfId="11108" xr:uid="{D318FAA6-ACAA-4781-822D-06BCD3E18011}"/>
    <cellStyle name="Calculation 4 22 2" xfId="28750" xr:uid="{0250031E-BBB2-41E9-8519-8D73BCA39EEE}"/>
    <cellStyle name="Calculation 4 23" xfId="28709" xr:uid="{6486B77D-7D70-416B-8167-6D6875CC395F}"/>
    <cellStyle name="Calculation 4 3" xfId="11109" xr:uid="{FF435064-35B6-4CF8-BE3A-55799891199A}"/>
    <cellStyle name="Calculation 4 3 10" xfId="11110" xr:uid="{7D166B3B-7E45-4D1C-87DD-295D256DB57B}"/>
    <cellStyle name="Calculation 4 3 10 2" xfId="28752" xr:uid="{C689C998-BA0E-4CA7-A92F-2EA637F3FE68}"/>
    <cellStyle name="Calculation 4 3 11" xfId="11111" xr:uid="{9C3A1833-0762-4A97-87B4-CEFDB415581F}"/>
    <cellStyle name="Calculation 4 3 11 2" xfId="28753" xr:uid="{270D18AA-035A-4298-B782-A27E301A05A5}"/>
    <cellStyle name="Calculation 4 3 12" xfId="11112" xr:uid="{C0972D4E-4429-491F-8E69-F6C5DE2B9A0F}"/>
    <cellStyle name="Calculation 4 3 12 2" xfId="28754" xr:uid="{FE1A973A-5416-4D54-A4C5-B195CF1DA53D}"/>
    <cellStyle name="Calculation 4 3 13" xfId="11113" xr:uid="{5EFEAC1F-2D4E-42A3-9593-089258936C75}"/>
    <cellStyle name="Calculation 4 3 13 2" xfId="28755" xr:uid="{67BCF31D-5BC9-4BDF-9C58-65CDE01A7E90}"/>
    <cellStyle name="Calculation 4 3 14" xfId="11114" xr:uid="{474C7D8A-B2A0-4853-9312-E4A2ED9E9AB6}"/>
    <cellStyle name="Calculation 4 3 14 2" xfId="28756" xr:uid="{37AAD0E3-B7FB-4C43-9F5C-C1724BA6EBB5}"/>
    <cellStyle name="Calculation 4 3 15" xfId="28751" xr:uid="{D581C20F-BBCB-4AC1-9D39-96C941137651}"/>
    <cellStyle name="Calculation 4 3 2" xfId="11115" xr:uid="{A19D59AF-3837-4B09-9FA4-4D0962A1E011}"/>
    <cellStyle name="Calculation 4 3 2 2" xfId="28757" xr:uid="{48592B80-A6AA-4DCB-8A04-220C3AA83D03}"/>
    <cellStyle name="Calculation 4 3 3" xfId="11116" xr:uid="{D6D74BF5-1E49-4DCD-8DEA-332BFBC7C5B8}"/>
    <cellStyle name="Calculation 4 3 3 2" xfId="28758" xr:uid="{42DE9935-CE36-475B-9EFF-C5D515C47299}"/>
    <cellStyle name="Calculation 4 3 4" xfId="11117" xr:uid="{AE2B0C4E-30BD-4C64-A0DE-5D3C1F2AAFDD}"/>
    <cellStyle name="Calculation 4 3 4 2" xfId="28759" xr:uid="{E053B139-3B76-4F94-9598-622C15DE2B17}"/>
    <cellStyle name="Calculation 4 3 5" xfId="11118" xr:uid="{D0F1E93C-6820-4260-8659-B2C62B16095A}"/>
    <cellStyle name="Calculation 4 3 5 2" xfId="28760" xr:uid="{F5873AAF-9876-42FB-8D1C-95E52A1A78DD}"/>
    <cellStyle name="Calculation 4 3 6" xfId="11119" xr:uid="{C32675A0-5BF8-4992-84C6-C1241AA1F780}"/>
    <cellStyle name="Calculation 4 3 6 2" xfId="28761" xr:uid="{3A629DCE-0D6B-478C-8F9E-13F2C323BEC5}"/>
    <cellStyle name="Calculation 4 3 7" xfId="11120" xr:uid="{AB5FA652-84D7-479D-B8DF-4EC32DF45BBE}"/>
    <cellStyle name="Calculation 4 3 7 2" xfId="28762" xr:uid="{2C17F81A-BA71-4616-996D-8076F7845139}"/>
    <cellStyle name="Calculation 4 3 8" xfId="11121" xr:uid="{516ADBD6-FFCF-41F6-BF54-4D680CB35598}"/>
    <cellStyle name="Calculation 4 3 8 2" xfId="28763" xr:uid="{604D35EA-62F2-4654-B861-F44EA9D91DFC}"/>
    <cellStyle name="Calculation 4 3 9" xfId="11122" xr:uid="{5EE9D7FB-A585-4980-AC66-9A9576B1C039}"/>
    <cellStyle name="Calculation 4 3 9 2" xfId="28764" xr:uid="{D2EB0FB5-31FA-4BD7-8EF4-1616F14F5F62}"/>
    <cellStyle name="Calculation 4 4" xfId="11123" xr:uid="{D29E1408-ABE7-42E7-9FF0-6BD969C67206}"/>
    <cellStyle name="Calculation 4 4 2" xfId="28765" xr:uid="{F102C82C-3A22-47BA-A248-FAE8C575C72D}"/>
    <cellStyle name="Calculation 4 5" xfId="11124" xr:uid="{26D67DCA-BD4A-4F8D-AC39-575838848581}"/>
    <cellStyle name="Calculation 4 5 2" xfId="28766" xr:uid="{BFFD704A-D708-4DE3-B541-D1983CE3E704}"/>
    <cellStyle name="Calculation 4 6" xfId="11125" xr:uid="{090412E3-81A0-4DDA-B86F-862E843C4A20}"/>
    <cellStyle name="Calculation 4 6 2" xfId="28767" xr:uid="{8DE705AD-4AB6-4FD4-9B17-22A261721D27}"/>
    <cellStyle name="Calculation 4 7" xfId="11126" xr:uid="{3528ABD8-3989-4116-BFD5-3CA12D448E33}"/>
    <cellStyle name="Calculation 4 7 2" xfId="28768" xr:uid="{89B581E2-3299-4ACF-A52C-9EA39B9D3370}"/>
    <cellStyle name="Calculation 4 8" xfId="11127" xr:uid="{EF3CE4C7-3504-4925-AD2F-B4BB71898C72}"/>
    <cellStyle name="Calculation 4 8 2" xfId="28769" xr:uid="{59722271-32C1-486F-B0A6-D191565E06B7}"/>
    <cellStyle name="Calculation 4 9" xfId="11128" xr:uid="{95B46FBD-E519-4911-A309-2E257B27B7B4}"/>
    <cellStyle name="Calculation 4 9 2" xfId="28770" xr:uid="{B1F5C266-AA40-4D2C-902E-5B7F72E2D853}"/>
    <cellStyle name="Calculation 5" xfId="11129" xr:uid="{D833E459-6848-4ABD-8039-F671E1C5B621}"/>
    <cellStyle name="Calculation 5 10" xfId="11130" xr:uid="{D2921D2F-2BB5-42E0-A756-AE67E38DDF03}"/>
    <cellStyle name="Calculation 5 10 2" xfId="28772" xr:uid="{A6C8CD60-5F79-46D6-A173-78FB976E7620}"/>
    <cellStyle name="Calculation 5 11" xfId="11131" xr:uid="{C1A24E4F-6113-43A4-85E3-86F5182F342A}"/>
    <cellStyle name="Calculation 5 11 2" xfId="28773" xr:uid="{62DC6A0A-B194-43A4-8828-0C5160153E90}"/>
    <cellStyle name="Calculation 5 12" xfId="11132" xr:uid="{0D2CCCA6-6CC7-409B-AB9D-054F34C844A5}"/>
    <cellStyle name="Calculation 5 12 2" xfId="28774" xr:uid="{0215D040-200C-4D49-A59A-8AFDF0ADD552}"/>
    <cellStyle name="Calculation 5 13" xfId="11133" xr:uid="{DCBD5C56-1FFF-468E-A692-4575EB44AFC4}"/>
    <cellStyle name="Calculation 5 13 2" xfId="28775" xr:uid="{861BAC3D-6A61-4080-B4F9-A1FCC82A0ADE}"/>
    <cellStyle name="Calculation 5 14" xfId="11134" xr:uid="{65E774C5-B3DE-456C-9B33-DFA43C383812}"/>
    <cellStyle name="Calculation 5 14 2" xfId="28776" xr:uid="{44FC14F6-4C56-4084-B6C8-4C57F0E565F3}"/>
    <cellStyle name="Calculation 5 15" xfId="11135" xr:uid="{FD5FE0C2-987B-442D-8FD5-DB20BA5D9ACC}"/>
    <cellStyle name="Calculation 5 15 2" xfId="28777" xr:uid="{67BA553D-27DD-43C7-A681-7870CB31E48A}"/>
    <cellStyle name="Calculation 5 16" xfId="11136" xr:uid="{86EDC694-F382-43ED-850E-65810F92558F}"/>
    <cellStyle name="Calculation 5 16 2" xfId="28778" xr:uid="{D565BFDB-CDB5-477F-B634-DD32ED9A69A1}"/>
    <cellStyle name="Calculation 5 17" xfId="28771" xr:uid="{55F54DBB-BC43-4D19-92AA-0B3FC0ED42E4}"/>
    <cellStyle name="Calculation 5 2" xfId="11137" xr:uid="{017C6E7D-D1F4-487A-B675-4E8F6EA6BA3B}"/>
    <cellStyle name="Calculation 5 2 10" xfId="11138" xr:uid="{24734583-7F9E-4325-99E8-E579766233A9}"/>
    <cellStyle name="Calculation 5 2 10 2" xfId="28780" xr:uid="{34774DF7-6F9D-4F07-AFF5-32C17C9F1746}"/>
    <cellStyle name="Calculation 5 2 11" xfId="11139" xr:uid="{4583EA61-D612-49CD-A333-C0048AD68B79}"/>
    <cellStyle name="Calculation 5 2 11 2" xfId="28781" xr:uid="{11A044D6-64FF-461C-8D88-39F09E9A6588}"/>
    <cellStyle name="Calculation 5 2 12" xfId="11140" xr:uid="{D433B7FC-4A90-43A7-8E07-707DA276AC57}"/>
    <cellStyle name="Calculation 5 2 12 2" xfId="28782" xr:uid="{53EFAAD5-62E0-46E3-B242-1BD822C6A793}"/>
    <cellStyle name="Calculation 5 2 13" xfId="11141" xr:uid="{F8C67EA1-07EA-4AC2-A5AD-3B05A2CF6294}"/>
    <cellStyle name="Calculation 5 2 13 2" xfId="28783" xr:uid="{CCD9B600-BF4D-4F2C-AD66-B2A8825BC460}"/>
    <cellStyle name="Calculation 5 2 14" xfId="11142" xr:uid="{BEE013F5-520B-4458-9A61-4669DC907AB1}"/>
    <cellStyle name="Calculation 5 2 14 2" xfId="28784" xr:uid="{9C9A5A98-55EA-4F31-A391-8DF3A884705A}"/>
    <cellStyle name="Calculation 5 2 15" xfId="28779" xr:uid="{A91B7AC9-8859-4C59-BC7C-3A0B907DB708}"/>
    <cellStyle name="Calculation 5 2 2" xfId="11143" xr:uid="{88302177-0FB1-4B0F-ABB5-1F11DBEB68AB}"/>
    <cellStyle name="Calculation 5 2 2 2" xfId="28785" xr:uid="{359B54B4-5D44-4E7E-AD13-20EE61196E87}"/>
    <cellStyle name="Calculation 5 2 3" xfId="11144" xr:uid="{98426893-07D0-4358-AE99-CB64FDCE93D1}"/>
    <cellStyle name="Calculation 5 2 3 2" xfId="28786" xr:uid="{80D5441A-5077-4E8C-8226-B595C233AA7E}"/>
    <cellStyle name="Calculation 5 2 4" xfId="11145" xr:uid="{7599A726-141B-425F-B15D-F84B345726C7}"/>
    <cellStyle name="Calculation 5 2 4 2" xfId="28787" xr:uid="{34FD7AA6-373F-4944-8122-7796683A901F}"/>
    <cellStyle name="Calculation 5 2 5" xfId="11146" xr:uid="{24F3D730-6367-4C3F-88CF-997F9B31E891}"/>
    <cellStyle name="Calculation 5 2 5 2" xfId="28788" xr:uid="{2ACE2602-22E7-472C-AF0B-86F451D69FFB}"/>
    <cellStyle name="Calculation 5 2 6" xfId="11147" xr:uid="{48B26C3A-4F3D-4E3E-AD73-7DB99C4B2547}"/>
    <cellStyle name="Calculation 5 2 6 2" xfId="28789" xr:uid="{714310CB-2C66-44EE-9D33-2D8C71585C3D}"/>
    <cellStyle name="Calculation 5 2 7" xfId="11148" xr:uid="{0AF13573-5E11-4D53-9EFD-4E8349794EA7}"/>
    <cellStyle name="Calculation 5 2 7 2" xfId="28790" xr:uid="{8AD01034-107E-488E-AB98-AB608B5C0A25}"/>
    <cellStyle name="Calculation 5 2 8" xfId="11149" xr:uid="{C2CED219-2314-44AA-BBD9-1590C6672482}"/>
    <cellStyle name="Calculation 5 2 8 2" xfId="28791" xr:uid="{A11B1415-9D0D-411F-BD1D-B4D39911AE31}"/>
    <cellStyle name="Calculation 5 2 9" xfId="11150" xr:uid="{41198B15-55D0-447A-ADDB-20EB10CD7397}"/>
    <cellStyle name="Calculation 5 2 9 2" xfId="28792" xr:uid="{D5CD87B5-4BFF-4560-9781-7683AA0BB0C9}"/>
    <cellStyle name="Calculation 5 3" xfId="11151" xr:uid="{5D3369B5-4733-4D80-AAB6-1B4EDB68B2D8}"/>
    <cellStyle name="Calculation 5 3 2" xfId="28793" xr:uid="{87EBD261-07C3-4BB9-B6DF-4B617AC7D8D1}"/>
    <cellStyle name="Calculation 5 4" xfId="11152" xr:uid="{E2146A7F-7DBA-4C00-AA72-CC4DA7211AA1}"/>
    <cellStyle name="Calculation 5 4 2" xfId="28794" xr:uid="{FF8C6E6F-D425-4D47-80F0-026647BD54F5}"/>
    <cellStyle name="Calculation 5 5" xfId="11153" xr:uid="{59B5AD3D-657A-4417-81D6-4BF14B1363C9}"/>
    <cellStyle name="Calculation 5 5 2" xfId="28795" xr:uid="{5E4CF0D0-742B-4791-A724-6AFCCF20D85F}"/>
    <cellStyle name="Calculation 5 6" xfId="11154" xr:uid="{1CBB7E1D-4C3F-4ED5-9728-73F83B92B67C}"/>
    <cellStyle name="Calculation 5 6 2" xfId="28796" xr:uid="{7ECA246C-7DB4-41E3-BAB4-8CECAE9D8298}"/>
    <cellStyle name="Calculation 5 7" xfId="11155" xr:uid="{C1F0BE8A-6981-4B3C-95ED-77E0C0103729}"/>
    <cellStyle name="Calculation 5 7 2" xfId="28797" xr:uid="{3279AAA0-EFE1-425D-A616-BB1A822E2095}"/>
    <cellStyle name="Calculation 5 8" xfId="11156" xr:uid="{A5323AF3-2EA6-48F6-9007-28FF4D56017A}"/>
    <cellStyle name="Calculation 5 8 2" xfId="28798" xr:uid="{06AC88A8-1E18-46C5-A984-2665EE9B45ED}"/>
    <cellStyle name="Calculation 5 9" xfId="11157" xr:uid="{C5342B13-697E-4C3A-9C7D-29744EB3F053}"/>
    <cellStyle name="Calculation 5 9 2" xfId="28799" xr:uid="{2A29CDFB-CCB8-4C63-A947-BFF1BD8085E7}"/>
    <cellStyle name="Calculation 6" xfId="11158" xr:uid="{B2EDDAA3-42DF-47AB-81C7-3FD2F83BF550}"/>
    <cellStyle name="Calculation 6 10" xfId="11159" xr:uid="{29089143-FC18-44B3-A97F-C18BBEC941DA}"/>
    <cellStyle name="Calculation 6 10 2" xfId="28801" xr:uid="{4EF18EC4-D294-414E-A378-61DB46408AEB}"/>
    <cellStyle name="Calculation 6 11" xfId="11160" xr:uid="{1567E4A2-846B-4BE4-B8DF-5AD6C884FF96}"/>
    <cellStyle name="Calculation 6 11 2" xfId="28802" xr:uid="{9411C2E0-A4E5-4029-9CF9-2284B0C13160}"/>
    <cellStyle name="Calculation 6 12" xfId="11161" xr:uid="{7F3C3C22-818D-4FB8-A6B2-604E42B4B4BC}"/>
    <cellStyle name="Calculation 6 12 2" xfId="28803" xr:uid="{FD19D8D8-EFAB-42C7-926D-AB6614B4AEFA}"/>
    <cellStyle name="Calculation 6 13" xfId="11162" xr:uid="{DDA58187-8A71-4AF0-B3C3-687ECFE9128E}"/>
    <cellStyle name="Calculation 6 13 2" xfId="28804" xr:uid="{DAF013B7-FE90-4CEE-A03B-7ED29C6BBB0E}"/>
    <cellStyle name="Calculation 6 14" xfId="11163" xr:uid="{79A16F27-461A-4634-8E52-69AA75A348E1}"/>
    <cellStyle name="Calculation 6 14 2" xfId="28805" xr:uid="{5A994E7E-FBF8-489F-85E0-691D21DC8ACC}"/>
    <cellStyle name="Calculation 6 15" xfId="11164" xr:uid="{C0D61CE6-55C2-47D9-B7D5-13A05FBD15D8}"/>
    <cellStyle name="Calculation 6 15 2" xfId="28806" xr:uid="{FA9A74C2-1566-41CB-AFE5-3F58B8BB28EE}"/>
    <cellStyle name="Calculation 6 16" xfId="11165" xr:uid="{4EC36040-2D32-4323-8616-D84BC001EF0E}"/>
    <cellStyle name="Calculation 6 16 2" xfId="28807" xr:uid="{B7D84467-BA05-47E8-ADA8-F2E1ACABAC22}"/>
    <cellStyle name="Calculation 6 17" xfId="28800" xr:uid="{C92CD13B-7A59-4ED7-90AB-98FE7E307650}"/>
    <cellStyle name="Calculation 6 2" xfId="11166" xr:uid="{EF29F13D-8B26-43C6-B6DD-97AD53FF72D4}"/>
    <cellStyle name="Calculation 6 2 10" xfId="11167" xr:uid="{20E928BE-D0EA-4DB8-BCA0-76D8935B7BFE}"/>
    <cellStyle name="Calculation 6 2 10 2" xfId="28809" xr:uid="{F7FE3A19-971E-4A1E-81A1-72339923901F}"/>
    <cellStyle name="Calculation 6 2 11" xfId="11168" xr:uid="{81D4508D-A570-4D65-ABC4-5BA863E857F7}"/>
    <cellStyle name="Calculation 6 2 11 2" xfId="28810" xr:uid="{3C53155E-5AFF-4A7F-BBE5-D8CDA4EAF753}"/>
    <cellStyle name="Calculation 6 2 12" xfId="11169" xr:uid="{A836B577-2F23-4723-AF39-0E97EC7E8C6A}"/>
    <cellStyle name="Calculation 6 2 12 2" xfId="28811" xr:uid="{BF83A748-1162-4F7C-AB7D-D124AD7F162E}"/>
    <cellStyle name="Calculation 6 2 13" xfId="11170" xr:uid="{B2B50FC6-0E98-4485-992E-F4BD5829DAF3}"/>
    <cellStyle name="Calculation 6 2 13 2" xfId="28812" xr:uid="{9B3FAD64-DCC5-40FC-948F-E9A97D6A720D}"/>
    <cellStyle name="Calculation 6 2 14" xfId="11171" xr:uid="{551578DD-6933-4DEC-B941-FD0CA0FA275B}"/>
    <cellStyle name="Calculation 6 2 14 2" xfId="28813" xr:uid="{D88D841E-0284-4C2D-BF83-6437FA016E70}"/>
    <cellStyle name="Calculation 6 2 15" xfId="28808" xr:uid="{52A1CBD7-0DC5-44BE-B1F0-273194C632BF}"/>
    <cellStyle name="Calculation 6 2 2" xfId="11172" xr:uid="{4DCDEFFD-AE02-4F63-93EA-12CF2BBF04D2}"/>
    <cellStyle name="Calculation 6 2 2 2" xfId="28814" xr:uid="{6E5F8A5E-036E-49B6-ADAA-2D7E1A42952D}"/>
    <cellStyle name="Calculation 6 2 3" xfId="11173" xr:uid="{F8B6F678-A1F5-4791-8E1E-0CD077217E7F}"/>
    <cellStyle name="Calculation 6 2 3 2" xfId="28815" xr:uid="{CA4CCD3A-0EC8-4194-AC36-6F6ADD0B8BFB}"/>
    <cellStyle name="Calculation 6 2 4" xfId="11174" xr:uid="{9694889E-F17B-45DE-AA07-69CDBA506FD1}"/>
    <cellStyle name="Calculation 6 2 4 2" xfId="28816" xr:uid="{CFA05E69-BB05-446F-9C70-0786215D18D2}"/>
    <cellStyle name="Calculation 6 2 5" xfId="11175" xr:uid="{41220FD3-6856-4255-8FAE-28D6E1D82247}"/>
    <cellStyle name="Calculation 6 2 5 2" xfId="28817" xr:uid="{66A44029-4241-4CF2-BA3F-F1A7C47C346A}"/>
    <cellStyle name="Calculation 6 2 6" xfId="11176" xr:uid="{5ABE93F6-000C-4E94-B013-471B4E800554}"/>
    <cellStyle name="Calculation 6 2 6 2" xfId="28818" xr:uid="{1823C11D-15F4-479B-BE8F-BCBED28ED9E0}"/>
    <cellStyle name="Calculation 6 2 7" xfId="11177" xr:uid="{82DF7694-A8EA-4E86-AA68-D579AF70E419}"/>
    <cellStyle name="Calculation 6 2 7 2" xfId="28819" xr:uid="{0DBC4DCA-9F0D-4020-86F5-161349DDA8BD}"/>
    <cellStyle name="Calculation 6 2 8" xfId="11178" xr:uid="{BCFAF5FB-BFFF-4DCD-BB81-453D2F942F10}"/>
    <cellStyle name="Calculation 6 2 8 2" xfId="28820" xr:uid="{23D35EF9-CB35-4097-A367-F5B0E85EC4CA}"/>
    <cellStyle name="Calculation 6 2 9" xfId="11179" xr:uid="{1BD01D2C-21BA-4C36-A79B-AE730AA8CD1C}"/>
    <cellStyle name="Calculation 6 2 9 2" xfId="28821" xr:uid="{4AEC1F7F-22F2-4BFB-9BBF-9A0570A04296}"/>
    <cellStyle name="Calculation 6 3" xfId="11180" xr:uid="{F3BEF222-55E0-4DB5-9CBB-71DEF7219065}"/>
    <cellStyle name="Calculation 6 3 2" xfId="28822" xr:uid="{B9440138-28C5-4AB2-AEA4-5C08A1A68CCD}"/>
    <cellStyle name="Calculation 6 4" xfId="11181" xr:uid="{6414A141-7C9B-4C08-8925-07BF4117CCC3}"/>
    <cellStyle name="Calculation 6 4 2" xfId="28823" xr:uid="{77879C75-39A2-4056-BB72-F4F77BA7FD93}"/>
    <cellStyle name="Calculation 6 5" xfId="11182" xr:uid="{99459551-2ED2-4B15-BBE3-F18A43C0E222}"/>
    <cellStyle name="Calculation 6 5 2" xfId="28824" xr:uid="{6796BEED-E9E4-4F41-9660-499CDF64073F}"/>
    <cellStyle name="Calculation 6 6" xfId="11183" xr:uid="{65558763-2538-4A87-A51E-12651FDC2AAB}"/>
    <cellStyle name="Calculation 6 6 2" xfId="28825" xr:uid="{5DBFD2D5-03C4-478E-8BA5-8319A9715AA7}"/>
    <cellStyle name="Calculation 6 7" xfId="11184" xr:uid="{9D736CDE-9226-44A7-BAE5-C2CC3E02072A}"/>
    <cellStyle name="Calculation 6 7 2" xfId="28826" xr:uid="{D5F9CA1F-CB94-423D-AB15-42E85206AE0A}"/>
    <cellStyle name="Calculation 6 8" xfId="11185" xr:uid="{4E2744B9-EF23-440D-9A27-AEDAEA4604A6}"/>
    <cellStyle name="Calculation 6 8 2" xfId="28827" xr:uid="{BF414DD9-BCA8-475B-9D4E-404CDC1F7EF9}"/>
    <cellStyle name="Calculation 6 9" xfId="11186" xr:uid="{C1A7E38B-9EB3-465D-AF22-A04AE2806D6F}"/>
    <cellStyle name="Calculation 6 9 2" xfId="28828" xr:uid="{EF4BCEF2-B976-4861-BEBB-2AEF8835A497}"/>
    <cellStyle name="Calculation 7" xfId="11187" xr:uid="{36C687C6-FFDC-4D69-9B9C-FAFF1C20A2A1}"/>
    <cellStyle name="Calculation 7 10" xfId="11188" xr:uid="{659FCCE0-CB6A-4202-8620-F6079C234B45}"/>
    <cellStyle name="Calculation 7 10 2" xfId="28830" xr:uid="{3773F3E0-CF21-4E39-A448-20A59C87E741}"/>
    <cellStyle name="Calculation 7 11" xfId="11189" xr:uid="{43F27765-83B1-4808-9487-A0693FC86C15}"/>
    <cellStyle name="Calculation 7 11 2" xfId="28831" xr:uid="{F2975F5F-1950-4114-8F17-73218B23FFAE}"/>
    <cellStyle name="Calculation 7 12" xfId="11190" xr:uid="{C56BAF14-351A-4A36-A704-DAAA56232604}"/>
    <cellStyle name="Calculation 7 12 2" xfId="28832" xr:uid="{0215C355-C0D7-4240-BC01-0AA6463C0B51}"/>
    <cellStyle name="Calculation 7 13" xfId="11191" xr:uid="{0AE2CA7E-E2CE-478C-A7C4-B18E00791143}"/>
    <cellStyle name="Calculation 7 13 2" xfId="28833" xr:uid="{5D1CC700-DF55-4DD4-B2D4-0A010DCF899E}"/>
    <cellStyle name="Calculation 7 14" xfId="11192" xr:uid="{EAF63E8B-35E8-48F6-BE24-328D743E510F}"/>
    <cellStyle name="Calculation 7 14 2" xfId="28834" xr:uid="{1888ADCD-1B64-4FA7-A19A-B682A66B0A57}"/>
    <cellStyle name="Calculation 7 15" xfId="28829" xr:uid="{787D5664-1925-4900-A854-45CB81D44829}"/>
    <cellStyle name="Calculation 7 2" xfId="11193" xr:uid="{7542093F-B9D7-49CE-85FE-CFBA465F19C1}"/>
    <cellStyle name="Calculation 7 2 2" xfId="28835" xr:uid="{7BA3D3AE-5136-4462-9A7D-3EE04DD460F0}"/>
    <cellStyle name="Calculation 7 3" xfId="11194" xr:uid="{D0422B51-901B-4EC1-8875-95D36447A7D5}"/>
    <cellStyle name="Calculation 7 3 2" xfId="28836" xr:uid="{966A35D9-FFA2-44EF-BCF1-30E98F54F1E0}"/>
    <cellStyle name="Calculation 7 4" xfId="11195" xr:uid="{EB375F0D-DBD3-4251-B806-AA96DE02E7E1}"/>
    <cellStyle name="Calculation 7 4 2" xfId="28837" xr:uid="{F82F9C65-8ED6-439D-9B0A-3E11E505BC1A}"/>
    <cellStyle name="Calculation 7 5" xfId="11196" xr:uid="{65609B18-FC87-4BF4-81A9-15D3A4A3CED3}"/>
    <cellStyle name="Calculation 7 5 2" xfId="28838" xr:uid="{17D82D48-26B8-4148-BDC6-8DA09F1095A2}"/>
    <cellStyle name="Calculation 7 6" xfId="11197" xr:uid="{B97EDF82-BA65-48BA-9A32-16BA39A639A4}"/>
    <cellStyle name="Calculation 7 6 2" xfId="28839" xr:uid="{A5B9D5E8-AFC9-4A30-88CA-FC5008572E52}"/>
    <cellStyle name="Calculation 7 7" xfId="11198" xr:uid="{BA3CABE2-FD5A-480B-8F66-7153190F7E1F}"/>
    <cellStyle name="Calculation 7 7 2" xfId="28840" xr:uid="{337A039E-1455-41D6-9DC0-5057A61CD893}"/>
    <cellStyle name="Calculation 7 8" xfId="11199" xr:uid="{9EEC5BCC-F278-45D9-AE5D-340A2945AC5F}"/>
    <cellStyle name="Calculation 7 8 2" xfId="28841" xr:uid="{1A77C267-0C88-4A69-80B8-F642205EBA0C}"/>
    <cellStyle name="Calculation 7 9" xfId="11200" xr:uid="{9816E32E-4917-4025-8B2A-91EBD8033B0D}"/>
    <cellStyle name="Calculation 7 9 2" xfId="28842" xr:uid="{277EA0CC-BFBA-415C-AB2B-2338B13A3739}"/>
    <cellStyle name="Calculation 8" xfId="11201" xr:uid="{01506F17-4740-490C-A873-3B120426AA5C}"/>
    <cellStyle name="Calculation 8 2" xfId="28843" xr:uid="{6B554381-B2EC-452E-AFDB-458950F2986A}"/>
    <cellStyle name="Calculation 9" xfId="11202" xr:uid="{0D02CA5B-B83C-4117-A52C-9469927EB632}"/>
    <cellStyle name="Calculation 9 2" xfId="28844" xr:uid="{8F971EB7-260F-4C60-9D10-A67B3D796063}"/>
    <cellStyle name="Cálculo" xfId="11203" xr:uid="{E710BA8E-FE51-4BBA-8371-012F046EF07D}"/>
    <cellStyle name="Cálculo 10" xfId="11204" xr:uid="{34C8EC17-A330-4D7D-BA5F-7CDF90F33276}"/>
    <cellStyle name="Cálculo 10 2" xfId="28846" xr:uid="{015771B1-E83C-49A3-8EAC-CF212BF4021A}"/>
    <cellStyle name="Cálculo 11" xfId="11205" xr:uid="{69415CBC-C610-4F87-9E8F-4B2538170502}"/>
    <cellStyle name="Cálculo 11 2" xfId="28847" xr:uid="{6B76F9D5-3953-4CFD-8BD9-C0BB84233A84}"/>
    <cellStyle name="Cálculo 12" xfId="11206" xr:uid="{169A26DA-0BE0-4025-B046-C97222C7ADB8}"/>
    <cellStyle name="Cálculo 12 2" xfId="28848" xr:uid="{BE5D2170-4795-47D4-95C0-20DCECE09C8B}"/>
    <cellStyle name="Cálculo 13" xfId="11207" xr:uid="{B692A735-F465-4F05-B971-5377E8FBA8C2}"/>
    <cellStyle name="Cálculo 13 2" xfId="28849" xr:uid="{54944300-ED5C-4BAC-99D8-96F04D9FA48E}"/>
    <cellStyle name="Cálculo 14" xfId="11208" xr:uid="{E0AFA29B-A9B8-4698-9274-A72738C47384}"/>
    <cellStyle name="Cálculo 14 2" xfId="28850" xr:uid="{1838B5E7-D54F-4266-B644-64DBD9CDB67B}"/>
    <cellStyle name="Cálculo 15" xfId="11209" xr:uid="{A96042BD-12E0-4583-B073-90CA16805BDD}"/>
    <cellStyle name="Cálculo 15 2" xfId="28851" xr:uid="{9A9CF8E5-1179-4424-B20D-E6BDDDB7D36A}"/>
    <cellStyle name="Cálculo 16" xfId="11210" xr:uid="{515839B3-B411-4966-98B4-7097DCD0C8AB}"/>
    <cellStyle name="Cálculo 16 2" xfId="28852" xr:uid="{595D5561-43B9-479D-B920-C9AB576ECC37}"/>
    <cellStyle name="Cálculo 17" xfId="11211" xr:uid="{B9EE4ED7-4153-4E5A-9037-CBA6EBD5F3A5}"/>
    <cellStyle name="Cálculo 17 2" xfId="28853" xr:uid="{F0CB9C01-97ED-4A08-B3E2-1D63CD6DFD75}"/>
    <cellStyle name="Cálculo 18" xfId="28845" xr:uid="{6607D677-276B-4460-8F53-EF75BE874582}"/>
    <cellStyle name="Cálculo 2" xfId="11212" xr:uid="{463808B7-1DAC-456D-93A1-16C50DB55C25}"/>
    <cellStyle name="Cálculo 2 10" xfId="11213" xr:uid="{A2B544B1-96E7-42C7-B972-576AD74C3502}"/>
    <cellStyle name="Cálculo 2 10 2" xfId="28855" xr:uid="{9CF34AFC-400A-446A-B7C1-65EA68088774}"/>
    <cellStyle name="Cálculo 2 11" xfId="11214" xr:uid="{C4D1DF0B-65B9-4E22-96A2-937E7DB7EC44}"/>
    <cellStyle name="Cálculo 2 11 2" xfId="28856" xr:uid="{92AA51ED-CACC-47ED-90A8-BCD56590F04D}"/>
    <cellStyle name="Cálculo 2 12" xfId="11215" xr:uid="{C7F25523-E939-4F17-82CA-40FF61C8211A}"/>
    <cellStyle name="Cálculo 2 12 2" xfId="28857" xr:uid="{695FC0AC-AE94-4E3D-8FD4-F98C70EEB847}"/>
    <cellStyle name="Cálculo 2 13" xfId="11216" xr:uid="{8D6E9BD7-7CB6-47B5-9C5C-D0AAFE62E2ED}"/>
    <cellStyle name="Cálculo 2 13 2" xfId="28858" xr:uid="{BF17A3CD-4E36-4244-A585-F28DB7714697}"/>
    <cellStyle name="Cálculo 2 14" xfId="11217" xr:uid="{169133A4-989D-4194-80B1-AD28D9A6FD94}"/>
    <cellStyle name="Cálculo 2 14 2" xfId="28859" xr:uid="{908BDB2B-D859-4EFA-9596-B5175D737223}"/>
    <cellStyle name="Cálculo 2 15" xfId="11218" xr:uid="{095C4E0D-4348-46BD-A9B4-5585321B9979}"/>
    <cellStyle name="Cálculo 2 15 2" xfId="28860" xr:uid="{033C8E70-0630-4A5A-99B5-17BA03FB6176}"/>
    <cellStyle name="Cálculo 2 16" xfId="11219" xr:uid="{B4887354-F7E9-4F3E-804D-6CAC86F2C34E}"/>
    <cellStyle name="Cálculo 2 16 2" xfId="28861" xr:uid="{F9FF9F83-7D68-4426-B379-951D6F11CEC1}"/>
    <cellStyle name="Cálculo 2 17" xfId="28854" xr:uid="{46F9BB26-6E79-4DEF-B69B-EF13E8C27790}"/>
    <cellStyle name="Cálculo 2 2" xfId="11220" xr:uid="{9719C68E-DCFE-4162-B4AA-42F2E1319ED5}"/>
    <cellStyle name="Cálculo 2 2 10" xfId="11221" xr:uid="{5B4D1344-4FD6-4DBA-9693-B39ED3E55ADD}"/>
    <cellStyle name="Cálculo 2 2 10 2" xfId="28863" xr:uid="{94666A29-FFFF-4B16-A65F-951B37D50CF0}"/>
    <cellStyle name="Cálculo 2 2 11" xfId="11222" xr:uid="{B8E0CB50-2364-490D-AF6E-101AD0F35871}"/>
    <cellStyle name="Cálculo 2 2 11 2" xfId="28864" xr:uid="{455A390E-CA00-4D83-B823-AA8E1DCDEF21}"/>
    <cellStyle name="Cálculo 2 2 12" xfId="11223" xr:uid="{D798DB2F-5F1F-48B1-8262-3D55E184B78F}"/>
    <cellStyle name="Cálculo 2 2 12 2" xfId="28865" xr:uid="{9FE5277E-06B0-469C-AF61-55439CCA27B3}"/>
    <cellStyle name="Cálculo 2 2 13" xfId="11224" xr:uid="{E2174F2D-C331-4CAC-ADEF-67C14A3CDC8B}"/>
    <cellStyle name="Cálculo 2 2 13 2" xfId="28866" xr:uid="{A9A5B11F-D87E-4059-A843-E786B7BF4B65}"/>
    <cellStyle name="Cálculo 2 2 14" xfId="11225" xr:uid="{19FCA7C3-F36B-4CB0-8FEA-3F1D5BEAE9CD}"/>
    <cellStyle name="Cálculo 2 2 14 2" xfId="28867" xr:uid="{608A1C31-2BEE-40AC-915E-1E52E0A4ABED}"/>
    <cellStyle name="Cálculo 2 2 15" xfId="28862" xr:uid="{CFB80DED-7E12-429F-B6A6-CE3B399CEF48}"/>
    <cellStyle name="Cálculo 2 2 2" xfId="11226" xr:uid="{951442E5-867E-4975-9D00-C76A7DCD7D05}"/>
    <cellStyle name="Cálculo 2 2 2 2" xfId="28868" xr:uid="{5FF98FCA-F505-44D7-AA0D-F0F95455005D}"/>
    <cellStyle name="Cálculo 2 2 3" xfId="11227" xr:uid="{8D776345-865B-46E9-A29B-24676533CD8F}"/>
    <cellStyle name="Cálculo 2 2 3 2" xfId="28869" xr:uid="{0BF4896F-C521-4BBB-B6D8-4DF66D1B4B38}"/>
    <cellStyle name="Cálculo 2 2 4" xfId="11228" xr:uid="{34E0BAE4-E55E-40A3-9F06-597FD72F74AB}"/>
    <cellStyle name="Cálculo 2 2 4 2" xfId="28870" xr:uid="{C4EC9D4A-9630-45CE-B1F6-1809745A4BFD}"/>
    <cellStyle name="Cálculo 2 2 5" xfId="11229" xr:uid="{B6D2778B-D1B2-4894-9848-7EE3A2E8B94E}"/>
    <cellStyle name="Cálculo 2 2 5 2" xfId="28871" xr:uid="{25F11A33-DC0D-43F9-9515-DB29B4B5E261}"/>
    <cellStyle name="Cálculo 2 2 6" xfId="11230" xr:uid="{C2F7898F-DC3E-41A3-B4E8-D5D44E40A283}"/>
    <cellStyle name="Cálculo 2 2 6 2" xfId="28872" xr:uid="{0F8EF45C-65CE-43A6-8794-37897C2E5DC6}"/>
    <cellStyle name="Cálculo 2 2 7" xfId="11231" xr:uid="{33B8C219-A29D-4C5D-AB33-A6F4E4A626A9}"/>
    <cellStyle name="Cálculo 2 2 7 2" xfId="28873" xr:uid="{C86E43C8-8914-4B97-80C5-C92D57FAF2FF}"/>
    <cellStyle name="Cálculo 2 2 8" xfId="11232" xr:uid="{CAA5CBA6-A976-4522-8B07-5CA782A9161F}"/>
    <cellStyle name="Cálculo 2 2 8 2" xfId="28874" xr:uid="{0B137840-4E83-400E-BBFD-FA2B0B093516}"/>
    <cellStyle name="Cálculo 2 2 9" xfId="11233" xr:uid="{C36057EE-2789-453E-B744-118FFCC91C72}"/>
    <cellStyle name="Cálculo 2 2 9 2" xfId="28875" xr:uid="{B7EB20F6-75CF-4DDA-ADC0-BEE4E6AE77EA}"/>
    <cellStyle name="Cálculo 2 3" xfId="11234" xr:uid="{A389DBF9-2394-4F4D-9E1B-E1A82F75506D}"/>
    <cellStyle name="Cálculo 2 3 2" xfId="28876" xr:uid="{D1CAFDAC-1102-4BC9-86D6-BE9E3846992B}"/>
    <cellStyle name="Cálculo 2 4" xfId="11235" xr:uid="{F15D3C93-D067-498B-9DF8-B64449F9DB67}"/>
    <cellStyle name="Cálculo 2 4 2" xfId="28877" xr:uid="{0D1A11BC-569F-48AB-BD18-1C960C9D7B06}"/>
    <cellStyle name="Cálculo 2 5" xfId="11236" xr:uid="{4CA6513C-4084-436F-9E35-4ADEC5832499}"/>
    <cellStyle name="Cálculo 2 5 2" xfId="28878" xr:uid="{F570F8BD-0E88-400A-A481-5D4A765A9343}"/>
    <cellStyle name="Cálculo 2 6" xfId="11237" xr:uid="{BCCCF4E8-A953-44CE-8C12-0F271E896175}"/>
    <cellStyle name="Cálculo 2 6 2" xfId="28879" xr:uid="{BAF649D7-2672-451B-A75D-D22544B86E75}"/>
    <cellStyle name="Cálculo 2 7" xfId="11238" xr:uid="{5BA26F2F-F66C-4E4E-8531-85CBD0A0CD51}"/>
    <cellStyle name="Cálculo 2 7 2" xfId="28880" xr:uid="{3D80FC06-2317-420D-BFC8-94EA5A5103CC}"/>
    <cellStyle name="Cálculo 2 8" xfId="11239" xr:uid="{45E89B03-0F26-45FB-9B26-5D01A88D1FFE}"/>
    <cellStyle name="Cálculo 2 8 2" xfId="28881" xr:uid="{BFD851FD-81F2-4399-AADC-E124D38438DC}"/>
    <cellStyle name="Cálculo 2 9" xfId="11240" xr:uid="{EE632C5B-5A16-41B4-A816-4E8BCFBA4588}"/>
    <cellStyle name="Cálculo 2 9 2" xfId="28882" xr:uid="{4B5E79ED-DBC6-44F9-8534-4F945FC55D85}"/>
    <cellStyle name="Cálculo 3" xfId="11241" xr:uid="{197AE13B-24DD-4C40-90B8-011AE0B9ADCD}"/>
    <cellStyle name="Cálculo 3 10" xfId="11242" xr:uid="{4562120F-91C8-46A1-876A-C22E657E7004}"/>
    <cellStyle name="Cálculo 3 10 2" xfId="28884" xr:uid="{983234D1-CA3C-40BD-85D5-3BEEA1254716}"/>
    <cellStyle name="Cálculo 3 11" xfId="11243" xr:uid="{B5760ECA-79A0-45D1-9A1C-3FCE3AD5E0D2}"/>
    <cellStyle name="Cálculo 3 11 2" xfId="28885" xr:uid="{473FF33E-BE1A-452F-9C6D-AC342D7369A7}"/>
    <cellStyle name="Cálculo 3 12" xfId="11244" xr:uid="{943E9F64-672D-41CB-829F-F7DEA92F0FD5}"/>
    <cellStyle name="Cálculo 3 12 2" xfId="28886" xr:uid="{0DC4AF10-7FA7-4D37-A76C-BD8FFCCA5E54}"/>
    <cellStyle name="Cálculo 3 13" xfId="11245" xr:uid="{99F08AAE-BD13-4A2D-A323-9D9E1064AB19}"/>
    <cellStyle name="Cálculo 3 13 2" xfId="28887" xr:uid="{91CA4D44-0A3A-40AF-8AED-1F0FA690037C}"/>
    <cellStyle name="Cálculo 3 14" xfId="11246" xr:uid="{6CE4C51A-2CB0-4EF7-9655-49AEBC6E8051}"/>
    <cellStyle name="Cálculo 3 14 2" xfId="28888" xr:uid="{062DF8F9-1741-4259-8C6B-79878A14028A}"/>
    <cellStyle name="Cálculo 3 15" xfId="28883" xr:uid="{66CA0967-1FC2-4DC5-9102-E4EC047FC9A5}"/>
    <cellStyle name="Cálculo 3 2" xfId="11247" xr:uid="{0264DE12-C7AA-4FFD-A68B-ADC14B15EFD2}"/>
    <cellStyle name="Cálculo 3 2 2" xfId="28889" xr:uid="{092B5F22-AED3-4E97-B2F2-A1B385AD0469}"/>
    <cellStyle name="Cálculo 3 3" xfId="11248" xr:uid="{EBDB3397-9B2B-480C-A5BD-BA9582F78A99}"/>
    <cellStyle name="Cálculo 3 3 2" xfId="28890" xr:uid="{968E5CDB-90DC-4564-B505-612384749BD3}"/>
    <cellStyle name="Cálculo 3 4" xfId="11249" xr:uid="{324A2C38-FC00-469B-87D1-7A64669F002F}"/>
    <cellStyle name="Cálculo 3 4 2" xfId="28891" xr:uid="{77D7FD1B-E9DF-44AD-894A-51215024E056}"/>
    <cellStyle name="Cálculo 3 5" xfId="11250" xr:uid="{1E1AA578-5D30-4B79-8929-9C10E9CEEBE0}"/>
    <cellStyle name="Cálculo 3 5 2" xfId="28892" xr:uid="{AF14A8A6-DE9E-4930-B4D4-1A577FFDB9B4}"/>
    <cellStyle name="Cálculo 3 6" xfId="11251" xr:uid="{912FF1F1-36D0-41AE-B66C-D5311085A29F}"/>
    <cellStyle name="Cálculo 3 6 2" xfId="28893" xr:uid="{DC0E2CB3-4A8B-4A29-B151-2417427C524F}"/>
    <cellStyle name="Cálculo 3 7" xfId="11252" xr:uid="{67410D31-B13B-4452-933A-D0DF5CBD8CBB}"/>
    <cellStyle name="Cálculo 3 7 2" xfId="28894" xr:uid="{20D05330-BEE6-40EB-8B7F-910E1DD86531}"/>
    <cellStyle name="Cálculo 3 8" xfId="11253" xr:uid="{7F02E519-9C95-482A-865F-D39788E39079}"/>
    <cellStyle name="Cálculo 3 8 2" xfId="28895" xr:uid="{7735CB01-D849-4F2B-96FF-21A4F8F32970}"/>
    <cellStyle name="Cálculo 3 9" xfId="11254" xr:uid="{BCF388A8-422A-4329-A0D4-0B6754580B68}"/>
    <cellStyle name="Cálculo 3 9 2" xfId="28896" xr:uid="{A753D107-8346-4FDE-B743-02E8FB98F81C}"/>
    <cellStyle name="Cálculo 4" xfId="11255" xr:uid="{9E36D4EF-56BB-4FFD-9E15-D023785D8A9E}"/>
    <cellStyle name="Cálculo 4 2" xfId="28897" xr:uid="{C123FE27-3447-4D91-A022-CD25F66DF47D}"/>
    <cellStyle name="Cálculo 5" xfId="11256" xr:uid="{940BE4D8-D0EF-4097-B549-C6F7406DF636}"/>
    <cellStyle name="Cálculo 5 2" xfId="28898" xr:uid="{508614B9-9BDE-427E-A76E-7B9643194994}"/>
    <cellStyle name="Cálculo 6" xfId="11257" xr:uid="{E7E42D62-9120-484F-9C1B-719A1185CBCE}"/>
    <cellStyle name="Cálculo 6 2" xfId="28899" xr:uid="{7995BAEB-2D63-4E50-BC27-7567EBDEF6A1}"/>
    <cellStyle name="Cálculo 7" xfId="11258" xr:uid="{545E2337-0542-4AF3-9717-9D6A253743F1}"/>
    <cellStyle name="Cálculo 7 2" xfId="28900" xr:uid="{69A73520-D47B-4B90-8E54-07F8C55C1C32}"/>
    <cellStyle name="Cálculo 8" xfId="11259" xr:uid="{3867A955-645D-4531-8950-F1922C1F6A73}"/>
    <cellStyle name="Cálculo 8 2" xfId="28901" xr:uid="{F2F873C2-5C85-487C-BE14-2E012F0D9033}"/>
    <cellStyle name="Cálculo 9" xfId="11260" xr:uid="{FDB3D1CB-6FAE-47C8-9752-9F1EF50D3C2D}"/>
    <cellStyle name="Cálculo 9 2" xfId="28902" xr:uid="{5EEE1383-978D-49EE-9217-61747763DF10}"/>
    <cellStyle name="cat_number" xfId="11261" xr:uid="{1CA437D0-E5A7-4FAD-A780-EC2DDB94C73C}"/>
    <cellStyle name="Categorie1" xfId="11262" xr:uid="{2DEC7AA6-C97E-4B34-A744-1A84EF21D123}"/>
    <cellStyle name="Categorie1 10" xfId="11263" xr:uid="{0FB821FA-B020-4E98-B5AF-1FEBA710FEDF}"/>
    <cellStyle name="Categorie1 10 2" xfId="28904" xr:uid="{42A3C21B-DEFB-47A9-8F7F-F96F79A06A7C}"/>
    <cellStyle name="Categorie1 11" xfId="11264" xr:uid="{95A6546F-DCE6-4D9F-8B50-690BA032B96B}"/>
    <cellStyle name="Categorie1 11 2" xfId="28905" xr:uid="{0CAA11B8-D517-43E6-899B-D1245CA80418}"/>
    <cellStyle name="Categorie1 12" xfId="11265" xr:uid="{B88AC5C4-0710-4427-9BAD-19DD60719EBA}"/>
    <cellStyle name="Categorie1 12 2" xfId="28906" xr:uid="{36A3DFA2-3079-41AF-AC63-DCF461894B4B}"/>
    <cellStyle name="Categorie1 13" xfId="11266" xr:uid="{A3E828E2-2A1F-4473-9721-84BF4C8BE6C6}"/>
    <cellStyle name="Categorie1 13 2" xfId="28907" xr:uid="{0843E2DD-D13B-465C-8A07-A7A0705B503B}"/>
    <cellStyle name="Categorie1 14" xfId="11267" xr:uid="{7C77528A-46EF-4F5B-AB46-AD7C91FF0862}"/>
    <cellStyle name="Categorie1 14 2" xfId="28908" xr:uid="{F983E22F-D5B9-43EF-B10C-7A2546627C7D}"/>
    <cellStyle name="Categorie1 15" xfId="11268" xr:uid="{322EA610-0ACB-41F8-8860-AD6ED2112EE9}"/>
    <cellStyle name="Categorie1 15 2" xfId="28909" xr:uid="{A5989818-6857-4059-8F39-A059875B0D24}"/>
    <cellStyle name="Categorie1 16" xfId="11269" xr:uid="{0DCA0599-A6AE-4D19-93EE-1C15FCE43692}"/>
    <cellStyle name="Categorie1 16 2" xfId="28910" xr:uid="{5A14F1AF-5D5E-43AC-955D-22FD64BB84A6}"/>
    <cellStyle name="Categorie1 17" xfId="11270" xr:uid="{2CD55976-95DE-46A9-8E26-AA8E918E0D56}"/>
    <cellStyle name="Categorie1 17 2" xfId="28911" xr:uid="{F9176BB4-C222-4A9E-B6D4-BF7514A6198C}"/>
    <cellStyle name="Categorie1 18" xfId="11271" xr:uid="{492CB958-C15F-4DD9-9D02-2D8A3910409C}"/>
    <cellStyle name="Categorie1 18 2" xfId="28912" xr:uid="{7A4629BE-8585-4667-9AEA-2E5D0CCD0FFD}"/>
    <cellStyle name="Categorie1 19" xfId="28903" xr:uid="{C2B10615-3CDB-421C-AF1C-E4166D8B4EBA}"/>
    <cellStyle name="Categorie1 2" xfId="11272" xr:uid="{232DE904-76C7-4A59-B261-0AEDEB079E12}"/>
    <cellStyle name="Categorie1 2 10" xfId="11273" xr:uid="{2E370384-8AC9-4126-9E91-87FEAF9DF2E9}"/>
    <cellStyle name="Categorie1 2 10 2" xfId="28914" xr:uid="{50A30998-9C06-4276-BF22-900E40073203}"/>
    <cellStyle name="Categorie1 2 11" xfId="11274" xr:uid="{0FF4B780-A8AA-47A3-9F0B-EB6738E99A4D}"/>
    <cellStyle name="Categorie1 2 11 2" xfId="28915" xr:uid="{69139747-E057-4F45-A0A6-3A7B1AB16ABF}"/>
    <cellStyle name="Categorie1 2 12" xfId="11275" xr:uid="{0BBD9D0D-38DB-4D46-B6A5-BA4D05C33DB2}"/>
    <cellStyle name="Categorie1 2 12 2" xfId="28916" xr:uid="{8A7BC9BA-566B-4A0B-A3F4-3FEDB61F25C1}"/>
    <cellStyle name="Categorie1 2 13" xfId="11276" xr:uid="{7C4A755C-B50E-46B8-82A5-BE9D1DD46D33}"/>
    <cellStyle name="Categorie1 2 13 2" xfId="28917" xr:uid="{43A14B64-CE35-4FCE-BD0D-E708DE987389}"/>
    <cellStyle name="Categorie1 2 14" xfId="11277" xr:uid="{05F8D4EE-B914-4B1A-935D-1EC61ECBC30A}"/>
    <cellStyle name="Categorie1 2 14 2" xfId="28918" xr:uid="{512C5D57-A093-467D-94E3-E138D10A2501}"/>
    <cellStyle name="Categorie1 2 15" xfId="11278" xr:uid="{CBEF9CF4-5EEF-4413-B4D9-35B3B9985BC9}"/>
    <cellStyle name="Categorie1 2 15 2" xfId="28919" xr:uid="{69485ACA-022A-476E-AFFB-8D3F1D039DFA}"/>
    <cellStyle name="Categorie1 2 16" xfId="11279" xr:uid="{33944DEC-9926-4C78-ACF2-041C920C177A}"/>
    <cellStyle name="Categorie1 2 16 2" xfId="28920" xr:uid="{47D6B571-8725-4219-8B4A-41AF6D7C3F61}"/>
    <cellStyle name="Categorie1 2 17" xfId="11280" xr:uid="{C64ACA2F-BD62-498F-8998-801C94322F75}"/>
    <cellStyle name="Categorie1 2 17 2" xfId="28921" xr:uid="{D3C84CBC-D88E-43F2-B520-B1C136D98C22}"/>
    <cellStyle name="Categorie1 2 18" xfId="11281" xr:uid="{37F04471-23D6-4339-A295-9381D95979E1}"/>
    <cellStyle name="Categorie1 2 18 2" xfId="28922" xr:uid="{5116591C-ADA2-48FE-8913-9C478AC6BF22}"/>
    <cellStyle name="Categorie1 2 19" xfId="28913" xr:uid="{B1A003AA-A06A-44E4-9066-A226750C61E7}"/>
    <cellStyle name="Categorie1 2 2" xfId="11282" xr:uid="{7F1765B2-19BC-415D-924E-0867258E0639}"/>
    <cellStyle name="Categorie1 2 2 10" xfId="11283" xr:uid="{269E1C7C-0CD3-458A-BA85-3FB5E449B7DC}"/>
    <cellStyle name="Categorie1 2 2 10 2" xfId="28924" xr:uid="{3AD5136C-1652-4020-80CB-38F722819D30}"/>
    <cellStyle name="Categorie1 2 2 11" xfId="28923" xr:uid="{DFA88314-E529-4B6F-9363-C3D608165AAA}"/>
    <cellStyle name="Categorie1 2 2 2" xfId="11284" xr:uid="{9D682800-27B0-4722-B1C5-01B9EED80367}"/>
    <cellStyle name="Categorie1 2 2 2 2" xfId="28925" xr:uid="{1803B342-1C7D-428C-99EA-31613D1C793A}"/>
    <cellStyle name="Categorie1 2 2 3" xfId="11285" xr:uid="{4E767065-A6D7-43F0-8EF0-E73FF23741A4}"/>
    <cellStyle name="Categorie1 2 2 3 2" xfId="28926" xr:uid="{C2B799A6-9C1F-4D75-892F-69F8E74B8FDB}"/>
    <cellStyle name="Categorie1 2 2 4" xfId="11286" xr:uid="{9450061A-F473-4AC1-9A5E-66ACC66AB617}"/>
    <cellStyle name="Categorie1 2 2 4 2" xfId="28927" xr:uid="{CBB68028-83AE-4030-B81D-62F0D5FB0190}"/>
    <cellStyle name="Categorie1 2 2 5" xfId="11287" xr:uid="{CE1067D4-1B16-4F1F-B409-A48169A5FD8B}"/>
    <cellStyle name="Categorie1 2 2 5 2" xfId="28928" xr:uid="{9E9726A6-A44D-479E-BE94-01B9E30D906F}"/>
    <cellStyle name="Categorie1 2 2 6" xfId="11288" xr:uid="{F0648002-FA21-454D-AE5C-390E291578A8}"/>
    <cellStyle name="Categorie1 2 2 6 2" xfId="28929" xr:uid="{22049523-B001-463C-9ED3-1FF90D542822}"/>
    <cellStyle name="Categorie1 2 2 7" xfId="11289" xr:uid="{6BD5CBD5-E1D4-456F-BC17-27B513915334}"/>
    <cellStyle name="Categorie1 2 2 7 2" xfId="28930" xr:uid="{60DE69D5-8513-4BB8-848E-DFE6901B6986}"/>
    <cellStyle name="Categorie1 2 2 8" xfId="11290" xr:uid="{C4989383-FB23-46D7-A095-E82456402FCC}"/>
    <cellStyle name="Categorie1 2 2 8 2" xfId="28931" xr:uid="{8FADA7E2-87E3-4218-9B5A-6C3BA9DF8FE1}"/>
    <cellStyle name="Categorie1 2 2 9" xfId="11291" xr:uid="{57368C73-B7E6-4965-ABDC-188FA4E8DF8B}"/>
    <cellStyle name="Categorie1 2 2 9 2" xfId="28932" xr:uid="{ED06DB98-00A7-472D-A578-C87BDC3707C5}"/>
    <cellStyle name="Categorie1 2 3" xfId="11292" xr:uid="{ED2AD5E5-C45F-4869-9D87-2B1D03700B20}"/>
    <cellStyle name="Categorie1 2 3 2" xfId="28933" xr:uid="{5C89922E-C635-441C-B8FB-53785E6B5EE8}"/>
    <cellStyle name="Categorie1 2 4" xfId="11293" xr:uid="{39F42C53-564E-4053-AF41-EF7E96D13BFE}"/>
    <cellStyle name="Categorie1 2 4 2" xfId="28955" xr:uid="{0F8BC476-7A6E-45D6-B6E7-45C43E16871F}"/>
    <cellStyle name="Categorie1 2 5" xfId="11294" xr:uid="{B6350D34-AFE1-4BCE-9DAA-C1C947C19ABB}"/>
    <cellStyle name="Categorie1 2 5 2" xfId="28934" xr:uid="{60EA8166-5B79-40E2-AD91-3D5AD72E9007}"/>
    <cellStyle name="Categorie1 2 6" xfId="11295" xr:uid="{244A6FE3-60CD-4DC3-8C00-EF35587F4D1F}"/>
    <cellStyle name="Categorie1 2 6 2" xfId="28935" xr:uid="{3847A7F3-E139-4DAB-BE64-2B55DCC4437B}"/>
    <cellStyle name="Categorie1 2 7" xfId="11296" xr:uid="{FE247686-F93B-45F6-9C14-4E9F03EDC954}"/>
    <cellStyle name="Categorie1 2 7 2" xfId="28936" xr:uid="{A33C76C4-AB4F-4283-8FE2-0E2169BAC4AF}"/>
    <cellStyle name="Categorie1 2 8" xfId="11297" xr:uid="{4536C4B9-87C3-49D4-BDC5-714AE6E61D0D}"/>
    <cellStyle name="Categorie1 2 8 2" xfId="28937" xr:uid="{5AB8F103-8CAB-4EF0-A5AF-FB2D7FF6374E}"/>
    <cellStyle name="Categorie1 2 9" xfId="11298" xr:uid="{C4AA84CF-79AF-45D7-B51A-9DDD9C2E413C}"/>
    <cellStyle name="Categorie1 2 9 2" xfId="28938" xr:uid="{8669C8F6-3926-4F4F-AD30-E35AAE8FC02B}"/>
    <cellStyle name="Categorie1 3" xfId="11299" xr:uid="{6376BF80-E9AF-43E2-8119-07F840C300E6}"/>
    <cellStyle name="Categorie1 3 10" xfId="11300" xr:uid="{F817379B-FEF4-42D5-8A15-DD5DEEDED1A3}"/>
    <cellStyle name="Categorie1 3 10 2" xfId="28940" xr:uid="{A4C7F36C-C66C-4FC8-9AEF-3737C7D1AE31}"/>
    <cellStyle name="Categorie1 3 11" xfId="28939" xr:uid="{4638C753-28C3-4532-9D0C-A84019F8BC23}"/>
    <cellStyle name="Categorie1 3 2" xfId="11301" xr:uid="{EDD3E633-796A-42F2-9B94-1B822BF8E68B}"/>
    <cellStyle name="Categorie1 3 2 2" xfId="28941" xr:uid="{0BF2D6C3-4B01-4349-BB7E-ED5676277AC0}"/>
    <cellStyle name="Categorie1 3 3" xfId="11302" xr:uid="{FED1173E-67D2-44C9-A32F-56EA37A96321}"/>
    <cellStyle name="Categorie1 3 3 2" xfId="28942" xr:uid="{C2C508E7-7F1E-4E35-9850-312D61D57D4C}"/>
    <cellStyle name="Categorie1 3 4" xfId="11303" xr:uid="{3717BFD6-1ACB-4B70-A97E-C29C107E3078}"/>
    <cellStyle name="Categorie1 3 4 2" xfId="28943" xr:uid="{C0E09222-31E5-4E52-AFFA-9FC105BF2554}"/>
    <cellStyle name="Categorie1 3 5" xfId="11304" xr:uid="{FCD636C6-B30D-485F-B110-D8DB39C882BC}"/>
    <cellStyle name="Categorie1 3 5 2" xfId="28944" xr:uid="{FCC53F72-A209-42C4-A819-376A770E8B19}"/>
    <cellStyle name="Categorie1 3 6" xfId="11305" xr:uid="{5C43BFEF-1CDF-4D32-9918-5601F7E21DA4}"/>
    <cellStyle name="Categorie1 3 6 2" xfId="28945" xr:uid="{AED2D51F-F0A4-4C79-9B32-6DDA8AEB7653}"/>
    <cellStyle name="Categorie1 3 7" xfId="11306" xr:uid="{EEAC8E9E-5155-40E9-BD36-AA3E542829C3}"/>
    <cellStyle name="Categorie1 3 7 2" xfId="28946" xr:uid="{8AB1F04C-F430-478D-9B9C-E22EDEEE7C23}"/>
    <cellStyle name="Categorie1 3 8" xfId="11307" xr:uid="{2E5C30D6-A75E-4CB3-A97E-4D5155B305FE}"/>
    <cellStyle name="Categorie1 3 8 2" xfId="28947" xr:uid="{069D3C5D-140F-4995-A132-5879B6CA0250}"/>
    <cellStyle name="Categorie1 3 9" xfId="11308" xr:uid="{F3F0FDA2-79BB-4926-AE7B-A8ABE8BFF033}"/>
    <cellStyle name="Categorie1 3 9 2" xfId="28948" xr:uid="{570D186A-DBE3-4C37-863C-089665F03D9B}"/>
    <cellStyle name="Categorie1 4" xfId="11309" xr:uid="{79F33577-2298-4E67-AC20-1CFC09E046C8}"/>
    <cellStyle name="Categorie1 4 2" xfId="28949" xr:uid="{7C35091A-AD66-498C-A230-50E34EAA9FAC}"/>
    <cellStyle name="Categorie1 5" xfId="11310" xr:uid="{1B70D635-9492-4FF5-9ED0-1D6F75CBA463}"/>
    <cellStyle name="Categorie1 5 2" xfId="28950" xr:uid="{DA58B829-AE62-436B-8276-29C12C5A7B2A}"/>
    <cellStyle name="Categorie1 6" xfId="11311" xr:uid="{2D06CC91-4163-43F9-9E00-FF1763B2880B}"/>
    <cellStyle name="Categorie1 6 2" xfId="28951" xr:uid="{8E4C6873-4BFB-42DB-8D13-E70956AC6050}"/>
    <cellStyle name="Categorie1 7" xfId="11312" xr:uid="{6E144C5C-7375-435F-A011-556DB6022472}"/>
    <cellStyle name="Categorie1 7 2" xfId="28952" xr:uid="{FD27BC45-6A7A-477F-BDAF-9180F7F5A3E2}"/>
    <cellStyle name="Categorie1 8" xfId="11313" xr:uid="{DA022B7A-6B27-4960-8C13-0C2BF24B5D88}"/>
    <cellStyle name="Categorie1 8 2" xfId="28953" xr:uid="{8C9AD2D9-645E-46E9-94FB-A87316D45232}"/>
    <cellStyle name="Categorie1 9" xfId="11314" xr:uid="{731E05C1-1D8F-4FC8-87BB-24B51D0C2115}"/>
    <cellStyle name="Categorie1 9 2" xfId="28954" xr:uid="{385928EF-06E5-48C3-B80A-87232374FBD9}"/>
    <cellStyle name="Categorie2" xfId="11315" xr:uid="{4CD37B5C-AEBB-4B2C-B37C-60C79806DB5F}"/>
    <cellStyle name="Categorie2 2" xfId="11316" xr:uid="{B4717D01-3A96-4B50-B945-1F08D48D62DD}"/>
    <cellStyle name="Categorie2 2 10" xfId="11317" xr:uid="{8279A965-EF3D-4B06-8BEE-E6378B03021C}"/>
    <cellStyle name="Categorie2 2 11" xfId="11318" xr:uid="{F012C80A-19C7-4C7C-9F7A-D69CFB1E8FFD}"/>
    <cellStyle name="Categorie2 2 12" xfId="11319" xr:uid="{53D83429-8365-4462-B63C-E4160AF522E9}"/>
    <cellStyle name="Categorie2 2 13" xfId="11320" xr:uid="{D6B0F91C-22B4-4D4C-8FEC-2FDD1259EC13}"/>
    <cellStyle name="Categorie2 2 14" xfId="11321" xr:uid="{2FC68668-0626-46F0-ACA1-401D104672FB}"/>
    <cellStyle name="Categorie2 2 15" xfId="11322" xr:uid="{67400A5E-1A2A-4B1F-A557-52C1B6158FFC}"/>
    <cellStyle name="Categorie2 2 16" xfId="11323" xr:uid="{9A24AD51-DEBA-47B5-A0E2-E15337C1D641}"/>
    <cellStyle name="Categorie2 2 17" xfId="11324" xr:uid="{E9B0F064-8B8E-4A64-BDA1-C82D3CCB7477}"/>
    <cellStyle name="Categorie2 2 18" xfId="11325" xr:uid="{06C1BC9E-B292-48A8-A679-B4947CB836CB}"/>
    <cellStyle name="Categorie2 2 19" xfId="11326" xr:uid="{200C9C58-3710-4622-ADEF-D50588E95298}"/>
    <cellStyle name="Categorie2 2 2" xfId="11327" xr:uid="{04D80C5F-2292-467D-8D95-CEB943730EF5}"/>
    <cellStyle name="Categorie2 2 2 10" xfId="11328" xr:uid="{906C12B4-B5C1-4439-9A31-703B1F84697E}"/>
    <cellStyle name="Categorie2 2 2 11" xfId="11329" xr:uid="{305488D8-BAD1-44F4-BDA6-A82ECAA52715}"/>
    <cellStyle name="Categorie2 2 2 12" xfId="11330" xr:uid="{D2DD36A2-4CBC-4853-909D-252236C289A4}"/>
    <cellStyle name="Categorie2 2 2 13" xfId="11331" xr:uid="{F509308F-D62E-469F-AB10-B3867DE8C681}"/>
    <cellStyle name="Categorie2 2 2 14" xfId="11332" xr:uid="{DAC78CEF-6B3B-4727-8AD4-9188E9C2CA7C}"/>
    <cellStyle name="Categorie2 2 2 15" xfId="11333" xr:uid="{AE88824C-3808-4B92-B063-92226C80C458}"/>
    <cellStyle name="Categorie2 2 2 16" xfId="11334" xr:uid="{979E54ED-A50D-4A8B-9F3D-A351558B25A6}"/>
    <cellStyle name="Categorie2 2 2 17" xfId="11335" xr:uid="{8566CD2E-DDE1-4CD0-9B84-0025F23A3990}"/>
    <cellStyle name="Categorie2 2 2 18" xfId="11336" xr:uid="{E3853AF7-5431-4D16-9076-E1C7DE592A69}"/>
    <cellStyle name="Categorie2 2 2 19" xfId="11337" xr:uid="{95CC6849-7333-4B38-A613-577BA5B5C641}"/>
    <cellStyle name="Categorie2 2 2 2" xfId="11338" xr:uid="{ECC73988-D18F-4097-B895-440B046515C2}"/>
    <cellStyle name="Categorie2 2 2 20" xfId="11339" xr:uid="{AB9DDC4F-5EAA-40BD-A12E-F9E484EC0999}"/>
    <cellStyle name="Categorie2 2 2 21" xfId="11340" xr:uid="{804C9C81-700C-434A-A5D7-C50A8E744E8F}"/>
    <cellStyle name="Categorie2 2 2 22" xfId="11341" xr:uid="{F7CB3A88-D91E-4EFD-A885-1B9E3EC1604F}"/>
    <cellStyle name="Categorie2 2 2 23" xfId="11342" xr:uid="{82428BDE-066D-490F-B86F-51493ACF35C7}"/>
    <cellStyle name="Categorie2 2 2 24" xfId="11343" xr:uid="{C4CB4200-A695-4005-9773-E66DB3937435}"/>
    <cellStyle name="Categorie2 2 2 3" xfId="11344" xr:uid="{85C9A0AC-6664-406C-8850-40AAD4F8E3A6}"/>
    <cellStyle name="Categorie2 2 2 4" xfId="11345" xr:uid="{AAE97F04-2BF6-4F54-9416-244F23D10E3B}"/>
    <cellStyle name="Categorie2 2 2 5" xfId="11346" xr:uid="{6C798D13-719A-404B-B596-A3A4431C3C61}"/>
    <cellStyle name="Categorie2 2 2 6" xfId="11347" xr:uid="{E8C3724B-8BAE-4D9E-9F6D-F35F85A228B9}"/>
    <cellStyle name="Categorie2 2 2 7" xfId="11348" xr:uid="{FF47560C-BDD6-4F5C-BCA7-A76C879F9DB4}"/>
    <cellStyle name="Categorie2 2 2 8" xfId="11349" xr:uid="{D1409DD0-8051-42BE-AA5A-86FD688E1A8B}"/>
    <cellStyle name="Categorie2 2 2 9" xfId="11350" xr:uid="{AC6922B8-96A3-418A-A2E1-1EADCF69C5F4}"/>
    <cellStyle name="Categorie2 2 20" xfId="11351" xr:uid="{BAC8EF87-A733-4FF0-ACA5-BAF3939C6C27}"/>
    <cellStyle name="Categorie2 2 21" xfId="11352" xr:uid="{F6B3BB18-0B2E-4A4D-9404-783D7736EC11}"/>
    <cellStyle name="Categorie2 2 3" xfId="11353" xr:uid="{1C9C53EB-EC0C-4F5F-9B87-D3F8D6ABBF57}"/>
    <cellStyle name="Categorie2 2 4" xfId="11354" xr:uid="{1B69F8BC-5D3A-43E2-8E61-8F8C83A742D5}"/>
    <cellStyle name="Categorie2 2 5" xfId="11355" xr:uid="{0A2241F4-F08F-4B66-8A0F-B91BEB970C75}"/>
    <cellStyle name="Categorie2 2 6" xfId="11356" xr:uid="{2F4F8FA6-AC14-4188-83C8-857E2F417B61}"/>
    <cellStyle name="Categorie2 2 7" xfId="11357" xr:uid="{4319ABC1-6FD0-4A13-9BD3-BAA59E7B98EE}"/>
    <cellStyle name="Categorie2 2 8" xfId="11358" xr:uid="{F3F381A5-CAE6-4452-9AA1-A51ABA2951AE}"/>
    <cellStyle name="Categorie2 2 9" xfId="11359" xr:uid="{1EF99E6D-5348-4D5F-98FC-A3ACF4E911F0}"/>
    <cellStyle name="Categorie2 3" xfId="11360" xr:uid="{3AA05EDB-BFC2-41CA-8B61-27202C84F914}"/>
    <cellStyle name="Categorie2 3 10" xfId="11361" xr:uid="{88439158-13E4-441F-9960-4F5225104E71}"/>
    <cellStyle name="Categorie2 3 11" xfId="11362" xr:uid="{256EB9BA-B63A-46AC-918A-3B1CF06FAB92}"/>
    <cellStyle name="Categorie2 3 12" xfId="11363" xr:uid="{9F327A4B-1700-4328-8345-CA5515F8CE99}"/>
    <cellStyle name="Categorie2 3 13" xfId="11364" xr:uid="{133C66A1-473E-47CD-8F37-D31B15F08B9D}"/>
    <cellStyle name="Categorie2 3 14" xfId="11365" xr:uid="{B0354FEF-4516-4BD6-861C-C4953982D553}"/>
    <cellStyle name="Categorie2 3 15" xfId="11366" xr:uid="{0D94021D-B31A-4D87-9069-DB6817006E0B}"/>
    <cellStyle name="Categorie2 3 16" xfId="11367" xr:uid="{FA3F4772-8800-4F39-AAE0-15DAFB5978F5}"/>
    <cellStyle name="Categorie2 3 17" xfId="11368" xr:uid="{9E29A3CD-65AE-47C5-9AFC-567E23CA596A}"/>
    <cellStyle name="Categorie2 3 18" xfId="11369" xr:uid="{E306C63A-4618-4B3A-8505-58E78AD6305A}"/>
    <cellStyle name="Categorie2 3 19" xfId="11370" xr:uid="{C6CC6017-98A7-4EDB-8423-238A73FB1B60}"/>
    <cellStyle name="Categorie2 3 2" xfId="11371" xr:uid="{CD567D6C-EE9D-41D6-BB33-333FB1E6FE49}"/>
    <cellStyle name="Categorie2 3 20" xfId="11372" xr:uid="{A61D6A3E-CA03-46B8-B02A-ED837F693F88}"/>
    <cellStyle name="Categorie2 3 21" xfId="11373" xr:uid="{9383921C-7E28-4464-87C8-DC83B6125F81}"/>
    <cellStyle name="Categorie2 3 22" xfId="11374" xr:uid="{35A7C10F-4A63-4322-B5FE-E04C26FC8350}"/>
    <cellStyle name="Categorie2 3 23" xfId="11375" xr:uid="{C5C74872-0187-470C-B646-867B0B340634}"/>
    <cellStyle name="Categorie2 3 24" xfId="11376" xr:uid="{1EB5C533-3741-41C9-8865-9FD1CCAE5405}"/>
    <cellStyle name="Categorie2 3 3" xfId="11377" xr:uid="{F5B2E0CD-1E66-45B2-B741-EAC5D65933C0}"/>
    <cellStyle name="Categorie2 3 4" xfId="11378" xr:uid="{196ACDFD-D143-4CCC-96BC-EC76321F090D}"/>
    <cellStyle name="Categorie2 3 5" xfId="11379" xr:uid="{CDF892D3-A9D3-4C38-89FF-00B6983260AF}"/>
    <cellStyle name="Categorie2 3 6" xfId="11380" xr:uid="{A165D900-F235-401A-B520-F6BF303DE796}"/>
    <cellStyle name="Categorie2 3 7" xfId="11381" xr:uid="{FE295910-0218-4EAA-9CE7-C3CB9A17537B}"/>
    <cellStyle name="Categorie2 3 8" xfId="11382" xr:uid="{E1C6BC69-1CA7-4803-9709-1C3C0CFCC7B3}"/>
    <cellStyle name="Categorie2 3 9" xfId="11383" xr:uid="{1BE2C134-AF8C-4BC4-9A0A-8FDE31798453}"/>
    <cellStyle name="Categorie3" xfId="11384" xr:uid="{25687338-14D2-44AB-BF7D-574B4674CD1C}"/>
    <cellStyle name="Categorie3 10" xfId="11385" xr:uid="{D11C0D9E-2D31-4AF0-ADFE-F1DD84118773}"/>
    <cellStyle name="Categorie3 10 2" xfId="28957" xr:uid="{3624A49B-D832-4796-AE47-F4E17FA65D49}"/>
    <cellStyle name="Categorie3 11" xfId="11386" xr:uid="{2377562E-432E-4935-A163-352D63FE370D}"/>
    <cellStyle name="Categorie3 11 2" xfId="28958" xr:uid="{24FB9D34-A8E0-47A2-B527-103CD00F3AAB}"/>
    <cellStyle name="Categorie3 12" xfId="11387" xr:uid="{970DFB73-62AC-4C73-838C-DDEB64873A82}"/>
    <cellStyle name="Categorie3 12 2" xfId="28959" xr:uid="{92089FDD-ACAA-4BCB-AF09-068DB5A6B30C}"/>
    <cellStyle name="Categorie3 13" xfId="11388" xr:uid="{10BBC226-78FC-4E96-903A-C95BD1168ADF}"/>
    <cellStyle name="Categorie3 13 2" xfId="28960" xr:uid="{63857942-A972-4C99-9831-4BF3F0139A95}"/>
    <cellStyle name="Categorie3 14" xfId="11389" xr:uid="{C5A603BE-8F9A-4606-9C5E-A3BDF0244236}"/>
    <cellStyle name="Categorie3 14 2" xfId="28961" xr:uid="{AD1A3417-C8AA-4E4A-86A6-976F7FC7D9A2}"/>
    <cellStyle name="Categorie3 15" xfId="11390" xr:uid="{ED6ECBBF-C2A7-467D-8FA0-4CFB2C789CD7}"/>
    <cellStyle name="Categorie3 15 2" xfId="28962" xr:uid="{71F90EA9-4A3C-4109-AE6F-D1614983464A}"/>
    <cellStyle name="Categorie3 16" xfId="11391" xr:uid="{99E814C9-11A4-43CB-820B-BCBFF6040CA6}"/>
    <cellStyle name="Categorie3 16 2" xfId="28963" xr:uid="{1F97C2E1-1D78-4BC8-8651-A890222B5F2D}"/>
    <cellStyle name="Categorie3 17" xfId="11392" xr:uid="{02154B04-EC5D-4D3D-A1CE-514161D92F82}"/>
    <cellStyle name="Categorie3 17 2" xfId="28964" xr:uid="{752FFA74-A451-4455-A81B-776792DF8EB1}"/>
    <cellStyle name="Categorie3 18" xfId="11393" xr:uid="{0F36304D-E86C-498F-9B36-E0D7F3D19F32}"/>
    <cellStyle name="Categorie3 18 2" xfId="28965" xr:uid="{C1BD1EFA-941A-4937-8E71-A565BAA19FA7}"/>
    <cellStyle name="Categorie3 19" xfId="28956" xr:uid="{C95241FA-6844-4650-B0D0-BBB1424659C7}"/>
    <cellStyle name="Categorie3 2" xfId="11394" xr:uid="{1FACFBE1-1F43-4970-AD0D-A5EC3EEAFBFA}"/>
    <cellStyle name="Categorie3 2 10" xfId="11395" xr:uid="{928537AB-2C0E-4D56-951C-15FC4F8EEEAA}"/>
    <cellStyle name="Categorie3 2 10 2" xfId="28967" xr:uid="{002F8CAA-7EDC-4463-A334-B33636B0F702}"/>
    <cellStyle name="Categorie3 2 11" xfId="11396" xr:uid="{25F3A4B7-14D9-4DA1-9180-DE0907DFCBA6}"/>
    <cellStyle name="Categorie3 2 11 2" xfId="28968" xr:uid="{F7447141-1913-4F8A-B6B9-B9433330C45B}"/>
    <cellStyle name="Categorie3 2 12" xfId="11397" xr:uid="{FF80C97F-FCE5-4CA7-812E-5AF4F89FF346}"/>
    <cellStyle name="Categorie3 2 12 2" xfId="28969" xr:uid="{73567ECE-299B-4E9A-8C8F-C9559D8FF493}"/>
    <cellStyle name="Categorie3 2 13" xfId="11398" xr:uid="{ADC770DC-781A-4E14-A5C1-5F5CBCA6C895}"/>
    <cellStyle name="Categorie3 2 13 2" xfId="28970" xr:uid="{EB5DCAC1-2B3F-4AE2-8944-51205FCEAC9C}"/>
    <cellStyle name="Categorie3 2 14" xfId="11399" xr:uid="{DA81F986-DD91-47F2-812A-FF6081340E7B}"/>
    <cellStyle name="Categorie3 2 14 2" xfId="28971" xr:uid="{130B68AF-1425-4C8F-944C-A8D7621A7D55}"/>
    <cellStyle name="Categorie3 2 15" xfId="11400" xr:uid="{FC801107-6FD1-45E6-A85A-0AE1B719207A}"/>
    <cellStyle name="Categorie3 2 15 2" xfId="28972" xr:uid="{3C0007EA-7BE9-4DA0-9D95-3A487F79E946}"/>
    <cellStyle name="Categorie3 2 16" xfId="11401" xr:uid="{CD07B779-4A3C-42AC-ABA5-39F61AAE7677}"/>
    <cellStyle name="Categorie3 2 16 2" xfId="28973" xr:uid="{108FF942-6B0C-4F92-91AA-E8EE3D8213C6}"/>
    <cellStyle name="Categorie3 2 17" xfId="11402" xr:uid="{148C65C5-B6AB-49F3-9815-CB50212AB5E7}"/>
    <cellStyle name="Categorie3 2 17 2" xfId="28974" xr:uid="{0DE9189F-1917-4203-A177-FD42D8B46A04}"/>
    <cellStyle name="Categorie3 2 18" xfId="11403" xr:uid="{28B81498-7FDA-49BE-AF00-0183427A53FF}"/>
    <cellStyle name="Categorie3 2 18 2" xfId="28975" xr:uid="{6710B5AA-9D30-4A11-AAD5-E98C83C79480}"/>
    <cellStyle name="Categorie3 2 19" xfId="28966" xr:uid="{A15C3313-F2B0-4151-ABF4-CC2E1C46B02E}"/>
    <cellStyle name="Categorie3 2 2" xfId="11404" xr:uid="{D44D1DAF-C9DC-492A-BB17-D27642841EC3}"/>
    <cellStyle name="Categorie3 2 2 10" xfId="11405" xr:uid="{BEBB3163-D275-493C-99C7-26CFFC21A524}"/>
    <cellStyle name="Categorie3 2 2 10 2" xfId="28977" xr:uid="{280B4B93-2A5A-49F8-B240-12C93814FB67}"/>
    <cellStyle name="Categorie3 2 2 11" xfId="28976" xr:uid="{4B279AD6-1B01-45EB-8877-BAB1172D2A52}"/>
    <cellStyle name="Categorie3 2 2 2" xfId="11406" xr:uid="{16D6894F-0A3A-457F-ADAD-DA8AA8A3BB29}"/>
    <cellStyle name="Categorie3 2 2 2 2" xfId="28978" xr:uid="{73F45248-7490-47B6-9E00-8DE9BC9E2EA3}"/>
    <cellStyle name="Categorie3 2 2 3" xfId="11407" xr:uid="{E5218400-45E3-45EB-95C6-B24E6BE031D3}"/>
    <cellStyle name="Categorie3 2 2 3 2" xfId="28979" xr:uid="{609E48F7-A0B7-42BC-8A1F-2B76089A7A0D}"/>
    <cellStyle name="Categorie3 2 2 4" xfId="11408" xr:uid="{202EACFB-8E67-4DB7-BECB-ABCF465915EC}"/>
    <cellStyle name="Categorie3 2 2 4 2" xfId="28980" xr:uid="{E8165774-A5F4-4B2D-A465-8A1CAD408AE5}"/>
    <cellStyle name="Categorie3 2 2 5" xfId="11409" xr:uid="{D3B0AAD1-CFAF-4F52-BE05-5ED892160C65}"/>
    <cellStyle name="Categorie3 2 2 5 2" xfId="28981" xr:uid="{7F5081C2-7EC6-40EC-B089-3FFD996385B3}"/>
    <cellStyle name="Categorie3 2 2 6" xfId="11410" xr:uid="{E039A782-CA28-4DFC-BA54-0180F9551D08}"/>
    <cellStyle name="Categorie3 2 2 6 2" xfId="28982" xr:uid="{341E8CCD-EB7C-4D7C-BE8A-99C39B8DDF01}"/>
    <cellStyle name="Categorie3 2 2 7" xfId="11411" xr:uid="{1DABE82E-319B-4C8B-9578-E70F33B4BFF9}"/>
    <cellStyle name="Categorie3 2 2 7 2" xfId="28983" xr:uid="{3E811D48-BD54-4A15-BE22-77A13A913CE8}"/>
    <cellStyle name="Categorie3 2 2 8" xfId="11412" xr:uid="{3DDB6B1D-2994-4EAD-BB76-F59F42DAB6C4}"/>
    <cellStyle name="Categorie3 2 2 8 2" xfId="28984" xr:uid="{975F4084-1247-4433-B59E-D0654CF28C12}"/>
    <cellStyle name="Categorie3 2 2 9" xfId="11413" xr:uid="{2D311836-5B2E-46A1-8875-7268E43A3E1D}"/>
    <cellStyle name="Categorie3 2 2 9 2" xfId="28985" xr:uid="{9ED273F7-4082-4AA1-8FF4-563F17682CB6}"/>
    <cellStyle name="Categorie3 2 3" xfId="11414" xr:uid="{51682183-1F53-49AF-8DA3-B09C8601F17D}"/>
    <cellStyle name="Categorie3 2 3 2" xfId="28986" xr:uid="{0B21A347-4A26-43F4-8AED-2227E0E37CEB}"/>
    <cellStyle name="Categorie3 2 4" xfId="11415" xr:uid="{B554A3C8-E614-4E63-80B4-98693645B8DE}"/>
    <cellStyle name="Categorie3 2 4 2" xfId="28987" xr:uid="{BD485686-0F1C-43D5-AD2D-D4F451F02781}"/>
    <cellStyle name="Categorie3 2 5" xfId="11416" xr:uid="{7C39F42B-D82E-47D0-91A0-0ACD77083F42}"/>
    <cellStyle name="Categorie3 2 5 2" xfId="28988" xr:uid="{B19E3425-E4F1-4D6B-BAA4-BB3B94A8FCF6}"/>
    <cellStyle name="Categorie3 2 6" xfId="11417" xr:uid="{907C2978-6EDD-45C2-AAD3-BBE4F539B269}"/>
    <cellStyle name="Categorie3 2 6 2" xfId="28989" xr:uid="{1273D939-CD6E-4515-81B9-F2F202428DA5}"/>
    <cellStyle name="Categorie3 2 7" xfId="11418" xr:uid="{831A59F8-1229-4B05-A592-F3F5A5D4F66E}"/>
    <cellStyle name="Categorie3 2 7 2" xfId="28990" xr:uid="{ACFCE290-4B56-4F3A-8781-936600DCD4A6}"/>
    <cellStyle name="Categorie3 2 8" xfId="11419" xr:uid="{12020957-1176-4EF3-BB89-D4439AAAA268}"/>
    <cellStyle name="Categorie3 2 8 2" xfId="28991" xr:uid="{8278224D-A354-4AA7-BE7A-70A0C68A752F}"/>
    <cellStyle name="Categorie3 2 9" xfId="11420" xr:uid="{2348C1B1-A06C-4AB6-BFC8-6DE05E4BB974}"/>
    <cellStyle name="Categorie3 2 9 2" xfId="28992" xr:uid="{E9BD2EC2-656F-40DE-8BDD-1FD84009E579}"/>
    <cellStyle name="Categorie3 3" xfId="11421" xr:uid="{41AD8583-915A-4C0F-BE86-15FFF56F41F0}"/>
    <cellStyle name="Categorie3 3 10" xfId="11422" xr:uid="{3E6121EA-EE64-4BC4-87C2-6902B76A2A70}"/>
    <cellStyle name="Categorie3 3 10 2" xfId="28994" xr:uid="{2ED0A19D-6A1E-462F-9F53-A840711B926B}"/>
    <cellStyle name="Categorie3 3 11" xfId="28993" xr:uid="{CDA44300-D19A-4F8A-9A82-D03D4467073A}"/>
    <cellStyle name="Categorie3 3 2" xfId="11423" xr:uid="{EFF96A59-D0C9-4310-804B-B41285D1AFB6}"/>
    <cellStyle name="Categorie3 3 2 2" xfId="28995" xr:uid="{0A05EC41-CCC4-4A75-AA5F-F37A59E96ABE}"/>
    <cellStyle name="Categorie3 3 3" xfId="11424" xr:uid="{4B028956-4627-4E0E-B7A3-A6330BEF6916}"/>
    <cellStyle name="Categorie3 3 3 2" xfId="28996" xr:uid="{B9FA5454-0C35-4457-9424-CF4FF3F5D999}"/>
    <cellStyle name="Categorie3 3 4" xfId="11425" xr:uid="{5FE0F5AD-B482-4C56-B298-9D17551984C4}"/>
    <cellStyle name="Categorie3 3 4 2" xfId="28997" xr:uid="{87BF8FCA-34A8-45A4-ABCC-BCEE98A8BB70}"/>
    <cellStyle name="Categorie3 3 5" xfId="11426" xr:uid="{DE9DF56B-3A66-4E73-957C-366CF1820EDB}"/>
    <cellStyle name="Categorie3 3 5 2" xfId="28998" xr:uid="{76E00C6A-022C-441E-B6EA-EB1C1CCB23F5}"/>
    <cellStyle name="Categorie3 3 6" xfId="11427" xr:uid="{45F41893-6E9E-4681-940F-40EED71F4CBA}"/>
    <cellStyle name="Categorie3 3 6 2" xfId="28999" xr:uid="{DA017224-E164-47FB-8DCB-674895E4A314}"/>
    <cellStyle name="Categorie3 3 7" xfId="11428" xr:uid="{47BC5884-1BE4-4008-BCE8-DFA96D26C677}"/>
    <cellStyle name="Categorie3 3 7 2" xfId="29000" xr:uid="{9077BC30-AEEA-4E38-BD82-C88E03528017}"/>
    <cellStyle name="Categorie3 3 8" xfId="11429" xr:uid="{E042472B-F111-424A-8EC8-A14A57E1E951}"/>
    <cellStyle name="Categorie3 3 8 2" xfId="29001" xr:uid="{8C474E2B-41C4-4CE9-ACFE-AACE57DC5F8B}"/>
    <cellStyle name="Categorie3 3 9" xfId="11430" xr:uid="{6B8F9703-DF7F-4D44-B51F-B1D34F561796}"/>
    <cellStyle name="Categorie3 3 9 2" xfId="29002" xr:uid="{1FC94E47-71F3-40B4-92E8-A854CEA0214F}"/>
    <cellStyle name="Categorie3 4" xfId="11431" xr:uid="{E16ED0CC-6875-49C0-B45E-361CD605ECCE}"/>
    <cellStyle name="Categorie3 4 2" xfId="29003" xr:uid="{EC2F8908-B9F1-4DA9-AA1F-C75C9195AC14}"/>
    <cellStyle name="Categorie3 5" xfId="11432" xr:uid="{C4E7FB67-847A-4C94-A327-58430B33A918}"/>
    <cellStyle name="Categorie3 5 2" xfId="29004" xr:uid="{C7D1C774-C2F0-4E5B-AB25-ABF63D40C601}"/>
    <cellStyle name="Categorie3 6" xfId="11433" xr:uid="{CFEDE4D5-6E31-4558-9E95-B542B51431F4}"/>
    <cellStyle name="Categorie3 6 2" xfId="29005" xr:uid="{EE3B5DAD-4E64-4ADC-9967-C4BB70727D2C}"/>
    <cellStyle name="Categorie3 7" xfId="11434" xr:uid="{67D53DCC-3B21-46F3-AB8B-10D24602925F}"/>
    <cellStyle name="Categorie3 7 2" xfId="29006" xr:uid="{A88C55B9-9764-4179-9C6C-26D4433FCEDB}"/>
    <cellStyle name="Categorie3 8" xfId="11435" xr:uid="{9979E359-2938-4B79-9097-926180B7EB63}"/>
    <cellStyle name="Categorie3 8 2" xfId="29007" xr:uid="{530A4B60-FEE5-4CF9-9B7B-6EF15F75F1F4}"/>
    <cellStyle name="Categorie3 9" xfId="11436" xr:uid="{92A87657-8909-4693-B21D-022123FE40F0}"/>
    <cellStyle name="Categorie3 9 2" xfId="29008" xr:uid="{E1EBE071-A934-41BE-AA5B-987836319208}"/>
    <cellStyle name="category" xfId="11437" xr:uid="{45D01E09-3A90-41F7-8B34-442EE7942F44}"/>
    <cellStyle name="CatTitle" xfId="11438" xr:uid="{168CAE4F-8296-440C-BDD8-B4987668FFA2}"/>
    <cellStyle name="CatTotal" xfId="11439" xr:uid="{B1ECB6FE-31B7-43E7-ABF8-E9B1BA94DF8D}"/>
    <cellStyle name="Caution" xfId="11440" xr:uid="{A3C57710-9F30-4B88-A3D5-244395676093}"/>
    <cellStyle name="Celda de comprobación" xfId="11441" xr:uid="{DC709C58-D3C8-47F1-B1ED-814808B17B76}"/>
    <cellStyle name="Celda de comprobación 2" xfId="11442" xr:uid="{98ECF20B-846A-4FD6-8AAA-101CC302438C}"/>
    <cellStyle name="Celda vinculada" xfId="11443" xr:uid="{FEAD2381-EC79-4FC7-B625-65089305C18E}"/>
    <cellStyle name="Celda vinculada 2" xfId="30449" xr:uid="{C641DB58-5AFF-4347-A55E-7954849C4A7A}"/>
    <cellStyle name="Cellule liée" xfId="11444" xr:uid="{95A1A58F-21A0-4E74-A3EE-378EBD0644EE}"/>
    <cellStyle name="Cellule liée 2" xfId="30448" xr:uid="{A2FFE066-2AD1-481A-ACAA-6BE06871A1F6}"/>
    <cellStyle name="Check Cell 2" xfId="11446" xr:uid="{275518A6-94CE-496F-9625-EAD8EC2740E2}"/>
    <cellStyle name="Check Cell 2 2" xfId="11447" xr:uid="{AD739402-CEF8-44E8-B4BE-AD0CDD2FE1EF}"/>
    <cellStyle name="Check Cell 2 3" xfId="11448" xr:uid="{38C20347-8DD9-4735-BA9F-ECDF31DBC8D0}"/>
    <cellStyle name="Check Cell 3" xfId="11449" xr:uid="{782E23E0-8CA8-4461-8CFB-BAB62A814261}"/>
    <cellStyle name="Check Cell 4" xfId="11450" xr:uid="{7BF297FE-30BC-4A24-B0EA-1C0789193E78}"/>
    <cellStyle name="Check Cell 5" xfId="11451" xr:uid="{7203CAE7-1F0D-4B08-B728-06277B2213E5}"/>
    <cellStyle name="Check Cell 6" xfId="11452" xr:uid="{477A7E4D-62A8-4D1B-BF2B-499ED23F0AD3}"/>
    <cellStyle name="Check Cell 7" xfId="11445" xr:uid="{96F21B3C-3F42-41D3-9404-529C7DFC547A}"/>
    <cellStyle name="CIAIÆU¸μAⓒ" xfId="11453" xr:uid="{86DEDE1A-BAF7-4C36-AA97-F8A20EF2A40E}"/>
    <cellStyle name="Code" xfId="11454" xr:uid="{FAE7144C-AC74-4177-ACCC-AF49B24DAD84}"/>
    <cellStyle name="Coefficient" xfId="11455" xr:uid="{3873D548-92F5-45E7-B3AB-BEF9A372F61A}"/>
    <cellStyle name="ColHide" xfId="11456" xr:uid="{0403C0F7-DF33-4D15-AC3E-852C763B1439}"/>
    <cellStyle name="Collegamento ipertestuale" xfId="11457" xr:uid="{5518B59F-7598-4533-B58F-20A74CD5F788}"/>
    <cellStyle name="Collegamento ipertestuale visitato" xfId="11458" xr:uid="{94FA3435-EFBB-4BB7-A10B-EBDA057E1055}"/>
    <cellStyle name="COLONY" xfId="11459" xr:uid="{759FCC86-2DED-4DF2-AB2F-212EBE8E820E}"/>
    <cellStyle name="ColShow" xfId="11460" xr:uid="{383F453A-082D-4815-8401-F35249180A52}"/>
    <cellStyle name="Column Header" xfId="11461" xr:uid="{9EF4A5F8-9CF6-4484-9EF1-0B0F6559AF45}"/>
    <cellStyle name="Column Header 2" xfId="29010" xr:uid="{B90C65CB-D0E4-401F-AA22-3E302CB12DE2}"/>
    <cellStyle name="Column Heading" xfId="11462" xr:uid="{FD120637-C4B5-4643-BD16-1FA9FA3F6A8B}"/>
    <cellStyle name="Column Heading 10" xfId="11463" xr:uid="{B2430D5A-5685-49A2-B8DA-4D93C42D05A2}"/>
    <cellStyle name="Column Heading 10 2" xfId="29012" xr:uid="{EF4D4801-87D4-4D93-A2D9-69CA896EDDEE}"/>
    <cellStyle name="Column Heading 11" xfId="11464" xr:uid="{EFF00370-2924-47D8-B440-57F5DC19D018}"/>
    <cellStyle name="Column Heading 11 2" xfId="29013" xr:uid="{5972EA34-6D87-449E-BAC6-BA57F1755E6F}"/>
    <cellStyle name="Column Heading 12" xfId="11465" xr:uid="{88311530-A6E7-48A8-BADF-7E23C33C422C}"/>
    <cellStyle name="Column Heading 12 2" xfId="29014" xr:uid="{236819EA-8070-4237-B5A6-D62C0F23D403}"/>
    <cellStyle name="Column Heading 13" xfId="11466" xr:uid="{2603231C-64E8-4FC8-AC98-D948C152390B}"/>
    <cellStyle name="Column Heading 13 2" xfId="29015" xr:uid="{ACDE1A7B-4BBD-429B-8DE2-B9A18673BA94}"/>
    <cellStyle name="Column Heading 14" xfId="11467" xr:uid="{820C0F9A-D2AE-4060-95D9-B8CF759D00BD}"/>
    <cellStyle name="Column Heading 14 2" xfId="29016" xr:uid="{8C7A1EF9-084A-4809-B3B8-AA42920F4854}"/>
    <cellStyle name="Column Heading 15" xfId="29011" xr:uid="{0082CD14-C6C8-402B-A35A-59DE976C6B7E}"/>
    <cellStyle name="Column Heading 2" xfId="11468" xr:uid="{EF54A88A-DB5E-4EF5-A1A7-0C321F44A574}"/>
    <cellStyle name="Column Heading 2 10" xfId="11469" xr:uid="{487485AC-44B0-43CE-9699-C585BC41842B}"/>
    <cellStyle name="Column Heading 2 10 2" xfId="29017" xr:uid="{1385B68A-B7F1-454B-8414-854C8AF501C9}"/>
    <cellStyle name="Column Heading 2 11" xfId="11470" xr:uid="{42593105-5215-4C54-9E41-A31AC1EFC40F}"/>
    <cellStyle name="Column Heading 2 11 2" xfId="29018" xr:uid="{AC5E3A0E-4F93-475B-AB74-6043716D3AC4}"/>
    <cellStyle name="Column Heading 2 12" xfId="11471" xr:uid="{6BA9E1C0-24A0-4C55-A3D6-F629320B343B}"/>
    <cellStyle name="Column Heading 2 12 2" xfId="29019" xr:uid="{AA78C298-199E-413E-879E-5B9A53468E86}"/>
    <cellStyle name="Column Heading 2 13" xfId="11472" xr:uid="{F2C6A05F-B635-4FB4-BD34-C1FBDD6C250C}"/>
    <cellStyle name="Column Heading 2 13 2" xfId="29020" xr:uid="{0A6337C7-5607-4879-8A1A-F4FB821F31E6}"/>
    <cellStyle name="Column Heading 2 14" xfId="29009" xr:uid="{7DB9E9A3-B822-4CA8-9CFE-57FEE10FE8D8}"/>
    <cellStyle name="Column Heading 2 2" xfId="11473" xr:uid="{FB06C340-3CB7-439F-93F0-4EF2410A2928}"/>
    <cellStyle name="Column Heading 2 2 2" xfId="29021" xr:uid="{DE63A6A7-C2F7-42C0-B50B-F9EF84AE2208}"/>
    <cellStyle name="Column Heading 2 3" xfId="11474" xr:uid="{091C1B0D-407F-4442-B6F8-913D8ADD16AF}"/>
    <cellStyle name="Column Heading 2 3 2" xfId="29022" xr:uid="{1CE496F3-EDF4-46A9-9308-02999B58C7A0}"/>
    <cellStyle name="Column Heading 2 4" xfId="11475" xr:uid="{C052C33A-4DDD-4041-B357-B2F3577C3187}"/>
    <cellStyle name="Column Heading 2 4 2" xfId="29023" xr:uid="{B46CE606-164E-44C4-819E-E4012AD1124C}"/>
    <cellStyle name="Column Heading 2 5" xfId="11476" xr:uid="{1C83A1B7-C8E4-4E34-A7A0-B3BBCD1A6EFD}"/>
    <cellStyle name="Column Heading 2 5 2" xfId="29024" xr:uid="{C30B6204-BF75-44D7-B7F0-1003EF14499C}"/>
    <cellStyle name="Column Heading 2 6" xfId="11477" xr:uid="{1099D601-4CEC-4FAF-9AED-5A0983DB6EC1}"/>
    <cellStyle name="Column Heading 2 6 2" xfId="29025" xr:uid="{7C328E0C-24A9-42C3-84E1-8FFE670F71F6}"/>
    <cellStyle name="Column Heading 2 7" xfId="11478" xr:uid="{E03C7B04-7DC3-430D-AA15-E058030D1688}"/>
    <cellStyle name="Column Heading 2 7 2" xfId="29026" xr:uid="{55B36440-2263-44E7-AC37-45497E52F7FC}"/>
    <cellStyle name="Column Heading 2 8" xfId="11479" xr:uid="{B4F2BE71-90CF-42F4-9FD7-9052E81DF212}"/>
    <cellStyle name="Column Heading 2 8 2" xfId="29027" xr:uid="{8523C9A4-9942-4CA4-9E4B-F9DEB1BD856C}"/>
    <cellStyle name="Column Heading 2 9" xfId="11480" xr:uid="{49B03FEE-4FA2-4F8B-B983-3A38FF3E5232}"/>
    <cellStyle name="Column Heading 2 9 2" xfId="29028" xr:uid="{B11634A5-C145-4FDA-910C-EE8865047EE6}"/>
    <cellStyle name="Column Heading 3" xfId="11481" xr:uid="{52012F97-E521-432F-9556-599FF2973765}"/>
    <cellStyle name="Column Heading 3 2" xfId="29029" xr:uid="{7A8FDE5A-9CD1-438A-A53A-1283E46D93BA}"/>
    <cellStyle name="Column Heading 4" xfId="11482" xr:uid="{4F196F90-F058-40A3-B6E9-0B75702A9019}"/>
    <cellStyle name="Column Heading 4 2" xfId="29030" xr:uid="{0BD35981-CA84-4D4E-9114-61E49998603B}"/>
    <cellStyle name="Column Heading 5" xfId="11483" xr:uid="{C61A050F-60A1-4628-B0C9-5BE7B69D81F8}"/>
    <cellStyle name="Column Heading 5 2" xfId="29031" xr:uid="{C957E055-F84B-4D5F-9A17-12C7D737DC48}"/>
    <cellStyle name="Column Heading 6" xfId="11484" xr:uid="{CD9EAF60-DCCD-4E52-A54A-FFBDEAA8262E}"/>
    <cellStyle name="Column Heading 6 2" xfId="29032" xr:uid="{D49DD15B-996A-43A7-A968-52355E8C924A}"/>
    <cellStyle name="Column Heading 7" xfId="11485" xr:uid="{18C968FB-0BBB-455C-BA3E-A36EE52AFC98}"/>
    <cellStyle name="Column Heading 7 2" xfId="29033" xr:uid="{47A9BB3F-5524-4367-B412-A2B66434CD2B}"/>
    <cellStyle name="Column Heading 8" xfId="11486" xr:uid="{DBC344C1-D11E-4549-B0C9-BF7FCC5F0DF0}"/>
    <cellStyle name="Column Heading 8 2" xfId="29034" xr:uid="{0AB6EA36-9DEC-435B-8E9E-C8C5941106EB}"/>
    <cellStyle name="Column Heading 9" xfId="11487" xr:uid="{E523DE24-AEF1-4FC9-BD33-8AB61D9C1D5E}"/>
    <cellStyle name="Column Heading 9 2" xfId="29035" xr:uid="{FA8F60EB-6C64-4F32-8BE4-34CFC43FBE4E}"/>
    <cellStyle name="Column_Title" xfId="11488" xr:uid="{1D4910A4-19A4-4089-BB14-69C5772C07A0}"/>
    <cellStyle name="CombinedVol_Data" xfId="11489" xr:uid="{FFA88247-5E9B-49A0-86A8-36427347239E}"/>
    <cellStyle name="Comma" xfId="1" builtinId="3"/>
    <cellStyle name="Comma  - Style1" xfId="11490" xr:uid="{987DB7FE-216C-4843-88C6-897F9C064A3F}"/>
    <cellStyle name="Comma  - Style1 2" xfId="11491" xr:uid="{20CCBE4A-5F5A-4381-8DE5-1120BAECEEF4}"/>
    <cellStyle name="Comma  - Style1 3" xfId="11492" xr:uid="{109EF38E-9FBC-4C6B-835D-568448A395C0}"/>
    <cellStyle name="Comma  - Style2" xfId="11493" xr:uid="{FABB26AF-48DC-4EF0-B266-9A7D365DD3BB}"/>
    <cellStyle name="Comma  - Style2 2" xfId="11494" xr:uid="{1F8076CD-F4D1-4CAE-9F3E-CC891B4C69ED}"/>
    <cellStyle name="Comma  - Style2 3" xfId="11495" xr:uid="{039CBEDF-38BA-4BF2-BC7B-6D60092DB646}"/>
    <cellStyle name="Comma  - Style3" xfId="11496" xr:uid="{9800D2D3-855E-4138-9F2E-7669AA7675CC}"/>
    <cellStyle name="Comma  - Style3 2" xfId="11497" xr:uid="{9545E4DE-1F31-4C5E-BC2F-C1CB84E9A05F}"/>
    <cellStyle name="Comma  - Style3 3" xfId="11498" xr:uid="{625577C7-1D24-40FB-A547-0EC2B75585FC}"/>
    <cellStyle name="Comma  - Style4" xfId="11499" xr:uid="{098703CA-223C-47C8-AE9E-780FA11E472A}"/>
    <cellStyle name="Comma  - Style4 2" xfId="11500" xr:uid="{11DECFDC-42A7-4F17-8595-A348C92EBC47}"/>
    <cellStyle name="Comma  - Style4 3" xfId="11501" xr:uid="{81A7CEB6-9B1C-4B17-A941-11B9CF0FF4F8}"/>
    <cellStyle name="Comma  - Style5" xfId="11502" xr:uid="{174CF05A-6F94-4D9C-A8A8-BEF35B2111D7}"/>
    <cellStyle name="Comma  - Style5 2" xfId="11503" xr:uid="{A25F6EBA-52EE-4A55-BD99-E2332DB49452}"/>
    <cellStyle name="Comma  - Style5 3" xfId="11504" xr:uid="{B09FF78B-CFE6-4147-AF7C-A70837717AAA}"/>
    <cellStyle name="Comma  - Style6" xfId="11505" xr:uid="{BD0426C3-4AEE-4703-A0DD-8476DCBDF9DA}"/>
    <cellStyle name="Comma  - Style6 2" xfId="11506" xr:uid="{906A45AD-182B-4961-A973-99BD6DEDA6AC}"/>
    <cellStyle name="Comma  - Style6 3" xfId="11507" xr:uid="{CDFFFF6C-A8C4-4DFF-A0BC-1170E023548D}"/>
    <cellStyle name="Comma  - Style7" xfId="11508" xr:uid="{B8975631-45E2-402E-A6D1-6FA7167190F7}"/>
    <cellStyle name="Comma  - Style7 2" xfId="11509" xr:uid="{713C3C71-C57E-4777-A346-5E59E4B256F5}"/>
    <cellStyle name="Comma  - Style7 3" xfId="11510" xr:uid="{40177A65-75A2-43D0-A0CE-77A144DB1DC7}"/>
    <cellStyle name="Comma  - Style8" xfId="11511" xr:uid="{B6738B18-0408-4324-BFFD-A7CD8F810E5F}"/>
    <cellStyle name="Comma  - Style8 2" xfId="11512" xr:uid="{55F4446C-C6F7-4BCD-ABEF-CB4233DFD28A}"/>
    <cellStyle name="Comma  - Style8 3" xfId="11513" xr:uid="{F0DC5FDF-68CA-4B10-8AAE-4D4479541B15}"/>
    <cellStyle name="Comma (0)" xfId="11514" xr:uid="{5F89D6B8-9B5E-423D-8F4F-FF16C0F08119}"/>
    <cellStyle name="Comma [0]" xfId="2" builtinId="6"/>
    <cellStyle name="Comma [0] 2" xfId="8" xr:uid="{16F7026B-59CC-4D48-8417-3AA27ABB62C1}"/>
    <cellStyle name="Comma [0] 2 2" xfId="11516" xr:uid="{8F9C1615-89A2-41B7-ACBA-00865435C52A}"/>
    <cellStyle name="Comma [0] 2 3" xfId="11517" xr:uid="{B1ED5A5F-E7DA-4FB1-AF71-D9176C2A4E10}"/>
    <cellStyle name="Comma [0] 2 4" xfId="11515" xr:uid="{9E327E49-0D15-4C0E-A2C0-49A68E761BAF}"/>
    <cellStyle name="Comma [0] 2 5" xfId="36" xr:uid="{768A6FE8-305A-4D70-9B0F-C6371D1E269C}"/>
    <cellStyle name="Comma [0] 3" xfId="15" xr:uid="{00000000-0005-0000-0000-00003A000000}"/>
    <cellStyle name="Comma [0] 3 2" xfId="11519" xr:uid="{FAC37EC8-088E-45FF-9A06-971F01C1E0DE}"/>
    <cellStyle name="Comma [0] 3 3" xfId="11518" xr:uid="{9BB4969B-D0E5-406D-824B-4E6D9B820999}"/>
    <cellStyle name="Comma [0] 3 4" xfId="25" xr:uid="{D2923EB6-72BF-4F77-BBC8-00411D63558B}"/>
    <cellStyle name="Comma [0] 4" xfId="11520" xr:uid="{B69633E5-CC40-40FC-BD70-7D0C8BF80EF6}"/>
    <cellStyle name="Comma [0] 4 2" xfId="26370" xr:uid="{CC4E5EEB-4374-434B-AB39-B774F63519A9}"/>
    <cellStyle name="Comma [0] 5" xfId="27427" xr:uid="{FA55CC03-F6B0-4A9C-9D7E-253E4886E16A}"/>
    <cellStyle name="Comma [0] 6" xfId="27429" xr:uid="{DD06C3A2-0603-40BA-97D8-EE92EC142754}"/>
    <cellStyle name="Comma [0] 7" xfId="23" xr:uid="{2D78D72B-7174-471F-8538-4E8A3D12A338}"/>
    <cellStyle name="Comma [00]" xfId="11521" xr:uid="{B52CDBD4-8FFB-479A-9211-FECA83FBA5A8}"/>
    <cellStyle name="Comma [00] 2" xfId="11522" xr:uid="{C50B5FB9-97F4-4A95-AC83-B23F105F2825}"/>
    <cellStyle name="Comma 10" xfId="22" xr:uid="{1431C814-F3F9-4877-9C84-E4AA9AE0C4F0}"/>
    <cellStyle name="Comma 11" xfId="23737" xr:uid="{A3D3F7D7-741A-462A-9388-80EB783B82BF}"/>
    <cellStyle name="Comma 12" xfId="25437" xr:uid="{B84CF111-C19F-40D2-B550-E84DEFD775E3}"/>
    <cellStyle name="Comma 12 2" xfId="25429" xr:uid="{A89F9FB7-8B1F-4971-9158-02A1054513A4}"/>
    <cellStyle name="Comma 12 2 2" xfId="25435" xr:uid="{63EB9B9D-16CB-4240-B76E-BD5847EB9388}"/>
    <cellStyle name="Comma 12 2 2 2" xfId="25438" xr:uid="{993FC287-F444-4360-8364-D674C7362112}"/>
    <cellStyle name="Comma 12 2 2 2 2" xfId="27423" xr:uid="{02B98217-35E5-4238-92B6-54A2C9C71FC8}"/>
    <cellStyle name="Comma 12 2 2 3" xfId="27420" xr:uid="{AEC96083-59E4-45BB-9982-5A74B7C44E52}"/>
    <cellStyle name="Comma 12 2 3" xfId="27419" xr:uid="{A5F074C0-7FFB-4B5C-964C-73AC00C995D9}"/>
    <cellStyle name="Comma 12 3" xfId="27422" xr:uid="{87E376F4-7429-448B-A2A1-65BDEF610F22}"/>
    <cellStyle name="Comma 13" xfId="27428" xr:uid="{F7BA8045-8D1D-4267-982F-E1F7C2685B76}"/>
    <cellStyle name="Comma 14" xfId="37744" xr:uid="{C107CA61-4C28-4763-9E9D-BF480B9510E3}"/>
    <cellStyle name="Comma 15" xfId="28057" xr:uid="{31C26DA7-ACDC-499D-B1FA-490D45542C44}"/>
    <cellStyle name="Comma 2" xfId="14" xr:uid="{00000000-0005-0000-0000-000039000000}"/>
    <cellStyle name="Comma 2 2" xfId="11524" xr:uid="{B7C3DAD1-C183-491C-8A75-67390713CFAF}"/>
    <cellStyle name="Comma 2 2 2" xfId="11525" xr:uid="{D9C26E13-3015-49A1-B3F8-3A3977E0082F}"/>
    <cellStyle name="Comma 2 2 2 2" xfId="26373" xr:uid="{2048655F-A4E5-4E25-BE0D-04969033BD45}"/>
    <cellStyle name="Comma 2 2 3" xfId="11526" xr:uid="{CB625FA9-C100-4526-B20D-A284784D9D14}"/>
    <cellStyle name="Comma 2 2 3 2" xfId="26374" xr:uid="{4E4CC102-8438-4FA9-AD20-F077EF182F17}"/>
    <cellStyle name="Comma 2 2 4" xfId="26372" xr:uid="{3FF6EB7E-82FA-488A-8B6C-29E0EA3D96FE}"/>
    <cellStyle name="Comma 2 3" xfId="11527" xr:uid="{000D0CED-677F-4BAA-831E-E066A3E27618}"/>
    <cellStyle name="Comma 2 3 2" xfId="26375" xr:uid="{407735B5-C0E9-4B86-A074-57A2DF05A636}"/>
    <cellStyle name="Comma 2 4" xfId="11528" xr:uid="{EED35E57-8435-4612-B543-C1AD4A6793DC}"/>
    <cellStyle name="Comma 2 4 2" xfId="26376" xr:uid="{776EA9DE-7C6D-483A-A5B7-A5E9CE8203AD}"/>
    <cellStyle name="Comma 2 5" xfId="25428" xr:uid="{5AC6D0DE-BBBB-4991-803F-A4F4AFA39524}"/>
    <cellStyle name="Comma 2 6" xfId="26371" xr:uid="{9C1015C4-D47F-4A6B-9529-083889AD2F26}"/>
    <cellStyle name="Comma 2 7" xfId="27426" xr:uid="{471562E3-50B3-4B43-B137-6FE9D1207DE5}"/>
    <cellStyle name="Comma 2 8" xfId="11523" xr:uid="{FE9E7F8F-4528-4156-A094-8B9E95EE3F2D}"/>
    <cellStyle name="Comma 3" xfId="16" xr:uid="{7F65A41F-A375-4307-BD8A-C34AF03E8CFF}"/>
    <cellStyle name="Comma 3 2" xfId="11530" xr:uid="{DB828C66-60B4-4098-A002-D086BA9F0041}"/>
    <cellStyle name="Comma 3 3" xfId="11531" xr:uid="{0A5FEFE1-ECCB-4BA5-B741-E20CB62A35D6}"/>
    <cellStyle name="Comma 3 3 2" xfId="26377" xr:uid="{BFDCFC31-00A2-4769-89CE-037CB4F2D87D}"/>
    <cellStyle name="Comma 3 4" xfId="11529" xr:uid="{0D64994E-F2CB-433F-8BA2-85DC5D6ACD62}"/>
    <cellStyle name="Comma 3 5" xfId="26" xr:uid="{387D1A6E-92A6-45EE-A421-DC9CB84E0DB0}"/>
    <cellStyle name="Comma 4" xfId="17" xr:uid="{47992CC1-C80D-490F-B496-C71134FE22E3}"/>
    <cellStyle name="Comma 4 2" xfId="11533" xr:uid="{54157E68-D065-4F65-9C80-B40026DD6AEF}"/>
    <cellStyle name="Comma 4 2 2" xfId="26379" xr:uid="{862E9974-572B-4621-B69C-3B4DC3B0C8FA}"/>
    <cellStyle name="Comma 4 3" xfId="11534" xr:uid="{80E7C815-9F70-48AB-B472-6C92EF2B4C15}"/>
    <cellStyle name="Comma 4 4" xfId="26378" xr:uid="{14BA0447-BD12-4D7E-8FCD-258E01AC429A}"/>
    <cellStyle name="Comma 4 5" xfId="11532" xr:uid="{9C5C732B-0E43-4A95-AAF2-B386E6D372F5}"/>
    <cellStyle name="Comma 5" xfId="20" xr:uid="{B99B8169-A55A-4354-BB2E-A44D89147590}"/>
    <cellStyle name="Comma 5 2" xfId="11536" xr:uid="{AD621459-357F-4886-B4E0-88BC7792FBEB}"/>
    <cellStyle name="Comma 5 3" xfId="11535" xr:uid="{35D1619D-5144-4E70-96D9-D5A7885B59B8}"/>
    <cellStyle name="Comma 6" xfId="11537" xr:uid="{1020F0A6-5C82-46D1-A77B-835A27A4191F}"/>
    <cellStyle name="Comma 6 2" xfId="11538" xr:uid="{59EC7EB4-FD35-47E4-B2A4-E7AA188DF484}"/>
    <cellStyle name="Comma 6 3" xfId="26380" xr:uid="{07C570A8-A085-4377-8330-FB67C4321405}"/>
    <cellStyle name="Comma 7" xfId="11539" xr:uid="{FE117E0C-9027-4BC0-9C76-213CDCEF6BA9}"/>
    <cellStyle name="Comma 8" xfId="25425" xr:uid="{F285A758-E117-48C1-A76F-3F2CE1C48679}"/>
    <cellStyle name="Comma 9" xfId="25442" xr:uid="{049DA176-90E4-4A52-B458-B3807B6C935E}"/>
    <cellStyle name="comma zerodec" xfId="11540" xr:uid="{F66AC593-337B-4CE3-9A01-0AA6FE2D95DD}"/>
    <cellStyle name="Comma0" xfId="11541" xr:uid="{268318BB-0874-45AE-955E-54F213AB955C}"/>
    <cellStyle name="Comma0 - Style3" xfId="11542" xr:uid="{BA97A07D-3D98-4013-8140-8E8E7369B560}"/>
    <cellStyle name="Comma0 2" xfId="11543" xr:uid="{4EA7A023-5DFA-4C87-BBC2-8BAE468222AB}"/>
    <cellStyle name="Comma0 2 2" xfId="11544" xr:uid="{167AC6F5-4E7C-4768-B066-DACBE4DB6E5A}"/>
    <cellStyle name="Comma0 2 3" xfId="11545" xr:uid="{81E20864-D7EC-4B53-82A0-DB5BD6181B8C}"/>
    <cellStyle name="Comma0_◆車種原価の集約(2011.12.09版)" xfId="11546" xr:uid="{3E9F117D-2248-4EB7-9E44-224B6696DB94}"/>
    <cellStyle name="Comma1 - Style1" xfId="11547" xr:uid="{7E3704D2-2E56-4F66-A1CB-9685804C764B}"/>
    <cellStyle name="Commentaire" xfId="11548" xr:uid="{78761FC8-C963-4D2E-A77B-74975F4781F5}"/>
    <cellStyle name="Commentaire 10" xfId="11549" xr:uid="{D1DFF438-A018-4AE6-B2E3-01B658B70269}"/>
    <cellStyle name="Commentaire 10 2" xfId="38743" xr:uid="{FB8249EB-688A-4C60-89FE-3CD1A46FC677}"/>
    <cellStyle name="Commentaire 11" xfId="11550" xr:uid="{DC20C6F3-72C9-4B2E-AA78-4498A4F5A808}"/>
    <cellStyle name="Commentaire 11 2" xfId="38742" xr:uid="{E032EBAB-E0CD-4FAC-BAF9-746DA5F36E59}"/>
    <cellStyle name="Commentaire 12" xfId="11551" xr:uid="{E645B1A0-94A1-4B75-A034-C9D3CEDC28CB}"/>
    <cellStyle name="Commentaire 12 2" xfId="38745" xr:uid="{E0EAA621-9163-4980-9D2F-3F13942C9B52}"/>
    <cellStyle name="Commentaire 13" xfId="11552" xr:uid="{E8351974-E41C-4249-BD52-6FB70A94EF48}"/>
    <cellStyle name="Commentaire 13 2" xfId="38750" xr:uid="{D0049563-680B-4D98-8B3A-AFB6A92876FA}"/>
    <cellStyle name="Commentaire 14" xfId="11553" xr:uid="{BE649D5E-B42B-4A8D-AB8F-78016F24198E}"/>
    <cellStyle name="Commentaire 14 2" xfId="29036" xr:uid="{DB9E15A9-C0C2-41AB-A409-2189110CFD0B}"/>
    <cellStyle name="Commentaire 15" xfId="11554" xr:uid="{EFBEFD3C-7D2D-478C-8BCF-4B102F992D6F}"/>
    <cellStyle name="Commentaire 15 2" xfId="29037" xr:uid="{20DFFC1B-876E-4868-ACD4-53AEB1C9F849}"/>
    <cellStyle name="Commentaire 16" xfId="11555" xr:uid="{C12F1315-0B46-4B5D-8D83-5BB52682E958}"/>
    <cellStyle name="Commentaire 16 2" xfId="29038" xr:uid="{59DEF1AB-F0FA-40DB-BEC2-F548A7A4B58B}"/>
    <cellStyle name="Commentaire 17" xfId="11556" xr:uid="{CC88FCB0-8147-44A3-8BE9-5CAED988CC90}"/>
    <cellStyle name="Commentaire 17 2" xfId="38104" xr:uid="{717C899F-D0DC-4FF8-B20C-28ED5D6FF871}"/>
    <cellStyle name="Commentaire 18" xfId="11557" xr:uid="{49EBF145-922F-4DB8-A17B-FB6C88CB6C04}"/>
    <cellStyle name="Commentaire 18 2" xfId="29039" xr:uid="{32F98E5B-192C-446B-8558-ABC7D77ABE0F}"/>
    <cellStyle name="Commentaire 19" xfId="11558" xr:uid="{D9369079-F0B5-448A-9359-DE43FABF626F}"/>
    <cellStyle name="Commentaire 19 2" xfId="38105" xr:uid="{DFB56D41-8D7B-4267-B3A9-E6452DEE55D3}"/>
    <cellStyle name="Commentaire 2" xfId="11559" xr:uid="{C50F02DB-A26D-430A-B77F-05C7A00F913A}"/>
    <cellStyle name="Commentaire 2 10" xfId="11560" xr:uid="{4DD4F85D-007C-409A-9A1B-AFFDE67BC5E2}"/>
    <cellStyle name="Commentaire 2 10 2" xfId="29040" xr:uid="{9EDA89D1-062F-4B4F-9C1B-4F162A69DBC4}"/>
    <cellStyle name="Commentaire 2 11" xfId="11561" xr:uid="{35613FA0-D631-42EA-95DF-B4F9219264E5}"/>
    <cellStyle name="Commentaire 2 11 2" xfId="38106" xr:uid="{C57BCAE3-04D2-4E57-9ED3-CB768C8AE0F6}"/>
    <cellStyle name="Commentaire 2 12" xfId="11562" xr:uid="{D7430CC5-22FC-4091-8628-07A9952D6026}"/>
    <cellStyle name="Commentaire 2 12 2" xfId="29041" xr:uid="{3E319CFF-CAA1-46C3-9F32-5644FA577374}"/>
    <cellStyle name="Commentaire 2 13" xfId="11563" xr:uid="{92F53718-3E61-4EA8-AF98-2DC1C3E8E130}"/>
    <cellStyle name="Commentaire 2 13 2" xfId="38107" xr:uid="{31E2E001-43B8-42D9-9DCA-B4D1A6B92509}"/>
    <cellStyle name="Commentaire 2 14" xfId="11564" xr:uid="{0F665557-60E5-4890-B357-499F17E54129}"/>
    <cellStyle name="Commentaire 2 14 2" xfId="37749" xr:uid="{2997073C-1880-4D35-A175-BB739CE6A0E4}"/>
    <cellStyle name="Commentaire 2 15" xfId="11565" xr:uid="{648676A7-19B0-4C2D-AE48-F16708CC654B}"/>
    <cellStyle name="Commentaire 2 15 2" xfId="38102" xr:uid="{C11BAC2B-6558-4A0C-9997-49EF12FD47E4}"/>
    <cellStyle name="Commentaire 2 16" xfId="11566" xr:uid="{E3C38458-493D-4E66-9DE8-A16076B66339}"/>
    <cellStyle name="Commentaire 2 16 2" xfId="38749" xr:uid="{79796AD9-35BB-4413-8FF5-6859A165128D}"/>
    <cellStyle name="Commentaire 2 17" xfId="11567" xr:uid="{0F3B2C56-CDBC-46C7-A412-EC1EB6F9789D}"/>
    <cellStyle name="Commentaire 2 17 2" xfId="21" xr:uid="{9EBF5E5E-384D-4D6A-ACFC-8BCCEDF4DC59}"/>
    <cellStyle name="Commentaire 2 18" xfId="11568" xr:uid="{BC0831CB-5799-4748-B0AA-BF5F791EFD82}"/>
    <cellStyle name="Commentaire 2 18 2" xfId="29043" xr:uid="{0D23479B-15B3-4A02-8C89-61B1A4F0EA17}"/>
    <cellStyle name="Commentaire 2 19" xfId="11569" xr:uid="{5D6EC296-3F99-4947-AF95-153C43F7978A}"/>
    <cellStyle name="Commentaire 2 19 2" xfId="29044" xr:uid="{DA66CF97-511C-4BFA-B672-C3CA4B1CECD5}"/>
    <cellStyle name="Commentaire 2 2" xfId="11570" xr:uid="{120FF47F-E825-46BF-903E-913EA72FBF9D}"/>
    <cellStyle name="Commentaire 2 2 10" xfId="11571" xr:uid="{E6FA1E9F-54A5-444D-AAF8-3103095806FD}"/>
    <cellStyle name="Commentaire 2 2 10 2" xfId="29042" xr:uid="{5271E3DB-9B77-4AF4-91AA-33D80535F6CF}"/>
    <cellStyle name="Commentaire 2 2 11" xfId="11572" xr:uid="{C180DAA1-C664-4135-9604-DCF22EE5A72B}"/>
    <cellStyle name="Commentaire 2 2 11 2" xfId="29045" xr:uid="{27B7F9F5-53F2-4044-A048-6211A51C0A53}"/>
    <cellStyle name="Commentaire 2 2 12" xfId="11573" xr:uid="{9739DB90-7BF7-4994-994F-2493B6EDF34F}"/>
    <cellStyle name="Commentaire 2 2 12 2" xfId="29046" xr:uid="{C50DD220-00CD-403E-9A60-AB759EB92F96}"/>
    <cellStyle name="Commentaire 2 2 13" xfId="11574" xr:uid="{9D12F931-E463-4C5D-A251-A7399C53EFDE}"/>
    <cellStyle name="Commentaire 2 2 13 2" xfId="38110" xr:uid="{B64D2467-3806-4FE1-AD63-30FDB012D96A}"/>
    <cellStyle name="Commentaire 2 2 14" xfId="11575" xr:uid="{5675839C-2CD4-4D2E-8973-0C1937834873}"/>
    <cellStyle name="Commentaire 2 2 14 2" xfId="29047" xr:uid="{BC58E93A-5F80-45BC-978E-110EF80BAF9E}"/>
    <cellStyle name="Commentaire 2 2 15" xfId="11576" xr:uid="{0A01FE68-6D3C-4698-A673-E22F1941FD79}"/>
    <cellStyle name="Commentaire 2 2 15 2" xfId="38109" xr:uid="{75E99907-FC7E-4AA5-9F4C-DCAD40A587CA}"/>
    <cellStyle name="Commentaire 2 2 16" xfId="11577" xr:uid="{6AA6AB14-5FCD-4EA7-AE51-1568D62A5892}"/>
    <cellStyle name="Commentaire 2 2 16 2" xfId="29048" xr:uid="{E65ED0E6-DF37-4ACB-91BD-DBB31365D89F}"/>
    <cellStyle name="Commentaire 2 2 17" xfId="11578" xr:uid="{AAD5F940-3F0C-4099-805B-07747B01612E}"/>
    <cellStyle name="Commentaire 2 2 17 2" xfId="29049" xr:uid="{3655A3CC-D98C-499B-96BC-AE04D458359F}"/>
    <cellStyle name="Commentaire 2 2 18" xfId="11579" xr:uid="{0D92D749-1D34-40DD-ABF0-5D5ACB229023}"/>
    <cellStyle name="Commentaire 2 2 18 2" xfId="29050" xr:uid="{5E8AD412-13ED-4A1C-B8CA-A43746B554D1}"/>
    <cellStyle name="Commentaire 2 2 19" xfId="11580" xr:uid="{F2947E48-E7EB-47C9-B2E6-FE0CBC1A14D2}"/>
    <cellStyle name="Commentaire 2 2 19 2" xfId="29051" xr:uid="{4B95A0C1-D66C-47DC-B52A-03DD285D03E7}"/>
    <cellStyle name="Commentaire 2 2 2" xfId="11581" xr:uid="{71A372D9-5C7D-4919-A9A6-E416DE11B41C}"/>
    <cellStyle name="Commentaire 2 2 2 10" xfId="11582" xr:uid="{D798D110-029E-4CD6-8798-3E1FF8A31CBE}"/>
    <cellStyle name="Commentaire 2 2 2 10 2" xfId="29052" xr:uid="{A8484B2F-C34A-4FED-A22A-3367CB3278B0}"/>
    <cellStyle name="Commentaire 2 2 2 11" xfId="11583" xr:uid="{D7288405-F9BA-4071-8012-D88637B10153}"/>
    <cellStyle name="Commentaire 2 2 2 11 2" xfId="37746" xr:uid="{4E1EEA60-222A-48F6-89F2-A627B72ED2EF}"/>
    <cellStyle name="Commentaire 2 2 2 12" xfId="11584" xr:uid="{ACCE2F2E-B4F8-4FDC-BFE0-3E71E1A32A3B}"/>
    <cellStyle name="Commentaire 2 2 2 12 2" xfId="37759" xr:uid="{0A3F66F3-1D11-4874-93A4-52C5FADCAADF}"/>
    <cellStyle name="Commentaire 2 2 2 13" xfId="11585" xr:uid="{9780EF7D-B4D1-4458-A494-F997CD52F2EF}"/>
    <cellStyle name="Commentaire 2 2 2 13 2" xfId="29053" xr:uid="{93501F4E-CC0F-40BE-A36A-C0AC0E2036C6}"/>
    <cellStyle name="Commentaire 2 2 2 14" xfId="11586" xr:uid="{051A6340-3C8F-4240-9151-BE2E9EDE21C1}"/>
    <cellStyle name="Commentaire 2 2 2 14 2" xfId="29054" xr:uid="{90EC70E5-4190-4EDD-AF5C-104A6461C4AD}"/>
    <cellStyle name="Commentaire 2 2 2 15" xfId="11587" xr:uid="{36FF6A30-26DC-40B3-907A-CF908ECDE3FD}"/>
    <cellStyle name="Commentaire 2 2 2 15 2" xfId="29055" xr:uid="{A53A55FA-EDC4-4E50-ABFC-7B18F62B2ED5}"/>
    <cellStyle name="Commentaire 2 2 2 16" xfId="38111" xr:uid="{A0BC3A29-E1B2-43E5-88A9-FA8773FB0CCA}"/>
    <cellStyle name="Commentaire 2 2 2 2" xfId="11588" xr:uid="{A043E7C7-A760-4C47-A3E8-8AA1AF84FD15}"/>
    <cellStyle name="Commentaire 2 2 2 2 2" xfId="29056" xr:uid="{A68D565B-9673-4B00-A755-CA0B3997EBAA}"/>
    <cellStyle name="Commentaire 2 2 2 3" xfId="11589" xr:uid="{AF951FC6-D820-4997-AFA6-17456C6A09EA}"/>
    <cellStyle name="Commentaire 2 2 2 3 2" xfId="29057" xr:uid="{D131743F-2BD7-4DC7-8553-3AAB31F8F833}"/>
    <cellStyle name="Commentaire 2 2 2 4" xfId="11590" xr:uid="{B337B228-BA93-4EA6-A913-8A1C365E2B15}"/>
    <cellStyle name="Commentaire 2 2 2 4 2" xfId="29058" xr:uid="{5C9D5754-E903-4E7F-AF76-288AE1BB7D5C}"/>
    <cellStyle name="Commentaire 2 2 2 5" xfId="11591" xr:uid="{FC4CB6B3-BC71-4E36-93DD-0E96B3BB5381}"/>
    <cellStyle name="Commentaire 2 2 2 5 2" xfId="29059" xr:uid="{3F93C876-A2B9-4511-846D-CC9F4FA10434}"/>
    <cellStyle name="Commentaire 2 2 2 6" xfId="11592" xr:uid="{17983212-75DD-4C7E-94A8-D0977EBAAE80}"/>
    <cellStyle name="Commentaire 2 2 2 6 2" xfId="29060" xr:uid="{E680CD99-72C4-4037-9A29-4B66A5D5BE16}"/>
    <cellStyle name="Commentaire 2 2 2 7" xfId="11593" xr:uid="{FA06E0B1-3EF9-4080-8606-0425B684A8CD}"/>
    <cellStyle name="Commentaire 2 2 2 7 2" xfId="29061" xr:uid="{D7F9C390-2379-4829-85AC-786735E45B78}"/>
    <cellStyle name="Commentaire 2 2 2 8" xfId="11594" xr:uid="{6CFF99F2-3359-4EBB-9E91-089EF7AAABD6}"/>
    <cellStyle name="Commentaire 2 2 2 8 2" xfId="29062" xr:uid="{B06323DD-55A1-486D-A61F-4BEE6FA22498}"/>
    <cellStyle name="Commentaire 2 2 2 9" xfId="11595" xr:uid="{0E2215B2-E99D-4988-ACCE-07F891B608B1}"/>
    <cellStyle name="Commentaire 2 2 2 9 2" xfId="29063" xr:uid="{F7ACFEF9-2672-4896-8CC5-B7A9942A7814}"/>
    <cellStyle name="Commentaire 2 2 20" xfId="38108" xr:uid="{638D27EB-2791-4755-858E-AE15F293BB63}"/>
    <cellStyle name="Commentaire 2 2 3" xfId="11596" xr:uid="{BD1DB7ED-5A01-4FBE-9A4E-B86B9924D3CE}"/>
    <cellStyle name="Commentaire 2 2 3 2" xfId="29064" xr:uid="{F4A597B7-CDDE-46A1-99C3-880AA4A992CC}"/>
    <cellStyle name="Commentaire 2 2 4" xfId="11597" xr:uid="{292833F9-9BC5-4EF0-8E45-3A949BAFF4BC}"/>
    <cellStyle name="Commentaire 2 2 4 2" xfId="29065" xr:uid="{8942A736-B822-458A-9810-BA792B4B6E50}"/>
    <cellStyle name="Commentaire 2 2 5" xfId="11598" xr:uid="{6B4FDFF6-D416-482E-BC82-059626A76C66}"/>
    <cellStyle name="Commentaire 2 2 5 2" xfId="29066" xr:uid="{89EA32B3-020F-4290-8052-970932BBAAA0}"/>
    <cellStyle name="Commentaire 2 2 6" xfId="11599" xr:uid="{7F5EB85B-0F82-4B43-8529-70083BA6E4E9}"/>
    <cellStyle name="Commentaire 2 2 6 2" xfId="29067" xr:uid="{9CCC928B-C158-4157-88BA-68B9364B318D}"/>
    <cellStyle name="Commentaire 2 2 7" xfId="11600" xr:uid="{F6D4FD42-799A-49F5-BA89-37635D339907}"/>
    <cellStyle name="Commentaire 2 2 7 2" xfId="29068" xr:uid="{03BF6F16-DAD0-4688-90A1-7D5D4AF3156F}"/>
    <cellStyle name="Commentaire 2 2 8" xfId="11601" xr:uid="{47B48F9C-611B-4364-99A2-2DBD7CC7DBC8}"/>
    <cellStyle name="Commentaire 2 2 8 2" xfId="29069" xr:uid="{87D9ADD5-0006-4D06-85CD-F86A7BBE0BD0}"/>
    <cellStyle name="Commentaire 2 2 9" xfId="11602" xr:uid="{392573E5-78E0-4A7C-9705-DB220331850E}"/>
    <cellStyle name="Commentaire 2 2 9 2" xfId="29070" xr:uid="{10311DCD-3E3B-462D-939C-8AD8CE7746EA}"/>
    <cellStyle name="Commentaire 2 20" xfId="11603" xr:uid="{99C9A766-01DB-4779-92EA-DC2D599FC5F7}"/>
    <cellStyle name="Commentaire 2 20 2" xfId="29071" xr:uid="{566FC1DD-E0CA-4BB1-AF3C-2ADB5E9D151A}"/>
    <cellStyle name="Commentaire 2 21" xfId="11604" xr:uid="{E5965325-C5E9-4B14-A53B-D1FFA156997E}"/>
    <cellStyle name="Commentaire 2 21 2" xfId="29072" xr:uid="{5A5033C1-E0C9-4DA8-9D2A-B082B4701B16}"/>
    <cellStyle name="Commentaire 2 22" xfId="11605" xr:uid="{5E6F1D62-4096-43E1-9F63-FEAB34F42C2C}"/>
    <cellStyle name="Commentaire 2 22 2" xfId="29073" xr:uid="{47573FDA-8E88-4300-8EDE-0B77A117D69D}"/>
    <cellStyle name="Commentaire 2 23" xfId="11606" xr:uid="{C2E43C69-E696-44F7-B2B1-2B23971E28A9}"/>
    <cellStyle name="Commentaire 2 23 2" xfId="29074" xr:uid="{3AA897B8-D259-48F9-BDB8-B8DB7DB931B1}"/>
    <cellStyle name="Commentaire 2 24" xfId="38103" xr:uid="{F56BC9B6-A383-4BDA-8F3F-B2039D7073CD}"/>
    <cellStyle name="Commentaire 2 3" xfId="11607" xr:uid="{1A9F8F18-3A37-4A15-8674-2ED7BC24FB8F}"/>
    <cellStyle name="Commentaire 2 3 10" xfId="11608" xr:uid="{F07ABE6B-A484-405D-82E8-03B1421FF3D4}"/>
    <cellStyle name="Commentaire 2 3 10 2" xfId="29076" xr:uid="{3433474E-7E59-4FE1-8E19-895B81EFC6E0}"/>
    <cellStyle name="Commentaire 2 3 11" xfId="11609" xr:uid="{0438C071-1D50-407B-9B1B-E3DD8B3E979E}"/>
    <cellStyle name="Commentaire 2 3 11 2" xfId="29077" xr:uid="{D38F335B-797C-4F0E-BC8E-ABCF5A5EBEB6}"/>
    <cellStyle name="Commentaire 2 3 12" xfId="11610" xr:uid="{B40EBD50-CED2-4C0E-88C2-196D0207FA09}"/>
    <cellStyle name="Commentaire 2 3 12 2" xfId="29078" xr:uid="{E8C2ACC4-5AB2-4CC1-841E-FFEF924D547E}"/>
    <cellStyle name="Commentaire 2 3 13" xfId="11611" xr:uid="{AAA6FD26-5ABA-419B-83FF-D17671D42A44}"/>
    <cellStyle name="Commentaire 2 3 13 2" xfId="29079" xr:uid="{BFCE0AC6-C5D9-4E77-9D7E-8909DBB00ED7}"/>
    <cellStyle name="Commentaire 2 3 14" xfId="11612" xr:uid="{D5EC582F-9B45-41AE-B4CC-342406C03C8E}"/>
    <cellStyle name="Commentaire 2 3 14 2" xfId="29080" xr:uid="{93486412-7E8B-4739-8D82-D9E6B8551BF1}"/>
    <cellStyle name="Commentaire 2 3 15" xfId="11613" xr:uid="{A5CADB59-9880-4AFD-B4E6-F5AF8B1E76E3}"/>
    <cellStyle name="Commentaire 2 3 15 2" xfId="29081" xr:uid="{8849F630-2BF0-4575-8143-3A8BE0A00885}"/>
    <cellStyle name="Commentaire 2 3 16" xfId="29075" xr:uid="{236034C3-0B65-452A-8719-F775F979E94A}"/>
    <cellStyle name="Commentaire 2 3 2" xfId="11614" xr:uid="{454467E3-BA9A-483F-9450-331E8A547603}"/>
    <cellStyle name="Commentaire 2 3 2 2" xfId="29082" xr:uid="{7671A4C2-38C1-4D2D-B835-5BDC42EDE06A}"/>
    <cellStyle name="Commentaire 2 3 3" xfId="11615" xr:uid="{A40D4B03-1C24-4AC2-B4D8-ECD46D8ADD98}"/>
    <cellStyle name="Commentaire 2 3 3 2" xfId="29083" xr:uid="{38360F35-1646-452B-87EF-385190322158}"/>
    <cellStyle name="Commentaire 2 3 4" xfId="11616" xr:uid="{533900B1-58F3-4330-895F-5F242B0B8F3A}"/>
    <cellStyle name="Commentaire 2 3 4 2" xfId="29084" xr:uid="{266EE272-1E95-425E-8BCB-636787BE2F37}"/>
    <cellStyle name="Commentaire 2 3 5" xfId="11617" xr:uid="{B10FEA85-E879-4411-A463-68A8A99CDD5B}"/>
    <cellStyle name="Commentaire 2 3 5 2" xfId="29085" xr:uid="{13BA464B-2F7E-477B-9ADB-7B34DDBCDC2F}"/>
    <cellStyle name="Commentaire 2 3 6" xfId="11618" xr:uid="{BFB9D4F1-D6F4-4ECB-916D-A07C88808969}"/>
    <cellStyle name="Commentaire 2 3 6 2" xfId="29086" xr:uid="{2EB29D9F-91D8-4B7D-9B34-84E69B91F08A}"/>
    <cellStyle name="Commentaire 2 3 7" xfId="11619" xr:uid="{97A3B089-4F4C-462D-9411-6E92B7331588}"/>
    <cellStyle name="Commentaire 2 3 7 2" xfId="29087" xr:uid="{A2EC739B-1A73-4322-AEE7-D6796F268BF7}"/>
    <cellStyle name="Commentaire 2 3 8" xfId="11620" xr:uid="{6D9E81EF-1CE2-441D-92A9-22B4835B54F1}"/>
    <cellStyle name="Commentaire 2 3 8 2" xfId="29088" xr:uid="{38F04FB0-249E-4008-86C4-E4751EB0FCC6}"/>
    <cellStyle name="Commentaire 2 3 9" xfId="11621" xr:uid="{8248797B-0D99-40E1-A805-3E644E542A35}"/>
    <cellStyle name="Commentaire 2 3 9 2" xfId="29089" xr:uid="{ACE9D3A4-1A5C-4B04-8CC3-3A2D745536CB}"/>
    <cellStyle name="Commentaire 2 4" xfId="11622" xr:uid="{68393092-CF8D-4296-B14A-C6604F88EF39}"/>
    <cellStyle name="Commentaire 2 4 2" xfId="29090" xr:uid="{5A762606-579E-4BA6-8795-1C8C1673A0A4}"/>
    <cellStyle name="Commentaire 2 5" xfId="11623" xr:uid="{001C779C-A8CD-4860-87BA-BFAB47DE8C32}"/>
    <cellStyle name="Commentaire 2 5 2" xfId="29091" xr:uid="{9DB55961-A512-46B4-B966-9848147E4FB0}"/>
    <cellStyle name="Commentaire 2 6" xfId="11624" xr:uid="{242773BD-BC6F-4CFA-96A9-A8C2BE8EA4DF}"/>
    <cellStyle name="Commentaire 2 6 2" xfId="29092" xr:uid="{9C3C84E6-0AA2-4545-9D3D-E75A2ABCE46D}"/>
    <cellStyle name="Commentaire 2 7" xfId="11625" xr:uid="{BD49729F-5EF5-4D5E-970C-FA73B2054A11}"/>
    <cellStyle name="Commentaire 2 7 2" xfId="29093" xr:uid="{AE224AA1-52D0-4752-80EE-537B6F423D94}"/>
    <cellStyle name="Commentaire 2 8" xfId="11626" xr:uid="{1675005C-5790-4624-9110-29EA5E978A44}"/>
    <cellStyle name="Commentaire 2 8 2" xfId="29094" xr:uid="{B799826E-4284-44E7-BFC1-934E531228B6}"/>
    <cellStyle name="Commentaire 2 9" xfId="11627" xr:uid="{2CEFC1FF-4B19-4CB4-A72D-AE11BB205E00}"/>
    <cellStyle name="Commentaire 2 9 2" xfId="29095" xr:uid="{56CE7D6A-DF0D-4DE4-A60A-DBDDB977B357}"/>
    <cellStyle name="Commentaire 20" xfId="11628" xr:uid="{2536D83E-FC63-42AB-AA3F-17DA7B8DABF9}"/>
    <cellStyle name="Commentaire 20 2" xfId="29096" xr:uid="{5C1116F7-C63C-48F4-B833-6B3963C9E44F}"/>
    <cellStyle name="Commentaire 21" xfId="11629" xr:uid="{08B73FC9-07FE-4638-B05D-EF12AA40D7FA}"/>
    <cellStyle name="Commentaire 21 2" xfId="29097" xr:uid="{EA27F0D6-83F6-4FA1-AE9C-C124E313EE79}"/>
    <cellStyle name="Commentaire 22" xfId="11630" xr:uid="{39552016-5D02-4F0B-8E4C-F6A4B3877CDA}"/>
    <cellStyle name="Commentaire 22 2" xfId="29098" xr:uid="{BD6A14D6-F11B-47DF-B8D8-610C212FABAD}"/>
    <cellStyle name="Commentaire 23" xfId="11631" xr:uid="{847DFA2A-AD80-4B3B-A12A-AD76A8512C94}"/>
    <cellStyle name="Commentaire 23 2" xfId="29099" xr:uid="{98E848C9-A681-4E2F-BAC0-9F891F471DA0}"/>
    <cellStyle name="Commentaire 24" xfId="11632" xr:uid="{27EDB394-74CC-4829-A370-916DDE9361DA}"/>
    <cellStyle name="Commentaire 24 2" xfId="29100" xr:uid="{539E2ACF-75AA-4D30-AEFA-E4D8F8610E61}"/>
    <cellStyle name="Commentaire 25" xfId="11633" xr:uid="{8F8CCD42-3E10-40EE-BFA2-F2F0B60F0FEF}"/>
    <cellStyle name="Commentaire 25 2" xfId="29101" xr:uid="{6D11458E-04A1-44C5-9646-2E5384F49834}"/>
    <cellStyle name="Commentaire 26" xfId="38746" xr:uid="{BD1FAE46-B86D-487B-8CB0-D5ED8011109E}"/>
    <cellStyle name="Commentaire 3" xfId="11634" xr:uid="{2BC82900-929C-4CA5-A22E-D0A9E53BBF4E}"/>
    <cellStyle name="Commentaire 3 10" xfId="11635" xr:uid="{B8710284-5322-4B6E-B896-1FCA39940BA1}"/>
    <cellStyle name="Commentaire 3 10 2" xfId="29103" xr:uid="{8CF69B4D-031F-4F71-942E-7422267D6F72}"/>
    <cellStyle name="Commentaire 3 11" xfId="11636" xr:uid="{4BAB59B0-EF34-4F45-AC2A-5978647C719A}"/>
    <cellStyle name="Commentaire 3 11 2" xfId="29104" xr:uid="{DC091E8A-26E6-4111-B25C-AC740554C617}"/>
    <cellStyle name="Commentaire 3 12" xfId="11637" xr:uid="{08C8E7D1-4428-42D1-B9A6-6916D4E5B05E}"/>
    <cellStyle name="Commentaire 3 12 2" xfId="29105" xr:uid="{9AEE422E-0952-46AE-A518-54D61D2D1EB7}"/>
    <cellStyle name="Commentaire 3 13" xfId="11638" xr:uid="{26C587DB-4BD8-4279-ACF6-62AF3679F30F}"/>
    <cellStyle name="Commentaire 3 13 2" xfId="29106" xr:uid="{CA19D8CF-B5F7-4BA0-8AD9-F91A48A57EDC}"/>
    <cellStyle name="Commentaire 3 14" xfId="11639" xr:uid="{22C7EC91-B2DE-4B8B-9B95-B4DAE2451FAA}"/>
    <cellStyle name="Commentaire 3 14 2" xfId="29107" xr:uid="{8F533C6C-D5CD-4A97-B97E-1B0FD1CB7BDF}"/>
    <cellStyle name="Commentaire 3 15" xfId="11640" xr:uid="{FC274F17-FBE5-4CC6-B2FC-098EBA7CB6C1}"/>
    <cellStyle name="Commentaire 3 15 2" xfId="29108" xr:uid="{75DA1CBB-6C35-46CF-AA4F-F393B3CB73D3}"/>
    <cellStyle name="Commentaire 3 16" xfId="11641" xr:uid="{032FBB61-A58F-4020-AEFA-1DA30C160C81}"/>
    <cellStyle name="Commentaire 3 16 2" xfId="29109" xr:uid="{73336C3A-345C-42DB-B781-157051CD2464}"/>
    <cellStyle name="Commentaire 3 17" xfId="11642" xr:uid="{1367D93C-0FDF-49FA-B097-A4E9FC55B3E0}"/>
    <cellStyle name="Commentaire 3 17 2" xfId="29110" xr:uid="{26B55DFE-15CB-43E2-99AA-5E9C41C5484A}"/>
    <cellStyle name="Commentaire 3 18" xfId="11643" xr:uid="{DD0B8B65-D4CD-4C83-A6EE-BD77B11B88CF}"/>
    <cellStyle name="Commentaire 3 18 2" xfId="29111" xr:uid="{A1315856-31D6-4BE0-A80E-81656C19F2D0}"/>
    <cellStyle name="Commentaire 3 19" xfId="11644" xr:uid="{66F5243E-3A76-4C8E-92C9-BE6C399826AE}"/>
    <cellStyle name="Commentaire 3 19 2" xfId="29112" xr:uid="{2B9C8496-E72A-47C5-A249-561D10B15EF7}"/>
    <cellStyle name="Commentaire 3 2" xfId="11645" xr:uid="{9AF45194-9C1C-42C1-AE3D-6356CCE6FDAF}"/>
    <cellStyle name="Commentaire 3 2 10" xfId="11646" xr:uid="{70883EAA-E6A5-4DF1-9F86-3E16EB0F4164}"/>
    <cellStyle name="Commentaire 3 2 10 2" xfId="29114" xr:uid="{02078139-7E3C-48E1-B6DB-62F7837C4C01}"/>
    <cellStyle name="Commentaire 3 2 11" xfId="11647" xr:uid="{51B0B249-D236-4553-81B1-C149B923D1A3}"/>
    <cellStyle name="Commentaire 3 2 11 2" xfId="29115" xr:uid="{37346C42-1A97-44A9-AF9F-D6027A3DC1A3}"/>
    <cellStyle name="Commentaire 3 2 12" xfId="11648" xr:uid="{6D69D5A0-6655-48AB-B352-73CDDE41A79A}"/>
    <cellStyle name="Commentaire 3 2 12 2" xfId="29116" xr:uid="{771F8569-DA75-4AFA-B007-A30718352461}"/>
    <cellStyle name="Commentaire 3 2 13" xfId="11649" xr:uid="{3C962B33-AAD7-4471-BB76-AEF2DE78EDD9}"/>
    <cellStyle name="Commentaire 3 2 13 2" xfId="29117" xr:uid="{CA066C2A-7185-4FA7-9045-D1B51361F2F8}"/>
    <cellStyle name="Commentaire 3 2 14" xfId="11650" xr:uid="{E6DB1DF3-9A36-4A73-81AB-D9A9A83E4BF0}"/>
    <cellStyle name="Commentaire 3 2 14 2" xfId="29118" xr:uid="{8D9B1B38-D960-44E1-ACCE-548881BE6791}"/>
    <cellStyle name="Commentaire 3 2 15" xfId="11651" xr:uid="{1BA23CB0-93E2-4DB0-8CD8-5A775426D6A1}"/>
    <cellStyle name="Commentaire 3 2 15 2" xfId="29119" xr:uid="{2E561F93-8FB3-45CA-871E-EB61ECDC1295}"/>
    <cellStyle name="Commentaire 3 2 16" xfId="29113" xr:uid="{8DFB1460-BA4E-49B7-86DD-347C1CD35798}"/>
    <cellStyle name="Commentaire 3 2 2" xfId="11652" xr:uid="{A796363B-AA43-4A71-AC7D-C8AFF86F5690}"/>
    <cellStyle name="Commentaire 3 2 2 2" xfId="29120" xr:uid="{EED29547-94A8-4A9D-B328-3F205B2BA5E3}"/>
    <cellStyle name="Commentaire 3 2 3" xfId="11653" xr:uid="{30C6CFF3-2981-40DD-85C9-5CAA5CEF9BBD}"/>
    <cellStyle name="Commentaire 3 2 3 2" xfId="29121" xr:uid="{8FD33C33-F886-46CF-885E-8BD77C9D1874}"/>
    <cellStyle name="Commentaire 3 2 4" xfId="11654" xr:uid="{F30BC3ED-A5A5-4C93-9AFF-8AAEC12296C0}"/>
    <cellStyle name="Commentaire 3 2 4 2" xfId="29122" xr:uid="{754C6D02-DD3F-46C1-9A62-461D4ADE7BE9}"/>
    <cellStyle name="Commentaire 3 2 5" xfId="11655" xr:uid="{9E927167-CD08-4632-B170-4B3DE04E5342}"/>
    <cellStyle name="Commentaire 3 2 5 2" xfId="29123" xr:uid="{2F2C74C7-B3E3-43D4-8C67-AA6A929356ED}"/>
    <cellStyle name="Commentaire 3 2 6" xfId="11656" xr:uid="{8454A3C9-1534-4EB9-81BA-08692F34319E}"/>
    <cellStyle name="Commentaire 3 2 6 2" xfId="29124" xr:uid="{6B9C55E3-A178-4FDA-A809-C1EB83988021}"/>
    <cellStyle name="Commentaire 3 2 7" xfId="11657" xr:uid="{5BB9DBB6-F649-41EB-80D1-734EC9980F3A}"/>
    <cellStyle name="Commentaire 3 2 7 2" xfId="29125" xr:uid="{2DC4CE38-643E-4E9D-83F1-5F0707010D48}"/>
    <cellStyle name="Commentaire 3 2 8" xfId="11658" xr:uid="{1784A792-ABA4-45F7-A368-BC4CD0E99E57}"/>
    <cellStyle name="Commentaire 3 2 8 2" xfId="29126" xr:uid="{7D0E23EC-6E21-421B-B68A-5D24C7E54171}"/>
    <cellStyle name="Commentaire 3 2 9" xfId="11659" xr:uid="{E1CFACA1-B306-487E-A49A-5294F884661F}"/>
    <cellStyle name="Commentaire 3 2 9 2" xfId="29127" xr:uid="{4B3109D9-3ABF-4926-AA56-0E51205FA94F}"/>
    <cellStyle name="Commentaire 3 20" xfId="29102" xr:uid="{E554D946-BBE1-4F09-BDBA-23B3113D887B}"/>
    <cellStyle name="Commentaire 3 3" xfId="11660" xr:uid="{9F175A01-A5D1-44E7-976B-B0F06213DED4}"/>
    <cellStyle name="Commentaire 3 3 2" xfId="29128" xr:uid="{F320B0CE-E8EE-4106-A3F0-1411404E7472}"/>
    <cellStyle name="Commentaire 3 4" xfId="11661" xr:uid="{1940B133-9289-4F81-91B0-2480F099F43B}"/>
    <cellStyle name="Commentaire 3 4 2" xfId="29129" xr:uid="{98D497E8-27C3-4619-84F8-E72782B99E34}"/>
    <cellStyle name="Commentaire 3 5" xfId="11662" xr:uid="{031A928F-27FC-4C68-96E1-72B99FF62072}"/>
    <cellStyle name="Commentaire 3 5 2" xfId="29130" xr:uid="{64B3D5F5-6379-40C8-B9D2-805FD84A2466}"/>
    <cellStyle name="Commentaire 3 6" xfId="11663" xr:uid="{ABF7CF10-6A04-407F-BC5E-730FF76DB7D6}"/>
    <cellStyle name="Commentaire 3 6 2" xfId="29131" xr:uid="{F66BA80A-24F3-4D15-A7DD-10C9D2C664F2}"/>
    <cellStyle name="Commentaire 3 7" xfId="11664" xr:uid="{53EC45DD-D739-42D9-9E4D-B28004D2E34F}"/>
    <cellStyle name="Commentaire 3 7 2" xfId="29132" xr:uid="{59ED14F5-84C3-4209-9FEE-FD73B1A9D219}"/>
    <cellStyle name="Commentaire 3 8" xfId="11665" xr:uid="{1D8D2C3C-C646-49D5-B97D-44ABBAE5732C}"/>
    <cellStyle name="Commentaire 3 8 2" xfId="29133" xr:uid="{9DE75A3E-5FDF-4E09-898C-0F8EA527203B}"/>
    <cellStyle name="Commentaire 3 9" xfId="11666" xr:uid="{3FC03BAD-E5A3-41C3-B55E-41DD6BDC5D78}"/>
    <cellStyle name="Commentaire 3 9 2" xfId="29134" xr:uid="{192DD71F-6656-4A27-94E3-F15110C8883C}"/>
    <cellStyle name="Commentaire 4" xfId="11667" xr:uid="{017AFEA6-A5C1-443A-9567-3922830C8FFA}"/>
    <cellStyle name="Commentaire 4 10" xfId="11668" xr:uid="{DE1C47C1-8E75-4201-A7FB-26E8BA7C4163}"/>
    <cellStyle name="Commentaire 4 10 2" xfId="29136" xr:uid="{D3DC16CD-240F-4A5A-9CD5-9733CBF28630}"/>
    <cellStyle name="Commentaire 4 11" xfId="11669" xr:uid="{8588F463-D58F-41BB-8192-98FE56F9FF8E}"/>
    <cellStyle name="Commentaire 4 11 2" xfId="29137" xr:uid="{0AF5ADF6-53B6-4C7E-BAFC-D16B12E1B937}"/>
    <cellStyle name="Commentaire 4 12" xfId="11670" xr:uid="{FED2D7F9-C01D-4A60-A6AF-B3BCABD6EB86}"/>
    <cellStyle name="Commentaire 4 12 2" xfId="29138" xr:uid="{4C4BB880-18A9-4122-962C-8A848BBB3E0C}"/>
    <cellStyle name="Commentaire 4 13" xfId="11671" xr:uid="{A58689C6-5982-4131-A8E2-23686547D066}"/>
    <cellStyle name="Commentaire 4 13 2" xfId="29139" xr:uid="{E476F2DC-5748-4FE0-BDB3-B659AA793B28}"/>
    <cellStyle name="Commentaire 4 14" xfId="11672" xr:uid="{4FD2C763-096E-4CB3-B81F-A60215403CE8}"/>
    <cellStyle name="Commentaire 4 14 2" xfId="29140" xr:uid="{B6F18BDC-179C-4E34-BCC7-DF0996940A93}"/>
    <cellStyle name="Commentaire 4 15" xfId="11673" xr:uid="{ED21BDF6-744E-4CD8-944F-2B601A0C5C5D}"/>
    <cellStyle name="Commentaire 4 15 2" xfId="29141" xr:uid="{63CADBF3-4EF4-4E83-9C70-091E48F9B31D}"/>
    <cellStyle name="Commentaire 4 16" xfId="11674" xr:uid="{801598DF-BAC9-436A-A25C-14CD0537A795}"/>
    <cellStyle name="Commentaire 4 16 2" xfId="29142" xr:uid="{7897F198-4AE5-46B7-9210-0B719BE5C41E}"/>
    <cellStyle name="Commentaire 4 17" xfId="11675" xr:uid="{AC7B0427-87B0-46A3-B3BC-1018CAAB7981}"/>
    <cellStyle name="Commentaire 4 17 2" xfId="29143" xr:uid="{1979DD7B-E838-41D4-944E-F81EA15F38A3}"/>
    <cellStyle name="Commentaire 4 18" xfId="11676" xr:uid="{F5111411-6F57-4134-9447-97C17915F800}"/>
    <cellStyle name="Commentaire 4 18 2" xfId="29144" xr:uid="{CEFBA113-B54A-4841-B79A-D4ACC5D2D820}"/>
    <cellStyle name="Commentaire 4 19" xfId="29135" xr:uid="{E0B41FF5-8C75-4B12-90AB-62CFED333165}"/>
    <cellStyle name="Commentaire 4 2" xfId="11677" xr:uid="{54E5484B-52B0-4860-92BA-A0C7179A9757}"/>
    <cellStyle name="Commentaire 4 2 10" xfId="11678" xr:uid="{0392A891-93F5-405C-8425-F7FF63951B25}"/>
    <cellStyle name="Commentaire 4 2 10 2" xfId="29146" xr:uid="{54378EC2-2BAA-4D72-8E64-AF21DC0925C2}"/>
    <cellStyle name="Commentaire 4 2 11" xfId="11679" xr:uid="{B290CA18-1DA1-44D1-A30E-2DDFA58620FE}"/>
    <cellStyle name="Commentaire 4 2 11 2" xfId="29147" xr:uid="{A62A6E9D-B458-455B-86A7-36E4CF36FCEB}"/>
    <cellStyle name="Commentaire 4 2 12" xfId="11680" xr:uid="{B6B72673-02FB-43E7-8267-652D89FB4C8D}"/>
    <cellStyle name="Commentaire 4 2 12 2" xfId="29148" xr:uid="{637E651B-9149-4550-BF07-ED650F2A107B}"/>
    <cellStyle name="Commentaire 4 2 13" xfId="11681" xr:uid="{6DA1BD25-19E0-4D28-8816-8379DE667F2C}"/>
    <cellStyle name="Commentaire 4 2 13 2" xfId="29149" xr:uid="{9666BADF-CD7E-4C00-9CB9-905BCE6F218C}"/>
    <cellStyle name="Commentaire 4 2 14" xfId="11682" xr:uid="{E92A579D-E405-4B86-8407-ED212BE80807}"/>
    <cellStyle name="Commentaire 4 2 14 2" xfId="29150" xr:uid="{3F586F72-6B12-4EA6-A66C-83D24632F8C1}"/>
    <cellStyle name="Commentaire 4 2 15" xfId="11683" xr:uid="{3C688B58-A0CB-4EC2-8DC8-AB902BFF5754}"/>
    <cellStyle name="Commentaire 4 2 15 2" xfId="29151" xr:uid="{8AF76926-78A1-434C-9F41-ACD44A31309A}"/>
    <cellStyle name="Commentaire 4 2 16" xfId="29145" xr:uid="{CF6EBE6A-E426-4A1B-9D69-46F0C683DD82}"/>
    <cellStyle name="Commentaire 4 2 2" xfId="11684" xr:uid="{EB486470-9D92-48A6-B370-5192653728E3}"/>
    <cellStyle name="Commentaire 4 2 2 2" xfId="29152" xr:uid="{259CC30C-D842-4B01-AEED-F6F54986A458}"/>
    <cellStyle name="Commentaire 4 2 3" xfId="11685" xr:uid="{C7288292-3373-49C4-95BA-876F95C034B8}"/>
    <cellStyle name="Commentaire 4 2 3 2" xfId="29153" xr:uid="{02628E24-F489-4B48-B33D-2C8BFCE19745}"/>
    <cellStyle name="Commentaire 4 2 4" xfId="11686" xr:uid="{98592294-3E7E-4E32-8984-5AA552212557}"/>
    <cellStyle name="Commentaire 4 2 4 2" xfId="29154" xr:uid="{26D67219-F1BB-452D-9571-F4935CD25F28}"/>
    <cellStyle name="Commentaire 4 2 5" xfId="11687" xr:uid="{0D7E16B2-C663-45B2-B8F8-7FF369764426}"/>
    <cellStyle name="Commentaire 4 2 5 2" xfId="29155" xr:uid="{A774CC75-0C64-4553-84B5-91DB9A79F835}"/>
    <cellStyle name="Commentaire 4 2 6" xfId="11688" xr:uid="{BB1C2546-C7DC-4D92-9242-74E63D134DCF}"/>
    <cellStyle name="Commentaire 4 2 6 2" xfId="29156" xr:uid="{690DBF96-0E70-436D-8CB0-6A46ECF706A6}"/>
    <cellStyle name="Commentaire 4 2 7" xfId="11689" xr:uid="{BA836D0E-DC9D-41F3-81AF-62F8EC8A56E7}"/>
    <cellStyle name="Commentaire 4 2 7 2" xfId="29157" xr:uid="{EBEE147C-C60A-40CD-935B-20712AA4909D}"/>
    <cellStyle name="Commentaire 4 2 8" xfId="11690" xr:uid="{FEFA09EA-DD63-4461-AD47-99978D971B55}"/>
    <cellStyle name="Commentaire 4 2 8 2" xfId="29158" xr:uid="{6666E418-FB5F-4FD3-9A65-11195256ED10}"/>
    <cellStyle name="Commentaire 4 2 9" xfId="11691" xr:uid="{E81AB476-5D85-486D-97E7-A32B22FB1D93}"/>
    <cellStyle name="Commentaire 4 2 9 2" xfId="29159" xr:uid="{9EE2B18A-8CE9-4611-ADB9-5337AB04FF7E}"/>
    <cellStyle name="Commentaire 4 3" xfId="11692" xr:uid="{1D284DFF-37DF-4D3D-A5AE-485E87359D78}"/>
    <cellStyle name="Commentaire 4 3 2" xfId="29160" xr:uid="{ABDB6B50-BD1A-496A-88A4-04800E6E46AD}"/>
    <cellStyle name="Commentaire 4 4" xfId="11693" xr:uid="{D54C3E40-8EB7-466B-A46F-4E49CD479F5E}"/>
    <cellStyle name="Commentaire 4 4 2" xfId="29161" xr:uid="{0829EBA8-85E9-400C-B658-3455D0496D90}"/>
    <cellStyle name="Commentaire 4 5" xfId="11694" xr:uid="{92BF14B9-06CC-4F52-AF1C-A5E2AB85D15A}"/>
    <cellStyle name="Commentaire 4 5 2" xfId="29162" xr:uid="{11224102-5BB8-426F-8AA1-49DCFEE80F49}"/>
    <cellStyle name="Commentaire 4 6" xfId="11695" xr:uid="{753A2C73-306E-42EA-BE3A-2362ED94B42C}"/>
    <cellStyle name="Commentaire 4 6 2" xfId="29163" xr:uid="{B414862F-B2B3-4E36-8FE4-3573DC3EE828}"/>
    <cellStyle name="Commentaire 4 7" xfId="11696" xr:uid="{850D1F2C-7F64-4CA8-9E2A-2B04388FA72C}"/>
    <cellStyle name="Commentaire 4 7 2" xfId="29164" xr:uid="{2D8CAC9D-BD2B-4849-987D-209064121E13}"/>
    <cellStyle name="Commentaire 4 8" xfId="11697" xr:uid="{87C0C100-DF20-495E-B1CB-CF0852F2C023}"/>
    <cellStyle name="Commentaire 4 8 2" xfId="29165" xr:uid="{3DD85532-DE6F-4DB9-A639-3F95C4468EAE}"/>
    <cellStyle name="Commentaire 4 9" xfId="11698" xr:uid="{ABFF771E-E7EC-4F9A-BC1F-F339BC1293F0}"/>
    <cellStyle name="Commentaire 4 9 2" xfId="29166" xr:uid="{90493971-80A9-4870-9C12-A50854B3F317}"/>
    <cellStyle name="Commentaire 5" xfId="11699" xr:uid="{B04764AC-88C9-40C2-AB9C-A98B48C94047}"/>
    <cellStyle name="Commentaire 5 10" xfId="11700" xr:uid="{923D7477-6A18-456B-AE27-725081DD0069}"/>
    <cellStyle name="Commentaire 5 10 2" xfId="29168" xr:uid="{CEDC819F-E16C-484D-ACBC-4D992C194270}"/>
    <cellStyle name="Commentaire 5 11" xfId="11701" xr:uid="{E9110614-72E9-474D-B06F-C1B38DA1734D}"/>
    <cellStyle name="Commentaire 5 11 2" xfId="29169" xr:uid="{2C6614EB-37C0-4832-BA75-8FEBD0B91864}"/>
    <cellStyle name="Commentaire 5 12" xfId="11702" xr:uid="{F02233B7-9410-493D-9297-50EE14E12765}"/>
    <cellStyle name="Commentaire 5 12 2" xfId="29170" xr:uid="{F3DC08CD-5B33-4089-B84D-CBDABA4E3D84}"/>
    <cellStyle name="Commentaire 5 13" xfId="11703" xr:uid="{19F36DCD-5850-4012-A185-1E65C1363DD2}"/>
    <cellStyle name="Commentaire 5 13 2" xfId="29171" xr:uid="{EA6DEEA0-4461-461A-B76D-602D9E702F06}"/>
    <cellStyle name="Commentaire 5 14" xfId="11704" xr:uid="{1E8C2896-37D5-4C2E-B005-0F42606F6D36}"/>
    <cellStyle name="Commentaire 5 14 2" xfId="29172" xr:uid="{4921BCB8-E06D-4273-94E5-DC0D9B006C94}"/>
    <cellStyle name="Commentaire 5 15" xfId="11705" xr:uid="{1A81213B-92B7-4703-8775-CFBCB156A650}"/>
    <cellStyle name="Commentaire 5 15 2" xfId="29173" xr:uid="{D561FD33-8EBD-4422-86A6-DB49893DCF1C}"/>
    <cellStyle name="Commentaire 5 16" xfId="29167" xr:uid="{C4363F76-E805-49CD-984D-6F59CD4322B0}"/>
    <cellStyle name="Commentaire 5 2" xfId="11706" xr:uid="{67AEBD08-B6AF-48F1-978A-303292473868}"/>
    <cellStyle name="Commentaire 5 2 2" xfId="29174" xr:uid="{5B16B6F6-2A08-4356-B2F0-6397FE130EE0}"/>
    <cellStyle name="Commentaire 5 3" xfId="11707" xr:uid="{47B56628-311E-419E-A33F-6B0434A8DB7D}"/>
    <cellStyle name="Commentaire 5 3 2" xfId="29175" xr:uid="{EAB0EEB8-1EB5-4429-9F06-62D962A77B2C}"/>
    <cellStyle name="Commentaire 5 4" xfId="11708" xr:uid="{192197DA-CE91-430F-B90D-9012283D7763}"/>
    <cellStyle name="Commentaire 5 4 2" xfId="29176" xr:uid="{411D06CE-BD1B-4F7D-8F52-147340C65AD2}"/>
    <cellStyle name="Commentaire 5 5" xfId="11709" xr:uid="{C98FDFB6-D7D2-4215-AF37-B819E996CA3F}"/>
    <cellStyle name="Commentaire 5 5 2" xfId="29177" xr:uid="{8066978B-41F6-4531-B449-3C48AC23C38F}"/>
    <cellStyle name="Commentaire 5 6" xfId="11710" xr:uid="{897E1A15-0DA9-42B8-87AC-56AFDC0E8933}"/>
    <cellStyle name="Commentaire 5 6 2" xfId="29178" xr:uid="{08C06E33-3EDF-4E7C-9BAD-B442CDCDC6C1}"/>
    <cellStyle name="Commentaire 5 7" xfId="11711" xr:uid="{C9D4C1E8-EC1D-4D25-B21B-9DFA46DD9934}"/>
    <cellStyle name="Commentaire 5 7 2" xfId="29179" xr:uid="{3F245515-93E7-4C20-9999-F26EDBEA137A}"/>
    <cellStyle name="Commentaire 5 8" xfId="11712" xr:uid="{565401FD-9274-4D59-96FA-93151A959E20}"/>
    <cellStyle name="Commentaire 5 8 2" xfId="29180" xr:uid="{AE97C822-27A8-4DEE-87AB-5B5263A7A588}"/>
    <cellStyle name="Commentaire 5 9" xfId="11713" xr:uid="{5961F489-A20F-4F8C-8F40-7253BD171F01}"/>
    <cellStyle name="Commentaire 5 9 2" xfId="29181" xr:uid="{0E6129DF-C641-4E65-9340-66482C18E401}"/>
    <cellStyle name="Commentaire 6" xfId="11714" xr:uid="{474483FD-A7C4-4D0E-B2E8-2AD9C3586743}"/>
    <cellStyle name="Commentaire 6 2" xfId="29182" xr:uid="{4721A8E5-5E60-4607-A6C0-744CF6F9178D}"/>
    <cellStyle name="Commentaire 7" xfId="11715" xr:uid="{FC848C44-906C-4BF0-9010-A4C4B706F2B5}"/>
    <cellStyle name="Commentaire 7 2" xfId="29183" xr:uid="{43B65289-2368-4223-A042-1AA188B88936}"/>
    <cellStyle name="Commentaire 8" xfId="11716" xr:uid="{1B428E97-5627-4DF5-8DF6-A7A2E3B600BE}"/>
    <cellStyle name="Commentaire 8 2" xfId="29184" xr:uid="{BEDCDE3B-AC92-4982-8D3C-FEEB67292543}"/>
    <cellStyle name="Commentaire 9" xfId="11717" xr:uid="{A25D5592-7F54-46C6-9402-C87D601A01AF}"/>
    <cellStyle name="Commentaire 9 2" xfId="29185" xr:uid="{317B2E27-9867-4386-B7B1-F2990523963B}"/>
    <cellStyle name="Copied" xfId="11718" xr:uid="{AF312533-BA8C-4B47-A04D-C867487296D4}"/>
    <cellStyle name="COPYRIGHT" xfId="11719" xr:uid="{6D9D49DC-3B83-4AC1-B705-455E38E6D0F6}"/>
    <cellStyle name="COST1" xfId="11720" xr:uid="{289A0570-D70F-4417-AAFA-51B3B25A6F6B}"/>
    <cellStyle name="CULBUTEUR/BASCULE" xfId="11721" xr:uid="{9173BC96-8375-48FF-AE9F-F6D511651E3C}"/>
    <cellStyle name="Cur?ncy [0]_QTR94_95_97회비_사업부제품광고제외 (2)_11요식 " xfId="11722" xr:uid="{D0B9D437-8136-4A9C-B5F2-D9272B25D40E}"/>
    <cellStyle name="Curren - Style3" xfId="11723" xr:uid="{450B9E2C-AF30-424D-8781-7AED30E41DC8}"/>
    <cellStyle name="Curren - Style4" xfId="11724" xr:uid="{38F8985B-E803-4C60-9398-FE75239F5B26}"/>
    <cellStyle name="Curren - Style4 2" xfId="11725" xr:uid="{17205A99-60DC-49AD-B68E-24ED56318617}"/>
    <cellStyle name="Curren - Style4 3" xfId="11726" xr:uid="{F8B2CDA0-52D9-463A-8AF1-5CE2EBC5B83E}"/>
    <cellStyle name="Currenc" xfId="11727" xr:uid="{8E8C70E7-91E0-4E5A-99B5-C53D4FC0BF69}"/>
    <cellStyle name="Currenc 2" xfId="11728" xr:uid="{D8EF9F44-8F98-4E28-A936-23343196BB76}"/>
    <cellStyle name="Currenc 3" xfId="11729" xr:uid="{8D78DC92-BE9A-4005-AA3C-9DFD2E782E24}"/>
    <cellStyle name="Currenc 4" xfId="11730" xr:uid="{5A57A21E-A2A9-4DF1-8E0F-761F5906DD30}"/>
    <cellStyle name="Currenc?[0]_MATERAL2_실예PL " xfId="11731" xr:uid="{5774937E-C5DC-44CA-B619-0D095082825D}"/>
    <cellStyle name="Currency $" xfId="11732" xr:uid="{25565857-0ECD-4E90-B2DE-A89E4C2B643C}"/>
    <cellStyle name="Currency (black)" xfId="11733" xr:uid="{42CEAADC-8604-418B-B1C8-950BB2186C38}"/>
    <cellStyle name="Currency (blue)" xfId="11734" xr:uid="{6D41D21B-BEF4-4A7F-B550-41EDD1D7C2E6}"/>
    <cellStyle name="Currency [0] 2" xfId="11736" xr:uid="{0D36176D-02A4-4C66-83F0-18ABE62195AE}"/>
    <cellStyle name="Currency [0] 3" xfId="11737" xr:uid="{80ABE668-26F1-4E4B-A82A-BC12AF5EEE3C}"/>
    <cellStyle name="Currency [0] 4" xfId="11735" xr:uid="{3FAD3DEB-3A6E-4ABF-9B7E-6E64689DC111}"/>
    <cellStyle name="Currency [00]" xfId="11738" xr:uid="{ADB19188-4FBF-4A16-8DE4-BDB084D839CD}"/>
    <cellStyle name="Currency [00] 2" xfId="11739" xr:uid="{3E0065AE-C34A-4D4C-9E93-7EC36D7575EF}"/>
    <cellStyle name="Currency 2" xfId="11740" xr:uid="{580A041C-D0E3-4B4E-9CA0-2D2AFC7AF95B}"/>
    <cellStyle name="Currency 2 2" xfId="11741" xr:uid="{88E6A826-173D-4823-83C9-A924BD731436}"/>
    <cellStyle name="Currency 3" xfId="11742" xr:uid="{CE7FA7BC-396D-47D0-ADCB-6E922FCC86C3}"/>
    <cellStyle name="Currency 3 2" xfId="11743" xr:uid="{27D80262-5AA2-4B7A-92B3-1F8C06D6B635}"/>
    <cellStyle name="Currency 4" xfId="11744" xr:uid="{9D80562C-1AF3-4E57-8222-E21D0BD2D147}"/>
    <cellStyle name="Currency 5" xfId="11745" xr:uid="{2CFDF774-F9A0-4F13-87A7-5EF672CCF133}"/>
    <cellStyle name="Currency0" xfId="11746" xr:uid="{1B5345FD-F827-4B6E-94B8-3E8CEEDA0A09}"/>
    <cellStyle name="Currency0 2" xfId="11747" xr:uid="{B8C164D2-4497-471A-9730-BE28831D7E7B}"/>
    <cellStyle name="Currency0 2 2" xfId="11748" xr:uid="{C67B297A-5922-4C73-B71B-5A4CEF2C7A45}"/>
    <cellStyle name="Currency0 2 3" xfId="11749" xr:uid="{4457F36E-33A5-4687-8FAA-48FD880222B7}"/>
    <cellStyle name="Currency0 3" xfId="11750" xr:uid="{6B7DCB1D-B17A-4884-A480-680D06BB2719}"/>
    <cellStyle name="Currency0 4" xfId="11751" xr:uid="{5FFD128B-04F2-4B35-B43C-ADF76F68548B}"/>
    <cellStyle name="Currency1" xfId="11752" xr:uid="{CDCF8F25-B437-4D23-A97C-8289FE8E90BE}"/>
    <cellStyle name="CurreP" xfId="11753" xr:uid="{9F4B23CF-912D-4E14-B420-DE0A371407F1}"/>
    <cellStyle name="d" xfId="11754" xr:uid="{42795753-DA04-4DD9-98D1-31D3658DE05F}"/>
    <cellStyle name="D)年月" xfId="11758" xr:uid="{0754B2CC-FCA8-499C-9012-AA143DDCF892}"/>
    <cellStyle name="D)年月日" xfId="11759" xr:uid="{F41BA083-3AF5-4EA5-BC11-6C234768F956}"/>
    <cellStyle name="D)日" xfId="11757" xr:uid="{A5FD15CD-22E4-4F5D-A3C8-BEB9BF1B5DA6}"/>
    <cellStyle name="D)月日" xfId="11755" xr:uid="{B2F7FA1D-3509-42A5-BB39-20DEA3422425}"/>
    <cellStyle name="D)月日(m/d)" xfId="11756" xr:uid="{8DC77222-9579-4705-8966-C64F6FDF7BDE}"/>
    <cellStyle name="dak" xfId="11760" xr:uid="{1E605E27-AE93-44F9-BC59-E12C94A0AC6E}"/>
    <cellStyle name="dak 2" xfId="29186" xr:uid="{EF199489-F1AA-4E55-BC1E-70BA2737EF64}"/>
    <cellStyle name="Date" xfId="11761" xr:uid="{D9DA2143-D430-49EC-B163-3255C38C0E5B}"/>
    <cellStyle name="Date 2" xfId="11762" xr:uid="{08471695-DFE5-46BB-AC89-1D7F7C96136A}"/>
    <cellStyle name="Date 2 2" xfId="11763" xr:uid="{D0116FB8-038A-4F3E-9E0B-A6F891D1205D}"/>
    <cellStyle name="Date 2 3" xfId="11764" xr:uid="{7F11A24D-5C5D-4389-85E4-8B64F23B548E}"/>
    <cellStyle name="Date Short" xfId="11765" xr:uid="{B04CF578-A692-42CD-9B83-921AD9CF898A}"/>
    <cellStyle name="Date_【0207】BP_reply_Outside profit_Price List_R" xfId="11766" xr:uid="{D211D862-D829-4916-8CC2-3A7C3033D90C}"/>
    <cellStyle name="Decimal 1" xfId="11767" xr:uid="{FE78D98E-C1ED-4F62-9FD8-4AE68A947440}"/>
    <cellStyle name="Decimal 1 2" xfId="11768" xr:uid="{AAF19DC4-EA39-4D94-B3DD-B9575108C4AD}"/>
    <cellStyle name="Decimal 2" xfId="11769" xr:uid="{849D9706-E5C1-4C2D-B42F-700A2F3030D4}"/>
    <cellStyle name="Decimal 3" xfId="11770" xr:uid="{24CF5B8F-8319-4FF1-87BE-8F3DA997DB0A}"/>
    <cellStyle name="Decimal 3 2" xfId="11771" xr:uid="{420CDB2A-0308-4996-919F-DECD37D91270}"/>
    <cellStyle name="Decimal Number" xfId="11772" xr:uid="{01B3F3A9-6B04-4137-866D-BCB9FC683ACA}"/>
    <cellStyle name="Delete" xfId="11773" xr:uid="{A7BB1976-16F7-446E-9AFD-26E94BCA29F7}"/>
    <cellStyle name="Delete 2" xfId="11774" xr:uid="{9F8D01EE-C078-4DF7-A566-206D8F785C53}"/>
    <cellStyle name="Dezimal [0]_00_12_08 Calculation Forms Version 2" xfId="11775" xr:uid="{61BEEEC3-CAD8-4EB7-9640-969C07F36193}"/>
    <cellStyle name="Dezimal [2]" xfId="11776" xr:uid="{BBFEF879-4061-4F2C-BE2F-ABB84839D3B6}"/>
    <cellStyle name="Dezimal [2] 2" xfId="11777" xr:uid="{703A3C76-B7C8-4408-A9B5-0F3308C238E7}"/>
    <cellStyle name="Dezimal [2] 2 2" xfId="11778" xr:uid="{795046FF-7F8F-4381-BF16-3CA4E66116E6}"/>
    <cellStyle name="Dezimal [2] 2 2 10" xfId="11779" xr:uid="{16419862-EBC9-4C68-A7A3-3A0BA5476584}"/>
    <cellStyle name="Dezimal [2] 2 2 11" xfId="11780" xr:uid="{8E3B4A5A-09E0-4BFD-9C3E-A0FC0DCACEA0}"/>
    <cellStyle name="Dezimal [2] 2 2 12" xfId="11781" xr:uid="{E6D9A14E-0889-4E1D-84B7-7BC832C3C045}"/>
    <cellStyle name="Dezimal [2] 2 2 13" xfId="11782" xr:uid="{F79120BF-7C78-4C04-B36C-EA5E6468F32C}"/>
    <cellStyle name="Dezimal [2] 2 2 14" xfId="11783" xr:uid="{3F1541A8-6716-416C-A555-FB6239DA2092}"/>
    <cellStyle name="Dezimal [2] 2 2 15" xfId="11784" xr:uid="{F3AA2AD1-3932-42A2-98B8-2D3427449658}"/>
    <cellStyle name="Dezimal [2] 2 2 16" xfId="11785" xr:uid="{0F998A40-9E26-4588-9F01-54D001205251}"/>
    <cellStyle name="Dezimal [2] 2 2 17" xfId="11786" xr:uid="{20F0FA67-73A8-4636-902C-ABCA18A35335}"/>
    <cellStyle name="Dezimal [2] 2 2 18" xfId="11787" xr:uid="{E0A36C2D-6BAD-4EC2-9944-0B58142928F9}"/>
    <cellStyle name="Dezimal [2] 2 2 19" xfId="11788" xr:uid="{DDC63A0D-7DB3-4BD4-AB0F-AFD19BB62B14}"/>
    <cellStyle name="Dezimal [2] 2 2 2" xfId="11789" xr:uid="{49A1011D-5851-4341-B87E-7AD27F6285B8}"/>
    <cellStyle name="Dezimal [2] 2 2 20" xfId="11790" xr:uid="{A45CE829-8B37-4D2A-A8F5-B462AE0A74BA}"/>
    <cellStyle name="Dezimal [2] 2 2 21" xfId="11791" xr:uid="{27A75F53-79CA-4ED8-8C57-0F0A56292F9E}"/>
    <cellStyle name="Dezimal [2] 2 2 3" xfId="11792" xr:uid="{8A4075AE-66FD-48C8-8798-0ADB88F062CD}"/>
    <cellStyle name="Dezimal [2] 2 2 4" xfId="11793" xr:uid="{35B586E6-4CDA-4D86-BDDB-BA6BFBF2EE99}"/>
    <cellStyle name="Dezimal [2] 2 2 5" xfId="11794" xr:uid="{3C7EAAC5-E8BC-4D30-B2C4-556D852BF0F5}"/>
    <cellStyle name="Dezimal [2] 2 2 6" xfId="11795" xr:uid="{E1BAB09E-82C5-41F7-8337-941A60B72751}"/>
    <cellStyle name="Dezimal [2] 2 2 7" xfId="11796" xr:uid="{EFBB58D5-20FA-4F6E-8696-8E501E4893C9}"/>
    <cellStyle name="Dezimal [2] 2 2 8" xfId="11797" xr:uid="{73CA722B-C6D4-46BD-95D1-0DB025AFD13F}"/>
    <cellStyle name="Dezimal [2] 2 2 9" xfId="11798" xr:uid="{6F05C659-2C23-47B8-9EDF-83A4B106FEF7}"/>
    <cellStyle name="Dezimal [2] 3" xfId="11799" xr:uid="{FD87DA89-F460-45C7-9CB8-532C5D83EAE5}"/>
    <cellStyle name="Dezimal [2] 3 10" xfId="11800" xr:uid="{38B76516-98C7-4087-9869-5B9849D0DAD2}"/>
    <cellStyle name="Dezimal [2] 3 11" xfId="11801" xr:uid="{3009ACB3-B25C-4F56-ABD9-8BEF8D81BE8A}"/>
    <cellStyle name="Dezimal [2] 3 12" xfId="11802" xr:uid="{2D798D13-326A-4C97-9664-8BA2853ECDFC}"/>
    <cellStyle name="Dezimal [2] 3 13" xfId="11803" xr:uid="{F9108A71-B2DC-4CCA-815A-ECF047D5885A}"/>
    <cellStyle name="Dezimal [2] 3 14" xfId="11804" xr:uid="{DA4B52A0-03CB-4C2B-A430-99CF7B545AF5}"/>
    <cellStyle name="Dezimal [2] 3 15" xfId="11805" xr:uid="{2F137635-150E-4383-904B-4FE754EA289B}"/>
    <cellStyle name="Dezimal [2] 3 16" xfId="11806" xr:uid="{37319204-12A0-441C-8087-B7C018FB343C}"/>
    <cellStyle name="Dezimal [2] 3 17" xfId="11807" xr:uid="{7B97A135-1EE7-4BF0-B148-EC6AEC7F2EE3}"/>
    <cellStyle name="Dezimal [2] 3 18" xfId="11808" xr:uid="{CEF1F8C7-AE89-41A7-9F04-C1E2C82B714F}"/>
    <cellStyle name="Dezimal [2] 3 19" xfId="11809" xr:uid="{AF4D7556-F845-4E3A-BF99-477154C9CFC6}"/>
    <cellStyle name="Dezimal [2] 3 2" xfId="11810" xr:uid="{C03A9ABE-ED56-4206-ABB6-EC27B0269923}"/>
    <cellStyle name="Dezimal [2] 3 20" xfId="11811" xr:uid="{18E01704-894F-470C-8B12-CCB1A1954B89}"/>
    <cellStyle name="Dezimal [2] 3 21" xfId="11812" xr:uid="{D8858C7D-64C2-45E7-BFF0-DAB5CF77151F}"/>
    <cellStyle name="Dezimal [2] 3 3" xfId="11813" xr:uid="{0EC281B8-B36D-4724-8A4A-2E8F57936BA3}"/>
    <cellStyle name="Dezimal [2] 3 4" xfId="11814" xr:uid="{289F12E8-1461-40FF-AC06-A2472745AB4D}"/>
    <cellStyle name="Dezimal [2] 3 5" xfId="11815" xr:uid="{1259022A-2F98-4EEF-AEA7-0B630B2A73B8}"/>
    <cellStyle name="Dezimal [2] 3 6" xfId="11816" xr:uid="{EBAF2CD6-75E0-49B1-853D-78259BA50E5E}"/>
    <cellStyle name="Dezimal [2] 3 7" xfId="11817" xr:uid="{163CDE21-B882-4C73-B67B-CE3EA0592C47}"/>
    <cellStyle name="Dezimal [2] 3 8" xfId="11818" xr:uid="{C1B8D901-4470-4BEC-B235-62CD59921037}"/>
    <cellStyle name="Dezimal [2] 3 9" xfId="11819" xr:uid="{FAC472F7-E609-46D8-987B-DEBCA916AF79}"/>
    <cellStyle name="Dezimal_00_12_08 Calculation Forms Version 2" xfId="11820" xr:uid="{070F1948-D3FA-464A-ABB6-E833A431D7A4}"/>
    <cellStyle name="DL_#_0dp" xfId="11821" xr:uid="{F68C65EC-F264-44C8-A6DD-AF7CCBF9DC9A}"/>
    <cellStyle name="Dollar (zero dec)" xfId="11822" xr:uid="{2A6A5066-85A7-44E2-918F-3221EBDC491F}"/>
    <cellStyle name="Dziesi?tny [0]_Arkusz1" xfId="11823" xr:uid="{405BF164-3293-4B22-9787-B051A238E249}"/>
    <cellStyle name="Dziesi?tny_Arkusz1" xfId="11824" xr:uid="{A5FA0DFF-0A87-4C38-8114-B24C5CEB7C85}"/>
    <cellStyle name="Dziesietny [0]_MTM VP 99 " xfId="11825" xr:uid="{CD13F4C9-FC7A-41BD-BEC6-0E0115A74712}"/>
    <cellStyle name="Dziesietny_CP DIESEL 02-2003" xfId="11826" xr:uid="{2E2D7A77-DDBA-469A-B01E-FE1359D80DE9}"/>
    <cellStyle name="Dziesiêtny_FORMATC1" xfId="11827" xr:uid="{9294400B-2EE7-4F72-B703-F02847D68F6F}"/>
    <cellStyle name="Dziesietny_MTM VP 99 " xfId="11828" xr:uid="{68F0AECE-7E0F-4344-B99B-4D55C4F4D96A}"/>
    <cellStyle name="E&amp;Y House" xfId="11829" xr:uid="{C9D39DD5-9CB7-4D96-8F54-1771EB07A636}"/>
    <cellStyle name="écart" xfId="11830" xr:uid="{77CEA1B8-E178-4899-9EAC-49BBF7530020}"/>
    <cellStyle name="Edited_Data" xfId="11831" xr:uid="{9779852F-9936-4F32-8298-EEEBE1161536}"/>
    <cellStyle name="EIRE" xfId="11832" xr:uid="{877C6140-3BB7-430A-A93E-46EEBC19E33F}"/>
    <cellStyle name="Emphasis 1" xfId="11833" xr:uid="{5CC1A791-D97E-4285-8155-17F2442EAE41}"/>
    <cellStyle name="Emphasis 2" xfId="11834" xr:uid="{92056CB7-184B-4285-BBC4-BAFFB8005227}"/>
    <cellStyle name="Emphasis 3" xfId="11835" xr:uid="{1F5F9CCF-214C-41E3-A62F-4E40043D6EF8}"/>
    <cellStyle name="en" xfId="11836" xr:uid="{59D43812-5E55-4B26-8B99-37AFB10E2A5C}"/>
    <cellStyle name="Encabezado 4" xfId="11837" xr:uid="{0043FB4C-B4C5-48D0-974B-002E4F7AE355}"/>
    <cellStyle name="Énfasis1" xfId="11838" xr:uid="{972741E9-2A02-4598-A6AF-1D0A56BE68B9}"/>
    <cellStyle name="Énfasis2" xfId="11839" xr:uid="{294B42E1-C98C-45DB-85EB-718324A348E3}"/>
    <cellStyle name="Énfasis3" xfId="11840" xr:uid="{3A0EF25D-82DB-4EDF-A729-851B87DFE9F7}"/>
    <cellStyle name="Énfasis4" xfId="11841" xr:uid="{085F582C-1F40-4F23-94E1-22060CE4F52A}"/>
    <cellStyle name="Énfasis5" xfId="11842" xr:uid="{3DE1B21E-78F1-45A8-BEF4-0EC59BCC9489}"/>
    <cellStyle name="Énfasis6" xfId="11843" xr:uid="{71CD900B-726B-4D74-AE57-6EA825FA4694}"/>
    <cellStyle name="Enter Currency (0)" xfId="11844" xr:uid="{C0CB9A2F-4F64-4717-A818-C138BD476E72}"/>
    <cellStyle name="Enter Currency (0) 2" xfId="11845" xr:uid="{D7C9C3D3-E83E-49A0-9996-0968CB8124DF}"/>
    <cellStyle name="Enter Currency (2)" xfId="11846" xr:uid="{22B11675-458A-43FC-B41A-6922A6A1E550}"/>
    <cellStyle name="Enter Currency (2) 2" xfId="11847" xr:uid="{61CBF5ED-9BBC-4E20-8E6B-88234C3A8155}"/>
    <cellStyle name="Enter Units (0)" xfId="11848" xr:uid="{84291C33-CAB7-47DA-868B-E73F8D94A8FC}"/>
    <cellStyle name="Enter Units (0) 2" xfId="11849" xr:uid="{35C89C3A-F24D-4A4B-B7D3-605559DB914A}"/>
    <cellStyle name="Enter Units (1)" xfId="11850" xr:uid="{16E34DFC-1B54-433F-A758-992F25901C71}"/>
    <cellStyle name="Enter Units (1) 2" xfId="11851" xr:uid="{B7FA5393-A4C2-47A2-AA2D-0B8443270B73}"/>
    <cellStyle name="Enter Units (2)" xfId="11852" xr:uid="{FF5EE0AA-9026-4EEE-9AD6-D2693AB47305}"/>
    <cellStyle name="Enter Units (2) 2" xfId="11853" xr:uid="{B85D4DB0-946E-46A4-8C6C-746BB146FBBF}"/>
    <cellStyle name="Entered" xfId="11854" xr:uid="{B14AA782-239B-48ED-A99E-0940A4B7F06D}"/>
    <cellStyle name="Entrada" xfId="11855" xr:uid="{8240E055-220A-4D4B-9D32-555487BDEE6E}"/>
    <cellStyle name="Entrada 10" xfId="11856" xr:uid="{22422FC4-4EE4-4062-9939-491D6A704F51}"/>
    <cellStyle name="Entrada 10 2" xfId="29188" xr:uid="{61D20C3C-CB03-4EF1-96FD-7D2BC998A05D}"/>
    <cellStyle name="Entrada 11" xfId="11857" xr:uid="{47541675-F956-4AC5-8C8B-1649E0A682B8}"/>
    <cellStyle name="Entrada 11 2" xfId="29189" xr:uid="{E0990F06-2586-47DC-ABBF-11C2994B5A9A}"/>
    <cellStyle name="Entrada 12" xfId="11858" xr:uid="{789B4AE8-09C3-4584-ABE0-EEF23D3C2329}"/>
    <cellStyle name="Entrada 12 2" xfId="29190" xr:uid="{F3B5C01E-6B33-4609-AB10-7992AB3C689B}"/>
    <cellStyle name="Entrada 13" xfId="11859" xr:uid="{72DFB4A5-00C7-4C3C-AF36-E0C6874B86B6}"/>
    <cellStyle name="Entrada 13 2" xfId="29191" xr:uid="{D2777758-FCA3-4372-B785-31053BAF090F}"/>
    <cellStyle name="Entrada 14" xfId="11860" xr:uid="{D9E1C913-544F-4162-8FF6-F35AABC1C2CF}"/>
    <cellStyle name="Entrada 14 2" xfId="29192" xr:uid="{8A1DD93B-F89B-4066-B56F-FFA484C96B02}"/>
    <cellStyle name="Entrada 15" xfId="11861" xr:uid="{DF519A37-686B-496E-9257-F9EAEB287926}"/>
    <cellStyle name="Entrada 15 2" xfId="29193" xr:uid="{262D61F2-1FF4-4D55-9F0B-D1859A893D53}"/>
    <cellStyle name="Entrada 16" xfId="11862" xr:uid="{AD2EE7C8-0641-4EB0-9375-EBFBA9C67355}"/>
    <cellStyle name="Entrada 16 2" xfId="29194" xr:uid="{B14AF98B-A73B-4C5C-BE05-E7E768DA6DC5}"/>
    <cellStyle name="Entrada 17" xfId="11863" xr:uid="{6B3F9F52-D86C-4866-B1CE-545B1C9B94E5}"/>
    <cellStyle name="Entrada 17 2" xfId="29195" xr:uid="{1A5877ED-23D5-4894-B6B4-188540D907C1}"/>
    <cellStyle name="Entrada 18" xfId="29187" xr:uid="{00BBB673-87D2-4633-BE34-087CB8034BCE}"/>
    <cellStyle name="Entrada 2" xfId="11864" xr:uid="{77FBEB27-93AF-488E-A7DB-CC33A7965590}"/>
    <cellStyle name="Entrada 2 10" xfId="11865" xr:uid="{B6E4CAE4-D66C-433B-8CE9-599D257C0D71}"/>
    <cellStyle name="Entrada 2 10 2" xfId="29197" xr:uid="{943FFE8E-A58E-41FE-8DF9-E3FE3B69323A}"/>
    <cellStyle name="Entrada 2 11" xfId="11866" xr:uid="{FED4C443-ACE4-40EE-8449-F7637ACB9664}"/>
    <cellStyle name="Entrada 2 11 2" xfId="29198" xr:uid="{018E24B5-0431-475C-8725-4F6900F5D7B6}"/>
    <cellStyle name="Entrada 2 12" xfId="11867" xr:uid="{7069CF83-1E2C-4590-896A-B04869C778A2}"/>
    <cellStyle name="Entrada 2 12 2" xfId="29199" xr:uid="{A9888345-0C46-481D-A802-D3E7DE4B1C1C}"/>
    <cellStyle name="Entrada 2 13" xfId="11868" xr:uid="{9CFD4C69-6DD2-4902-ABEB-884F6CFE3D94}"/>
    <cellStyle name="Entrada 2 13 2" xfId="29200" xr:uid="{D1B1EE5B-C627-4609-9746-16CF36C9DB62}"/>
    <cellStyle name="Entrada 2 14" xfId="11869" xr:uid="{9B975239-6F9F-4C81-B94D-74DC3E572B94}"/>
    <cellStyle name="Entrada 2 14 2" xfId="29201" xr:uid="{AD5E5904-AB90-4854-9A60-88CA59179717}"/>
    <cellStyle name="Entrada 2 15" xfId="11870" xr:uid="{74AA2BEA-DFD4-480D-AC55-6163CC08CE57}"/>
    <cellStyle name="Entrada 2 15 2" xfId="29202" xr:uid="{D33EEC99-96E5-4313-B2C8-C6C87B44B2F6}"/>
    <cellStyle name="Entrada 2 16" xfId="11871" xr:uid="{D6137EC2-5A6B-4924-9E2F-34A57B3C16BA}"/>
    <cellStyle name="Entrada 2 16 2" xfId="29203" xr:uid="{444E21A4-ABE0-48A4-B53A-3AEA2740304C}"/>
    <cellStyle name="Entrada 2 17" xfId="29196" xr:uid="{E6BE185C-5D2F-4971-83A9-E6AE4D2832FB}"/>
    <cellStyle name="Entrada 2 2" xfId="11872" xr:uid="{C9AC1506-4E68-4F9D-A53D-CC79AA721984}"/>
    <cellStyle name="Entrada 2 2 10" xfId="11873" xr:uid="{55AC66C7-4B2B-49A8-8383-302E7392745C}"/>
    <cellStyle name="Entrada 2 2 10 2" xfId="29205" xr:uid="{0F84AAC9-E14D-4CB6-97F3-83EE85D349AD}"/>
    <cellStyle name="Entrada 2 2 11" xfId="11874" xr:uid="{D73DEC94-6A95-490E-B0FE-24891BF7F015}"/>
    <cellStyle name="Entrada 2 2 11 2" xfId="29206" xr:uid="{CA5CB4CA-175E-4CFC-9AD7-D8200C0BC2A3}"/>
    <cellStyle name="Entrada 2 2 12" xfId="11875" xr:uid="{1FB2F796-08E7-484B-99E3-268ABC49A329}"/>
    <cellStyle name="Entrada 2 2 12 2" xfId="29207" xr:uid="{F10DBC01-AA25-45E1-8627-D4C2A83C8644}"/>
    <cellStyle name="Entrada 2 2 13" xfId="11876" xr:uid="{D0CE1F1A-0674-405C-A8A0-8DE93CB3CC64}"/>
    <cellStyle name="Entrada 2 2 13 2" xfId="29208" xr:uid="{EBF8496C-35AF-4551-B5A0-F9E19540CFCB}"/>
    <cellStyle name="Entrada 2 2 14" xfId="11877" xr:uid="{87ED0F31-67E5-4A53-8C17-77A26D692BFB}"/>
    <cellStyle name="Entrada 2 2 14 2" xfId="29209" xr:uid="{2C929CBB-7FE8-45B8-8C13-2209E7878D1E}"/>
    <cellStyle name="Entrada 2 2 15" xfId="29204" xr:uid="{83BB3F71-302E-4190-BBE8-DFD499CDB97C}"/>
    <cellStyle name="Entrada 2 2 2" xfId="11878" xr:uid="{FD9C1D25-5D43-4550-9C89-977D6017D97F}"/>
    <cellStyle name="Entrada 2 2 2 2" xfId="29210" xr:uid="{5AEC7EFD-1DEE-4B4B-A280-AFFA13A31736}"/>
    <cellStyle name="Entrada 2 2 3" xfId="11879" xr:uid="{CEF7FFAA-9F51-4217-B92F-E151B81CF9FB}"/>
    <cellStyle name="Entrada 2 2 3 2" xfId="29211" xr:uid="{F6B1FA4F-DF74-4507-8ADE-2465DA82157A}"/>
    <cellStyle name="Entrada 2 2 4" xfId="11880" xr:uid="{D8BD6331-E4FC-4EB6-B9B8-F4D61AE8220D}"/>
    <cellStyle name="Entrada 2 2 4 2" xfId="29212" xr:uid="{A0266262-9E34-4003-942B-CCEAFBD579AE}"/>
    <cellStyle name="Entrada 2 2 5" xfId="11881" xr:uid="{252B9B47-4263-47B7-8528-3D03F9CF0ACE}"/>
    <cellStyle name="Entrada 2 2 5 2" xfId="29213" xr:uid="{2998D606-EA29-4C98-8132-BE49408AD0FB}"/>
    <cellStyle name="Entrada 2 2 6" xfId="11882" xr:uid="{EF6B92F4-502A-44BD-8365-5BBB204EA2AB}"/>
    <cellStyle name="Entrada 2 2 6 2" xfId="29214" xr:uid="{8B3B5A6C-3606-441B-9AA4-210554CC7043}"/>
    <cellStyle name="Entrada 2 2 7" xfId="11883" xr:uid="{56D6480D-92D5-4C69-BECD-4B4761350A46}"/>
    <cellStyle name="Entrada 2 2 7 2" xfId="29215" xr:uid="{79F8E584-07D9-4DC5-9F9C-BABF383743E6}"/>
    <cellStyle name="Entrada 2 2 8" xfId="11884" xr:uid="{B9310B05-B4DF-45C3-9AE3-1C31BCF8DC2A}"/>
    <cellStyle name="Entrada 2 2 8 2" xfId="29216" xr:uid="{113C7B25-C28B-4F66-9054-C2B331FCEBB7}"/>
    <cellStyle name="Entrada 2 2 9" xfId="11885" xr:uid="{83348EA4-FCE0-4E1B-BFF4-23D3BB2BAF26}"/>
    <cellStyle name="Entrada 2 2 9 2" xfId="29217" xr:uid="{745ABDAB-DE73-421B-938F-F4A59B9A1251}"/>
    <cellStyle name="Entrada 2 3" xfId="11886" xr:uid="{DA91CB6D-3CE8-4DE0-B128-15B552F22B08}"/>
    <cellStyle name="Entrada 2 3 2" xfId="29218" xr:uid="{E0038182-DD13-46BF-81C0-EAE1FD03F7F4}"/>
    <cellStyle name="Entrada 2 4" xfId="11887" xr:uid="{9EEABC47-071E-4730-8FBE-09BCADDC9CB3}"/>
    <cellStyle name="Entrada 2 4 2" xfId="29219" xr:uid="{7617FDD3-707F-4892-B0CE-2A9125256FD2}"/>
    <cellStyle name="Entrada 2 5" xfId="11888" xr:uid="{ECB2DCEA-913B-4FAD-A1A9-68DFDD9A0B2E}"/>
    <cellStyle name="Entrada 2 5 2" xfId="29220" xr:uid="{0638ACC0-98F0-4500-A2EC-11BBFCF98497}"/>
    <cellStyle name="Entrada 2 6" xfId="11889" xr:uid="{F1CAB772-89D0-493E-9063-5E8D579A45B0}"/>
    <cellStyle name="Entrada 2 6 2" xfId="29221" xr:uid="{5A59945E-596B-415B-8070-82350A4D3A94}"/>
    <cellStyle name="Entrada 2 7" xfId="11890" xr:uid="{718B0E37-2A50-4322-82C1-351754FAB2CC}"/>
    <cellStyle name="Entrada 2 7 2" xfId="29222" xr:uid="{FF041706-5F90-4D45-ABB5-80EC3CA7909F}"/>
    <cellStyle name="Entrada 2 8" xfId="11891" xr:uid="{B3863F41-3845-4ED3-9649-E149F003470D}"/>
    <cellStyle name="Entrada 2 8 2" xfId="29223" xr:uid="{1C5EEA5A-B1A5-4C7B-95D3-96BEC7807D8B}"/>
    <cellStyle name="Entrada 2 9" xfId="11892" xr:uid="{CF70C571-DA4B-4530-8941-82E9E0D330AB}"/>
    <cellStyle name="Entrada 2 9 2" xfId="29224" xr:uid="{8FBD6D52-8339-4639-8B6D-39AE39BA1A7D}"/>
    <cellStyle name="Entrada 3" xfId="11893" xr:uid="{33953843-4DBC-42F3-BD0B-257EB178C0D7}"/>
    <cellStyle name="Entrada 3 10" xfId="11894" xr:uid="{C9CAAF93-1DA2-4C10-BEE5-677A5321A859}"/>
    <cellStyle name="Entrada 3 10 2" xfId="29226" xr:uid="{95A08CA8-07C8-43D4-95B3-CE6CABA889E8}"/>
    <cellStyle name="Entrada 3 11" xfId="11895" xr:uid="{D0DB980D-10D6-4EC3-B2B3-8EDFC51B11CA}"/>
    <cellStyle name="Entrada 3 11 2" xfId="29227" xr:uid="{0C06000A-6D2A-4A00-A7CB-A7A9C8BEAF14}"/>
    <cellStyle name="Entrada 3 12" xfId="11896" xr:uid="{71152C33-51BB-4B04-88BA-D96D52DCCAD0}"/>
    <cellStyle name="Entrada 3 12 2" xfId="29228" xr:uid="{BB4ED9C7-ABCE-423E-A357-ADD8A806D9A0}"/>
    <cellStyle name="Entrada 3 13" xfId="11897" xr:uid="{8BD00E76-F40C-425B-B468-711C1F987C4D}"/>
    <cellStyle name="Entrada 3 13 2" xfId="29229" xr:uid="{32E29191-79A8-41A6-B4F5-65D4F7CB5F21}"/>
    <cellStyle name="Entrada 3 14" xfId="11898" xr:uid="{1EBCBD98-90B4-498F-8CF0-632441DD4514}"/>
    <cellStyle name="Entrada 3 14 2" xfId="29230" xr:uid="{0AF2B825-E299-47D7-A72A-58A28FC9C6F5}"/>
    <cellStyle name="Entrada 3 15" xfId="29225" xr:uid="{02BC63D2-D943-4552-BBA8-F7AB1030CB0C}"/>
    <cellStyle name="Entrada 3 2" xfId="11899" xr:uid="{716BD121-6F51-4BA6-AE0A-7C636CAB7554}"/>
    <cellStyle name="Entrada 3 2 2" xfId="29231" xr:uid="{F4F459D2-0C6D-4FDE-8C8B-22F0BB65997C}"/>
    <cellStyle name="Entrada 3 3" xfId="11900" xr:uid="{6C39E5E6-FD39-461E-B460-A4DD6D1BA1BA}"/>
    <cellStyle name="Entrada 3 3 2" xfId="29232" xr:uid="{C289ECC1-C89D-4F3B-9371-910409D6C5CC}"/>
    <cellStyle name="Entrada 3 4" xfId="11901" xr:uid="{60721CF4-E933-4241-BEA1-32DABDF7BA9D}"/>
    <cellStyle name="Entrada 3 4 2" xfId="29233" xr:uid="{FDD4901A-A219-4037-9DF5-6F779B4FA75B}"/>
    <cellStyle name="Entrada 3 5" xfId="11902" xr:uid="{F3B5D39F-ED6C-49FF-B419-FE27101860FF}"/>
    <cellStyle name="Entrada 3 5 2" xfId="29234" xr:uid="{7BBD1A9C-F8FF-46D5-9B03-79AA0E8D2EAE}"/>
    <cellStyle name="Entrada 3 6" xfId="11903" xr:uid="{C85D867E-CF59-4275-BC8A-BB1144081E8A}"/>
    <cellStyle name="Entrada 3 6 2" xfId="29235" xr:uid="{CC99BB70-E297-46DD-B6AA-9306EC966609}"/>
    <cellStyle name="Entrada 3 7" xfId="11904" xr:uid="{6863031C-851C-4B28-9E52-B81B3BD7DA32}"/>
    <cellStyle name="Entrada 3 7 2" xfId="29236" xr:uid="{6F2EECC0-95BC-4782-92E1-300A18BC895B}"/>
    <cellStyle name="Entrada 3 8" xfId="11905" xr:uid="{E45738D3-03F4-445D-8A95-6D9C55CD3D09}"/>
    <cellStyle name="Entrada 3 8 2" xfId="29237" xr:uid="{BE867BFB-E2F7-4525-BF5A-7910A81F06C5}"/>
    <cellStyle name="Entrada 3 9" xfId="11906" xr:uid="{AC9966F8-74B1-44C2-81D8-3C9972A2573F}"/>
    <cellStyle name="Entrada 3 9 2" xfId="29238" xr:uid="{44435A0B-CA9B-4D12-ADFE-6789290216D3}"/>
    <cellStyle name="Entrada 4" xfId="11907" xr:uid="{0171A2DC-6C24-4118-BC41-FF4DEA5ADEC1}"/>
    <cellStyle name="Entrada 4 2" xfId="29239" xr:uid="{BEDBD7BF-B7CB-471F-8764-8D0945841500}"/>
    <cellStyle name="Entrada 5" xfId="11908" xr:uid="{0D0E9776-4500-4257-839E-33DA10F1228B}"/>
    <cellStyle name="Entrada 5 2" xfId="29240" xr:uid="{75B58843-0A35-4DC3-81BC-9DD13E442C08}"/>
    <cellStyle name="Entrada 6" xfId="11909" xr:uid="{FF009BB1-B6C6-458C-AE2D-9532E6CC6808}"/>
    <cellStyle name="Entrada 6 2" xfId="29241" xr:uid="{26AA7015-2956-4FAC-94DD-5401C770D595}"/>
    <cellStyle name="Entrada 7" xfId="11910" xr:uid="{92BF4EE7-EC9B-49E8-B0D4-FEBE9CC6E554}"/>
    <cellStyle name="Entrada 7 2" xfId="29242" xr:uid="{A2AB4680-0186-42DC-8012-A408570EC3EC}"/>
    <cellStyle name="Entrada 8" xfId="11911" xr:uid="{AD1D4522-86D1-43FE-A698-E5B6045551D9}"/>
    <cellStyle name="Entrada 8 2" xfId="29243" xr:uid="{8F5A5114-5D6A-4A25-B1B2-283E4F2C6202}"/>
    <cellStyle name="Entrada 9" xfId="11912" xr:uid="{1131A722-7CA4-4E19-ADC7-D002A6500737}"/>
    <cellStyle name="Entrada 9 2" xfId="29244" xr:uid="{207AF9A8-7EDB-42C9-9235-C0E5972D1B61}"/>
    <cellStyle name="Entrée" xfId="11913" xr:uid="{B042215E-E0D4-4AA3-A225-500AA43A95AF}"/>
    <cellStyle name="Entrée 10" xfId="11914" xr:uid="{A1B7F8BC-BB9C-4151-9A97-201644F5FD84}"/>
    <cellStyle name="Entrée 10 2" xfId="29246" xr:uid="{6F75EE18-89E3-4361-A4A0-AD2645CA624B}"/>
    <cellStyle name="Entrée 11" xfId="11915" xr:uid="{34B20EBF-644E-46D7-BB43-B7606A5FB8D2}"/>
    <cellStyle name="Entrée 11 2" xfId="29247" xr:uid="{A20BF125-A185-44E5-84E9-272DEA01B083}"/>
    <cellStyle name="Entrée 12" xfId="11916" xr:uid="{1801C317-6894-4310-ADC6-7AA709288923}"/>
    <cellStyle name="Entrée 12 2" xfId="29248" xr:uid="{AC4F387C-2027-4EDC-A421-4BD54ECB8090}"/>
    <cellStyle name="Entrée 13" xfId="11917" xr:uid="{29B26A90-2706-4979-B5F0-87CAAC2B3AC8}"/>
    <cellStyle name="Entrée 13 2" xfId="29249" xr:uid="{16BD080C-7AEB-4AF2-B1D7-FF6DB5F52E0A}"/>
    <cellStyle name="Entrée 14" xfId="11918" xr:uid="{C672FF17-8B31-4679-AE76-BAE4146FA7EF}"/>
    <cellStyle name="Entrée 14 2" xfId="29250" xr:uid="{4F25745E-DF92-4E3B-98C0-7B851F5DE477}"/>
    <cellStyle name="Entrée 15" xfId="11919" xr:uid="{C6CA8BD9-3596-42CA-A8C6-06ABD8F7D0AB}"/>
    <cellStyle name="Entrée 15 2" xfId="29251" xr:uid="{2C91728B-B238-456F-B861-03838A680B69}"/>
    <cellStyle name="Entrée 16" xfId="11920" xr:uid="{BC5F2EFC-FA28-4DEF-BA49-C0FBABCBA893}"/>
    <cellStyle name="Entrée 16 2" xfId="29252" xr:uid="{9FD3CDA7-1485-418B-AB19-A4E9500D0B30}"/>
    <cellStyle name="Entrée 17" xfId="11921" xr:uid="{0FB66FED-D25C-4961-A305-D75AAA13FFB6}"/>
    <cellStyle name="Entrée 17 2" xfId="29253" xr:uid="{6226B6ED-4A79-4C6D-A4F1-C7809E3445CB}"/>
    <cellStyle name="Entrée 18" xfId="11922" xr:uid="{431387A6-48DB-43C3-8C2A-2B95198AC5A5}"/>
    <cellStyle name="Entrée 18 2" xfId="29254" xr:uid="{30BB14D1-C6C0-48C8-BBF3-5339C2205581}"/>
    <cellStyle name="Entrée 19" xfId="11923" xr:uid="{C4E0D967-6CE0-469B-B3B1-64E8842894A8}"/>
    <cellStyle name="Entrée 19 2" xfId="29255" xr:uid="{E6DD7DFB-813F-4654-97A3-8DB3328815FF}"/>
    <cellStyle name="Entrée 2" xfId="11924" xr:uid="{FA50D8A0-2A69-4160-BE6E-83A1042A58E9}"/>
    <cellStyle name="Entrée 2 10" xfId="11925" xr:uid="{91214052-8B37-4C9E-8611-49497610767B}"/>
    <cellStyle name="Entrée 2 10 2" xfId="29257" xr:uid="{18175A19-D49B-4BEC-B058-55A8661DF2E0}"/>
    <cellStyle name="Entrée 2 11" xfId="11926" xr:uid="{A2AFE416-1189-4703-8D6B-8C170B19CEE5}"/>
    <cellStyle name="Entrée 2 11 2" xfId="29258" xr:uid="{4B555483-B234-4956-8B37-DE51AED4FD57}"/>
    <cellStyle name="Entrée 2 12" xfId="11927" xr:uid="{5FD068B2-5541-44F0-B759-97D035BDBD87}"/>
    <cellStyle name="Entrée 2 12 2" xfId="29259" xr:uid="{91773482-C848-497C-9F96-5FE8888306F7}"/>
    <cellStyle name="Entrée 2 13" xfId="11928" xr:uid="{ED2BA0E2-9CF8-4F7A-AD01-6414A0CF8948}"/>
    <cellStyle name="Entrée 2 13 2" xfId="29260" xr:uid="{467377BA-D904-4F07-94DE-4F053BC9CC2A}"/>
    <cellStyle name="Entrée 2 14" xfId="11929" xr:uid="{AA9DCB60-B80B-458F-9DC3-6A7C139B7C1F}"/>
    <cellStyle name="Entrée 2 14 2" xfId="29261" xr:uid="{AC23DCBF-FB5E-4753-8A42-AF1544B42AB4}"/>
    <cellStyle name="Entrée 2 15" xfId="11930" xr:uid="{0E33CA20-3F05-41F5-815E-84F31F7FE5F1}"/>
    <cellStyle name="Entrée 2 15 2" xfId="29262" xr:uid="{01B362A9-6055-4A01-AD26-068C1E2EEEC3}"/>
    <cellStyle name="Entrée 2 16" xfId="11931" xr:uid="{D1099152-6822-443A-9B24-16F315501741}"/>
    <cellStyle name="Entrée 2 16 2" xfId="29263" xr:uid="{95FEF97A-AB37-4C58-9D24-8DB2D510B674}"/>
    <cellStyle name="Entrée 2 17" xfId="11932" xr:uid="{16DA43D5-DE6F-4F38-8A91-F1A46AF5EA84}"/>
    <cellStyle name="Entrée 2 17 2" xfId="29264" xr:uid="{E646BB46-C82B-49E1-9EC0-E101A6781880}"/>
    <cellStyle name="Entrée 2 18" xfId="29256" xr:uid="{4633B314-EE99-44C9-B001-48944D87C7AA}"/>
    <cellStyle name="Entrée 2 2" xfId="11933" xr:uid="{5EA03C1F-8713-4E15-BCD6-2B8B4F45C196}"/>
    <cellStyle name="Entrée 2 2 10" xfId="11934" xr:uid="{E65CECA4-B2F6-4A1F-9560-9905CC8F90E7}"/>
    <cellStyle name="Entrée 2 2 10 2" xfId="29266" xr:uid="{C587EE23-3979-4184-A987-CF118420421C}"/>
    <cellStyle name="Entrée 2 2 11" xfId="11935" xr:uid="{8D536321-42C5-47BC-A534-41EA661E2255}"/>
    <cellStyle name="Entrée 2 2 11 2" xfId="29267" xr:uid="{F618D527-7317-4A8D-BAD7-CF06CFBC49A3}"/>
    <cellStyle name="Entrée 2 2 12" xfId="11936" xr:uid="{776F6D6A-795D-465C-8653-3B1AFD981A53}"/>
    <cellStyle name="Entrée 2 2 12 2" xfId="29268" xr:uid="{31B777F9-4DF9-429B-9E91-D382DAC3247E}"/>
    <cellStyle name="Entrée 2 2 13" xfId="11937" xr:uid="{A6BD9C86-CFF4-4823-819D-33423B2883B2}"/>
    <cellStyle name="Entrée 2 2 13 2" xfId="29269" xr:uid="{43DD73E4-EF18-42BA-A87D-B6B1FCC9E187}"/>
    <cellStyle name="Entrée 2 2 14" xfId="11938" xr:uid="{580E69D1-29EB-432C-B852-205494252043}"/>
    <cellStyle name="Entrée 2 2 14 2" xfId="29270" xr:uid="{E95065A5-58D1-42E5-BDB0-32C827D60201}"/>
    <cellStyle name="Entrée 2 2 15" xfId="11939" xr:uid="{3769B720-09AE-4288-9613-23C951EA17E2}"/>
    <cellStyle name="Entrée 2 2 15 2" xfId="29271" xr:uid="{6A055D33-F3A6-4DEE-AB0D-6ABC9AC0A037}"/>
    <cellStyle name="Entrée 2 2 16" xfId="11940" xr:uid="{891D5886-5B54-44C2-AD0B-16E311A3D180}"/>
    <cellStyle name="Entrée 2 2 16 2" xfId="29272" xr:uid="{ED14E723-F1DC-475D-B030-5D1DC0A4D90A}"/>
    <cellStyle name="Entrée 2 2 17" xfId="29265" xr:uid="{98C67C36-2E20-43A0-815C-EC47E4B5C57D}"/>
    <cellStyle name="Entrée 2 2 2" xfId="11941" xr:uid="{F89FD82C-E527-4DE3-9203-BF9ECD862465}"/>
    <cellStyle name="Entrée 2 2 2 10" xfId="11942" xr:uid="{3795D022-4F72-49B0-8755-8B9DB23EED37}"/>
    <cellStyle name="Entrée 2 2 2 10 2" xfId="29274" xr:uid="{9DDC6E88-36AC-482E-97B8-FACEDD2B06E1}"/>
    <cellStyle name="Entrée 2 2 2 11" xfId="11943" xr:uid="{B6E8F6BB-3581-44D9-9BCB-4FBCF2B66177}"/>
    <cellStyle name="Entrée 2 2 2 11 2" xfId="29275" xr:uid="{11F24DEC-0BCB-4BEC-8597-561CC9FB8DCD}"/>
    <cellStyle name="Entrée 2 2 2 12" xfId="11944" xr:uid="{001AE89F-8BAE-424C-9615-9157F04108F4}"/>
    <cellStyle name="Entrée 2 2 2 12 2" xfId="29276" xr:uid="{8660A8FD-0EF9-43BE-B177-AF774E7ED2CD}"/>
    <cellStyle name="Entrée 2 2 2 13" xfId="11945" xr:uid="{1C92E5DB-6624-4744-8398-2A395DDB5D85}"/>
    <cellStyle name="Entrée 2 2 2 13 2" xfId="29277" xr:uid="{5C37BA7E-5AEA-4709-A61E-6BD2D6D1B3EF}"/>
    <cellStyle name="Entrée 2 2 2 14" xfId="11946" xr:uid="{6CBBB185-3BFD-4428-B559-2080687D4141}"/>
    <cellStyle name="Entrée 2 2 2 14 2" xfId="29278" xr:uid="{587CD4D4-1023-4646-AB89-5E49ACED0410}"/>
    <cellStyle name="Entrée 2 2 2 15" xfId="29273" xr:uid="{8D47A933-ABB6-4E44-82BB-92B12B671BF3}"/>
    <cellStyle name="Entrée 2 2 2 2" xfId="11947" xr:uid="{19E45594-3259-42B5-9D55-AC81C4A62CE7}"/>
    <cellStyle name="Entrée 2 2 2 2 2" xfId="29279" xr:uid="{85769DD2-4F60-4027-867C-515BB3405E44}"/>
    <cellStyle name="Entrée 2 2 2 3" xfId="11948" xr:uid="{8CA4D0A2-252D-4829-9AE8-D60BD2FCBD23}"/>
    <cellStyle name="Entrée 2 2 2 3 2" xfId="29280" xr:uid="{21827478-ED1C-48D6-A210-96B00CBE052A}"/>
    <cellStyle name="Entrée 2 2 2 4" xfId="11949" xr:uid="{0DC099BF-9FB8-440C-B1BE-7C7812301450}"/>
    <cellStyle name="Entrée 2 2 2 4 2" xfId="29281" xr:uid="{94369FB9-C3D9-4060-8E30-562415BB1143}"/>
    <cellStyle name="Entrée 2 2 2 5" xfId="11950" xr:uid="{AC84B48E-41E5-4B70-BAF6-2E2C82DCCB3E}"/>
    <cellStyle name="Entrée 2 2 2 5 2" xfId="29282" xr:uid="{57AF8D0B-A66F-4B7F-A9E6-9036F1C55357}"/>
    <cellStyle name="Entrée 2 2 2 6" xfId="11951" xr:uid="{46EB8797-A3A6-4BE1-82E4-BD473B0787EE}"/>
    <cellStyle name="Entrée 2 2 2 6 2" xfId="29283" xr:uid="{3148724A-3CEE-45FF-A3B9-01ADDEFBBCB2}"/>
    <cellStyle name="Entrée 2 2 2 7" xfId="11952" xr:uid="{42D0F8DD-8B73-487F-A410-306BB47CB2DA}"/>
    <cellStyle name="Entrée 2 2 2 7 2" xfId="29284" xr:uid="{0B1D983F-E3DA-4864-A858-394343EF19E5}"/>
    <cellStyle name="Entrée 2 2 2 8" xfId="11953" xr:uid="{C6591CDE-A3E5-491D-9222-8014E52232EA}"/>
    <cellStyle name="Entrée 2 2 2 8 2" xfId="29285" xr:uid="{D74FF466-27AE-46DE-BC6A-1EE9FB8C3297}"/>
    <cellStyle name="Entrée 2 2 2 9" xfId="11954" xr:uid="{6DB9D592-BBD6-4A60-A2B6-D388A3136C1C}"/>
    <cellStyle name="Entrée 2 2 2 9 2" xfId="29286" xr:uid="{CD06E95E-23A5-4C66-89B1-DC04415AB066}"/>
    <cellStyle name="Entrée 2 2 3" xfId="11955" xr:uid="{582F8455-CCA5-4C39-A5D5-90DBFC56C059}"/>
    <cellStyle name="Entrée 2 2 3 2" xfId="29287" xr:uid="{95D46C48-ED64-4004-A75F-B45D9C9AB4D9}"/>
    <cellStyle name="Entrée 2 2 4" xfId="11956" xr:uid="{6769B846-1B18-47C6-B3DD-1CFC245E3371}"/>
    <cellStyle name="Entrée 2 2 4 2" xfId="29288" xr:uid="{AAB1E54F-6BB6-4B9B-921A-EB99E90602C2}"/>
    <cellStyle name="Entrée 2 2 5" xfId="11957" xr:uid="{17E18FD3-D550-4426-8688-14EDF296280C}"/>
    <cellStyle name="Entrée 2 2 5 2" xfId="29289" xr:uid="{4A1F60AE-B6FF-4DCA-8833-5B12D02EEB56}"/>
    <cellStyle name="Entrée 2 2 6" xfId="11958" xr:uid="{521FBB8D-8557-47DD-A10E-A733CB370717}"/>
    <cellStyle name="Entrée 2 2 6 2" xfId="29290" xr:uid="{53A922A6-A694-41F7-8889-4AF127ED31AE}"/>
    <cellStyle name="Entrée 2 2 7" xfId="11959" xr:uid="{C2843C70-E383-4E45-A9C8-E84A25F098EB}"/>
    <cellStyle name="Entrée 2 2 7 2" xfId="29291" xr:uid="{8A5D9C19-7BBF-41EB-B650-66EB20CB7F2B}"/>
    <cellStyle name="Entrée 2 2 8" xfId="11960" xr:uid="{38F22437-2172-4DFB-ADCB-4E0D9E2E519C}"/>
    <cellStyle name="Entrée 2 2 8 2" xfId="29292" xr:uid="{DB6518E7-5B03-45FE-8331-802E1F752567}"/>
    <cellStyle name="Entrée 2 2 9" xfId="11961" xr:uid="{7E1D9A18-DBF3-430D-B278-3886CA913A96}"/>
    <cellStyle name="Entrée 2 2 9 2" xfId="29293" xr:uid="{21A97DCE-1810-49B2-83A0-C9131551A4F5}"/>
    <cellStyle name="Entrée 2 3" xfId="11962" xr:uid="{D40CF8D4-5E26-4DE0-B83A-3CF74C6F4370}"/>
    <cellStyle name="Entrée 2 3 10" xfId="11963" xr:uid="{9DFA6C9D-21D4-4A2B-84CF-3D6ED050CAEF}"/>
    <cellStyle name="Entrée 2 3 10 2" xfId="29295" xr:uid="{BF3ED970-ED10-4C77-913E-BF85BD7CE337}"/>
    <cellStyle name="Entrée 2 3 11" xfId="11964" xr:uid="{2E924676-C387-44A7-90CD-3030FA5938C0}"/>
    <cellStyle name="Entrée 2 3 11 2" xfId="29296" xr:uid="{E747E835-CC7D-4AAD-86D1-F41A14BEB73F}"/>
    <cellStyle name="Entrée 2 3 12" xfId="11965" xr:uid="{BEE1154D-6F75-4ADD-BE27-16DC444B80AF}"/>
    <cellStyle name="Entrée 2 3 12 2" xfId="29297" xr:uid="{4889401A-77A4-40F9-B731-5234679B5C0D}"/>
    <cellStyle name="Entrée 2 3 13" xfId="11966" xr:uid="{B20F9B6A-53FB-47ED-9871-42581C70ED15}"/>
    <cellStyle name="Entrée 2 3 13 2" xfId="29298" xr:uid="{D82A7AFD-12E5-4F17-AB54-ACC279530DD0}"/>
    <cellStyle name="Entrée 2 3 14" xfId="11967" xr:uid="{5300CC49-18EA-4F33-A733-FF9BA29616A2}"/>
    <cellStyle name="Entrée 2 3 14 2" xfId="29299" xr:uid="{C6ABDDC6-D4B5-4EDD-9C5B-4A7472A5977C}"/>
    <cellStyle name="Entrée 2 3 15" xfId="29294" xr:uid="{3D731BAF-2C06-4E4F-89D5-C9C0546265C0}"/>
    <cellStyle name="Entrée 2 3 2" xfId="11968" xr:uid="{F021E4B0-42B9-4176-88FF-AE0F86D8784A}"/>
    <cellStyle name="Entrée 2 3 2 2" xfId="29300" xr:uid="{E65B4500-B738-4530-9820-6EC959AC815C}"/>
    <cellStyle name="Entrée 2 3 3" xfId="11969" xr:uid="{6B078152-BCB1-4E84-A128-6C515E9B2148}"/>
    <cellStyle name="Entrée 2 3 3 2" xfId="29301" xr:uid="{ED4F4E79-4D26-4922-A27E-2D5F27F3602C}"/>
    <cellStyle name="Entrée 2 3 4" xfId="11970" xr:uid="{33E0DE17-47A5-4B53-AB77-052888CB31D9}"/>
    <cellStyle name="Entrée 2 3 4 2" xfId="29302" xr:uid="{4DB7547E-1B66-46A9-9ED0-1306CE5E3C7B}"/>
    <cellStyle name="Entrée 2 3 5" xfId="11971" xr:uid="{D6333F68-F6A5-4DCA-8DB1-D2E1ABEF0CA4}"/>
    <cellStyle name="Entrée 2 3 5 2" xfId="29303" xr:uid="{50943C58-88BE-49EE-9525-75BE372245A8}"/>
    <cellStyle name="Entrée 2 3 6" xfId="11972" xr:uid="{C61B8E29-E30D-450C-BF16-32AA550E7E79}"/>
    <cellStyle name="Entrée 2 3 6 2" xfId="29304" xr:uid="{444F54A4-5395-49AF-943B-F57E46629D3E}"/>
    <cellStyle name="Entrée 2 3 7" xfId="11973" xr:uid="{0B8C9B7E-1FAA-4CEB-9BCD-B41B4DE2B64F}"/>
    <cellStyle name="Entrée 2 3 7 2" xfId="29305" xr:uid="{2BFCA250-B8E9-4A91-9FB7-D49B44D7D3BE}"/>
    <cellStyle name="Entrée 2 3 8" xfId="11974" xr:uid="{691C3FCF-F7C4-41F2-8EE3-E9BF6A76A51D}"/>
    <cellStyle name="Entrée 2 3 8 2" xfId="29306" xr:uid="{5DA70515-AD34-486B-AB13-A92C598C50C0}"/>
    <cellStyle name="Entrée 2 3 9" xfId="11975" xr:uid="{31D16A2F-B54D-4D1C-B9F1-4D5800A3B994}"/>
    <cellStyle name="Entrée 2 3 9 2" xfId="29307" xr:uid="{04716AF3-913D-4577-8CDA-C63CCD473633}"/>
    <cellStyle name="Entrée 2 4" xfId="11976" xr:uid="{C59B9B12-B842-4E64-878A-AD265EEA3E5A}"/>
    <cellStyle name="Entrée 2 4 2" xfId="29308" xr:uid="{07CBEDCF-C924-4CD8-8A46-8E78E5F33A24}"/>
    <cellStyle name="Entrée 2 5" xfId="11977" xr:uid="{9662DBDF-547B-4ABE-8DC6-D1AAF438245B}"/>
    <cellStyle name="Entrée 2 5 2" xfId="29309" xr:uid="{5D6CDD83-1599-4A2E-B2EF-53F7A0D24C67}"/>
    <cellStyle name="Entrée 2 6" xfId="11978" xr:uid="{63D70353-97EB-4F50-B9B4-4FAC463E2465}"/>
    <cellStyle name="Entrée 2 6 2" xfId="29310" xr:uid="{67F4D396-B97C-49CD-A705-B8BB086EDA0B}"/>
    <cellStyle name="Entrée 2 7" xfId="11979" xr:uid="{A33DF2C8-4838-46E8-AB33-A8BC6E0FF417}"/>
    <cellStyle name="Entrée 2 7 2" xfId="29311" xr:uid="{FB045A65-EFD2-4136-B7D8-58B71FC1A314}"/>
    <cellStyle name="Entrée 2 8" xfId="11980" xr:uid="{E4CB2F01-4AB9-4D9E-AEAF-5468EE3C7832}"/>
    <cellStyle name="Entrée 2 8 2" xfId="29312" xr:uid="{01EDFACB-55DB-4242-AE41-7B7B1568E2D4}"/>
    <cellStyle name="Entrée 2 9" xfId="11981" xr:uid="{E19443F8-BF89-4097-80F1-441B7522061C}"/>
    <cellStyle name="Entrée 2 9 2" xfId="29313" xr:uid="{7B9F76CC-2B3F-4D7B-9843-C06BC46F1D87}"/>
    <cellStyle name="Entrée 20" xfId="29245" xr:uid="{21E31CBB-15EE-40E6-A020-608966C51724}"/>
    <cellStyle name="Entrée 3" xfId="11982" xr:uid="{7A4828BD-09F3-4397-B5EA-3E0BFEE3CADE}"/>
    <cellStyle name="Entrée 3 10" xfId="11983" xr:uid="{77C93B8A-6454-40E4-8338-6F276B87068E}"/>
    <cellStyle name="Entrée 3 10 2" xfId="29315" xr:uid="{FD5C9D58-16E0-4394-95B9-DD23922A5499}"/>
    <cellStyle name="Entrée 3 11" xfId="11984" xr:uid="{1E9FF9C7-69EB-41F9-8FA7-92D5DC995A19}"/>
    <cellStyle name="Entrée 3 11 2" xfId="29316" xr:uid="{298F9A9F-0BBE-46A9-BEEC-5838D6D404D0}"/>
    <cellStyle name="Entrée 3 12" xfId="11985" xr:uid="{DAD4C46F-1D0E-4C23-B860-D1569D47F63B}"/>
    <cellStyle name="Entrée 3 12 2" xfId="29317" xr:uid="{1B81A5F2-D85B-49E8-9668-831A46032648}"/>
    <cellStyle name="Entrée 3 13" xfId="11986" xr:uid="{85E8277E-7D72-4794-9C51-9B0F6A610204}"/>
    <cellStyle name="Entrée 3 13 2" xfId="29318" xr:uid="{E56040FC-4EB5-42C6-A14C-D7E7BD49BE9B}"/>
    <cellStyle name="Entrée 3 14" xfId="11987" xr:uid="{F98768C4-1474-4AA6-B56B-F36302636700}"/>
    <cellStyle name="Entrée 3 14 2" xfId="29319" xr:uid="{121B67BF-1E02-42F3-85E0-326E94E1F7D8}"/>
    <cellStyle name="Entrée 3 15" xfId="11988" xr:uid="{EA039FCF-AE30-4912-9FF0-8F95F56F2169}"/>
    <cellStyle name="Entrée 3 15 2" xfId="29320" xr:uid="{B4665CE0-0EE4-4A85-A0D1-EF427D639876}"/>
    <cellStyle name="Entrée 3 16" xfId="11989" xr:uid="{178C65D0-0689-478A-91CD-C4B045EDD020}"/>
    <cellStyle name="Entrée 3 16 2" xfId="29321" xr:uid="{EAA2A045-A495-4245-B386-6D0BC67ECE12}"/>
    <cellStyle name="Entrée 3 17" xfId="29314" xr:uid="{20D60926-A82C-4084-98F6-D71332FC8BDC}"/>
    <cellStyle name="Entrée 3 2" xfId="11990" xr:uid="{DAA6AB8C-3A72-48A0-9575-8EA07F3B74A1}"/>
    <cellStyle name="Entrée 3 2 10" xfId="11991" xr:uid="{77B2D72A-D013-4E34-BCD9-FBABEF3F4E53}"/>
    <cellStyle name="Entrée 3 2 10 2" xfId="29323" xr:uid="{968D4D7C-EE25-404C-B5B1-07512A831217}"/>
    <cellStyle name="Entrée 3 2 11" xfId="11992" xr:uid="{6C9F6E74-BB85-4647-ABD7-B2683D36F320}"/>
    <cellStyle name="Entrée 3 2 11 2" xfId="29324" xr:uid="{AC63C7BF-C122-4C55-8695-415716D886C2}"/>
    <cellStyle name="Entrée 3 2 12" xfId="11993" xr:uid="{C7443549-64A3-4B9F-A72A-5F88B63132A9}"/>
    <cellStyle name="Entrée 3 2 12 2" xfId="29325" xr:uid="{28BF97E6-DF78-4C44-A7D0-BBA8FB159421}"/>
    <cellStyle name="Entrée 3 2 13" xfId="11994" xr:uid="{8A5C8A1A-775D-4313-B464-AD74E22AAA07}"/>
    <cellStyle name="Entrée 3 2 13 2" xfId="29326" xr:uid="{59ED1C41-5711-411F-8715-F76849D3CE38}"/>
    <cellStyle name="Entrée 3 2 14" xfId="11995" xr:uid="{60C6E415-2F40-4993-8DDC-EC106EDBFC20}"/>
    <cellStyle name="Entrée 3 2 14 2" xfId="29327" xr:uid="{E1FBF845-3F98-4242-B007-2E88B212BB52}"/>
    <cellStyle name="Entrée 3 2 15" xfId="29322" xr:uid="{EBC14680-03EB-4979-9502-2DDB4A278B1B}"/>
    <cellStyle name="Entrée 3 2 2" xfId="11996" xr:uid="{1D1A73D8-C817-4D20-BE93-4540FA3CDB2C}"/>
    <cellStyle name="Entrée 3 2 2 2" xfId="29328" xr:uid="{6142F94B-362A-4646-BCAA-F1F266DD0751}"/>
    <cellStyle name="Entrée 3 2 3" xfId="11997" xr:uid="{A2904F3D-5941-4BE9-A35A-1A9A4F7B5155}"/>
    <cellStyle name="Entrée 3 2 3 2" xfId="29329" xr:uid="{E324CFD0-A099-44B9-93C8-91A6B84E7BEF}"/>
    <cellStyle name="Entrée 3 2 4" xfId="11998" xr:uid="{9337D4B2-E773-4743-ACC3-A47A8D6EE58B}"/>
    <cellStyle name="Entrée 3 2 4 2" xfId="29330" xr:uid="{FB78496F-724B-435B-BCED-ECD43E7922B5}"/>
    <cellStyle name="Entrée 3 2 5" xfId="11999" xr:uid="{EA3A4659-50BC-499B-9162-E3B7F7DE2234}"/>
    <cellStyle name="Entrée 3 2 5 2" xfId="29331" xr:uid="{B3316D6F-E9A5-478D-9C23-195DF9836C35}"/>
    <cellStyle name="Entrée 3 2 6" xfId="12000" xr:uid="{B459D386-C142-4437-AEA1-3EB3E2AE7447}"/>
    <cellStyle name="Entrée 3 2 6 2" xfId="29332" xr:uid="{6435B874-9E0A-4638-AFC5-6987F14A7D17}"/>
    <cellStyle name="Entrée 3 2 7" xfId="12001" xr:uid="{42144B87-D4F3-46D1-AD0D-6E902DFDE760}"/>
    <cellStyle name="Entrée 3 2 7 2" xfId="29333" xr:uid="{F0A2DB17-0F1D-4979-9471-6E0D83DE62F5}"/>
    <cellStyle name="Entrée 3 2 8" xfId="12002" xr:uid="{FE03F77A-FA58-4421-B3FE-9C67437DF990}"/>
    <cellStyle name="Entrée 3 2 8 2" xfId="29334" xr:uid="{C0A37B75-A4B8-4F5D-9D21-D0E82900C9B9}"/>
    <cellStyle name="Entrée 3 2 9" xfId="12003" xr:uid="{308C310D-A9E1-4B90-A5E9-B40257119F03}"/>
    <cellStyle name="Entrée 3 2 9 2" xfId="29335" xr:uid="{168B8554-DF62-4795-BD63-2D70402326E4}"/>
    <cellStyle name="Entrée 3 3" xfId="12004" xr:uid="{012889BB-216A-48D7-8CE1-6F25850AD77E}"/>
    <cellStyle name="Entrée 3 3 2" xfId="29336" xr:uid="{EF47267A-50E3-4C49-BB74-76941E95E875}"/>
    <cellStyle name="Entrée 3 4" xfId="12005" xr:uid="{20FFDF51-6AF2-4873-A2EE-1E3316F2E4D3}"/>
    <cellStyle name="Entrée 3 4 2" xfId="29337" xr:uid="{E01F8C25-8BB8-473E-B5CD-9D85D932A00C}"/>
    <cellStyle name="Entrée 3 5" xfId="12006" xr:uid="{DA26270F-96F9-48D3-9E42-04971063EAA4}"/>
    <cellStyle name="Entrée 3 5 2" xfId="29338" xr:uid="{FEA8024A-007C-4F3F-9364-DABA48ADE6DF}"/>
    <cellStyle name="Entrée 3 6" xfId="12007" xr:uid="{9BD207E7-6090-4586-BC5C-DA907571157F}"/>
    <cellStyle name="Entrée 3 6 2" xfId="29339" xr:uid="{1FA50842-172B-42A5-830A-7AA713112500}"/>
    <cellStyle name="Entrée 3 7" xfId="12008" xr:uid="{293529E4-D08E-4DDA-ABF3-9EC1427BBDBD}"/>
    <cellStyle name="Entrée 3 7 2" xfId="29340" xr:uid="{C5ECF535-143C-45DA-B751-EF868D7B26B2}"/>
    <cellStyle name="Entrée 3 8" xfId="12009" xr:uid="{F8E061C1-8215-42FB-B109-C960F975EE78}"/>
    <cellStyle name="Entrée 3 8 2" xfId="29341" xr:uid="{C8DEF913-D712-4518-A553-5B74F6EEBC71}"/>
    <cellStyle name="Entrée 3 9" xfId="12010" xr:uid="{7BF9190E-5CE0-4182-9294-03F31CC5F19F}"/>
    <cellStyle name="Entrée 3 9 2" xfId="29342" xr:uid="{16FAB0C8-E4F3-4495-879F-5AD2CA699CCF}"/>
    <cellStyle name="Entrée 4" xfId="12011" xr:uid="{20B089F3-D458-4FE0-A490-092EC726C94A}"/>
    <cellStyle name="Entrée 4 10" xfId="12012" xr:uid="{8DB11EC9-02B2-450F-ACCE-0F9BDB86FD2E}"/>
    <cellStyle name="Entrée 4 10 2" xfId="29344" xr:uid="{6D1B7341-74D3-428E-9B78-A6FEDB3246D3}"/>
    <cellStyle name="Entrée 4 11" xfId="12013" xr:uid="{270C88F3-6C5B-43F1-9BEE-F1B8B0610058}"/>
    <cellStyle name="Entrée 4 11 2" xfId="29345" xr:uid="{7566EE65-1422-418B-9F27-7FDADD8556D4}"/>
    <cellStyle name="Entrée 4 12" xfId="12014" xr:uid="{C28AB849-B3E9-47BB-BFAD-5D5544083160}"/>
    <cellStyle name="Entrée 4 12 2" xfId="29346" xr:uid="{553BFEC4-8DEE-401E-97E1-B7FF5F4CFB18}"/>
    <cellStyle name="Entrée 4 13" xfId="12015" xr:uid="{190BC9DF-DD5B-4CC9-976F-8101139121E1}"/>
    <cellStyle name="Entrée 4 13 2" xfId="29347" xr:uid="{8EA517C9-6DC1-466A-8B65-4327F55D01B8}"/>
    <cellStyle name="Entrée 4 14" xfId="12016" xr:uid="{C2A6C331-48A6-4AA3-9194-55091A7C6A6E}"/>
    <cellStyle name="Entrée 4 14 2" xfId="29348" xr:uid="{1602EDAE-1DA3-45EF-BC85-2BC0889CAC64}"/>
    <cellStyle name="Entrée 4 15" xfId="12017" xr:uid="{BF0A4ED6-2CFA-4586-B3E3-7C9128EBCD43}"/>
    <cellStyle name="Entrée 4 15 2" xfId="29349" xr:uid="{00D73315-A1AC-44A6-BDA3-72B2131B26B0}"/>
    <cellStyle name="Entrée 4 16" xfId="12018" xr:uid="{DF2EBEF3-1599-411E-AE03-8BDECEC52F81}"/>
    <cellStyle name="Entrée 4 16 2" xfId="29350" xr:uid="{D94DE319-5BE9-49A1-8DF7-DE17A191F8FC}"/>
    <cellStyle name="Entrée 4 17" xfId="29343" xr:uid="{55D827D1-902D-4329-9146-8E0446D3CD4F}"/>
    <cellStyle name="Entrée 4 2" xfId="12019" xr:uid="{CA91BD7A-4A60-4BF9-A386-9E8C826DE350}"/>
    <cellStyle name="Entrée 4 2 10" xfId="12020" xr:uid="{684B72DB-0FE9-4E49-A03F-AF30FB3116EF}"/>
    <cellStyle name="Entrée 4 2 10 2" xfId="29352" xr:uid="{CD14AC71-AAC5-4A3A-870D-A2BAF6C695BB}"/>
    <cellStyle name="Entrée 4 2 11" xfId="12021" xr:uid="{1320C32D-BA97-40D9-B4B2-22A4E9B1D200}"/>
    <cellStyle name="Entrée 4 2 11 2" xfId="29353" xr:uid="{1FD21A3B-6DD4-4699-BD99-D7CB9FE80A94}"/>
    <cellStyle name="Entrée 4 2 12" xfId="12022" xr:uid="{24F4F84F-210E-45B7-BA5E-01315781FDF2}"/>
    <cellStyle name="Entrée 4 2 12 2" xfId="29354" xr:uid="{FF9F002A-B104-417E-AF30-B201DDE74EF1}"/>
    <cellStyle name="Entrée 4 2 13" xfId="12023" xr:uid="{8B8E3CBE-8B43-4211-9AFA-A42857DCB8E8}"/>
    <cellStyle name="Entrée 4 2 13 2" xfId="29355" xr:uid="{CF86A575-E409-4C72-B6D3-B7B2F2804759}"/>
    <cellStyle name="Entrée 4 2 14" xfId="12024" xr:uid="{FF20A795-FABF-45B4-83D0-C3D5A1F84423}"/>
    <cellStyle name="Entrée 4 2 14 2" xfId="29356" xr:uid="{E5ABE605-4D0F-4B17-9422-611C4FE04926}"/>
    <cellStyle name="Entrée 4 2 15" xfId="29351" xr:uid="{31EAFB74-FD52-44BA-8D54-6CE566AA0361}"/>
    <cellStyle name="Entrée 4 2 2" xfId="12025" xr:uid="{93549CE0-D69C-41FB-9143-61A888F1D11D}"/>
    <cellStyle name="Entrée 4 2 2 2" xfId="29357" xr:uid="{B6233E6E-E679-4DD4-B585-C715384BFC30}"/>
    <cellStyle name="Entrée 4 2 3" xfId="12026" xr:uid="{4761D72A-372D-4C2B-800F-515375B0D8F8}"/>
    <cellStyle name="Entrée 4 2 3 2" xfId="29358" xr:uid="{E1A147EC-74AE-4590-80D4-8CDA8CA28ABF}"/>
    <cellStyle name="Entrée 4 2 4" xfId="12027" xr:uid="{0DB14D60-7395-4BAA-B1A6-5C19D09E54F5}"/>
    <cellStyle name="Entrée 4 2 4 2" xfId="29359" xr:uid="{60026E9E-EFD6-49A0-956B-17016F1E2EDC}"/>
    <cellStyle name="Entrée 4 2 5" xfId="12028" xr:uid="{FE48BA24-EBE9-436A-8666-450E8C8A2A80}"/>
    <cellStyle name="Entrée 4 2 5 2" xfId="29360" xr:uid="{55783F9E-EE67-46C5-9625-D61EF7F703B3}"/>
    <cellStyle name="Entrée 4 2 6" xfId="12029" xr:uid="{A216BBBF-84DD-46FD-9534-5492827B1744}"/>
    <cellStyle name="Entrée 4 2 6 2" xfId="29361" xr:uid="{C5458C37-7340-4F8D-AFAE-C6E3DADAE804}"/>
    <cellStyle name="Entrée 4 2 7" xfId="12030" xr:uid="{E03D80A2-7179-47FA-A259-099918F10C42}"/>
    <cellStyle name="Entrée 4 2 7 2" xfId="29362" xr:uid="{BBA68A55-25FB-4974-B7AF-AFD867A02B62}"/>
    <cellStyle name="Entrée 4 2 8" xfId="12031" xr:uid="{1E04D67C-6067-4E29-999A-A3D5F0B7461B}"/>
    <cellStyle name="Entrée 4 2 8 2" xfId="29363" xr:uid="{13184909-86C5-4B88-9F26-29109D7C2BBF}"/>
    <cellStyle name="Entrée 4 2 9" xfId="12032" xr:uid="{C30DA018-D257-4474-BAAF-9A9C76D6B692}"/>
    <cellStyle name="Entrée 4 2 9 2" xfId="29364" xr:uid="{777E083A-EBFC-46E5-9EC2-EE94E8A06D08}"/>
    <cellStyle name="Entrée 4 3" xfId="12033" xr:uid="{C1D607A6-5050-4A3C-8D88-02591699D53E}"/>
    <cellStyle name="Entrée 4 3 2" xfId="29365" xr:uid="{20280A74-F9B5-4775-A9A6-9C8FCF4735DC}"/>
    <cellStyle name="Entrée 4 4" xfId="12034" xr:uid="{88EBCA9C-DE2B-4FA1-922B-0EA54D31E64C}"/>
    <cellStyle name="Entrée 4 4 2" xfId="29366" xr:uid="{D253B104-5D35-4193-8AE3-29070890FBBF}"/>
    <cellStyle name="Entrée 4 5" xfId="12035" xr:uid="{4D5BFC30-7247-40EC-BE3A-C214301AC1E4}"/>
    <cellStyle name="Entrée 4 5 2" xfId="29367" xr:uid="{4A2F80B7-0615-4907-AEBC-1B6251E00D8F}"/>
    <cellStyle name="Entrée 4 6" xfId="12036" xr:uid="{1A8B871F-0EA5-4BDF-9C4D-1CF062146239}"/>
    <cellStyle name="Entrée 4 6 2" xfId="29368" xr:uid="{C4CBA327-1A4E-48D5-9D4B-038DBE7B6DEF}"/>
    <cellStyle name="Entrée 4 7" xfId="12037" xr:uid="{337FBF98-D490-4696-B3B1-819108482130}"/>
    <cellStyle name="Entrée 4 7 2" xfId="29369" xr:uid="{A95A228B-C7F0-4ECA-B383-15A203B35DC4}"/>
    <cellStyle name="Entrée 4 8" xfId="12038" xr:uid="{30205DF7-58E8-412B-BCA4-1FE6BF9E177F}"/>
    <cellStyle name="Entrée 4 8 2" xfId="29370" xr:uid="{F4551614-1EA6-48ED-A373-349673CB561F}"/>
    <cellStyle name="Entrée 4 9" xfId="12039" xr:uid="{FF2496B8-BFF5-42EB-B9D5-064E26B97173}"/>
    <cellStyle name="Entrée 4 9 2" xfId="29371" xr:uid="{9A9820E2-627C-48B1-AD5C-8A91D0604A47}"/>
    <cellStyle name="Entrée 5" xfId="12040" xr:uid="{622199D9-49D8-462B-B49D-79173077D907}"/>
    <cellStyle name="Entrée 5 10" xfId="12041" xr:uid="{5096B7E3-BCB1-4F8F-AEF2-B51CEB2436E8}"/>
    <cellStyle name="Entrée 5 10 2" xfId="29373" xr:uid="{A7E9F58E-B172-4744-8C82-47F0279DF583}"/>
    <cellStyle name="Entrée 5 11" xfId="12042" xr:uid="{38FCA09E-5E6C-4EC7-A63A-6765CBFCE32B}"/>
    <cellStyle name="Entrée 5 11 2" xfId="29374" xr:uid="{914EA78D-E954-4C3B-A52E-F72B5E6870EC}"/>
    <cellStyle name="Entrée 5 12" xfId="12043" xr:uid="{69789C7F-75DD-414C-963C-19C4DA2CEFF8}"/>
    <cellStyle name="Entrée 5 12 2" xfId="29375" xr:uid="{F3A3B4E0-D13E-4370-92E6-999EE0E4351A}"/>
    <cellStyle name="Entrée 5 13" xfId="12044" xr:uid="{1EACC473-5264-4AE3-B151-394E358D6DAD}"/>
    <cellStyle name="Entrée 5 13 2" xfId="29376" xr:uid="{EC25BF0B-10FB-453E-BF0F-0E9088C45F82}"/>
    <cellStyle name="Entrée 5 14" xfId="12045" xr:uid="{7BDB2F94-3882-45EA-BDC8-924017E57399}"/>
    <cellStyle name="Entrée 5 14 2" xfId="29377" xr:uid="{58A999B5-9F38-4EDC-8B39-7F5238F994BA}"/>
    <cellStyle name="Entrée 5 15" xfId="29372" xr:uid="{20919A6D-7892-4CF0-9A0E-7953D2BD65D4}"/>
    <cellStyle name="Entrée 5 2" xfId="12046" xr:uid="{89775056-D2C8-4C2C-9AC6-8E896E61140D}"/>
    <cellStyle name="Entrée 5 2 2" xfId="29378" xr:uid="{B2711DA5-BA6B-4101-837A-46F61F4F10CD}"/>
    <cellStyle name="Entrée 5 3" xfId="12047" xr:uid="{F0ED56E0-2845-4D9D-8DDA-3F9E2AEB6022}"/>
    <cellStyle name="Entrée 5 3 2" xfId="29379" xr:uid="{0494F66B-D6B1-41CC-9EE3-B88E6F810153}"/>
    <cellStyle name="Entrée 5 4" xfId="12048" xr:uid="{8BBA4431-381E-48ED-9EF8-1F424DEAF1BD}"/>
    <cellStyle name="Entrée 5 4 2" xfId="29380" xr:uid="{06F82677-258B-4231-A494-1563E535F155}"/>
    <cellStyle name="Entrée 5 5" xfId="12049" xr:uid="{EC1BB80F-12E7-4980-BC76-1BED0CA453BD}"/>
    <cellStyle name="Entrée 5 5 2" xfId="29381" xr:uid="{31907A09-D0CA-49B4-9162-507506EC7A6B}"/>
    <cellStyle name="Entrée 5 6" xfId="12050" xr:uid="{D4DF7F7E-B119-480E-BB1B-E5D0C2DB14D2}"/>
    <cellStyle name="Entrée 5 6 2" xfId="29382" xr:uid="{135E0F9E-0EB3-4D01-8F81-2DD129D859E5}"/>
    <cellStyle name="Entrée 5 7" xfId="12051" xr:uid="{EA27DAA7-D158-4C14-BCCB-BAFA7E32E5C6}"/>
    <cellStyle name="Entrée 5 7 2" xfId="29383" xr:uid="{A69059CE-098C-4084-8792-1BED6BC7B11A}"/>
    <cellStyle name="Entrée 5 8" xfId="12052" xr:uid="{4094683A-BECB-4A25-8BB9-F1C2AF02DC1F}"/>
    <cellStyle name="Entrée 5 8 2" xfId="29384" xr:uid="{DE8818B1-51FA-4499-9689-6C66202532B7}"/>
    <cellStyle name="Entrée 5 9" xfId="12053" xr:uid="{71B7171D-E4AB-4E48-821E-EC5A9D378902}"/>
    <cellStyle name="Entrée 5 9 2" xfId="29385" xr:uid="{5153256B-1A5C-468F-A95F-FE1D0437270D}"/>
    <cellStyle name="Entrée 6" xfId="12054" xr:uid="{9A447305-B4AC-46F5-8361-F22DED7EBE2F}"/>
    <cellStyle name="Entrée 6 2" xfId="29386" xr:uid="{60589F3A-29D7-4696-A8A2-377FF365F895}"/>
    <cellStyle name="Entrée 7" xfId="12055" xr:uid="{4B503555-9DC9-42BE-BB1A-F04A02807DBB}"/>
    <cellStyle name="Entrée 7 2" xfId="29387" xr:uid="{5E072564-33BD-411F-96B4-A08394F76D74}"/>
    <cellStyle name="Entrée 8" xfId="12056" xr:uid="{7BD9D8DF-4764-4194-9DBD-D8B64A2A1771}"/>
    <cellStyle name="Entrée 8 2" xfId="29388" xr:uid="{933A4E2A-2319-4197-A60C-FEA2E304385F}"/>
    <cellStyle name="Entrée 9" xfId="12057" xr:uid="{E81C7CCD-C0D6-4DA2-90D6-D39EE97099C6}"/>
    <cellStyle name="Entrée 9 2" xfId="29389" xr:uid="{F18B52A2-C3D6-40F6-9C46-644842EC0714}"/>
    <cellStyle name="entry" xfId="12058" xr:uid="{7390F79F-CB57-42E1-A472-C2BA17831E5D}"/>
    <cellStyle name="erreur" xfId="12059" xr:uid="{72914924-7048-4A9F-B65A-FBEAB777131C}"/>
    <cellStyle name="Estimated_Data" xfId="12060" xr:uid="{B7002E8B-56D0-4F95-8F5F-A72B5BF6A47F}"/>
    <cellStyle name="Euro" xfId="12061" xr:uid="{275D2CBC-2CCB-4C4A-A340-5A98D032C98B}"/>
    <cellStyle name="Euro 2" xfId="12062" xr:uid="{D947E2BA-9908-42A0-BCE9-3808193F3218}"/>
    <cellStyle name="Euro 2 2" xfId="12063" xr:uid="{475737AD-FDFC-4AF1-BC73-DBC2241780FC}"/>
    <cellStyle name="Euro 2 3" xfId="12064" xr:uid="{F615D1E4-954D-4A30-AFB8-6D240164952A}"/>
    <cellStyle name="Euro 3" xfId="12065" xr:uid="{451F7090-6251-4DAF-A767-4F5AE854C1D6}"/>
    <cellStyle name="Euro 3 2" xfId="12066" xr:uid="{CC323FC0-F226-4C88-B3B2-8C5C382B6A4E}"/>
    <cellStyle name="Euro 3 3" xfId="12067" xr:uid="{C3B2A27E-42AB-409B-8E5A-A2008BF4E4C7}"/>
    <cellStyle name="Euro 4" xfId="12068" xr:uid="{A866AB2B-C6E3-4A4B-8C09-121AB930B58A}"/>
    <cellStyle name="Euro 5" xfId="12069" xr:uid="{88F94FCB-732A-41CE-B863-51E18F327AC5}"/>
    <cellStyle name="Excel.Chart" xfId="12070" xr:uid="{E555E985-8133-469A-A074-1A400FC42FD5}"/>
    <cellStyle name="Excel.Chart 2" xfId="12071" xr:uid="{AF5DB388-8D29-40E2-8ACA-49D2550BFC02}"/>
    <cellStyle name="Excel.Chart 2 2" xfId="12072" xr:uid="{FAEBEC32-A368-4B50-A0D8-C6F3A474BE6A}"/>
    <cellStyle name="Excel.Chart 2 2 2" xfId="12073" xr:uid="{7B2FEDAD-C185-4F50-B836-64E84D811465}"/>
    <cellStyle name="Excel.Chart 2 3" xfId="12074" xr:uid="{D4005BAC-5C1B-4362-8F4B-D2BF84F70B42}"/>
    <cellStyle name="Excel.Chart 3" xfId="12075" xr:uid="{1920ED3B-772E-4F09-B783-25CDF55D28A9}"/>
    <cellStyle name="Excel.Chart 3 2" xfId="26381" xr:uid="{DAE090ED-5B40-400A-8AE9-8B1FC2DBA096}"/>
    <cellStyle name="existe" xfId="12076" xr:uid="{167DA57A-111C-4857-84C9-C746D4486F2A}"/>
    <cellStyle name="Explanatory Text 2" xfId="12078" xr:uid="{F2DC42BA-DB9B-4B2F-A3D9-1AAFAA93AD0C}"/>
    <cellStyle name="Explanatory Text 2 2" xfId="12079" xr:uid="{EE352F47-75BF-43C3-A06C-870D7BB82054}"/>
    <cellStyle name="Explanatory Text 2 3" xfId="12080" xr:uid="{DC12B01F-C15E-4003-BC97-B1E91241B7CC}"/>
    <cellStyle name="Explanatory Text 3" xfId="12081" xr:uid="{F766B579-BC76-4C9C-91E0-09B2C1DA9C5A}"/>
    <cellStyle name="Explanatory Text 4" xfId="12082" xr:uid="{3CEA6EB8-F483-42FA-AAC2-131FFDC08CA2}"/>
    <cellStyle name="Explanatory Text 5" xfId="12083" xr:uid="{A41EC395-6B7A-4FAC-8B13-A05AC8FDF09C}"/>
    <cellStyle name="Explanatory Text 6" xfId="12084" xr:uid="{7EBE4AFC-B474-45DD-9852-5862C50A266D}"/>
    <cellStyle name="Explanatory Text 7" xfId="12077" xr:uid="{2C6F0B0B-4482-41CA-ACF7-78F1F0461084}"/>
    <cellStyle name="Ezres_KEX2 DP" xfId="12085" xr:uid="{9F0800D0-974E-48F9-8D7C-768EF48EE86E}"/>
    <cellStyle name="F)標準" xfId="12086" xr:uid="{50D0656D-3053-43C6-943B-94C7C04378C5}"/>
    <cellStyle name="F=12" xfId="12087" xr:uid="{BDEB1E9A-BEB0-4F65-B888-BD31694261BB}"/>
    <cellStyle name="F=12+下線" xfId="12088" xr:uid="{5A289572-3155-4D3D-9410-B86F6CDD450C}"/>
    <cellStyle name="F=16" xfId="12089" xr:uid="{1D4691F4-59B8-4134-9FE5-E0B2B6B9A722}"/>
    <cellStyle name="F=16+下線" xfId="12090" xr:uid="{5E88FA69-AEDD-4DA5-8A26-B9390402113B}"/>
    <cellStyle name="Fecha" xfId="12091" xr:uid="{FF5E177D-E580-4A7A-AA0C-AB110EE649FB}"/>
    <cellStyle name="Fijo" xfId="12092" xr:uid="{BB11943A-1BF3-4CAE-94A9-6B2842E9D32C}"/>
    <cellStyle name="FilterCol" xfId="12093" xr:uid="{EFB2CE4B-B2E2-48E4-B6F7-37909A4B7D55}"/>
    <cellStyle name="Fixed" xfId="12094" xr:uid="{9EF1E9B2-16A7-43A2-A872-0075D7C8873D}"/>
    <cellStyle name="Fixed 2" xfId="12095" xr:uid="{0F938EBE-ED79-4A45-B54F-1951C39F9E78}"/>
    <cellStyle name="Fixed 2 2" xfId="12096" xr:uid="{D8263C4B-50EE-4155-87F1-238E8AB75D54}"/>
    <cellStyle name="Fixed 2 3" xfId="12097" xr:uid="{F8086AC6-FE33-4142-9B8C-81AB0FF37412}"/>
    <cellStyle name="Fixed 3" xfId="12098" xr:uid="{8945CF7E-F561-40C2-99A8-C053286F660A}"/>
    <cellStyle name="Fixed 4" xfId="12099" xr:uid="{B2EEBD09-852D-4E1C-B0B1-99BF2C571549}"/>
    <cellStyle name="ƒnƒCƒp[??ƒN" xfId="12100" xr:uid="{F68542A5-7ED6-4A1F-90FA-CBFE274F5363}"/>
    <cellStyle name="ƒnƒCƒp[ƒŠƒ“ƒN" xfId="12101" xr:uid="{869326E1-3175-4577-9E92-E208777F9DE5}"/>
    <cellStyle name="ƒnƒCƒp[ƒŠƒ“ƒN 2" xfId="12102" xr:uid="{A755458B-960B-482E-94A8-2229A389AD0E}"/>
    <cellStyle name="ƒnƒCƒp[ƒŠƒ“ƒN 2 2" xfId="12103" xr:uid="{C9985F91-CC14-4B22-8AC9-98C0271F60A6}"/>
    <cellStyle name="ƒnƒCƒp[ƒŠƒ“ƒN 2 3" xfId="12104" xr:uid="{B5C27BB6-A36C-4CBE-8D22-6E3E73C15F58}"/>
    <cellStyle name="ƒnƒCƒp[ƒŠƒ“ƒN 3" xfId="12105" xr:uid="{528E4EA3-CD38-4323-BC56-28D35D367502}"/>
    <cellStyle name="ƒnƒCƒp[ƒŠƒ“ƒN 4" xfId="12106" xr:uid="{45210819-FB9D-4EB9-9C8F-B85B8EDA3D0B}"/>
    <cellStyle name="ƒnƒCƒp[ƒŠƒ“ƒN_Fcst#2　FY13台数諸元表13 9 19" xfId="12107" xr:uid="{023F5617-4ED2-423D-A951-83C73B56F406}"/>
    <cellStyle name="Followed Hyperlink" xfId="12108" xr:uid="{FB774410-A701-4657-A2B5-97CAE6964BE0}"/>
    <cellStyle name="Followed Hyperlink 2" xfId="12109" xr:uid="{EA34A9D2-C9C3-4D89-B28B-CBBBFC812201}"/>
    <cellStyle name="Followed Hyperlink 2 2" xfId="12110" xr:uid="{3688E941-2745-482E-B284-C2D9A3BFFE68}"/>
    <cellStyle name="Followed Hyperlink 2 3" xfId="12111" xr:uid="{B664BF0E-1CFF-4862-AD92-C1E1DB0A086E}"/>
    <cellStyle name="Followed Hyperlink 3" xfId="12112" xr:uid="{5FDD683E-80FF-4DF8-A48B-70E9A2B8CD0B}"/>
    <cellStyle name="Fon_Franc" xfId="12113" xr:uid="{1B2E3F66-BF25-461E-A05C-8E0D59E0E7F2}"/>
    <cellStyle name="Forecast_Data" xfId="12114" xr:uid="{06571F38-CB2C-442E-A5E3-799723F5CAE5}"/>
    <cellStyle name="Formule" xfId="12115" xr:uid="{7231E34F-9185-4117-9F91-BEA78F39D8B4}"/>
    <cellStyle name="Formule 2" xfId="12116" xr:uid="{7E90D41D-205F-40D7-B1FB-985535139CD3}"/>
    <cellStyle name="Formule 2 2" xfId="12117" xr:uid="{B9EBD94D-E0A9-4846-B899-7AA07653A677}"/>
    <cellStyle name="Formule%1" xfId="12118" xr:uid="{860F6293-EFDB-4127-A6B0-FF8BF69B21DE}"/>
    <cellStyle name="Formule%1 2" xfId="12119" xr:uid="{D75B1A0A-EBD1-45A5-898E-5765DEFCB2B4}"/>
    <cellStyle name="Formule%1 2 2" xfId="12120" xr:uid="{F5C08BE7-209D-44F2-8F1E-313C87CFEC80}"/>
    <cellStyle name="FormuleNb0" xfId="12121" xr:uid="{D8468968-2EAF-45F5-ADD2-56D5DD82238A}"/>
    <cellStyle name="FormuleNb0 2" xfId="12122" xr:uid="{EF8E645C-7C41-436D-A733-0947EAD5FBD6}"/>
    <cellStyle name="FormuleNb0 2 2" xfId="12123" xr:uid="{1243486E-F3DD-42A5-811D-AD7B02F3C9D7}"/>
    <cellStyle name="FormuleNb1" xfId="12124" xr:uid="{140FE2B8-84F5-4D79-866F-E0BE82AAF6DD}"/>
    <cellStyle name="FormuleNb2" xfId="12125" xr:uid="{84193689-4043-4F08-8F73-AB7DEA389D92}"/>
    <cellStyle name="FormuleNb2 2" xfId="12126" xr:uid="{27FE435E-F189-4614-8E8B-844DB9EB3ECF}"/>
    <cellStyle name="FormuleNb2 2 2" xfId="12127" xr:uid="{71D48428-9C97-4516-9494-E889F1E0CA05}"/>
    <cellStyle name="FP系" xfId="12128" xr:uid="{1E3CBD10-3BAA-4D3A-A49B-E15A1834C21B}"/>
    <cellStyle name="FP系421" xfId="12129" xr:uid="{733476B7-BE13-4047-96DC-DF159A624C3C}"/>
    <cellStyle name="g:prcrsNMGB:A1..NMGB:W48" xfId="12130" xr:uid="{4CAE4932-09A6-487B-B154-CA5840941449}"/>
    <cellStyle name="GENERAL" xfId="12131" xr:uid="{B28FE08C-19AC-4C83-9CB5-F3CFA66E2541}"/>
    <cellStyle name="GENERAL 2" xfId="29390" xr:uid="{C5AFD157-2F36-4810-9AAF-53DA0C249974}"/>
    <cellStyle name="Good 2" xfId="12133" xr:uid="{4831BB3F-2CBA-4D7B-ABE4-8C6F9D792972}"/>
    <cellStyle name="Good 3" xfId="12134" xr:uid="{11835987-0AFE-4114-913C-AC1B7132E2EC}"/>
    <cellStyle name="Good 4" xfId="12135" xr:uid="{E1DE18D2-7A7F-404B-8636-C539A63DE9C8}"/>
    <cellStyle name="Good 5" xfId="12136" xr:uid="{2F3B7CF5-C3AA-429A-8DDD-7C2D77214B93}"/>
    <cellStyle name="Good 6" xfId="12137" xr:uid="{A3B82A80-9EAE-439B-9D94-967639879F16}"/>
    <cellStyle name="Good 7" xfId="12138" xr:uid="{F3C2D55F-CF85-4E2D-A1FE-279458DABC7C}"/>
    <cellStyle name="Good 8" xfId="12132" xr:uid="{2F848100-4364-4FE6-9028-38047AD06FFB}"/>
    <cellStyle name="gray" xfId="12139" xr:uid="{C4803DE8-2707-4018-A831-53AE93A6ACF3}"/>
    <cellStyle name="Grey" xfId="12140" xr:uid="{A36FE684-6DB9-4599-9A19-DBA75980D7A4}"/>
    <cellStyle name="Grey 2" xfId="12141" xr:uid="{CD644292-F8DC-4ACE-A78A-23A922C0BDF3}"/>
    <cellStyle name="Grsy" xfId="12142" xr:uid="{AE0E790A-7E0A-46CA-A0B3-BFC025CD092E}"/>
    <cellStyle name="h" xfId="12143" xr:uid="{50034C9E-CAF0-4EFB-BFD9-3B09545E6CCA}"/>
    <cellStyle name="h_2009-12-25 Production Simulation" xfId="12144" xr:uid="{C65A7E77-5BCE-4447-BC4A-36BB51CE7413}"/>
    <cellStyle name="h_2009-12-25 Production Simulation_5+7 FC Template" xfId="12145" xr:uid="{99CE2CC8-723C-42A9-9ECB-9919F6E78EC9}"/>
    <cellStyle name="h_2009-12-25 Production Simulation_5+7 FC Template_7+5 Template_nov24" xfId="12146" xr:uid="{EA029E84-B008-45A4-84C6-51FA1FBAE4F2}"/>
    <cellStyle name="h_2009-12-25 Production Simulation_FY10 Bud Vol-Mar-10" xfId="12147" xr:uid="{7996C722-7D5C-4886-858E-9E0C33A3714D}"/>
    <cellStyle name="h_2009-12-25 Production Simulation_FY10 Bud Vol-Mar-10_5+7 FC Template" xfId="12148" xr:uid="{3277543E-ACAC-4129-A366-31C53D78DADF}"/>
    <cellStyle name="h_2009-12-25 Production Simulation_FY10 Bud Vol-Mar-10_5+7 FC Template_7+5 Template_nov24" xfId="12149" xr:uid="{B6A04930-2A8E-44C7-9C47-3009FB133F22}"/>
    <cellStyle name="h_2009-12-25 Production Simulation_Okimoto 2009-12-28 Production" xfId="12150" xr:uid="{D1361A60-C103-485F-9207-302EFF3EB93A}"/>
    <cellStyle name="h_2009-12-25 Production Simulation_Okimoto 2009-12-28 Production_2010-02-02 Production 35 JPH" xfId="12151" xr:uid="{2BAC68CE-8D90-4BF0-A7F6-766ADEA0D3A2}"/>
    <cellStyle name="h_2009-12-25 Production Simulation_Okimoto 2009-12-28 Production_2010-02-02 Production 35 JPH_5+7 FC Template" xfId="12152" xr:uid="{DD97417C-3739-4839-A9E3-71B5182F072F}"/>
    <cellStyle name="h_2009-12-25 Production Simulation_Okimoto 2009-12-28 Production_2010-02-02 Production 35 JPH_5+7 FC Template_7+5 Template_nov24" xfId="12153" xr:uid="{52BA442C-7138-4600-90D4-1DCF3602334B}"/>
    <cellStyle name="h_2009-12-25 Production Simulation_Okimoto 2009-12-28 Production_2010-02-02 Production 35 JPH_FY10 Bud Vol-Mar-10" xfId="12154" xr:uid="{5BD0AECB-D768-4517-B329-C786671BC7DC}"/>
    <cellStyle name="h_2009-12-25 Production Simulation_Okimoto 2009-12-28 Production_2010-02-02 Production 35 JPH_FY10 Bud Vol-Mar-10_5+7 FC Template" xfId="12155" xr:uid="{29171367-AC67-4D84-95D7-2F5A82DDEF52}"/>
    <cellStyle name="h_2009-12-25 Production Simulation_Okimoto 2009-12-28 Production_2010-02-02 Production 35 JPH_FY10 Bud Vol-Mar-10_5+7 FC Template_7+5 Template_nov24" xfId="12156" xr:uid="{55F7DF65-41E3-4222-8D76-0A7C44AE19FE}"/>
    <cellStyle name="h_2009-12-25 Production Simulation_Okimoto 2009-12-28 Production_2010-02-26 Production 35 JPH" xfId="12157" xr:uid="{8D46AD0D-339C-4C52-868C-5578CCA7049B}"/>
    <cellStyle name="h_2009-12-25 Production Simulation_Okimoto 2009-12-28 Production_2010-02-26 Production 35 JPH_5+7 FC Template" xfId="12158" xr:uid="{D093CCB9-6C1E-45B3-B00C-3EDF5ACF9AC8}"/>
    <cellStyle name="h_2009-12-25 Production Simulation_Okimoto 2009-12-28 Production_2010-02-26 Production 35 JPH_5+7 FC Template_7+5 Template_nov24" xfId="12159" xr:uid="{54226AA4-DBBC-4554-9C4D-16B816ABAD9E}"/>
    <cellStyle name="h_2009-12-25 Production Simulation_Okimoto 2009-12-28 Production_2010-02-26 Production 35 JPH_FY10 Bud Vol-Mar-10" xfId="12160" xr:uid="{C7399F90-7447-4402-ACB3-1805002A9E51}"/>
    <cellStyle name="h_2009-12-25 Production Simulation_Okimoto 2009-12-28 Production_2010-02-26 Production 35 JPH_FY10 Bud Vol-Mar-10_5+7 FC Template" xfId="12161" xr:uid="{F33FB5B8-A765-40AD-BA59-443BCB85A4C2}"/>
    <cellStyle name="h_2009-12-25 Production Simulation_Okimoto 2009-12-28 Production_2010-02-26 Production 35 JPH_FY10 Bud Vol-Mar-10_5+7 FC Template_7+5 Template_nov24" xfId="12162" xr:uid="{9CF45589-5C60-4906-BCE8-B528D618A941}"/>
    <cellStyle name="h_2009-12-25 Production Simulation_Okimoto 2009-12-28 Production_5+7 FC Template" xfId="12163" xr:uid="{F9550134-9220-48AE-AA13-015A0AF3E6F9}"/>
    <cellStyle name="h_2009-12-25 Production Simulation_Okimoto 2009-12-28 Production_5+7 FC Template_7+5 Template_nov24" xfId="12164" xr:uid="{BD37B571-620F-49B7-B6EF-6C3788B0313F}"/>
    <cellStyle name="h_2009-12-25 Production Simulation_Okimoto 2009-12-28 Production_FY10 Bud Vol-Mar-10" xfId="12165" xr:uid="{D409043E-8A0A-45A5-ADB1-CB8CF26CCEC3}"/>
    <cellStyle name="h_2009-12-25 Production Simulation_Okimoto 2009-12-28 Production_FY10 Bud Vol-Mar-10_5+7 FC Template" xfId="12166" xr:uid="{7FC42500-8DC4-4285-8060-5FEEBB5497B3}"/>
    <cellStyle name="h_2009-12-25 Production Simulation_Okimoto 2009-12-28 Production_FY10 Bud Vol-Mar-10_5+7 FC Template_7+5 Template_nov24" xfId="12167" xr:uid="{A904879B-DCD5-4FD4-92C3-2AFB71605BA8}"/>
    <cellStyle name="h_2010-02-02 Production 35 JPH" xfId="12168" xr:uid="{24487D59-6C24-4BB6-BCAA-E3DE461BAD2C}"/>
    <cellStyle name="h_2010-02-02 Production 35 JPH_5+7 FC Template" xfId="12169" xr:uid="{58370044-8535-48CB-8F78-D794C5CA49CB}"/>
    <cellStyle name="h_2010-02-02 Production 35 JPH_5+7 FC Template_7+5 Template_nov24" xfId="12170" xr:uid="{50CA4BAC-90E5-42CC-8E29-A4F3B6EDDA25}"/>
    <cellStyle name="h_2010-02-02 Production 35 JPH_FY10 Bud Vol-Mar-10" xfId="12171" xr:uid="{CF8A6A52-2FB1-49D5-BCA4-8BEE62739FDE}"/>
    <cellStyle name="h_2010-02-02 Production 35 JPH_FY10 Bud Vol-Mar-10_5+7 FC Template" xfId="12172" xr:uid="{9063E9A7-AAA6-4A4E-AA4D-F638DCBBBE4F}"/>
    <cellStyle name="h_2010-02-02 Production 35 JPH_FY10 Bud Vol-Mar-10_5+7 FC Template_7+5 Template_nov24" xfId="12173" xr:uid="{A8DFCD80-73A0-4DCA-B534-18C595D0EB2C}"/>
    <cellStyle name="h_2010-02-26 Production 35 JPH" xfId="12174" xr:uid="{42D8B3F0-D205-4DB9-BB44-9A09BB044B7B}"/>
    <cellStyle name="h_2010-02-26 Production 35 JPH_5+7 FC Template" xfId="12175" xr:uid="{11DF5CA9-C2CA-4D7A-81DD-F7B2341A1D94}"/>
    <cellStyle name="h_2010-02-26 Production 35 JPH_5+7 FC Template_7+5 Template_nov24" xfId="12176" xr:uid="{1CB4C299-C702-429A-86BA-80F30912E0F6}"/>
    <cellStyle name="h_2010-02-26 Production 35 JPH_FY10 Bud Vol-Mar-10" xfId="12177" xr:uid="{87F6514D-6489-40E2-B9A3-47ADFA71A187}"/>
    <cellStyle name="h_2010-02-26 Production 35 JPH_FY10 Bud Vol-Mar-10_5+7 FC Template" xfId="12178" xr:uid="{DAF9463E-DF2C-4FC1-8A58-7A42DC185E79}"/>
    <cellStyle name="h_2010-02-26 Production 35 JPH_FY10 Bud Vol-Mar-10_5+7 FC Template_7+5 Template_nov24" xfId="12179" xr:uid="{8F45D2B5-86BE-49A5-9BC2-C60AB5125490}"/>
    <cellStyle name="h_5+7 FC Template" xfId="12180" xr:uid="{6F3CA17A-0EB1-4821-9A86-C56F8654873A}"/>
    <cellStyle name="h_5+7 FC Template_7+5 Template_nov24" xfId="12181" xr:uid="{142BEABF-6B1E-4DD8-B6A1-3EF82815D19A}"/>
    <cellStyle name="h_an" xfId="12182" xr:uid="{1BAE84CF-3ED5-4A9A-8978-119219D00D49}"/>
    <cellStyle name="H_Date" xfId="12183" xr:uid="{02FB4FDF-2512-4EA6-BD07-20A323E106AD}"/>
    <cellStyle name="H_Date_CF Acc" xfId="12184" xr:uid="{89EFBDC8-DCE8-4210-9B4E-3C3119E4A3FA}"/>
    <cellStyle name="H_Date_CFSP CPA model 20060613 v82" xfId="12185" xr:uid="{3BF58B98-2718-4B47-8D92-B8DA64D97FE8}"/>
    <cellStyle name="h_E20 Est Sum for Saikawa EVP" xfId="12186" xr:uid="{D4D2C741-774E-4407-B308-E8F18D55B685}"/>
    <cellStyle name="h_E20 Est Sum for Saikawa EVP_FY12 BP MP_FC" xfId="12187" xr:uid="{4B83275F-3CFD-43E3-8B36-A5E5FED2776D}"/>
    <cellStyle name="h_E20 Est Sum for Saikawa EVP_FY12 BP MP_FC(NCIC)" xfId="12188" xr:uid="{12AF626F-D72E-4A31-9C11-06EF4AEF8BC6}"/>
    <cellStyle name="h_E20 Est Sum for Saikawa EVP_FY12 BP MP_FC(NCIC)_FY12 BP MP_FC(NCIC)" xfId="12189" xr:uid="{EFD9CDBB-AC91-4940-801A-4087827E31B8}"/>
    <cellStyle name="h_E20 Est Sum for Saikawa EVP_FY12 BP MP_FC_FY12 BP MP_FC(NCIC)" xfId="12190" xr:uid="{6F4890D3-490B-4641-882D-01221D79BB9D}"/>
    <cellStyle name="h_FY10 Bud Vol-Mar-10" xfId="12191" xr:uid="{68BB4E37-F626-4C65-9921-60629D1E6A42}"/>
    <cellStyle name="h_FY10 Bud Vol-Mar-10_5+7 FC Template" xfId="12192" xr:uid="{23221BE9-0F63-4857-A08B-E6A28E90F4B7}"/>
    <cellStyle name="h_FY10 Bud Vol-Mar-10_5+7 FC Template_7+5 Template_nov24" xfId="12193" xr:uid="{FE47548D-308A-4118-91B0-7D46F84F8E11}"/>
    <cellStyle name="h_FY12 BP MP_FC(NCIC)" xfId="12194" xr:uid="{B4FEC360-95F6-4046-A745-AC2040A1D3AD}"/>
    <cellStyle name="h_FY12 DFL PV analysis" xfId="12195" xr:uid="{528EC390-DBBE-4AB7-9D29-7913F3237CA9}"/>
    <cellStyle name="h_FY12 DFL PV analysis_FY12 BP MP_FC" xfId="12196" xr:uid="{E05302D5-7857-4B99-B362-B7F1231964FE}"/>
    <cellStyle name="h_FY12 DFL PV analysis_FY12 BP MP_FC(NCIC)" xfId="12197" xr:uid="{FDB75FE8-8785-457D-A116-A0B533662701}"/>
    <cellStyle name="h_FY12 DFL PV analysis_FY12 BP MP_FC(NCIC)_FY12 BP MP_FC(NCIC)" xfId="12198" xr:uid="{4654339D-4B97-4F5A-8F88-EEF2F977E453}"/>
    <cellStyle name="h_FY12 DFL PV analysis_FY12 BP MP_FC_FY12 BP MP_FC(NCIC)" xfId="12199" xr:uid="{3E36A000-B215-4E71-B549-F4D17756499E}"/>
    <cellStyle name="h_ITP _D22LCVNNZCOP090612" xfId="12200" xr:uid="{4393A426-0C08-40A4-B2DD-8F8E0649132C}"/>
    <cellStyle name="h_ITP _D40 090115 (MP_BP09)" xfId="12201" xr:uid="{91E1B75C-B1F7-4784-ACF7-5A0478505770}"/>
    <cellStyle name="h_ITP _D40 090115 (MP_BP09)_5+7 FC Template" xfId="12202" xr:uid="{DFD30A81-A286-40E5-9B9D-0CB137B0FC87}"/>
    <cellStyle name="h_ITP _D40 090115 (MP_BP09)_5+7 FC Template_7+5 Template_nov24" xfId="12203" xr:uid="{C9EFAA64-1186-4B76-AE17-FE495069E72E}"/>
    <cellStyle name="h_NI_Actuals_051509" xfId="12204" xr:uid="{B51CC0F8-20D8-422A-9467-9D171F384AA9}"/>
    <cellStyle name="h_NI_Actuals_051909pm" xfId="12205" xr:uid="{3540BD6B-ED1E-4EEC-8EDC-FFB7062A19EF}"/>
    <cellStyle name="h_NI_Actuals_061009" xfId="12206" xr:uid="{F2E4825D-C082-4A6A-9D36-8B99C94FF461}"/>
    <cellStyle name="h_NMT Outside profit Sep" xfId="12207" xr:uid="{42627EB0-EC3B-4F48-9EB1-A41BF611ACE3}"/>
    <cellStyle name="h_NMT Outside profit Sep_5+7 FC Template" xfId="12208" xr:uid="{8879C91A-B4F2-402B-B632-DFADA5B4DD62}"/>
    <cellStyle name="h_NMT Outside profit Sep_5+7 FC Template_7+5 Template_nov24" xfId="12209" xr:uid="{0549DC55-BD7B-41BC-8D58-949093A6E4F4}"/>
    <cellStyle name="h_NO&amp;E index" xfId="12210" xr:uid="{B937EE23-C6FC-407C-A0F1-A8D6EB699A29}"/>
    <cellStyle name="h_NOE index_Apr 09" xfId="12211" xr:uid="{D8553142-3C5A-48F8-97B9-A00F88C01B77}"/>
    <cellStyle name="h_NOE index_Apr 09_051909" xfId="12212" xr:uid="{ED55CFF6-87C4-4B97-93BB-342B119F3544}"/>
    <cellStyle name="h_NOE index_Apr 09_mm" xfId="12213" xr:uid="{617704E2-8D72-422B-9F72-32D9C97259A1}"/>
    <cellStyle name="h_NOE index_May 09_060909" xfId="12214" xr:uid="{BEEB77D2-1FE3-47E4-820F-BB8D5A8FECDC}"/>
    <cellStyle name="h_Okimoto 2009-12-28 Production" xfId="12215" xr:uid="{DD426CCA-8A7C-4E4A-B63B-13C8DA3F7015}"/>
    <cellStyle name="h_Okimoto 2009-12-28 Production_5+7 FC Template" xfId="12216" xr:uid="{E2E3BA79-7EAA-469B-908F-E858659F8DEB}"/>
    <cellStyle name="h_Okimoto 2009-12-28 Production_5+7 FC Template_7+5 Template_nov24" xfId="12217" xr:uid="{2A5CF6F2-B72D-4207-B765-D0E2FD5E3483}"/>
    <cellStyle name="h_Okimoto 2009-12-28 Production_FY10 Bud Vol-Mar-10" xfId="12218" xr:uid="{C2BCEA6C-3180-473D-B2B2-5C740ED3E82D}"/>
    <cellStyle name="h_Okimoto 2009-12-28 Production_FY10 Bud Vol-Mar-10_5+7 FC Template" xfId="12219" xr:uid="{8FDB8F01-7DE5-4EF5-A339-227BD201FBEA}"/>
    <cellStyle name="h_Okimoto 2009-12-28 Production_FY10 Bud Vol-Mar-10_5+7 FC Template_7+5 Template_nov24" xfId="12220" xr:uid="{759BC417-3E95-4232-A6D3-6921F8AAA973}"/>
    <cellStyle name="h_Okimoto 2009-12-28 Production_Okimoto 2009-12-28 Production" xfId="12221" xr:uid="{92783F94-6830-4BBE-94DA-3B4696E2E1C3}"/>
    <cellStyle name="h_Okimoto 2009-12-28 Production_Okimoto 2009-12-28 Production_2010-02-02 Production 35 JPH" xfId="12222" xr:uid="{F4113264-3236-4CE9-AFF9-088D5ED88AD8}"/>
    <cellStyle name="h_Okimoto 2009-12-28 Production_Okimoto 2009-12-28 Production_2010-02-02 Production 35 JPH_5+7 FC Template" xfId="12223" xr:uid="{E79F425E-05F9-4BFE-B8B4-88F3FDA391C1}"/>
    <cellStyle name="h_Okimoto 2009-12-28 Production_Okimoto 2009-12-28 Production_2010-02-02 Production 35 JPH_5+7 FC Template_7+5 Template_nov24" xfId="12224" xr:uid="{CD537798-7CBF-48CC-B93F-B1E5906FF1E3}"/>
    <cellStyle name="h_Okimoto 2009-12-28 Production_Okimoto 2009-12-28 Production_2010-02-02 Production 35 JPH_FY10 Bud Vol-Mar-10" xfId="12225" xr:uid="{142FEE91-3919-4A63-B6E3-B83F18BDF3B4}"/>
    <cellStyle name="h_Okimoto 2009-12-28 Production_Okimoto 2009-12-28 Production_2010-02-02 Production 35 JPH_FY10 Bud Vol-Mar-10_5+7 FC Template" xfId="12226" xr:uid="{1DCAF684-2354-4C18-AB42-7ACFCD654C7F}"/>
    <cellStyle name="h_Okimoto 2009-12-28 Production_Okimoto 2009-12-28 Production_2010-02-02 Production 35 JPH_FY10 Bud Vol-Mar-10_5+7 FC Template_7+5 Template_nov24" xfId="12227" xr:uid="{05B4F333-B1E5-4DCC-9221-1D0DCD7C336D}"/>
    <cellStyle name="h_Okimoto 2009-12-28 Production_Okimoto 2009-12-28 Production_2010-02-26 Production 35 JPH" xfId="12228" xr:uid="{E0B31434-F5A5-4D01-9F65-6AD2434B6DE3}"/>
    <cellStyle name="h_Okimoto 2009-12-28 Production_Okimoto 2009-12-28 Production_2010-02-26 Production 35 JPH_5+7 FC Template" xfId="12229" xr:uid="{3E5FE592-1610-4DA4-B961-20429B8CE318}"/>
    <cellStyle name="h_Okimoto 2009-12-28 Production_Okimoto 2009-12-28 Production_2010-02-26 Production 35 JPH_5+7 FC Template_7+5 Template_nov24" xfId="12230" xr:uid="{52D01795-CDAB-4487-AE6F-019453FF6BBB}"/>
    <cellStyle name="h_Okimoto 2009-12-28 Production_Okimoto 2009-12-28 Production_2010-02-26 Production 35 JPH_FY10 Bud Vol-Mar-10" xfId="12231" xr:uid="{7B308981-88E6-45E2-AB4C-4941ECB72971}"/>
    <cellStyle name="h_Okimoto 2009-12-28 Production_Okimoto 2009-12-28 Production_2010-02-26 Production 35 JPH_FY10 Bud Vol-Mar-10_5+7 FC Template" xfId="12232" xr:uid="{D31149BD-28CA-42BD-BB1B-0531E742D52C}"/>
    <cellStyle name="h_Okimoto 2009-12-28 Production_Okimoto 2009-12-28 Production_2010-02-26 Production 35 JPH_FY10 Bud Vol-Mar-10_5+7 FC Template_7+5 Template_nov24" xfId="12233" xr:uid="{85CE8F8C-5997-4397-A114-734EA70F333C}"/>
    <cellStyle name="h_Okimoto 2009-12-28 Production_Okimoto 2009-12-28 Production_5+7 FC Template" xfId="12234" xr:uid="{4E0E3BF5-995F-42C8-B2B7-3EDC32B677C0}"/>
    <cellStyle name="h_Okimoto 2009-12-28 Production_Okimoto 2009-12-28 Production_5+7 FC Template_7+5 Template_nov24" xfId="12235" xr:uid="{6A596CA2-D583-407D-B0E7-9C4F9850F08B}"/>
    <cellStyle name="h_Okimoto 2009-12-28 Production_Okimoto 2009-12-28 Production_FY10 Bud Vol-Mar-10" xfId="12236" xr:uid="{0C08D65D-1AE4-48D6-AD57-4351590B63E9}"/>
    <cellStyle name="h_Okimoto 2009-12-28 Production_Okimoto 2009-12-28 Production_FY10 Bud Vol-Mar-10_5+7 FC Template" xfId="12237" xr:uid="{2FDC3AAF-6C3E-4E36-B0E1-81ADA0249DE5}"/>
    <cellStyle name="h_Okimoto 2009-12-28 Production_Okimoto 2009-12-28 Production_FY10 Bud Vol-Mar-10_5+7 FC Template_7+5 Template_nov24" xfId="12238" xr:uid="{90B9EB8C-3A98-4CD2-8A74-DBE1A9AFE770}"/>
    <cellStyle name="h_石井さん　在庫情報　100308 FY09 March End Inventory" xfId="12239" xr:uid="{BED98074-EF4F-4922-8ED0-BD1ED15C1F43}"/>
    <cellStyle name="h_石井さん　在庫情報　100308 FY09 March End Inventory_5+7 FC Template" xfId="12240" xr:uid="{272C2D39-D0D6-4E77-9ABD-5D2C25154C0E}"/>
    <cellStyle name="h_石井さん　在庫情報　100308 FY09 March End Inventory_5+7 FC Template_7+5 Template_nov24" xfId="12241" xr:uid="{34921B9D-5F48-4559-A3B7-3A66C84DEDF4}"/>
    <cellStyle name="h_石井さん　在庫情報　100308 FY09 March End Inventory_FY10 Bud Vol-Mar-10" xfId="12242" xr:uid="{A9709018-4A28-4307-92A9-F3A80A4240E2}"/>
    <cellStyle name="h_石井さん　在庫情報　100308 FY09 March End Inventory_FY10 Bud Vol-Mar-10_5+7 FC Template" xfId="12243" xr:uid="{89B620C7-CC01-47AB-954E-F3EB55612640}"/>
    <cellStyle name="h_石井さん　在庫情報　100308 FY09 March End Inventory_FY10 Bud Vol-Mar-10_5+7 FC Template_7+5 Template_nov24" xfId="12244" xr:uid="{25FF5858-40B8-4F14-86D3-76173AD5AB23}"/>
    <cellStyle name="Head_C_1st" xfId="12245" xr:uid="{7C278BBD-78B9-4DAD-9518-0F9661AFA671}"/>
    <cellStyle name="HEADER" xfId="12246" xr:uid="{F13EE494-213E-4814-BC8C-0B4B7650B00C}"/>
    <cellStyle name="HEADER 2" xfId="12247" xr:uid="{46E3C7C8-5F45-4D02-ACC2-8CE0FC428724}"/>
    <cellStyle name="HEADER 3" xfId="12248" xr:uid="{FB919E93-5A1F-4B46-8E9B-755D2CE1D260}"/>
    <cellStyle name="Header1" xfId="12249" xr:uid="{FA053D1D-EF00-40C6-A2CB-98AD382ED54F}"/>
    <cellStyle name="Header1 2" xfId="12250" xr:uid="{D2DD5F06-75C5-463C-89F2-5ACBBD2973A6}"/>
    <cellStyle name="Header1 2 2" xfId="29392" xr:uid="{0D019210-1662-4ECA-808B-1B6E9976CF04}"/>
    <cellStyle name="Header1 3" xfId="29391" xr:uid="{623F743A-E09A-4446-8261-8F4A8D71AA89}"/>
    <cellStyle name="Header2" xfId="12251" xr:uid="{1E498A25-5745-4090-8955-A2FF51F73FA3}"/>
    <cellStyle name="Header2 2" xfId="12252" xr:uid="{2D1F27D2-DE6C-481E-80DA-1B1829E41DAB}"/>
    <cellStyle name="Header2 2 2" xfId="12253" xr:uid="{BAC3D65B-E7CF-4297-8170-4203889D12C9}"/>
    <cellStyle name="Header2 2 2 10" xfId="12254" xr:uid="{DE8B6809-7C34-4F2E-AA6F-86FBAB5223D7}"/>
    <cellStyle name="Header2 2 2 10 2" xfId="12255" xr:uid="{804AFD9E-3EB6-48B0-8A03-539100546E43}"/>
    <cellStyle name="Header2 2 2 11" xfId="12256" xr:uid="{CC5B5914-E1D4-4921-9A58-1AAB543A0691}"/>
    <cellStyle name="Header2 2 2 11 2" xfId="12257" xr:uid="{30DEA877-B943-48FF-B991-F90C26754450}"/>
    <cellStyle name="Header2 2 2 12" xfId="12258" xr:uid="{51015581-D23A-4260-9FF8-9243D8050859}"/>
    <cellStyle name="Header2 2 2 12 2" xfId="12259" xr:uid="{FFE3CA03-7F0F-4CEF-80B9-F05A472FD9A9}"/>
    <cellStyle name="Header2 2 2 13" xfId="12260" xr:uid="{E58A0517-49FA-4932-A7F0-06AF0228ED49}"/>
    <cellStyle name="Header2 2 2 13 2" xfId="12261" xr:uid="{96688332-53CD-4D6F-878E-8936853128A0}"/>
    <cellStyle name="Header2 2 2 14" xfId="12262" xr:uid="{62978DFA-C4EC-4FC8-A309-C8B237D2F78E}"/>
    <cellStyle name="Header2 2 2 14 2" xfId="12263" xr:uid="{0E7099BD-523D-488C-9505-48728350C190}"/>
    <cellStyle name="Header2 2 2 15" xfId="12264" xr:uid="{C4CA77A6-A474-49CF-A9FC-6DC44425A846}"/>
    <cellStyle name="Header2 2 2 15 2" xfId="12265" xr:uid="{E87082B9-971B-4636-9D0D-839057D3B7DA}"/>
    <cellStyle name="Header2 2 2 16" xfId="12266" xr:uid="{1FF91442-4C1B-4BBF-97C8-B1E816E54392}"/>
    <cellStyle name="Header2 2 2 16 2" xfId="12267" xr:uid="{BBA6A300-9DBC-43B2-9B3E-2F9140DF459C}"/>
    <cellStyle name="Header2 2 2 17" xfId="12268" xr:uid="{AB75801A-EA40-4BF5-90F9-8EF67E801C60}"/>
    <cellStyle name="Header2 2 2 17 2" xfId="12269" xr:uid="{BEFADBD6-E133-40F6-B898-3729DEAA6806}"/>
    <cellStyle name="Header2 2 2 18" xfId="12270" xr:uid="{9F9271C3-C1AC-45A5-B134-62C07173BDBE}"/>
    <cellStyle name="Header2 2 2 18 2" xfId="12271" xr:uid="{033DD9D8-1238-4482-950B-044DE676DF2F}"/>
    <cellStyle name="Header2 2 2 19" xfId="12272" xr:uid="{1E326C3C-8D47-4EB9-9AC1-9803BB01BFBB}"/>
    <cellStyle name="Header2 2 2 19 2" xfId="12273" xr:uid="{D167B5B9-EA21-45ED-87A0-8607B3962DB8}"/>
    <cellStyle name="Header2 2 2 2" xfId="12274" xr:uid="{0E50BB27-E8DD-4FE3-B99F-686CCA9CD672}"/>
    <cellStyle name="Header2 2 2 2 2" xfId="12275" xr:uid="{7AEE7C77-C53C-4F86-8FC3-C00E4FF885B5}"/>
    <cellStyle name="Header2 2 2 20" xfId="12276" xr:uid="{B6C55A10-3E4F-475B-B8E6-879ED179EC60}"/>
    <cellStyle name="Header2 2 2 20 2" xfId="12277" xr:uid="{949E3959-6905-4F56-A214-7824AD86C571}"/>
    <cellStyle name="Header2 2 2 21" xfId="12278" xr:uid="{0B96D991-8694-4BDF-8C9E-94C1DECEC16A}"/>
    <cellStyle name="Header2 2 2 21 2" xfId="12279" xr:uid="{307BBB15-A9E7-40DD-9640-97E068159CEA}"/>
    <cellStyle name="Header2 2 2 22" xfId="12280" xr:uid="{B3525730-D5D0-42FA-B03E-9A6DB0FA0591}"/>
    <cellStyle name="Header2 2 2 22 2" xfId="12281" xr:uid="{138ACBFB-626D-4666-845E-F98742782F98}"/>
    <cellStyle name="Header2 2 2 23" xfId="12282" xr:uid="{B7992622-6730-4BF1-B1F1-FD88CDCC939F}"/>
    <cellStyle name="Header2 2 2 3" xfId="12283" xr:uid="{E34BBD43-B638-46D5-B4E6-5DEE56614006}"/>
    <cellStyle name="Header2 2 2 3 2" xfId="12284" xr:uid="{FF2AD907-D905-4116-AE8D-3120D986AE8E}"/>
    <cellStyle name="Header2 2 2 4" xfId="12285" xr:uid="{2AE72C34-8B0B-4F60-9831-BF9685CED2A1}"/>
    <cellStyle name="Header2 2 2 4 2" xfId="12286" xr:uid="{F047932C-81F3-4AAF-823C-C3E72987800B}"/>
    <cellStyle name="Header2 2 2 5" xfId="12287" xr:uid="{0454A0B6-3C48-4F18-8EC0-CD38BAA7E490}"/>
    <cellStyle name="Header2 2 2 5 2" xfId="12288" xr:uid="{2CE60DCE-AF63-4E55-A491-C5B0716082A4}"/>
    <cellStyle name="Header2 2 2 6" xfId="12289" xr:uid="{81FE780D-D831-4F7B-834A-8CD28B8C18B6}"/>
    <cellStyle name="Header2 2 2 6 2" xfId="12290" xr:uid="{5F4ADDCC-7467-400B-BF8E-7EB3C5FB4131}"/>
    <cellStyle name="Header2 2 2 7" xfId="12291" xr:uid="{185A3320-E81E-4A03-8785-2FC6474679BC}"/>
    <cellStyle name="Header2 2 2 7 2" xfId="12292" xr:uid="{84C0B7D1-B941-471A-8211-A3AF3BD26BFE}"/>
    <cellStyle name="Header2 2 2 8" xfId="12293" xr:uid="{2B8796D2-1C05-4919-8A45-CA7CB0F3CA56}"/>
    <cellStyle name="Header2 2 2 8 2" xfId="12294" xr:uid="{212960C8-8FB1-424B-B2E7-427CAB952696}"/>
    <cellStyle name="Header2 2 2 9" xfId="12295" xr:uid="{45E26104-AD21-4144-BEBE-9BB486A797FF}"/>
    <cellStyle name="Header2 2 2 9 2" xfId="12296" xr:uid="{2D036FB6-F59E-4D4C-BA05-EC43A867F6C2}"/>
    <cellStyle name="Header2 2 3" xfId="12297" xr:uid="{6C1F7F04-518D-458D-93BF-69CEA9281ADA}"/>
    <cellStyle name="Header2 2 3 2" xfId="12298" xr:uid="{785AE855-1B8F-409E-9DC7-0AB0F638F2B9}"/>
    <cellStyle name="Header2 2 4" xfId="12299" xr:uid="{30D9EE53-B2CA-46EE-A59F-738D520DF862}"/>
    <cellStyle name="Header2 2 4 2" xfId="12300" xr:uid="{BCD48587-0D2D-462D-BABC-D5F9BDAF2B62}"/>
    <cellStyle name="Header2 2 5" xfId="12301" xr:uid="{D7B74C35-CAF3-4050-931E-61DB22144C42}"/>
    <cellStyle name="Header2 3" xfId="12302" xr:uid="{8A2DA3A2-67F6-429F-A3ED-FB55300B6006}"/>
    <cellStyle name="Header2 3 2" xfId="12303" xr:uid="{B81148A6-12FC-4288-AA06-DA7268C3DF73}"/>
    <cellStyle name="Header2 3 2 10" xfId="12304" xr:uid="{BF8ADA10-A0D3-4E4A-96E1-4EA14BDD1A85}"/>
    <cellStyle name="Header2 3 2 10 2" xfId="12305" xr:uid="{4141AB8A-F0D5-41F7-9ED8-2C47AE4B1A95}"/>
    <cellStyle name="Header2 3 2 11" xfId="12306" xr:uid="{566C3C8D-69F0-4075-98D2-50DD94A1C13F}"/>
    <cellStyle name="Header2 3 2 11 2" xfId="12307" xr:uid="{7C3E20D9-AF36-43EB-B10D-D377B7E8BF00}"/>
    <cellStyle name="Header2 3 2 12" xfId="12308" xr:uid="{1341F720-BF0F-45A7-904A-853F51543819}"/>
    <cellStyle name="Header2 3 2 12 2" xfId="12309" xr:uid="{DBA0FD0C-34B2-4A08-B6E8-ADD28B821A80}"/>
    <cellStyle name="Header2 3 2 13" xfId="12310" xr:uid="{ECF842D4-1A2F-4C62-B0C1-1F1ADF5FDC40}"/>
    <cellStyle name="Header2 3 2 13 2" xfId="12311" xr:uid="{691F7D4C-EEB1-4105-8E44-5CC599B759E5}"/>
    <cellStyle name="Header2 3 2 14" xfId="12312" xr:uid="{76D0DBCC-3233-4377-90AD-1A4E69EBFF21}"/>
    <cellStyle name="Header2 3 2 14 2" xfId="12313" xr:uid="{64411216-CC7A-48DF-840A-739EB78273A6}"/>
    <cellStyle name="Header2 3 2 15" xfId="12314" xr:uid="{370D4034-AA05-4C91-9160-D1BED88DA7BF}"/>
    <cellStyle name="Header2 3 2 15 2" xfId="12315" xr:uid="{A43FF56F-5170-42AC-958C-7159659DF47F}"/>
    <cellStyle name="Header2 3 2 16" xfId="12316" xr:uid="{BDB8214F-4D65-4DE7-9D96-D5CF8DAD4AAA}"/>
    <cellStyle name="Header2 3 2 16 2" xfId="12317" xr:uid="{63EF3CC4-2D26-46B1-A28A-140F8438E664}"/>
    <cellStyle name="Header2 3 2 17" xfId="12318" xr:uid="{9F6A072E-1F9D-4FF4-B25C-A3B3B4F3EB7C}"/>
    <cellStyle name="Header2 3 2 17 2" xfId="12319" xr:uid="{3C44DA62-416C-45F7-A45B-6617268A0FC4}"/>
    <cellStyle name="Header2 3 2 18" xfId="12320" xr:uid="{EE092BF0-A7CE-47C1-93B2-EDD8225EE98B}"/>
    <cellStyle name="Header2 3 2 18 2" xfId="12321" xr:uid="{D11E5CF0-990E-499A-ACBA-25EFFE6E29D0}"/>
    <cellStyle name="Header2 3 2 19" xfId="12322" xr:uid="{E2F6C229-189C-4E61-8931-2063995A06BF}"/>
    <cellStyle name="Header2 3 2 19 2" xfId="12323" xr:uid="{CCEF49E8-E1C6-4038-BD00-9B84954D2C72}"/>
    <cellStyle name="Header2 3 2 2" xfId="12324" xr:uid="{95F73A69-9066-4402-B2D7-E1B21D478C4D}"/>
    <cellStyle name="Header2 3 2 2 2" xfId="12325" xr:uid="{C68B05F0-EB46-4C63-A128-B93599EFD8F8}"/>
    <cellStyle name="Header2 3 2 20" xfId="12326" xr:uid="{C7034C81-5B29-4385-9DE2-9B6C355124EF}"/>
    <cellStyle name="Header2 3 2 20 2" xfId="12327" xr:uid="{C6014DEE-6901-4F87-9150-23E6E1B0548B}"/>
    <cellStyle name="Header2 3 2 21" xfId="12328" xr:uid="{36B4D616-3ADB-45A8-8FEB-FD453ED96992}"/>
    <cellStyle name="Header2 3 2 21 2" xfId="12329" xr:uid="{A2339C7C-90AC-4411-B923-9A2A69ADB188}"/>
    <cellStyle name="Header2 3 2 22" xfId="12330" xr:uid="{B956E79F-124B-42A5-8ABD-F20EF8338F01}"/>
    <cellStyle name="Header2 3 2 22 2" xfId="12331" xr:uid="{A6D38B06-5B5E-46FA-B7E8-EF3CD047FCBA}"/>
    <cellStyle name="Header2 3 2 23" xfId="12332" xr:uid="{2F8EE0DC-3B19-478F-A287-68B083822316}"/>
    <cellStyle name="Header2 3 2 3" xfId="12333" xr:uid="{1F8B4BE8-31AB-4A31-A235-9C82188382D9}"/>
    <cellStyle name="Header2 3 2 3 2" xfId="12334" xr:uid="{448F8E18-75B4-4638-A584-E8FBBA461B14}"/>
    <cellStyle name="Header2 3 2 4" xfId="12335" xr:uid="{E70DB159-9EA7-4F7F-9863-83D8756E1ADE}"/>
    <cellStyle name="Header2 3 2 4 2" xfId="12336" xr:uid="{3AF65493-CE65-46A2-8B51-23544A5638D6}"/>
    <cellStyle name="Header2 3 2 5" xfId="12337" xr:uid="{B6F4D92C-897A-40C3-8F2E-B86463676C8A}"/>
    <cellStyle name="Header2 3 2 5 2" xfId="12338" xr:uid="{A4CA8372-20A9-40B0-833E-E444ED161FCF}"/>
    <cellStyle name="Header2 3 2 6" xfId="12339" xr:uid="{3B7DDC13-41ED-4E1D-BDF9-EA7D9423FC1A}"/>
    <cellStyle name="Header2 3 2 6 2" xfId="12340" xr:uid="{4DB986F9-E0F8-4F32-B3EE-FE54806CFDCE}"/>
    <cellStyle name="Header2 3 2 7" xfId="12341" xr:uid="{08BFD0FC-39F3-44D4-951C-1B1A593BBEDC}"/>
    <cellStyle name="Header2 3 2 7 2" xfId="12342" xr:uid="{04E06941-B6E1-4804-8A4F-21EAE9899795}"/>
    <cellStyle name="Header2 3 2 8" xfId="12343" xr:uid="{E5C8CF50-29BA-439C-8739-246563C4A021}"/>
    <cellStyle name="Header2 3 2 8 2" xfId="12344" xr:uid="{39EA1970-DF9C-4183-8FBA-67A9A917EDCB}"/>
    <cellStyle name="Header2 3 2 9" xfId="12345" xr:uid="{A1FF3086-F410-4DE3-9DA0-99CE7D809BA0}"/>
    <cellStyle name="Header2 3 2 9 2" xfId="12346" xr:uid="{95A72EA1-3D04-459D-ACCF-24D2FF74FFB6}"/>
    <cellStyle name="Header2 3 3" xfId="12347" xr:uid="{471ECA07-4842-4279-9324-6A9CC597C5CF}"/>
    <cellStyle name="Header2 3 3 2" xfId="12348" xr:uid="{2053B29D-738E-4AE4-BAFC-CC69EA2E2A01}"/>
    <cellStyle name="Header2 3 4" xfId="12349" xr:uid="{32E49723-CBC6-4A72-AA14-07478BFA6207}"/>
    <cellStyle name="Header2 3 4 2" xfId="12350" xr:uid="{36F049F4-47DB-4651-81EB-92838112A30B}"/>
    <cellStyle name="Header2 3 5" xfId="12351" xr:uid="{1E20410B-FE12-4CFC-AB9F-0A81D9039FAE}"/>
    <cellStyle name="Header2 4" xfId="12352" xr:uid="{0BF2BFFD-1A47-4E4A-A7CE-FEF154046FCD}"/>
    <cellStyle name="Header2 4 10" xfId="12353" xr:uid="{B98E0B75-7185-4F63-8265-EA060C42F087}"/>
    <cellStyle name="Header2 4 10 2" xfId="12354" xr:uid="{8F5497C5-0BEC-4E55-9EB1-87238F42313C}"/>
    <cellStyle name="Header2 4 11" xfId="12355" xr:uid="{513E5F65-B188-4797-95AA-E21D32F9CCD6}"/>
    <cellStyle name="Header2 4 11 2" xfId="12356" xr:uid="{7B79A00A-A864-4EA7-A4DA-7FF66EC3C5D0}"/>
    <cellStyle name="Header2 4 12" xfId="12357" xr:uid="{18DDB9FC-03BF-4F13-B418-3996044D97E9}"/>
    <cellStyle name="Header2 4 12 2" xfId="12358" xr:uid="{DAA172A0-1BC2-45C3-8CC4-41956CCBFE85}"/>
    <cellStyle name="Header2 4 13" xfId="12359" xr:uid="{5DAAC4B9-9A2F-4950-90E7-585C410FA5DE}"/>
    <cellStyle name="Header2 4 13 2" xfId="12360" xr:uid="{46869350-EB3C-43B1-ABD4-01DEBEACDE63}"/>
    <cellStyle name="Header2 4 14" xfId="12361" xr:uid="{8CFB4742-3E11-42C9-ACCC-93B71CB3F570}"/>
    <cellStyle name="Header2 4 14 2" xfId="12362" xr:uid="{031CEA0C-D1C4-4B0B-B4DF-A84ED583F975}"/>
    <cellStyle name="Header2 4 15" xfId="12363" xr:uid="{F15983AA-85A9-4DCE-A0E2-2A8672E453F6}"/>
    <cellStyle name="Header2 4 15 2" xfId="12364" xr:uid="{B711B174-5470-450E-B798-8D0DE5479993}"/>
    <cellStyle name="Header2 4 16" xfId="12365" xr:uid="{C7DC7112-0899-4177-BB2C-0921652AD6AD}"/>
    <cellStyle name="Header2 4 16 2" xfId="12366" xr:uid="{92546399-8DDB-4BF3-BE76-9A096EA40B27}"/>
    <cellStyle name="Header2 4 17" xfId="12367" xr:uid="{E717E081-8AF8-44DC-8652-3BB2BD298458}"/>
    <cellStyle name="Header2 4 17 2" xfId="12368" xr:uid="{80BDF566-3C1B-41C3-B8DC-98F0E363420F}"/>
    <cellStyle name="Header2 4 18" xfId="12369" xr:uid="{C722F588-7149-47EA-BE92-DC36CE3E36AD}"/>
    <cellStyle name="Header2 4 18 2" xfId="12370" xr:uid="{99361A0A-5C93-44C7-A457-A6914C7FBD26}"/>
    <cellStyle name="Header2 4 19" xfId="12371" xr:uid="{13B26DFD-1282-4555-AE09-E125490DF959}"/>
    <cellStyle name="Header2 4 19 2" xfId="12372" xr:uid="{C27AA575-28AC-4A08-B8C0-4362272B1E0E}"/>
    <cellStyle name="Header2 4 2" xfId="12373" xr:uid="{A40F4B03-67C4-4420-9FCA-D72D78F262AB}"/>
    <cellStyle name="Header2 4 2 2" xfId="12374" xr:uid="{613271B8-62A2-4F63-BCE5-3E71F9232619}"/>
    <cellStyle name="Header2 4 20" xfId="12375" xr:uid="{CAE02D55-1506-46FB-B100-BE98B9A8BB4B}"/>
    <cellStyle name="Header2 4 20 2" xfId="12376" xr:uid="{698F5D16-105D-4004-B30E-771AF5540DDD}"/>
    <cellStyle name="Header2 4 21" xfId="12377" xr:uid="{0CD117F6-6466-4A01-8F28-3A643A8719BA}"/>
    <cellStyle name="Header2 4 21 2" xfId="12378" xr:uid="{6A8D0BB4-9F4D-448E-B620-4AF667BA311B}"/>
    <cellStyle name="Header2 4 22" xfId="12379" xr:uid="{A4AC9BC6-CFDE-4E5F-9630-F317EDCDD3BB}"/>
    <cellStyle name="Header2 4 22 2" xfId="12380" xr:uid="{B196498B-B916-47C1-8A54-3F9E513274AD}"/>
    <cellStyle name="Header2 4 23" xfId="12381" xr:uid="{BD6AAB46-342C-436F-8E2C-C20F6D3C5ABF}"/>
    <cellStyle name="Header2 4 3" xfId="12382" xr:uid="{0C59FCEE-9B89-48A4-B6E4-25A2213B7FC7}"/>
    <cellStyle name="Header2 4 3 2" xfId="12383" xr:uid="{C858D3C5-9CCD-4644-BC63-DD1F7E592C63}"/>
    <cellStyle name="Header2 4 4" xfId="12384" xr:uid="{B0623D0F-5C5D-4C06-9935-3E3881374701}"/>
    <cellStyle name="Header2 4 4 2" xfId="12385" xr:uid="{DD5DC343-9D93-41F3-942A-B2EBB1AD9A1B}"/>
    <cellStyle name="Header2 4 5" xfId="12386" xr:uid="{3A8EB174-3831-42C3-AF1C-F9C796606DD5}"/>
    <cellStyle name="Header2 4 5 2" xfId="12387" xr:uid="{4EFDF5DD-3285-4C02-AED9-681D18BC6AEE}"/>
    <cellStyle name="Header2 4 6" xfId="12388" xr:uid="{570572DB-1C0F-4942-8A23-9CA8E745960D}"/>
    <cellStyle name="Header2 4 6 2" xfId="12389" xr:uid="{4AC4DDFE-9EAE-43B5-BB59-9D9B0E9EB311}"/>
    <cellStyle name="Header2 4 7" xfId="12390" xr:uid="{9A2F07E1-029D-49F2-82B0-949C6F05B321}"/>
    <cellStyle name="Header2 4 7 2" xfId="12391" xr:uid="{55A7F6A7-56D7-4B9D-BBB9-77A8DE572820}"/>
    <cellStyle name="Header2 4 8" xfId="12392" xr:uid="{9ECC95A9-AD39-46B1-9529-7F6BCB59B8E9}"/>
    <cellStyle name="Header2 4 8 2" xfId="12393" xr:uid="{4AA24EF8-BE6A-44F8-AB5B-C470583A0899}"/>
    <cellStyle name="Header2 4 9" xfId="12394" xr:uid="{1672140F-013A-49E3-99B9-5D962CC09B52}"/>
    <cellStyle name="Header2 4 9 2" xfId="12395" xr:uid="{4517795D-2253-46D7-814F-9F7262890AEB}"/>
    <cellStyle name="Header2 5" xfId="12396" xr:uid="{04C132EA-DD19-4C52-B6E4-957781B1EBE9}"/>
    <cellStyle name="Header2 5 2" xfId="12397" xr:uid="{50F4516D-C352-422B-956B-58FD7E1CF850}"/>
    <cellStyle name="Header2 6" xfId="12398" xr:uid="{D0D3FFD3-FF38-4A0B-8559-AEB4E7814022}"/>
    <cellStyle name="Header2 6 2" xfId="12399" xr:uid="{84C7C846-756A-433D-8934-D98E4E710C9F}"/>
    <cellStyle name="Header2 7" xfId="12400" xr:uid="{85DA1204-2761-4B55-B0B6-A98A915D53DD}"/>
    <cellStyle name="Header2 7 2" xfId="12401" xr:uid="{0164E829-0C4F-4320-9401-1FFEA5D0128B}"/>
    <cellStyle name="Header2 8" xfId="12402" xr:uid="{28185D29-F12D-47ED-A3E3-446430237772}"/>
    <cellStyle name="Heading" xfId="12403" xr:uid="{283C8E85-AB2B-4568-BA06-01B2AC0CB6D2}"/>
    <cellStyle name="Heading 1 2" xfId="12405" xr:uid="{3AB05525-7C7E-4776-B773-50BE4A323A51}"/>
    <cellStyle name="Heading 1 2 2" xfId="12406" xr:uid="{B7622918-1AB2-4D0B-9A67-715B96798BE7}"/>
    <cellStyle name="Heading 1 2 3" xfId="12407" xr:uid="{9D2E5FA5-9201-4EE2-B17F-7821D5D70764}"/>
    <cellStyle name="Heading 1 3" xfId="12408" xr:uid="{16176690-CD9F-4DA7-9747-AF84604DCFBD}"/>
    <cellStyle name="Heading 1 3 2" xfId="12409" xr:uid="{AD461F6D-A659-49FB-9AEE-41513E597324}"/>
    <cellStyle name="Heading 1 4" xfId="12404" xr:uid="{6E6170C6-883D-461E-8AA3-6330D7C62FC9}"/>
    <cellStyle name="Heading 2 2" xfId="12411" xr:uid="{9B391D2D-AF38-4CE3-82AB-A7F845A7715C}"/>
    <cellStyle name="Heading 2 2 2" xfId="12412" xr:uid="{9DE36EF7-5B6F-4B75-8A82-377E4E31672C}"/>
    <cellStyle name="Heading 2 2 3" xfId="12413" xr:uid="{442355D6-E65B-4FD5-8CCA-8041F4C147A2}"/>
    <cellStyle name="Heading 2 3" xfId="12414" xr:uid="{383D0428-C4B9-446F-BE5A-73B22D6559E1}"/>
    <cellStyle name="Heading 2 3 2" xfId="12415" xr:uid="{2DD45F9C-E44B-40F8-B1AF-D9EFF374FC00}"/>
    <cellStyle name="Heading 2 4" xfId="12410" xr:uid="{A22B026A-2257-4795-9D4C-B182CF129373}"/>
    <cellStyle name="Heading 3 2" xfId="12417" xr:uid="{BE04C200-EEDD-4DAF-96DD-022E90A2B82B}"/>
    <cellStyle name="Heading 3 3" xfId="12418" xr:uid="{1E665EB7-703F-4534-B72A-B014914560F6}"/>
    <cellStyle name="Heading 3 4" xfId="12419" xr:uid="{04B46DD1-1B8E-4FD1-AE13-F7059DD40FE8}"/>
    <cellStyle name="Heading 3 5" xfId="12420" xr:uid="{05506B5C-FE31-449A-ADD3-71C9F518DC3D}"/>
    <cellStyle name="Heading 3 6" xfId="12421" xr:uid="{A0164A25-4D52-4C26-A5BD-A2C0E54587A7}"/>
    <cellStyle name="Heading 3 7" xfId="12416" xr:uid="{08B40826-D624-4D64-80B6-629A371B6C05}"/>
    <cellStyle name="Heading 4 2" xfId="12423" xr:uid="{C438DAA8-410D-46E3-96E8-8957682A52BC}"/>
    <cellStyle name="Heading 4 3" xfId="12424" xr:uid="{7A68449B-0E8A-4744-AD5C-BCA51BCC5004}"/>
    <cellStyle name="Heading 4 4" xfId="12425" xr:uid="{E220E333-5593-41DB-BF39-760F4230CDAB}"/>
    <cellStyle name="Heading 4 5" xfId="12426" xr:uid="{5918760C-939E-45CF-A066-CCC817C24B24}"/>
    <cellStyle name="Heading 4 6" xfId="12427" xr:uid="{E2FF3A1E-5A16-4238-96F7-1EC04EE9394B}"/>
    <cellStyle name="Heading 4 7" xfId="12422" xr:uid="{260C6CF2-0C98-4FBA-A14E-9E895CCACA63}"/>
    <cellStyle name="Heading1" xfId="12428" xr:uid="{F60C02CF-1196-49B3-BCF5-05B7CEECE704}"/>
    <cellStyle name="Heading2" xfId="12429" xr:uid="{ABD36F04-D8DB-4103-9E25-37FEF8B03AAD}"/>
    <cellStyle name="Heading3" xfId="12430" xr:uid="{15234863-95AF-422D-99B7-EFE7A8749697}"/>
    <cellStyle name="Hidden" xfId="12431" xr:uid="{9DAD0438-5961-450D-8396-FF85284ADD5D}"/>
    <cellStyle name="HIGHLIGHT" xfId="12432" xr:uid="{BAD1F245-267E-46AF-A151-82D13EB12A8B}"/>
    <cellStyle name="Hiper??cze" xfId="12433" xr:uid="{68D8B650-C5A5-4187-9167-515E1BD0FB59}"/>
    <cellStyle name="Hiperlacze" xfId="12434" xr:uid="{1B5E2C3F-47D6-491D-8F08-9AC550FFA671}"/>
    <cellStyle name="Hiperv?nculo" xfId="12435" xr:uid="{0B365F76-8335-480B-BFA7-2C9ACC1097EB}"/>
    <cellStyle name="Hiperv?nculo visitado" xfId="12436" xr:uid="{958B4EF6-0F14-4787-8F6C-8BD252B9E471}"/>
    <cellStyle name="Hiperv?nculo_FY08 Retail Volume April Report 090409" xfId="12437" xr:uid="{0B3CE065-D33A-413F-833E-E8AC4C863F49}"/>
    <cellStyle name="Hipervínculo" xfId="12438" xr:uid="{9762965A-7F46-4FA1-A891-F43280B64102}"/>
    <cellStyle name="Hipervínculo 2" xfId="12439" xr:uid="{8DF341D4-7B4E-42A0-9A53-2537A9F8C005}"/>
    <cellStyle name="Hipervínculo visitado" xfId="12440" xr:uid="{651CE994-B05A-4743-AC57-7B3171386B27}"/>
    <cellStyle name="Hipervínculo visitado 2" xfId="12441" xr:uid="{CFA4B53C-91F4-4AA9-8F2E-A87BFA7273B8}"/>
    <cellStyle name="Hipervínculo_- (14) Request (Homologation pt1)" xfId="12442" xr:uid="{E5EDBC86-03AF-4B03-A82B-F7C98FAC4ADD}"/>
    <cellStyle name="Hiperv匤culo" xfId="12443" xr:uid="{15A37E3F-3602-43F3-AA77-F28C884B7488}"/>
    <cellStyle name="Hiperv匤culo 2" xfId="12444" xr:uid="{F1A218DD-A752-440F-84C7-AC2D1EB76C28}"/>
    <cellStyle name="Hiperv匤culo 2 2" xfId="12445" xr:uid="{2DB88216-5665-483F-8AB1-8C4DAC0B3F28}"/>
    <cellStyle name="Hiperv匤culo 2 2 2" xfId="12446" xr:uid="{E428C4B1-6D2F-4781-B1E2-37C56C7B5A08}"/>
    <cellStyle name="Hiperv匤culo 2 3" xfId="12447" xr:uid="{564D5171-E783-442B-BA40-61E179BE4F8C}"/>
    <cellStyle name="Hiperv匤culo 3" xfId="12448" xr:uid="{F6CED7F3-7C8F-43DA-A503-3A6C3556F500}"/>
    <cellStyle name="Hiperv匤culo 3 2" xfId="12449" xr:uid="{FA5C3CFE-DCD3-4A98-90B8-42FC0A40F019}"/>
    <cellStyle name="Hiperv匤culo 4" xfId="12450" xr:uid="{51E77FE5-A359-448D-99FB-061F1B7E2BDA}"/>
    <cellStyle name="Hiperv匤culo visitado" xfId="12451" xr:uid="{6FBF638B-CAC6-4B1D-8974-F7E87BA6F1CC}"/>
    <cellStyle name="Hiperv匤culo visitado 2" xfId="12452" xr:uid="{23055BE7-CC3C-4997-94FE-0B691570D9D3}"/>
    <cellStyle name="Hiperv匤culo visitado 2 2" xfId="12453" xr:uid="{387DE04E-9603-408E-8EE2-CA2B71EB0308}"/>
    <cellStyle name="Hiperv匤culo visitado 2 2 2" xfId="12454" xr:uid="{D061E44F-9B22-4652-9827-4F918C8974D4}"/>
    <cellStyle name="Hiperv匤culo visitado 2 3" xfId="12455" xr:uid="{514FEA2E-56FF-43FD-A512-C61C84228DF0}"/>
    <cellStyle name="Hiperv匤culo visitado 3" xfId="12456" xr:uid="{EBA12E77-E737-4B77-B810-C68BCBACA89A}"/>
    <cellStyle name="Hiperv匤culo visitado 3 2" xfId="12457" xr:uid="{99919FF3-DFAC-494C-A82D-4AA3B35A06B7}"/>
    <cellStyle name="Hiperv匤culo visitado 4" xfId="12458" xr:uid="{ABF36EB3-6A20-4041-B654-2EE59E2D443E}"/>
    <cellStyle name="Hiperv匤culo_NMT Outside profit Sep" xfId="12459" xr:uid="{BAD54CE4-DD0E-4265-9EA0-415C4C4887DA}"/>
    <cellStyle name="Hours" xfId="12460" xr:uid="{9AABC5DE-FD6F-4E10-980B-11F386A78862}"/>
    <cellStyle name="Hours 2" xfId="12461" xr:uid="{BADF8D4D-DB8E-4F54-8D3D-6BB183EF584E}"/>
    <cellStyle name="Hours 2 2" xfId="12462" xr:uid="{D99AC437-AE16-40A7-8810-FA5466BC2211}"/>
    <cellStyle name="Hours 2 2 2" xfId="12463" xr:uid="{114F7EBE-C4D8-4C73-BD5A-778C444C0B3E}"/>
    <cellStyle name="Hours 2 2 3" xfId="12464" xr:uid="{31F94A1B-5AF0-4181-89C1-2461CED7D3D5}"/>
    <cellStyle name="Hours 2 3" xfId="12465" xr:uid="{DB4AB3CB-59F6-4452-8808-D72E12F2CEB4}"/>
    <cellStyle name="Hours 3" xfId="12466" xr:uid="{D2CA0FF1-ADDA-4733-A3F6-5EE31CC28FE0}"/>
    <cellStyle name="Hyperlink" xfId="12467" xr:uid="{55187B85-95D9-4437-BD70-D26824D57F9D}"/>
    <cellStyle name="Hyperlink 2" xfId="12468" xr:uid="{86D2DCFA-E991-448C-AD1E-5CE14E395493}"/>
    <cellStyle name="Hyperlink 2 2" xfId="12469" xr:uid="{D6025F12-ED19-4F04-9E86-61ABDBA46F63}"/>
    <cellStyle name="Hyperlink 2 3" xfId="12470" xr:uid="{EF2E3B1D-C2A4-43A1-8A61-43127C05448F}"/>
    <cellStyle name="Hyperlink 2 4" xfId="12471" xr:uid="{F7E6DDE2-1BCD-4174-A4AE-AE6ED5554748}"/>
    <cellStyle name="Hyperlink 3" xfId="12472" xr:uid="{1BB37141-DD94-428E-AE71-A69121235B2B}"/>
    <cellStyle name="Hyperlink 3 2" xfId="12473" xr:uid="{DE845B3F-4A06-4115-9696-D62C1344838D}"/>
    <cellStyle name="Hyperlink Arrow" xfId="12474" xr:uid="{7A3FDE30-66C1-4CB9-9D92-5DAB7CEB00FF}"/>
    <cellStyle name="Hyperlink seguido" xfId="12475" xr:uid="{ABCE2648-7040-4DD1-894C-986A02EAA5E1}"/>
    <cellStyle name="Hyperlink Text" xfId="12476" xr:uid="{71FB3435-C763-478D-905D-2FDCEFB8A725}"/>
    <cellStyle name="Hyperlink_【0126】No.1 FY10 Q3YTD" xfId="12477" xr:uid="{5C0D9E69-D5E9-453A-AE0B-CFF609CFCC78}"/>
    <cellStyle name="Hypertextový odkaz" xfId="12478" xr:uid="{06B7DC64-2B6E-403F-A98B-52BFA992119B}"/>
    <cellStyle name="I_#_0dp" xfId="12479" xr:uid="{3C5DF6A5-E6A8-4A38-83BE-605B94605142}"/>
    <cellStyle name="I_#_0dp 2" xfId="12480" xr:uid="{531080D9-6C83-417F-AF70-9278E5CF5000}"/>
    <cellStyle name="I_#_0dp 2 2" xfId="29402" xr:uid="{1DD7955D-F82D-4031-81E2-EA7957757312}"/>
    <cellStyle name="I_#_0dp 3" xfId="29401" xr:uid="{1D762C5E-8826-43CE-9A8A-DC6983E6DA17}"/>
    <cellStyle name="I_#_0dp_Instructions" xfId="12481" xr:uid="{806B8617-5B30-43CD-95E9-1AE4EFC649A5}"/>
    <cellStyle name="I_#_0dp_Instructions 2" xfId="29430" xr:uid="{8EEE6C5D-5254-44AC-AD5C-5B9F2437D8DC}"/>
    <cellStyle name="I_#_1dp" xfId="12482" xr:uid="{114BFCC3-CE5E-46DD-B630-23E5078C94F9}"/>
    <cellStyle name="I_#_1dp 2" xfId="12483" xr:uid="{B8F8CEA3-CD9E-4296-8FB2-33874FD728EB}"/>
    <cellStyle name="I_#_1dp 2 2" xfId="29403" xr:uid="{52B43C0D-9187-48AA-ADF7-E0FDFF1C2F36}"/>
    <cellStyle name="I_#_1dp 3" xfId="29400" xr:uid="{1F1C7209-932D-4C02-B6E8-C4B48FA22236}"/>
    <cellStyle name="I_#_2dp" xfId="12484" xr:uid="{4869A4EB-09E9-4038-9DCB-BAFF8C937AA9}"/>
    <cellStyle name="I_#_2dp 2" xfId="12485" xr:uid="{65ABB426-2B18-4919-A6DC-6D2016F6CF5A}"/>
    <cellStyle name="I_#_2dp 2 2" xfId="29405" xr:uid="{5AD73142-DFF5-48F6-B1E9-FB1DAD48127C}"/>
    <cellStyle name="I_#_2dp 3" xfId="29404" xr:uid="{D5928129-2FCD-4A73-9EA3-90DA1C22E4D1}"/>
    <cellStyle name="I_#_4dp" xfId="12486" xr:uid="{03DFE980-B2AE-498D-9F53-4ACF7E59D8FE}"/>
    <cellStyle name="I_#_4dp 2" xfId="12487" xr:uid="{4FF91733-3511-444E-9DDB-D6C2A4EF3CD1}"/>
    <cellStyle name="I_#_4dp 2 2" xfId="29407" xr:uid="{536C5E99-3CDC-4E06-B8B5-2A25C2087E66}"/>
    <cellStyle name="I_#_4dp 3" xfId="29406" xr:uid="{81A58C85-0F21-4F39-A9E0-A4FB0F426682}"/>
    <cellStyle name="I_%_0dp" xfId="12488" xr:uid="{2862DF27-33A3-4FA4-B951-0BC0E2976987}"/>
    <cellStyle name="I_%_0dp 2" xfId="12489" xr:uid="{D40810AD-5241-4606-952A-29C789A81564}"/>
    <cellStyle name="I_%_0dp 2 2" xfId="29409" xr:uid="{B13537DB-A313-4E62-BE79-1C7ECB3D7F51}"/>
    <cellStyle name="I_%_0dp 3" xfId="29408" xr:uid="{6E0FA4CD-6348-4FDD-AC30-282E136D8455}"/>
    <cellStyle name="I_%_1dp" xfId="12490" xr:uid="{84965A1D-99C8-4208-94BA-052CE5AC0AD5}"/>
    <cellStyle name="I_%_1dp 2" xfId="12491" xr:uid="{574F862B-144F-4A82-919D-580793002800}"/>
    <cellStyle name="I_%_1dp 2 2" xfId="29411" xr:uid="{E27CED36-4322-45D0-AC9B-BC3928D21211}"/>
    <cellStyle name="I_%_1dp 3" xfId="29410" xr:uid="{AA5708AF-D7AA-4F04-A1AF-4ACEC7D18BD1}"/>
    <cellStyle name="I_%_2dp" xfId="12492" xr:uid="{8862BDF7-A30D-4098-BD33-CD2D9381978C}"/>
    <cellStyle name="I_%_2dp 2" xfId="12493" xr:uid="{E7620BC8-30AA-4E48-BEA2-F0B480DF2726}"/>
    <cellStyle name="I_%_2dp 2 2" xfId="29413" xr:uid="{8DC5974A-6839-471D-988B-0C0CAC80B8A5}"/>
    <cellStyle name="I_%_2dp 3" xfId="29412" xr:uid="{7697AFF0-01EA-4DEC-B6D4-58114965FE09}"/>
    <cellStyle name="I_%_3dp" xfId="12494" xr:uid="{4AA30511-44BC-4664-8AC8-AAD8709DDED7}"/>
    <cellStyle name="I_%_3dp 2" xfId="12495" xr:uid="{0C431345-F9EB-4AB9-9EE6-7FB5EBC9E2FC}"/>
    <cellStyle name="I_%_3dp 2 2" xfId="29415" xr:uid="{4905CA9C-B12E-4134-8283-D0CEE8E5AE25}"/>
    <cellStyle name="I_%_3dp 3" xfId="29414" xr:uid="{45737169-E3BF-46CE-8046-BC5F201E481A}"/>
    <cellStyle name="I_%_4dp" xfId="12496" xr:uid="{B7D9AFF9-C42B-4C2C-8478-FD522E15DB53}"/>
    <cellStyle name="I_%_4dp 2" xfId="12497" xr:uid="{9DB4FE29-02DE-4ACF-8C7A-972A321A46D6}"/>
    <cellStyle name="I_%_4dp 2 2" xfId="29417" xr:uid="{54D285C8-08AA-43AE-86B8-77F2A3306F67}"/>
    <cellStyle name="I_%_4dp 3" xfId="29416" xr:uid="{5972D630-9004-4683-B80C-0C5C8F5B668F}"/>
    <cellStyle name="I_Comment" xfId="12498" xr:uid="{2139CDF0-F8DB-4300-A677-8377637E3CE3}"/>
    <cellStyle name="I_Comment 2" xfId="12499" xr:uid="{0F4C8526-C0C7-4240-97B2-A3725A02BFCD}"/>
    <cellStyle name="I_Comment 2 2" xfId="29419" xr:uid="{EAD34F73-7E52-4B7A-8596-C2D39BD3D232}"/>
    <cellStyle name="I_Comment 3" xfId="29418" xr:uid="{D5564291-A261-4783-821B-E0B1EE7D82C3}"/>
    <cellStyle name="I_Date" xfId="12500" xr:uid="{9577EAE3-C444-4CA4-A756-26EE73A9875B}"/>
    <cellStyle name="I_Date 2" xfId="12501" xr:uid="{E06E599A-7EAB-4D4C-B08A-905F1B5B19FB}"/>
    <cellStyle name="I_Date 2 2" xfId="29421" xr:uid="{BE9A5583-434B-42F9-8982-80A3D6CE6873}"/>
    <cellStyle name="I_Date 3" xfId="29420" xr:uid="{26355FF0-512F-4E45-927A-4F2DE11F06BE}"/>
    <cellStyle name="I_Date_CF Acc" xfId="12502" xr:uid="{EC6087BC-FD81-4BED-B8A4-9D4B067564F5}"/>
    <cellStyle name="I_Date_CF Acc 2" xfId="12503" xr:uid="{F26E16B0-9754-401E-9389-40383C97223F}"/>
    <cellStyle name="I_Date_CF Acc 2 2" xfId="29423" xr:uid="{C6397F77-5712-4C57-AEC4-11BEE6624073}"/>
    <cellStyle name="I_Date_CF Acc 3" xfId="29422" xr:uid="{2E5A0065-E7BF-4B6A-AD5A-E02AC2117974}"/>
    <cellStyle name="I_Date_CFSP CPA model 20060613 v82" xfId="12504" xr:uid="{43A00CD4-0F98-454D-8D69-4E5B309283D3}"/>
    <cellStyle name="I_Date_CFSP CPA model 20060613 v82 2" xfId="12505" xr:uid="{70F57D91-283F-4836-83CD-643AF171BEE7}"/>
    <cellStyle name="I_Date_CFSP CPA model 20060613 v82 2 2" xfId="29425" xr:uid="{E9A936F5-3C0E-47CE-9EDE-23B71FFB663D}"/>
    <cellStyle name="I_Date_CFSP CPA model 20060613 v82 3" xfId="29424" xr:uid="{42F21CF2-8E85-4AA8-AE6B-D837DABC43C9}"/>
    <cellStyle name="I_Date_Instructions" xfId="12506" xr:uid="{795C75A6-61E7-4DFB-AD65-66BDB6981B46}"/>
    <cellStyle name="I_Date_Instructions 2" xfId="12507" xr:uid="{E554108E-8818-49A2-8311-1B0D0593D78A}"/>
    <cellStyle name="I_Date_Instructions 3" xfId="12508" xr:uid="{A110CA91-8D50-4646-854B-237496F40202}"/>
    <cellStyle name="I_Head_R_4th" xfId="12509" xr:uid="{785BCE30-CFB1-4809-BD57-29D9DA7AF5E6}"/>
    <cellStyle name="I_Head_R_4th 2" xfId="12510" xr:uid="{E72D7F58-F6F8-4E53-BE41-67DB80994849}"/>
    <cellStyle name="I_Head_R_4th 3" xfId="12511" xr:uid="{CEBA6E09-AD57-4598-B925-CE1F7033F77A}"/>
    <cellStyle name="I_Text" xfId="12512" xr:uid="{3AB316FF-0226-44F7-85DE-94A8A6B305A8}"/>
    <cellStyle name="I_Text 2" xfId="12513" xr:uid="{A7D8EE4A-79CF-483E-96F5-A44854F7B056}"/>
    <cellStyle name="I_Text 2 2" xfId="29427" xr:uid="{5E2E9F91-639B-466F-A1F9-8A42FF70F6D1}"/>
    <cellStyle name="I_Text 3" xfId="29426" xr:uid="{CACACF0B-0191-47C2-BDC1-B6D896D2AF79}"/>
    <cellStyle name="I_Text_0" xfId="12514" xr:uid="{FE4E6A68-7307-42B4-909A-202BF51CD091}"/>
    <cellStyle name="I_Text_0 2" xfId="12515" xr:uid="{E36425DC-4002-4F87-894E-D3F118E89AD1}"/>
    <cellStyle name="I_Text_0 2 2" xfId="29429" xr:uid="{2F936565-7618-45FF-A225-C50C05879553}"/>
    <cellStyle name="I_Text_0 3" xfId="29428" xr:uid="{71AF2C09-4052-42AC-A3E0-AE06EA62FAA8}"/>
    <cellStyle name="I_Text_Instructions" xfId="12516" xr:uid="{23F72478-15A8-4D27-844A-609FD20FE136}"/>
    <cellStyle name="I_Text_Instructions 2" xfId="12517" xr:uid="{393509C6-2044-4AF9-9948-1FBC9671FBAC}"/>
    <cellStyle name="I_Text_Instructions 3" xfId="12518" xr:uid="{96C1DB44-2F0D-4A3C-9C2A-086B9B2F010B}"/>
    <cellStyle name="IBM(401K)" xfId="12519" xr:uid="{A42C0CC2-1B0F-462F-BA3B-C40E4A5DBFA6}"/>
    <cellStyle name="iles|_x0005_h" xfId="12520" xr:uid="{FEBF5430-CB6A-46B5-841C-C4C5ACAB0609}"/>
    <cellStyle name="iles|_x0005_h 2" xfId="26382" xr:uid="{1C229602-993A-4E36-A740-9A9C5B9AE0DC}"/>
    <cellStyle name="Incorrecto" xfId="12521" xr:uid="{FA24207E-C141-4AB2-BE01-FB95C04D68F0}"/>
    <cellStyle name="Indice" xfId="12522" xr:uid="{3F681044-D3DC-4CB6-B5F4-101AEC0CE8C4}"/>
    <cellStyle name="Indice 2" xfId="12523" xr:uid="{4318AA7A-B191-45B4-A4A3-AEFE692B1A4E}"/>
    <cellStyle name="Indice 2 2" xfId="12524" xr:uid="{72AA5E8D-5AA6-4930-8A84-32A3011719FD}"/>
    <cellStyle name="informe" xfId="12525" xr:uid="{73B1A5A2-868E-4A30-9D84-DB5D5A0E6846}"/>
    <cellStyle name="Input %" xfId="12527" xr:uid="{32AF0F38-3DE3-4FCB-9BBD-B868B2EC7546}"/>
    <cellStyle name="Input % 2" xfId="12528" xr:uid="{40A4E58C-2F79-4EEF-A84B-E31132F3E34B}"/>
    <cellStyle name="Input % 2 2" xfId="12529" xr:uid="{D246EF79-0E00-4843-AC2A-2C92BC46AC55}"/>
    <cellStyle name="Input % 2 2 2" xfId="12530" xr:uid="{87424E0C-0D75-444A-8C27-592C0356E693}"/>
    <cellStyle name="Input [yellow]" xfId="12531" xr:uid="{193E45F2-55E9-4BE3-92C1-C4366F8345DA}"/>
    <cellStyle name="Input [yellow] 2" xfId="12532" xr:uid="{7252A9B2-DCAC-441A-AF5E-662712638A1F}"/>
    <cellStyle name="Input [yellow] 2 2" xfId="12533" xr:uid="{C975F384-7C94-4D4E-A315-A7EC63875BDB}"/>
    <cellStyle name="Input [yellow] 2 2 10" xfId="12534" xr:uid="{2C4F88D8-75D9-480B-8558-D5F7A2217D1D}"/>
    <cellStyle name="Input [yellow] 2 2 10 2" xfId="12535" xr:uid="{8F725BC7-F519-440E-9898-C51F265932E8}"/>
    <cellStyle name="Input [yellow] 2 2 11" xfId="12536" xr:uid="{9EE4965C-2938-472B-A14E-EBE0A1955C62}"/>
    <cellStyle name="Input [yellow] 2 2 11 2" xfId="12537" xr:uid="{B5EDFD82-FE78-4446-BE31-ED6DB92E1F26}"/>
    <cellStyle name="Input [yellow] 2 2 12" xfId="12538" xr:uid="{4CE73C33-3230-4BA6-9E3C-E0183114B411}"/>
    <cellStyle name="Input [yellow] 2 2 12 2" xfId="12539" xr:uid="{C8135BA4-F5F8-4B47-A06B-FAC3CFF86F1D}"/>
    <cellStyle name="Input [yellow] 2 2 13" xfId="12540" xr:uid="{33147A28-E363-4E8D-9A33-DF80E3A941F1}"/>
    <cellStyle name="Input [yellow] 2 2 13 2" xfId="12541" xr:uid="{41C6E679-8D0F-4531-B4C0-19ADAE07C9B0}"/>
    <cellStyle name="Input [yellow] 2 2 14" xfId="12542" xr:uid="{598025AF-282D-49E8-A0C7-7967AE11EA66}"/>
    <cellStyle name="Input [yellow] 2 2 14 2" xfId="12543" xr:uid="{4B916372-6EBE-4E01-9039-965AAD0C7666}"/>
    <cellStyle name="Input [yellow] 2 2 15" xfId="12544" xr:uid="{AB9F815B-3EE6-4A52-800C-B5D20FCB63DF}"/>
    <cellStyle name="Input [yellow] 2 2 15 2" xfId="12545" xr:uid="{7051D6E2-F37B-4139-B50C-2B55FDCAF49A}"/>
    <cellStyle name="Input [yellow] 2 2 16" xfId="12546" xr:uid="{2536148E-4E76-4661-8826-D83F40B9FDAA}"/>
    <cellStyle name="Input [yellow] 2 2 16 2" xfId="12547" xr:uid="{18B5A3E2-2010-4BD1-9983-22B4DD05F3E2}"/>
    <cellStyle name="Input [yellow] 2 2 17" xfId="12548" xr:uid="{712FCD9D-DA0B-48D5-B957-086577CBD8DE}"/>
    <cellStyle name="Input [yellow] 2 2 17 2" xfId="12549" xr:uid="{F04D7F12-B5E0-4995-906E-90C5E8373E8D}"/>
    <cellStyle name="Input [yellow] 2 2 18" xfId="12550" xr:uid="{A63C4F65-80ED-424A-BA02-2C2FBEBE1D1A}"/>
    <cellStyle name="Input [yellow] 2 2 18 2" xfId="12551" xr:uid="{664C9BA6-DF29-4051-8E18-92DD11A806C6}"/>
    <cellStyle name="Input [yellow] 2 2 19" xfId="12552" xr:uid="{60067856-FBE6-46B0-BA75-750C87EC16C2}"/>
    <cellStyle name="Input [yellow] 2 2 19 2" xfId="12553" xr:uid="{D7309169-BD4D-4368-8252-5B106E4DBB5A}"/>
    <cellStyle name="Input [yellow] 2 2 2" xfId="12554" xr:uid="{DC4C9A17-C0A1-4772-99FE-00DD1F91B8FE}"/>
    <cellStyle name="Input [yellow] 2 2 2 2" xfId="12555" xr:uid="{F84CEC7F-2223-4D9E-AE20-4D5751DC9928}"/>
    <cellStyle name="Input [yellow] 2 2 20" xfId="12556" xr:uid="{5EF00E2E-607E-44FE-B0A9-9B3440BDB8A2}"/>
    <cellStyle name="Input [yellow] 2 2 20 2" xfId="12557" xr:uid="{AB202F0B-3741-4C9B-9F7F-B954C49AD17B}"/>
    <cellStyle name="Input [yellow] 2 2 21" xfId="12558" xr:uid="{ED2643DB-24FF-4BBB-BDBC-7DF1C253A982}"/>
    <cellStyle name="Input [yellow] 2 2 21 2" xfId="12559" xr:uid="{2CB6A029-BB08-43A6-86D0-C3546AF590B0}"/>
    <cellStyle name="Input [yellow] 2 2 22" xfId="12560" xr:uid="{F22D1B3C-0FD7-4D20-9466-6176E5F21696}"/>
    <cellStyle name="Input [yellow] 2 2 3" xfId="12561" xr:uid="{529E558B-D4CF-4515-AEA0-04726227F106}"/>
    <cellStyle name="Input [yellow] 2 2 3 2" xfId="12562" xr:uid="{B712584A-1726-40AC-83E2-A93426DDC7D8}"/>
    <cellStyle name="Input [yellow] 2 2 4" xfId="12563" xr:uid="{7C9D2625-7598-44A9-B043-2051D7493289}"/>
    <cellStyle name="Input [yellow] 2 2 4 2" xfId="12564" xr:uid="{2F3B8909-139F-4FDF-AFA3-50372C555476}"/>
    <cellStyle name="Input [yellow] 2 2 5" xfId="12565" xr:uid="{0E705E7F-50B6-4363-BB3E-758E46A4373A}"/>
    <cellStyle name="Input [yellow] 2 2 5 2" xfId="12566" xr:uid="{6BF7E162-E5C4-49A2-9EAE-E62CB962A056}"/>
    <cellStyle name="Input [yellow] 2 2 6" xfId="12567" xr:uid="{97E02BC8-27C1-41D9-8234-3745B8997B11}"/>
    <cellStyle name="Input [yellow] 2 2 6 2" xfId="12568" xr:uid="{950E3929-071C-4E22-85E8-0D3DF0DB17A1}"/>
    <cellStyle name="Input [yellow] 2 2 7" xfId="12569" xr:uid="{8A74B2B1-06F5-4ED6-9D81-C75D1247323F}"/>
    <cellStyle name="Input [yellow] 2 2 7 2" xfId="12570" xr:uid="{B2370516-3FBE-4ED2-9D18-75E7068387EE}"/>
    <cellStyle name="Input [yellow] 2 2 8" xfId="12571" xr:uid="{BF2124E2-923D-42BE-AC4D-914D0CC83AC5}"/>
    <cellStyle name="Input [yellow] 2 2 8 2" xfId="12572" xr:uid="{325F1EFB-27DC-47CE-80E3-678FB9E5DB29}"/>
    <cellStyle name="Input [yellow] 2 2 9" xfId="12573" xr:uid="{18E6F4F0-1AE1-4714-A8E7-D3F454045A7C}"/>
    <cellStyle name="Input [yellow] 2 2 9 2" xfId="12574" xr:uid="{ED7AB27B-C742-4FB5-A257-51CFE239D3FF}"/>
    <cellStyle name="Input [yellow] 2 3" xfId="12575" xr:uid="{9ABDE9A2-8F15-44CC-9030-1FAE5C1FDB21}"/>
    <cellStyle name="Input [yellow] 2 3 2" xfId="12576" xr:uid="{8CFEA279-9027-44F2-9FEE-0C593F8C5863}"/>
    <cellStyle name="Input [yellow] 2 4" xfId="12577" xr:uid="{46BB9378-4034-4C69-8B65-353DF3E5E7F1}"/>
    <cellStyle name="Input [yellow] 2 4 2" xfId="12578" xr:uid="{88E32EAE-8020-4B00-A5CE-2E214B4A58AB}"/>
    <cellStyle name="Input [yellow] 2 5" xfId="12579" xr:uid="{2D06858D-C94C-4CF2-A0FE-993A7CAE4D3F}"/>
    <cellStyle name="Input [yellow] 2 5 2" xfId="12580" xr:uid="{200E5AB9-45E9-4CA7-BC3C-29E80EA567F1}"/>
    <cellStyle name="Input [yellow] 2 6" xfId="12581" xr:uid="{622ACE42-D132-4861-BA9D-D0CE28BC28C6}"/>
    <cellStyle name="Input [yellow] 3" xfId="12582" xr:uid="{3BCCD1A9-B71D-4E87-9D39-9F2F6B788D39}"/>
    <cellStyle name="Input [yellow] 3 2" xfId="12583" xr:uid="{7A9616A7-7577-428B-89CC-7BD21AA7849F}"/>
    <cellStyle name="Input [yellow] 3 2 10" xfId="12584" xr:uid="{B160EA22-A42C-40F7-8CFD-C9277F21700F}"/>
    <cellStyle name="Input [yellow] 3 2 10 2" xfId="12585" xr:uid="{2A404BD9-BAA3-4C6C-A182-9AA486D75A14}"/>
    <cellStyle name="Input [yellow] 3 2 11" xfId="12586" xr:uid="{AAE76C69-341F-4702-A819-354C97525DC6}"/>
    <cellStyle name="Input [yellow] 3 2 11 2" xfId="12587" xr:uid="{5123E57D-98D4-4764-9876-F7933A291C5E}"/>
    <cellStyle name="Input [yellow] 3 2 12" xfId="12588" xr:uid="{EFCE1F5A-29AA-4515-881A-4AC133CD1563}"/>
    <cellStyle name="Input [yellow] 3 2 12 2" xfId="12589" xr:uid="{F3D4B7EB-219B-4011-823E-143ADCCF8F86}"/>
    <cellStyle name="Input [yellow] 3 2 13" xfId="12590" xr:uid="{E4AF8987-7468-4D46-9391-FED1F2A4B1F8}"/>
    <cellStyle name="Input [yellow] 3 2 13 2" xfId="12591" xr:uid="{DF0BE5C6-B832-419E-A6A3-3249F5AD68DB}"/>
    <cellStyle name="Input [yellow] 3 2 14" xfId="12592" xr:uid="{0456E0E6-7E9D-4B4E-947E-896A7DD2C6F0}"/>
    <cellStyle name="Input [yellow] 3 2 14 2" xfId="12593" xr:uid="{03C69D55-4AA8-4EBD-ACA2-B6B7D1052193}"/>
    <cellStyle name="Input [yellow] 3 2 15" xfId="12594" xr:uid="{14ED3202-9972-4FBF-A4B9-30F87EB6E491}"/>
    <cellStyle name="Input [yellow] 3 2 15 2" xfId="12595" xr:uid="{462E1D59-EB4E-4617-AE34-FB994FCA97F0}"/>
    <cellStyle name="Input [yellow] 3 2 16" xfId="12596" xr:uid="{9AD5A267-370B-422A-9DF9-CA16461735BE}"/>
    <cellStyle name="Input [yellow] 3 2 16 2" xfId="12597" xr:uid="{A309EFAA-68C9-4602-8AA6-7003A1C4133C}"/>
    <cellStyle name="Input [yellow] 3 2 17" xfId="12598" xr:uid="{151FA8E2-BB7C-49E4-83DD-B0AC3853A77B}"/>
    <cellStyle name="Input [yellow] 3 2 17 2" xfId="12599" xr:uid="{DCA66DA7-8953-4974-BD19-1FAF0E17B209}"/>
    <cellStyle name="Input [yellow] 3 2 18" xfId="12600" xr:uid="{D407C745-BB5A-474F-80A1-72DA0375731E}"/>
    <cellStyle name="Input [yellow] 3 2 18 2" xfId="12601" xr:uid="{F315F82F-6F8E-48E5-82C4-C21A161FE8DD}"/>
    <cellStyle name="Input [yellow] 3 2 19" xfId="12602" xr:uid="{9464D638-D19D-4273-B909-96BAE26D8437}"/>
    <cellStyle name="Input [yellow] 3 2 19 2" xfId="12603" xr:uid="{404B3090-B2DF-44B4-8796-260FF9F1C687}"/>
    <cellStyle name="Input [yellow] 3 2 2" xfId="12604" xr:uid="{8B4512CD-0ED6-415C-A2DC-BA244E7AE3E2}"/>
    <cellStyle name="Input [yellow] 3 2 2 2" xfId="12605" xr:uid="{592B112C-4724-4A0F-ADB8-DD090EC83D93}"/>
    <cellStyle name="Input [yellow] 3 2 20" xfId="12606" xr:uid="{8A0F2D1B-8C5B-4F3C-AEB4-FED12D898F44}"/>
    <cellStyle name="Input [yellow] 3 2 20 2" xfId="12607" xr:uid="{E830C989-C6A4-4FF4-A914-671A01640953}"/>
    <cellStyle name="Input [yellow] 3 2 21" xfId="12608" xr:uid="{B01B1058-3B43-4532-8237-9A25E1F40628}"/>
    <cellStyle name="Input [yellow] 3 2 21 2" xfId="12609" xr:uid="{C7C9D975-54F7-41DB-971F-AED6B848DC6E}"/>
    <cellStyle name="Input [yellow] 3 2 22" xfId="12610" xr:uid="{0EDA381B-4957-4B6F-92EA-8B482486C45E}"/>
    <cellStyle name="Input [yellow] 3 2 3" xfId="12611" xr:uid="{DE70FE8D-44B5-43FA-99FF-8004F448956B}"/>
    <cellStyle name="Input [yellow] 3 2 3 2" xfId="12612" xr:uid="{9A42BA2B-8BD2-468D-8437-0A05AD38AC31}"/>
    <cellStyle name="Input [yellow] 3 2 4" xfId="12613" xr:uid="{FC41EA95-FBDB-4C03-882E-7376FD4B2D5A}"/>
    <cellStyle name="Input [yellow] 3 2 4 2" xfId="12614" xr:uid="{A2387D6D-538F-461F-AABE-4A6A84E78DDD}"/>
    <cellStyle name="Input [yellow] 3 2 5" xfId="12615" xr:uid="{1E66FC64-0C7D-4D60-AE1A-E19D3EE1FE2E}"/>
    <cellStyle name="Input [yellow] 3 2 5 2" xfId="12616" xr:uid="{FBE76D50-335F-4358-B079-0E644DE4540C}"/>
    <cellStyle name="Input [yellow] 3 2 6" xfId="12617" xr:uid="{A446C707-C81E-4B8A-B473-FCA1D4866E82}"/>
    <cellStyle name="Input [yellow] 3 2 6 2" xfId="12618" xr:uid="{03B6C55E-CA41-4ACD-9A92-9548D38B47A8}"/>
    <cellStyle name="Input [yellow] 3 2 7" xfId="12619" xr:uid="{DA656903-0223-45BD-AD0B-3C3A3C2644EC}"/>
    <cellStyle name="Input [yellow] 3 2 7 2" xfId="12620" xr:uid="{F28B079B-C364-4183-A1C0-3E422B4081B3}"/>
    <cellStyle name="Input [yellow] 3 2 8" xfId="12621" xr:uid="{9EDD2CB1-7AFC-4126-97D0-60DF9AEA26A8}"/>
    <cellStyle name="Input [yellow] 3 2 8 2" xfId="12622" xr:uid="{CAE15204-9205-4A98-AC46-E7643F2EEFC4}"/>
    <cellStyle name="Input [yellow] 3 2 9" xfId="12623" xr:uid="{ACDF1FC9-BA9B-4DEA-98AB-786B40FCB1FD}"/>
    <cellStyle name="Input [yellow] 3 2 9 2" xfId="12624" xr:uid="{0169307F-CBCA-4CB5-B704-EE4D61098BAE}"/>
    <cellStyle name="Input [yellow] 3 3" xfId="12625" xr:uid="{0974EA8B-91BE-47E2-9FE5-DD85C09CBC68}"/>
    <cellStyle name="Input [yellow] 3 3 2" xfId="12626" xr:uid="{2265421F-66F0-436C-9EF2-489145AECB36}"/>
    <cellStyle name="Input [yellow] 3 4" xfId="12627" xr:uid="{C6081F22-8D4A-4BC7-98CB-36DF4323E22D}"/>
    <cellStyle name="Input [yellow] 3 4 2" xfId="12628" xr:uid="{ACE1D9EA-252D-404F-86F0-FDD8150FA24C}"/>
    <cellStyle name="Input [yellow] 3 5" xfId="12629" xr:uid="{CB06B78B-5B08-49BB-AE7C-AE707FFC7F3B}"/>
    <cellStyle name="Input [yellow] 3 5 2" xfId="12630" xr:uid="{9D010767-1489-4788-A516-572CF3B35B28}"/>
    <cellStyle name="Input [yellow] 3 6" xfId="12631" xr:uid="{5DD71A00-755D-4518-91FA-8B01B2FD4C61}"/>
    <cellStyle name="Input [yellow] 4" xfId="12632" xr:uid="{1832C482-86D3-41F6-825F-EC916357079B}"/>
    <cellStyle name="Input [yellow] 4 2" xfId="12633" xr:uid="{BC3609D9-22D0-4966-A2B3-6CDA6F2A7B8B}"/>
    <cellStyle name="Input [yellow] 4 2 10" xfId="12634" xr:uid="{76068306-EE53-49DE-AA80-BC3CF570B0BD}"/>
    <cellStyle name="Input [yellow] 4 2 10 2" xfId="12635" xr:uid="{303D2515-F028-4A05-A129-D815F62494E3}"/>
    <cellStyle name="Input [yellow] 4 2 11" xfId="12636" xr:uid="{E895364A-73F1-4C4A-9414-D885623A2381}"/>
    <cellStyle name="Input [yellow] 4 2 11 2" xfId="12637" xr:uid="{4B34B4FC-ADBC-4294-AD95-15BA11A5B7F6}"/>
    <cellStyle name="Input [yellow] 4 2 12" xfId="12638" xr:uid="{AA617230-99BB-4C86-9FB8-15D577A66EE4}"/>
    <cellStyle name="Input [yellow] 4 2 12 2" xfId="12639" xr:uid="{BD397AF0-5126-4337-86AF-4B4361E575B6}"/>
    <cellStyle name="Input [yellow] 4 2 13" xfId="12640" xr:uid="{A1C2ACD2-A40D-4E62-B7F5-F1DA57145ADB}"/>
    <cellStyle name="Input [yellow] 4 2 13 2" xfId="12641" xr:uid="{AA42986C-C3EC-44E0-AD50-C6EC20008E84}"/>
    <cellStyle name="Input [yellow] 4 2 14" xfId="12642" xr:uid="{CCBCA80B-7EA8-4206-B336-27950516482F}"/>
    <cellStyle name="Input [yellow] 4 2 14 2" xfId="12643" xr:uid="{06687A77-B283-48DE-9B4C-BFB015CA9872}"/>
    <cellStyle name="Input [yellow] 4 2 15" xfId="12644" xr:uid="{31C01CFB-EE5B-4A90-B62B-ABC31B52E140}"/>
    <cellStyle name="Input [yellow] 4 2 15 2" xfId="12645" xr:uid="{7D1FEA4F-D809-494B-A6BE-CA18DD079BB0}"/>
    <cellStyle name="Input [yellow] 4 2 16" xfId="12646" xr:uid="{2A9CA8AF-8D78-4BC0-8F24-EB27F2262E24}"/>
    <cellStyle name="Input [yellow] 4 2 16 2" xfId="12647" xr:uid="{DE4F9A35-0428-4003-BF5A-D60D4197FEA3}"/>
    <cellStyle name="Input [yellow] 4 2 17" xfId="12648" xr:uid="{6D1759EE-4D03-468A-B0D4-BE458BA8E891}"/>
    <cellStyle name="Input [yellow] 4 2 17 2" xfId="12649" xr:uid="{F41A195B-D9DD-4C9E-8D9A-A0518249D13A}"/>
    <cellStyle name="Input [yellow] 4 2 18" xfId="12650" xr:uid="{7DACEBAB-09BD-482A-8208-44E264EEBFDE}"/>
    <cellStyle name="Input [yellow] 4 2 18 2" xfId="12651" xr:uid="{CBFA0956-E5F8-4BA7-9124-D7060BCB0AB4}"/>
    <cellStyle name="Input [yellow] 4 2 19" xfId="12652" xr:uid="{85990DCE-B46D-4861-8DAF-A45C4F2B5B85}"/>
    <cellStyle name="Input [yellow] 4 2 19 2" xfId="12653" xr:uid="{7F781CA2-54AC-4C94-9395-DD81BD8AF7A5}"/>
    <cellStyle name="Input [yellow] 4 2 2" xfId="12654" xr:uid="{B44C2EC9-1E74-4827-9290-0F14AA743812}"/>
    <cellStyle name="Input [yellow] 4 2 2 2" xfId="12655" xr:uid="{14C9EB5A-42DE-4FEC-A251-675453B98C9D}"/>
    <cellStyle name="Input [yellow] 4 2 20" xfId="12656" xr:uid="{A82CD6DA-4CAD-4E0A-A1AF-602514561CD7}"/>
    <cellStyle name="Input [yellow] 4 2 20 2" xfId="12657" xr:uid="{7AFD993B-39AA-4AD0-818A-10FBA32C2542}"/>
    <cellStyle name="Input [yellow] 4 2 21" xfId="12658" xr:uid="{CCD19DBA-CB73-448F-BA7C-04611E95804C}"/>
    <cellStyle name="Input [yellow] 4 2 21 2" xfId="12659" xr:uid="{4BD65662-77B9-4D0C-A90B-D8CB88D9AADB}"/>
    <cellStyle name="Input [yellow] 4 2 22" xfId="12660" xr:uid="{A9C02606-5650-47B7-9EC8-FF4D6359C01E}"/>
    <cellStyle name="Input [yellow] 4 2 3" xfId="12661" xr:uid="{20852367-787E-48B0-9F71-95BDEAD55304}"/>
    <cellStyle name="Input [yellow] 4 2 3 2" xfId="12662" xr:uid="{F76D0539-EAD0-40C1-A790-2D957BDFAC7B}"/>
    <cellStyle name="Input [yellow] 4 2 4" xfId="12663" xr:uid="{1DF7604B-CFBD-4A16-AEBD-AB5393634DE9}"/>
    <cellStyle name="Input [yellow] 4 2 4 2" xfId="12664" xr:uid="{FFA1C628-0D10-45C3-8ED3-F2AD878AF85C}"/>
    <cellStyle name="Input [yellow] 4 2 5" xfId="12665" xr:uid="{8AFCC3DB-155D-47B9-B686-247DBAC65410}"/>
    <cellStyle name="Input [yellow] 4 2 5 2" xfId="12666" xr:uid="{9D3C6E4D-74F8-4A01-A033-F35AB19F9635}"/>
    <cellStyle name="Input [yellow] 4 2 6" xfId="12667" xr:uid="{C4D9B1A0-0F7A-4E9F-92D8-46512152AF33}"/>
    <cellStyle name="Input [yellow] 4 2 6 2" xfId="12668" xr:uid="{F7C57AB1-B0BD-4220-A688-D97F20879D77}"/>
    <cellStyle name="Input [yellow] 4 2 7" xfId="12669" xr:uid="{24B1B315-9C5B-4CBD-A05A-8CA939496CD0}"/>
    <cellStyle name="Input [yellow] 4 2 7 2" xfId="12670" xr:uid="{F50BF185-05C7-45D5-AD6E-FD5A2DCC8440}"/>
    <cellStyle name="Input [yellow] 4 2 8" xfId="12671" xr:uid="{8558E0C8-409F-40D9-B0CE-E54BD677D64A}"/>
    <cellStyle name="Input [yellow] 4 2 8 2" xfId="12672" xr:uid="{613F4847-5280-4653-96E3-1D9324CD3458}"/>
    <cellStyle name="Input [yellow] 4 2 9" xfId="12673" xr:uid="{ED29FA45-A6DE-47DA-9C97-AB1C30C414D0}"/>
    <cellStyle name="Input [yellow] 4 2 9 2" xfId="12674" xr:uid="{465BCBE5-B424-4F2E-9E54-BB8FCC975779}"/>
    <cellStyle name="Input [yellow] 4 3" xfId="12675" xr:uid="{04A70F87-4895-4543-A960-6EB9E2772276}"/>
    <cellStyle name="Input [yellow] 4 3 2" xfId="12676" xr:uid="{1AE7169D-FA1D-489B-B6B8-C4BC40B2C9D9}"/>
    <cellStyle name="Input [yellow] 4 4" xfId="12677" xr:uid="{F6430073-29DA-42F9-BDBB-DE25D72CFBF8}"/>
    <cellStyle name="Input [yellow] 4 4 2" xfId="12678" xr:uid="{6DF17AF7-6183-4E3D-9933-163BC225A48C}"/>
    <cellStyle name="Input [yellow] 4 5" xfId="12679" xr:uid="{92A72423-DCF4-4D9A-B744-03F77CFD10A3}"/>
    <cellStyle name="Input [yellow] 4 5 2" xfId="12680" xr:uid="{190A391D-FBEC-450F-A053-0474C0FB5B0A}"/>
    <cellStyle name="Input [yellow] 4 6" xfId="12681" xr:uid="{E6590C4C-AA20-4AEA-A838-A837A4A3AEF6}"/>
    <cellStyle name="Input [yellow] 5" xfId="12682" xr:uid="{5CE9D2E7-9727-4B5F-B284-22A418936C86}"/>
    <cellStyle name="Input [yellow] 5 10" xfId="12683" xr:uid="{EA4611BA-8739-4C76-A545-0E155AC63553}"/>
    <cellStyle name="Input [yellow] 5 10 2" xfId="12684" xr:uid="{1DAF3633-A35E-4BE1-9DFB-55797C4D5E95}"/>
    <cellStyle name="Input [yellow] 5 11" xfId="12685" xr:uid="{8A482D0D-A226-4EED-AAC5-DA17A3DB6C80}"/>
    <cellStyle name="Input [yellow] 5 11 2" xfId="12686" xr:uid="{68464B83-9138-4820-9F07-B349D21072D7}"/>
    <cellStyle name="Input [yellow] 5 12" xfId="12687" xr:uid="{3FE7B5C5-6EE2-451B-9971-9451E6730743}"/>
    <cellStyle name="Input [yellow] 5 12 2" xfId="12688" xr:uid="{0E38F779-9EF0-4964-AF9E-12CE54D100CE}"/>
    <cellStyle name="Input [yellow] 5 13" xfId="12689" xr:uid="{805DC7C2-50B4-4315-851D-1439EEC80C00}"/>
    <cellStyle name="Input [yellow] 5 13 2" xfId="12690" xr:uid="{E6EC99BD-1A95-4126-8973-769DD02E3024}"/>
    <cellStyle name="Input [yellow] 5 14" xfId="12691" xr:uid="{BE67F0EB-8048-4224-B5F4-F20155F79B57}"/>
    <cellStyle name="Input [yellow] 5 14 2" xfId="12692" xr:uid="{3E2952D6-F392-4078-B4C5-E400DA5A38CE}"/>
    <cellStyle name="Input [yellow] 5 15" xfId="12693" xr:uid="{1D0626F4-0689-4159-9063-0E6AFEA3316A}"/>
    <cellStyle name="Input [yellow] 5 15 2" xfId="12694" xr:uid="{52C606BF-5A8A-4397-996D-5FA59AA8EEF8}"/>
    <cellStyle name="Input [yellow] 5 16" xfId="12695" xr:uid="{1DDD6352-6BFF-4B28-AACD-99A18CBC3D80}"/>
    <cellStyle name="Input [yellow] 5 16 2" xfId="12696" xr:uid="{923B5BB9-2539-4D90-A0BB-01A4707B6625}"/>
    <cellStyle name="Input [yellow] 5 17" xfId="12697" xr:uid="{7E2C7B85-0896-4B81-997E-1BE2EF51E5DA}"/>
    <cellStyle name="Input [yellow] 5 17 2" xfId="12698" xr:uid="{97CECD61-0E49-4E8F-AB52-7361B40952E0}"/>
    <cellStyle name="Input [yellow] 5 18" xfId="12699" xr:uid="{52394CAB-0593-4892-88CA-A8FD0B446E95}"/>
    <cellStyle name="Input [yellow] 5 18 2" xfId="12700" xr:uid="{7D299F17-139E-4FEB-A256-7FAE782F5246}"/>
    <cellStyle name="Input [yellow] 5 19" xfId="12701" xr:uid="{FDA19C1A-7A90-4818-9253-3D3E48F7A967}"/>
    <cellStyle name="Input [yellow] 5 19 2" xfId="12702" xr:uid="{D2298A1C-D149-4BF5-8B1E-EBA2B058D9AD}"/>
    <cellStyle name="Input [yellow] 5 2" xfId="12703" xr:uid="{11049277-95DA-4A21-8E28-CE962F124886}"/>
    <cellStyle name="Input [yellow] 5 2 2" xfId="12704" xr:uid="{EE751D17-5073-4C06-B143-2F9110522E1E}"/>
    <cellStyle name="Input [yellow] 5 20" xfId="12705" xr:uid="{CEE3537B-1572-46FD-AD96-7043810127F5}"/>
    <cellStyle name="Input [yellow] 5 20 2" xfId="12706" xr:uid="{25981726-1A4D-4F27-9B33-0638065428DE}"/>
    <cellStyle name="Input [yellow] 5 21" xfId="12707" xr:uid="{BD49A027-460D-487C-A666-C7F0410C44F6}"/>
    <cellStyle name="Input [yellow] 5 21 2" xfId="12708" xr:uid="{CAE1A1F3-5040-4DB8-91AE-F4D485878FA3}"/>
    <cellStyle name="Input [yellow] 5 22" xfId="12709" xr:uid="{039C4B4F-3DF9-471D-A4E0-A78F4884E12E}"/>
    <cellStyle name="Input [yellow] 5 3" xfId="12710" xr:uid="{D1E2AFA2-7381-414F-9B23-A2640B724720}"/>
    <cellStyle name="Input [yellow] 5 3 2" xfId="12711" xr:uid="{42FB18BE-9A98-4E78-8D13-58161A6B44B8}"/>
    <cellStyle name="Input [yellow] 5 4" xfId="12712" xr:uid="{3C0D45CE-1028-4281-918A-AEE56C6394CF}"/>
    <cellStyle name="Input [yellow] 5 4 2" xfId="12713" xr:uid="{1A2E364D-1897-4BA2-BECA-9D80837B0193}"/>
    <cellStyle name="Input [yellow] 5 5" xfId="12714" xr:uid="{C4B2331A-2FC7-40F1-BE1E-4FB586530AAA}"/>
    <cellStyle name="Input [yellow] 5 5 2" xfId="12715" xr:uid="{7DE3E9A5-EBCC-4750-95B6-EAA43FBD038F}"/>
    <cellStyle name="Input [yellow] 5 6" xfId="12716" xr:uid="{35615B0C-9EA6-4D1C-86A8-8ED787A2DF6D}"/>
    <cellStyle name="Input [yellow] 5 6 2" xfId="12717" xr:uid="{63ECA4BD-75F7-4780-87FF-C37A7AD81763}"/>
    <cellStyle name="Input [yellow] 5 7" xfId="12718" xr:uid="{2EE47B7C-4FF5-4B8C-886F-AC99284FDF56}"/>
    <cellStyle name="Input [yellow] 5 7 2" xfId="12719" xr:uid="{DABE3A78-E5F4-4611-8F9E-B599C9F47908}"/>
    <cellStyle name="Input [yellow] 5 8" xfId="12720" xr:uid="{36E43F5E-CA87-44F9-9EDB-80DC5375F64A}"/>
    <cellStyle name="Input [yellow] 5 8 2" xfId="12721" xr:uid="{1DCD6294-A580-4FC7-9D98-F097997D5FAE}"/>
    <cellStyle name="Input [yellow] 5 9" xfId="12722" xr:uid="{65D48150-2A45-4093-820A-A2685AB56D86}"/>
    <cellStyle name="Input [yellow] 5 9 2" xfId="12723" xr:uid="{E27972E5-FA43-45C9-8E80-0465DB5644CC}"/>
    <cellStyle name="Input [yellow] 6" xfId="12724" xr:uid="{F47B77F1-ACE2-48E5-BFC5-072D34F152D8}"/>
    <cellStyle name="Input [yellow] 6 2" xfId="12725" xr:uid="{AD555722-0520-41C3-9AD0-9372FBE044D4}"/>
    <cellStyle name="Input [yellow] 7" xfId="12726" xr:uid="{13830654-8CF6-4357-9FDA-5BA54C05DC4D}"/>
    <cellStyle name="Input [yellow] 8" xfId="12727" xr:uid="{A51FB714-E05B-45DF-9825-77FA11E809ED}"/>
    <cellStyle name="Input 1" xfId="12728" xr:uid="{FADE1E5A-C644-42D3-8203-B35CA1E25D82}"/>
    <cellStyle name="Input 1 2" xfId="12729" xr:uid="{BA9B7B53-43A4-4130-BC1D-D2DDF7329407}"/>
    <cellStyle name="Input 10" xfId="12730" xr:uid="{17D61EFB-8702-4B6C-95D4-3D65F3ABA3AF}"/>
    <cellStyle name="Input 11" xfId="12731" xr:uid="{9D17C6C1-220C-4EF3-895B-351129ACE0AC}"/>
    <cellStyle name="Input 12" xfId="12732" xr:uid="{B6CD02DC-4494-47FD-BE97-600F63300359}"/>
    <cellStyle name="Input 12 2" xfId="29431" xr:uid="{1B60F3D1-44F1-4B64-A16B-6BF603C25163}"/>
    <cellStyle name="Input 13" xfId="12733" xr:uid="{9A80DEBE-F5BD-4E01-A03E-0371A6A8333A}"/>
    <cellStyle name="Input 13 2" xfId="29432" xr:uid="{1E7FD052-A010-4493-B801-53342B8D2382}"/>
    <cellStyle name="Input 14" xfId="12734" xr:uid="{0AF2CBFB-0999-4768-9860-698E22DE2A14}"/>
    <cellStyle name="Input 14 2" xfId="29433" xr:uid="{9B3C66A4-47CB-46D9-9816-34A42CB3DA24}"/>
    <cellStyle name="Input 15" xfId="12735" xr:uid="{BC40F1B4-FD82-4366-BA61-7B5E03C8CDEF}"/>
    <cellStyle name="Input 16" xfId="12736" xr:uid="{E8E27BEC-BC92-4FE4-8357-D69F2DC0C083}"/>
    <cellStyle name="Input 17" xfId="12737" xr:uid="{B4F8C751-95CF-4B83-9B83-BA581C47902F}"/>
    <cellStyle name="Input 18" xfId="12738" xr:uid="{7E8A525F-0808-4CF2-BF78-6DC96D5B5554}"/>
    <cellStyle name="Input 19" xfId="12739" xr:uid="{D168627D-07E2-438C-8420-1E46A6251830}"/>
    <cellStyle name="Input 2" xfId="12740" xr:uid="{E97FF02F-ABDA-49B1-B35B-41D91E995DB7}"/>
    <cellStyle name="Input 2 10" xfId="12741" xr:uid="{6AE37BAB-F242-48FD-82A6-B9A9AADF24DF}"/>
    <cellStyle name="Input 2 10 2" xfId="29435" xr:uid="{93BE75ED-37DC-45A0-BD28-004CB4A3A021}"/>
    <cellStyle name="Input 2 11" xfId="12742" xr:uid="{5271F660-E3A8-44EE-ADB7-91A900CFE876}"/>
    <cellStyle name="Input 2 11 2" xfId="29436" xr:uid="{E7095DBE-CC05-4C8F-88C7-F0D905DC417C}"/>
    <cellStyle name="Input 2 12" xfId="12743" xr:uid="{10F819A2-6A6B-4B27-9B94-A58C60C2E721}"/>
    <cellStyle name="Input 2 12 2" xfId="29437" xr:uid="{05275F49-3C08-4CEB-82C8-9A5CAB07EF0E}"/>
    <cellStyle name="Input 2 13" xfId="12744" xr:uid="{7E33E5F8-FD12-4532-97ED-5C104AA27197}"/>
    <cellStyle name="Input 2 13 2" xfId="29438" xr:uid="{5CDE04CE-E04D-47AE-A1DF-1679B45B1841}"/>
    <cellStyle name="Input 2 14" xfId="12745" xr:uid="{50DAB425-3CB9-4243-B9F4-B765BCEE2EB4}"/>
    <cellStyle name="Input 2 14 2" xfId="29439" xr:uid="{49EDB923-8535-4109-9D05-2051D0166555}"/>
    <cellStyle name="Input 2 15" xfId="12746" xr:uid="{815EE427-28E4-4267-9E44-75966608AA1B}"/>
    <cellStyle name="Input 2 15 2" xfId="29440" xr:uid="{3A619BA5-BCE0-4DAF-B178-CED7288F9D1C}"/>
    <cellStyle name="Input 2 16" xfId="12747" xr:uid="{16649EA5-74F2-48C0-8BB6-F407AC39BFA4}"/>
    <cellStyle name="Input 2 16 2" xfId="29441" xr:uid="{E4E7CD63-13B1-435C-AC41-2887C130E247}"/>
    <cellStyle name="Input 2 17" xfId="12748" xr:uid="{D7C000A0-A9CF-496F-A176-935ADAAAF217}"/>
    <cellStyle name="Input 2 17 2" xfId="29442" xr:uid="{CCD5C2F2-7F91-453A-965E-B44AA2F01798}"/>
    <cellStyle name="Input 2 18" xfId="12749" xr:uid="{01174B7B-A96D-4EA8-A966-3D07FC972D7D}"/>
    <cellStyle name="Input 2 18 2" xfId="29443" xr:uid="{C6A3F367-20E7-43C6-BFA4-531A626B8D65}"/>
    <cellStyle name="Input 2 19" xfId="12750" xr:uid="{0C324E2D-7525-42BB-8010-AEFDD94C0058}"/>
    <cellStyle name="Input 2 19 2" xfId="29444" xr:uid="{F5264FB0-186D-4414-AA65-9E1B93E754D3}"/>
    <cellStyle name="Input 2 2" xfId="12751" xr:uid="{E389188F-6125-4ED4-9EC7-199B25A63BEC}"/>
    <cellStyle name="Input 2 2 10" xfId="12752" xr:uid="{7EE4E678-9311-4ABF-AB83-93F1A64BF6C0}"/>
    <cellStyle name="Input 2 2 10 2" xfId="29446" xr:uid="{46514129-7B60-4AEC-9B3D-F772DC2C4C0C}"/>
    <cellStyle name="Input 2 2 11" xfId="12753" xr:uid="{F9B7F9AA-57C2-4B82-B26F-0557FAED262A}"/>
    <cellStyle name="Input 2 2 11 2" xfId="29447" xr:uid="{CD809F18-37E1-49C4-B300-B4CF8704FE44}"/>
    <cellStyle name="Input 2 2 12" xfId="12754" xr:uid="{C915EFBF-A7AD-48A3-ABFE-0EA87A608328}"/>
    <cellStyle name="Input 2 2 12 2" xfId="29448" xr:uid="{91691FD1-143D-4BAA-A5CD-A7C2DE22C736}"/>
    <cellStyle name="Input 2 2 13" xfId="12755" xr:uid="{DB3ECD1B-979C-4E6F-9DA4-ED308213C5EB}"/>
    <cellStyle name="Input 2 2 13 2" xfId="29449" xr:uid="{53E3EF39-3FBA-4C53-8100-0798DBE04981}"/>
    <cellStyle name="Input 2 2 14" xfId="12756" xr:uid="{27F88582-4C13-4B46-AE78-17FA44DE223D}"/>
    <cellStyle name="Input 2 2 14 2" xfId="29450" xr:uid="{07689727-CA3F-4294-8755-93246CC0BFDF}"/>
    <cellStyle name="Input 2 2 15" xfId="12757" xr:uid="{09F9B648-3A9E-4F4D-8849-719B0019DE0A}"/>
    <cellStyle name="Input 2 2 15 2" xfId="29451" xr:uid="{12F05CD3-0592-413B-9BD9-F9299A4F20A0}"/>
    <cellStyle name="Input 2 2 16" xfId="12758" xr:uid="{A06B372D-9363-4C54-BB84-41A807EC9AC6}"/>
    <cellStyle name="Input 2 2 16 2" xfId="29452" xr:uid="{08355C16-8BBD-4C0A-BCEF-4BB2170D406A}"/>
    <cellStyle name="Input 2 2 17" xfId="12759" xr:uid="{EF9843F3-2BFB-4FB6-85A4-54913267ABE0}"/>
    <cellStyle name="Input 2 2 17 2" xfId="29453" xr:uid="{1372D17D-F844-4A78-AC87-427A904441C1}"/>
    <cellStyle name="Input 2 2 18" xfId="29445" xr:uid="{B282FF7D-DACE-460B-9175-43D7623E08B8}"/>
    <cellStyle name="Input 2 2 2" xfId="12760" xr:uid="{B4932B4A-7F03-49F7-9AE7-609ECC453523}"/>
    <cellStyle name="Input 2 2 2 10" xfId="12761" xr:uid="{4BDA713C-4CA0-403D-BB29-3EDF46725523}"/>
    <cellStyle name="Input 2 2 2 10 2" xfId="29455" xr:uid="{4199065C-F8A8-41ED-B6E0-D2668EE8B0AD}"/>
    <cellStyle name="Input 2 2 2 11" xfId="12762" xr:uid="{0D632785-D1E6-4407-A481-AE945A8EFA62}"/>
    <cellStyle name="Input 2 2 2 11 2" xfId="29456" xr:uid="{69BBD419-CAA6-4E28-9D3B-77C8C4868F53}"/>
    <cellStyle name="Input 2 2 2 12" xfId="12763" xr:uid="{2EAF522C-A9C7-48DF-BF42-ABBC0592C269}"/>
    <cellStyle name="Input 2 2 2 12 2" xfId="29457" xr:uid="{5A622E8A-7017-401C-9DBB-918048B2AF6D}"/>
    <cellStyle name="Input 2 2 2 13" xfId="12764" xr:uid="{6437E67B-B437-4C80-A2C5-B076C291B6F0}"/>
    <cellStyle name="Input 2 2 2 13 2" xfId="29458" xr:uid="{9B390A71-83FA-44F2-96E8-F6C0DCF91958}"/>
    <cellStyle name="Input 2 2 2 14" xfId="12765" xr:uid="{88CC553A-6710-422E-87B5-171C9CBD1BA7}"/>
    <cellStyle name="Input 2 2 2 14 2" xfId="29459" xr:uid="{AE49A701-A99F-4DC7-8449-4FD41C9EEB83}"/>
    <cellStyle name="Input 2 2 2 15" xfId="12766" xr:uid="{3BB34704-5CD0-4930-A206-8CCA6292C955}"/>
    <cellStyle name="Input 2 2 2 15 2" xfId="29460" xr:uid="{D552ACC0-096C-409A-AB8D-4EA8911425F7}"/>
    <cellStyle name="Input 2 2 2 16" xfId="12767" xr:uid="{B1D445A1-49B7-4FD4-9E03-994564A264F2}"/>
    <cellStyle name="Input 2 2 2 16 2" xfId="29461" xr:uid="{D4A8BDF1-FD90-46EE-9D62-F9E717873FDE}"/>
    <cellStyle name="Input 2 2 2 17" xfId="29454" xr:uid="{81749D1D-FF47-46B7-9C3E-B726C8BBABBE}"/>
    <cellStyle name="Input 2 2 2 2" xfId="12768" xr:uid="{D4CEC84A-0F05-4C4E-B8EE-0CE55C9913F8}"/>
    <cellStyle name="Input 2 2 2 2 10" xfId="12769" xr:uid="{0D6337EB-4DC8-4B5D-A4CF-94F473FA6513}"/>
    <cellStyle name="Input 2 2 2 2 10 2" xfId="29463" xr:uid="{7A488C64-A120-4BAB-8A56-2D86EB29AB91}"/>
    <cellStyle name="Input 2 2 2 2 11" xfId="12770" xr:uid="{ADBEB9FF-5042-44EF-BD4B-697E3BCE692A}"/>
    <cellStyle name="Input 2 2 2 2 11 2" xfId="29464" xr:uid="{458E67D2-B888-4A7B-91B2-3C8FE4FAD00C}"/>
    <cellStyle name="Input 2 2 2 2 12" xfId="12771" xr:uid="{CD0FE7E5-3E58-4B49-BF1C-3F0F75055DD6}"/>
    <cellStyle name="Input 2 2 2 2 12 2" xfId="29465" xr:uid="{1609BE1B-A87C-48EE-B5FB-BEF4C988474A}"/>
    <cellStyle name="Input 2 2 2 2 13" xfId="12772" xr:uid="{7954012B-ED96-4D57-A034-520DF915D229}"/>
    <cellStyle name="Input 2 2 2 2 13 2" xfId="29466" xr:uid="{891938F3-D073-4BD0-A013-587E047D752A}"/>
    <cellStyle name="Input 2 2 2 2 14" xfId="12773" xr:uid="{5DB3F5AC-D242-4395-B72B-DF17EB673EF8}"/>
    <cellStyle name="Input 2 2 2 2 14 2" xfId="29467" xr:uid="{1276A8C1-B71C-4664-8C13-DF45AAA614BE}"/>
    <cellStyle name="Input 2 2 2 2 15" xfId="29462" xr:uid="{2E978718-FB3C-46DF-AC58-52DF2DBC3F2C}"/>
    <cellStyle name="Input 2 2 2 2 2" xfId="12774" xr:uid="{7701FA6A-05C5-4BBD-AA70-970850F034C7}"/>
    <cellStyle name="Input 2 2 2 2 2 2" xfId="29468" xr:uid="{DADF0336-D169-4CE5-BDE4-9018B3B02B1F}"/>
    <cellStyle name="Input 2 2 2 2 3" xfId="12775" xr:uid="{DB4C8BD3-0981-4504-AC40-DF9C418E937B}"/>
    <cellStyle name="Input 2 2 2 2 3 2" xfId="29469" xr:uid="{B4D469E1-14BA-4040-B23D-A5690C6F5F48}"/>
    <cellStyle name="Input 2 2 2 2 4" xfId="12776" xr:uid="{4560DADE-58FC-47CC-8C6E-80BE807E1642}"/>
    <cellStyle name="Input 2 2 2 2 4 2" xfId="29470" xr:uid="{5FE93522-D495-49D5-AD7D-5F00788C1043}"/>
    <cellStyle name="Input 2 2 2 2 5" xfId="12777" xr:uid="{FBB6FAC7-1763-455A-8303-4EC1546AF4ED}"/>
    <cellStyle name="Input 2 2 2 2 5 2" xfId="29471" xr:uid="{4B5FE94D-4C6B-4705-AEED-5AE2DB0EBBD2}"/>
    <cellStyle name="Input 2 2 2 2 6" xfId="12778" xr:uid="{96464433-ED51-4D51-8C15-E073D10AD30B}"/>
    <cellStyle name="Input 2 2 2 2 6 2" xfId="29472" xr:uid="{78C80412-96CC-4F3A-A803-3DFAED73E638}"/>
    <cellStyle name="Input 2 2 2 2 7" xfId="12779" xr:uid="{D4BA043C-2489-49F3-8529-C39CCB9ACD68}"/>
    <cellStyle name="Input 2 2 2 2 7 2" xfId="29473" xr:uid="{76E85CCD-5E18-425F-9CCB-4B7E46D8DD27}"/>
    <cellStyle name="Input 2 2 2 2 8" xfId="12780" xr:uid="{EF6F9669-5BF8-47EB-BB63-24AACEB32124}"/>
    <cellStyle name="Input 2 2 2 2 8 2" xfId="29474" xr:uid="{A682BDDF-A119-4202-93CA-1137E492B1F3}"/>
    <cellStyle name="Input 2 2 2 2 9" xfId="12781" xr:uid="{6A6EB3C7-CD75-4187-A5B1-780481A0AE77}"/>
    <cellStyle name="Input 2 2 2 2 9 2" xfId="29475" xr:uid="{AD59C55C-C93C-409F-B7E4-A5AC7369BFA4}"/>
    <cellStyle name="Input 2 2 2 3" xfId="12782" xr:uid="{9FE9E5E4-D55C-48A6-A17A-D98B951529C0}"/>
    <cellStyle name="Input 2 2 2 3 2" xfId="29476" xr:uid="{AB458819-1973-414D-A94D-C88791C54C20}"/>
    <cellStyle name="Input 2 2 2 4" xfId="12783" xr:uid="{5C6495CD-8E37-4DD1-A734-9FF1235AF4A7}"/>
    <cellStyle name="Input 2 2 2 4 2" xfId="29477" xr:uid="{9FD68029-4194-4F23-9693-A81B37A1EEC8}"/>
    <cellStyle name="Input 2 2 2 5" xfId="12784" xr:uid="{687DC515-916F-4051-AA1C-3A336A104359}"/>
    <cellStyle name="Input 2 2 2 5 2" xfId="29478" xr:uid="{8C2FDB2D-42A9-4CAF-B383-3BC27E480C6B}"/>
    <cellStyle name="Input 2 2 2 6" xfId="12785" xr:uid="{54184989-AEBF-45CF-8250-809008ECCFDC}"/>
    <cellStyle name="Input 2 2 2 6 2" xfId="29479" xr:uid="{DD5B4DE5-E460-48B3-8EE7-65912D93EF50}"/>
    <cellStyle name="Input 2 2 2 7" xfId="12786" xr:uid="{2A5C178B-B759-4FF3-B01E-743DD44621E5}"/>
    <cellStyle name="Input 2 2 2 7 2" xfId="29480" xr:uid="{E455A25A-13D0-42B7-B307-9DFDB22B6B15}"/>
    <cellStyle name="Input 2 2 2 8" xfId="12787" xr:uid="{46F1634F-A2EA-4648-AC34-B6DA1831C7AE}"/>
    <cellStyle name="Input 2 2 2 8 2" xfId="29481" xr:uid="{59094867-0509-4A27-882D-D2B6ABFE8648}"/>
    <cellStyle name="Input 2 2 2 9" xfId="12788" xr:uid="{91C04709-8382-40B8-A9BC-850ED66EB341}"/>
    <cellStyle name="Input 2 2 2 9 2" xfId="29482" xr:uid="{6D9BFE6F-F5AF-4724-B311-B74DBE2630D7}"/>
    <cellStyle name="Input 2 2 3" xfId="12789" xr:uid="{D65419C9-C161-4557-B0B8-C11210DD2B82}"/>
    <cellStyle name="Input 2 2 3 10" xfId="12790" xr:uid="{155C58B6-6A89-4913-96A6-5F585DD64379}"/>
    <cellStyle name="Input 2 2 3 10 2" xfId="29484" xr:uid="{F8F574F7-CDBF-4745-8539-CD7FAA5B41EA}"/>
    <cellStyle name="Input 2 2 3 11" xfId="12791" xr:uid="{F715BF0D-AED1-42A4-9488-B7ABF3BD5460}"/>
    <cellStyle name="Input 2 2 3 11 2" xfId="29485" xr:uid="{69CF735B-4E45-44AE-8B3B-3732975B7F19}"/>
    <cellStyle name="Input 2 2 3 12" xfId="12792" xr:uid="{F0C7D04B-0F81-49C7-A905-5CA3D2E24C1D}"/>
    <cellStyle name="Input 2 2 3 12 2" xfId="29486" xr:uid="{AEDEAE4C-4877-4F54-9190-9A03549FBF91}"/>
    <cellStyle name="Input 2 2 3 13" xfId="12793" xr:uid="{538228F3-9ADA-46B8-9ED8-41D65632A404}"/>
    <cellStyle name="Input 2 2 3 13 2" xfId="29487" xr:uid="{FA2EFA9F-4912-46F8-A6C4-5361EEA60C54}"/>
    <cellStyle name="Input 2 2 3 14" xfId="12794" xr:uid="{6547E30A-8FD8-47C8-B5F8-64E24B7E4816}"/>
    <cellStyle name="Input 2 2 3 14 2" xfId="29488" xr:uid="{03AC0457-52F7-408C-BED2-6AD93C913A05}"/>
    <cellStyle name="Input 2 2 3 15" xfId="29483" xr:uid="{37C85B98-619C-424D-9AC4-E856A74AAEAB}"/>
    <cellStyle name="Input 2 2 3 2" xfId="12795" xr:uid="{6422BF02-15C8-4A23-B9C7-9CA689341AF9}"/>
    <cellStyle name="Input 2 2 3 2 2" xfId="29489" xr:uid="{1CA7CBF6-F518-4AB1-9098-54BF35BCEA14}"/>
    <cellStyle name="Input 2 2 3 3" xfId="12796" xr:uid="{F1DC34AC-13B3-449F-8E80-AAA3AC2EAC45}"/>
    <cellStyle name="Input 2 2 3 3 2" xfId="29490" xr:uid="{E3F6109A-4D78-4E41-9E2F-95AC29853768}"/>
    <cellStyle name="Input 2 2 3 4" xfId="12797" xr:uid="{F9E426E5-3A10-4916-9531-F081F1433552}"/>
    <cellStyle name="Input 2 2 3 4 2" xfId="29491" xr:uid="{88667A82-0BB1-4F01-A5D8-BBC94441ECEB}"/>
    <cellStyle name="Input 2 2 3 5" xfId="12798" xr:uid="{3B940ACA-7898-4E56-8F7A-847772CC31DA}"/>
    <cellStyle name="Input 2 2 3 5 2" xfId="29492" xr:uid="{4CE2079C-C3FA-4837-A109-894AF3CAD0F8}"/>
    <cellStyle name="Input 2 2 3 6" xfId="12799" xr:uid="{F2D59992-7A0A-4927-B590-4B2DE80695B6}"/>
    <cellStyle name="Input 2 2 3 6 2" xfId="29493" xr:uid="{56771675-1B0A-4C72-88BA-959B7A5EDC9C}"/>
    <cellStyle name="Input 2 2 3 7" xfId="12800" xr:uid="{97ABFBC1-3B14-46B7-A691-85B9BABED6BE}"/>
    <cellStyle name="Input 2 2 3 7 2" xfId="29494" xr:uid="{ACF55D27-CD28-445B-AB0B-AEC0BCF6F388}"/>
    <cellStyle name="Input 2 2 3 8" xfId="12801" xr:uid="{83046B6F-6E0F-46E2-B06D-7A29C84C358A}"/>
    <cellStyle name="Input 2 2 3 8 2" xfId="29495" xr:uid="{3E08C9C9-3ED0-455C-88EB-40294B485504}"/>
    <cellStyle name="Input 2 2 3 9" xfId="12802" xr:uid="{C918C6F9-8F34-475B-9281-09B1E6F7E320}"/>
    <cellStyle name="Input 2 2 3 9 2" xfId="29496" xr:uid="{3C39521D-E8F8-4CD2-990D-918834878EA0}"/>
    <cellStyle name="Input 2 2 4" xfId="12803" xr:uid="{09902291-5D83-4C70-96F5-FB710CEEC26A}"/>
    <cellStyle name="Input 2 2 4 2" xfId="29497" xr:uid="{5428F5AA-2B9D-4C22-AAB4-E00DED3D1653}"/>
    <cellStyle name="Input 2 2 5" xfId="12804" xr:uid="{9B9CE095-89C2-45F3-A350-0895EF7A58C9}"/>
    <cellStyle name="Input 2 2 5 2" xfId="29498" xr:uid="{4019E35A-5EB4-4932-9E03-8841BDBB9C69}"/>
    <cellStyle name="Input 2 2 6" xfId="12805" xr:uid="{68582E59-CFB9-47EB-A058-2A1982682ED9}"/>
    <cellStyle name="Input 2 2 6 2" xfId="29499" xr:uid="{251DD1E7-7CC4-4E68-8342-4D3F1BFB86F9}"/>
    <cellStyle name="Input 2 2 7" xfId="12806" xr:uid="{294580D0-F3F2-4036-AF70-4862FD864FBC}"/>
    <cellStyle name="Input 2 2 7 2" xfId="29500" xr:uid="{F25DC44F-452A-4816-9782-837081B7E596}"/>
    <cellStyle name="Input 2 2 8" xfId="12807" xr:uid="{D7A66868-DD4F-4493-802C-205C8500C0D4}"/>
    <cellStyle name="Input 2 2 8 2" xfId="29501" xr:uid="{2C82D3AB-E8A0-49BC-80A3-821349FB1E2F}"/>
    <cellStyle name="Input 2 2 9" xfId="12808" xr:uid="{AEEC52E1-2E3E-4934-8C53-49BA79869A47}"/>
    <cellStyle name="Input 2 2 9 2" xfId="29502" xr:uid="{24DF93E7-894C-42EF-9C07-5A26465F6139}"/>
    <cellStyle name="Input 2 20" xfId="29434" xr:uid="{63A08C4B-6CD7-4614-88CF-E8896A7B982F}"/>
    <cellStyle name="Input 2 3" xfId="12809" xr:uid="{587EBE61-C111-4726-A6CD-A9A8D44A78EB}"/>
    <cellStyle name="Input 2 3 10" xfId="12810" xr:uid="{AC3E6776-A11C-48BE-B24B-6E2F9607909B}"/>
    <cellStyle name="Input 2 3 10 2" xfId="29504" xr:uid="{2AC00FCB-869A-42C1-B057-EB092EA3E99A}"/>
    <cellStyle name="Input 2 3 11" xfId="12811" xr:uid="{F657309B-28CE-48A3-8F9B-22634BE3FAB9}"/>
    <cellStyle name="Input 2 3 11 2" xfId="29505" xr:uid="{3D99738C-69F8-4A1B-960A-B304D58DE9FA}"/>
    <cellStyle name="Input 2 3 12" xfId="12812" xr:uid="{876AC768-AB86-44E6-B6BE-F456C63E28AB}"/>
    <cellStyle name="Input 2 3 12 2" xfId="29506" xr:uid="{AFE8EF8F-9956-4918-9834-B7F8F0C2F242}"/>
    <cellStyle name="Input 2 3 13" xfId="12813" xr:uid="{C95AB5B4-E968-4B57-942B-F5E690B1F4D4}"/>
    <cellStyle name="Input 2 3 13 2" xfId="29507" xr:uid="{028BE2D3-5C0A-4EBF-824E-BD49EFEBEC15}"/>
    <cellStyle name="Input 2 3 14" xfId="12814" xr:uid="{0F473482-C22A-435D-A902-20D55BAD46C7}"/>
    <cellStyle name="Input 2 3 14 2" xfId="29508" xr:uid="{73106E47-7905-49BD-A398-19AA2692BB3F}"/>
    <cellStyle name="Input 2 3 15" xfId="12815" xr:uid="{732494AF-8D31-4A85-AB13-03CA4E74E27B}"/>
    <cellStyle name="Input 2 3 15 2" xfId="29509" xr:uid="{F31663E3-9CA7-469F-9758-06BDB0285D85}"/>
    <cellStyle name="Input 2 3 16" xfId="12816" xr:uid="{05A5F71E-BB0C-4E4B-9E93-37C8D6F3444D}"/>
    <cellStyle name="Input 2 3 16 2" xfId="29510" xr:uid="{09E2403C-64E3-4AFE-884B-EC85D1B3EC52}"/>
    <cellStyle name="Input 2 3 17" xfId="29503" xr:uid="{C48B6CFA-53D5-46FF-89EA-AA0C499141BF}"/>
    <cellStyle name="Input 2 3 2" xfId="12817" xr:uid="{72C7A1A9-DE11-458F-882C-1C6C6A78C907}"/>
    <cellStyle name="Input 2 3 2 10" xfId="12818" xr:uid="{A759CF2C-EE38-4F4A-9DCC-CE6D56E40934}"/>
    <cellStyle name="Input 2 3 2 10 2" xfId="29512" xr:uid="{C526C9BB-FC54-41A1-A85A-778E7C236DD2}"/>
    <cellStyle name="Input 2 3 2 11" xfId="12819" xr:uid="{D56A25B9-31D8-418D-BD92-C90206A29267}"/>
    <cellStyle name="Input 2 3 2 11 2" xfId="29513" xr:uid="{AC6C3A84-2A09-43CE-9C18-0B40C1F28DAE}"/>
    <cellStyle name="Input 2 3 2 12" xfId="12820" xr:uid="{5CD90C0A-8939-45F5-A45F-C8AEF453D432}"/>
    <cellStyle name="Input 2 3 2 12 2" xfId="29514" xr:uid="{42C4E575-57B8-4C4A-8997-3E890D832BC0}"/>
    <cellStyle name="Input 2 3 2 13" xfId="12821" xr:uid="{F211621C-3468-4F7C-AB64-CE59F11C7D61}"/>
    <cellStyle name="Input 2 3 2 13 2" xfId="29515" xr:uid="{40D34235-09D7-46DA-9192-F5B8917ECD1C}"/>
    <cellStyle name="Input 2 3 2 14" xfId="12822" xr:uid="{8F4CB1F7-4183-4504-8DDF-B1E72856DA1B}"/>
    <cellStyle name="Input 2 3 2 14 2" xfId="29516" xr:uid="{3F76050D-4126-4167-B893-E37006CEDD3C}"/>
    <cellStyle name="Input 2 3 2 15" xfId="29511" xr:uid="{BBE47A6C-E073-47CA-B908-36D8D028F2B3}"/>
    <cellStyle name="Input 2 3 2 2" xfId="12823" xr:uid="{E299D73F-4588-42FE-A11E-32EB5F5ED084}"/>
    <cellStyle name="Input 2 3 2 2 2" xfId="29517" xr:uid="{DBCB5519-2E6D-43E9-9EC0-17BC909CEA92}"/>
    <cellStyle name="Input 2 3 2 3" xfId="12824" xr:uid="{2606CF7B-92CC-4BA2-A475-DAB35BF2CDA1}"/>
    <cellStyle name="Input 2 3 2 3 2" xfId="29518" xr:uid="{2959C7E1-73E0-4096-B996-8EA9215E3483}"/>
    <cellStyle name="Input 2 3 2 4" xfId="12825" xr:uid="{1162F6C9-9B7C-404E-8C3A-09900A0469EB}"/>
    <cellStyle name="Input 2 3 2 4 2" xfId="29519" xr:uid="{D663CC8B-7C49-4F0B-8B25-95C7887B96B5}"/>
    <cellStyle name="Input 2 3 2 5" xfId="12826" xr:uid="{292C4A25-C6EF-4370-96B7-6629ECD8AF69}"/>
    <cellStyle name="Input 2 3 2 5 2" xfId="29520" xr:uid="{51034981-F75B-48BE-B8EF-2BD6D6FE547B}"/>
    <cellStyle name="Input 2 3 2 6" xfId="12827" xr:uid="{5510A9C4-6C03-47BA-BC4B-785B30F44C1F}"/>
    <cellStyle name="Input 2 3 2 6 2" xfId="29521" xr:uid="{1FCDC2C2-7E48-4F60-ABBB-2147AC78D275}"/>
    <cellStyle name="Input 2 3 2 7" xfId="12828" xr:uid="{5A98DC84-ADE0-4DA7-AAE5-CF2FAB744671}"/>
    <cellStyle name="Input 2 3 2 7 2" xfId="29522" xr:uid="{87018DDC-7C78-4766-A619-CF34441742FE}"/>
    <cellStyle name="Input 2 3 2 8" xfId="12829" xr:uid="{AA5ECB37-5FC2-4D9B-B395-552A509786D0}"/>
    <cellStyle name="Input 2 3 2 8 2" xfId="29523" xr:uid="{967D03D3-EA54-43FD-B23B-83E452EEEDFE}"/>
    <cellStyle name="Input 2 3 2 9" xfId="12830" xr:uid="{EBBEF24F-04C4-4496-A579-DC47873E59CB}"/>
    <cellStyle name="Input 2 3 2 9 2" xfId="29524" xr:uid="{7983559B-37CE-4F66-904B-B3BF4E382096}"/>
    <cellStyle name="Input 2 3 3" xfId="12831" xr:uid="{CA7770E7-3310-4677-B8A3-BFD4CD9BC015}"/>
    <cellStyle name="Input 2 3 3 2" xfId="29525" xr:uid="{5E9832ED-505D-4102-A324-3CEA537A5A41}"/>
    <cellStyle name="Input 2 3 4" xfId="12832" xr:uid="{70CE2DDF-45DE-4515-BEFB-17EE39A932D1}"/>
    <cellStyle name="Input 2 3 4 2" xfId="29526" xr:uid="{F03B55A6-6B28-4E72-B802-55BEF974E888}"/>
    <cellStyle name="Input 2 3 5" xfId="12833" xr:uid="{F6A29117-20E8-44A7-B45C-FF769F480D06}"/>
    <cellStyle name="Input 2 3 5 2" xfId="29527" xr:uid="{E8AA3633-47BE-488F-903C-EA9EAED2FFCB}"/>
    <cellStyle name="Input 2 3 6" xfId="12834" xr:uid="{3CEB35EA-A7F3-4D01-BEFC-97245D8C4926}"/>
    <cellStyle name="Input 2 3 6 2" xfId="29528" xr:uid="{B76EDD3D-EACF-4133-91FE-6E215AD243E8}"/>
    <cellStyle name="Input 2 3 7" xfId="12835" xr:uid="{0E0CD850-15F4-49C3-9DA1-5661C40892AF}"/>
    <cellStyle name="Input 2 3 7 2" xfId="29529" xr:uid="{805924CB-4944-4090-9599-0887CA884F5A}"/>
    <cellStyle name="Input 2 3 8" xfId="12836" xr:uid="{EAFCFBEF-4DC5-4E24-85DC-5EE827DF0886}"/>
    <cellStyle name="Input 2 3 8 2" xfId="29530" xr:uid="{DEC28D1E-159D-4766-8398-6B1D842B5388}"/>
    <cellStyle name="Input 2 3 9" xfId="12837" xr:uid="{F48FF5E1-71B0-4522-AF5D-241EB9469E1C}"/>
    <cellStyle name="Input 2 3 9 2" xfId="29531" xr:uid="{AF311A64-5D7E-4156-BE93-BB9A65C9A532}"/>
    <cellStyle name="Input 2 4" xfId="12838" xr:uid="{64F9329D-A378-41C5-856D-5C8BD9607B1F}"/>
    <cellStyle name="Input 2 4 10" xfId="12839" xr:uid="{4C4759CC-6F33-43D4-AE8C-B6315A11995D}"/>
    <cellStyle name="Input 2 4 10 2" xfId="29533" xr:uid="{EC0EEE33-CB7A-423A-92C4-960AAA819F17}"/>
    <cellStyle name="Input 2 4 11" xfId="12840" xr:uid="{BC162CBA-1820-4E4B-965C-477FC3D22081}"/>
    <cellStyle name="Input 2 4 11 2" xfId="29534" xr:uid="{24617F76-1507-4CD4-8966-67BE5DBF4E15}"/>
    <cellStyle name="Input 2 4 12" xfId="12841" xr:uid="{3A8143C7-90E2-47BB-8D39-7BFB677DE486}"/>
    <cellStyle name="Input 2 4 12 2" xfId="29535" xr:uid="{61B05026-91C7-48A6-8CFB-71D01F76AC93}"/>
    <cellStyle name="Input 2 4 13" xfId="12842" xr:uid="{2332964D-8364-4959-8146-FFD934F09A39}"/>
    <cellStyle name="Input 2 4 13 2" xfId="29536" xr:uid="{AF1CD382-2889-49C5-8CB7-13F76E68F633}"/>
    <cellStyle name="Input 2 4 14" xfId="12843" xr:uid="{32C7E539-BC99-40D6-B98D-4297EEBEEFA8}"/>
    <cellStyle name="Input 2 4 14 2" xfId="29537" xr:uid="{B5E0992B-0B53-4C30-BEBE-30CC4E54A882}"/>
    <cellStyle name="Input 2 4 15" xfId="12844" xr:uid="{ABB02C28-84CD-4094-AEAD-7AD86F909BDA}"/>
    <cellStyle name="Input 2 4 15 2" xfId="29538" xr:uid="{39DF0924-91AC-4327-A7BF-62075091E7F7}"/>
    <cellStyle name="Input 2 4 16" xfId="12845" xr:uid="{F4155E5D-13AF-4CB4-B4B4-9A19BDEF4451}"/>
    <cellStyle name="Input 2 4 16 2" xfId="29539" xr:uid="{6C0FA051-8197-4F43-AE9B-20259B2A414E}"/>
    <cellStyle name="Input 2 4 17" xfId="29532" xr:uid="{4435B2A9-4200-411D-9600-96D496B1527A}"/>
    <cellStyle name="Input 2 4 2" xfId="12846" xr:uid="{7727A977-630B-4796-BE2F-3FC974E10CA3}"/>
    <cellStyle name="Input 2 4 2 10" xfId="12847" xr:uid="{8E19C2B6-617A-4113-B0B7-E1206E1A6DA1}"/>
    <cellStyle name="Input 2 4 2 10 2" xfId="29541" xr:uid="{231AA58B-DEE6-4F29-99D3-77E4B03A9712}"/>
    <cellStyle name="Input 2 4 2 11" xfId="12848" xr:uid="{54FF3DAC-2C65-4A76-A653-185ED3DEF04F}"/>
    <cellStyle name="Input 2 4 2 11 2" xfId="29542" xr:uid="{7D031B6B-6ECB-4C1D-AA9A-ED90B5A25AB1}"/>
    <cellStyle name="Input 2 4 2 12" xfId="12849" xr:uid="{1E6909F8-AE7E-4101-8DD1-7EEE2B1E76A2}"/>
    <cellStyle name="Input 2 4 2 12 2" xfId="29543" xr:uid="{ACCBB576-DD76-497F-BD64-AF30761DFE07}"/>
    <cellStyle name="Input 2 4 2 13" xfId="12850" xr:uid="{3CA93774-1994-420F-BF04-844C5CDB84D8}"/>
    <cellStyle name="Input 2 4 2 13 2" xfId="29544" xr:uid="{FE60BE45-E316-4936-AB23-D98F686990A0}"/>
    <cellStyle name="Input 2 4 2 14" xfId="12851" xr:uid="{0069B1B6-20B1-4ACA-8026-72F803B03B8A}"/>
    <cellStyle name="Input 2 4 2 14 2" xfId="29545" xr:uid="{6719F643-0660-4231-8069-149B61F567DE}"/>
    <cellStyle name="Input 2 4 2 15" xfId="29540" xr:uid="{CBC00677-357F-45F1-A231-52B0785DF8B7}"/>
    <cellStyle name="Input 2 4 2 2" xfId="12852" xr:uid="{9FC8E38F-86F4-41AC-B033-258F2A4CBD5D}"/>
    <cellStyle name="Input 2 4 2 2 2" xfId="29546" xr:uid="{380BF4A3-92F0-4B42-8C65-7FAAC2692195}"/>
    <cellStyle name="Input 2 4 2 3" xfId="12853" xr:uid="{12F840C4-0424-4FE8-8373-0BCDF62AFFFC}"/>
    <cellStyle name="Input 2 4 2 3 2" xfId="29547" xr:uid="{576E2BCE-21BD-4F06-945F-DF0C66F9B93A}"/>
    <cellStyle name="Input 2 4 2 4" xfId="12854" xr:uid="{48B46CB7-B68F-493D-ABD2-C1FAECAE449A}"/>
    <cellStyle name="Input 2 4 2 4 2" xfId="29548" xr:uid="{756BB41A-4F7D-4108-AC86-44240B011201}"/>
    <cellStyle name="Input 2 4 2 5" xfId="12855" xr:uid="{9967E35A-332B-4063-9626-CA54BBB2E3AF}"/>
    <cellStyle name="Input 2 4 2 5 2" xfId="29549" xr:uid="{4D81E139-E831-43E5-B910-87D4383A6302}"/>
    <cellStyle name="Input 2 4 2 6" xfId="12856" xr:uid="{82768899-0E75-4AF2-84CA-45CA18F0CE39}"/>
    <cellStyle name="Input 2 4 2 6 2" xfId="29550" xr:uid="{B000435F-6F8A-4672-A6EA-8924C88548C6}"/>
    <cellStyle name="Input 2 4 2 7" xfId="12857" xr:uid="{19777DEA-00A0-4A4A-B24A-55C378F0F670}"/>
    <cellStyle name="Input 2 4 2 7 2" xfId="29551" xr:uid="{8C23C7E0-EFE5-4345-828E-DFE828EA53D0}"/>
    <cellStyle name="Input 2 4 2 8" xfId="12858" xr:uid="{91760BE0-2E5D-45C1-9661-24A5577C26FC}"/>
    <cellStyle name="Input 2 4 2 8 2" xfId="29552" xr:uid="{D7BC463D-01F8-41CF-A476-56FB8FE2CA7B}"/>
    <cellStyle name="Input 2 4 2 9" xfId="12859" xr:uid="{1049090C-AA47-4221-9D62-A742A56982EA}"/>
    <cellStyle name="Input 2 4 2 9 2" xfId="29553" xr:uid="{A3585497-53EC-4A43-AADB-B5B34B89958A}"/>
    <cellStyle name="Input 2 4 3" xfId="12860" xr:uid="{76C5950C-B93A-4764-B6F5-8CB1E40E9C13}"/>
    <cellStyle name="Input 2 4 3 2" xfId="29554" xr:uid="{6918A721-2EA8-47F0-8660-48A3E6E64A9D}"/>
    <cellStyle name="Input 2 4 4" xfId="12861" xr:uid="{F9ABFA30-39D4-4C5E-9937-8E1671EC2EC7}"/>
    <cellStyle name="Input 2 4 4 2" xfId="29555" xr:uid="{5E3F01AA-DD97-4CBC-BFB4-1D49717BA205}"/>
    <cellStyle name="Input 2 4 5" xfId="12862" xr:uid="{8F57F31F-1BB4-445E-A615-907B9A225573}"/>
    <cellStyle name="Input 2 4 5 2" xfId="29556" xr:uid="{44AA2EAD-CAAA-4D69-A71B-4A5A36F774C3}"/>
    <cellStyle name="Input 2 4 6" xfId="12863" xr:uid="{2224F5CD-0A5C-46E3-B99A-74BC81E7B64B}"/>
    <cellStyle name="Input 2 4 6 2" xfId="29557" xr:uid="{B95EAB16-87BB-4991-A1E9-0AA3F5BA1D88}"/>
    <cellStyle name="Input 2 4 7" xfId="12864" xr:uid="{A808124F-EACB-4E3F-BA78-17AAFE09C5ED}"/>
    <cellStyle name="Input 2 4 7 2" xfId="29558" xr:uid="{19AB1EE3-A3CC-48CF-9EB1-4B65E9643D51}"/>
    <cellStyle name="Input 2 4 8" xfId="12865" xr:uid="{CDD55D77-7B92-4DD2-8473-43E3C76F8928}"/>
    <cellStyle name="Input 2 4 8 2" xfId="29559" xr:uid="{682D57CE-2340-4147-91EF-5811FB0C044E}"/>
    <cellStyle name="Input 2 4 9" xfId="12866" xr:uid="{38208042-BB73-4E2F-B4D0-A5CD6C5FAB20}"/>
    <cellStyle name="Input 2 4 9 2" xfId="29560" xr:uid="{B21FCF83-4D83-4D7B-8A46-E7602DF6C260}"/>
    <cellStyle name="Input 2 5" xfId="12867" xr:uid="{BEEC4E24-B475-4C7A-AC1B-4F5F84C9AEF5}"/>
    <cellStyle name="Input 2 5 10" xfId="12868" xr:uid="{F2C1DC88-E108-4454-9DEA-B12B4303F1C1}"/>
    <cellStyle name="Input 2 5 10 2" xfId="29562" xr:uid="{7600ACDE-9CEC-4454-8EBB-B91EC61A261F}"/>
    <cellStyle name="Input 2 5 11" xfId="12869" xr:uid="{261DF7E3-746D-477C-92A6-99D3F8894468}"/>
    <cellStyle name="Input 2 5 11 2" xfId="29563" xr:uid="{909C97CB-9470-400C-A48A-FF240403B0E8}"/>
    <cellStyle name="Input 2 5 12" xfId="12870" xr:uid="{478132A0-6D20-4714-B17C-C5409F8AACBA}"/>
    <cellStyle name="Input 2 5 12 2" xfId="29564" xr:uid="{F48C4616-D2EF-470F-82A4-D5369CA137C9}"/>
    <cellStyle name="Input 2 5 13" xfId="12871" xr:uid="{145EEF05-3951-4449-978C-FDC3A22A9E46}"/>
    <cellStyle name="Input 2 5 13 2" xfId="29565" xr:uid="{4C3DCD6A-45CC-422D-B6BA-309C0FAF5EC1}"/>
    <cellStyle name="Input 2 5 14" xfId="12872" xr:uid="{0389D546-ED8D-443F-9FF6-B23932EF897F}"/>
    <cellStyle name="Input 2 5 14 2" xfId="29566" xr:uid="{F83B95D3-562D-4CC0-8853-A6EA8FF8E948}"/>
    <cellStyle name="Input 2 5 15" xfId="29561" xr:uid="{BB855226-4BF2-4045-A6F8-0C73ED8964B3}"/>
    <cellStyle name="Input 2 5 2" xfId="12873" xr:uid="{CD631A70-116B-4DB0-8A05-2302267CC94E}"/>
    <cellStyle name="Input 2 5 2 2" xfId="29567" xr:uid="{947BFC56-64C7-479D-908B-4432D1907682}"/>
    <cellStyle name="Input 2 5 3" xfId="12874" xr:uid="{2AE37731-6D52-4697-B2C5-6756A4695ECB}"/>
    <cellStyle name="Input 2 5 3 2" xfId="29568" xr:uid="{81462496-5FA2-4009-BA33-C43963F44D51}"/>
    <cellStyle name="Input 2 5 4" xfId="12875" xr:uid="{81BE7CFD-27A6-4081-BBF0-DDEE9D784351}"/>
    <cellStyle name="Input 2 5 4 2" xfId="29569" xr:uid="{F3C9A6C5-0CCE-4802-8031-CC2B92D4C553}"/>
    <cellStyle name="Input 2 5 5" xfId="12876" xr:uid="{FD4816B3-2B94-408E-A23A-03EC41CC5CDA}"/>
    <cellStyle name="Input 2 5 5 2" xfId="29570" xr:uid="{6DF90263-F6D0-4828-B2DF-B8023C4BBAB0}"/>
    <cellStyle name="Input 2 5 6" xfId="12877" xr:uid="{1DBB2F99-8D28-4FB9-B089-B3C53E04A3A4}"/>
    <cellStyle name="Input 2 5 6 2" xfId="29571" xr:uid="{D5BE6BED-86DD-4199-AC95-66C34C068B46}"/>
    <cellStyle name="Input 2 5 7" xfId="12878" xr:uid="{9828CA84-FFAB-4283-9682-42062C0FF21A}"/>
    <cellStyle name="Input 2 5 7 2" xfId="29572" xr:uid="{45BC21CA-27FC-40F3-A128-FC5C8F26F1D5}"/>
    <cellStyle name="Input 2 5 8" xfId="12879" xr:uid="{92A5D045-0150-416D-BE10-6FCE35E10B37}"/>
    <cellStyle name="Input 2 5 8 2" xfId="29573" xr:uid="{E4280A3D-DB25-4347-A68B-B0B40C04B231}"/>
    <cellStyle name="Input 2 5 9" xfId="12880" xr:uid="{6C70A424-AB6E-4039-A7AA-ED9210566A98}"/>
    <cellStyle name="Input 2 5 9 2" xfId="29574" xr:uid="{FAE9D11B-DAF7-4F6F-87FA-5D37AB1934AD}"/>
    <cellStyle name="Input 2 6" xfId="12881" xr:uid="{6C804DA4-1C6E-486A-B945-6A8515C25AA0}"/>
    <cellStyle name="Input 2 6 2" xfId="29575" xr:uid="{B52EBEC0-1277-4467-A0DA-2B01FED728C8}"/>
    <cellStyle name="Input 2 7" xfId="12882" xr:uid="{41CC15FF-DD1E-42D7-A3DE-3C5119CCAFCC}"/>
    <cellStyle name="Input 2 7 2" xfId="29576" xr:uid="{A66B21D4-9285-4745-94E1-32CC1A3B0C9D}"/>
    <cellStyle name="Input 2 8" xfId="12883" xr:uid="{02859DE0-12F2-40B7-B308-54FAA20F1504}"/>
    <cellStyle name="Input 2 8 2" xfId="29577" xr:uid="{088A3090-0006-4EC4-97E1-0022E41D0F61}"/>
    <cellStyle name="Input 2 9" xfId="12884" xr:uid="{4E1D177B-5679-4050-961E-36886DFADF95}"/>
    <cellStyle name="Input 2 9 2" xfId="29578" xr:uid="{1E2DC112-5763-497C-85F5-25570A01D9A7}"/>
    <cellStyle name="Input 20" xfId="12885" xr:uid="{48FE80A6-D652-4DCC-B6B7-4EE3AAC65131}"/>
    <cellStyle name="Input 21" xfId="12886" xr:uid="{8DC3F6CD-DC61-47A1-94B4-80D28A41802D}"/>
    <cellStyle name="Input 22" xfId="12887" xr:uid="{92173058-2C11-4BB2-8243-2CB4DA28B815}"/>
    <cellStyle name="Input 23" xfId="12888" xr:uid="{E91BD02D-FE23-40E0-88AF-BA7183F531E8}"/>
    <cellStyle name="Input 24" xfId="12889" xr:uid="{EA5F13DB-6375-4BCA-A397-89B98ECC839A}"/>
    <cellStyle name="Input 25" xfId="12890" xr:uid="{DE75D6F6-1F5F-4CC9-B638-AC98BCD03AE3}"/>
    <cellStyle name="Input 26" xfId="12891" xr:uid="{0F419D41-D71A-4F6E-BE1B-0602F3C05D4C}"/>
    <cellStyle name="Input 27" xfId="12892" xr:uid="{580FDA0E-8D25-40E2-A19D-6EC5568B2C28}"/>
    <cellStyle name="Input 28" xfId="12893" xr:uid="{782826A9-2DC1-4F64-B3C9-939251D53DCD}"/>
    <cellStyle name="Input 29" xfId="12894" xr:uid="{E5A17E83-C7F2-46D3-97DC-CDCC288696C3}"/>
    <cellStyle name="Input 3" xfId="12895" xr:uid="{4F6A09A1-75BF-494D-8D59-11C875952A50}"/>
    <cellStyle name="Input 3 2" xfId="12896" xr:uid="{577DD0C7-0CDE-483C-8213-46B1135E0E01}"/>
    <cellStyle name="Input 30" xfId="12897" xr:uid="{03378DD1-B13D-49AE-8725-A362DE88A6B1}"/>
    <cellStyle name="Input 31" xfId="12898" xr:uid="{D504467C-FD5A-4E3B-93CE-5E766F61E134}"/>
    <cellStyle name="Input 32" xfId="12899" xr:uid="{869AAF38-4B5B-47F2-B974-F004D473B8F8}"/>
    <cellStyle name="Input 33" xfId="12900" xr:uid="{985C01C0-18F8-490E-8356-FFC0C14838F9}"/>
    <cellStyle name="Input 34" xfId="12901" xr:uid="{D03FE5CF-63B9-430C-9866-724D8A9FE9CC}"/>
    <cellStyle name="Input 35" xfId="12902" xr:uid="{280DDC99-8BEC-4B3A-AB71-35CCDCB1B8DC}"/>
    <cellStyle name="Input 36" xfId="12903" xr:uid="{522A96C7-8B52-4EC9-83EC-5264170300C6}"/>
    <cellStyle name="Input 37" xfId="12904" xr:uid="{E7B9536F-3F61-4A27-ADF1-085B512C5B8B}"/>
    <cellStyle name="Input 38" xfId="12905" xr:uid="{25EE8E0A-F224-4319-8A8C-A849623FAB68}"/>
    <cellStyle name="Input 39" xfId="12906" xr:uid="{18D570B0-96B5-48DB-8548-3F88B57045D4}"/>
    <cellStyle name="Input 39 2" xfId="29579" xr:uid="{DF042D9E-760D-456A-87BA-EDA0FFE06BB0}"/>
    <cellStyle name="Input 4" xfId="12907" xr:uid="{1578AF6D-F05F-462E-8B27-37B7357872CC}"/>
    <cellStyle name="Input 4 10" xfId="12908" xr:uid="{2F57463B-474B-42A5-A58D-045B8646CC7F}"/>
    <cellStyle name="Input 4 10 2" xfId="29581" xr:uid="{AA60FFBF-368C-464A-A4AA-5B7408EBB5B6}"/>
    <cellStyle name="Input 4 11" xfId="12909" xr:uid="{602251D8-E9A7-42AB-B3D8-4E2E8BE64FD4}"/>
    <cellStyle name="Input 4 11 2" xfId="29582" xr:uid="{716DA98E-616D-4CF6-B4C7-08C4791F71B4}"/>
    <cellStyle name="Input 4 12" xfId="12910" xr:uid="{8C703ADA-32AF-473F-9280-5ABCB50672E9}"/>
    <cellStyle name="Input 4 12 2" xfId="29583" xr:uid="{003FB65A-D8B0-4E34-A44A-F077E29FA475}"/>
    <cellStyle name="Input 4 13" xfId="12911" xr:uid="{1594B48E-831E-4356-8926-1D2F344622B4}"/>
    <cellStyle name="Input 4 13 2" xfId="29584" xr:uid="{0CB5032C-948D-416B-9626-E0B7195C278A}"/>
    <cellStyle name="Input 4 14" xfId="12912" xr:uid="{70B9B328-BEF0-4500-A777-ACB88BCA0B18}"/>
    <cellStyle name="Input 4 14 2" xfId="29585" xr:uid="{6A89518E-11BB-4D15-AFE5-1C9063B5FFC0}"/>
    <cellStyle name="Input 4 15" xfId="12913" xr:uid="{A3A08F8B-A315-4A7D-95BF-81C1E1E8832B}"/>
    <cellStyle name="Input 4 15 2" xfId="29586" xr:uid="{7F9F9867-AB5B-4747-AF18-0508FF86C91E}"/>
    <cellStyle name="Input 4 16" xfId="12914" xr:uid="{610F39F5-D478-4919-8BE0-ACCB7DC59098}"/>
    <cellStyle name="Input 4 16 2" xfId="29587" xr:uid="{81F64346-12DF-4381-86CC-27C8EB0BADD9}"/>
    <cellStyle name="Input 4 17" xfId="12915" xr:uid="{B7C81344-F5B3-430B-80A6-B957F0C6ABF5}"/>
    <cellStyle name="Input 4 17 2" xfId="29588" xr:uid="{956D518D-F95E-4A14-82E8-5EE6599CCF47}"/>
    <cellStyle name="Input 4 18" xfId="12916" xr:uid="{A9D9CBF9-4D1A-4F57-9141-F7D0FDC11FD8}"/>
    <cellStyle name="Input 4 18 2" xfId="29589" xr:uid="{C9D2840D-1103-4FFA-A375-F2D283A5447B}"/>
    <cellStyle name="Input 4 19" xfId="12917" xr:uid="{AB8AD425-73CF-4479-8300-BC327C87D67D}"/>
    <cellStyle name="Input 4 19 2" xfId="29590" xr:uid="{460037E7-EF9B-4B67-AFE8-6D30DDCE7B43}"/>
    <cellStyle name="Input 4 2" xfId="12918" xr:uid="{0BEE659C-8317-437F-87FF-C3B7D92B3C61}"/>
    <cellStyle name="Input 4 2 10" xfId="12919" xr:uid="{33029FF9-B107-45BB-A57B-2FE25538BBEE}"/>
    <cellStyle name="Input 4 2 10 2" xfId="29592" xr:uid="{F1B28C13-5DAD-463A-BF55-24F2441470BD}"/>
    <cellStyle name="Input 4 2 11" xfId="12920" xr:uid="{8867F842-DAA8-46A2-B453-4C0D2BAC6A2C}"/>
    <cellStyle name="Input 4 2 11 2" xfId="29593" xr:uid="{BF1EEC0F-712C-400E-8B7B-4FCC40FCDB00}"/>
    <cellStyle name="Input 4 2 12" xfId="12921" xr:uid="{AF3071B5-B401-490D-9373-46E46C025B76}"/>
    <cellStyle name="Input 4 2 12 2" xfId="29594" xr:uid="{49835C8D-4BF5-44E0-B65A-9A0B28BA7332}"/>
    <cellStyle name="Input 4 2 13" xfId="12922" xr:uid="{BA05C16F-109B-48EC-96D7-9FE0938A8B53}"/>
    <cellStyle name="Input 4 2 13 2" xfId="29595" xr:uid="{C9727EF7-8E34-4559-90B3-741B97CC2508}"/>
    <cellStyle name="Input 4 2 14" xfId="12923" xr:uid="{1B596B12-CC69-4F5D-BAF4-FAE61F002B3C}"/>
    <cellStyle name="Input 4 2 14 2" xfId="29596" xr:uid="{4024F599-F89D-409F-B9D6-5440DA875E6A}"/>
    <cellStyle name="Input 4 2 15" xfId="12924" xr:uid="{3E157773-DE56-4E3E-8E81-C919E890B2C7}"/>
    <cellStyle name="Input 4 2 15 2" xfId="29597" xr:uid="{BCA15489-2E77-4955-AECA-F493CF3DF665}"/>
    <cellStyle name="Input 4 2 16" xfId="12925" xr:uid="{B757D4D4-0690-4506-9CAB-AD2CCFB3BC6D}"/>
    <cellStyle name="Input 4 2 16 2" xfId="29598" xr:uid="{A3C4D789-CFE2-40D9-B6C6-BB169C57F2A8}"/>
    <cellStyle name="Input 4 2 17" xfId="29591" xr:uid="{25454D5C-58A5-4E16-AA43-9DFDD3A50EB8}"/>
    <cellStyle name="Input 4 2 2" xfId="12926" xr:uid="{2CA46C3A-DE22-4EFC-A319-D75699C2BEEE}"/>
    <cellStyle name="Input 4 2 2 10" xfId="12927" xr:uid="{8D0E2731-EACC-4130-B134-AC6785289F37}"/>
    <cellStyle name="Input 4 2 2 10 2" xfId="29600" xr:uid="{317AD92F-B7CA-4F65-9F4C-29CD05A1A230}"/>
    <cellStyle name="Input 4 2 2 11" xfId="12928" xr:uid="{AD00B257-22C3-449E-958D-745438190D87}"/>
    <cellStyle name="Input 4 2 2 11 2" xfId="29601" xr:uid="{BCCEA249-EEC9-4770-91D9-2D0D0E9F925C}"/>
    <cellStyle name="Input 4 2 2 12" xfId="12929" xr:uid="{43430446-1816-40A4-95DD-848EE47E2A37}"/>
    <cellStyle name="Input 4 2 2 12 2" xfId="29602" xr:uid="{D5ECDD67-8124-426B-89FC-BC8735911868}"/>
    <cellStyle name="Input 4 2 2 13" xfId="12930" xr:uid="{DC6099CA-B31A-428D-BAC4-56E337040435}"/>
    <cellStyle name="Input 4 2 2 13 2" xfId="29603" xr:uid="{C3D49A19-8BD9-40A4-8FA1-360C362A55DA}"/>
    <cellStyle name="Input 4 2 2 14" xfId="12931" xr:uid="{3FB60E5D-792F-4BA8-A55D-F02C9CC013F4}"/>
    <cellStyle name="Input 4 2 2 14 2" xfId="29604" xr:uid="{C7BD72DD-567B-40BA-AADB-C3AD8549176C}"/>
    <cellStyle name="Input 4 2 2 15" xfId="29599" xr:uid="{0582E692-10F4-435F-A178-379834D26068}"/>
    <cellStyle name="Input 4 2 2 2" xfId="12932" xr:uid="{D4C9712D-2C94-4C91-9583-4AF1DDB592A4}"/>
    <cellStyle name="Input 4 2 2 2 2" xfId="29605" xr:uid="{673EC9DE-7C00-47F7-AD8F-D0FCEA700758}"/>
    <cellStyle name="Input 4 2 2 3" xfId="12933" xr:uid="{672AC22F-F847-4EE4-BA90-DDE9FD39F448}"/>
    <cellStyle name="Input 4 2 2 3 2" xfId="29606" xr:uid="{E34EB5B9-6C5E-4756-9641-094793284777}"/>
    <cellStyle name="Input 4 2 2 4" xfId="12934" xr:uid="{77F2305B-A205-4488-BB4E-8C8971B2E518}"/>
    <cellStyle name="Input 4 2 2 4 2" xfId="29607" xr:uid="{48E32674-F706-4B63-8BBE-9F250E40AE2E}"/>
    <cellStyle name="Input 4 2 2 5" xfId="12935" xr:uid="{4892FFD3-4DC3-45D3-A3F2-3F72DD236E4D}"/>
    <cellStyle name="Input 4 2 2 5 2" xfId="29608" xr:uid="{022D4102-4EDE-4811-852F-7E8E2800EAF4}"/>
    <cellStyle name="Input 4 2 2 6" xfId="12936" xr:uid="{41FC900F-3E6B-47EF-8F51-A6E6DFBA5E32}"/>
    <cellStyle name="Input 4 2 2 6 2" xfId="29609" xr:uid="{9AC594A1-C1E3-4521-B33B-B583804114BF}"/>
    <cellStyle name="Input 4 2 2 7" xfId="12937" xr:uid="{58178572-91BF-4FE7-8645-07576F2BABFD}"/>
    <cellStyle name="Input 4 2 2 7 2" xfId="29610" xr:uid="{8DA97E3D-9AC1-49DF-85C8-31CC77E8CEC0}"/>
    <cellStyle name="Input 4 2 2 8" xfId="12938" xr:uid="{795B4912-87A2-416A-99A7-BBAA78E4F459}"/>
    <cellStyle name="Input 4 2 2 8 2" xfId="29611" xr:uid="{CC05CB79-6EF9-44F8-BAAD-F352002AA197}"/>
    <cellStyle name="Input 4 2 2 9" xfId="12939" xr:uid="{1CCC59CA-EB6E-4A0C-98B5-17DFF25CBA3B}"/>
    <cellStyle name="Input 4 2 2 9 2" xfId="29612" xr:uid="{ACE33810-F0CF-4B2D-9171-177AD9D6AE2D}"/>
    <cellStyle name="Input 4 2 3" xfId="12940" xr:uid="{2AF5E1D8-1399-4ECD-9FCC-13387B450F6D}"/>
    <cellStyle name="Input 4 2 3 2" xfId="29613" xr:uid="{0009A215-C755-4D0B-BEBC-3ACFE5965FA5}"/>
    <cellStyle name="Input 4 2 4" xfId="12941" xr:uid="{343142CD-A853-472E-8494-479C80B0CB90}"/>
    <cellStyle name="Input 4 2 4 2" xfId="29614" xr:uid="{55BB9D58-D78C-419E-BD1A-CE96AFB6ACB4}"/>
    <cellStyle name="Input 4 2 5" xfId="12942" xr:uid="{4C977BAC-2977-4DEE-81CE-185838D4F106}"/>
    <cellStyle name="Input 4 2 5 2" xfId="29615" xr:uid="{90AA971D-CA20-45CE-A83C-5D99ED1FBC9B}"/>
    <cellStyle name="Input 4 2 6" xfId="12943" xr:uid="{2DB97AE6-E95F-4DA9-AAB7-5BD2E587AB2B}"/>
    <cellStyle name="Input 4 2 6 2" xfId="29616" xr:uid="{40688593-3017-4F82-BCF3-013DA6A969A9}"/>
    <cellStyle name="Input 4 2 7" xfId="12944" xr:uid="{817A3DFF-AA59-4938-909F-A4FB0029365F}"/>
    <cellStyle name="Input 4 2 7 2" xfId="29617" xr:uid="{DE0A1ED5-2701-4E36-9A88-F7F6029377C9}"/>
    <cellStyle name="Input 4 2 8" xfId="12945" xr:uid="{11AB0725-1A29-493F-928D-EA12DDDB7FC5}"/>
    <cellStyle name="Input 4 2 8 2" xfId="29618" xr:uid="{338E38AD-DE71-458D-A15D-AA14BE5F53D3}"/>
    <cellStyle name="Input 4 2 9" xfId="12946" xr:uid="{C8F8F510-D746-421C-98C6-86DC3A0D58AA}"/>
    <cellStyle name="Input 4 2 9 2" xfId="29619" xr:uid="{6DBEE0DF-97E9-4BC0-A1F1-92CE8951EDEF}"/>
    <cellStyle name="Input 4 20" xfId="12947" xr:uid="{A2957EFA-63C0-45A6-A8F7-FA8D79EA8C9A}"/>
    <cellStyle name="Input 4 20 2" xfId="29620" xr:uid="{E15A994F-C2F6-4C03-84ED-3D73D0AB98C6}"/>
    <cellStyle name="Input 4 21" xfId="12948" xr:uid="{04F853E7-6D41-41D3-B7D6-D2C2C0C15613}"/>
    <cellStyle name="Input 4 21 2" xfId="29621" xr:uid="{F1440A13-0DCD-4F71-848F-5587C9B1DAD1}"/>
    <cellStyle name="Input 4 22" xfId="12949" xr:uid="{D0C119E5-E122-4DE2-BF6A-FFF0ED027BB3}"/>
    <cellStyle name="Input 4 22 2" xfId="29622" xr:uid="{38363F7B-151C-4B08-A29D-9D0880EBD879}"/>
    <cellStyle name="Input 4 23" xfId="29580" xr:uid="{272956C4-E3AD-45AE-8DCA-6A30C884EE6C}"/>
    <cellStyle name="Input 4 3" xfId="12950" xr:uid="{E39EEBB4-BD1B-42AB-AC6B-923D6D448B4A}"/>
    <cellStyle name="Input 4 3 10" xfId="12951" xr:uid="{1E4B736C-8B24-4900-B4F7-B735CA7B79AE}"/>
    <cellStyle name="Input 4 3 10 2" xfId="29624" xr:uid="{80DCF053-7453-4969-9602-8D20C0ADEB41}"/>
    <cellStyle name="Input 4 3 11" xfId="12952" xr:uid="{B4262D98-2321-40DA-8B36-3BC7B98E3EF4}"/>
    <cellStyle name="Input 4 3 11 2" xfId="29625" xr:uid="{08198C7E-F3F8-4192-9C0F-6A65B0101CDC}"/>
    <cellStyle name="Input 4 3 12" xfId="12953" xr:uid="{22A01919-BC53-4DE6-A190-A17085C5C63B}"/>
    <cellStyle name="Input 4 3 12 2" xfId="29626" xr:uid="{BCEAB0BB-AF53-4BF4-B6E2-9F4829F4F612}"/>
    <cellStyle name="Input 4 3 13" xfId="12954" xr:uid="{F7205CE3-CB69-4C61-9606-8576F0ED66F8}"/>
    <cellStyle name="Input 4 3 13 2" xfId="29627" xr:uid="{892AE496-9E71-4405-BB62-A1A3DE6CB754}"/>
    <cellStyle name="Input 4 3 14" xfId="12955" xr:uid="{4A06E3E9-9C4D-4748-9393-AC11BF5841AD}"/>
    <cellStyle name="Input 4 3 14 2" xfId="29628" xr:uid="{37A14206-CB01-4001-8CDE-1F0EF0AEC4DC}"/>
    <cellStyle name="Input 4 3 15" xfId="29623" xr:uid="{BC416E82-20F5-4A43-BEA9-B9237EC91D70}"/>
    <cellStyle name="Input 4 3 2" xfId="12956" xr:uid="{398E516D-EBFC-4F2A-B351-2ACA118A6BAE}"/>
    <cellStyle name="Input 4 3 2 2" xfId="29629" xr:uid="{0287DFFD-588A-411E-98A5-461D0673B09B}"/>
    <cellStyle name="Input 4 3 3" xfId="12957" xr:uid="{E10839B8-C08F-4A3F-A895-4B2379F666CB}"/>
    <cellStyle name="Input 4 3 3 2" xfId="29630" xr:uid="{7E7233B0-5BE8-4039-942F-3AA6C218A138}"/>
    <cellStyle name="Input 4 3 4" xfId="12958" xr:uid="{DC9DD5B9-3F08-45DC-9832-BE315E4382ED}"/>
    <cellStyle name="Input 4 3 4 2" xfId="29631" xr:uid="{02CFA3E3-486B-4AEF-8AB6-8730B67A2435}"/>
    <cellStyle name="Input 4 3 5" xfId="12959" xr:uid="{6C630E08-0D74-4422-91AA-2D92E0F695A8}"/>
    <cellStyle name="Input 4 3 5 2" xfId="29632" xr:uid="{9A5B185D-1B62-4833-A395-1D20396DFE6A}"/>
    <cellStyle name="Input 4 3 6" xfId="12960" xr:uid="{8EB4DA4B-4358-407C-A619-FD74611DBA43}"/>
    <cellStyle name="Input 4 3 6 2" xfId="29633" xr:uid="{58963868-52A1-4003-9E55-7F4DBD86AEE2}"/>
    <cellStyle name="Input 4 3 7" xfId="12961" xr:uid="{4B9732A6-5190-45FC-921A-3D4B2EA3A9EF}"/>
    <cellStyle name="Input 4 3 7 2" xfId="29634" xr:uid="{BF6E81F3-7CB0-4312-B555-E9E0E03107FE}"/>
    <cellStyle name="Input 4 3 8" xfId="12962" xr:uid="{92EAC742-464F-4B3B-A189-D706641E0A7F}"/>
    <cellStyle name="Input 4 3 8 2" xfId="29635" xr:uid="{96C41B43-FFE1-43DB-A3AF-5B73A5FB9895}"/>
    <cellStyle name="Input 4 3 9" xfId="12963" xr:uid="{65DA323B-3C19-45F7-B04F-8FCE128A57BC}"/>
    <cellStyle name="Input 4 3 9 2" xfId="29636" xr:uid="{00C3133C-3AD6-4826-84B4-F9D04DF5946F}"/>
    <cellStyle name="Input 4 4" xfId="12964" xr:uid="{0EF5E56A-968D-4F53-9AD4-918516A41629}"/>
    <cellStyle name="Input 4 4 2" xfId="29637" xr:uid="{33781A81-1F5D-446F-B2F0-A12C48ADFD7F}"/>
    <cellStyle name="Input 4 5" xfId="12965" xr:uid="{48BF22E2-1783-4764-971C-2D7E234E07D1}"/>
    <cellStyle name="Input 4 5 2" xfId="29638" xr:uid="{61843776-9067-4814-8028-443E4E2175D8}"/>
    <cellStyle name="Input 4 6" xfId="12966" xr:uid="{4E561869-4CF9-48BC-ABF7-E92307D1D803}"/>
    <cellStyle name="Input 4 6 2" xfId="29639" xr:uid="{DE7A0B42-DC2A-44D8-BBE6-89E2771D13A0}"/>
    <cellStyle name="Input 4 7" xfId="12967" xr:uid="{B6B8C482-D64D-4A3D-BEF7-46211D0639E7}"/>
    <cellStyle name="Input 4 7 2" xfId="29640" xr:uid="{48E4A6F7-149D-4426-9C66-9667AE713697}"/>
    <cellStyle name="Input 4 8" xfId="12968" xr:uid="{D5EABD41-95ED-4AA8-8CE2-D5DD4B1B715D}"/>
    <cellStyle name="Input 4 8 2" xfId="29641" xr:uid="{F72D6728-852B-4B2D-89A2-F85A37E411D6}"/>
    <cellStyle name="Input 4 9" xfId="12969" xr:uid="{17F540D0-9315-4855-8128-EDB2A2CE44F7}"/>
    <cellStyle name="Input 4 9 2" xfId="29642" xr:uid="{DEDAA634-A2A4-4EC8-ADB1-88AC006E0F4F}"/>
    <cellStyle name="Input 40" xfId="12970" xr:uid="{2C0FFC8E-2C4A-4B14-826E-311E0046F613}"/>
    <cellStyle name="Input 40 2" xfId="29643" xr:uid="{57D1D74A-3B29-43F8-9CA7-009EB9556E61}"/>
    <cellStyle name="Input 41" xfId="12971" xr:uid="{BA7A646E-76FD-4149-84F2-9C31E9BE1EA5}"/>
    <cellStyle name="Input 42" xfId="12972" xr:uid="{AA4FF1EC-21AF-46E3-8810-D18CFA3928B4}"/>
    <cellStyle name="Input 42 2" xfId="29644" xr:uid="{0AB1D78C-8864-4824-BEB6-7B9D4620CFB5}"/>
    <cellStyle name="Input 43" xfId="12526" xr:uid="{C80F6916-E415-400C-83AB-0E54BE2D48FC}"/>
    <cellStyle name="Input 5" xfId="12973" xr:uid="{AE3B5C2D-CFE3-4301-B43B-D480CE9AEAB9}"/>
    <cellStyle name="Input 5 10" xfId="12974" xr:uid="{18B31A42-8A4E-481E-8DE1-1B738D6F1874}"/>
    <cellStyle name="Input 5 10 2" xfId="29645" xr:uid="{197BEDCE-3E16-4E7F-A724-F711FDA8E15D}"/>
    <cellStyle name="Input 5 11" xfId="12975" xr:uid="{5F3BE5C4-FE9A-4991-8946-6C251889D712}"/>
    <cellStyle name="Input 5 11 2" xfId="29646" xr:uid="{311FF791-4E3A-4234-A958-AF09710E1D55}"/>
    <cellStyle name="Input 5 12" xfId="12976" xr:uid="{104CA938-ED8E-494B-A251-FB18D1C44E64}"/>
    <cellStyle name="Input 5 12 2" xfId="29647" xr:uid="{45ABA357-6F86-4132-82F0-041F39A1AF0C}"/>
    <cellStyle name="Input 5 13" xfId="12977" xr:uid="{E228BD02-ED6D-4E13-8FB3-8F4573F104A8}"/>
    <cellStyle name="Input 5 13 2" xfId="29648" xr:uid="{82F18209-A010-495D-B9DC-6B2A1980E6D9}"/>
    <cellStyle name="Input 5 14" xfId="12978" xr:uid="{0086F610-E520-41DA-9F36-3C9F48E67061}"/>
    <cellStyle name="Input 5 14 2" xfId="29649" xr:uid="{46D7969F-0A00-4472-8503-2F81E717F28C}"/>
    <cellStyle name="Input 5 15" xfId="12979" xr:uid="{16EEBDE3-A38C-4507-AD37-47BB1DD0F706}"/>
    <cellStyle name="Input 5 15 2" xfId="29650" xr:uid="{4DB0D3A7-4FD3-41FA-AB62-A3E7BABA8DC4}"/>
    <cellStyle name="Input 5 16" xfId="12980" xr:uid="{8A575768-FBE9-4683-B926-BE5D2EDA8560}"/>
    <cellStyle name="Input 5 16 2" xfId="29651" xr:uid="{0F11DE7F-BF9D-4C85-B38B-6446A8699F82}"/>
    <cellStyle name="Input 5 17" xfId="12981" xr:uid="{4DBD5281-CE2F-4183-932B-A37D6316997E}"/>
    <cellStyle name="Input 5 17 2" xfId="29652" xr:uid="{8AF25A46-8354-4198-8411-320366343096}"/>
    <cellStyle name="Input 5 18" xfId="12982" xr:uid="{DF6CDA62-6722-48AE-87BD-D4AAE801345B}"/>
    <cellStyle name="Input 5 18 2" xfId="29653" xr:uid="{4FD0DB5E-DAB6-40C4-ABCB-7AD1CBB74A25}"/>
    <cellStyle name="Input 5 19" xfId="12983" xr:uid="{C6D91DF1-9E96-4CFE-BE5D-98DD6EE13D6C}"/>
    <cellStyle name="Input 5 19 2" xfId="29654" xr:uid="{0ED4B016-DB21-4130-9B0F-1E10C67F30D1}"/>
    <cellStyle name="Input 5 2" xfId="12984" xr:uid="{75D3B241-9BC6-455B-A928-7ACF62FAE046}"/>
    <cellStyle name="Input 5 20" xfId="12985" xr:uid="{98E462E2-3839-4617-8E18-59083317C149}"/>
    <cellStyle name="Input 5 20 2" xfId="29655" xr:uid="{3AA478DD-1565-4EFE-B749-532F7CD532DD}"/>
    <cellStyle name="Input 5 21" xfId="12986" xr:uid="{531A1E14-5864-4108-8805-859CDA0859EA}"/>
    <cellStyle name="Input 5 21 2" xfId="29656" xr:uid="{12EE142F-EE01-42AB-B2B2-484FBDF68E45}"/>
    <cellStyle name="Input 5 3" xfId="12987" xr:uid="{C0EFA760-CC16-438F-98EC-A86090814E72}"/>
    <cellStyle name="Input 5 3 2" xfId="29657" xr:uid="{9E734B2D-5BED-48FF-8A76-D23B7CA19567}"/>
    <cellStyle name="Input 5 4" xfId="12988" xr:uid="{2B464940-BE35-4B38-8E69-40380ACDE8B2}"/>
    <cellStyle name="Input 5 4 2" xfId="29658" xr:uid="{F9B93EEA-5053-446A-A1CD-34396BC638FA}"/>
    <cellStyle name="Input 5 5" xfId="12989" xr:uid="{8C3CA894-4DA0-4029-B9FD-47B3175B8962}"/>
    <cellStyle name="Input 5 5 2" xfId="29659" xr:uid="{44EDA5C3-C883-4AED-AB7C-F08633CE3BF8}"/>
    <cellStyle name="Input 5 6" xfId="12990" xr:uid="{DE62428A-1849-41E7-A93D-9DA812136631}"/>
    <cellStyle name="Input 5 6 2" xfId="29660" xr:uid="{32FCD368-7C93-4F32-846D-4FD5E3E93F8D}"/>
    <cellStyle name="Input 5 7" xfId="12991" xr:uid="{0F75EA2B-17CC-4087-8438-5975B51D3688}"/>
    <cellStyle name="Input 5 7 2" xfId="29661" xr:uid="{4729C7FC-A0AE-4726-959A-C574C7291004}"/>
    <cellStyle name="Input 5 8" xfId="12992" xr:uid="{110B870E-0077-4694-8C0C-AEF7C444F6BE}"/>
    <cellStyle name="Input 5 8 2" xfId="29662" xr:uid="{D531911C-1C9A-433F-91BB-2052701EB7B8}"/>
    <cellStyle name="Input 5 9" xfId="12993" xr:uid="{B60248E2-6CA5-45D5-8B31-0ECB725EBE9E}"/>
    <cellStyle name="Input 5 9 2" xfId="29663" xr:uid="{C3036F19-391A-4F67-AF55-D42231581F29}"/>
    <cellStyle name="Input 6" xfId="12994" xr:uid="{6CA6B26C-298A-443A-8E72-050714FD4595}"/>
    <cellStyle name="Input 7" xfId="12995" xr:uid="{593E71CD-6E3B-4451-A68F-FC4B66DE65B5}"/>
    <cellStyle name="Input 8" xfId="12996" xr:uid="{FDCCACFD-B08D-4C56-B55D-60007D35A5DE}"/>
    <cellStyle name="Input 9" xfId="12997" xr:uid="{2DDA5856-93B1-460B-BBE7-103113FBA36C}"/>
    <cellStyle name="Input(a)" xfId="12998" xr:uid="{FC78E947-6C1D-4EC6-A3A1-2FEC5C661D20}"/>
    <cellStyle name="Input(a) 2" xfId="12999" xr:uid="{AC975E76-BD2F-4C90-B8A5-85F5DEFAF612}"/>
    <cellStyle name="Input(b)" xfId="13000" xr:uid="{21EF32EF-8A94-4A65-AB11-ACFCD4080649}"/>
    <cellStyle name="Input(b) 2" xfId="13001" xr:uid="{ED1D8702-88E2-4AE5-A198-B581358DBCD3}"/>
    <cellStyle name="Input(Blue_Rate)" xfId="13002" xr:uid="{7B38FF18-BC55-4372-A600-D6ECE4A5B25D}"/>
    <cellStyle name="Input(decimal)" xfId="13003" xr:uid="{33C5CCFA-4068-4EE6-BC91-50A68989D8D9}"/>
    <cellStyle name="Input1" xfId="13004" xr:uid="{C12CE0A2-8C4B-41F9-BF1C-F30CA12CB8A7}"/>
    <cellStyle name="Input1 2" xfId="13005" xr:uid="{D7274344-8B8D-4F85-9D36-8921310D44E4}"/>
    <cellStyle name="Input1 2 2" xfId="29665" xr:uid="{B0D365EB-3F0D-429D-B761-C237982D1EAB}"/>
    <cellStyle name="Input1 3" xfId="29664" xr:uid="{1277660F-D2E6-4F4C-8495-C63B4E9D3648}"/>
    <cellStyle name="InputAmt" xfId="13006" xr:uid="{C6520427-96BE-401A-A85B-AC6C7502E19B}"/>
    <cellStyle name="InputPct" xfId="13007" xr:uid="{BEA8A812-B67E-4FD9-BBEF-F7B1D37C8A4F}"/>
    <cellStyle name="InputShaded" xfId="13008" xr:uid="{4390FCBD-7957-4372-9D05-B5968647E9EF}"/>
    <cellStyle name="InputVal" xfId="13009" xr:uid="{39CDA3FD-8B74-4BB2-BF64-10218098B6DC}"/>
    <cellStyle name="InputValNeg" xfId="13010" xr:uid="{9163F64D-FA89-4AC4-A839-C0CFE6E4455A}"/>
    <cellStyle name="Insatisfaisant" xfId="13011" xr:uid="{374B5E94-0F68-4E81-B279-2FFDD96DB8D0}"/>
    <cellStyle name="Item_Current" xfId="13012" xr:uid="{528DEB21-13CE-4BE7-8D0C-0CC36C9FEDA5}"/>
    <cellStyle name="J401K" xfId="13013" xr:uid="{1C7DF85C-120D-44A1-8C63-8E84F8A539F3}"/>
    <cellStyle name="jose" xfId="13014" xr:uid="{2DFACBAB-3BEF-44AB-A6F7-2533D93F4D6C}"/>
    <cellStyle name="KF" xfId="13015" xr:uid="{D05C5A4A-EA9A-4CBE-B651-7A685B9A820A}"/>
    <cellStyle name="klammer für negative" xfId="13016" xr:uid="{26BA2A46-EC8A-4F03-94A7-4E120B028034}"/>
    <cellStyle name="klammer für negative %" xfId="13017" xr:uid="{2A69C432-7F88-46F4-BD05-13FEC0512A75}"/>
    <cellStyle name="klammer für negative_Forecast-Tool_N16_P12_X11E_Sub#2a" xfId="13018" xr:uid="{CFFC2A6C-5187-45F1-A77E-8EEC4C7C1CC4}"/>
    <cellStyle name="Komma_Blad1" xfId="13019" xr:uid="{9B10D4D1-3335-4754-AB5F-A2682F8D388B}"/>
    <cellStyle name="Komma0" xfId="13020" xr:uid="{A9967C61-0897-463C-9DB8-55712ED3E45E}"/>
    <cellStyle name="L)上段" xfId="13022" xr:uid="{7D08C23F-D2DE-48DC-B827-728D79B19E19}"/>
    <cellStyle name="L)下段" xfId="13021" xr:uid="{110C3902-4E7C-4387-852B-7BA2C04514A6}"/>
    <cellStyle name="L)中段" xfId="13023" xr:uid="{11755F3B-C388-405D-83A7-58F969F38E36}"/>
    <cellStyle name="L)列幅折返し" xfId="13024" xr:uid="{1B866703-AAD0-4F0D-A49B-B339B71CA728}"/>
    <cellStyle name="Label" xfId="13025" xr:uid="{AA79001C-EAC2-4BEB-9A9D-EEFAB293738B}"/>
    <cellStyle name="LblRed" xfId="13026" xr:uid="{1E3C2F2C-7199-4B44-9181-74BFB2415C41}"/>
    <cellStyle name="lemien" xfId="13027" xr:uid="{63F2AAA7-C7F3-4E0F-A81E-0E285987401D}"/>
    <cellStyle name="les" xfId="13028" xr:uid="{FDE1B3C4-99F4-4C93-A859-32B2981E7E66}"/>
    <cellStyle name="les 2" xfId="26383" xr:uid="{4D403138-4CD5-49AD-868E-7B8EFB99BE37}"/>
    <cellStyle name="Level01" xfId="13029" xr:uid="{F1E224F8-7E47-400A-ADF7-37E0991E32C2}"/>
    <cellStyle name="Level02" xfId="13030" xr:uid="{8740BB04-916A-4C78-AE58-E43EA6669970}"/>
    <cellStyle name="Level1" xfId="13031" xr:uid="{A4A0098D-F9A3-4FE0-93B7-EA7740CCB1FF}"/>
    <cellStyle name="Level2" xfId="13032" xr:uid="{3C010CF8-8F65-428A-9577-8C99CF5B5AB3}"/>
    <cellStyle name="Lien hypertexte" xfId="13033" xr:uid="{2C358668-5FC1-45C5-B6C5-B1376E5965FE}"/>
    <cellStyle name="Lien hypertexte 2" xfId="13034" xr:uid="{02A4D20B-D1EE-4A10-907F-B76CDDAF1414}"/>
    <cellStyle name="Lien hypertexte 2 2" xfId="13035" xr:uid="{22B1D84D-E123-4D8E-927F-FEC8BB255DF9}"/>
    <cellStyle name="Lien hypertexte 2 3" xfId="13036" xr:uid="{CE9A8073-78B6-47EF-956D-1112D91919E0}"/>
    <cellStyle name="Lien hypertexte 2 4" xfId="13037" xr:uid="{75F4F09F-396D-42FD-97DB-F15895917ECA}"/>
    <cellStyle name="Lien hypertexte 3" xfId="13038" xr:uid="{3CC771CA-2E4E-4E5A-8351-B787097ACCCD}"/>
    <cellStyle name="Lien hypertexte 3 2" xfId="13039" xr:uid="{491859FB-1DBA-4A61-95AD-F209D5CDD942}"/>
    <cellStyle name="Lien hypertexte 3 3" xfId="13040" xr:uid="{CD11E56D-276E-4D71-ACA2-159E51C72D08}"/>
    <cellStyle name="Lien hypertexte 4" xfId="13041" xr:uid="{5C705005-2C88-4344-890A-A7BBD60192A4}"/>
    <cellStyle name="Lien hypertexte 5" xfId="13042" xr:uid="{5C63F6FD-3D27-4D19-97E8-559B027B8199}"/>
    <cellStyle name="Lien hypertexte visit " xfId="13043" xr:uid="{3C82DFFE-7041-4FCE-90F9-ABBD2F5677D4}"/>
    <cellStyle name="Lien hypertexte visit?" xfId="13044" xr:uid="{F19A0518-6BE5-4686-99C7-8F8CB8C0EF58}"/>
    <cellStyle name="Lien hypertexte visite" xfId="13045" xr:uid="{857D7E44-C9AA-4A0A-8139-80C5D3037285}"/>
    <cellStyle name="Lien hypertexte visité" xfId="13046" xr:uid="{74D3106D-F69E-4799-8277-0CDAC19A43D1}"/>
    <cellStyle name="Lien hypertexte visité 2" xfId="13047" xr:uid="{12176DA1-61B1-410F-995B-F63D4D85A84B}"/>
    <cellStyle name="Lien hypertexte visité 2 2" xfId="13048" xr:uid="{739F5B4F-A002-4693-8FEF-139A7F3B8295}"/>
    <cellStyle name="Lien hypertexte visité 2 3" xfId="13049" xr:uid="{2088BA42-62FE-4E28-BB29-855BFBC6FEB4}"/>
    <cellStyle name="Lien hypertexte visité 2 4" xfId="13050" xr:uid="{A513A714-EDE1-42E0-A72C-DBD8DC120746}"/>
    <cellStyle name="Lien hypertexte visité 3" xfId="13051" xr:uid="{B99D1685-0085-4EE3-9E5F-D5AB151C9EB2}"/>
    <cellStyle name="Lien hypertexte visité 3 2" xfId="13052" xr:uid="{DFFC5DCC-209B-45D5-8FB6-6C7E614B307F}"/>
    <cellStyle name="Lien hypertexte visité 3 3" xfId="13053" xr:uid="{F6717760-9D31-41D2-80D9-53CBC0A95852}"/>
    <cellStyle name="Lien hypertexte visité 4" xfId="13054" xr:uid="{31C0B0A7-8803-4BB9-88B7-D5037BCD3488}"/>
    <cellStyle name="Lien hypertexte visité 5" xfId="13055" xr:uid="{A6ABE317-9033-44C7-84D1-A1B469CBDEBF}"/>
    <cellStyle name="Lien hypertexte visite_#1(A77)FY10 FCST&amp;FY10 BUD_100818" xfId="13056" xr:uid="{627B1A46-801D-4AEB-86E0-5283FA09C497}"/>
    <cellStyle name="Lien hypertexte visité_(final) X11J profit cal for YNM PPD 070910" xfId="13057" xr:uid="{1DAD451D-EA87-4185-B7AD-94733323D3C2}"/>
    <cellStyle name="Lien hypertexte visite_(final) X11J profit cal for YNM PPD 070910_Flash Volume Summary-PER01-rv1" xfId="13058" xr:uid="{4BA9D5CB-5024-40DD-95D0-0B889C7BEE57}"/>
    <cellStyle name="Lien hypertexte visité_(final) X11J profit cal for YNM PPD 070910_Flash Volume Summary-PER01-rv1" xfId="13059" xr:uid="{61B491B8-C39F-41CA-AA70-FF837F7EF746}"/>
    <cellStyle name="Lien hypertexte visite_(final) X11J profit cal for YNM PPD 070910_Flash Volume Summary-PER02" xfId="13060" xr:uid="{81BBB7CB-23E0-4EB8-9BC1-96C3337BBF6F}"/>
    <cellStyle name="Lien hypertexte visité_(final) X11J profit cal for YNM PPD 070910_Flash Volume Summary-PER02" xfId="13061" xr:uid="{EE87BE70-5F65-4640-9F6B-CF8661E49520}"/>
    <cellStyle name="Lien hypertexte visite_(final) X11J profit cal for YNM PPD 070910_Flash Volume Summary-PER04" xfId="13062" xr:uid="{5F327E81-5BEF-42E2-9CF9-A865E7D91BC4}"/>
    <cellStyle name="Lien hypertexte visité_(final) X11J profit cal for YNM PPD 070910_Flash Volume Summary-PER04" xfId="13063" xr:uid="{3A2B9E80-7E23-454B-8330-29F1CD901853}"/>
    <cellStyle name="Lien hypertexte visite_(final) X11J profit cal for YNM PPD 070910_Flash Volume Summary-PER0自分用2" xfId="13064" xr:uid="{20397E77-D30F-477B-ABAB-DD46F66D065A}"/>
    <cellStyle name="Lien hypertexte visité_(final) X11J profit cal for YNM PPD 070910_Flash Volume Summary-PER0自分用2" xfId="13065" xr:uid="{C321F62B-9B2D-4A97-BB73-FF502B903755}"/>
    <cellStyle name="Lien hypertexte visite_(final) X11J profit cal for YNM PPD 070910_Flash Volume Summary-PER10" xfId="13066" xr:uid="{874F8462-11A5-4C33-9991-78668E300079}"/>
    <cellStyle name="Lien hypertexte visité_(final) X11J profit cal for YNM PPD 070910_Flash Volume Summary-PER10" xfId="13067" xr:uid="{FEA4A814-5036-4527-9D2D-FEB0325BD66F}"/>
    <cellStyle name="Lien hypertexte visite_(final) X11J profit cal for YNM PPD 070910_Flash Volume Summary-PER10 for Central" xfId="13068" xr:uid="{3E09206F-B65D-44C8-A504-18CCD64FE02A}"/>
    <cellStyle name="Lien hypertexte visité_(final) X11J profit cal for YNM PPD 070910_Flash Volume Summary-PER10 for Central" xfId="13069" xr:uid="{87ACD83E-E138-45B2-B87B-7FD58450D337}"/>
    <cellStyle name="Lien hypertexte visite_(final) X11J profit cal for YNM PPD 070910_FY08 March 10 Flash Analysis" xfId="13070" xr:uid="{B7BEB60E-2EC1-433C-B4C7-EE5CF4E2045C}"/>
    <cellStyle name="Lien hypertexte visité_(final) X11J profit cal for YNM PPD 070910_FY08 March 10 Flash Analysis" xfId="13071" xr:uid="{25244017-5E39-45E7-ACE7-6670A7BD2DFC}"/>
    <cellStyle name="Lien hypertexte visite_(final) X11J profit cal for YNM PPD 070910_FY08 March 10 Flash Analysis_Flash Volume Summary-PER01-rv1" xfId="13072" xr:uid="{8FF1C224-2942-41F9-B566-C0D7AF63AF15}"/>
    <cellStyle name="Lien hypertexte visité_(final) X11J profit cal for YNM PPD 070910_FY08 March 10 Flash Analysis_Flash Volume Summary-PER01-rv1" xfId="13073" xr:uid="{F50A938F-702D-486D-B19A-6B93D8B9DB66}"/>
    <cellStyle name="Lien hypertexte visite_(final) X11J profit cal for YNM PPD 070910_FY08 March 10 Flash Analysis_Flash Volume Summary-PER02" xfId="13074" xr:uid="{C2AC9A04-CC91-4A97-B95D-51E79A0998B9}"/>
    <cellStyle name="Lien hypertexte visité_(final) X11J profit cal for YNM PPD 070910_FY08 March 10 Flash Analysis_Flash Volume Summary-PER02" xfId="13075" xr:uid="{B96EBCF8-A3C1-4D9C-9D7B-5D5A0D9BE912}"/>
    <cellStyle name="Lien hypertexte visite_(final) X11J profit cal for YNM PPD 070910_FY08 March 10 Flash Analysis_Flash Volume Summary-PER04" xfId="13076" xr:uid="{11582222-B9E5-43FF-B83A-8908A424919F}"/>
    <cellStyle name="Lien hypertexte visité_(final) X11J profit cal for YNM PPD 070910_FY08 March 10 Flash Analysis_Flash Volume Summary-PER04" xfId="13077" xr:uid="{55787605-189A-4A52-90ED-54B1E25A1008}"/>
    <cellStyle name="Lien hypertexte visite_(final) X11J profit cal for YNM PPD 070910_FY08 March 10 Flash Analysis_Flash Volume Summary-PER0自分用2" xfId="13078" xr:uid="{1B1157FF-EB56-4464-B328-783950A55F8F}"/>
    <cellStyle name="Lien hypertexte visité_(final) X11J profit cal for YNM PPD 070910_FY08 March 10 Flash Analysis_Flash Volume Summary-PER0自分用2" xfId="13079" xr:uid="{7A84D2F9-BA07-41D1-85C5-4577044A0437}"/>
    <cellStyle name="Lien hypertexte visite_(final) X11J profit cal for YNM PPD 070910_FY08 March 10 Flash Analysis_Flash Volume Summary-PER10" xfId="13080" xr:uid="{8BA7C425-D307-4980-8CB0-A9BC16950817}"/>
    <cellStyle name="Lien hypertexte visité_(final) X11J profit cal for YNM PPD 070910_FY08 March 10 Flash Analysis_Flash Volume Summary-PER10" xfId="13081" xr:uid="{8ADC47F5-B2E4-4711-BB8D-4517E3F0F111}"/>
    <cellStyle name="Lien hypertexte visite_(final) X11J profit cal for YNM PPD 070910_FY08 March 10 Flash Analysis_Flash Volume Summary-PER10 for Central" xfId="13082" xr:uid="{F2863C63-E920-4BC1-896A-C63685955044}"/>
    <cellStyle name="Lien hypertexte visité_(final) X11J profit cal for YNM PPD 070910_FY08 March 10 Flash Analysis_Flash Volume Summary-PER10 for Central" xfId="13083" xr:uid="{30E3AC9F-8876-4DBB-949D-A3653BAE499E}"/>
    <cellStyle name="Lien hypertexte visite_(final) X11J profit cal for YNM PPD 070910_FY08 March 10 Flash Analysis_FY08 March Outlook (March 11 version)" xfId="13084" xr:uid="{8C031B2C-D929-4453-BF1E-4CEA0514CC46}"/>
    <cellStyle name="Lien hypertexte visité_(final) X11J profit cal for YNM PPD 070910_FY08 March 10 Flash Analysis_FY08 March Outlook (March 11 version)" xfId="13085" xr:uid="{FC490B95-B174-40C4-AEFA-96610C8DEBE0}"/>
    <cellStyle name="Lien hypertexte visite_(final) X11J profit cal for YNM PPD 070910_FY08 March 10 Flash Analysis_FY08 March Outlook (March 11 version)_Flash Volume Summary-PER01-rv1" xfId="13086" xr:uid="{060619BF-DBA0-477B-B7F6-B4C4BE8DF971}"/>
    <cellStyle name="Lien hypertexte visité_(final) X11J profit cal for YNM PPD 070910_FY08 March 10 Flash Analysis_FY08 March Outlook (March 11 version)_Flash Volume Summary-PER01-rv1" xfId="13087" xr:uid="{F8C5C036-C69B-4E11-A19A-E3595D889724}"/>
    <cellStyle name="Lien hypertexte visite_(final) X11J profit cal for YNM PPD 070910_FY08 March 10 Flash Analysis_FY08 March Outlook (March 11 version)_Flash Volume Summary-PER02" xfId="13088" xr:uid="{79D839CC-39B5-4868-9179-623C82C85529}"/>
    <cellStyle name="Lien hypertexte visité_(final) X11J profit cal for YNM PPD 070910_FY08 March 10 Flash Analysis_FY08 March Outlook (March 11 version)_Flash Volume Summary-PER02" xfId="13089" xr:uid="{09A96EF6-5951-4C60-A3F9-C9281C892F64}"/>
    <cellStyle name="Lien hypertexte visite_(final) X11J profit cal for YNM PPD 070910_FY08 March 10 Flash Analysis_FY08 March Outlook (March 11 version)_Flash Volume Summary-PER04" xfId="13090" xr:uid="{E17D47D2-20A9-473B-B229-6970E21C1F82}"/>
    <cellStyle name="Lien hypertexte visité_(final) X11J profit cal for YNM PPD 070910_FY08 March 10 Flash Analysis_FY08 March Outlook (March 11 version)_Flash Volume Summary-PER04" xfId="13091" xr:uid="{0D83C759-50F0-45A8-82AB-DF7F955B78F5}"/>
    <cellStyle name="Lien hypertexte visite_(final) X11J profit cal for YNM PPD 070910_FY08 March 10 Flash Analysis_FY08 March Outlook (March 11 version)_Flash Volume Summary-PER0自分用2" xfId="13092" xr:uid="{30268844-95B2-4A50-A841-83CCB48595CA}"/>
    <cellStyle name="Lien hypertexte visité_(final) X11J profit cal for YNM PPD 070910_FY08 March 10 Flash Analysis_FY08 March Outlook (March 11 version)_Flash Volume Summary-PER0自分用2" xfId="13093" xr:uid="{D0FCF903-CCF1-4ACF-AE46-7EF77924FBC3}"/>
    <cellStyle name="Lien hypertexte visite_(final) X11J profit cal for YNM PPD 070910_FY08 March 10 Flash Analysis_FY08 March Outlook (March 11 version)_Flash Volume Summary-PER10" xfId="13094" xr:uid="{6A6AF9D5-0785-4BBA-87AC-06A716FABEC8}"/>
    <cellStyle name="Lien hypertexte visité_(final) X11J profit cal for YNM PPD 070910_FY08 March 10 Flash Analysis_FY08 March Outlook (March 11 version)_Flash Volume Summary-PER10" xfId="13095" xr:uid="{1BB36A42-30B4-4158-AAA9-CCC49BB15B9E}"/>
    <cellStyle name="Lien hypertexte visite_(final) X11J profit cal for YNM PPD 070910_FY08 March 10 Flash Analysis_FY08 March Outlook (March 11 version)_Flash Volume Summary-PER10 for Central" xfId="13096" xr:uid="{A808B4EE-62C1-46A6-A4D1-E3863D8B95E7}"/>
    <cellStyle name="Lien hypertexte visité_(final) X11J profit cal for YNM PPD 070910_FY08 March 10 Flash Analysis_FY08 March Outlook (March 11 version)_Flash Volume Summary-PER10 for Central" xfId="13097" xr:uid="{7E69FFC1-944F-4BCC-AB37-997FA51B3F08}"/>
    <cellStyle name="Lien hypertexte visite_(final) X11J profit cal for YNM PPD 070910_FY08 March 10 Flash Analysis_FY08 March Outlook (March 11 version)_FY10 Pull Ahead template (Dec 15)" xfId="13098" xr:uid="{6D70B54B-A885-4C1B-857E-1F7CBC7FE15F}"/>
    <cellStyle name="Lien hypertexte visité_(final) X11J profit cal for YNM PPD 070910_FY08 March 10 Flash Analysis_FY08 March Outlook (March 11 version)_FY10 Pull Ahead template (Dec 15)" xfId="13099" xr:uid="{85EC5AE5-8C2D-4857-B441-CECE2B781D23}"/>
    <cellStyle name="Lien hypertexte visite_(final) X11J profit cal for YNM PPD 070910_FY08 March 10 Flash Analysis_FY08 March Outlook (March 11 version)_FY10 Pull Ahead template (Dec 15)_FY10 Pull Ahead template (Dec 16 Consolidate)" xfId="13100" xr:uid="{0458E769-C734-4D40-B161-67325A22D6CD}"/>
    <cellStyle name="Lien hypertexte visité_(final) X11J profit cal for YNM PPD 070910_FY08 March 10 Flash Analysis_FY08 March Outlook (March 11 version)_FY10 Pull Ahead template (Dec 15)_FY10 Pull Ahead template (Dec 16 Consolidate)" xfId="13101" xr:uid="{9E546A32-335B-4287-B438-0CB097EC7C9E}"/>
    <cellStyle name="Lien hypertexte visite_(final) X11J profit cal for YNM PPD 070910_FY08 March 10 Flash Analysis_FY08 March Outlook (March 11 version)_FY10 Pull Ahead template (Dec 15)_FY10 Pull Ahead template (Dec 16 Consolidate)v2 (2)" xfId="13102" xr:uid="{016A16AD-D4A7-4F3C-BBE5-CF52DDF429B6}"/>
    <cellStyle name="Lien hypertexte visité_(final) X11J profit cal for YNM PPD 070910_FY08 March 10 Flash Analysis_FY08 March Outlook (March 11 version)_FY10 Pull Ahead template (Dec 15)_FY10 Pull Ahead template (Dec 16 Consolidate)v2 (2)" xfId="13103" xr:uid="{F5D3C5B2-7C39-4937-A198-024EB4A9F85C}"/>
    <cellStyle name="Lien hypertexte visite_(final) X11J profit cal for YNM PPD 070910_FY08 March 10 Flash Analysis_FY08 March Outlook (March 11 version)_FY10 Pull Ahead template (Dec 15)_FY10 Pull Ahead template (Jan 15 Consolidate)" xfId="13104" xr:uid="{3F1414DF-DDB3-4682-9A7B-29951A9D8269}"/>
    <cellStyle name="Lien hypertexte visité_(final) X11J profit cal for YNM PPD 070910_FY08 March 10 Flash Analysis_FY08 March Outlook (March 11 version)_FY10 Pull Ahead template (Dec 15)_FY10 Pull Ahead template (Jan 15 Consolidate)" xfId="13105" xr:uid="{D48982B6-30D1-4A36-8A1E-C02D191409C5}"/>
    <cellStyle name="Lien hypertexte visite_(final) X11J profit cal for YNM PPD 070910_FY08 March 10 Flash Analysis_FY08 March Outlook (March 11 version)_FY10 Pull Ahead template (Dec 15)_FY10 Pull Ahead template (Jan 18 Consolidate)_v3" xfId="13106" xr:uid="{337E218E-8F76-4C60-BC8B-F13C5E01EA9A}"/>
    <cellStyle name="Lien hypertexte visité_(final) X11J profit cal for YNM PPD 070910_FY08 March 10 Flash Analysis_FY08 March Outlook (March 11 version)_FY10 Pull Ahead template (Dec 15)_FY10 Pull Ahead template (Jan 18 Consolidate)_v3" xfId="13107" xr:uid="{6A68A931-68A7-4C2A-AD48-B6B2E97DC690}"/>
    <cellStyle name="Lien hypertexte visite_(final) X11J profit cal for YNM PPD 070910_FY08 March 10 Flash Analysis_FY08 March Outlook (March 11 version)_FY10 Pull Ahead template (Dec 15)_FY10 Pull Ahead template (Jan 19 Consolidate)_v2 (Europe)" xfId="13108" xr:uid="{5163CBA5-8625-458A-BBBF-855FBE78A5B7}"/>
    <cellStyle name="Lien hypertexte visité_(final) X11J profit cal for YNM PPD 070910_FY08 March 10 Flash Analysis_FY08 March Outlook (March 11 version)_FY10 Pull Ahead template (Dec 15)_FY10 Pull Ahead template (Jan 19 Consolidate)_v2 (Europe)" xfId="13109" xr:uid="{F1677003-7331-46D5-BF2C-9BE8FD51E159}"/>
    <cellStyle name="Lien hypertexte visite_(final) X11J profit cal for YNM PPD 070910_FY08 March 10 Flash Analysis_FY08 March Outlook (March 11 version)_FY10 Pull Ahead template (Dec 15)_FY10 Pull Ahead template (Jan 27 Consolidate)_v3" xfId="13110" xr:uid="{29A86E91-2903-4B1F-9823-61E8D1B11495}"/>
    <cellStyle name="Lien hypertexte visité_(final) X11J profit cal for YNM PPD 070910_FY08 March 10 Flash Analysis_FY08 March Outlook (March 11 version)_FY10 Pull Ahead template (Dec 15)_FY10 Pull Ahead template (Jan 27 Consolidate)_v3" xfId="13111" xr:uid="{2A83805F-3819-48B8-9F45-474C0D4F2DB1}"/>
    <cellStyle name="Lien hypertexte visite_(final) X11J profit cal for YNM PPD 070910_FY08 March 10 Flash Analysis_FY08 March Outlook (March 11 version)_FY10 Pull Ahead template (Dec 15)_FY10 Pull Ahead template (Jan 28 Consolidate)_v1" xfId="13112" xr:uid="{D0C87BC2-4C59-46AB-A20E-F0588DE02309}"/>
    <cellStyle name="Lien hypertexte visité_(final) X11J profit cal for YNM PPD 070910_FY08 March 10 Flash Analysis_FY08 March Outlook (March 11 version)_FY10 Pull Ahead template (Dec 15)_FY10 Pull Ahead template (Jan 28 Consolidate)_v1" xfId="13113" xr:uid="{BB0FF077-47AB-4CD2-ADED-A97A53CA38F6}"/>
    <cellStyle name="Lien hypertexte visite_(final) X11J profit cal for YNM PPD 070910_FY08 March 10 Flash Analysis_FY08 March Outlook (March 11 version)_FY10 Pull Ahead template (Dec 15)_FY10 Pull Ahead template (Jan 28 Consolidate)_v2" xfId="13114" xr:uid="{2D2E139C-A5CD-4F2E-9EEF-6CA2A09DB4D5}"/>
    <cellStyle name="Lien hypertexte visité_(final) X11J profit cal for YNM PPD 070910_FY08 March 10 Flash Analysis_FY08 March Outlook (March 11 version)_FY10 Pull Ahead template (Dec 15)_FY10 Pull Ahead template (Jan 28 Consolidate)_v2" xfId="13115" xr:uid="{F049D007-6837-423B-A9F0-B9C84B1FF589}"/>
    <cellStyle name="Lien hypertexte visite_(final) X11J profit cal for YNM PPD 070910_FY08 March 10 Flash Analysis_FY08 March Outlook (March 11 version)_FY10 Pull Ahead template (Dec 15)_FY10 Pull Ahead template (Jan 29 Consolidate)_v1" xfId="13116" xr:uid="{9291AD7D-AD11-40DA-8CC8-79D15DD58B09}"/>
    <cellStyle name="Lien hypertexte visité_(final) X11J profit cal for YNM PPD 070910_FY08 March 10 Flash Analysis_FY08 March Outlook (March 11 version)_FY10 Pull Ahead template (Dec 15)_FY10 Pull Ahead template (Jan 29 Consolidate)_v1" xfId="13117" xr:uid="{3D696094-19DB-4625-BA73-46866D17360C}"/>
    <cellStyle name="Lien hypertexte visite_(final) X11J profit cal for YNM PPD 070910_FY08 March 10 Flash Analysis_FY08 March Outlook (March 11 version)_Periodic ITP Adjustment for NMEX (2)" xfId="13118" xr:uid="{C5B13ECB-FADC-4D77-979B-489F774A4CF2}"/>
    <cellStyle name="Lien hypertexte visité_(final) X11J profit cal for YNM PPD 070910_FY08 March 10 Flash Analysis_FY08 March Outlook (March 11 version)_Periodic ITP Adjustment for NMEX (2)" xfId="13119" xr:uid="{36B9B3CF-3688-4C16-9F53-B7CECA044A31}"/>
    <cellStyle name="Lien hypertexte visite_(final) X11J profit cal for YNM PPD 070910_FY08 March 10 Flash Analysis_FY10 Pull Ahead template (Dec 15)" xfId="13120" xr:uid="{4191925C-94ED-4E47-8FDC-30B8DDCF54AA}"/>
    <cellStyle name="Lien hypertexte visité_(final) X11J profit cal for YNM PPD 070910_FY08 March 10 Flash Analysis_FY10 Pull Ahead template (Dec 15)" xfId="13121" xr:uid="{93EF383F-DE87-466D-98FD-8CE9F315CC5D}"/>
    <cellStyle name="Lien hypertexte visite_(final) X11J profit cal for YNM PPD 070910_FY08 March 10 Flash Analysis_FY10 Pull Ahead template (Dec 15)_FY10 Pull Ahead template (Dec 16 Consolidate)" xfId="13122" xr:uid="{9872EA21-B909-4C9B-9D16-22FDB4798AC3}"/>
    <cellStyle name="Lien hypertexte visité_(final) X11J profit cal for YNM PPD 070910_FY08 March 10 Flash Analysis_FY10 Pull Ahead template (Dec 15)_FY10 Pull Ahead template (Dec 16 Consolidate)" xfId="13123" xr:uid="{CC1369A1-E763-494F-B11F-FBA753292817}"/>
    <cellStyle name="Lien hypertexte visite_(final) X11J profit cal for YNM PPD 070910_FY08 March 10 Flash Analysis_FY10 Pull Ahead template (Dec 15)_FY10 Pull Ahead template (Dec 16 Consolidate)v2 (2)" xfId="13124" xr:uid="{E5026A48-92DB-4B4F-A9FC-E9D00A4521D9}"/>
    <cellStyle name="Lien hypertexte visité_(final) X11J profit cal for YNM PPD 070910_FY08 March 10 Flash Analysis_FY10 Pull Ahead template (Dec 15)_FY10 Pull Ahead template (Dec 16 Consolidate)v2 (2)" xfId="13125" xr:uid="{92F919E3-62DC-4764-BC95-80477A9701D0}"/>
    <cellStyle name="Lien hypertexte visite_(final) X11J profit cal for YNM PPD 070910_FY08 March 10 Flash Analysis_FY10 Pull Ahead template (Dec 15)_FY10 Pull Ahead template (Jan 15 Consolidate)" xfId="13126" xr:uid="{07449C4C-65EF-4F54-995A-5E3CC6F2D789}"/>
    <cellStyle name="Lien hypertexte visité_(final) X11J profit cal for YNM PPD 070910_FY08 March 10 Flash Analysis_FY10 Pull Ahead template (Dec 15)_FY10 Pull Ahead template (Jan 15 Consolidate)" xfId="13127" xr:uid="{03A246F9-21CA-4226-BAA1-5CB8F1580BF4}"/>
    <cellStyle name="Lien hypertexte visite_(final) X11J profit cal for YNM PPD 070910_FY08 March 10 Flash Analysis_FY10 Pull Ahead template (Dec 15)_FY10 Pull Ahead template (Jan 18 Consolidate)_v3" xfId="13128" xr:uid="{9F9CB04B-CC9A-4AA5-9C8D-6B6C8B25DE87}"/>
    <cellStyle name="Lien hypertexte visité_(final) X11J profit cal for YNM PPD 070910_FY08 March 10 Flash Analysis_FY10 Pull Ahead template (Dec 15)_FY10 Pull Ahead template (Jan 18 Consolidate)_v3" xfId="13129" xr:uid="{B4B8DEF8-59A8-4A10-A97E-7F3C9248D1EB}"/>
    <cellStyle name="Lien hypertexte visite_(final) X11J profit cal for YNM PPD 070910_FY08 March 10 Flash Analysis_FY10 Pull Ahead template (Dec 15)_FY10 Pull Ahead template (Jan 19 Consolidate)_v2 (Europe)" xfId="13130" xr:uid="{10492517-E89A-45FC-82AE-9D95A73056D5}"/>
    <cellStyle name="Lien hypertexte visité_(final) X11J profit cal for YNM PPD 070910_FY08 March 10 Flash Analysis_FY10 Pull Ahead template (Dec 15)_FY10 Pull Ahead template (Jan 19 Consolidate)_v2 (Europe)" xfId="13131" xr:uid="{27161997-BA81-4282-8D89-533126F4C0A0}"/>
    <cellStyle name="Lien hypertexte visite_(final) X11J profit cal for YNM PPD 070910_FY08 March 10 Flash Analysis_FY10 Pull Ahead template (Dec 15)_FY10 Pull Ahead template (Jan 27 Consolidate)_v3" xfId="13132" xr:uid="{C365066D-EAB2-40E7-90FA-8EDFB6176C72}"/>
    <cellStyle name="Lien hypertexte visité_(final) X11J profit cal for YNM PPD 070910_FY08 March 10 Flash Analysis_FY10 Pull Ahead template (Dec 15)_FY10 Pull Ahead template (Jan 27 Consolidate)_v3" xfId="13133" xr:uid="{6C9F1285-B0AD-4C05-8836-1EC10898B93A}"/>
    <cellStyle name="Lien hypertexte visite_(final) X11J profit cal for YNM PPD 070910_FY08 March 10 Flash Analysis_FY10 Pull Ahead template (Dec 15)_FY10 Pull Ahead template (Jan 28 Consolidate)_v1" xfId="13134" xr:uid="{9F163845-3608-4BB2-BDB5-E27BA2BA7BCE}"/>
    <cellStyle name="Lien hypertexte visité_(final) X11J profit cal for YNM PPD 070910_FY08 March 10 Flash Analysis_FY10 Pull Ahead template (Dec 15)_FY10 Pull Ahead template (Jan 28 Consolidate)_v1" xfId="13135" xr:uid="{7FEC24E7-6DA7-4B91-9626-9B99D3D9DDD4}"/>
    <cellStyle name="Lien hypertexte visite_(final) X11J profit cal for YNM PPD 070910_FY08 March 10 Flash Analysis_FY10 Pull Ahead template (Dec 15)_FY10 Pull Ahead template (Jan 28 Consolidate)_v2" xfId="13136" xr:uid="{E6636488-D7A7-41A5-9FFA-039BED98C892}"/>
    <cellStyle name="Lien hypertexte visité_(final) X11J profit cal for YNM PPD 070910_FY08 March 10 Flash Analysis_FY10 Pull Ahead template (Dec 15)_FY10 Pull Ahead template (Jan 28 Consolidate)_v2" xfId="13137" xr:uid="{710C6FAD-BD6F-4FCA-974D-D75E903D6309}"/>
    <cellStyle name="Lien hypertexte visite_(final) X11J profit cal for YNM PPD 070910_FY08 March 10 Flash Analysis_FY10 Pull Ahead template (Dec 15)_FY10 Pull Ahead template (Jan 29 Consolidate)_v1" xfId="13138" xr:uid="{58317B41-8723-4B51-96D4-14BB472DB113}"/>
    <cellStyle name="Lien hypertexte visité_(final) X11J profit cal for YNM PPD 070910_FY08 March 10 Flash Analysis_FY10 Pull Ahead template (Dec 15)_FY10 Pull Ahead template (Jan 29 Consolidate)_v1" xfId="13139" xr:uid="{E39D3E67-49CB-4499-93C9-408A89FBB265}"/>
    <cellStyle name="Lien hypertexte visite_(final) X11J profit cal for YNM PPD 070910_FY08 March 10 Flash Analysis_Periodic ITP Adjustment for NMEX (2)" xfId="13140" xr:uid="{8CA4BE29-D8AF-4A00-9DD5-86BE8431E840}"/>
    <cellStyle name="Lien hypertexte visité_(final) X11J profit cal for YNM PPD 070910_FY08 March 10 Flash Analysis_Periodic ITP Adjustment for NMEX (2)" xfId="13141" xr:uid="{C7695740-1B54-4709-A60E-838C1C2B56B0}"/>
    <cellStyle name="Lien hypertexte visite_(final) X11J profit cal for YNM PPD 070910_FY10 Pull Ahead template (Dec 15)" xfId="13142" xr:uid="{FFDC5023-ABE6-42B3-A434-AA80032DD168}"/>
    <cellStyle name="Lien hypertexte visité_(final) X11J profit cal for YNM PPD 070910_FY10 Pull Ahead template (Dec 15)" xfId="13143" xr:uid="{B15CEAE0-88BA-476B-BECA-A8E676B1E5A2}"/>
    <cellStyle name="Lien hypertexte visite_(final) X11J profit cal for YNM PPD 070910_FY10 Pull Ahead template (Dec 15)_FY10 Pull Ahead template (Dec 16 Consolidate)" xfId="13144" xr:uid="{4CE5B9EA-050A-44A3-85F0-EB579A4A167E}"/>
    <cellStyle name="Lien hypertexte visité_(final) X11J profit cal for YNM PPD 070910_FY10 Pull Ahead template (Dec 15)_FY10 Pull Ahead template (Dec 16 Consolidate)" xfId="13145" xr:uid="{2E47639E-26F7-4DBC-83AE-2FF3185C23EC}"/>
    <cellStyle name="Lien hypertexte visite_(final) X11J profit cal for YNM PPD 070910_FY10 Pull Ahead template (Dec 15)_FY10 Pull Ahead template (Dec 16 Consolidate)v2 (2)" xfId="13146" xr:uid="{F18F63FF-A3FC-4D21-A744-BC7F9B4DF4AD}"/>
    <cellStyle name="Lien hypertexte visité_(final) X11J profit cal for YNM PPD 070910_FY10 Pull Ahead template (Dec 15)_FY10 Pull Ahead template (Dec 16 Consolidate)v2 (2)" xfId="13147" xr:uid="{4FA74D25-10E6-4BD2-B0F1-EEC14B31346E}"/>
    <cellStyle name="Lien hypertexte visite_(final) X11J profit cal for YNM PPD 070910_FY10 Pull Ahead template (Dec 15)_FY10 Pull Ahead template (Jan 15 Consolidate)" xfId="13148" xr:uid="{355EE806-9F2C-4C96-A176-1CF18ABBBA8A}"/>
    <cellStyle name="Lien hypertexte visité_(final) X11J profit cal for YNM PPD 070910_FY10 Pull Ahead template (Dec 15)_FY10 Pull Ahead template (Jan 15 Consolidate)" xfId="13149" xr:uid="{46C6F66D-A521-4E0A-9D27-2E386808B3D1}"/>
    <cellStyle name="Lien hypertexte visite_(final) X11J profit cal for YNM PPD 070910_FY10 Pull Ahead template (Dec 15)_FY10 Pull Ahead template (Jan 18 Consolidate)_v3" xfId="13150" xr:uid="{35908536-60EA-4CCA-B429-B5D7357A72ED}"/>
    <cellStyle name="Lien hypertexte visité_(final) X11J profit cal for YNM PPD 070910_FY10 Pull Ahead template (Dec 15)_FY10 Pull Ahead template (Jan 18 Consolidate)_v3" xfId="13151" xr:uid="{1233B114-D16F-417A-BD88-F5B30D1357AE}"/>
    <cellStyle name="Lien hypertexte visite_(final) X11J profit cal for YNM PPD 070910_FY10 Pull Ahead template (Dec 15)_FY10 Pull Ahead template (Jan 19 Consolidate)_v2 (Europe)" xfId="13152" xr:uid="{22D408AE-7B71-4E94-B095-2A33FC586EAE}"/>
    <cellStyle name="Lien hypertexte visité_(final) X11J profit cal for YNM PPD 070910_FY10 Pull Ahead template (Dec 15)_FY10 Pull Ahead template (Jan 19 Consolidate)_v2 (Europe)" xfId="13153" xr:uid="{D7CB4B16-F58B-4055-B9FF-7167823FAB6B}"/>
    <cellStyle name="Lien hypertexte visite_(final) X11J profit cal for YNM PPD 070910_FY10 Pull Ahead template (Dec 15)_FY10 Pull Ahead template (Jan 27 Consolidate)_v3" xfId="13154" xr:uid="{A266C2EC-B496-4AC2-90AF-E3B157AEDC93}"/>
    <cellStyle name="Lien hypertexte visité_(final) X11J profit cal for YNM PPD 070910_FY10 Pull Ahead template (Dec 15)_FY10 Pull Ahead template (Jan 27 Consolidate)_v3" xfId="13155" xr:uid="{F32342F2-C6D9-4840-85FF-7821332101F5}"/>
    <cellStyle name="Lien hypertexte visite_(final) X11J profit cal for YNM PPD 070910_FY10 Pull Ahead template (Dec 15)_FY10 Pull Ahead template (Jan 28 Consolidate)_v1" xfId="13156" xr:uid="{654915AF-28A0-4583-9157-772728BBD817}"/>
    <cellStyle name="Lien hypertexte visité_(final) X11J profit cal for YNM PPD 070910_FY10 Pull Ahead template (Dec 15)_FY10 Pull Ahead template (Jan 28 Consolidate)_v1" xfId="13157" xr:uid="{94CD1641-7297-44C5-8D5E-206C7D5A75BB}"/>
    <cellStyle name="Lien hypertexte visite_(final) X11J profit cal for YNM PPD 070910_FY10 Pull Ahead template (Dec 15)_FY10 Pull Ahead template (Jan 28 Consolidate)_v2" xfId="13158" xr:uid="{0ADB8440-4A1B-404C-9922-F6BE52626207}"/>
    <cellStyle name="Lien hypertexte visité_(final) X11J profit cal for YNM PPD 070910_FY10 Pull Ahead template (Dec 15)_FY10 Pull Ahead template (Jan 28 Consolidate)_v2" xfId="13159" xr:uid="{9419CDA0-C15D-43D3-9901-14D4DE26B982}"/>
    <cellStyle name="Lien hypertexte visite_(final) X11J profit cal for YNM PPD 070910_FY10 Pull Ahead template (Dec 15)_FY10 Pull Ahead template (Jan 29 Consolidate)_v1" xfId="13160" xr:uid="{29C3549A-C5BD-4D6F-9F08-C27A2329B918}"/>
    <cellStyle name="Lien hypertexte visité_(final) X11J profit cal for YNM PPD 070910_FY10 Pull Ahead template (Dec 15)_FY10 Pull Ahead template (Jan 29 Consolidate)_v1" xfId="13161" xr:uid="{9CA76C3C-BA7F-4C08-AAC6-5A552774A3D4}"/>
    <cellStyle name="Lien hypertexte visite_(final) X11J profit cal for YNM PPD 070910_Periodic ITP Adjustment for NMEX (2)" xfId="13162" xr:uid="{7C3D7C88-7F71-4DD5-878E-DC5EA0CBDB79}"/>
    <cellStyle name="Lien hypertexte visité_(final) X11J profit cal for YNM PPD 070910_Periodic ITP Adjustment for NMEX (2)" xfId="13163" xr:uid="{7059944C-F2D5-4C97-8608-434F509CCCA7}"/>
    <cellStyle name="Lien hypertexte visite_(to ynm)X11J price breakdown 071017" xfId="13164" xr:uid="{979C5CF5-60A7-4686-A76E-3390ACEF3254}"/>
    <cellStyle name="Lien hypertexte visité_(to ynm)X11J price breakdown 071017" xfId="13165" xr:uid="{DFE69A2A-D9A5-41E0-A516-5C4D1C6C7DBC}"/>
    <cellStyle name="Lien hypertexte visite_(to ynm)X11J price breakdown 071017_Flash Volume Summary-PER01-rv1" xfId="13166" xr:uid="{69068CFB-CA10-42E3-BF37-F8FD411182A7}"/>
    <cellStyle name="Lien hypertexte visité_(to ynm)X11J price breakdown 071017_Flash Volume Summary-PER01-rv1" xfId="13167" xr:uid="{E25E421F-6081-48E7-9D16-7F337119441F}"/>
    <cellStyle name="Lien hypertexte visite_(to ynm)X11J price breakdown 071017_Flash Volume Summary-PER02" xfId="13168" xr:uid="{A66895BA-5ECB-4ACA-A80B-9DB2A5813A0B}"/>
    <cellStyle name="Lien hypertexte visité_(to ynm)X11J price breakdown 071017_Flash Volume Summary-PER02" xfId="13169" xr:uid="{415A8E67-C86D-4A8D-8157-F52A21B0CB86}"/>
    <cellStyle name="Lien hypertexte visite_(to ynm)X11J price breakdown 071017_Flash Volume Summary-PER04" xfId="13170" xr:uid="{3C7976BB-9D84-453D-9F92-AF3CFC27A080}"/>
    <cellStyle name="Lien hypertexte visité_(to ynm)X11J price breakdown 071017_Flash Volume Summary-PER04" xfId="13171" xr:uid="{FDEA0945-0243-4C84-98BC-2A4BBDE7AD26}"/>
    <cellStyle name="Lien hypertexte visite_(to ynm)X11J price breakdown 071017_Flash Volume Summary-PER0自分用2" xfId="13172" xr:uid="{F1ED46C2-860F-40D5-8E57-B04EC0DAAE48}"/>
    <cellStyle name="Lien hypertexte visité_(to ynm)X11J price breakdown 071017_Flash Volume Summary-PER0自分用2" xfId="13173" xr:uid="{A7EB62B5-6022-4C09-AD4B-27EE10948DFA}"/>
    <cellStyle name="Lien hypertexte visite_(to ynm)X11J price breakdown 071017_Flash Volume Summary-PER10" xfId="13174" xr:uid="{767D6D92-B12F-4598-8FDD-94FEF666896A}"/>
    <cellStyle name="Lien hypertexte visité_(to ynm)X11J price breakdown 071017_Flash Volume Summary-PER10" xfId="13175" xr:uid="{2EBBA70B-8F10-464F-922B-1EB2748DF77D}"/>
    <cellStyle name="Lien hypertexte visite_(to ynm)X11J price breakdown 071017_Flash Volume Summary-PER10 for Central" xfId="13176" xr:uid="{5F5DE7FE-D246-4C4D-A7FE-B8B8165D5510}"/>
    <cellStyle name="Lien hypertexte visité_(to ynm)X11J price breakdown 071017_Flash Volume Summary-PER10 for Central" xfId="13177" xr:uid="{B50A6B1C-787C-498D-B320-3B59A7328E73}"/>
    <cellStyle name="Lien hypertexte visite_(to ynm)X11J price breakdown 071017_FY08 March 10 Flash Analysis" xfId="13178" xr:uid="{EC894FAB-76E1-4B45-8D3B-DACE027E04DA}"/>
    <cellStyle name="Lien hypertexte visité_(to ynm)X11J price breakdown 071017_FY08 March 10 Flash Analysis" xfId="13179" xr:uid="{5149D6EE-B5E6-40C1-8FB5-612B81EC0815}"/>
    <cellStyle name="Lien hypertexte visite_(to ynm)X11J price breakdown 071017_FY08 March 10 Flash Analysis_Flash Volume Summary-PER01-rv1" xfId="13180" xr:uid="{3B7B44B0-F386-4213-A932-ADD30B0C6F96}"/>
    <cellStyle name="Lien hypertexte visité_(to ynm)X11J price breakdown 071017_FY08 March 10 Flash Analysis_Flash Volume Summary-PER01-rv1" xfId="13181" xr:uid="{EDD0CD6A-FF78-4F33-B5AD-3FB5A730B75B}"/>
    <cellStyle name="Lien hypertexte visite_(to ynm)X11J price breakdown 071017_FY08 March 10 Flash Analysis_Flash Volume Summary-PER02" xfId="13182" xr:uid="{00F69D8A-00D5-4DCE-ADCB-759FFCB0A241}"/>
    <cellStyle name="Lien hypertexte visité_(to ynm)X11J price breakdown 071017_FY08 March 10 Flash Analysis_Flash Volume Summary-PER02" xfId="13183" xr:uid="{4036D56F-3FDE-4C91-BE44-A02BC819E8D4}"/>
    <cellStyle name="Lien hypertexte visite_(to ynm)X11J price breakdown 071017_FY08 March 10 Flash Analysis_Flash Volume Summary-PER04" xfId="13184" xr:uid="{34A560F3-512B-41DA-8AB2-39010F3938CA}"/>
    <cellStyle name="Lien hypertexte visité_(to ynm)X11J price breakdown 071017_FY08 March 10 Flash Analysis_Flash Volume Summary-PER04" xfId="13185" xr:uid="{EF0A62B5-8A46-45C6-BC21-9989862BA6A0}"/>
    <cellStyle name="Lien hypertexte visite_(to ynm)X11J price breakdown 071017_FY08 March 10 Flash Analysis_Flash Volume Summary-PER0自分用2" xfId="13186" xr:uid="{67C00997-18C2-4CD4-93DD-E6DD043D37CF}"/>
    <cellStyle name="Lien hypertexte visité_(to ynm)X11J price breakdown 071017_FY08 March 10 Flash Analysis_Flash Volume Summary-PER0自分用2" xfId="13187" xr:uid="{08CB3B9E-625B-44E7-9D4D-3404D3337AA3}"/>
    <cellStyle name="Lien hypertexte visite_(to ynm)X11J price breakdown 071017_FY08 March 10 Flash Analysis_Flash Volume Summary-PER10" xfId="13188" xr:uid="{264DE715-761B-4891-B8BC-9B6FF1DF7A06}"/>
    <cellStyle name="Lien hypertexte visité_(to ynm)X11J price breakdown 071017_FY08 March 10 Flash Analysis_Flash Volume Summary-PER10" xfId="13189" xr:uid="{30201758-3B0B-41C3-AF4E-E8800192B829}"/>
    <cellStyle name="Lien hypertexte visite_(to ynm)X11J price breakdown 071017_FY08 March 10 Flash Analysis_Flash Volume Summary-PER10 for Central" xfId="13190" xr:uid="{AE19CE8C-8E8D-4937-A9BE-173B3AB56390}"/>
    <cellStyle name="Lien hypertexte visité_(to ynm)X11J price breakdown 071017_FY08 March 10 Flash Analysis_Flash Volume Summary-PER10 for Central" xfId="13191" xr:uid="{8FB21D01-11D5-4DC6-9E83-77908233DA77}"/>
    <cellStyle name="Lien hypertexte visite_(to ynm)X11J price breakdown 071017_FY08 March 10 Flash Analysis_FY08 March Outlook (March 11 version)" xfId="13192" xr:uid="{1B592359-0345-4AC5-9CD8-9ED807386F6A}"/>
    <cellStyle name="Lien hypertexte visité_(to ynm)X11J price breakdown 071017_FY08 March 10 Flash Analysis_FY08 March Outlook (March 11 version)" xfId="13193" xr:uid="{C40CC4C5-9E9C-4C58-B511-7BAD2C33C7D5}"/>
    <cellStyle name="Lien hypertexte visite_(to ynm)X11J price breakdown 071017_FY08 March 10 Flash Analysis_FY08 March Outlook (March 11 version)_Flash Volume Summary-PER01-rv1" xfId="13194" xr:uid="{784667C6-A9F5-42ED-A5D5-0E454B55C315}"/>
    <cellStyle name="Lien hypertexte visité_(to ynm)X11J price breakdown 071017_FY08 March 10 Flash Analysis_FY08 March Outlook (March 11 version)_Flash Volume Summary-PER01-rv1" xfId="13195" xr:uid="{FB86A7F6-BCF0-45BC-AEAE-E344BE4577EC}"/>
    <cellStyle name="Lien hypertexte visite_(to ynm)X11J price breakdown 071017_FY08 March 10 Flash Analysis_FY08 March Outlook (March 11 version)_Flash Volume Summary-PER02" xfId="13196" xr:uid="{B42E4A51-02FC-41F0-A51A-97ED269BBA26}"/>
    <cellStyle name="Lien hypertexte visité_(to ynm)X11J price breakdown 071017_FY08 March 10 Flash Analysis_FY08 March Outlook (March 11 version)_Flash Volume Summary-PER02" xfId="13197" xr:uid="{2E782773-2AB2-41B0-BB3D-D227256709B5}"/>
    <cellStyle name="Lien hypertexte visite_(to ynm)X11J price breakdown 071017_FY08 March 10 Flash Analysis_FY08 March Outlook (March 11 version)_Flash Volume Summary-PER04" xfId="13198" xr:uid="{D5D42D07-AC0C-419D-AB7E-DA03474D92D0}"/>
    <cellStyle name="Lien hypertexte visité_(to ynm)X11J price breakdown 071017_FY08 March 10 Flash Analysis_FY08 March Outlook (March 11 version)_Flash Volume Summary-PER04" xfId="13199" xr:uid="{C0938A01-ECBC-44FF-9330-A55392461FD7}"/>
    <cellStyle name="Lien hypertexte visite_(to ynm)X11J price breakdown 071017_FY08 March 10 Flash Analysis_FY08 March Outlook (March 11 version)_Flash Volume Summary-PER0自分用2" xfId="13200" xr:uid="{29B4F43E-1384-4D3D-97F1-AAAE2522E7DA}"/>
    <cellStyle name="Lien hypertexte visité_(to ynm)X11J price breakdown 071017_FY08 March 10 Flash Analysis_FY08 March Outlook (March 11 version)_Flash Volume Summary-PER0自分用2" xfId="13201" xr:uid="{2BFF6677-AE26-46E0-9F7D-30A923173F6B}"/>
    <cellStyle name="Lien hypertexte visite_(to ynm)X11J price breakdown 071017_FY08 March 10 Flash Analysis_FY08 March Outlook (March 11 version)_Flash Volume Summary-PER10" xfId="13202" xr:uid="{AAA07263-F872-4FC2-833E-47D2DBB97106}"/>
    <cellStyle name="Lien hypertexte visité_(to ynm)X11J price breakdown 071017_FY08 March 10 Flash Analysis_FY08 March Outlook (March 11 version)_Flash Volume Summary-PER10" xfId="13203" xr:uid="{49C9D82F-001B-425A-9192-04C1F8F54730}"/>
    <cellStyle name="Lien hypertexte visite_(to ynm)X11J price breakdown 071017_FY08 March 10 Flash Analysis_FY08 March Outlook (March 11 version)_Flash Volume Summary-PER10 for Central" xfId="13204" xr:uid="{ECC328E1-C8CC-4E9F-A282-562C4C9211AD}"/>
    <cellStyle name="Lien hypertexte visité_(to ynm)X11J price breakdown 071017_FY08 March 10 Flash Analysis_FY08 March Outlook (March 11 version)_Flash Volume Summary-PER10 for Central" xfId="13205" xr:uid="{B43E05E5-1B6C-4F09-BC4D-690187850FD8}"/>
    <cellStyle name="Lien hypertexte visite_(to ynm)X11J price breakdown 071017_FY08 March 10 Flash Analysis_FY08 March Outlook (March 11 version)_FY10 Pull Ahead template (Dec 15)" xfId="13206" xr:uid="{C01D465F-268A-450D-89AA-D131C4754D08}"/>
    <cellStyle name="Lien hypertexte visité_(to ynm)X11J price breakdown 071017_FY08 March 10 Flash Analysis_FY08 March Outlook (March 11 version)_FY10 Pull Ahead template (Dec 15)" xfId="13207" xr:uid="{8B50E4FC-630A-4C7E-8532-B0749F952601}"/>
    <cellStyle name="Lien hypertexte visite_(to ynm)X11J price breakdown 071017_FY08 March 10 Flash Analysis_FY08 March Outlook (March 11 version)_FY10 Pull Ahead template (Dec 15)_FY10 Pull Ahead template (Dec 16 Consolidate)" xfId="13208" xr:uid="{41C89538-E9D3-4742-8335-666046790256}"/>
    <cellStyle name="Lien hypertexte visité_(to ynm)X11J price breakdown 071017_FY08 March 10 Flash Analysis_FY08 March Outlook (March 11 version)_FY10 Pull Ahead template (Dec 15)_FY10 Pull Ahead template (Dec 16 Consolidate)" xfId="13209" xr:uid="{188C24CA-0A49-4F3C-81B8-8C1E95F93BC2}"/>
    <cellStyle name="Lien hypertexte visite_(to ynm)X11J price breakdown 071017_FY08 March 10 Flash Analysis_FY08 March Outlook (March 11 version)_FY10 Pull Ahead template (Dec 15)_FY10 Pull Ahead template (Dec 16 Consolidate)v2 (2)" xfId="13210" xr:uid="{DE18DD41-BCAC-47E8-9CF1-A3D8E7CCA5A3}"/>
    <cellStyle name="Lien hypertexte visité_(to ynm)X11J price breakdown 071017_FY08 March 10 Flash Analysis_FY08 March Outlook (March 11 version)_FY10 Pull Ahead template (Dec 15)_FY10 Pull Ahead template (Dec 16 Consolidate)v2 (2)" xfId="13211" xr:uid="{D8B0C1BE-A725-44BE-9B25-D0F7304FEEEC}"/>
    <cellStyle name="Lien hypertexte visite_(to ynm)X11J price breakdown 071017_FY08 March 10 Flash Analysis_FY08 March Outlook (March 11 version)_FY10 Pull Ahead template (Dec 15)_FY10 Pull Ahead template (Jan 15 Consolidate)" xfId="13212" xr:uid="{2EFDDAF9-DB04-4928-A1E9-77BEB039539D}"/>
    <cellStyle name="Lien hypertexte visité_(to ynm)X11J price breakdown 071017_FY08 March 10 Flash Analysis_FY08 March Outlook (March 11 version)_FY10 Pull Ahead template (Dec 15)_FY10 Pull Ahead template (Jan 15 Consolidate)" xfId="13213" xr:uid="{50B5D1AF-6CD8-4D82-9284-1CBC1A099728}"/>
    <cellStyle name="Lien hypertexte visite_(to ynm)X11J price breakdown 071017_FY08 March 10 Flash Analysis_FY08 March Outlook (March 11 version)_FY10 Pull Ahead template (Dec 15)_FY10 Pull Ahead template (Jan 18 Consolidate)_v3" xfId="13214" xr:uid="{313C6BB5-9D7E-499E-AE39-9042DC2426F0}"/>
    <cellStyle name="Lien hypertexte visité_(to ynm)X11J price breakdown 071017_FY08 March 10 Flash Analysis_FY08 March Outlook (March 11 version)_FY10 Pull Ahead template (Dec 15)_FY10 Pull Ahead template (Jan 18 Consolidate)_v3" xfId="13215" xr:uid="{C1F9B836-50A3-4C24-8868-CA417D0DF54F}"/>
    <cellStyle name="Lien hypertexte visite_(to ynm)X11J price breakdown 071017_FY08 March 10 Flash Analysis_FY08 March Outlook (March 11 version)_FY10 Pull Ahead template (Dec 15)_FY10 Pull Ahead template (Jan 19 Consolidate)_v2 (Europe)" xfId="13216" xr:uid="{41DE74EB-37C1-4964-BDD7-3D0947BD0763}"/>
    <cellStyle name="Lien hypertexte visité_(to ynm)X11J price breakdown 071017_FY08 March 10 Flash Analysis_FY08 March Outlook (March 11 version)_FY10 Pull Ahead template (Dec 15)_FY10 Pull Ahead template (Jan 19 Consolidate)_v2 (Europe)" xfId="13217" xr:uid="{BCCA9601-ABEE-4F42-855C-3F8D90184A8B}"/>
    <cellStyle name="Lien hypertexte visite_(to ynm)X11J price breakdown 071017_FY08 March 10 Flash Analysis_FY08 March Outlook (March 11 version)_FY10 Pull Ahead template (Dec 15)_FY10 Pull Ahead template (Jan 27 Consolidate)_v3" xfId="13218" xr:uid="{6EFB2223-4652-4C1A-A4DD-0FFECE50A6EC}"/>
    <cellStyle name="Lien hypertexte visité_(to ynm)X11J price breakdown 071017_FY08 March 10 Flash Analysis_FY08 March Outlook (March 11 version)_FY10 Pull Ahead template (Dec 15)_FY10 Pull Ahead template (Jan 27 Consolidate)_v3" xfId="13219" xr:uid="{EDAA82FE-5009-4287-A15D-266BFA8D42DE}"/>
    <cellStyle name="Lien hypertexte visite_(to ynm)X11J price breakdown 071017_FY08 March 10 Flash Analysis_FY08 March Outlook (March 11 version)_FY10 Pull Ahead template (Dec 15)_FY10 Pull Ahead template (Jan 28 Consolidate)_v1" xfId="13220" xr:uid="{AEAB373D-556A-4040-98E6-7CD4A4A0772D}"/>
    <cellStyle name="Lien hypertexte visité_(to ynm)X11J price breakdown 071017_FY08 March 10 Flash Analysis_FY08 March Outlook (March 11 version)_FY10 Pull Ahead template (Dec 15)_FY10 Pull Ahead template (Jan 28 Consolidate)_v1" xfId="13221" xr:uid="{4BD0056A-B576-4641-96A2-95A606B169BD}"/>
    <cellStyle name="Lien hypertexte visite_(to ynm)X11J price breakdown 071017_FY08 March 10 Flash Analysis_FY08 March Outlook (March 11 version)_FY10 Pull Ahead template (Dec 15)_FY10 Pull Ahead template (Jan 28 Consolidate)_v2" xfId="13222" xr:uid="{572B612C-8276-464F-BF61-6963F58B10D3}"/>
    <cellStyle name="Lien hypertexte visité_(to ynm)X11J price breakdown 071017_FY08 March 10 Flash Analysis_FY08 March Outlook (March 11 version)_FY10 Pull Ahead template (Dec 15)_FY10 Pull Ahead template (Jan 28 Consolidate)_v2" xfId="13223" xr:uid="{E90C1176-70B1-41BA-A22D-501F6625BD49}"/>
    <cellStyle name="Lien hypertexte visite_(to ynm)X11J price breakdown 071017_FY08 March 10 Flash Analysis_FY08 March Outlook (March 11 version)_FY10 Pull Ahead template (Dec 15)_FY10 Pull Ahead template (Jan 29 Consolidate)_v1" xfId="13224" xr:uid="{0FF74B3A-16B9-4304-84BA-99F245044063}"/>
    <cellStyle name="Lien hypertexte visité_(to ynm)X11J price breakdown 071017_FY08 March 10 Flash Analysis_FY08 March Outlook (March 11 version)_FY10 Pull Ahead template (Dec 15)_FY10 Pull Ahead template (Jan 29 Consolidate)_v1" xfId="13225" xr:uid="{F92AFB50-4B00-45B3-8E3D-D66FA76D028B}"/>
    <cellStyle name="Lien hypertexte visite_(to ynm)X11J price breakdown 071017_FY08 March 10 Flash Analysis_FY08 March Outlook (March 11 version)_Periodic ITP Adjustment for NMEX (2)" xfId="13226" xr:uid="{E6EFEEDF-9A91-4FEA-961F-1E9445FFB1BE}"/>
    <cellStyle name="Lien hypertexte visité_(to ynm)X11J price breakdown 071017_FY08 March 10 Flash Analysis_FY08 March Outlook (March 11 version)_Periodic ITP Adjustment for NMEX (2)" xfId="13227" xr:uid="{CBA90E8A-579F-41F1-BFA4-A1CA77D632FB}"/>
    <cellStyle name="Lien hypertexte visite_(to ynm)X11J price breakdown 071017_FY08 March 10 Flash Analysis_FY10 Pull Ahead template (Dec 15)" xfId="13228" xr:uid="{2654E425-CEB8-4F3A-BE99-791645781100}"/>
    <cellStyle name="Lien hypertexte visité_(to ynm)X11J price breakdown 071017_FY08 March 10 Flash Analysis_FY10 Pull Ahead template (Dec 15)" xfId="13229" xr:uid="{813C499A-6D51-4806-A156-D716BCDD1F37}"/>
    <cellStyle name="Lien hypertexte visite_(to ynm)X11J price breakdown 071017_FY08 March 10 Flash Analysis_FY10 Pull Ahead template (Dec 15)_FY10 Pull Ahead template (Dec 16 Consolidate)" xfId="13230" xr:uid="{029CEDC7-3AB3-43F3-9A5F-4A89AEF1FFC8}"/>
    <cellStyle name="Lien hypertexte visité_(to ynm)X11J price breakdown 071017_FY08 March 10 Flash Analysis_FY10 Pull Ahead template (Dec 15)_FY10 Pull Ahead template (Dec 16 Consolidate)" xfId="13231" xr:uid="{BA9E6109-620F-4F5F-A285-1AC09277A8C9}"/>
    <cellStyle name="Lien hypertexte visite_(to ynm)X11J price breakdown 071017_FY08 March 10 Flash Analysis_FY10 Pull Ahead template (Dec 15)_FY10 Pull Ahead template (Dec 16 Consolidate)v2 (2)" xfId="13232" xr:uid="{E954362C-B5FA-4718-87D9-EA1EDA3EBE98}"/>
    <cellStyle name="Lien hypertexte visité_(to ynm)X11J price breakdown 071017_FY08 March 10 Flash Analysis_FY10 Pull Ahead template (Dec 15)_FY10 Pull Ahead template (Dec 16 Consolidate)v2 (2)" xfId="13233" xr:uid="{AC50B909-F7BC-463A-891F-395F27690350}"/>
    <cellStyle name="Lien hypertexte visite_(to ynm)X11J price breakdown 071017_FY08 March 10 Flash Analysis_FY10 Pull Ahead template (Dec 15)_FY10 Pull Ahead template (Jan 15 Consolidate)" xfId="13234" xr:uid="{14AC8A70-ECB6-40E9-824E-22720B08B53A}"/>
    <cellStyle name="Lien hypertexte visité_(to ynm)X11J price breakdown 071017_FY08 March 10 Flash Analysis_FY10 Pull Ahead template (Dec 15)_FY10 Pull Ahead template (Jan 15 Consolidate)" xfId="13235" xr:uid="{3ADC59B2-3F75-435D-9C38-868D5A19D19D}"/>
    <cellStyle name="Lien hypertexte visite_(to ynm)X11J price breakdown 071017_FY08 March 10 Flash Analysis_FY10 Pull Ahead template (Dec 15)_FY10 Pull Ahead template (Jan 18 Consolidate)_v3" xfId="13236" xr:uid="{8EBC2146-B23D-417B-A032-9EC74DC0B407}"/>
    <cellStyle name="Lien hypertexte visité_(to ynm)X11J price breakdown 071017_FY08 March 10 Flash Analysis_FY10 Pull Ahead template (Dec 15)_FY10 Pull Ahead template (Jan 18 Consolidate)_v3" xfId="13237" xr:uid="{EB8BAFB2-AE07-4FD0-8CFE-4D1EDC7FBD9A}"/>
    <cellStyle name="Lien hypertexte visite_(to ynm)X11J price breakdown 071017_FY08 March 10 Flash Analysis_FY10 Pull Ahead template (Dec 15)_FY10 Pull Ahead template (Jan 19 Consolidate)_v2 (Europe)" xfId="13238" xr:uid="{0292F67D-E1C7-49E2-9F18-5A241D2B9AA3}"/>
    <cellStyle name="Lien hypertexte visité_(to ynm)X11J price breakdown 071017_FY08 March 10 Flash Analysis_FY10 Pull Ahead template (Dec 15)_FY10 Pull Ahead template (Jan 19 Consolidate)_v2 (Europe)" xfId="13239" xr:uid="{EE31F94C-DE4C-4DE2-A582-1C8834834A0F}"/>
    <cellStyle name="Lien hypertexte visite_(to ynm)X11J price breakdown 071017_FY08 March 10 Flash Analysis_FY10 Pull Ahead template (Dec 15)_FY10 Pull Ahead template (Jan 27 Consolidate)_v3" xfId="13240" xr:uid="{43066B54-B15F-4124-B4D4-C018F994B983}"/>
    <cellStyle name="Lien hypertexte visité_(to ynm)X11J price breakdown 071017_FY08 March 10 Flash Analysis_FY10 Pull Ahead template (Dec 15)_FY10 Pull Ahead template (Jan 27 Consolidate)_v3" xfId="13241" xr:uid="{65636EC9-91B0-4FEC-8E25-580F6E83731C}"/>
    <cellStyle name="Lien hypertexte visite_(to ynm)X11J price breakdown 071017_FY08 March 10 Flash Analysis_FY10 Pull Ahead template (Dec 15)_FY10 Pull Ahead template (Jan 28 Consolidate)_v1" xfId="13242" xr:uid="{42C4D494-6D1D-4696-BB29-730E1F6F60B5}"/>
    <cellStyle name="Lien hypertexte visité_(to ynm)X11J price breakdown 071017_FY08 March 10 Flash Analysis_FY10 Pull Ahead template (Dec 15)_FY10 Pull Ahead template (Jan 28 Consolidate)_v1" xfId="13243" xr:uid="{5E16F9B2-F2AA-417E-9F9C-8FED6BFC7AB2}"/>
    <cellStyle name="Lien hypertexte visite_(to ynm)X11J price breakdown 071017_FY08 March 10 Flash Analysis_FY10 Pull Ahead template (Dec 15)_FY10 Pull Ahead template (Jan 28 Consolidate)_v2" xfId="13244" xr:uid="{D230196B-B63A-4A0B-B143-1F0F5AEA25C2}"/>
    <cellStyle name="Lien hypertexte visité_(to ynm)X11J price breakdown 071017_FY08 March 10 Flash Analysis_FY10 Pull Ahead template (Dec 15)_FY10 Pull Ahead template (Jan 28 Consolidate)_v2" xfId="13245" xr:uid="{7106DB60-3208-43E1-B6F6-D65581D86C5D}"/>
    <cellStyle name="Lien hypertexte visite_(to ynm)X11J price breakdown 071017_FY08 March 10 Flash Analysis_FY10 Pull Ahead template (Dec 15)_FY10 Pull Ahead template (Jan 29 Consolidate)_v1" xfId="13246" xr:uid="{854C5FE1-A6CD-4518-8276-43A676114B54}"/>
    <cellStyle name="Lien hypertexte visité_(to ynm)X11J price breakdown 071017_FY08 March 10 Flash Analysis_FY10 Pull Ahead template (Dec 15)_FY10 Pull Ahead template (Jan 29 Consolidate)_v1" xfId="13247" xr:uid="{6FA7B722-23F8-4317-9B57-7F6121304B58}"/>
    <cellStyle name="Lien hypertexte visite_(to ynm)X11J price breakdown 071017_FY08 March 10 Flash Analysis_Periodic ITP Adjustment for NMEX (2)" xfId="13248" xr:uid="{A62E7918-80D8-4E14-8B91-05757D5F3E13}"/>
    <cellStyle name="Lien hypertexte visité_(to ynm)X11J price breakdown 071017_FY08 March 10 Flash Analysis_Periodic ITP Adjustment for NMEX (2)" xfId="13249" xr:uid="{57DEABA5-4B75-442C-955D-9A440F594333}"/>
    <cellStyle name="Lien hypertexte visite_(to ynm)X11J price breakdown 071017_FY10 Pull Ahead template (Dec 15)" xfId="13250" xr:uid="{7F933CD4-2A70-49B0-A909-FBC5D9BDDDAF}"/>
    <cellStyle name="Lien hypertexte visité_(to ynm)X11J price breakdown 071017_FY10 Pull Ahead template (Dec 15)" xfId="13251" xr:uid="{295D0271-7D32-48B5-958F-79C24619EF58}"/>
    <cellStyle name="Lien hypertexte visite_(to ynm)X11J price breakdown 071017_FY10 Pull Ahead template (Dec 15)_FY10 Pull Ahead template (Dec 16 Consolidate)" xfId="13252" xr:uid="{7FDA217E-E0EB-4FF9-9BBE-3CB763674825}"/>
    <cellStyle name="Lien hypertexte visité_(to ynm)X11J price breakdown 071017_FY10 Pull Ahead template (Dec 15)_FY10 Pull Ahead template (Dec 16 Consolidate)" xfId="13253" xr:uid="{7FDD1CA5-452D-4263-98C2-B5B751960DFF}"/>
    <cellStyle name="Lien hypertexte visite_(to ynm)X11J price breakdown 071017_FY10 Pull Ahead template (Dec 15)_FY10 Pull Ahead template (Dec 16 Consolidate)v2 (2)" xfId="13254" xr:uid="{11868DEB-015A-41E4-AA14-7E6736F8930B}"/>
    <cellStyle name="Lien hypertexte visité_(to ynm)X11J price breakdown 071017_FY10 Pull Ahead template (Dec 15)_FY10 Pull Ahead template (Dec 16 Consolidate)v2 (2)" xfId="13255" xr:uid="{81BB2400-178E-40FE-9D1A-060FABAC46E6}"/>
    <cellStyle name="Lien hypertexte visite_(to ynm)X11J price breakdown 071017_FY10 Pull Ahead template (Dec 15)_FY10 Pull Ahead template (Jan 15 Consolidate)" xfId="13256" xr:uid="{CBD378DD-DD3A-4372-9743-26DCA8D88A7D}"/>
    <cellStyle name="Lien hypertexte visité_(to ynm)X11J price breakdown 071017_FY10 Pull Ahead template (Dec 15)_FY10 Pull Ahead template (Jan 15 Consolidate)" xfId="13257" xr:uid="{B2EC21C2-CCDC-416E-B689-8BDDF216AEE1}"/>
    <cellStyle name="Lien hypertexte visite_(to ynm)X11J price breakdown 071017_FY10 Pull Ahead template (Dec 15)_FY10 Pull Ahead template (Jan 18 Consolidate)_v3" xfId="13258" xr:uid="{7D64FBCF-4F6D-4F6E-BA98-9681FE1B956E}"/>
    <cellStyle name="Lien hypertexte visité_(to ynm)X11J price breakdown 071017_FY10 Pull Ahead template (Dec 15)_FY10 Pull Ahead template (Jan 18 Consolidate)_v3" xfId="13259" xr:uid="{8F57D29E-FB24-4E75-9DA5-A2DBF104B59B}"/>
    <cellStyle name="Lien hypertexte visite_(to ynm)X11J price breakdown 071017_FY10 Pull Ahead template (Dec 15)_FY10 Pull Ahead template (Jan 19 Consolidate)_v2 (Europe)" xfId="13260" xr:uid="{7CF0408C-8C67-4541-A3F8-3EE7AA6BC1AD}"/>
    <cellStyle name="Lien hypertexte visité_(to ynm)X11J price breakdown 071017_FY10 Pull Ahead template (Dec 15)_FY10 Pull Ahead template (Jan 19 Consolidate)_v2 (Europe)" xfId="13261" xr:uid="{D507E46A-F285-4C44-A768-E85205CDC31C}"/>
    <cellStyle name="Lien hypertexte visite_(to ynm)X11J price breakdown 071017_FY10 Pull Ahead template (Dec 15)_FY10 Pull Ahead template (Jan 27 Consolidate)_v3" xfId="13262" xr:uid="{A581A68F-9D45-49BD-8FA2-B8CB08899D27}"/>
    <cellStyle name="Lien hypertexte visité_(to ynm)X11J price breakdown 071017_FY10 Pull Ahead template (Dec 15)_FY10 Pull Ahead template (Jan 27 Consolidate)_v3" xfId="13263" xr:uid="{567DCB79-FC1A-4982-AC55-E9100D49A02D}"/>
    <cellStyle name="Lien hypertexte visite_(to ynm)X11J price breakdown 071017_FY10 Pull Ahead template (Dec 15)_FY10 Pull Ahead template (Jan 28 Consolidate)_v1" xfId="13264" xr:uid="{E2BEFA9D-DF53-4379-9660-9711BFA7E3B4}"/>
    <cellStyle name="Lien hypertexte visité_(to ynm)X11J price breakdown 071017_FY10 Pull Ahead template (Dec 15)_FY10 Pull Ahead template (Jan 28 Consolidate)_v1" xfId="13265" xr:uid="{48B24C5C-2F51-4AFD-B4B8-F9F3E271645D}"/>
    <cellStyle name="Lien hypertexte visite_(to ynm)X11J price breakdown 071017_FY10 Pull Ahead template (Dec 15)_FY10 Pull Ahead template (Jan 28 Consolidate)_v2" xfId="13266" xr:uid="{9DD114BC-15BD-46DB-9E50-2BCA66606CAE}"/>
    <cellStyle name="Lien hypertexte visité_(to ynm)X11J price breakdown 071017_FY10 Pull Ahead template (Dec 15)_FY10 Pull Ahead template (Jan 28 Consolidate)_v2" xfId="13267" xr:uid="{1B48A469-7ADB-4F8B-BD0A-5B5D01F4A377}"/>
    <cellStyle name="Lien hypertexte visite_(to ynm)X11J price breakdown 071017_FY10 Pull Ahead template (Dec 15)_FY10 Pull Ahead template (Jan 29 Consolidate)_v1" xfId="13268" xr:uid="{1EDA5272-1A91-4B9E-8EAD-0D4AA3A758E8}"/>
    <cellStyle name="Lien hypertexte visité_(to ynm)X11J price breakdown 071017_FY10 Pull Ahead template (Dec 15)_FY10 Pull Ahead template (Jan 29 Consolidate)_v1" xfId="13269" xr:uid="{A98F6886-D0E2-4478-8461-866F0C5ECD88}"/>
    <cellStyle name="Lien hypertexte visite_(to ynm)X11J price breakdown 071017_Periodic ITP Adjustment for NMEX (2)" xfId="13270" xr:uid="{CED9764E-8589-435D-B0C6-64107F522BF0}"/>
    <cellStyle name="Lien hypertexte visité_(to ynm)X11J price breakdown 071017_Periodic ITP Adjustment for NMEX (2)" xfId="13271" xr:uid="{8E60A4F2-BAAB-4F5F-8A3F-C56329F76E84}"/>
    <cellStyle name="Lien hypertexte visite_03MayX11C_ASR_050618H61BTStep2_3Contract_PPMwork8" xfId="13272" xr:uid="{FCB8AB99-C399-4F14-8956-34E9BA633169}"/>
    <cellStyle name="Lien hypertexte visité_03MayX11C_ASR_050618H61BTStep2_3Contract_PPMwork8" xfId="13273" xr:uid="{2206A044-993C-4DCE-B18B-157E6F8A7653}"/>
    <cellStyle name="Lien hypertexte visite_03MayX11C_ASR_050618H61BTStep2_3Contract_PPMwork8_ITP _D22LCVNNZCOP090612" xfId="13274" xr:uid="{4C3116D4-90EE-4B39-9374-7F8EB04C3A62}"/>
    <cellStyle name="Lien hypertexte visité_03MayX11C_ASR_050618H61BTStep2_3Contract_PPMwork8_ITP _D22LCVNNZCOP090612" xfId="13275" xr:uid="{E0C64ECE-5DC6-4CEB-93D4-A7252DB8E425}"/>
    <cellStyle name="Lien hypertexte visite_03MayX11C_ASR_050618H61BTStep2_3Contract_PPMwork8_ITP _D40 090115 (MP_BP09)" xfId="13276" xr:uid="{4E65994E-2B28-4F4A-A5AA-A6AAFB66B5DA}"/>
    <cellStyle name="Lien hypertexte visité_03MayX11C_ASR_050618H61BTStep2_3Contract_PPMwork8_ITP _D40 090115 (MP_BP09)" xfId="13277" xr:uid="{41E17FD6-BCC3-40F9-AF92-B68DD80B0466}"/>
    <cellStyle name="Lien hypertexte visite_03MayX11C_ASR_050627work12PPM1" xfId="13278" xr:uid="{99A06492-20CF-410C-83CF-5E9EAF66128E}"/>
    <cellStyle name="Lien hypertexte visité_03MayX11C_ASR_050627work12PPM1" xfId="13279" xr:uid="{50507E0C-C5AD-4B18-8839-40599C3FF5DB}"/>
    <cellStyle name="Lien hypertexte visite_03MayX11C_ASR_050627work12PPM1_ITP _D22LCVNNZCOP090612" xfId="13280" xr:uid="{72088912-AFD5-48C2-8B35-5BB74808E531}"/>
    <cellStyle name="Lien hypertexte visité_03MayX11C_ASR_050627work12PPM1_ITP _D22LCVNNZCOP090612" xfId="13281" xr:uid="{9651E5BE-7AD5-4478-8291-0AD3CCA79138}"/>
    <cellStyle name="Lien hypertexte visite_03MayX11C_ASR_050627work12PPM1_ITP _D40 090115 (MP_BP09)" xfId="13282" xr:uid="{86EE3FCA-14DD-475B-A980-D73DFE148C55}"/>
    <cellStyle name="Lien hypertexte visité_03MayX11C_ASR_050627work12PPM1_ITP _D40 090115 (MP_BP09)" xfId="13283" xr:uid="{29408516-1B66-4C2F-BC1F-ADFD31AAFFA5}"/>
    <cellStyle name="Lien hypertexte visite_03MayX11C_ASR_draft11" xfId="13284" xr:uid="{AC0E6858-C817-46E2-B459-713C5D52BE8B}"/>
    <cellStyle name="Lien hypertexte visité_03MayX11C_ASR_draft11" xfId="13285" xr:uid="{37FAD20F-AF8C-4DB2-9D72-776509C294F3}"/>
    <cellStyle name="Lien hypertexte visite_03MayX11C_ASR_draft11_050618H61BTStep2_3Contract_PPMwork8" xfId="13286" xr:uid="{A9826FB5-92FE-47B7-BCA5-E6535410AB2E}"/>
    <cellStyle name="Lien hypertexte visité_03MayX11C_ASR_draft11_050618H61BTStep2_3Contract_PPMwork8" xfId="13287" xr:uid="{5678A1FA-34FD-4C4D-B195-EA2232413F8D}"/>
    <cellStyle name="Lien hypertexte visite_03MayX11C_ASR_draft11_050618H61BTStep2_3Contract_PPMwork8_ITP _D22LCVNNZCOP090612" xfId="13288" xr:uid="{9B1A8B6A-B61C-462F-8006-E113D8DF87E0}"/>
    <cellStyle name="Lien hypertexte visité_03MayX11C_ASR_draft11_050618H61BTStep2_3Contract_PPMwork8_ITP _D22LCVNNZCOP090612" xfId="13289" xr:uid="{4F5A33E0-A256-4C50-94EA-3CB1DAAB0B10}"/>
    <cellStyle name="Lien hypertexte visite_03MayX11C_ASR_draft11_050618H61BTStep2_3Contract_PPMwork8_ITP _D40 090115 (MP_BP09)" xfId="13290" xr:uid="{D7752FEE-B5B1-4404-AAA3-F241FFB6B176}"/>
    <cellStyle name="Lien hypertexte visité_03MayX11C_ASR_draft11_050618H61BTStep2_3Contract_PPMwork8_ITP _D40 090115 (MP_BP09)" xfId="13291" xr:uid="{C19FD556-9791-4180-ACC1-BEA6416B93B0}"/>
    <cellStyle name="Lien hypertexte visite_03MayX11C_ASR_draft11_050627work12PPM1" xfId="13292" xr:uid="{15114AE9-6BA5-44A5-9224-EE28C1B958EE}"/>
    <cellStyle name="Lien hypertexte visité_03MayX11C_ASR_draft11_050627work12PPM1" xfId="13293" xr:uid="{69570667-B73F-4A2C-BC73-D4004F221797}"/>
    <cellStyle name="Lien hypertexte visite_03MayX11C_ASR_draft11_050627work12PPM1_ITP _D22LCVNNZCOP090612" xfId="13294" xr:uid="{93AA66DB-BA9C-4591-9C8A-057DE6851985}"/>
    <cellStyle name="Lien hypertexte visité_03MayX11C_ASR_draft11_050627work12PPM1_ITP _D22LCVNNZCOP090612" xfId="13295" xr:uid="{6BC1B105-B29D-409C-BB65-F34DB1FF3B6F}"/>
    <cellStyle name="Lien hypertexte visite_03MayX11C_ASR_draft11_050627work12PPM1_ITP _D40 090115 (MP_BP09)" xfId="13296" xr:uid="{946B6787-5450-47E7-BA06-DAEF88ACB062}"/>
    <cellStyle name="Lien hypertexte visité_03MayX11C_ASR_draft11_050627work12PPM1_ITP _D40 090115 (MP_BP09)" xfId="13297" xr:uid="{650F368C-7E5B-4394-B1EB-D2D8F8BF2B78}"/>
    <cellStyle name="Lien hypertexte visite_03MayX11C_ASR_draft11_draft11-1VM_eurocomparisonwithC1dele" xfId="13298" xr:uid="{55B0AF38-FCE5-4E36-A15B-BFB3293B8E60}"/>
    <cellStyle name="Lien hypertexte visité_03MayX11C_ASR_draft11_draft11-1VM_eurocomparisonwithC1dele" xfId="13299" xr:uid="{E725A9F3-3215-45DD-AFE9-EAC85FCE37B5}"/>
    <cellStyle name="Lien hypertexte visite_03MayX11C_ASR_draft11_draft11-1VM_eurocomparisonwithC1dele_050618H61BTStep2_3Contract_PPMwork8" xfId="13300" xr:uid="{158452E0-CFE9-4A52-8CA3-3848734DA9E6}"/>
    <cellStyle name="Lien hypertexte visité_03MayX11C_ASR_draft11_draft11-1VM_eurocomparisonwithC1dele_050618H61BTStep2_3Contract_PPMwork8" xfId="13301" xr:uid="{120931AD-1E03-4DBD-8B4F-E6EB3D3855E1}"/>
    <cellStyle name="Lien hypertexte visite_03MayX11C_ASR_draft11_draft11-1VM_eurocomparisonwithC1dele_050618H61BTStep2_3Contract_PPMwork8_ITP _D22LCVNNZCOP090612" xfId="13302" xr:uid="{DB42F3BF-2DB0-4B0E-92A4-D4FBCE3EECF4}"/>
    <cellStyle name="Lien hypertexte visité_03MayX11C_ASR_draft11_draft11-1VM_eurocomparisonwithC1dele_050618H61BTStep2_3Contract_PPMwork8_ITP _D22LCVNNZCOP090612" xfId="13303" xr:uid="{C36E612A-C718-4D30-8E1D-06535005CBC7}"/>
    <cellStyle name="Lien hypertexte visite_03MayX11C_ASR_draft11_draft11-1VM_eurocomparisonwithC1dele_050618H61BTStep2_3Contract_PPMwork8_ITP _D40 090115 (MP_BP09)" xfId="13304" xr:uid="{E0AFC36B-3B1F-4E7F-A612-EDFA78650BEB}"/>
    <cellStyle name="Lien hypertexte visité_03MayX11C_ASR_draft11_draft11-1VM_eurocomparisonwithC1dele_050618H61BTStep2_3Contract_PPMwork8_ITP _D40 090115 (MP_BP09)" xfId="13305" xr:uid="{96632411-88C6-49E1-81CC-6C367E27A4AE}"/>
    <cellStyle name="Lien hypertexte visite_03MayX11C_ASR_draft11_draft11-1VM_eurocomparisonwithC1dele_050627work12PPM1" xfId="13306" xr:uid="{2EE0D249-9BCA-4B16-993C-9A083AF97D6D}"/>
    <cellStyle name="Lien hypertexte visité_03MayX11C_ASR_draft11_draft11-1VM_eurocomparisonwithC1dele_050627work12PPM1" xfId="13307" xr:uid="{D8BF5FBA-A80E-4315-9080-17105340C2AA}"/>
    <cellStyle name="Lien hypertexte visite_03MayX11C_ASR_draft11_draft11-1VM_eurocomparisonwithC1dele_050627work12PPM1_ITP _D22LCVNNZCOP090612" xfId="13308" xr:uid="{DC8A185B-936B-42F6-BCDA-6BEFB9249A76}"/>
    <cellStyle name="Lien hypertexte visité_03MayX11C_ASR_draft11_draft11-1VM_eurocomparisonwithC1dele_050627work12PPM1_ITP _D22LCVNNZCOP090612" xfId="13309" xr:uid="{F74809C6-2B09-42B3-955F-B11F69CFEA33}"/>
    <cellStyle name="Lien hypertexte visite_03MayX11C_ASR_draft11_draft11-1VM_eurocomparisonwithC1dele_050627work12PPM1_ITP _D40 090115 (MP_BP09)" xfId="13310" xr:uid="{BB018301-B9C6-4F76-BA46-E17F68D24159}"/>
    <cellStyle name="Lien hypertexte visité_03MayX11C_ASR_draft11_draft11-1VM_eurocomparisonwithC1dele_050627work12PPM1_ITP _D40 090115 (MP_BP09)" xfId="13311" xr:uid="{EC092824-F1CC-4B0F-9A43-7E82764757D8}"/>
    <cellStyle name="Lien hypertexte visite_03MayX11C_ASR_draft11_draft11-1VM_eurocomparisonwithC1dele_ITP _D22LCVNNZCOP090612" xfId="13312" xr:uid="{3726C6A4-BDEC-4267-821C-3B179272FF02}"/>
    <cellStyle name="Lien hypertexte visité_03MayX11C_ASR_draft11_draft11-1VM_eurocomparisonwithC1dele_ITP _D22LCVNNZCOP090612" xfId="13313" xr:uid="{57296A9C-8184-46F1-8BCA-111CC058E9AF}"/>
    <cellStyle name="Lien hypertexte visite_03MayX11C_ASR_draft11_draft11-1VM_eurocomparisonwithC1dele_ITP _D40 090115 (MP_BP09)" xfId="13314" xr:uid="{1FFD70BC-50E9-4CF3-84CC-8CBE591C2E3A}"/>
    <cellStyle name="Lien hypertexte visité_03MayX11C_ASR_draft11_draft11-1VM_eurocomparisonwithC1dele_ITP _D40 090115 (MP_BP09)" xfId="13315" xr:uid="{7ADEEDD6-D116-4353-B0D7-A01D6635012B}"/>
    <cellStyle name="Lien hypertexte visite_03MayX11C_ASR_draft11_ITP _D22LCVNNZCOP090612" xfId="13316" xr:uid="{B9DF2007-C092-4759-9EED-7D64FE376F13}"/>
    <cellStyle name="Lien hypertexte visité_03MayX11C_ASR_draft11_ITP _D22LCVNNZCOP090612" xfId="13317" xr:uid="{D53205D5-DAD2-46B1-8E60-0C3D27A4E151}"/>
    <cellStyle name="Lien hypertexte visite_03MayX11C_ASR_draft11_ITP _D40 090115 (MP_BP09)" xfId="13318" xr:uid="{07BF2AA0-CDB5-4F6F-8EB4-59F2E6B56FEB}"/>
    <cellStyle name="Lien hypertexte visité_03MayX11C_ASR_draft11_ITP _D40 090115 (MP_BP09)" xfId="13319" xr:uid="{E22CECB5-8FCE-43E5-AD34-4CE2A0C412EE}"/>
    <cellStyle name="Lien hypertexte visite_03MayX11C_ASR_draft11-1VM_eurocomparison" xfId="13320" xr:uid="{695537AE-C5C7-48EA-B2D5-88B37ECD60BA}"/>
    <cellStyle name="Lien hypertexte visité_03MayX11C_ASR_draft11-1VM_eurocomparison" xfId="13321" xr:uid="{BAB6A648-984C-4C4F-8FD8-C36D4627D315}"/>
    <cellStyle name="Lien hypertexte visite_03MayX11C_ASR_draft11-1VM_eurocomparison_050618H61BTStep2_3Contract_PPMwork8" xfId="13322" xr:uid="{828655A1-3251-4BD7-B45D-1D458B455220}"/>
    <cellStyle name="Lien hypertexte visité_03MayX11C_ASR_draft11-1VM_eurocomparison_050618H61BTStep2_3Contract_PPMwork8" xfId="13323" xr:uid="{DA786C62-E84F-4991-AC8B-C3F46617F4F8}"/>
    <cellStyle name="Lien hypertexte visite_03MayX11C_ASR_draft11-1VM_eurocomparison_050618H61BTStep2_3Contract_PPMwork8_ITP _D22LCVNNZCOP090612" xfId="13324" xr:uid="{4D24BE16-D133-47CC-9934-43B5CA30AB03}"/>
    <cellStyle name="Lien hypertexte visité_03MayX11C_ASR_draft11-1VM_eurocomparison_050618H61BTStep2_3Contract_PPMwork8_ITP _D22LCVNNZCOP090612" xfId="13325" xr:uid="{CE407578-FE61-49F7-97DF-DCAE5FF1D284}"/>
    <cellStyle name="Lien hypertexte visite_03MayX11C_ASR_draft11-1VM_eurocomparison_050618H61BTStep2_3Contract_PPMwork8_ITP _D40 090115 (MP_BP09)" xfId="13326" xr:uid="{BB539AFF-E6DA-4FF8-A615-2C7577C22D8B}"/>
    <cellStyle name="Lien hypertexte visité_03MayX11C_ASR_draft11-1VM_eurocomparison_050618H61BTStep2_3Contract_PPMwork8_ITP _D40 090115 (MP_BP09)" xfId="13327" xr:uid="{F5BC5967-C18F-4FCF-B75B-5F4342E4710A}"/>
    <cellStyle name="Lien hypertexte visite_03MayX11C_ASR_draft11-1VM_eurocomparison_050627work12PPM1" xfId="13328" xr:uid="{3B87777E-9398-45EF-9EFA-2E7865EDD6C2}"/>
    <cellStyle name="Lien hypertexte visité_03MayX11C_ASR_draft11-1VM_eurocomparison_050627work12PPM1" xfId="13329" xr:uid="{5283B063-AAAB-48C9-B0B0-3CDAA66E8321}"/>
    <cellStyle name="Lien hypertexte visite_03MayX11C_ASR_draft11-1VM_eurocomparison_050627work12PPM1_ITP _D22LCVNNZCOP090612" xfId="13330" xr:uid="{E74BE59C-4D8B-459D-96DC-1E2C57E44AA9}"/>
    <cellStyle name="Lien hypertexte visité_03MayX11C_ASR_draft11-1VM_eurocomparison_050627work12PPM1_ITP _D22LCVNNZCOP090612" xfId="13331" xr:uid="{BD0C8A33-A213-4F78-B937-475B944913CA}"/>
    <cellStyle name="Lien hypertexte visite_03MayX11C_ASR_draft11-1VM_eurocomparison_050627work12PPM1_ITP _D40 090115 (MP_BP09)" xfId="13332" xr:uid="{CFDB90EA-2B87-4385-932F-5B5C34752FC6}"/>
    <cellStyle name="Lien hypertexte visité_03MayX11C_ASR_draft11-1VM_eurocomparison_050627work12PPM1_ITP _D40 090115 (MP_BP09)" xfId="13333" xr:uid="{FB8C5E92-0506-4C79-9287-1023D2C301C4}"/>
    <cellStyle name="Lien hypertexte visite_03MayX11C_ASR_draft11-1VM_eurocomparison_ITP _D22LCVNNZCOP090612" xfId="13334" xr:uid="{4EB5B55F-F0EA-46B4-A6C8-15B54DAD20D6}"/>
    <cellStyle name="Lien hypertexte visité_03MayX11C_ASR_draft11-1VM_eurocomparison_ITP _D22LCVNNZCOP090612" xfId="13335" xr:uid="{80064213-5004-4CF7-8684-76868FE9E1A7}"/>
    <cellStyle name="Lien hypertexte visite_03MayX11C_ASR_draft11-1VM_eurocomparison_ITP _D40 090115 (MP_BP09)" xfId="13336" xr:uid="{AC6D989F-0B10-4996-A831-2A1F79EF9937}"/>
    <cellStyle name="Lien hypertexte visité_03MayX11C_ASR_draft11-1VM_eurocomparison_ITP _D40 090115 (MP_BP09)" xfId="13337" xr:uid="{8CA0826B-C72D-42CC-957B-BCBF027B517D}"/>
    <cellStyle name="Lien hypertexte visite_03MayX11C_ASR_draft11-1VM_eurocomparisonwithC1dele" xfId="13338" xr:uid="{1C092AEA-0148-4BE5-863D-2ABB1A4BDF48}"/>
    <cellStyle name="Lien hypertexte visité_03MayX11C_ASR_draft11-1VM_eurocomparisonwithC1dele" xfId="13339" xr:uid="{2C9B7DF5-5F3A-46BA-8162-1050B27B6A7B}"/>
    <cellStyle name="Lien hypertexte visite_03MayX11C_ASR_draft11-1VM_eurocomparisonwithC1dele_050618H61BTStep2_3Contract_PPMwork8" xfId="13340" xr:uid="{50E8F208-4702-426E-9A0B-E00B1BD0B3EB}"/>
    <cellStyle name="Lien hypertexte visité_03MayX11C_ASR_draft11-1VM_eurocomparisonwithC1dele_050618H61BTStep2_3Contract_PPMwork8" xfId="13341" xr:uid="{A9A72384-80C6-41E8-839C-445921C22681}"/>
    <cellStyle name="Lien hypertexte visite_03MayX11C_ASR_draft11-1VM_eurocomparisonwithC1dele_050618H61BTStep2_3Contract_PPMwork8_ITP _D22LCVNNZCOP090612" xfId="13342" xr:uid="{6011CEE4-E3FA-48B2-9C13-04DAEABB41D9}"/>
    <cellStyle name="Lien hypertexte visité_03MayX11C_ASR_draft11-1VM_eurocomparisonwithC1dele_050618H61BTStep2_3Contract_PPMwork8_ITP _D22LCVNNZCOP090612" xfId="13343" xr:uid="{2CD62C39-970E-4CF1-A446-52908A864171}"/>
    <cellStyle name="Lien hypertexte visite_03MayX11C_ASR_draft11-1VM_eurocomparisonwithC1dele_050618H61BTStep2_3Contract_PPMwork8_ITP _D40 090115 (MP_BP09)" xfId="13344" xr:uid="{CEB7A7B8-7DA0-44D9-BB56-73E19904A796}"/>
    <cellStyle name="Lien hypertexte visité_03MayX11C_ASR_draft11-1VM_eurocomparisonwithC1dele_050618H61BTStep2_3Contract_PPMwork8_ITP _D40 090115 (MP_BP09)" xfId="13345" xr:uid="{EAFACC0C-97D1-408A-A043-26D4C92100B6}"/>
    <cellStyle name="Lien hypertexte visite_03MayX11C_ASR_draft11-1VM_eurocomparisonwithC1dele_050627work12PPM1" xfId="13346" xr:uid="{16FC98F5-E759-4489-B527-6D4CFEC3DD31}"/>
    <cellStyle name="Lien hypertexte visité_03MayX11C_ASR_draft11-1VM_eurocomparisonwithC1dele_050627work12PPM1" xfId="13347" xr:uid="{0DC1F096-9D1F-4848-9DF6-5802CEB57639}"/>
    <cellStyle name="Lien hypertexte visite_03MayX11C_ASR_draft11-1VM_eurocomparisonwithC1dele_050627work12PPM1_ITP _D22LCVNNZCOP090612" xfId="13348" xr:uid="{CCA54576-7193-449D-8497-9440B10B1A43}"/>
    <cellStyle name="Lien hypertexte visité_03MayX11C_ASR_draft11-1VM_eurocomparisonwithC1dele_050627work12PPM1_ITP _D22LCVNNZCOP090612" xfId="13349" xr:uid="{B6F2B4FD-0DB7-4366-BE12-226E9DABC18C}"/>
    <cellStyle name="Lien hypertexte visite_03MayX11C_ASR_draft11-1VM_eurocomparisonwithC1dele_050627work12PPM1_ITP _D40 090115 (MP_BP09)" xfId="13350" xr:uid="{0D750B00-8AD8-4407-A15C-6315B4D543E6}"/>
    <cellStyle name="Lien hypertexte visité_03MayX11C_ASR_draft11-1VM_eurocomparisonwithC1dele_050627work12PPM1_ITP _D40 090115 (MP_BP09)" xfId="13351" xr:uid="{488E37BD-CEE9-480D-B231-CC1E6ABB8347}"/>
    <cellStyle name="Lien hypertexte visite_03MayX11C_ASR_draft11-1VM_eurocomparisonwithC1dele_1" xfId="13352" xr:uid="{AB3AD886-9B4E-4536-B180-DE5E45419EAC}"/>
    <cellStyle name="Lien hypertexte visité_03MayX11C_ASR_draft11-1VM_eurocomparisonwithC1dele_1" xfId="13353" xr:uid="{6410D249-9FAD-47B5-900C-7E522FFB2907}"/>
    <cellStyle name="Lien hypertexte visite_03MayX11C_ASR_draft11-1VM_eurocomparisonwithC1dele_1_050618H61BTStep2_3Contract_PPMwork8" xfId="13354" xr:uid="{2F2FFDA5-50B2-4F83-A5A8-8B2CB13C32BF}"/>
    <cellStyle name="Lien hypertexte visité_03MayX11C_ASR_draft11-1VM_eurocomparisonwithC1dele_1_050618H61BTStep2_3Contract_PPMwork8" xfId="13355" xr:uid="{9CB859B1-110E-4E3C-929F-A3221604D007}"/>
    <cellStyle name="Lien hypertexte visite_03MayX11C_ASR_draft11-1VM_eurocomparisonwithC1dele_1_050618H61BTStep2_3Contract_PPMwork8_ITP _D22LCVNNZCOP090612" xfId="13356" xr:uid="{D8A6C57C-7E8E-4836-B0A3-4487567DB4CB}"/>
    <cellStyle name="Lien hypertexte visité_03MayX11C_ASR_draft11-1VM_eurocomparisonwithC1dele_1_050618H61BTStep2_3Contract_PPMwork8_ITP _D22LCVNNZCOP090612" xfId="13357" xr:uid="{F22B0BE3-B672-46E8-8444-06403513D0FE}"/>
    <cellStyle name="Lien hypertexte visite_03MayX11C_ASR_draft11-1VM_eurocomparisonwithC1dele_1_050618H61BTStep2_3Contract_PPMwork8_ITP _D40 090115 (MP_BP09)" xfId="13358" xr:uid="{719668F9-66BC-4620-988B-7B5B2AB1F64D}"/>
    <cellStyle name="Lien hypertexte visité_03MayX11C_ASR_draft11-1VM_eurocomparisonwithC1dele_1_050618H61BTStep2_3Contract_PPMwork8_ITP _D40 090115 (MP_BP09)" xfId="13359" xr:uid="{BCAE041B-125D-4BD2-9C1B-66C86004A877}"/>
    <cellStyle name="Lien hypertexte visite_03MayX11C_ASR_draft11-1VM_eurocomparisonwithC1dele_1_050627work12PPM1" xfId="13360" xr:uid="{9D98DCAC-26F9-4DC6-B16A-4DD0B5356156}"/>
    <cellStyle name="Lien hypertexte visité_03MayX11C_ASR_draft11-1VM_eurocomparisonwithC1dele_1_050627work12PPM1" xfId="13361" xr:uid="{FE039B41-06DB-434F-BE8D-740DCAC0C971}"/>
    <cellStyle name="Lien hypertexte visite_03MayX11C_ASR_draft11-1VM_eurocomparisonwithC1dele_1_050627work12PPM1_ITP _D22LCVNNZCOP090612" xfId="13362" xr:uid="{B49681D1-EA28-4838-8986-96A234D36769}"/>
    <cellStyle name="Lien hypertexte visité_03MayX11C_ASR_draft11-1VM_eurocomparisonwithC1dele_1_050627work12PPM1_ITP _D22LCVNNZCOP090612" xfId="13363" xr:uid="{CCF32E2E-3980-4FE1-BA7F-CB6F0C4FA5DF}"/>
    <cellStyle name="Lien hypertexte visite_03MayX11C_ASR_draft11-1VM_eurocomparisonwithC1dele_1_050627work12PPM1_ITP _D40 090115 (MP_BP09)" xfId="13364" xr:uid="{CB429B1B-0BEA-4514-81EF-A869F470D405}"/>
    <cellStyle name="Lien hypertexte visité_03MayX11C_ASR_draft11-1VM_eurocomparisonwithC1dele_1_050627work12PPM1_ITP _D40 090115 (MP_BP09)" xfId="13365" xr:uid="{99306A1B-29D3-4796-AD6F-393F9346DC2C}"/>
    <cellStyle name="Lien hypertexte visite_03MayX11C_ASR_draft11-1VM_eurocomparisonwithC1dele_1_ITP _D22LCVNNZCOP090612" xfId="13366" xr:uid="{33B9C1AC-4DD6-4458-95DC-D493BD215F04}"/>
    <cellStyle name="Lien hypertexte visité_03MayX11C_ASR_draft11-1VM_eurocomparisonwithC1dele_1_ITP _D22LCVNNZCOP090612" xfId="13367" xr:uid="{FE41B7DD-9150-432E-AAC1-4FB9BC008C7F}"/>
    <cellStyle name="Lien hypertexte visite_03MayX11C_ASR_draft11-1VM_eurocomparisonwithC1dele_1_ITP _D40 090115 (MP_BP09)" xfId="13368" xr:uid="{AFD3AB85-9B5D-4CD8-AA30-B2073330D467}"/>
    <cellStyle name="Lien hypertexte visité_03MayX11C_ASR_draft11-1VM_eurocomparisonwithC1dele_1_ITP _D40 090115 (MP_BP09)" xfId="13369" xr:uid="{C5C6BA49-4F8C-4646-AAFD-4A50F10E83FD}"/>
    <cellStyle name="Lien hypertexte visite_03MayX11C_ASR_draft11-1VM_eurocomparisonwithC1dele_ITP _D22LCVNNZCOP090612" xfId="13370" xr:uid="{73DF268D-4F59-4114-852A-6E2D61A8EED1}"/>
    <cellStyle name="Lien hypertexte visité_03MayX11C_ASR_draft11-1VM_eurocomparisonwithC1dele_ITP _D22LCVNNZCOP090612" xfId="13371" xr:uid="{14E3FCED-2803-4D87-9ED4-ADE5B2D56E7C}"/>
    <cellStyle name="Lien hypertexte visite_03MayX11C_ASR_draft11-1VM_eurocomparisonwithC1dele_ITP _D40 090115 (MP_BP09)" xfId="13372" xr:uid="{A4EE24AF-DB11-4BE9-BA24-955F95EC14B0}"/>
    <cellStyle name="Lien hypertexte visité_03MayX11C_ASR_draft11-1VM_eurocomparisonwithC1dele_ITP _D40 090115 (MP_BP09)" xfId="13373" xr:uid="{DB9E7356-B1A2-4544-8AF9-D4828B619AAE}"/>
    <cellStyle name="Lien hypertexte visite_03MayX11C_ASR_ITP _D22LCVNNZCOP090612" xfId="13374" xr:uid="{146C5D3D-BEA3-4715-B19A-D17E27F57631}"/>
    <cellStyle name="Lien hypertexte visité_03MayX11C_ASR_ITP _D22LCVNNZCOP090612" xfId="13375" xr:uid="{5C5F3D07-A3D8-4C4D-81FA-2354CF72EE5E}"/>
    <cellStyle name="Lien hypertexte visite_03MayX11C_ASR_ITP _D40 090115 (MP_BP09)" xfId="13376" xr:uid="{88E72CCA-E662-4AE9-8945-AACC89EB1C99}"/>
    <cellStyle name="Lien hypertexte visité_03MayX11C_ASR_ITP _D40 090115 (MP_BP09)" xfId="13377" xr:uid="{E59E277E-7AAD-4E49-AA67-5BBADB3E4EBC}"/>
    <cellStyle name="Lien hypertexte visite_050618H61BTStep2_3Contract_PPMwork8" xfId="13378" xr:uid="{DC441728-A99D-4365-8A9A-9007E4F03E1D}"/>
    <cellStyle name="Lien hypertexte visité_050618H61BTStep2_3Contract_PPMwork8" xfId="13379" xr:uid="{40302463-A294-40F8-99B7-35325B3546DA}"/>
    <cellStyle name="Lien hypertexte visite_050618H61BTStep2_3Contract_PPMwork8_ITP _D22LCVNNZCOP090612" xfId="13380" xr:uid="{C5E0977A-FE5F-4FC9-818E-B5FFA063A5EA}"/>
    <cellStyle name="Lien hypertexte visité_050618H61BTStep2_3Contract_PPMwork8_ITP _D22LCVNNZCOP090612" xfId="13381" xr:uid="{A028B6A3-3181-4592-8BD3-9C65EF61E290}"/>
    <cellStyle name="Lien hypertexte visite_050618H61BTStep2_3Contract_PPMwork8_ITP _D40 090115 (MP_BP09)" xfId="13382" xr:uid="{C2DEF5C4-CAD8-474F-9820-998F82822370}"/>
    <cellStyle name="Lien hypertexte visité_050618H61BTStep2_3Contract_PPMwork8_ITP _D40 090115 (MP_BP09)" xfId="13383" xr:uid="{F6F55EDB-4C6B-4184-8E26-5728C4830D59}"/>
    <cellStyle name="Lien hypertexte visite_050627work12PPM1" xfId="13384" xr:uid="{9F5EF027-F2FF-4A4B-8FB8-A8422F4137B5}"/>
    <cellStyle name="Lien hypertexte visité_050627work12PPM1" xfId="13385" xr:uid="{26E28622-2379-4912-B8E4-05750FD2AF82}"/>
    <cellStyle name="Lien hypertexte visite_050627work12PPM1_ITP _D22LCVNNZCOP090612" xfId="13386" xr:uid="{FC253F85-9149-4F5C-95F2-5DD63F6A584C}"/>
    <cellStyle name="Lien hypertexte visité_050627work12PPM1_ITP _D22LCVNNZCOP090612" xfId="13387" xr:uid="{D753B1F1-28E3-48C1-81CA-3BF7559E7A24}"/>
    <cellStyle name="Lien hypertexte visite_050627work12PPM1_ITP _D40 090115 (MP_BP09)" xfId="13388" xr:uid="{9EF4F6E4-530D-4678-A318-0537FD0ACCFC}"/>
    <cellStyle name="Lien hypertexte visité_050627work12PPM1_ITP _D40 090115 (MP_BP09)" xfId="13389" xr:uid="{031BD5BB-D64C-4DD9-9956-0AF774FD2B7F}"/>
    <cellStyle name="Lien hypertexte visite_070612：MPR#1最終からFY変更" xfId="13390" xr:uid="{836AEB3E-B368-4F67-9DC0-BA8B5CC3CA85}"/>
    <cellStyle name="Lien hypertexte visité_070612：MPR#1最終からFY変更" xfId="13391" xr:uid="{B860827F-9106-4FCC-A122-4364539DFB37}"/>
    <cellStyle name="Lien hypertexte visite_070612：MPR#1最終からFY変更_ITP _D22LCVNNZCOP090612" xfId="13392" xr:uid="{398A5CB6-AC80-4B85-94E8-65CD3AB0E893}"/>
    <cellStyle name="Lien hypertexte visité_070612：MPR#1最終からFY変更_ITP _D22LCVNNZCOP090612" xfId="13393" xr:uid="{C513D87D-DA6E-42C0-93A1-BC23181651E5}"/>
    <cellStyle name="Lien hypertexte visite_070612：MPR#1最終からFY変更_ITP _D40 090115 (MP_BP09)" xfId="13394" xr:uid="{0F268F64-8058-4203-9DEC-0892A77BEF97}"/>
    <cellStyle name="Lien hypertexte visité_070612：MPR#1最終からFY変更_ITP _D40 090115 (MP_BP09)" xfId="13395" xr:uid="{3AC6D453-0399-4C81-A086-E041F07C3132}"/>
    <cellStyle name="Lien hypertexte visite_2002 06 30 Attach 09 Market Code" xfId="13396" xr:uid="{9CC880E9-A22D-485D-AA11-0507FF96708B}"/>
    <cellStyle name="Lien hypertexte visité_2009Exchange rate" xfId="13397" xr:uid="{556AAAE8-BB21-4E40-BCB6-D6ADCDFB3822}"/>
    <cellStyle name="Lien hypertexte visite_Attachment template" xfId="13398" xr:uid="{B98D6447-844B-4B9D-AC4E-35AC4AFE7EA4}"/>
    <cellStyle name="Lien hypertexte visité_Attachment template" xfId="13399" xr:uid="{3AC9A606-7EC5-44D9-AED7-326755388362}"/>
    <cellStyle name="Lien hypertexte visite_Attachment template_050618H61BTStep2_3Contract_PPMwork8" xfId="13400" xr:uid="{724AD634-E096-47D3-A047-62B65519EAF7}"/>
    <cellStyle name="Lien hypertexte visité_Attachment template_050618H61BTStep2_3Contract_PPMwork8" xfId="13401" xr:uid="{B0729CD9-D46F-42C2-89AE-41F3613866DA}"/>
    <cellStyle name="Lien hypertexte visite_Attachment template_050618H61BTStep2_3Contract_PPMwork8_ITP _D22LCVNNZCOP090612" xfId="13402" xr:uid="{B0B4EB78-4C63-4B5C-8ADA-55EDE141ABE9}"/>
    <cellStyle name="Lien hypertexte visité_Attachment template_050618H61BTStep2_3Contract_PPMwork8_ITP _D22LCVNNZCOP090612" xfId="13403" xr:uid="{B32F8709-7F4A-4308-8E69-A9A904F59B3E}"/>
    <cellStyle name="Lien hypertexte visite_Attachment template_050618H61BTStep2_3Contract_PPMwork8_ITP _D40 090115 (MP_BP09)" xfId="13404" xr:uid="{F32CC8D0-4BAB-459A-9FF0-98682DA9E82C}"/>
    <cellStyle name="Lien hypertexte visité_Attachment template_050618H61BTStep2_3Contract_PPMwork8_ITP _D40 090115 (MP_BP09)" xfId="13405" xr:uid="{9C005E35-97DD-41D9-ABA0-6EA13A06B1E9}"/>
    <cellStyle name="Lien hypertexte visite_Attachment template_050627work12PPM1" xfId="13406" xr:uid="{318EA29D-6B51-4F2C-AE39-79BAB5A4AC85}"/>
    <cellStyle name="Lien hypertexte visité_Attachment template_050627work12PPM1" xfId="13407" xr:uid="{45D49FC3-48E2-4667-9607-2CE5A8077FDD}"/>
    <cellStyle name="Lien hypertexte visite_Attachment template_050627work12PPM1_ITP _D22LCVNNZCOP090612" xfId="13408" xr:uid="{417BA3F0-1BF4-45B9-8BE2-A9C935867993}"/>
    <cellStyle name="Lien hypertexte visité_Attachment template_050627work12PPM1_ITP _D22LCVNNZCOP090612" xfId="13409" xr:uid="{1DD56A20-2B7A-4505-A7D2-ED2E00BB3FE1}"/>
    <cellStyle name="Lien hypertexte visite_Attachment template_050627work12PPM1_ITP _D40 090115 (MP_BP09)" xfId="13410" xr:uid="{9C902966-CBE1-47E5-9285-B3A1BF1EA68B}"/>
    <cellStyle name="Lien hypertexte visité_Attachment template_050627work12PPM1_ITP _D40 090115 (MP_BP09)" xfId="13411" xr:uid="{B7FC85E8-3BF4-430F-AA5B-E8FDE990C01A}"/>
    <cellStyle name="Lien hypertexte visite_Attachment template_draft11" xfId="13412" xr:uid="{769F555B-8825-4050-B49D-EFFFED079065}"/>
    <cellStyle name="Lien hypertexte visité_Attachment template_draft11" xfId="13413" xr:uid="{2CB310E3-E1B4-4582-B060-EBE3AE550C0B}"/>
    <cellStyle name="Lien hypertexte visite_Attachment template_draft11_050618H61BTStep2_3Contract_PPMwork8" xfId="13414" xr:uid="{F28C13B7-5132-4D13-9936-F600FA76D39E}"/>
    <cellStyle name="Lien hypertexte visité_Attachment template_draft11_050618H61BTStep2_3Contract_PPMwork8" xfId="13415" xr:uid="{6A74E763-EF0E-4B37-A850-4A722BC13ABD}"/>
    <cellStyle name="Lien hypertexte visite_Attachment template_draft11_050618H61BTStep2_3Contract_PPMwork8_ITP _D22LCVNNZCOP090612" xfId="13416" xr:uid="{80038BE1-CA77-4209-BF94-635DC55BCCF9}"/>
    <cellStyle name="Lien hypertexte visité_Attachment template_draft11_050618H61BTStep2_3Contract_PPMwork8_ITP _D22LCVNNZCOP090612" xfId="13417" xr:uid="{DE80D290-6EF4-4D45-890F-143261C5EFA8}"/>
    <cellStyle name="Lien hypertexte visite_Attachment template_draft11_050618H61BTStep2_3Contract_PPMwork8_ITP _D40 090115 (MP_BP09)" xfId="13418" xr:uid="{6879829E-4CF5-4EF1-AA26-A625731731F8}"/>
    <cellStyle name="Lien hypertexte visité_Attachment template_draft11_050618H61BTStep2_3Contract_PPMwork8_ITP _D40 090115 (MP_BP09)" xfId="13419" xr:uid="{1DDAE906-3367-4A35-BD05-38A722B457BD}"/>
    <cellStyle name="Lien hypertexte visite_Attachment template_draft11_050627work12PPM1" xfId="13420" xr:uid="{69294B7C-E4DB-4C65-A230-68BD718A0A07}"/>
    <cellStyle name="Lien hypertexte visité_Attachment template_draft11_050627work12PPM1" xfId="13421" xr:uid="{410971CD-508F-4381-A3FC-DD922093220C}"/>
    <cellStyle name="Lien hypertexte visite_Attachment template_draft11_050627work12PPM1_ITP _D22LCVNNZCOP090612" xfId="13422" xr:uid="{441636D1-E408-45A9-87A6-2ACE98633408}"/>
    <cellStyle name="Lien hypertexte visité_Attachment template_draft11_050627work12PPM1_ITP _D22LCVNNZCOP090612" xfId="13423" xr:uid="{9A730259-2994-4328-92D0-3A3744FAA371}"/>
    <cellStyle name="Lien hypertexte visite_Attachment template_draft11_050627work12PPM1_ITP _D40 090115 (MP_BP09)" xfId="13424" xr:uid="{91D7134D-CCF3-4F85-A56E-12C1B3D36F88}"/>
    <cellStyle name="Lien hypertexte visité_Attachment template_draft11_050627work12PPM1_ITP _D40 090115 (MP_BP09)" xfId="13425" xr:uid="{5783EDB2-1A2B-4AA6-9C9B-701E37218142}"/>
    <cellStyle name="Lien hypertexte visite_Attachment template_draft11_draft11-1VM_eurocomparisonwithC1dele" xfId="13426" xr:uid="{B47464CE-7974-4749-97B1-83F6A25D03DE}"/>
    <cellStyle name="Lien hypertexte visité_Attachment template_draft11_draft11-1VM_eurocomparisonwithC1dele" xfId="13427" xr:uid="{C7ED15DB-0DF5-408C-99C2-ADFADBA3809C}"/>
    <cellStyle name="Lien hypertexte visite_Attachment template_draft11_draft11-1VM_eurocomparisonwithC1dele_050618H61BTStep2_3Contract_PPMwork8" xfId="13428" xr:uid="{725F6BBF-AC9F-4A06-9F2B-330FF6249A93}"/>
    <cellStyle name="Lien hypertexte visité_Attachment template_draft11_draft11-1VM_eurocomparisonwithC1dele_050618H61BTStep2_3Contract_PPMwork8" xfId="13429" xr:uid="{34A2D3CE-F698-4CB2-88BD-15FDD4741181}"/>
    <cellStyle name="Lien hypertexte visite_Attachment template_draft11_draft11-1VM_eurocomparisonwithC1dele_050618H61BTStep2_3Contract_PPMwork8_ITP _D22LCVNNZCOP090612" xfId="13430" xr:uid="{E307CB8F-CC8D-4C1C-85F7-00003A795738}"/>
    <cellStyle name="Lien hypertexte visité_Attachment template_draft11_draft11-1VM_eurocomparisonwithC1dele_050618H61BTStep2_3Contract_PPMwork8_ITP _D22LCVNNZCOP090612" xfId="13431" xr:uid="{58768595-C4BD-485D-9AE5-A8EF96CB9E87}"/>
    <cellStyle name="Lien hypertexte visite_Attachment template_draft11_draft11-1VM_eurocomparisonwithC1dele_050618H61BTStep2_3Contract_PPMwork8_ITP _D40 090115 (MP_BP09)" xfId="13432" xr:uid="{7E0697FE-5210-4574-8B3D-861B53A45C34}"/>
    <cellStyle name="Lien hypertexte visité_Attachment template_draft11_draft11-1VM_eurocomparisonwithC1dele_050618H61BTStep2_3Contract_PPMwork8_ITP _D40 090115 (MP_BP09)" xfId="13433" xr:uid="{1F111FED-9363-4B90-BB7A-1F4B73916B1D}"/>
    <cellStyle name="Lien hypertexte visite_Attachment template_draft11_draft11-1VM_eurocomparisonwithC1dele_050627work12PPM1" xfId="13434" xr:uid="{2F582BEA-843C-42C1-82CA-608166D23EE7}"/>
    <cellStyle name="Lien hypertexte visité_Attachment template_draft11_draft11-1VM_eurocomparisonwithC1dele_050627work12PPM1" xfId="13435" xr:uid="{22FC0629-E1DA-488A-AD2E-C0598CBA6157}"/>
    <cellStyle name="Lien hypertexte visite_Attachment template_draft11_draft11-1VM_eurocomparisonwithC1dele_050627work12PPM1_ITP _D22LCVNNZCOP090612" xfId="13436" xr:uid="{EC5FCA1A-0501-401C-96A1-299A1F1E773B}"/>
    <cellStyle name="Lien hypertexte visité_Attachment template_draft11_draft11-1VM_eurocomparisonwithC1dele_050627work12PPM1_ITP _D22LCVNNZCOP090612" xfId="13437" xr:uid="{0E12D5CE-E000-4B01-877C-B718799D3BAA}"/>
    <cellStyle name="Lien hypertexte visite_Attachment template_draft11_draft11-1VM_eurocomparisonwithC1dele_050627work12PPM1_ITP _D40 090115 (MP_BP09)" xfId="13438" xr:uid="{1486BD42-D2BD-4ECD-94A5-6640CCF8DCE2}"/>
    <cellStyle name="Lien hypertexte visité_Attachment template_draft11_draft11-1VM_eurocomparisonwithC1dele_050627work12PPM1_ITP _D40 090115 (MP_BP09)" xfId="13439" xr:uid="{29D1BADF-55B2-4F7D-B569-425767F4D5E9}"/>
    <cellStyle name="Lien hypertexte visite_Attachment template_draft11_draft11-1VM_eurocomparisonwithC1dele_ITP _D22LCVNNZCOP090612" xfId="13440" xr:uid="{2C6F3CEE-8CCF-4D98-B0C0-680EC6E94A73}"/>
    <cellStyle name="Lien hypertexte visité_Attachment template_draft11_draft11-1VM_eurocomparisonwithC1dele_ITP _D22LCVNNZCOP090612" xfId="13441" xr:uid="{A60665D9-5558-43F4-95DE-BDA570E1650B}"/>
    <cellStyle name="Lien hypertexte visite_Attachment template_draft11_draft11-1VM_eurocomparisonwithC1dele_ITP _D40 090115 (MP_BP09)" xfId="13442" xr:uid="{2444528E-13B7-4D84-A42B-F91225F438B4}"/>
    <cellStyle name="Lien hypertexte visité_Attachment template_draft11_draft11-1VM_eurocomparisonwithC1dele_ITP _D40 090115 (MP_BP09)" xfId="13443" xr:uid="{BF64E6DB-5CA6-4CCE-8BCC-748D54C31A46}"/>
    <cellStyle name="Lien hypertexte visite_Attachment template_draft11_ITP _D22LCVNNZCOP090612" xfId="13444" xr:uid="{2BCC1656-E3CF-434D-B42C-686762601E61}"/>
    <cellStyle name="Lien hypertexte visité_Attachment template_draft11_ITP _D22LCVNNZCOP090612" xfId="13445" xr:uid="{C0C5BD30-ABD3-4498-A716-A555162AED0D}"/>
    <cellStyle name="Lien hypertexte visite_Attachment template_draft11_ITP _D40 090115 (MP_BP09)" xfId="13446" xr:uid="{A247C2A2-B3F0-43FE-895D-2286A7A21B8E}"/>
    <cellStyle name="Lien hypertexte visité_Attachment template_draft11_ITP _D40 090115 (MP_BP09)" xfId="13447" xr:uid="{AB5B5ADD-7DE2-4C9B-A791-B12DDE5C8DDE}"/>
    <cellStyle name="Lien hypertexte visite_Attachment template_draft11-1VM_eurocomparison" xfId="13448" xr:uid="{FCBEA0B7-608A-4738-BA96-8285F784D1A6}"/>
    <cellStyle name="Lien hypertexte visité_Attachment template_draft11-1VM_eurocomparison" xfId="13449" xr:uid="{EC8D25D5-E193-4165-B6C8-07B095EBF594}"/>
    <cellStyle name="Lien hypertexte visite_Attachment template_draft11-1VM_eurocomparison_050618H61BTStep2_3Contract_PPMwork8" xfId="13450" xr:uid="{48E1EB03-4DD0-4BB2-9DA6-2F5DA371697E}"/>
    <cellStyle name="Lien hypertexte visité_Attachment template_draft11-1VM_eurocomparison_050618H61BTStep2_3Contract_PPMwork8" xfId="13451" xr:uid="{CD95F30C-A065-4E7F-8B67-19FBA8D1AE6D}"/>
    <cellStyle name="Lien hypertexte visite_Attachment template_draft11-1VM_eurocomparison_050618H61BTStep2_3Contract_PPMwork8_ITP _D22LCVNNZCOP090612" xfId="13452" xr:uid="{73A01838-C4B9-46C8-8D4C-C76BFAB2A9FE}"/>
    <cellStyle name="Lien hypertexte visité_Attachment template_draft11-1VM_eurocomparison_050618H61BTStep2_3Contract_PPMwork8_ITP _D22LCVNNZCOP090612" xfId="13453" xr:uid="{427FC733-5EC8-42F9-AD5A-AC9E05B38BBD}"/>
    <cellStyle name="Lien hypertexte visite_Attachment template_draft11-1VM_eurocomparison_050618H61BTStep2_3Contract_PPMwork8_ITP _D40 090115 (MP_BP09)" xfId="13454" xr:uid="{2F776DDA-C1F7-486B-9675-97BB46040F1A}"/>
    <cellStyle name="Lien hypertexte visité_Attachment template_draft11-1VM_eurocomparison_050618H61BTStep2_3Contract_PPMwork8_ITP _D40 090115 (MP_BP09)" xfId="13455" xr:uid="{16C20FEB-86C7-4A42-B8B3-8CF29D968E05}"/>
    <cellStyle name="Lien hypertexte visite_Attachment template_draft11-1VM_eurocomparison_050627work12PPM1" xfId="13456" xr:uid="{519123C4-F191-4563-BFBC-4A58B5FB1808}"/>
    <cellStyle name="Lien hypertexte visité_Attachment template_draft11-1VM_eurocomparison_050627work12PPM1" xfId="13457" xr:uid="{22926350-987D-4C2A-8F6E-DFC44EA495DD}"/>
    <cellStyle name="Lien hypertexte visite_Attachment template_draft11-1VM_eurocomparison_050627work12PPM1_ITP _D22LCVNNZCOP090612" xfId="13458" xr:uid="{71F68E94-457B-41DD-8068-57F8576A6E50}"/>
    <cellStyle name="Lien hypertexte visité_Attachment template_draft11-1VM_eurocomparison_050627work12PPM1_ITP _D22LCVNNZCOP090612" xfId="13459" xr:uid="{B81A5E3B-3349-46DC-AC51-D345A3B4E663}"/>
    <cellStyle name="Lien hypertexte visite_Attachment template_draft11-1VM_eurocomparison_050627work12PPM1_ITP _D40 090115 (MP_BP09)" xfId="13460" xr:uid="{CE1985C9-2A76-4A78-8602-773B98B48275}"/>
    <cellStyle name="Lien hypertexte visité_Attachment template_draft11-1VM_eurocomparison_050627work12PPM1_ITP _D40 090115 (MP_BP09)" xfId="13461" xr:uid="{FBE79DD4-F690-4227-89BF-F01CC47FEF2A}"/>
    <cellStyle name="Lien hypertexte visite_Attachment template_draft11-1VM_eurocomparison_ITP _D22LCVNNZCOP090612" xfId="13462" xr:uid="{7D78BDEE-A333-4A06-A043-75B419E691CC}"/>
    <cellStyle name="Lien hypertexte visité_Attachment template_draft11-1VM_eurocomparison_ITP _D22LCVNNZCOP090612" xfId="13463" xr:uid="{D5D3EE05-2512-414A-BDAF-ECDBEC7440EA}"/>
    <cellStyle name="Lien hypertexte visite_Attachment template_draft11-1VM_eurocomparison_ITP _D40 090115 (MP_BP09)" xfId="13464" xr:uid="{0B9F81FC-0C30-4A51-9AB4-5085D0F95B60}"/>
    <cellStyle name="Lien hypertexte visité_Attachment template_draft11-1VM_eurocomparison_ITP _D40 090115 (MP_BP09)" xfId="13465" xr:uid="{07A0F97E-3225-413B-A9C0-10CB3C97FB22}"/>
    <cellStyle name="Lien hypertexte visite_Attachment template_draft11-1VM_eurocomparisonwithC1dele" xfId="13466" xr:uid="{C5CA71C5-57A3-471A-931D-610034EC1C27}"/>
    <cellStyle name="Lien hypertexte visité_Attachment template_draft11-1VM_eurocomparisonwithC1dele" xfId="13467" xr:uid="{594FBF6F-56A8-41BD-ACBE-B336EB0C9C83}"/>
    <cellStyle name="Lien hypertexte visite_Attachment template_draft11-1VM_eurocomparisonwithC1dele_050618H61BTStep2_3Contract_PPMwork8" xfId="13468" xr:uid="{DCAF67A0-58C2-4ECE-857E-3944B55DDB0C}"/>
    <cellStyle name="Lien hypertexte visité_Attachment template_draft11-1VM_eurocomparisonwithC1dele_050618H61BTStep2_3Contract_PPMwork8" xfId="13469" xr:uid="{37D7DCD4-48FC-4CF6-8971-A4391EB348B1}"/>
    <cellStyle name="Lien hypertexte visite_Attachment template_draft11-1VM_eurocomparisonwithC1dele_050618H61BTStep2_3Contract_PPMwork8_ITP _D22LCVNNZCOP090612" xfId="13470" xr:uid="{2AE26494-F3F6-47CC-B3BA-6F967F041D6B}"/>
    <cellStyle name="Lien hypertexte visité_Attachment template_draft11-1VM_eurocomparisonwithC1dele_050618H61BTStep2_3Contract_PPMwork8_ITP _D22LCVNNZCOP090612" xfId="13471" xr:uid="{04FBE1C7-3979-49CF-AB9D-A7B463F77409}"/>
    <cellStyle name="Lien hypertexte visite_Attachment template_draft11-1VM_eurocomparisonwithC1dele_050618H61BTStep2_3Contract_PPMwork8_ITP _D40 090115 (MP_BP09)" xfId="13472" xr:uid="{14370ECE-63E9-42B2-93AD-E423CA37868B}"/>
    <cellStyle name="Lien hypertexte visité_Attachment template_draft11-1VM_eurocomparisonwithC1dele_050618H61BTStep2_3Contract_PPMwork8_ITP _D40 090115 (MP_BP09)" xfId="13473" xr:uid="{B8C246A0-7CE1-4117-8C2E-2D17F8B78D58}"/>
    <cellStyle name="Lien hypertexte visite_Attachment template_draft11-1VM_eurocomparisonwithC1dele_050627work12PPM1" xfId="13474" xr:uid="{676ADE10-7C85-4A4F-BF28-6AFB8095B715}"/>
    <cellStyle name="Lien hypertexte visité_Attachment template_draft11-1VM_eurocomparisonwithC1dele_050627work12PPM1" xfId="13475" xr:uid="{31A04455-7D1A-429B-9A15-883E42585960}"/>
    <cellStyle name="Lien hypertexte visite_Attachment template_draft11-1VM_eurocomparisonwithC1dele_050627work12PPM1_ITP _D22LCVNNZCOP090612" xfId="13476" xr:uid="{E596823C-8F73-42D5-8E71-1B1B6D3883B4}"/>
    <cellStyle name="Lien hypertexte visité_Attachment template_draft11-1VM_eurocomparisonwithC1dele_050627work12PPM1_ITP _D22LCVNNZCOP090612" xfId="13477" xr:uid="{A9251410-9C5B-4805-AC71-9A7044F9358F}"/>
    <cellStyle name="Lien hypertexte visite_Attachment template_draft11-1VM_eurocomparisonwithC1dele_050627work12PPM1_ITP _D40 090115 (MP_BP09)" xfId="13478" xr:uid="{249C8E84-E733-46BC-AAA7-8FAE0EFC3478}"/>
    <cellStyle name="Lien hypertexte visité_Attachment template_draft11-1VM_eurocomparisonwithC1dele_050627work12PPM1_ITP _D40 090115 (MP_BP09)" xfId="13479" xr:uid="{C67F7C68-C68A-4D3B-8773-A73BFF4070A8}"/>
    <cellStyle name="Lien hypertexte visite_Attachment template_draft11-1VM_eurocomparisonwithC1dele_1" xfId="13480" xr:uid="{6F9379E7-BD37-47A9-8616-65AA140F1269}"/>
    <cellStyle name="Lien hypertexte visité_Attachment template_draft11-1VM_eurocomparisonwithC1dele_1" xfId="13481" xr:uid="{283BB846-220D-43C4-A6DA-413DD3282C0A}"/>
    <cellStyle name="Lien hypertexte visite_Attachment template_draft11-1VM_eurocomparisonwithC1dele_1_050618H61BTStep2_3Contract_PPMwork8" xfId="13482" xr:uid="{55B7185D-4375-4F22-9034-90C56386A0C3}"/>
    <cellStyle name="Lien hypertexte visité_Attachment template_draft11-1VM_eurocomparisonwithC1dele_1_050618H61BTStep2_3Contract_PPMwork8" xfId="13483" xr:uid="{4884B461-1BD5-4493-A167-FD07F615DC3D}"/>
    <cellStyle name="Lien hypertexte visite_Attachment template_draft11-1VM_eurocomparisonwithC1dele_1_050618H61BTStep2_3Contract_PPMwork8_ITP _D22LCVNNZCOP090612" xfId="13484" xr:uid="{5D37B4C7-31AD-44E8-BCD9-10C659C87D1A}"/>
    <cellStyle name="Lien hypertexte visité_Attachment template_draft11-1VM_eurocomparisonwithC1dele_1_050618H61BTStep2_3Contract_PPMwork8_ITP _D22LCVNNZCOP090612" xfId="13485" xr:uid="{D1C1AB42-0AEC-42A8-950D-D2BDD7CB65F2}"/>
    <cellStyle name="Lien hypertexte visite_Attachment template_draft11-1VM_eurocomparisonwithC1dele_1_050618H61BTStep2_3Contract_PPMwork8_ITP _D40 090115 (MP_BP09)" xfId="13486" xr:uid="{F5314F72-38DB-4C50-9330-24F4EB756CFD}"/>
    <cellStyle name="Lien hypertexte visité_Attachment template_draft11-1VM_eurocomparisonwithC1dele_1_050618H61BTStep2_3Contract_PPMwork8_ITP _D40 090115 (MP_BP09)" xfId="13487" xr:uid="{326A3040-377D-4D31-8583-1B8B819681D9}"/>
    <cellStyle name="Lien hypertexte visite_Attachment template_draft11-1VM_eurocomparisonwithC1dele_1_050627work12PPM1" xfId="13488" xr:uid="{A6234EC1-DE68-43C8-8B25-ABB47FC4ED76}"/>
    <cellStyle name="Lien hypertexte visité_Attachment template_draft11-1VM_eurocomparisonwithC1dele_1_050627work12PPM1" xfId="13489" xr:uid="{B9970698-A50A-4AE3-BBC4-9044E34EB88F}"/>
    <cellStyle name="Lien hypertexte visite_Attachment template_draft11-1VM_eurocomparisonwithC1dele_1_050627work12PPM1_ITP _D22LCVNNZCOP090612" xfId="13490" xr:uid="{2702A21F-DEAA-4551-BC2C-76FE032ED1CA}"/>
    <cellStyle name="Lien hypertexte visité_Attachment template_draft11-1VM_eurocomparisonwithC1dele_1_050627work12PPM1_ITP _D22LCVNNZCOP090612" xfId="13491" xr:uid="{81714133-BA92-4AB6-82AA-9C13E609583E}"/>
    <cellStyle name="Lien hypertexte visite_Attachment template_draft11-1VM_eurocomparisonwithC1dele_1_050627work12PPM1_ITP _D40 090115 (MP_BP09)" xfId="13492" xr:uid="{A4100A21-28F6-4E38-89CE-B658A23096E4}"/>
    <cellStyle name="Lien hypertexte visité_Attachment template_draft11-1VM_eurocomparisonwithC1dele_1_050627work12PPM1_ITP _D40 090115 (MP_BP09)" xfId="13493" xr:uid="{D5A62158-5D78-4D73-A149-64CC3F204EDC}"/>
    <cellStyle name="Lien hypertexte visite_Attachment template_draft11-1VM_eurocomparisonwithC1dele_1_ITP _D22LCVNNZCOP090612" xfId="13494" xr:uid="{59FA50D9-BD00-4214-9A33-ABDB73572CE5}"/>
    <cellStyle name="Lien hypertexte visité_Attachment template_draft11-1VM_eurocomparisonwithC1dele_1_ITP _D22LCVNNZCOP090612" xfId="13495" xr:uid="{87D40189-CA56-4A19-9DCD-E3C133B5D9C7}"/>
    <cellStyle name="Lien hypertexte visite_Attachment template_draft11-1VM_eurocomparisonwithC1dele_1_ITP _D40 090115 (MP_BP09)" xfId="13496" xr:uid="{813CD0F4-6552-4830-BE2D-B2218F71C382}"/>
    <cellStyle name="Lien hypertexte visité_Attachment template_draft11-1VM_eurocomparisonwithC1dele_1_ITP _D40 090115 (MP_BP09)" xfId="13497" xr:uid="{C95B7780-D45B-4743-B325-E4C04B304807}"/>
    <cellStyle name="Lien hypertexte visite_Attachment template_draft11-1VM_eurocomparisonwithC1dele_ITP _D22LCVNNZCOP090612" xfId="13498" xr:uid="{2ABD8DC2-EFEE-487B-84CD-0170C096BDA1}"/>
    <cellStyle name="Lien hypertexte visité_Attachment template_draft11-1VM_eurocomparisonwithC1dele_ITP _D22LCVNNZCOP090612" xfId="13499" xr:uid="{68802D9A-DE0D-4332-B7EC-0AE628AF6526}"/>
    <cellStyle name="Lien hypertexte visite_Attachment template_draft11-1VM_eurocomparisonwithC1dele_ITP _D40 090115 (MP_BP09)" xfId="13500" xr:uid="{A7E86A6F-69DC-4E87-ACB6-E0441F9A2B7E}"/>
    <cellStyle name="Lien hypertexte visité_Attachment template_draft11-1VM_eurocomparisonwithC1dele_ITP _D40 090115 (MP_BP09)" xfId="13501" xr:uid="{757C46C3-358F-4F8C-A130-77302572A38E}"/>
    <cellStyle name="Lien hypertexte visite_Attachment template_ITP _D22LCVNNZCOP090612" xfId="13502" xr:uid="{987EAF65-15D9-49B3-8A5E-FDCB7B3E7489}"/>
    <cellStyle name="Lien hypertexte visité_Attachment template_ITP _D22LCVNNZCOP090612" xfId="13503" xr:uid="{29E6FE18-E5EF-4A78-8477-928A6CE25145}"/>
    <cellStyle name="Lien hypertexte visite_Attachment template_ITP _D40 090115 (MP_BP09)" xfId="13504" xr:uid="{79659F91-3E60-4E6E-B6DD-99FB91926248}"/>
    <cellStyle name="Lien hypertexte visité_Attachment template_ITP _D40 090115 (MP_BP09)" xfId="13505" xr:uid="{390A1E73-D8A4-42A3-8A19-406CE1362AF7}"/>
    <cellStyle name="Lien hypertexte visite_draft11" xfId="13506" xr:uid="{CC9F0D37-1B23-4D82-A48B-99AB32CAAF3D}"/>
    <cellStyle name="Lien hypertexte visité_draft11" xfId="13507" xr:uid="{07260BDF-4D6A-4382-AD0F-0C4006359E38}"/>
    <cellStyle name="Lien hypertexte visite_draft11_050618H61BTStep2_3Contract_PPMwork8" xfId="13508" xr:uid="{E1E74D8F-401C-4702-8856-E8A0E66E563D}"/>
    <cellStyle name="Lien hypertexte visité_draft11_050618H61BTStep2_3Contract_PPMwork8" xfId="13509" xr:uid="{4F975C98-1677-4C81-893A-72BA974281BC}"/>
    <cellStyle name="Lien hypertexte visite_draft11_050618H61BTStep2_3Contract_PPMwork8_ITP _D22LCVNNZCOP090612" xfId="13510" xr:uid="{636FE550-BD7E-44F5-902F-0227FE07C317}"/>
    <cellStyle name="Lien hypertexte visité_draft11_050618H61BTStep2_3Contract_PPMwork8_ITP _D22LCVNNZCOP090612" xfId="13511" xr:uid="{20DB9608-205E-45B2-A83F-34A729BE64D5}"/>
    <cellStyle name="Lien hypertexte visite_draft11_050618H61BTStep2_3Contract_PPMwork8_ITP _D40 090115 (MP_BP09)" xfId="13512" xr:uid="{63E23282-2E8D-485F-87A5-E149F1DFE90C}"/>
    <cellStyle name="Lien hypertexte visité_draft11_050618H61BTStep2_3Contract_PPMwork8_ITP _D40 090115 (MP_BP09)" xfId="13513" xr:uid="{C1A06B37-D18D-46A2-98B5-87FC4F5D7BC5}"/>
    <cellStyle name="Lien hypertexte visite_draft11_050627work12PPM1" xfId="13514" xr:uid="{BA2C9B33-E214-4CCB-B7B8-2CEA954D4316}"/>
    <cellStyle name="Lien hypertexte visité_draft11_050627work12PPM1" xfId="13515" xr:uid="{28F1A072-9F33-46D5-A6D5-E00CC4BFFEFE}"/>
    <cellStyle name="Lien hypertexte visite_draft11_050627work12PPM1_ITP _D22LCVNNZCOP090612" xfId="13516" xr:uid="{7097B6F7-79CA-4692-8F59-993EBE5557A6}"/>
    <cellStyle name="Lien hypertexte visité_draft11_050627work12PPM1_ITP _D22LCVNNZCOP090612" xfId="13517" xr:uid="{E2FBAAA2-9A50-4355-975F-FE1F1CF41EF6}"/>
    <cellStyle name="Lien hypertexte visite_draft11_050627work12PPM1_ITP _D40 090115 (MP_BP09)" xfId="13518" xr:uid="{47054C6A-0DA4-45EC-B278-F989E1AA7DAD}"/>
    <cellStyle name="Lien hypertexte visité_draft11_050627work12PPM1_ITP _D40 090115 (MP_BP09)" xfId="13519" xr:uid="{14DC38DC-1CD1-46CC-9E06-C7FB1FFF2756}"/>
    <cellStyle name="Lien hypertexte visite_draft11_draft11-1VM_eurocomparisonwithC1dele" xfId="13520" xr:uid="{68131FD0-1010-403D-AF88-2DC20AF3C908}"/>
    <cellStyle name="Lien hypertexte visité_draft11_draft11-1VM_eurocomparisonwithC1dele" xfId="13521" xr:uid="{EE2BF89E-EA24-4C81-B47D-31A9BFD5BB00}"/>
    <cellStyle name="Lien hypertexte visite_draft11_draft11-1VM_eurocomparisonwithC1dele_050618H61BTStep2_3Contract_PPMwork8" xfId="13522" xr:uid="{582C0896-1D1F-4C53-A9FE-515F3C1287B6}"/>
    <cellStyle name="Lien hypertexte visité_draft11_draft11-1VM_eurocomparisonwithC1dele_050618H61BTStep2_3Contract_PPMwork8" xfId="13523" xr:uid="{5C013069-7834-4D07-AA74-C5D8081A0850}"/>
    <cellStyle name="Lien hypertexte visite_draft11_draft11-1VM_eurocomparisonwithC1dele_050618H61BTStep2_3Contract_PPMwork8_ITP _D22LCVNNZCOP090612" xfId="13524" xr:uid="{834A761C-B82A-437A-9883-A313D823FBE6}"/>
    <cellStyle name="Lien hypertexte visité_draft11_draft11-1VM_eurocomparisonwithC1dele_050618H61BTStep2_3Contract_PPMwork8_ITP _D22LCVNNZCOP090612" xfId="13525" xr:uid="{3FEAE96B-A063-478E-8284-48676464894A}"/>
    <cellStyle name="Lien hypertexte visite_draft11_draft11-1VM_eurocomparisonwithC1dele_050618H61BTStep2_3Contract_PPMwork8_ITP _D40 090115 (MP_BP09)" xfId="13526" xr:uid="{BCC99570-456D-46CC-A241-7DFDE3F6D738}"/>
    <cellStyle name="Lien hypertexte visité_draft11_draft11-1VM_eurocomparisonwithC1dele_050618H61BTStep2_3Contract_PPMwork8_ITP _D40 090115 (MP_BP09)" xfId="13527" xr:uid="{D54C3A0E-2FB3-4A00-A04E-5EC36A73E717}"/>
    <cellStyle name="Lien hypertexte visite_draft11_draft11-1VM_eurocomparisonwithC1dele_050627work12PPM1" xfId="13528" xr:uid="{C6E6000F-3E09-47EE-9876-452267558D76}"/>
    <cellStyle name="Lien hypertexte visité_draft11_draft11-1VM_eurocomparisonwithC1dele_050627work12PPM1" xfId="13529" xr:uid="{BF497E63-7950-4282-A074-B0F6039783E6}"/>
    <cellStyle name="Lien hypertexte visite_draft11_draft11-1VM_eurocomparisonwithC1dele_050627work12PPM1_ITP _D22LCVNNZCOP090612" xfId="13530" xr:uid="{5FAC0FD8-8F8E-4399-B373-D76152FD102B}"/>
    <cellStyle name="Lien hypertexte visité_draft11_draft11-1VM_eurocomparisonwithC1dele_050627work12PPM1_ITP _D22LCVNNZCOP090612" xfId="13531" xr:uid="{D8408B08-7988-4194-B353-631F012A1BDC}"/>
    <cellStyle name="Lien hypertexte visite_draft11_draft11-1VM_eurocomparisonwithC1dele_050627work12PPM1_ITP _D40 090115 (MP_BP09)" xfId="13532" xr:uid="{45062203-ED17-4A03-9943-4E32ED9CCF3F}"/>
    <cellStyle name="Lien hypertexte visité_draft11_draft11-1VM_eurocomparisonwithC1dele_050627work12PPM1_ITP _D40 090115 (MP_BP09)" xfId="13533" xr:uid="{63498C34-93E8-41B8-8979-C14047CE940E}"/>
    <cellStyle name="Lien hypertexte visite_draft11_draft11-1VM_eurocomparisonwithC1dele_ITP _D22LCVNNZCOP090612" xfId="13534" xr:uid="{1D919657-F3F7-4E95-8899-6B85CDFEED85}"/>
    <cellStyle name="Lien hypertexte visité_draft11_draft11-1VM_eurocomparisonwithC1dele_ITP _D22LCVNNZCOP090612" xfId="13535" xr:uid="{71A3B803-42CF-4BF8-8E97-859A547E911F}"/>
    <cellStyle name="Lien hypertexte visite_draft11_draft11-1VM_eurocomparisonwithC1dele_ITP _D40 090115 (MP_BP09)" xfId="13536" xr:uid="{66AF59AE-3002-447F-B9BE-7143301C4BEB}"/>
    <cellStyle name="Lien hypertexte visité_draft11_draft11-1VM_eurocomparisonwithC1dele_ITP _D40 090115 (MP_BP09)" xfId="13537" xr:uid="{122513E9-C38E-4F18-8C1E-7FD875D9EACB}"/>
    <cellStyle name="Lien hypertexte visite_draft11_ITP _D22LCVNNZCOP090612" xfId="13538" xr:uid="{B2913133-FFE0-4E0E-9E49-369EEEBCF519}"/>
    <cellStyle name="Lien hypertexte visité_draft11_ITP _D22LCVNNZCOP090612" xfId="13539" xr:uid="{4EC79975-FFB7-4B28-9935-57294271E122}"/>
    <cellStyle name="Lien hypertexte visite_draft11_ITP _D40 090115 (MP_BP09)" xfId="13540" xr:uid="{1650D7BC-0061-45C2-A2D1-C546C7DDA676}"/>
    <cellStyle name="Lien hypertexte visité_draft11_ITP _D40 090115 (MP_BP09)" xfId="13541" xr:uid="{B7170BE9-9D39-4B54-938F-88307DDF97EE}"/>
    <cellStyle name="Lien hypertexte visite_draft11-1VM_eurocomparison" xfId="13542" xr:uid="{D8ADC34A-7B57-46AD-9158-CDC8E5A2DCFE}"/>
    <cellStyle name="Lien hypertexte visité_draft11-1VM_eurocomparison" xfId="13543" xr:uid="{01E563A2-F262-4502-9E45-61104442DEB7}"/>
    <cellStyle name="Lien hypertexte visite_draft11-1VM_eurocomparison_050618H61BTStep2_3Contract_PPMwork8" xfId="13544" xr:uid="{E8052369-E2E0-4F7E-91FF-C01EFEB10F30}"/>
    <cellStyle name="Lien hypertexte visité_draft11-1VM_eurocomparison_050618H61BTStep2_3Contract_PPMwork8" xfId="13545" xr:uid="{C8066AF2-C088-4598-9D67-9112E5E5C037}"/>
    <cellStyle name="Lien hypertexte visite_draft11-1VM_eurocomparison_050618H61BTStep2_3Contract_PPMwork8_ITP _D22LCVNNZCOP090612" xfId="13546" xr:uid="{E69F94F3-5F52-478E-991A-086C08FBE635}"/>
    <cellStyle name="Lien hypertexte visité_draft11-1VM_eurocomparison_050618H61BTStep2_3Contract_PPMwork8_ITP _D22LCVNNZCOP090612" xfId="13547" xr:uid="{0B1EDA31-E193-401E-AD89-5D8A73F3193C}"/>
    <cellStyle name="Lien hypertexte visite_draft11-1VM_eurocomparison_050618H61BTStep2_3Contract_PPMwork8_ITP _D40 090115 (MP_BP09)" xfId="13548" xr:uid="{0F936DEC-7352-48D2-A777-F898F194C47E}"/>
    <cellStyle name="Lien hypertexte visité_draft11-1VM_eurocomparison_050618H61BTStep2_3Contract_PPMwork8_ITP _D40 090115 (MP_BP09)" xfId="13549" xr:uid="{A9DB84D0-D516-4968-AB2C-5CB98A291DC1}"/>
    <cellStyle name="Lien hypertexte visite_draft11-1VM_eurocomparison_050627work12PPM1" xfId="13550" xr:uid="{9B993F36-B65E-496D-A3C4-8B68B9AACE0C}"/>
    <cellStyle name="Lien hypertexte visité_draft11-1VM_eurocomparison_050627work12PPM1" xfId="13551" xr:uid="{FFA833B7-F583-4719-A9DE-81C0E21B1569}"/>
    <cellStyle name="Lien hypertexte visite_draft11-1VM_eurocomparison_050627work12PPM1_ITP _D22LCVNNZCOP090612" xfId="13552" xr:uid="{88F8D815-A5E9-4B58-8F77-BBA78FABAC3D}"/>
    <cellStyle name="Lien hypertexte visité_draft11-1VM_eurocomparison_050627work12PPM1_ITP _D22LCVNNZCOP090612" xfId="13553" xr:uid="{EF75E534-4ACE-4F1F-8C79-5278FC297CCE}"/>
    <cellStyle name="Lien hypertexte visite_draft11-1VM_eurocomparison_050627work12PPM1_ITP _D40 090115 (MP_BP09)" xfId="13554" xr:uid="{65970B2F-0EE9-4CC6-B16D-D05D8EA54A0D}"/>
    <cellStyle name="Lien hypertexte visité_draft11-1VM_eurocomparison_050627work12PPM1_ITP _D40 090115 (MP_BP09)" xfId="13555" xr:uid="{03DE1405-C1A2-48E5-B239-FEB8ACC92C76}"/>
    <cellStyle name="Lien hypertexte visite_draft11-1VM_eurocomparison_ITP _D22LCVNNZCOP090612" xfId="13556" xr:uid="{07450BA3-BD20-42B2-85AC-7A0561B4509F}"/>
    <cellStyle name="Lien hypertexte visité_draft11-1VM_eurocomparison_ITP _D22LCVNNZCOP090612" xfId="13557" xr:uid="{932C0317-6350-45C7-882E-03978DFE62D3}"/>
    <cellStyle name="Lien hypertexte visite_draft11-1VM_eurocomparison_ITP _D40 090115 (MP_BP09)" xfId="13558" xr:uid="{6F6ECED8-B0C3-4A8D-B58D-CE35097C7D2B}"/>
    <cellStyle name="Lien hypertexte visité_draft11-1VM_eurocomparison_ITP _D40 090115 (MP_BP09)" xfId="13559" xr:uid="{A8B7656A-8756-4128-BED8-80EFE64E1023}"/>
    <cellStyle name="Lien hypertexte visite_draft11-1VM_eurocomparisonwithC1dele" xfId="13560" xr:uid="{72977943-6093-479A-89DD-5A7BC0640912}"/>
    <cellStyle name="Lien hypertexte visité_draft11-1VM_eurocomparisonwithC1dele" xfId="13561" xr:uid="{1B3F4987-BD5C-49A2-AD1F-3FF58746F504}"/>
    <cellStyle name="Lien hypertexte visite_draft11-1VM_eurocomparisonwithC1dele_050618H61BTStep2_3Contract_PPMwork8" xfId="13562" xr:uid="{DFE5AF57-972D-40E8-A76F-0481384E60B0}"/>
    <cellStyle name="Lien hypertexte visité_draft11-1VM_eurocomparisonwithC1dele_050618H61BTStep2_3Contract_PPMwork8" xfId="13563" xr:uid="{644384E8-3E9A-4D32-BA4B-D6865204F945}"/>
    <cellStyle name="Lien hypertexte visite_draft11-1VM_eurocomparisonwithC1dele_050618H61BTStep2_3Contract_PPMwork8_ITP _D22LCVNNZCOP090612" xfId="13564" xr:uid="{5CA13229-86FE-44B2-8DF7-97E2BD2452C5}"/>
    <cellStyle name="Lien hypertexte visité_draft11-1VM_eurocomparisonwithC1dele_050618H61BTStep2_3Contract_PPMwork8_ITP _D22LCVNNZCOP090612" xfId="13565" xr:uid="{7BFE1E86-0484-49B2-94FB-8B3C53B991A1}"/>
    <cellStyle name="Lien hypertexte visite_draft11-1VM_eurocomparisonwithC1dele_050618H61BTStep2_3Contract_PPMwork8_ITP _D40 090115 (MP_BP09)" xfId="13566" xr:uid="{473549B0-87B3-4A0D-A9A9-FC5A0BA0785B}"/>
    <cellStyle name="Lien hypertexte visité_draft11-1VM_eurocomparisonwithC1dele_050618H61BTStep2_3Contract_PPMwork8_ITP _D40 090115 (MP_BP09)" xfId="13567" xr:uid="{F8694A39-7D65-4005-AA47-568368EDAAE7}"/>
    <cellStyle name="Lien hypertexte visite_draft11-1VM_eurocomparisonwithC1dele_050627work12PPM1" xfId="13568" xr:uid="{67B024EE-D7EC-4562-BCF6-61A783CEF982}"/>
    <cellStyle name="Lien hypertexte visité_draft11-1VM_eurocomparisonwithC1dele_050627work12PPM1" xfId="13569" xr:uid="{3D8EEEB3-3E28-4172-BDF2-D1BBFDE1DB83}"/>
    <cellStyle name="Lien hypertexte visite_draft11-1VM_eurocomparisonwithC1dele_050627work12PPM1_ITP _D22LCVNNZCOP090612" xfId="13570" xr:uid="{339F4D51-9CDB-43D1-AFCE-D4204A4D703D}"/>
    <cellStyle name="Lien hypertexte visité_draft11-1VM_eurocomparisonwithC1dele_050627work12PPM1_ITP _D22LCVNNZCOP090612" xfId="13571" xr:uid="{6E1F87CF-0FDB-4620-8DA6-4C994F7D0C8A}"/>
    <cellStyle name="Lien hypertexte visite_draft11-1VM_eurocomparisonwithC1dele_050627work12PPM1_ITP _D40 090115 (MP_BP09)" xfId="13572" xr:uid="{57C1F0DE-48E7-4D48-804A-A07A705C4C98}"/>
    <cellStyle name="Lien hypertexte visité_draft11-1VM_eurocomparisonwithC1dele_050627work12PPM1_ITP _D40 090115 (MP_BP09)" xfId="13573" xr:uid="{897EE3F5-D7EA-4CEA-B0BA-48BF05F49888}"/>
    <cellStyle name="Lien hypertexte visite_draft11-1VM_eurocomparisonwithC1dele_1" xfId="13574" xr:uid="{ED23444E-4C18-4AAB-B1EE-E1AFC553F248}"/>
    <cellStyle name="Lien hypertexte visité_draft11-1VM_eurocomparisonwithC1dele_1" xfId="13575" xr:uid="{2F8A05FE-2E25-49D9-86CA-673B9AC8FCF7}"/>
    <cellStyle name="Lien hypertexte visite_draft11-1VM_eurocomparisonwithC1dele_1_050618H61BTStep2_3Contract_PPMwork8" xfId="13576" xr:uid="{9C4AB035-45D8-46D1-A323-96E092158F72}"/>
    <cellStyle name="Lien hypertexte visité_draft11-1VM_eurocomparisonwithC1dele_1_050618H61BTStep2_3Contract_PPMwork8" xfId="13577" xr:uid="{E8EBD684-577B-44A0-8272-406087D72766}"/>
    <cellStyle name="Lien hypertexte visite_draft11-1VM_eurocomparisonwithC1dele_1_050618H61BTStep2_3Contract_PPMwork8_ITP _D22LCVNNZCOP090612" xfId="13578" xr:uid="{32B07928-553E-4CC8-913C-C88CA5C0B00C}"/>
    <cellStyle name="Lien hypertexte visité_draft11-1VM_eurocomparisonwithC1dele_1_050618H61BTStep2_3Contract_PPMwork8_ITP _D22LCVNNZCOP090612" xfId="13579" xr:uid="{211FEC08-22A1-4BC3-B3AB-A263666AA63A}"/>
    <cellStyle name="Lien hypertexte visite_draft11-1VM_eurocomparisonwithC1dele_1_050618H61BTStep2_3Contract_PPMwork8_ITP _D40 090115 (MP_BP09)" xfId="13580" xr:uid="{58C4E9AC-25F9-498B-8104-AA11C314C428}"/>
    <cellStyle name="Lien hypertexte visité_draft11-1VM_eurocomparisonwithC1dele_1_050618H61BTStep2_3Contract_PPMwork8_ITP _D40 090115 (MP_BP09)" xfId="13581" xr:uid="{E2970263-1D90-4268-BD96-9D37AE0BFE45}"/>
    <cellStyle name="Lien hypertexte visite_draft11-1VM_eurocomparisonwithC1dele_1_050627work12PPM1" xfId="13582" xr:uid="{96BD14CC-9FF8-41FD-BD98-6AA0F334BC51}"/>
    <cellStyle name="Lien hypertexte visité_draft11-1VM_eurocomparisonwithC1dele_1_050627work12PPM1" xfId="13583" xr:uid="{556A5FFD-9E36-4540-9045-CFA444E0D295}"/>
    <cellStyle name="Lien hypertexte visite_draft11-1VM_eurocomparisonwithC1dele_1_050627work12PPM1_ITP _D22LCVNNZCOP090612" xfId="13584" xr:uid="{93F748D1-EE67-4D94-AE66-0D4979973619}"/>
    <cellStyle name="Lien hypertexte visité_draft11-1VM_eurocomparisonwithC1dele_1_050627work12PPM1_ITP _D22LCVNNZCOP090612" xfId="13585" xr:uid="{0CC129BF-861E-4129-B6C2-02CF3E3F2228}"/>
    <cellStyle name="Lien hypertexte visite_draft11-1VM_eurocomparisonwithC1dele_1_050627work12PPM1_ITP _D40 090115 (MP_BP09)" xfId="13586" xr:uid="{120121B5-A09C-46C4-B4E6-412666D8BCA0}"/>
    <cellStyle name="Lien hypertexte visité_draft11-1VM_eurocomparisonwithC1dele_1_050627work12PPM1_ITP _D40 090115 (MP_BP09)" xfId="13587" xr:uid="{3143ADB2-85C1-487C-854B-E98409832FF2}"/>
    <cellStyle name="Lien hypertexte visite_draft11-1VM_eurocomparisonwithC1dele_1_ITP _D22LCVNNZCOP090612" xfId="13588" xr:uid="{A46B4EA9-AF2A-4A47-B1ED-31E3E6133C64}"/>
    <cellStyle name="Lien hypertexte visité_draft11-1VM_eurocomparisonwithC1dele_1_ITP _D22LCVNNZCOP090612" xfId="13589" xr:uid="{247909B0-C98B-413D-8A9D-F7399829B5DE}"/>
    <cellStyle name="Lien hypertexte visite_draft11-1VM_eurocomparisonwithC1dele_1_ITP _D40 090115 (MP_BP09)" xfId="13590" xr:uid="{856D2CF4-1470-49C4-B504-9F4209069103}"/>
    <cellStyle name="Lien hypertexte visité_draft11-1VM_eurocomparisonwithC1dele_1_ITP _D40 090115 (MP_BP09)" xfId="13591" xr:uid="{E2AD6053-C2AD-40C0-9C3D-36803806F721}"/>
    <cellStyle name="Lien hypertexte visite_draft11-1VM_eurocomparisonwithC1dele_ITP _D22LCVNNZCOP090612" xfId="13592" xr:uid="{B53FA62E-06E5-477A-A9BC-41B753BB87B6}"/>
    <cellStyle name="Lien hypertexte visité_draft11-1VM_eurocomparisonwithC1dele_ITP _D22LCVNNZCOP090612" xfId="13593" xr:uid="{287718DB-08E6-4A26-AB68-A19958735F35}"/>
    <cellStyle name="Lien hypertexte visite_draft11-1VM_eurocomparisonwithC1dele_ITP _D40 090115 (MP_BP09)" xfId="13594" xr:uid="{DEF2064C-8FCB-49EA-9687-CCF1F6EE6DAA}"/>
    <cellStyle name="Lien hypertexte visité_draft11-1VM_eurocomparisonwithC1dele_ITP _D40 090115 (MP_BP09)" xfId="13595" xr:uid="{287D4815-8DB2-46BE-A0A3-1F6E5266CC22}"/>
    <cellStyle name="Lien hypertexte visite_FY08 Retail Volume April Report 090409" xfId="13596" xr:uid="{F251E86C-EA99-4912-85B2-9E8D83CE6D08}"/>
    <cellStyle name="Lien hypertexte visité_FY09 CNTRL Outlook June-Latest0619-Final Retail" xfId="13597" xr:uid="{F7D826FF-F612-4933-A62A-0A3956191FE5}"/>
    <cellStyle name="Lien hypertexte visite_FY09 Fcst #3_TIV_MS_Volume-Dec11" xfId="13598" xr:uid="{957AD476-AABA-4EE1-9261-8A0F393DAB87}"/>
    <cellStyle name="Lien hypertexte visité_FY09 Fcst #3_TIV_MS_Volume-Dec11" xfId="13599" xr:uid="{1E88F1FC-C193-4042-AAF8-A8C371209413}"/>
    <cellStyle name="Lien hypertexte visite_FY09 Landing Scenarios" xfId="13600" xr:uid="{9733BAA1-8112-4F7C-9C97-A0E5FCE10E9B}"/>
    <cellStyle name="Lien hypertexte visité_FY09 Landing Scenarios" xfId="13601" xr:uid="{89926A35-B335-418F-8750-843D56AC7BF5}"/>
    <cellStyle name="Lien hypertexte visite_FY09 Landing Scenarios_Flash Volume Summary-PER01-rv1" xfId="13602" xr:uid="{855CF2D9-B31C-470A-9581-C26B5BB91F1E}"/>
    <cellStyle name="Lien hypertexte visité_FY09 Material risk forecast(Parts) between DFL and NML-1015" xfId="13603" xr:uid="{14B16FFF-F634-4113-ADF1-DA1B0452602A}"/>
    <cellStyle name="Lien hypertexte visite_FY09Q1 Outlook Volume_Jun22-2" xfId="13604" xr:uid="{1DC57DA7-E8EB-4730-BA43-4F9BECD707A9}"/>
    <cellStyle name="Lien hypertexte visité_FY09Q1 Outlook Volume_Jun22-2" xfId="13605" xr:uid="{89A4C7D4-0670-4EC8-A9F2-E853674CB232}"/>
    <cellStyle name="Lien hypertexte visite_FY09Q1 Outlook Volume_Jun24" xfId="13606" xr:uid="{345CF9F4-BE33-44AE-93D7-F3EE8764AEA8}"/>
    <cellStyle name="Lien hypertexte visité_FY09Q1 Outlook Volume_Jun24" xfId="13607" xr:uid="{C694201E-EE05-4849-BFB2-135261BFA114}"/>
    <cellStyle name="Lien hypertexte visite_FY10 Fcst#3 FX rate_11 9 " xfId="13608" xr:uid="{19CF0BAA-AE6C-4DD7-87DC-4AD9DD777D09}"/>
    <cellStyle name="Lien hypertexte visité_FY10 Fcst#3 FX rate_11 9 " xfId="13609" xr:uid="{4DD9D7EF-1BA0-424A-A804-B60B52B8149B}"/>
    <cellStyle name="Lien hypertexte visite_FY10 Fcst#3 FX rate_11.5" xfId="13610" xr:uid="{9E0E434C-BAAE-42B5-921A-8B3EF95CD857}"/>
    <cellStyle name="Lien hypertexte visité_FY10 Fcst#3 FX rate_11.5" xfId="13611" xr:uid="{13DD9AD5-450E-441E-9EF8-008F6908D8F5}"/>
    <cellStyle name="Lien hypertexte visite_L11K PRC企画書ｶｸ2attachments" xfId="13612" xr:uid="{5C8D74E7-14B4-417D-AF09-F1A9894A269C}"/>
    <cellStyle name="Lien hypertexte visité_L11K PRC企画書ｶｸ2attachments" xfId="13613" xr:uid="{8BA06DCE-F5BB-4EF7-B1F4-D923E6BEB6E6}"/>
    <cellStyle name="Lien hypertexte visite_L11K PRC企画書ｶｸ2attachments_050618H61BTStep2_3Contract_PPMwork8" xfId="13614" xr:uid="{603AEC28-ED04-4AE5-85E4-81FD1E44499B}"/>
    <cellStyle name="Lien hypertexte visité_L11K PRC企画書ｶｸ2attachments_050618H61BTStep2_3Contract_PPMwork8" xfId="13615" xr:uid="{5A517859-E724-4AE4-83CD-9F0A21FE81E7}"/>
    <cellStyle name="Lien hypertexte visite_L11K PRC企画書ｶｸ2attachments_050618H61BTStep2_3Contract_PPMwork8_ITP _D22LCVNNZCOP090612" xfId="13616" xr:uid="{F28722C9-1767-407A-9F52-E6976F9B9B43}"/>
    <cellStyle name="Lien hypertexte visité_L11K PRC企画書ｶｸ2attachments_050618H61BTStep2_3Contract_PPMwork8_ITP _D22LCVNNZCOP090612" xfId="13617" xr:uid="{39B170FA-326A-4BFA-A5BA-CCD5750759B8}"/>
    <cellStyle name="Lien hypertexte visite_L11K PRC企画書ｶｸ2attachments_050618H61BTStep2_3Contract_PPMwork8_ITP _D40 090115 (MP_BP09)" xfId="13618" xr:uid="{A9E7C0A9-3F99-44C0-8E64-629C9A4C343F}"/>
    <cellStyle name="Lien hypertexte visité_L11K PRC企画書ｶｸ2attachments_050618H61BTStep2_3Contract_PPMwork8_ITP _D40 090115 (MP_BP09)" xfId="13619" xr:uid="{5165BD7A-2C5C-414F-BEE5-29B772E8DC99}"/>
    <cellStyle name="Lien hypertexte visite_L11K PRC企画書ｶｸ2attachments_050627work12PPM1" xfId="13620" xr:uid="{801BFE60-36A9-4FF6-A717-4F409945B6D8}"/>
    <cellStyle name="Lien hypertexte visité_L11K PRC企画書ｶｸ2attachments_050627work12PPM1" xfId="13621" xr:uid="{2623D8D5-6143-4B86-BA2D-CAF785C1DC98}"/>
    <cellStyle name="Lien hypertexte visite_L11K PRC企画書ｶｸ2attachments_050627work12PPM1_ITP _D22LCVNNZCOP090612" xfId="13622" xr:uid="{2D9A2009-FB39-4DE5-80F3-1D54434BE5BB}"/>
    <cellStyle name="Lien hypertexte visité_L11K PRC企画書ｶｸ2attachments_050627work12PPM1_ITP _D22LCVNNZCOP090612" xfId="13623" xr:uid="{CE362C5A-01E1-49C8-B1F1-4D0FAF30B4C9}"/>
    <cellStyle name="Lien hypertexte visite_L11K PRC企画書ｶｸ2attachments_050627work12PPM1_ITP _D40 090115 (MP_BP09)" xfId="13624" xr:uid="{8FA6F59D-1443-4F77-9DDA-49D836399E8A}"/>
    <cellStyle name="Lien hypertexte visité_L11K PRC企画書ｶｸ2attachments_050627work12PPM1_ITP _D40 090115 (MP_BP09)" xfId="13625" xr:uid="{F6BF7E4D-19DE-4093-A731-2ABA76E6D04B}"/>
    <cellStyle name="Lien hypertexte visite_L11K PRC企画書ｶｸ2attachments_draft11" xfId="13626" xr:uid="{5CB77642-42FB-49F1-AAD1-B0A0ED3E61D6}"/>
    <cellStyle name="Lien hypertexte visité_L11K PRC企画書ｶｸ2attachments_draft11" xfId="13627" xr:uid="{464FA41A-405A-4C2B-ACD8-BDA4ED2B5723}"/>
    <cellStyle name="Lien hypertexte visite_L11K PRC企画書ｶｸ2attachments_draft11_050618H61BTStep2_3Contract_PPMwork8" xfId="13628" xr:uid="{DE80D275-5E7E-42A4-8144-27D650597CFC}"/>
    <cellStyle name="Lien hypertexte visité_L11K PRC企画書ｶｸ2attachments_draft11_050618H61BTStep2_3Contract_PPMwork8" xfId="13629" xr:uid="{55E57F5A-1B25-459F-86B8-AF57D6DADA07}"/>
    <cellStyle name="Lien hypertexte visite_L11K PRC企画書ｶｸ2attachments_draft11_050618H61BTStep2_3Contract_PPMwork8_ITP _D22LCVNNZCOP090612" xfId="13630" xr:uid="{26C67279-4C7E-44EA-9DD0-F6097D89A7A2}"/>
    <cellStyle name="Lien hypertexte visité_L11K PRC企画書ｶｸ2attachments_draft11_050618H61BTStep2_3Contract_PPMwork8_ITP _D22LCVNNZCOP090612" xfId="13631" xr:uid="{2A3E64F8-06B2-47FF-9A7D-241EFA8BCA2C}"/>
    <cellStyle name="Lien hypertexte visite_L11K PRC企画書ｶｸ2attachments_draft11_050618H61BTStep2_3Contract_PPMwork8_ITP _D40 090115 (MP_BP09)" xfId="13632" xr:uid="{21AFDC03-10DD-418D-904B-E1AB83022D6A}"/>
    <cellStyle name="Lien hypertexte visité_L11K PRC企画書ｶｸ2attachments_draft11_050618H61BTStep2_3Contract_PPMwork8_ITP _D40 090115 (MP_BP09)" xfId="13633" xr:uid="{FB2A7CB9-E626-4563-A369-EF506BA29070}"/>
    <cellStyle name="Lien hypertexte visite_L11K PRC企画書ｶｸ2attachments_draft11_050627work12PPM1" xfId="13634" xr:uid="{F9B13F83-9BD3-422C-9D7D-6A1DEEED0AD2}"/>
    <cellStyle name="Lien hypertexte visité_L11K PRC企画書ｶｸ2attachments_draft11_050627work12PPM1" xfId="13635" xr:uid="{914556F3-8319-47D1-8D73-4C49DDCA6F1F}"/>
    <cellStyle name="Lien hypertexte visite_L11K PRC企画書ｶｸ2attachments_draft11_050627work12PPM1_ITP _D22LCVNNZCOP090612" xfId="13636" xr:uid="{E389AEC8-E9A8-4730-A705-40BB4E0946FB}"/>
    <cellStyle name="Lien hypertexte visité_L11K PRC企画書ｶｸ2attachments_draft11_050627work12PPM1_ITP _D22LCVNNZCOP090612" xfId="13637" xr:uid="{7C18BD62-C29E-48AC-8868-57129B2FF5F1}"/>
    <cellStyle name="Lien hypertexte visite_L11K PRC企画書ｶｸ2attachments_draft11_050627work12PPM1_ITP _D40 090115 (MP_BP09)" xfId="13638" xr:uid="{60862162-21FC-4D6E-8F34-D60CC616A246}"/>
    <cellStyle name="Lien hypertexte visité_L11K PRC企画書ｶｸ2attachments_draft11_050627work12PPM1_ITP _D40 090115 (MP_BP09)" xfId="13639" xr:uid="{F4ADCA3B-6440-4023-9D1B-748533D3F09E}"/>
    <cellStyle name="Lien hypertexte visite_L11K PRC企画書ｶｸ2attachments_draft11_draft11-1VM_eurocomparisonwithC1dele" xfId="13640" xr:uid="{2A6A2FFF-B8A4-4A3F-A23D-021C81D4A3FB}"/>
    <cellStyle name="Lien hypertexte visité_L11K PRC企画書ｶｸ2attachments_draft11_draft11-1VM_eurocomparisonwithC1dele" xfId="13641" xr:uid="{F14E0662-A64A-454F-B48A-36D678F7970F}"/>
    <cellStyle name="Lien hypertexte visite_L11K PRC企画書ｶｸ2attachments_draft11_draft11-1VM_eurocomparisonwithC1dele_050618H61BTStep2_3Contract_PPMwork8" xfId="13642" xr:uid="{A02A1DAC-CA3F-4B9A-B3DC-7EC344EB4498}"/>
    <cellStyle name="Lien hypertexte visité_L11K PRC企画書ｶｸ2attachments_draft11_draft11-1VM_eurocomparisonwithC1dele_050618H61BTStep2_3Contract_PPMwork8" xfId="13643" xr:uid="{109A21E2-A834-4454-8A68-260CD6464F2E}"/>
    <cellStyle name="Lien hypertexte visite_L11K PRC企画書ｶｸ2attachments_draft11_draft11-1VM_eurocomparisonwithC1dele_050618H61BTStep2_3Contract_PPMwork8_ITP _D22LCVNNZCOP090612" xfId="13644" xr:uid="{E16CB4DC-242E-42BF-A4CD-4F1F39B60EC8}"/>
    <cellStyle name="Lien hypertexte visité_L11K PRC企画書ｶｸ2attachments_draft11_draft11-1VM_eurocomparisonwithC1dele_050618H61BTStep2_3Contract_PPMwork8_ITP _D22LCVNNZCOP090612" xfId="13645" xr:uid="{DB2FCAE5-C3AD-45A6-8166-C942C8F33E3D}"/>
    <cellStyle name="Lien hypertexte visite_L11K PRC企画書ｶｸ2attachments_draft11_draft11-1VM_eurocomparisonwithC1dele_050618H61BTStep2_3Contract_PPMwork8_ITP _D40 090115 (MP_BP09)" xfId="13646" xr:uid="{2A7A8A2A-7BBD-4445-8154-225CC64D857A}"/>
    <cellStyle name="Lien hypertexte visité_L11K PRC企画書ｶｸ2attachments_draft11_draft11-1VM_eurocomparisonwithC1dele_050618H61BTStep2_3Contract_PPMwork8_ITP _D40 090115 (MP_BP09)" xfId="13647" xr:uid="{706C8D93-1BDE-40D5-BE3B-243AD123D61A}"/>
    <cellStyle name="Lien hypertexte visite_L11K PRC企画書ｶｸ2attachments_draft11_draft11-1VM_eurocomparisonwithC1dele_050627work12PPM1" xfId="13648" xr:uid="{E7C88DE9-F629-47B8-BDEE-5CBCB422BAE0}"/>
    <cellStyle name="Lien hypertexte visité_L11K PRC企画書ｶｸ2attachments_draft11_draft11-1VM_eurocomparisonwithC1dele_050627work12PPM1" xfId="13649" xr:uid="{2BB48A9E-12BB-485B-B02F-E67D6C7114E8}"/>
    <cellStyle name="Lien hypertexte visite_L11K PRC企画書ｶｸ2attachments_draft11_draft11-1VM_eurocomparisonwithC1dele_050627work12PPM1_ITP _D22LCVNNZCOP090612" xfId="13650" xr:uid="{242BF998-0E4B-4B4C-8F5D-5C48EA3179A3}"/>
    <cellStyle name="Lien hypertexte visité_L11K PRC企画書ｶｸ2attachments_draft11_draft11-1VM_eurocomparisonwithC1dele_050627work12PPM1_ITP _D22LCVNNZCOP090612" xfId="13651" xr:uid="{14006E1C-A638-42F9-81AE-26A66A41CE5E}"/>
    <cellStyle name="Lien hypertexte visite_L11K PRC企画書ｶｸ2attachments_draft11_draft11-1VM_eurocomparisonwithC1dele_050627work12PPM1_ITP _D40 090115 (MP_BP09)" xfId="13652" xr:uid="{CB8EF76D-5915-4511-AF4F-4AAA1494FAE1}"/>
    <cellStyle name="Lien hypertexte visité_L11K PRC企画書ｶｸ2attachments_draft11_draft11-1VM_eurocomparisonwithC1dele_050627work12PPM1_ITP _D40 090115 (MP_BP09)" xfId="13653" xr:uid="{99BE7DF6-CEAB-4215-818F-E37DFA7E7921}"/>
    <cellStyle name="Lien hypertexte visite_L11K PRC企画書ｶｸ2attachments_draft11_draft11-1VM_eurocomparisonwithC1dele_ITP _D22LCVNNZCOP090612" xfId="13654" xr:uid="{7B83C348-BA3F-4E92-946D-40E8B65C45C9}"/>
    <cellStyle name="Lien hypertexte visité_L11K PRC企画書ｶｸ2attachments_draft11_draft11-1VM_eurocomparisonwithC1dele_ITP _D22LCVNNZCOP090612" xfId="13655" xr:uid="{BAF370FE-8519-4AE4-8ACF-462BE667DAB3}"/>
    <cellStyle name="Lien hypertexte visite_L11K PRC企画書ｶｸ2attachments_draft11_draft11-1VM_eurocomparisonwithC1dele_ITP _D40 090115 (MP_BP09)" xfId="13656" xr:uid="{3E49E712-F715-4095-8A6D-D2D33AF10814}"/>
    <cellStyle name="Lien hypertexte visité_L11K PRC企画書ｶｸ2attachments_draft11_draft11-1VM_eurocomparisonwithC1dele_ITP _D40 090115 (MP_BP09)" xfId="13657" xr:uid="{70079220-A0B4-458F-9D42-C7E39CB52348}"/>
    <cellStyle name="Lien hypertexte visite_L11K PRC企画書ｶｸ2attachments_draft11_ITP _D22LCVNNZCOP090612" xfId="13658" xr:uid="{67DBD981-8A85-4EFD-A9BA-230C2083264F}"/>
    <cellStyle name="Lien hypertexte visité_L11K PRC企画書ｶｸ2attachments_draft11_ITP _D22LCVNNZCOP090612" xfId="13659" xr:uid="{F2BC5388-8C97-44F3-BA9A-DB5B6D860EC3}"/>
    <cellStyle name="Lien hypertexte visite_L11K PRC企画書ｶｸ2attachments_draft11_ITP _D40 090115 (MP_BP09)" xfId="13660" xr:uid="{399C712E-1D35-4E2F-94AC-51406E41C84B}"/>
    <cellStyle name="Lien hypertexte visité_L11K PRC企画書ｶｸ2attachments_draft11_ITP _D40 090115 (MP_BP09)" xfId="13661" xr:uid="{1D1587B6-3ECE-4959-A9F4-2B30D7777569}"/>
    <cellStyle name="Lien hypertexte visite_L11K PRC企画書ｶｸ2attachments_draft11-1VM_eurocomparison" xfId="13662" xr:uid="{02C51A37-9D51-416B-80BC-31EC445F1408}"/>
    <cellStyle name="Lien hypertexte visité_L11K PRC企画書ｶｸ2attachments_draft11-1VM_eurocomparison" xfId="13663" xr:uid="{12549DF5-D021-4C83-8C80-553402731891}"/>
    <cellStyle name="Lien hypertexte visite_L11K PRC企画書ｶｸ2attachments_draft11-1VM_eurocomparison_050618H61BTStep2_3Contract_PPMwork8" xfId="13664" xr:uid="{F8C70B04-69A8-4837-9518-2A8BDD8C934E}"/>
    <cellStyle name="Lien hypertexte visité_L11K PRC企画書ｶｸ2attachments_draft11-1VM_eurocomparison_050618H61BTStep2_3Contract_PPMwork8" xfId="13665" xr:uid="{F60B4C54-B73F-4DBC-9FBE-EB9051446A3E}"/>
    <cellStyle name="Lien hypertexte visite_L11K PRC企画書ｶｸ2attachments_draft11-1VM_eurocomparison_050618H61BTStep2_3Contract_PPMwork8_ITP _D22LCVNNZCOP090612" xfId="13666" xr:uid="{934AC665-9093-4C79-BBA1-E0C659286A74}"/>
    <cellStyle name="Lien hypertexte visité_L11K PRC企画書ｶｸ2attachments_draft11-1VM_eurocomparison_050618H61BTStep2_3Contract_PPMwork8_ITP _D22LCVNNZCOP090612" xfId="13667" xr:uid="{1CED9658-0695-4BA5-8AA3-64DD8644AC61}"/>
    <cellStyle name="Lien hypertexte visite_L11K PRC企画書ｶｸ2attachments_draft11-1VM_eurocomparison_050618H61BTStep2_3Contract_PPMwork8_ITP _D40 090115 (MP_BP09)" xfId="13668" xr:uid="{80550EE8-FFCD-4E51-A561-8A3AFD0D5987}"/>
    <cellStyle name="Lien hypertexte visité_L11K PRC企画書ｶｸ2attachments_draft11-1VM_eurocomparison_050618H61BTStep2_3Contract_PPMwork8_ITP _D40 090115 (MP_BP09)" xfId="13669" xr:uid="{AEC8C8E4-3D25-4188-A014-94AE06979609}"/>
    <cellStyle name="Lien hypertexte visite_L11K PRC企画書ｶｸ2attachments_draft11-1VM_eurocomparison_050627work12PPM1" xfId="13670" xr:uid="{04B41FF6-A17F-460C-9E0D-F286DA632223}"/>
    <cellStyle name="Lien hypertexte visité_L11K PRC企画書ｶｸ2attachments_draft11-1VM_eurocomparison_050627work12PPM1" xfId="13671" xr:uid="{C4D9AF9B-07F6-4566-9A17-A47A7EF5C392}"/>
    <cellStyle name="Lien hypertexte visite_L11K PRC企画書ｶｸ2attachments_draft11-1VM_eurocomparison_050627work12PPM1_ITP _D22LCVNNZCOP090612" xfId="13672" xr:uid="{79E0855E-6C80-45FC-B999-CB0D41A4C405}"/>
    <cellStyle name="Lien hypertexte visité_L11K PRC企画書ｶｸ2attachments_draft11-1VM_eurocomparison_050627work12PPM1_ITP _D22LCVNNZCOP090612" xfId="13673" xr:uid="{DD05706B-E288-41C6-9CAA-87D016EF3826}"/>
    <cellStyle name="Lien hypertexte visite_L11K PRC企画書ｶｸ2attachments_draft11-1VM_eurocomparison_050627work12PPM1_ITP _D40 090115 (MP_BP09)" xfId="13674" xr:uid="{7E66F9AD-EAF1-4388-A8CA-D841104D933D}"/>
    <cellStyle name="Lien hypertexte visité_L11K PRC企画書ｶｸ2attachments_draft11-1VM_eurocomparison_050627work12PPM1_ITP _D40 090115 (MP_BP09)" xfId="13675" xr:uid="{4F41A01D-22C8-4313-B639-1F3C8D866AB5}"/>
    <cellStyle name="Lien hypertexte visite_L11K PRC企画書ｶｸ2attachments_draft11-1VM_eurocomparison_ITP _D22LCVNNZCOP090612" xfId="13676" xr:uid="{0028FFF6-DD41-4E44-AB1E-6F45CD84D6FC}"/>
    <cellStyle name="Lien hypertexte visité_L11K PRC企画書ｶｸ2attachments_draft11-1VM_eurocomparison_ITP _D22LCVNNZCOP090612" xfId="13677" xr:uid="{B9A4F82A-4278-4B46-9D16-D4FEBD8BDE6D}"/>
    <cellStyle name="Lien hypertexte visite_L11K PRC企画書ｶｸ2attachments_draft11-1VM_eurocomparison_ITP _D40 090115 (MP_BP09)" xfId="13678" xr:uid="{3DFB69FD-5837-4E45-876F-1F45269F048B}"/>
    <cellStyle name="Lien hypertexte visité_L11K PRC企画書ｶｸ2attachments_draft11-1VM_eurocomparison_ITP _D40 090115 (MP_BP09)" xfId="13679" xr:uid="{B848A266-5C4E-4ACA-8D80-4C364CC47AA8}"/>
    <cellStyle name="Lien hypertexte visite_L11K PRC企画書ｶｸ2attachments_draft11-1VM_eurocomparisonwithC1dele" xfId="13680" xr:uid="{C3CC7895-2AF3-471D-9062-C013A316A569}"/>
    <cellStyle name="Lien hypertexte visité_L11K PRC企画書ｶｸ2attachments_draft11-1VM_eurocomparisonwithC1dele" xfId="13681" xr:uid="{1ED4EE3F-30D5-4274-AA4A-0B0870D34E25}"/>
    <cellStyle name="Lien hypertexte visite_L11K PRC企画書ｶｸ2attachments_draft11-1VM_eurocomparisonwithC1dele_050618H61BTStep2_3Contract_PPMwork8" xfId="13682" xr:uid="{2DAF0C51-2980-4754-B5AF-B682F29EE179}"/>
    <cellStyle name="Lien hypertexte visité_L11K PRC企画書ｶｸ2attachments_draft11-1VM_eurocomparisonwithC1dele_050618H61BTStep2_3Contract_PPMwork8" xfId="13683" xr:uid="{EBC7EF25-D467-4783-96AA-AF486C7EDDCD}"/>
    <cellStyle name="Lien hypertexte visite_L11K PRC企画書ｶｸ2attachments_draft11-1VM_eurocomparisonwithC1dele_050618H61BTStep2_3Contract_PPMwork8_ITP _D22LCVNNZCOP090612" xfId="13684" xr:uid="{B3F44F8E-EC1C-4C3D-B461-78E840335EBB}"/>
    <cellStyle name="Lien hypertexte visité_L11K PRC企画書ｶｸ2attachments_draft11-1VM_eurocomparisonwithC1dele_050618H61BTStep2_3Contract_PPMwork8_ITP _D22LCVNNZCOP090612" xfId="13685" xr:uid="{E4433D5C-3A6A-4DA2-B9EF-3C4505C70655}"/>
    <cellStyle name="Lien hypertexte visite_L11K PRC企画書ｶｸ2attachments_draft11-1VM_eurocomparisonwithC1dele_050618H61BTStep2_3Contract_PPMwork8_ITP _D40 090115 (MP_BP09)" xfId="13686" xr:uid="{467348B1-5688-4381-BE5D-3E0616FF9E93}"/>
    <cellStyle name="Lien hypertexte visité_L11K PRC企画書ｶｸ2attachments_draft11-1VM_eurocomparisonwithC1dele_050618H61BTStep2_3Contract_PPMwork8_ITP _D40 090115 (MP_BP09)" xfId="13687" xr:uid="{33491972-51FF-42D8-846F-214FA3A25ED5}"/>
    <cellStyle name="Lien hypertexte visite_L11K PRC企画書ｶｸ2attachments_draft11-1VM_eurocomparisonwithC1dele_050627work12PPM1" xfId="13688" xr:uid="{6A52061C-EFE9-4DC0-9906-66199BA6E98D}"/>
    <cellStyle name="Lien hypertexte visité_L11K PRC企画書ｶｸ2attachments_draft11-1VM_eurocomparisonwithC1dele_050627work12PPM1" xfId="13689" xr:uid="{2F682DA5-F07A-416E-A0F9-97166006E145}"/>
    <cellStyle name="Lien hypertexte visite_L11K PRC企画書ｶｸ2attachments_draft11-1VM_eurocomparisonwithC1dele_050627work12PPM1_ITP _D22LCVNNZCOP090612" xfId="13690" xr:uid="{50D945AA-17C2-4741-8955-260E0917EF0F}"/>
    <cellStyle name="Lien hypertexte visité_L11K PRC企画書ｶｸ2attachments_draft11-1VM_eurocomparisonwithC1dele_050627work12PPM1_ITP _D22LCVNNZCOP090612" xfId="13691" xr:uid="{DAD3D006-0DD3-41D8-9EFC-0C6640D64E05}"/>
    <cellStyle name="Lien hypertexte visite_L11K PRC企画書ｶｸ2attachments_draft11-1VM_eurocomparisonwithC1dele_050627work12PPM1_ITP _D40 090115 (MP_BP09)" xfId="13692" xr:uid="{0B6579BC-3EC6-49B6-AD17-AD017AECBE88}"/>
    <cellStyle name="Lien hypertexte visité_L11K PRC企画書ｶｸ2attachments_draft11-1VM_eurocomparisonwithC1dele_050627work12PPM1_ITP _D40 090115 (MP_BP09)" xfId="13693" xr:uid="{5AB7E0F0-FADE-48BD-B64F-E7B03B8FE272}"/>
    <cellStyle name="Lien hypertexte visite_L11K PRC企画書ｶｸ2attachments_draft11-1VM_eurocomparisonwithC1dele_1" xfId="13694" xr:uid="{873838CB-719B-4FFE-B687-5E43293AF19C}"/>
    <cellStyle name="Lien hypertexte visité_L11K PRC企画書ｶｸ2attachments_draft11-1VM_eurocomparisonwithC1dele_1" xfId="13695" xr:uid="{B17D7BAA-A33A-4A8E-BDB2-46DCBC8A8C67}"/>
    <cellStyle name="Lien hypertexte visite_L11K PRC企画書ｶｸ2attachments_draft11-1VM_eurocomparisonwithC1dele_1_050618H61BTStep2_3Contract_PPMwork8" xfId="13696" xr:uid="{51FBA8A6-A607-483F-B566-B5072DB9E0F4}"/>
    <cellStyle name="Lien hypertexte visité_L11K PRC企画書ｶｸ2attachments_draft11-1VM_eurocomparisonwithC1dele_1_050618H61BTStep2_3Contract_PPMwork8" xfId="13697" xr:uid="{EDA570D1-EC43-4A9F-9DBE-E17D54299A0B}"/>
    <cellStyle name="Lien hypertexte visite_L11K PRC企画書ｶｸ2attachments_draft11-1VM_eurocomparisonwithC1dele_1_050618H61BTStep2_3Contract_PPMwork8_ITP _D22LCVNNZCOP090612" xfId="13698" xr:uid="{5A6E16E5-C63D-454A-A4F4-55099D00DF85}"/>
    <cellStyle name="Lien hypertexte visité_L11K PRC企画書ｶｸ2attachments_draft11-1VM_eurocomparisonwithC1dele_1_050618H61BTStep2_3Contract_PPMwork8_ITP _D22LCVNNZCOP090612" xfId="13699" xr:uid="{DE731ECC-9EAA-472C-A71F-4F61547750D9}"/>
    <cellStyle name="Lien hypertexte visite_L11K PRC企画書ｶｸ2attachments_draft11-1VM_eurocomparisonwithC1dele_1_050618H61BTStep2_3Contract_PPMwork8_ITP _D40 090115 (MP_BP09)" xfId="13700" xr:uid="{C51984C1-56F3-4461-AECF-D2E4078A7C6B}"/>
    <cellStyle name="Lien hypertexte visité_L11K PRC企画書ｶｸ2attachments_draft11-1VM_eurocomparisonwithC1dele_1_050618H61BTStep2_3Contract_PPMwork8_ITP _D40 090115 (MP_BP09)" xfId="13701" xr:uid="{FF0BE376-DF3E-45CF-9B76-909D8CAFC7EB}"/>
    <cellStyle name="Lien hypertexte visite_L11K PRC企画書ｶｸ2attachments_draft11-1VM_eurocomparisonwithC1dele_1_050627work12PPM1" xfId="13702" xr:uid="{A94362D2-8E6E-4346-98D7-06854DAEDD53}"/>
    <cellStyle name="Lien hypertexte visité_L11K PRC企画書ｶｸ2attachments_draft11-1VM_eurocomparisonwithC1dele_1_050627work12PPM1" xfId="13703" xr:uid="{D6289405-D477-4A03-8800-2F4E9554C452}"/>
    <cellStyle name="Lien hypertexte visite_L11K PRC企画書ｶｸ2attachments_draft11-1VM_eurocomparisonwithC1dele_1_050627work12PPM1_ITP _D22LCVNNZCOP090612" xfId="13704" xr:uid="{421F601F-F71E-4EE1-B652-88ED93BE73C9}"/>
    <cellStyle name="Lien hypertexte visité_L11K PRC企画書ｶｸ2attachments_draft11-1VM_eurocomparisonwithC1dele_1_050627work12PPM1_ITP _D22LCVNNZCOP090612" xfId="13705" xr:uid="{01C6A28D-9D08-4400-B982-82E9F62C8B3C}"/>
    <cellStyle name="Lien hypertexte visite_L11K PRC企画書ｶｸ2attachments_draft11-1VM_eurocomparisonwithC1dele_1_050627work12PPM1_ITP _D40 090115 (MP_BP09)" xfId="13706" xr:uid="{741FC205-34A5-4566-A660-86A734B4D1AB}"/>
    <cellStyle name="Lien hypertexte visité_L11K PRC企画書ｶｸ2attachments_draft11-1VM_eurocomparisonwithC1dele_1_050627work12PPM1_ITP _D40 090115 (MP_BP09)" xfId="13707" xr:uid="{F6AFD70C-2330-4AA0-A8A2-7544DE1E592F}"/>
    <cellStyle name="Lien hypertexte visite_L11K PRC企画書ｶｸ2attachments_draft11-1VM_eurocomparisonwithC1dele_1_ITP _D22LCVNNZCOP090612" xfId="13708" xr:uid="{A22DD070-255D-47B5-B12C-5840DA861B95}"/>
    <cellStyle name="Lien hypertexte visité_L11K PRC企画書ｶｸ2attachments_draft11-1VM_eurocomparisonwithC1dele_1_ITP _D22LCVNNZCOP090612" xfId="13709" xr:uid="{B2BC31ED-1AD1-4102-B4EB-9F90EBE649D5}"/>
    <cellStyle name="Lien hypertexte visite_L11K PRC企画書ｶｸ2attachments_draft11-1VM_eurocomparisonwithC1dele_1_ITP _D40 090115 (MP_BP09)" xfId="13710" xr:uid="{EF2C7027-84F3-442A-99B7-7807C14DFF4E}"/>
    <cellStyle name="Lien hypertexte visité_L11K PRC企画書ｶｸ2attachments_draft11-1VM_eurocomparisonwithC1dele_1_ITP _D40 090115 (MP_BP09)" xfId="13711" xr:uid="{DEABAA38-FB59-4EE3-AD7A-9FEF853A8F43}"/>
    <cellStyle name="Lien hypertexte visite_L11K PRC企画書ｶｸ2attachments_draft11-1VM_eurocomparisonwithC1dele_ITP _D22LCVNNZCOP090612" xfId="13712" xr:uid="{C1BE338B-7742-48D6-9310-D1F88B36F35C}"/>
    <cellStyle name="Lien hypertexte visité_L11K PRC企画書ｶｸ2attachments_draft11-1VM_eurocomparisonwithC1dele_ITP _D22LCVNNZCOP090612" xfId="13713" xr:uid="{AF448061-A5E8-49EF-823C-50AEE121AA7E}"/>
    <cellStyle name="Lien hypertexte visite_L11K PRC企画書ｶｸ2attachments_draft11-1VM_eurocomparisonwithC1dele_ITP _D40 090115 (MP_BP09)" xfId="13714" xr:uid="{AFA5F54E-D227-4E6C-B196-C27B5F3ED844}"/>
    <cellStyle name="Lien hypertexte visité_L11K PRC企画書ｶｸ2attachments_draft11-1VM_eurocomparisonwithC1dele_ITP _D40 090115 (MP_BP09)" xfId="13715" xr:uid="{FABF54E1-DECD-43DE-969F-02B75C78A20F}"/>
    <cellStyle name="Lien hypertexte visite_L11K PRC企画書ｶｸ2attachments_ITP _D22LCVNNZCOP090612" xfId="13716" xr:uid="{034EFE70-44A4-4C0A-8BC9-C9129CFDD374}"/>
    <cellStyle name="Lien hypertexte visité_L11K PRC企画書ｶｸ2attachments_ITP _D22LCVNNZCOP090612" xfId="13717" xr:uid="{E1C36916-8331-433F-8689-0811F8BEE7B5}"/>
    <cellStyle name="Lien hypertexte visite_L11K PRC企画書ｶｸ2attachments_ITP _D40 090115 (MP_BP09)" xfId="13718" xr:uid="{B17016B4-58E1-4BA6-A9E7-E8161945677A}"/>
    <cellStyle name="Lien hypertexte visité_L11K PRC企画書ｶｸ2attachments_ITP _D40 090115 (MP_BP09)" xfId="13719" xr:uid="{B15590A7-63FE-48B5-9A23-04CBC16CE76C}"/>
    <cellStyle name="Lien hypertexte visite_NCC P" xfId="13720" xr:uid="{B0528979-40A1-4F1F-8F4A-2CEDE6E0F079}"/>
    <cellStyle name="Lien hypertexte visité_NE_FY09 Monthly Budget Excel Package-05072009" xfId="13721" xr:uid="{1FB31243-93A7-48A3-8FE8-E398C1E63F0C}"/>
    <cellStyle name="Lien hypertexte visite_THI cal tool_by A3A" xfId="13722" xr:uid="{F029FDE6-55B5-4835-A811-6A5E513FD48C}"/>
    <cellStyle name="Lien hypertexte visité_THI cal tool_by A3A" xfId="13723" xr:uid="{2B30137E-90A1-46EB-814B-04804C701864}"/>
    <cellStyle name="Lien hypertexte visite_X11J_TWN_SalesMonitor_070905-1M&amp;S__AN_Tool" xfId="13724" xr:uid="{2E653F39-21A0-4A70-A5F6-B89E804BD286}"/>
    <cellStyle name="Lien hypertexte visité_X11J_TWN_SalesMonitor_070905-1M&amp;S__AN_Tool" xfId="13725" xr:uid="{797C32E4-DC02-45B8-A882-C7E82FAD8F3E}"/>
    <cellStyle name="Lien hypertexte visite_X11J_TWN_SalesMonitor_070905-1M&amp;S__AN_Tool_Flash Volume Summary-PER01-rv1" xfId="13726" xr:uid="{3711644A-98E5-4230-BDA7-64BE912631DA}"/>
    <cellStyle name="Lien hypertexte visité_X11J_TWN_SalesMonitor_070905-1M&amp;S__AN_Tool_Flash Volume Summary-PER01-rv1" xfId="13727" xr:uid="{936542D7-0F2A-40ED-B518-BF0F3A5E7C3A}"/>
    <cellStyle name="Lien hypertexte visite_X11J_TWN_SalesMonitor_070905-1M&amp;S__AN_Tool_Flash Volume Summary-PER02" xfId="13728" xr:uid="{0C2F54AF-0ACA-4A72-A793-B78849F9345C}"/>
    <cellStyle name="Lien hypertexte visité_X11J_TWN_SalesMonitor_070905-1M&amp;S__AN_Tool_Flash Volume Summary-PER02" xfId="13729" xr:uid="{18592EB0-FEDD-4127-80B9-6024FFCA3490}"/>
    <cellStyle name="Lien hypertexte visite_X11J_TWN_SalesMonitor_070905-1M&amp;S__AN_Tool_Flash Volume Summary-PER04" xfId="13730" xr:uid="{9FC25567-6E5E-4F46-AB10-8EDFDC290CEC}"/>
    <cellStyle name="Lien hypertexte visité_X11J_TWN_SalesMonitor_070905-1M&amp;S__AN_Tool_Flash Volume Summary-PER04" xfId="13731" xr:uid="{3CB1103C-050A-4463-ACEC-3641C0389D12}"/>
    <cellStyle name="Lien hypertexte visite_X11J_TWN_SalesMonitor_070905-1M&amp;S__AN_Tool_Flash Volume Summary-PER0自分用2" xfId="13732" xr:uid="{2C968A16-234E-44C5-A8B8-075EE4875111}"/>
    <cellStyle name="Lien hypertexte visité_X11J_TWN_SalesMonitor_070905-1M&amp;S__AN_Tool_Flash Volume Summary-PER0自分用2" xfId="13733" xr:uid="{7195FFF0-29B0-4D65-A8FB-C1A7242A1234}"/>
    <cellStyle name="Lien hypertexte visite_X11J_TWN_SalesMonitor_070905-1M&amp;S__AN_Tool_Flash Volume Summary-PER10" xfId="13734" xr:uid="{887A36F1-527F-4BE0-88E4-2E27361019ED}"/>
    <cellStyle name="Lien hypertexte visité_X11J_TWN_SalesMonitor_070905-1M&amp;S__AN_Tool_Flash Volume Summary-PER10" xfId="13735" xr:uid="{90482C90-71DE-470B-A84D-AF81B63FF7DD}"/>
    <cellStyle name="Lien hypertexte visite_X11J_TWN_SalesMonitor_070905-1M&amp;S__AN_Tool_Flash Volume Summary-PER10 for Central" xfId="13736" xr:uid="{6D99156C-1924-4B18-88C4-5D0FB329D3FF}"/>
    <cellStyle name="Lien hypertexte visité_X11J_TWN_SalesMonitor_070905-1M&amp;S__AN_Tool_Flash Volume Summary-PER10 for Central" xfId="13737" xr:uid="{E9D6061F-484F-4F6F-9875-7D1FC2FABC4E}"/>
    <cellStyle name="Lien hypertexte visite_X11J_TWN_SalesMonitor_070905-1M&amp;S__AN_Tool_FY08 March 10 Flash Analysis" xfId="13738" xr:uid="{4025EDA0-94AD-41B8-BD98-FAB84C5A32ED}"/>
    <cellStyle name="Lien hypertexte visité_X11J_TWN_SalesMonitor_070905-1M&amp;S__AN_Tool_FY08 March 10 Flash Analysis" xfId="13739" xr:uid="{8E0B9B04-6587-478A-9C1E-EA4EF8DC86EB}"/>
    <cellStyle name="Lien hypertexte visite_X11J_TWN_SalesMonitor_070905-1M&amp;S__AN_Tool_FY08 March 10 Flash Analysis_Flash Volume Summary-PER01-rv1" xfId="13740" xr:uid="{FA5908E0-C473-43CA-9DB9-647E459453D6}"/>
    <cellStyle name="Lien hypertexte visité_X11J_TWN_SalesMonitor_070905-1M&amp;S__AN_Tool_FY08 March 10 Flash Analysis_Flash Volume Summary-PER01-rv1" xfId="13741" xr:uid="{D20B6493-AD44-489F-B815-EBDD83F2F5BD}"/>
    <cellStyle name="Lien hypertexte visite_X11J_TWN_SalesMonitor_070905-1M&amp;S__AN_Tool_FY08 March 10 Flash Analysis_Flash Volume Summary-PER02" xfId="13742" xr:uid="{D44B96D7-8E37-467A-AD89-3219DF86C65D}"/>
    <cellStyle name="Lien hypertexte visité_X11J_TWN_SalesMonitor_070905-1M&amp;S__AN_Tool_FY08 March 10 Flash Analysis_Flash Volume Summary-PER02" xfId="13743" xr:uid="{6CA63AB6-0C23-49B2-A804-0A68174B8218}"/>
    <cellStyle name="Lien hypertexte visite_X11J_TWN_SalesMonitor_070905-1M&amp;S__AN_Tool_FY08 March 10 Flash Analysis_Flash Volume Summary-PER04" xfId="13744" xr:uid="{40E2F0C2-0953-4BE5-8E57-872580A0DF69}"/>
    <cellStyle name="Lien hypertexte visité_X11J_TWN_SalesMonitor_070905-1M&amp;S__AN_Tool_FY08 March 10 Flash Analysis_Flash Volume Summary-PER04" xfId="13745" xr:uid="{EEA1E95C-0F9D-4AD0-8B21-8090053A9D55}"/>
    <cellStyle name="Lien hypertexte visite_X11J_TWN_SalesMonitor_070905-1M&amp;S__AN_Tool_FY08 March 10 Flash Analysis_Flash Volume Summary-PER0自分用2" xfId="13746" xr:uid="{168AA853-03AE-44C6-8D15-B23BD42962E4}"/>
    <cellStyle name="Lien hypertexte visité_X11J_TWN_SalesMonitor_070905-1M&amp;S__AN_Tool_FY08 March 10 Flash Analysis_Flash Volume Summary-PER0自分用2" xfId="13747" xr:uid="{428460B8-E4E4-4CB4-A915-7D24F8739F70}"/>
    <cellStyle name="Lien hypertexte visite_X11J_TWN_SalesMonitor_070905-1M&amp;S__AN_Tool_FY08 March 10 Flash Analysis_Flash Volume Summary-PER10" xfId="13748" xr:uid="{76E39C45-C926-48E5-95AF-4D2E10E80A3A}"/>
    <cellStyle name="Lien hypertexte visité_X11J_TWN_SalesMonitor_070905-1M&amp;S__AN_Tool_FY08 March 10 Flash Analysis_Flash Volume Summary-PER10" xfId="13749" xr:uid="{6230E6B8-1190-495D-B169-CA2C4C944B6B}"/>
    <cellStyle name="Lien hypertexte visite_X11J_TWN_SalesMonitor_070905-1M&amp;S__AN_Tool_FY08 March 10 Flash Analysis_Flash Volume Summary-PER10 for Central" xfId="13750" xr:uid="{EE2B39F4-243B-46D0-88E5-518D5298C5A8}"/>
    <cellStyle name="Lien hypertexte visité_X11J_TWN_SalesMonitor_070905-1M&amp;S__AN_Tool_FY08 March 10 Flash Analysis_Flash Volume Summary-PER10 for Central" xfId="13751" xr:uid="{98F807A7-F27C-4788-8EA9-3567E085E6E1}"/>
    <cellStyle name="Lien hypertexte visite_X11J_TWN_SalesMonitor_070905-1M&amp;S__AN_Tool_FY08 March 10 Flash Analysis_FY08 March Outlook (March 11 version)" xfId="13752" xr:uid="{F0FDCA18-A168-4CE7-87B7-437127A485AC}"/>
    <cellStyle name="Lien hypertexte visité_X11J_TWN_SalesMonitor_070905-1M&amp;S__AN_Tool_FY08 March 10 Flash Analysis_FY08 March Outlook (March 11 version)" xfId="13753" xr:uid="{C7F66BFA-BD78-42D4-AB3C-2A399C36D684}"/>
    <cellStyle name="Lien hypertexte visite_X11J_TWN_SalesMonitor_070905-1M&amp;S__AN_Tool_FY08 March 10 Flash Analysis_FY08 March Outlook (March 11 version)_Flash Volume Summary-PER01-rv1" xfId="13754" xr:uid="{4D050D45-35F8-411D-906A-F7B0595C0738}"/>
    <cellStyle name="Lien hypertexte visité_X11J_TWN_SalesMonitor_070905-1M&amp;S__AN_Tool_FY08 March 10 Flash Analysis_FY08 March Outlook (March 11 version)_Flash Volume Summary-PER01-rv1" xfId="13755" xr:uid="{91CC221A-9523-493B-A856-B4C7EDAA8242}"/>
    <cellStyle name="Lien hypertexte visite_X11J_TWN_SalesMonitor_070905-1M&amp;S__AN_Tool_FY08 March 10 Flash Analysis_FY08 March Outlook (March 11 version)_Flash Volume Summary-PER02" xfId="13756" xr:uid="{EF8B621C-E967-4185-A6E1-9D634081F40D}"/>
    <cellStyle name="Lien hypertexte visité_X11J_TWN_SalesMonitor_070905-1M&amp;S__AN_Tool_FY08 March 10 Flash Analysis_FY08 March Outlook (March 11 version)_Flash Volume Summary-PER02" xfId="13757" xr:uid="{809ABB7A-10AA-4E75-B1A7-4A0FEA099D1D}"/>
    <cellStyle name="Lien hypertexte visite_X11J_TWN_SalesMonitor_070905-1M&amp;S__AN_Tool_FY08 March 10 Flash Analysis_FY08 March Outlook (March 11 version)_Flash Volume Summary-PER04" xfId="13758" xr:uid="{5A7E09ED-4C00-4FC2-85D5-E6ED0DB4091D}"/>
    <cellStyle name="Lien hypertexte visité_X11J_TWN_SalesMonitor_070905-1M&amp;S__AN_Tool_FY08 March 10 Flash Analysis_FY08 March Outlook (March 11 version)_Flash Volume Summary-PER04" xfId="13759" xr:uid="{FBF81C11-613B-42F8-B9EC-036E703E4155}"/>
    <cellStyle name="Lien hypertexte visite_X11J_TWN_SalesMonitor_070905-1M&amp;S__AN_Tool_FY08 March 10 Flash Analysis_FY08 March Outlook (March 11 version)_Flash Volume Summary-PER0自分用2" xfId="13760" xr:uid="{47936DE3-572B-45B6-8352-75009D516A2F}"/>
    <cellStyle name="Lien hypertexte visité_X11J_TWN_SalesMonitor_070905-1M&amp;S__AN_Tool_FY08 March 10 Flash Analysis_FY08 March Outlook (March 11 version)_Flash Volume Summary-PER0自分用2" xfId="13761" xr:uid="{03FC6410-E764-4400-B202-103320C5F209}"/>
    <cellStyle name="Lien hypertexte visite_X11J_TWN_SalesMonitor_070905-1M&amp;S__AN_Tool_FY08 March 10 Flash Analysis_FY08 March Outlook (March 11 version)_Flash Volume Summary-PER10" xfId="13762" xr:uid="{59E84F4B-EEC2-4811-8DE8-09B053A27BA9}"/>
    <cellStyle name="Lien hypertexte visité_X11J_TWN_SalesMonitor_070905-1M&amp;S__AN_Tool_FY08 March 10 Flash Analysis_FY08 March Outlook (March 11 version)_Flash Volume Summary-PER10" xfId="13763" xr:uid="{2C86F589-123C-4785-A78C-358A4132FCF2}"/>
    <cellStyle name="Lien hypertexte visite_X11J_TWN_SalesMonitor_070905-1M&amp;S__AN_Tool_FY08 March 10 Flash Analysis_FY08 March Outlook (March 11 version)_Flash Volume Summary-PER10 for Central" xfId="13764" xr:uid="{029C7385-463C-48F9-B38C-C1E5F2E8C69B}"/>
    <cellStyle name="Lien hypertexte visité_X11J_TWN_SalesMonitor_070905-1M&amp;S__AN_Tool_FY08 March 10 Flash Analysis_FY08 March Outlook (March 11 version)_Flash Volume Summary-PER10 for Central" xfId="13765" xr:uid="{78104E29-3E46-4505-94DF-578AB323A29C}"/>
    <cellStyle name="Lien hypertexte visite_X11J_TWN_SalesMonitor_070905-1M&amp;S__AN_Tool_FY08 March 10 Flash Analysis_FY08 March Outlook (March 11 version)_FY10 Pull Ahead template (Dec 15)" xfId="13766" xr:uid="{2CA538F1-227B-4971-8698-3428DFF4A08E}"/>
    <cellStyle name="Lien hypertexte visité_X11J_TWN_SalesMonitor_070905-1M&amp;S__AN_Tool_FY08 March 10 Flash Analysis_FY08 March Outlook (March 11 version)_FY10 Pull Ahead template (Dec 15)" xfId="13767" xr:uid="{49A6536F-D29F-4692-AD48-040A36B33585}"/>
    <cellStyle name="Lien hypertexte visite_X11J_TWN_SalesMonitor_070905-1M&amp;S__AN_Tool_FY08 March 10 Flash Analysis_FY08 March Outlook (March 11 version)_FY10 Pull Ahead template (Dec 15)_FY10 Pull Ahead template (Dec 16 Consolidate)" xfId="13768" xr:uid="{5A4EAFD6-55F0-47A8-930E-E318E6271C1D}"/>
    <cellStyle name="Lien hypertexte visité_X11J_TWN_SalesMonitor_070905-1M&amp;S__AN_Tool_FY08 March 10 Flash Analysis_FY08 March Outlook (March 11 version)_FY10 Pull Ahead template (Dec 15)_FY10 Pull Ahead template (Dec 16 Consolidate)" xfId="13769" xr:uid="{A95ED290-FD8B-4FD1-8EF2-5B083BCD4C09}"/>
    <cellStyle name="Lien hypertexte visite_X11J_TWN_SalesMonitor_070905-1M&amp;S__AN_Tool_FY08 March 10 Flash Analysis_FY08 March Outlook (March 11 version)_FY10 Pull Ahead template (Dec 15)_FY10 Pull Ahead template (Dec 16 Consolidate)v2 (2)" xfId="13770" xr:uid="{A6A84E7C-7F40-45D9-BBCB-E38422D33FD9}"/>
    <cellStyle name="Lien hypertexte visité_X11J_TWN_SalesMonitor_070905-1M&amp;S__AN_Tool_FY08 March 10 Flash Analysis_FY08 March Outlook (March 11 version)_FY10 Pull Ahead template (Dec 15)_FY10 Pull Ahead template (Dec 16 Consolidate)v2 (2)" xfId="13771" xr:uid="{4038A97E-7E46-4ABC-8A3E-0520765F75CE}"/>
    <cellStyle name="Lien hypertexte visite_X11J_TWN_SalesMonitor_070905-1M&amp;S__AN_Tool_FY08 March 10 Flash Analysis_FY08 March Outlook (March 11 version)_FY10 Pull Ahead template (Dec 15)_FY10 Pull Ahead template (Jan 15 Consolidate)" xfId="13772" xr:uid="{57CE3727-99C8-4DE8-A3DC-532863DDC19B}"/>
    <cellStyle name="Lien hypertexte visité_X11J_TWN_SalesMonitor_070905-1M&amp;S__AN_Tool_FY08 March 10 Flash Analysis_FY08 March Outlook (March 11 version)_FY10 Pull Ahead template (Dec 15)_FY10 Pull Ahead template (Jan 15 Consolidate)" xfId="13773" xr:uid="{112C1EE4-2CC8-4046-9346-9A4584A59F2E}"/>
    <cellStyle name="Lien hypertexte visite_X11J_TWN_SalesMonitor_070905-1M&amp;S__AN_Tool_FY08 March 10 Flash Analysis_FY08 March Outlook (March 11 version)_FY10 Pull Ahead template (Dec 15)_FY10 Pull Ahead template (Jan 18 Consolidate)_v3" xfId="13774" xr:uid="{BEF5569C-8DD1-4D4D-B4D3-E858CBCA7CB7}"/>
    <cellStyle name="Lien hypertexte visité_X11J_TWN_SalesMonitor_070905-1M&amp;S__AN_Tool_FY08 March 10 Flash Analysis_FY08 March Outlook (March 11 version)_FY10 Pull Ahead template (Dec 15)_FY10 Pull Ahead template (Jan 18 Consolidate)_v3" xfId="13775" xr:uid="{3CB82EBC-E78D-402F-A1D2-9D3CE80B32F6}"/>
    <cellStyle name="Lien hypertexte visite_X11J_TWN_SalesMonitor_070905-1M&amp;S__AN_Tool_FY08 March 10 Flash Analysis_FY08 March Outlook (March 11 version)_FY10 Pull Ahead template (Dec 15)_FY10 Pull Ahead template (Jan 19 Consolidate)_v2 (Europe)" xfId="13776" xr:uid="{984658AA-3483-4475-94DE-4779D198A5DD}"/>
    <cellStyle name="Lien hypertexte visité_X11J_TWN_SalesMonitor_070905-1M&amp;S__AN_Tool_FY08 March 10 Flash Analysis_FY08 March Outlook (March 11 version)_FY10 Pull Ahead template (Dec 15)_FY10 Pull Ahead template (Jan 19 Consolidate)_v2 (Europe)" xfId="13777" xr:uid="{52D50A73-548F-4116-A4B3-F83E952F250B}"/>
    <cellStyle name="Lien hypertexte visite_X11J_TWN_SalesMonitor_070905-1M&amp;S__AN_Tool_FY08 March 10 Flash Analysis_FY08 March Outlook (March 11 version)_FY10 Pull Ahead template (Dec 15)_FY10 Pull Ahead template (Jan 27 Consolidate)_v3" xfId="13778" xr:uid="{812BE526-8169-4150-A53A-5D02A1A8F8F5}"/>
    <cellStyle name="Lien hypertexte visité_X11J_TWN_SalesMonitor_070905-1M&amp;S__AN_Tool_FY08 March 10 Flash Analysis_FY08 March Outlook (March 11 version)_FY10 Pull Ahead template (Dec 15)_FY10 Pull Ahead template (Jan 27 Consolidate)_v3" xfId="13779" xr:uid="{FE61902A-EC69-49CC-BF95-7DBDFC737654}"/>
    <cellStyle name="Lien hypertexte visite_X11J_TWN_SalesMonitor_070905-1M&amp;S__AN_Tool_FY08 March 10 Flash Analysis_FY08 March Outlook (March 11 version)_FY10 Pull Ahead template (Dec 15)_FY10 Pull Ahead template (Jan 28 Consolidate)_v1" xfId="13780" xr:uid="{993F983F-3833-410D-994F-746A65CA38E2}"/>
    <cellStyle name="Lien hypertexte visité_X11J_TWN_SalesMonitor_070905-1M&amp;S__AN_Tool_FY08 March 10 Flash Analysis_FY08 March Outlook (March 11 version)_FY10 Pull Ahead template (Dec 15)_FY10 Pull Ahead template (Jan 28 Consolidate)_v1" xfId="13781" xr:uid="{73811F12-F6DC-4FD1-B4CC-E4D4E3F3C1D8}"/>
    <cellStyle name="Lien hypertexte visite_X11J_TWN_SalesMonitor_070905-1M&amp;S__AN_Tool_FY08 March 10 Flash Analysis_FY08 March Outlook (March 11 version)_FY10 Pull Ahead template (Dec 15)_FY10 Pull Ahead template (Jan 28 Consolidate)_v2" xfId="13782" xr:uid="{0FF22F41-ABB3-4772-B884-419F28FFBBC7}"/>
    <cellStyle name="Lien hypertexte visité_X11J_TWN_SalesMonitor_070905-1M&amp;S__AN_Tool_FY08 March 10 Flash Analysis_FY08 March Outlook (March 11 version)_FY10 Pull Ahead template (Dec 15)_FY10 Pull Ahead template (Jan 28 Consolidate)_v2" xfId="13783" xr:uid="{5D1ECBF2-5E66-47C3-8418-1EB68410DE95}"/>
    <cellStyle name="Lien hypertexte visite_X11J_TWN_SalesMonitor_070905-1M&amp;S__AN_Tool_FY08 March 10 Flash Analysis_FY08 March Outlook (March 11 version)_FY10 Pull Ahead template (Dec 15)_FY10 Pull Ahead template (Jan 29 Consolidate)_v1" xfId="13784" xr:uid="{D129F006-D662-4922-A555-8715F7363620}"/>
    <cellStyle name="Lien hypertexte visité_X11J_TWN_SalesMonitor_070905-1M&amp;S__AN_Tool_FY08 March 10 Flash Analysis_FY08 March Outlook (March 11 version)_FY10 Pull Ahead template (Dec 15)_FY10 Pull Ahead template (Jan 29 Consolidate)_v1" xfId="13785" xr:uid="{22EF0134-5ABA-4880-B219-C8968B9F05DA}"/>
    <cellStyle name="Lien hypertexte visite_X11J_TWN_SalesMonitor_070905-1M&amp;S__AN_Tool_FY08 March 10 Flash Analysis_FY08 March Outlook (March 11 version)_Periodic ITP Adjustment for NMEX (2)" xfId="13786" xr:uid="{430296B4-84D9-4C50-A366-BDDC8941F7FF}"/>
    <cellStyle name="Lien hypertexte visité_X11J_TWN_SalesMonitor_070905-1M&amp;S__AN_Tool_FY08 March 10 Flash Analysis_FY08 March Outlook (March 11 version)_Periodic ITP Adjustment for NMEX (2)" xfId="13787" xr:uid="{8435A81A-DBA8-45B1-9654-6E34CEDB1400}"/>
    <cellStyle name="Lien hypertexte visite_X11J_TWN_SalesMonitor_070905-1M&amp;S__AN_Tool_FY08 March 10 Flash Analysis_FY10 Pull Ahead template (Dec 15)" xfId="13788" xr:uid="{EB59858C-1B82-46BC-A66F-B6211A931AB7}"/>
    <cellStyle name="Lien hypertexte visité_X11J_TWN_SalesMonitor_070905-1M&amp;S__AN_Tool_FY08 March 10 Flash Analysis_FY10 Pull Ahead template (Dec 15)" xfId="13789" xr:uid="{1374739B-E76D-454A-B018-8E994ED78B54}"/>
    <cellStyle name="Lien hypertexte visite_X11J_TWN_SalesMonitor_070905-1M&amp;S__AN_Tool_FY08 March 10 Flash Analysis_FY10 Pull Ahead template (Dec 15)_FY10 Pull Ahead template (Dec 16 Consolidate)" xfId="13790" xr:uid="{EE687F30-29F9-4F0E-820E-77705038B766}"/>
    <cellStyle name="Lien hypertexte visité_X11J_TWN_SalesMonitor_070905-1M&amp;S__AN_Tool_FY08 March 10 Flash Analysis_FY10 Pull Ahead template (Dec 15)_FY10 Pull Ahead template (Dec 16 Consolidate)" xfId="13791" xr:uid="{3F4BDADB-135A-4330-8D98-CE1AFE30E850}"/>
    <cellStyle name="Lien hypertexte visite_X11J_TWN_SalesMonitor_070905-1M&amp;S__AN_Tool_FY08 March 10 Flash Analysis_FY10 Pull Ahead template (Dec 15)_FY10 Pull Ahead template (Dec 16 Consolidate)v2 (2)" xfId="13792" xr:uid="{BBA5E000-52EC-488F-B4BF-412B9ECE13CE}"/>
    <cellStyle name="Lien hypertexte visité_X11J_TWN_SalesMonitor_070905-1M&amp;S__AN_Tool_FY08 March 10 Flash Analysis_FY10 Pull Ahead template (Dec 15)_FY10 Pull Ahead template (Dec 16 Consolidate)v2 (2)" xfId="13793" xr:uid="{DA102A16-F38E-45A3-8124-1894ECD346E0}"/>
    <cellStyle name="Lien hypertexte visite_X11J_TWN_SalesMonitor_070905-1M&amp;S__AN_Tool_FY08 March 10 Flash Analysis_FY10 Pull Ahead template (Dec 15)_FY10 Pull Ahead template (Jan 15 Consolidate)" xfId="13794" xr:uid="{7AE6C9D4-6009-4BD4-A62B-50F6934F75E8}"/>
    <cellStyle name="Lien hypertexte visité_X11J_TWN_SalesMonitor_070905-1M&amp;S__AN_Tool_FY08 March 10 Flash Analysis_FY10 Pull Ahead template (Dec 15)_FY10 Pull Ahead template (Jan 15 Consolidate)" xfId="13795" xr:uid="{0BFBD268-84A9-4166-BC73-B965821F5C5E}"/>
    <cellStyle name="Lien hypertexte visite_X11J_TWN_SalesMonitor_070905-1M&amp;S__AN_Tool_FY08 March 10 Flash Analysis_FY10 Pull Ahead template (Dec 15)_FY10 Pull Ahead template (Jan 18 Consolidate)_v3" xfId="13796" xr:uid="{86892D75-7F14-4B6F-A681-8220F3DBB89C}"/>
    <cellStyle name="Lien hypertexte visité_X11J_TWN_SalesMonitor_070905-1M&amp;S__AN_Tool_FY08 March 10 Flash Analysis_FY10 Pull Ahead template (Dec 15)_FY10 Pull Ahead template (Jan 18 Consolidate)_v3" xfId="13797" xr:uid="{F0B24C5B-963D-469A-84E7-0BD60FE1B887}"/>
    <cellStyle name="Lien hypertexte visite_X11J_TWN_SalesMonitor_070905-1M&amp;S__AN_Tool_FY08 March 10 Flash Analysis_FY10 Pull Ahead template (Dec 15)_FY10 Pull Ahead template (Jan 19 Consolidate)_v2 (Europe)" xfId="13798" xr:uid="{9EB00297-64CC-446A-A9F6-96A228F84149}"/>
    <cellStyle name="Lien hypertexte visité_X11J_TWN_SalesMonitor_070905-1M&amp;S__AN_Tool_FY08 March 10 Flash Analysis_FY10 Pull Ahead template (Dec 15)_FY10 Pull Ahead template (Jan 19 Consolidate)_v2 (Europe)" xfId="13799" xr:uid="{2C23BBCD-78CD-4B6E-846F-646E008497E0}"/>
    <cellStyle name="Lien hypertexte visite_X11J_TWN_SalesMonitor_070905-1M&amp;S__AN_Tool_FY08 March 10 Flash Analysis_FY10 Pull Ahead template (Dec 15)_FY10 Pull Ahead template (Jan 27 Consolidate)_v3" xfId="13800" xr:uid="{9C953A83-EEC7-495D-A00B-7C88B7156597}"/>
    <cellStyle name="Lien hypertexte visité_X11J_TWN_SalesMonitor_070905-1M&amp;S__AN_Tool_FY08 March 10 Flash Analysis_FY10 Pull Ahead template (Dec 15)_FY10 Pull Ahead template (Jan 27 Consolidate)_v3" xfId="13801" xr:uid="{9B4B6DF3-17C7-4BAF-A89D-1E40B39CB106}"/>
    <cellStyle name="Lien hypertexte visite_X11J_TWN_SalesMonitor_070905-1M&amp;S__AN_Tool_FY08 March 10 Flash Analysis_FY10 Pull Ahead template (Dec 15)_FY10 Pull Ahead template (Jan 28 Consolidate)_v1" xfId="13802" xr:uid="{50A138E3-5C2A-4AF3-ABBE-76E3F47B0AE7}"/>
    <cellStyle name="Lien hypertexte visité_X11J_TWN_SalesMonitor_070905-1M&amp;S__AN_Tool_FY08 March 10 Flash Analysis_FY10 Pull Ahead template (Dec 15)_FY10 Pull Ahead template (Jan 28 Consolidate)_v1" xfId="13803" xr:uid="{4A84B8D2-FB4E-4908-8D2B-52C57D657FA5}"/>
    <cellStyle name="Lien hypertexte visite_X11J_TWN_SalesMonitor_070905-1M&amp;S__AN_Tool_FY08 March 10 Flash Analysis_FY10 Pull Ahead template (Dec 15)_FY10 Pull Ahead template (Jan 28 Consolidate)_v2" xfId="13804" xr:uid="{CC20E050-A803-4684-BFA0-5A015346F864}"/>
    <cellStyle name="Lien hypertexte visité_X11J_TWN_SalesMonitor_070905-1M&amp;S__AN_Tool_FY08 March 10 Flash Analysis_FY10 Pull Ahead template (Dec 15)_FY10 Pull Ahead template (Jan 28 Consolidate)_v2" xfId="13805" xr:uid="{59F6E53C-DBC2-4831-8771-7E827C3C82E7}"/>
    <cellStyle name="Lien hypertexte visite_X11J_TWN_SalesMonitor_070905-1M&amp;S__AN_Tool_FY08 March 10 Flash Analysis_FY10 Pull Ahead template (Dec 15)_FY10 Pull Ahead template (Jan 29 Consolidate)_v1" xfId="13806" xr:uid="{75630073-D88E-4233-9D43-C1ACC80A372A}"/>
    <cellStyle name="Lien hypertexte visité_X11J_TWN_SalesMonitor_070905-1M&amp;S__AN_Tool_FY08 March 10 Flash Analysis_FY10 Pull Ahead template (Dec 15)_FY10 Pull Ahead template (Jan 29 Consolidate)_v1" xfId="13807" xr:uid="{D59E99B7-6A30-44BB-A8AA-9BDF17DCF09D}"/>
    <cellStyle name="Lien hypertexte visite_X11J_TWN_SalesMonitor_070905-1M&amp;S__AN_Tool_FY08 March 10 Flash Analysis_Periodic ITP Adjustment for NMEX (2)" xfId="13808" xr:uid="{1BEE5805-55D6-4BE8-BD43-877C1816D4D5}"/>
    <cellStyle name="Lien hypertexte visité_X11J_TWN_SalesMonitor_070905-1M&amp;S__AN_Tool_FY08 March 10 Flash Analysis_Periodic ITP Adjustment for NMEX (2)" xfId="13809" xr:uid="{EDF2F953-31AF-4BA4-A458-D7A789F77526}"/>
    <cellStyle name="Lien hypertexte visite_X11J_TWN_SalesMonitor_070905-1M&amp;S__AN_Tool_FY10 Pull Ahead template (Dec 15)" xfId="13810" xr:uid="{21C3A683-BF5B-468D-B875-D2B046D45412}"/>
    <cellStyle name="Lien hypertexte visité_X11J_TWN_SalesMonitor_070905-1M&amp;S__AN_Tool_FY10 Pull Ahead template (Dec 15)" xfId="13811" xr:uid="{2BCC4A6E-1AAF-4E6E-BEE4-0BE2AEA00248}"/>
    <cellStyle name="Lien hypertexte visite_X11J_TWN_SalesMonitor_070905-1M&amp;S__AN_Tool_FY10 Pull Ahead template (Dec 15)_FY10 Pull Ahead template (Dec 16 Consolidate)" xfId="13812" xr:uid="{3E4A2D10-711B-4D1E-90ED-3C82472AC958}"/>
    <cellStyle name="Lien hypertexte visité_X11J_TWN_SalesMonitor_070905-1M&amp;S__AN_Tool_FY10 Pull Ahead template (Dec 15)_FY10 Pull Ahead template (Dec 16 Consolidate)" xfId="13813" xr:uid="{3EC05A5E-7EA1-4FAB-8E27-2417D62FF2DF}"/>
    <cellStyle name="Lien hypertexte visite_X11J_TWN_SalesMonitor_070905-1M&amp;S__AN_Tool_FY10 Pull Ahead template (Dec 15)_FY10 Pull Ahead template (Dec 16 Consolidate)v2 (2)" xfId="13814" xr:uid="{E82FA8D2-4F22-4A0F-94D7-198E05B2D880}"/>
    <cellStyle name="Lien hypertexte visité_X11J_TWN_SalesMonitor_070905-1M&amp;S__AN_Tool_FY10 Pull Ahead template (Dec 15)_FY10 Pull Ahead template (Dec 16 Consolidate)v2 (2)" xfId="13815" xr:uid="{AB253094-48EF-4D85-8AE6-0F8D7BFA698E}"/>
    <cellStyle name="Lien hypertexte visite_X11J_TWN_SalesMonitor_070905-1M&amp;S__AN_Tool_FY10 Pull Ahead template (Dec 15)_FY10 Pull Ahead template (Jan 15 Consolidate)" xfId="13816" xr:uid="{37B8DAA9-E912-4E1A-ADE9-5C61E7D27FB4}"/>
    <cellStyle name="Lien hypertexte visité_X11J_TWN_SalesMonitor_070905-1M&amp;S__AN_Tool_FY10 Pull Ahead template (Dec 15)_FY10 Pull Ahead template (Jan 15 Consolidate)" xfId="13817" xr:uid="{E1DDDC75-6945-424C-99B4-F5E42A954D31}"/>
    <cellStyle name="Lien hypertexte visite_X11J_TWN_SalesMonitor_070905-1M&amp;S__AN_Tool_FY10 Pull Ahead template (Dec 15)_FY10 Pull Ahead template (Jan 18 Consolidate)_v3" xfId="13818" xr:uid="{613C4FD8-2792-4E73-96ED-B29052F934BB}"/>
    <cellStyle name="Lien hypertexte visité_X11J_TWN_SalesMonitor_070905-1M&amp;S__AN_Tool_FY10 Pull Ahead template (Dec 15)_FY10 Pull Ahead template (Jan 18 Consolidate)_v3" xfId="13819" xr:uid="{6E63FD3B-3DE4-411E-AF27-033F865EF704}"/>
    <cellStyle name="Lien hypertexte visite_X11J_TWN_SalesMonitor_070905-1M&amp;S__AN_Tool_FY10 Pull Ahead template (Dec 15)_FY10 Pull Ahead template (Jan 19 Consolidate)_v2 (Europe)" xfId="13820" xr:uid="{E60B97A1-55A4-4F79-9311-6D68B8FAFAD9}"/>
    <cellStyle name="Lien hypertexte visité_X11J_TWN_SalesMonitor_070905-1M&amp;S__AN_Tool_FY10 Pull Ahead template (Dec 15)_FY10 Pull Ahead template (Jan 19 Consolidate)_v2 (Europe)" xfId="13821" xr:uid="{12731ADE-D755-491B-9698-9DEA5253E1B0}"/>
    <cellStyle name="Lien hypertexte visite_X11J_TWN_SalesMonitor_070905-1M&amp;S__AN_Tool_FY10 Pull Ahead template (Dec 15)_FY10 Pull Ahead template (Jan 27 Consolidate)_v3" xfId="13822" xr:uid="{0AD7141F-5CD9-4655-B05A-EF6085712B84}"/>
    <cellStyle name="Lien hypertexte visité_X11J_TWN_SalesMonitor_070905-1M&amp;S__AN_Tool_FY10 Pull Ahead template (Dec 15)_FY10 Pull Ahead template (Jan 27 Consolidate)_v3" xfId="13823" xr:uid="{4D8691E7-020D-4112-9325-D3051F25C791}"/>
    <cellStyle name="Lien hypertexte visite_X11J_TWN_SalesMonitor_070905-1M&amp;S__AN_Tool_FY10 Pull Ahead template (Dec 15)_FY10 Pull Ahead template (Jan 28 Consolidate)_v1" xfId="13824" xr:uid="{F340198E-E0D0-40AF-9D6B-298E2A1FD2A6}"/>
    <cellStyle name="Lien hypertexte visité_X11J_TWN_SalesMonitor_070905-1M&amp;S__AN_Tool_FY10 Pull Ahead template (Dec 15)_FY10 Pull Ahead template (Jan 28 Consolidate)_v1" xfId="13825" xr:uid="{C235F85F-CCA8-4844-A6F8-17FF07C33DD4}"/>
    <cellStyle name="Lien hypertexte visite_X11J_TWN_SalesMonitor_070905-1M&amp;S__AN_Tool_FY10 Pull Ahead template (Dec 15)_FY10 Pull Ahead template (Jan 28 Consolidate)_v2" xfId="13826" xr:uid="{5164FFD5-A314-4AD5-AAF0-89AC5B52AAFD}"/>
    <cellStyle name="Lien hypertexte visité_X11J_TWN_SalesMonitor_070905-1M&amp;S__AN_Tool_FY10 Pull Ahead template (Dec 15)_FY10 Pull Ahead template (Jan 28 Consolidate)_v2" xfId="13827" xr:uid="{E4AF112E-FE75-4037-B885-780B02277E03}"/>
    <cellStyle name="Lien hypertexte visite_X11J_TWN_SalesMonitor_070905-1M&amp;S__AN_Tool_FY10 Pull Ahead template (Dec 15)_FY10 Pull Ahead template (Jan 29 Consolidate)_v1" xfId="13828" xr:uid="{8C7A66F4-5EBF-41BD-BB27-36C47559948B}"/>
    <cellStyle name="Lien hypertexte visité_X11J_TWN_SalesMonitor_070905-1M&amp;S__AN_Tool_FY10 Pull Ahead template (Dec 15)_FY10 Pull Ahead template (Jan 29 Consolidate)_v1" xfId="13829" xr:uid="{038FB14C-242E-4513-848A-1E61358A7DE3}"/>
    <cellStyle name="Lien hypertexte visite_X11J_TWN_SalesMonitor_070905-1M&amp;S__AN_Tool_Periodic ITP Adjustment for NMEX (2)" xfId="13830" xr:uid="{A43AC9AD-4EF2-4CC1-AA58-B24353B4EBEC}"/>
    <cellStyle name="Lien hypertexte visité_X11J_TWN_SalesMonitor_070905-1M&amp;S__AN_Tool_Periodic ITP Adjustment for NMEX (2)" xfId="13831" xr:uid="{51FF0469-7FBB-435A-BE17-03BD4100E538}"/>
    <cellStyle name="Lien hypertexte visite_X11J_TWN_SalesMonitor_NMI_070725_AN_Tool_" xfId="13832" xr:uid="{F9CA8ECC-534B-4975-BB06-A0612B04C0A5}"/>
    <cellStyle name="Lien hypertexte visité_X11J_TWN_SalesMonitor_NMI_070725_AN_Tool_" xfId="13833" xr:uid="{F94BC0DD-13E9-4493-A809-F6B46B541F4A}"/>
    <cellStyle name="Lien hypertexte visite_X11J_TWN_SalesMonitor_NMI_070725_AN_Tool__Flash Volume Summary-PER01-rv1" xfId="13834" xr:uid="{F7CA1C48-E927-40D5-9022-F0733D71D285}"/>
    <cellStyle name="Lien hypertexte visité_X11J_TWN_SalesMonitor_NMI_070725_AN_Tool__Flash Volume Summary-PER01-rv1" xfId="13835" xr:uid="{22440133-DFD8-4ABC-BF49-AAB596214E97}"/>
    <cellStyle name="Lien hypertexte visite_X11J_TWN_SalesMonitor_NMI_070725_AN_Tool__Flash Volume Summary-PER02" xfId="13836" xr:uid="{31D81421-BEDF-4CB5-ADF0-4EFCBF885BC2}"/>
    <cellStyle name="Lien hypertexte visité_X11J_TWN_SalesMonitor_NMI_070725_AN_Tool__Flash Volume Summary-PER02" xfId="13837" xr:uid="{BD21AB38-7F74-4741-8C9C-FC62F1912323}"/>
    <cellStyle name="Lien hypertexte visite_X11J_TWN_SalesMonitor_NMI_070725_AN_Tool__Flash Volume Summary-PER04" xfId="13838" xr:uid="{E409331C-14BC-41F0-B5FE-F9E278F4C4FF}"/>
    <cellStyle name="Lien hypertexte visité_X11J_TWN_SalesMonitor_NMI_070725_AN_Tool__Flash Volume Summary-PER04" xfId="13839" xr:uid="{86C5272C-3D28-467B-8925-3EF01DE4847F}"/>
    <cellStyle name="Lien hypertexte visite_X11J_TWN_SalesMonitor_NMI_070725_AN_Tool__Flash Volume Summary-PER0自分用2" xfId="13840" xr:uid="{94551D37-09D0-4EB3-AB66-256C5938ECC1}"/>
    <cellStyle name="Lien hypertexte visité_X11J_TWN_SalesMonitor_NMI_070725_AN_Tool__Flash Volume Summary-PER0自分用2" xfId="13841" xr:uid="{2976CC34-68BD-468B-B891-5D4B0B839DA5}"/>
    <cellStyle name="Lien hypertexte visite_X11J_TWN_SalesMonitor_NMI_070725_AN_Tool__Flash Volume Summary-PER10" xfId="13842" xr:uid="{5F6D03FD-449D-4CF4-A584-774F1EF2390B}"/>
    <cellStyle name="Lien hypertexte visité_X11J_TWN_SalesMonitor_NMI_070725_AN_Tool__Flash Volume Summary-PER10" xfId="13843" xr:uid="{04048B7A-8D73-4780-BEBD-8B487257F3E8}"/>
    <cellStyle name="Lien hypertexte visite_X11J_TWN_SalesMonitor_NMI_070725_AN_Tool__Flash Volume Summary-PER10 for Central" xfId="13844" xr:uid="{D07EB16A-5A67-466B-BC9E-5D52B24D6603}"/>
    <cellStyle name="Lien hypertexte visité_X11J_TWN_SalesMonitor_NMI_070725_AN_Tool__Flash Volume Summary-PER10 for Central" xfId="13845" xr:uid="{1919B6B9-26DF-4FE2-88C5-0393BAFAA532}"/>
    <cellStyle name="Lien hypertexte visite_X11J_TWN_SalesMonitor_NMI_070725_AN_Tool__FY08 March 10 Flash Analysis" xfId="13846" xr:uid="{17BEF28F-DD01-4CE8-BB8E-D1AF437D1017}"/>
    <cellStyle name="Lien hypertexte visité_X11J_TWN_SalesMonitor_NMI_070725_AN_Tool__FY08 March 10 Flash Analysis" xfId="13847" xr:uid="{5688F993-1756-4F6B-A906-92A853778781}"/>
    <cellStyle name="Lien hypertexte visite_X11J_TWN_SalesMonitor_NMI_070725_AN_Tool__FY08 March 10 Flash Analysis_Flash Volume Summary-PER01-rv1" xfId="13848" xr:uid="{75819BB3-E8C5-43E1-AB6A-3D9CC0B8A0FD}"/>
    <cellStyle name="Lien hypertexte visité_X11J_TWN_SalesMonitor_NMI_070725_AN_Tool__FY08 March 10 Flash Analysis_Flash Volume Summary-PER01-rv1" xfId="13849" xr:uid="{0BB2B24F-AA1C-40D5-AFE5-3DEB094F3423}"/>
    <cellStyle name="Lien hypertexte visite_X11J_TWN_SalesMonitor_NMI_070725_AN_Tool__FY08 March 10 Flash Analysis_Flash Volume Summary-PER02" xfId="13850" xr:uid="{7855E8DC-9125-46D3-8E63-D43C1EC7A1E7}"/>
    <cellStyle name="Lien hypertexte visité_X11J_TWN_SalesMonitor_NMI_070725_AN_Tool__FY08 March 10 Flash Analysis_Flash Volume Summary-PER02" xfId="13851" xr:uid="{448A0591-31CE-4AB0-B5C2-A6F0680C373D}"/>
    <cellStyle name="Lien hypertexte visite_X11J_TWN_SalesMonitor_NMI_070725_AN_Tool__FY08 March 10 Flash Analysis_Flash Volume Summary-PER04" xfId="13852" xr:uid="{4C7524B2-9B43-4445-BEAF-FB921DDBC894}"/>
    <cellStyle name="Lien hypertexte visité_X11J_TWN_SalesMonitor_NMI_070725_AN_Tool__FY08 March 10 Flash Analysis_Flash Volume Summary-PER04" xfId="13853" xr:uid="{5FD6FA4C-6C34-41D0-892B-4A966CCFBB0A}"/>
    <cellStyle name="Lien hypertexte visite_X11J_TWN_SalesMonitor_NMI_070725_AN_Tool__FY08 March 10 Flash Analysis_Flash Volume Summary-PER0自分用2" xfId="13854" xr:uid="{DBD45FE7-4DFE-43FF-B739-4566D7E1D0C0}"/>
    <cellStyle name="Lien hypertexte visité_X11J_TWN_SalesMonitor_NMI_070725_AN_Tool__FY08 March 10 Flash Analysis_Flash Volume Summary-PER0自分用2" xfId="13855" xr:uid="{FAAC3EC2-C3B9-41FD-A278-E70AD0788A7D}"/>
    <cellStyle name="Lien hypertexte visite_X11J_TWN_SalesMonitor_NMI_070725_AN_Tool__FY08 March 10 Flash Analysis_Flash Volume Summary-PER10" xfId="13856" xr:uid="{1BD5EC34-699A-4436-ADAF-37CF4EBC934D}"/>
    <cellStyle name="Lien hypertexte visité_X11J_TWN_SalesMonitor_NMI_070725_AN_Tool__FY08 March 10 Flash Analysis_Flash Volume Summary-PER10" xfId="13857" xr:uid="{5A6709AC-E678-4921-B165-95B3C6EB8BA8}"/>
    <cellStyle name="Lien hypertexte visite_X11J_TWN_SalesMonitor_NMI_070725_AN_Tool__FY08 March 10 Flash Analysis_Flash Volume Summary-PER10 for Central" xfId="13858" xr:uid="{A3A76055-74A5-451B-88C6-E6CA18B127AB}"/>
    <cellStyle name="Lien hypertexte visité_X11J_TWN_SalesMonitor_NMI_070725_AN_Tool__FY08 March 10 Flash Analysis_Flash Volume Summary-PER10 for Central" xfId="13859" xr:uid="{C026AFC8-6E76-4F80-BB2E-0FBE77FC1519}"/>
    <cellStyle name="Lien hypertexte visite_X11J_TWN_SalesMonitor_NMI_070725_AN_Tool__FY08 March 10 Flash Analysis_FY08 March Outlook (March 11 version)" xfId="13860" xr:uid="{C02EC381-A7C7-4346-9155-A81CFC39E25F}"/>
    <cellStyle name="Lien hypertexte visité_X11J_TWN_SalesMonitor_NMI_070725_AN_Tool__FY08 March 10 Flash Analysis_FY08 March Outlook (March 11 version)" xfId="13861" xr:uid="{FAA06AF4-93A0-4886-A7BE-B0A9DA5A8813}"/>
    <cellStyle name="Lien hypertexte visite_X11J_TWN_SalesMonitor_NMI_070725_AN_Tool__FY08 March 10 Flash Analysis_FY08 March Outlook (March 11 version)_Flash Volume Summary-PER01-rv1" xfId="13862" xr:uid="{7DF10CA9-B4AF-46DE-BA74-C58B122AB5ED}"/>
    <cellStyle name="Lien hypertexte visité_X11J_TWN_SalesMonitor_NMI_070725_AN_Tool__FY08 March 10 Flash Analysis_FY08 March Outlook (March 11 version)_Flash Volume Summary-PER01-rv1" xfId="13863" xr:uid="{9EF3E36B-FF4B-40C5-84CD-DDE753D458B0}"/>
    <cellStyle name="Lien hypertexte visite_X11J_TWN_SalesMonitor_NMI_070725_AN_Tool__FY08 March 10 Flash Analysis_FY08 March Outlook (March 11 version)_Flash Volume Summary-PER02" xfId="13864" xr:uid="{325674CC-0559-46FC-9EBC-93DA76808C1A}"/>
    <cellStyle name="Lien hypertexte visité_X11J_TWN_SalesMonitor_NMI_070725_AN_Tool__FY08 March 10 Flash Analysis_FY08 March Outlook (March 11 version)_Flash Volume Summary-PER02" xfId="13865" xr:uid="{FC0F568D-BBD0-481E-8D99-0856B3793C37}"/>
    <cellStyle name="Lien hypertexte visite_X11J_TWN_SalesMonitor_NMI_070725_AN_Tool__FY08 March 10 Flash Analysis_FY08 March Outlook (March 11 version)_Flash Volume Summary-PER04" xfId="13866" xr:uid="{B1322E44-FC85-4957-9933-03146F524208}"/>
    <cellStyle name="Lien hypertexte visité_X11J_TWN_SalesMonitor_NMI_070725_AN_Tool__FY08 March 10 Flash Analysis_FY08 March Outlook (March 11 version)_Flash Volume Summary-PER04" xfId="13867" xr:uid="{D7F27CB5-797D-4C47-956C-14DEF0B1507D}"/>
    <cellStyle name="Lien hypertexte visite_X11J_TWN_SalesMonitor_NMI_070725_AN_Tool__FY08 March 10 Flash Analysis_FY08 March Outlook (March 11 version)_Flash Volume Summary-PER0自分用2" xfId="13868" xr:uid="{EC1F1D31-1914-4C7E-8C69-F6369ABC87DC}"/>
    <cellStyle name="Lien hypertexte visité_X11J_TWN_SalesMonitor_NMI_070725_AN_Tool__FY08 March 10 Flash Analysis_FY08 March Outlook (March 11 version)_Flash Volume Summary-PER0自分用2" xfId="13869" xr:uid="{9A328B1B-0599-4C26-B16F-A2C8D91207AB}"/>
    <cellStyle name="Lien hypertexte visite_X11J_TWN_SalesMonitor_NMI_070725_AN_Tool__FY08 March 10 Flash Analysis_FY08 March Outlook (March 11 version)_Flash Volume Summary-PER10" xfId="13870" xr:uid="{5182A90C-72BC-4643-8C16-DA9CD2EFB684}"/>
    <cellStyle name="Lien hypertexte visité_X11J_TWN_SalesMonitor_NMI_070725_AN_Tool__FY08 March 10 Flash Analysis_FY08 March Outlook (March 11 version)_Flash Volume Summary-PER10" xfId="13871" xr:uid="{B6FEC71C-DC7D-4196-AD02-2034B7483D0D}"/>
    <cellStyle name="Lien hypertexte visite_X11J_TWN_SalesMonitor_NMI_070725_AN_Tool__FY08 March 10 Flash Analysis_FY08 March Outlook (March 11 version)_Flash Volume Summary-PER10 for Central" xfId="13872" xr:uid="{61C6C680-5C90-44C0-9CCA-6AC721DB2C8F}"/>
    <cellStyle name="Lien hypertexte visité_X11J_TWN_SalesMonitor_NMI_070725_AN_Tool__FY08 March 10 Flash Analysis_FY08 March Outlook (March 11 version)_Flash Volume Summary-PER10 for Central" xfId="13873" xr:uid="{E70CBE73-A00E-4924-A189-74A59215C169}"/>
    <cellStyle name="Lien hypertexte visite_X11J_TWN_SalesMonitor_NMI_070725_AN_Tool__FY08 March 10 Flash Analysis_FY08 March Outlook (March 11 version)_FY10 Pull Ahead template (Dec 15)" xfId="13874" xr:uid="{6A5ED68F-5387-4940-8FC4-C03008CD2A4F}"/>
    <cellStyle name="Lien hypertexte visité_X11J_TWN_SalesMonitor_NMI_070725_AN_Tool__FY08 March 10 Flash Analysis_FY08 March Outlook (March 11 version)_FY10 Pull Ahead template (Dec 15)" xfId="13875" xr:uid="{5053399F-E18F-42DF-8F47-EC51131AF412}"/>
    <cellStyle name="Lien hypertexte visite_X11J_TWN_SalesMonitor_NMI_070725_AN_Tool__FY08 March 10 Flash Analysis_FY08 March Outlook (March 11 version)_FY10 Pull Ahead template (Dec 15)_FY10 Pull Ahead template (Dec 16 Consolidate)" xfId="13876" xr:uid="{69A4E588-28BE-4956-AF50-ECFF38DC36CF}"/>
    <cellStyle name="Lien hypertexte visité_X11J_TWN_SalesMonitor_NMI_070725_AN_Tool__FY08 March 10 Flash Analysis_FY08 March Outlook (March 11 version)_FY10 Pull Ahead template (Dec 15)_FY10 Pull Ahead template (Dec 16 Consolidate)" xfId="13877" xr:uid="{8536E87A-16C2-4B3D-A4FA-E0BA9A70CD0C}"/>
    <cellStyle name="Lien hypertexte visite_X11J_TWN_SalesMonitor_NMI_070725_AN_Tool__FY08 March 10 Flash Analysis_FY08 March Outlook (March 11 version)_FY10 Pull Ahead template (Dec 15)_FY10 Pull Ahead template (Dec 16 Consolidate)v2 (2)" xfId="13878" xr:uid="{98CAF25E-CB57-4A0C-8557-1319F04A774F}"/>
    <cellStyle name="Lien hypertexte visité_X11J_TWN_SalesMonitor_NMI_070725_AN_Tool__FY08 March 10 Flash Analysis_FY08 March Outlook (March 11 version)_FY10 Pull Ahead template (Dec 15)_FY10 Pull Ahead template (Dec 16 Consolidate)v2 (2)" xfId="13879" xr:uid="{09358058-CD39-4A5A-B6C5-5A02286388A3}"/>
    <cellStyle name="Lien hypertexte visite_X11J_TWN_SalesMonitor_NMI_070725_AN_Tool__FY08 March 10 Flash Analysis_FY08 March Outlook (March 11 version)_FY10 Pull Ahead template (Dec 15)_FY10 Pull Ahead template (Jan 15 Consolidate)" xfId="13880" xr:uid="{96787B92-765F-4CA6-8F75-0E4EE7F3CF92}"/>
    <cellStyle name="Lien hypertexte visité_X11J_TWN_SalesMonitor_NMI_070725_AN_Tool__FY08 March 10 Flash Analysis_FY08 March Outlook (March 11 version)_FY10 Pull Ahead template (Dec 15)_FY10 Pull Ahead template (Jan 15 Consolidate)" xfId="13881" xr:uid="{7604CE1D-931F-4EA9-8ED7-7E444E44A124}"/>
    <cellStyle name="Lien hypertexte visite_X11J_TWN_SalesMonitor_NMI_070725_AN_Tool__FY08 March 10 Flash Analysis_FY08 March Outlook (March 11 version)_FY10 Pull Ahead template (Dec 15)_FY10 Pull Ahead template (Jan 18 Consolidate)_v3" xfId="13882" xr:uid="{E04F9A96-1CA9-4224-8A92-5E80E17B3FBC}"/>
    <cellStyle name="Lien hypertexte visité_X11J_TWN_SalesMonitor_NMI_070725_AN_Tool__FY08 March 10 Flash Analysis_FY08 March Outlook (March 11 version)_FY10 Pull Ahead template (Dec 15)_FY10 Pull Ahead template (Jan 18 Consolidate)_v3" xfId="13883" xr:uid="{C09F6832-A219-42C4-A03C-4D7B051E1762}"/>
    <cellStyle name="Lien hypertexte visite_X11J_TWN_SalesMonitor_NMI_070725_AN_Tool__FY08 March 10 Flash Analysis_FY08 March Outlook (March 11 version)_FY10 Pull Ahead template (Dec 15)_FY10 Pull Ahead template (Jan 19 Consolidate)_v2 (Europe)" xfId="13884" xr:uid="{3B652498-7DAF-4374-B821-502FC978A925}"/>
    <cellStyle name="Lien hypertexte visité_X11J_TWN_SalesMonitor_NMI_070725_AN_Tool__FY08 March 10 Flash Analysis_FY08 March Outlook (March 11 version)_FY10 Pull Ahead template (Dec 15)_FY10 Pull Ahead template (Jan 19 Consolidate)_v2 (Europe)" xfId="13885" xr:uid="{5A6D462D-03AF-446F-B0E2-B70252FB9346}"/>
    <cellStyle name="Lien hypertexte visite_X11J_TWN_SalesMonitor_NMI_070725_AN_Tool__FY08 March 10 Flash Analysis_FY08 March Outlook (March 11 version)_FY10 Pull Ahead template (Dec 15)_FY10 Pull Ahead template (Jan 27 Consolidate)_v3" xfId="13886" xr:uid="{069BB58C-9CF1-467C-B995-96B4BF097F79}"/>
    <cellStyle name="Lien hypertexte visité_X11J_TWN_SalesMonitor_NMI_070725_AN_Tool__FY08 March 10 Flash Analysis_FY08 March Outlook (March 11 version)_FY10 Pull Ahead template (Dec 15)_FY10 Pull Ahead template (Jan 27 Consolidate)_v3" xfId="13887" xr:uid="{B82060E5-8022-4D28-A704-0B1153BBA6C9}"/>
    <cellStyle name="Lien hypertexte visite_X11J_TWN_SalesMonitor_NMI_070725_AN_Tool__FY08 March 10 Flash Analysis_FY08 March Outlook (March 11 version)_FY10 Pull Ahead template (Dec 15)_FY10 Pull Ahead template (Jan 28 Consolidate)_v1" xfId="13888" xr:uid="{ED1A8A43-D7D1-4B74-B947-DE678D538A64}"/>
    <cellStyle name="Lien hypertexte visité_X11J_TWN_SalesMonitor_NMI_070725_AN_Tool__FY08 March 10 Flash Analysis_FY08 March Outlook (March 11 version)_FY10 Pull Ahead template (Dec 15)_FY10 Pull Ahead template (Jan 28 Consolidate)_v1" xfId="13889" xr:uid="{DD300DF8-D717-4A4D-9BD6-AD73CEB1B409}"/>
    <cellStyle name="Lien hypertexte visite_X11J_TWN_SalesMonitor_NMI_070725_AN_Tool__FY08 March 10 Flash Analysis_FY08 March Outlook (March 11 version)_FY10 Pull Ahead template (Dec 15)_FY10 Pull Ahead template (Jan 28 Consolidate)_v2" xfId="13890" xr:uid="{79C56ABC-50B6-4763-A05C-C650782DC1B6}"/>
    <cellStyle name="Lien hypertexte visité_X11J_TWN_SalesMonitor_NMI_070725_AN_Tool__FY08 March 10 Flash Analysis_FY08 March Outlook (March 11 version)_FY10 Pull Ahead template (Dec 15)_FY10 Pull Ahead template (Jan 28 Consolidate)_v2" xfId="13891" xr:uid="{E997A348-4F47-46FE-B772-3085DA8A218B}"/>
    <cellStyle name="Lien hypertexte visite_X11J_TWN_SalesMonitor_NMI_070725_AN_Tool__FY08 March 10 Flash Analysis_FY08 March Outlook (March 11 version)_FY10 Pull Ahead template (Dec 15)_FY10 Pull Ahead template (Jan 29 Consolidate)_v1" xfId="13892" xr:uid="{2496F2CF-7152-4D46-97BB-A0EF483575B6}"/>
    <cellStyle name="Lien hypertexte visité_X11J_TWN_SalesMonitor_NMI_070725_AN_Tool__FY08 March 10 Flash Analysis_FY08 March Outlook (March 11 version)_FY10 Pull Ahead template (Dec 15)_FY10 Pull Ahead template (Jan 29 Consolidate)_v1" xfId="13893" xr:uid="{9521984D-AEB8-4E39-A819-77085121FF45}"/>
    <cellStyle name="Lien hypertexte visite_X11J_TWN_SalesMonitor_NMI_070725_AN_Tool__FY08 March 10 Flash Analysis_FY08 March Outlook (March 11 version)_Periodic ITP Adjustment for NMEX (2)" xfId="13894" xr:uid="{F0367F72-4CFA-48CD-A4FC-2AE6CEE7A913}"/>
    <cellStyle name="Lien hypertexte visité_X11J_TWN_SalesMonitor_NMI_070725_AN_Tool__FY08 March 10 Flash Analysis_FY08 March Outlook (March 11 version)_Periodic ITP Adjustment for NMEX (2)" xfId="13895" xr:uid="{6C8759EB-B136-4AAB-9591-CA7D42289523}"/>
    <cellStyle name="Lien hypertexte visite_X11J_TWN_SalesMonitor_NMI_070725_AN_Tool__FY08 March 10 Flash Analysis_FY10 Pull Ahead template (Dec 15)" xfId="13896" xr:uid="{8651C183-394A-4CAF-92AB-BAA13CAC51EF}"/>
    <cellStyle name="Lien hypertexte visité_X11J_TWN_SalesMonitor_NMI_070725_AN_Tool__FY08 March 10 Flash Analysis_FY10 Pull Ahead template (Dec 15)" xfId="13897" xr:uid="{36BDE371-45A1-441E-94A4-EAE26B74C1E3}"/>
    <cellStyle name="Lien hypertexte visite_X11J_TWN_SalesMonitor_NMI_070725_AN_Tool__FY08 March 10 Flash Analysis_FY10 Pull Ahead template (Dec 15)_FY10 Pull Ahead template (Dec 16 Consolidate)" xfId="13898" xr:uid="{68257387-8F6C-4F59-8BCB-11590CD9037A}"/>
    <cellStyle name="Lien hypertexte visité_X11J_TWN_SalesMonitor_NMI_070725_AN_Tool__FY08 March 10 Flash Analysis_FY10 Pull Ahead template (Dec 15)_FY10 Pull Ahead template (Dec 16 Consolidate)" xfId="13899" xr:uid="{A164D440-9373-4BFD-8534-E1E32E72B187}"/>
    <cellStyle name="Lien hypertexte visite_X11J_TWN_SalesMonitor_NMI_070725_AN_Tool__FY08 March 10 Flash Analysis_FY10 Pull Ahead template (Dec 15)_FY10 Pull Ahead template (Dec 16 Consolidate)v2 (2)" xfId="13900" xr:uid="{50C106B4-C020-4C23-9623-BE0C10400F04}"/>
    <cellStyle name="Lien hypertexte visité_X11J_TWN_SalesMonitor_NMI_070725_AN_Tool__FY08 March 10 Flash Analysis_FY10 Pull Ahead template (Dec 15)_FY10 Pull Ahead template (Dec 16 Consolidate)v2 (2)" xfId="13901" xr:uid="{B30A40D3-B497-433D-A7EA-E8DEC67FD0E8}"/>
    <cellStyle name="Lien hypertexte visite_X11J_TWN_SalesMonitor_NMI_070725_AN_Tool__FY08 March 10 Flash Analysis_FY10 Pull Ahead template (Dec 15)_FY10 Pull Ahead template (Jan 15 Consolidate)" xfId="13902" xr:uid="{21A69626-3EB9-47EE-B161-A2CA823DEF62}"/>
    <cellStyle name="Lien hypertexte visité_X11J_TWN_SalesMonitor_NMI_070725_AN_Tool__FY08 March 10 Flash Analysis_FY10 Pull Ahead template (Dec 15)_FY10 Pull Ahead template (Jan 15 Consolidate)" xfId="13903" xr:uid="{C76894E6-D931-4D45-984E-937AA083C782}"/>
    <cellStyle name="Lien hypertexte visite_X11J_TWN_SalesMonitor_NMI_070725_AN_Tool__FY08 March 10 Flash Analysis_FY10 Pull Ahead template (Dec 15)_FY10 Pull Ahead template (Jan 18 Consolidate)_v3" xfId="13904" xr:uid="{0A378358-D618-484C-AE10-062D70A771B3}"/>
    <cellStyle name="Lien hypertexte visité_X11J_TWN_SalesMonitor_NMI_070725_AN_Tool__FY08 March 10 Flash Analysis_FY10 Pull Ahead template (Dec 15)_FY10 Pull Ahead template (Jan 18 Consolidate)_v3" xfId="13905" xr:uid="{B35315DA-C3E9-4AAF-8C88-87A8CCB51BAE}"/>
    <cellStyle name="Lien hypertexte visite_X11J_TWN_SalesMonitor_NMI_070725_AN_Tool__FY08 March 10 Flash Analysis_FY10 Pull Ahead template (Dec 15)_FY10 Pull Ahead template (Jan 19 Consolidate)_v2 (Europe)" xfId="13906" xr:uid="{0359CA9C-3A75-44ED-BECE-5DC0A1408FA1}"/>
    <cellStyle name="Lien hypertexte visité_X11J_TWN_SalesMonitor_NMI_070725_AN_Tool__FY08 March 10 Flash Analysis_FY10 Pull Ahead template (Dec 15)_FY10 Pull Ahead template (Jan 19 Consolidate)_v2 (Europe)" xfId="13907" xr:uid="{0D4E3B40-20DE-418A-A0FD-0DC1485F459F}"/>
    <cellStyle name="Lien hypertexte visite_X11J_TWN_SalesMonitor_NMI_070725_AN_Tool__FY08 March 10 Flash Analysis_FY10 Pull Ahead template (Dec 15)_FY10 Pull Ahead template (Jan 27 Consolidate)_v3" xfId="13908" xr:uid="{AB348A41-95C0-459E-93C3-94780049499C}"/>
    <cellStyle name="Lien hypertexte visité_X11J_TWN_SalesMonitor_NMI_070725_AN_Tool__FY08 March 10 Flash Analysis_FY10 Pull Ahead template (Dec 15)_FY10 Pull Ahead template (Jan 27 Consolidate)_v3" xfId="13909" xr:uid="{A830C166-957F-444F-AD83-54AB73737E03}"/>
    <cellStyle name="Lien hypertexte visite_X11J_TWN_SalesMonitor_NMI_070725_AN_Tool__FY08 March 10 Flash Analysis_FY10 Pull Ahead template (Dec 15)_FY10 Pull Ahead template (Jan 28 Consolidate)_v1" xfId="13910" xr:uid="{13EC5E1A-2F3D-46FF-9367-7543E8E3F398}"/>
    <cellStyle name="Lien hypertexte visité_X11J_TWN_SalesMonitor_NMI_070725_AN_Tool__FY08 March 10 Flash Analysis_FY10 Pull Ahead template (Dec 15)_FY10 Pull Ahead template (Jan 28 Consolidate)_v1" xfId="13911" xr:uid="{493EC2DA-268E-4E5E-AD03-2E3B5A5BA7E5}"/>
    <cellStyle name="Lien hypertexte visite_X11J_TWN_SalesMonitor_NMI_070725_AN_Tool__FY08 March 10 Flash Analysis_FY10 Pull Ahead template (Dec 15)_FY10 Pull Ahead template (Jan 28 Consolidate)_v2" xfId="13912" xr:uid="{03D08701-4F6F-4CCC-A736-495116581131}"/>
    <cellStyle name="Lien hypertexte visité_X11J_TWN_SalesMonitor_NMI_070725_AN_Tool__FY08 March 10 Flash Analysis_FY10 Pull Ahead template (Dec 15)_FY10 Pull Ahead template (Jan 28 Consolidate)_v2" xfId="13913" xr:uid="{542FEE8C-02A8-4D9F-ACC4-F8E6A50D019B}"/>
    <cellStyle name="Lien hypertexte visite_X11J_TWN_SalesMonitor_NMI_070725_AN_Tool__FY08 March 10 Flash Analysis_FY10 Pull Ahead template (Dec 15)_FY10 Pull Ahead template (Jan 29 Consolidate)_v1" xfId="13914" xr:uid="{DE3036A6-7588-4C71-9E67-E6AF7569C816}"/>
    <cellStyle name="Lien hypertexte visité_X11J_TWN_SalesMonitor_NMI_070725_AN_Tool__FY08 March 10 Flash Analysis_FY10 Pull Ahead template (Dec 15)_FY10 Pull Ahead template (Jan 29 Consolidate)_v1" xfId="13915" xr:uid="{97CEA1F3-AD1B-4602-9066-A176C8AE8F96}"/>
    <cellStyle name="Lien hypertexte visite_X11J_TWN_SalesMonitor_NMI_070725_AN_Tool__FY08 March 10 Flash Analysis_Periodic ITP Adjustment for NMEX (2)" xfId="13916" xr:uid="{C80C77C4-BE98-4E68-9469-83B139BD8D3E}"/>
    <cellStyle name="Lien hypertexte visité_X11J_TWN_SalesMonitor_NMI_070725_AN_Tool__FY08 March 10 Flash Analysis_Periodic ITP Adjustment for NMEX (2)" xfId="13917" xr:uid="{229EF853-9A5F-4CAD-847C-5055088830AD}"/>
    <cellStyle name="Lien hypertexte visite_X11J_TWN_SalesMonitor_NMI_070725_AN_Tool__FY10 Pull Ahead template (Dec 15)" xfId="13918" xr:uid="{5C94FBA1-1C70-47DA-83D0-3767DE83F24D}"/>
    <cellStyle name="Lien hypertexte visité_X11J_TWN_SalesMonitor_NMI_070725_AN_Tool__FY10 Pull Ahead template (Dec 15)" xfId="13919" xr:uid="{4D812764-E02D-46D3-B96E-571126C3467F}"/>
    <cellStyle name="Lien hypertexte visite_X11J_TWN_SalesMonitor_NMI_070725_AN_Tool__FY10 Pull Ahead template (Dec 15)_FY10 Pull Ahead template (Dec 16 Consolidate)" xfId="13920" xr:uid="{03E4FAAC-7900-4AE7-BA54-BA3B986C129B}"/>
    <cellStyle name="Lien hypertexte visité_X11J_TWN_SalesMonitor_NMI_070725_AN_Tool__FY10 Pull Ahead template (Dec 15)_FY10 Pull Ahead template (Dec 16 Consolidate)" xfId="13921" xr:uid="{132602E2-6159-4FAF-AF80-94ADDC00A38F}"/>
    <cellStyle name="Lien hypertexte visite_X11J_TWN_SalesMonitor_NMI_070725_AN_Tool__FY10 Pull Ahead template (Dec 15)_FY10 Pull Ahead template (Dec 16 Consolidate)v2 (2)" xfId="13922" xr:uid="{77F98E72-C09A-4BA8-8A7E-30EE7F5EFAC5}"/>
    <cellStyle name="Lien hypertexte visité_X11J_TWN_SalesMonitor_NMI_070725_AN_Tool__FY10 Pull Ahead template (Dec 15)_FY10 Pull Ahead template (Dec 16 Consolidate)v2 (2)" xfId="13923" xr:uid="{2403B4D8-5992-4ED5-8520-F55C84AFA9F9}"/>
    <cellStyle name="Lien hypertexte visite_X11J_TWN_SalesMonitor_NMI_070725_AN_Tool__FY10 Pull Ahead template (Dec 15)_FY10 Pull Ahead template (Jan 15 Consolidate)" xfId="13924" xr:uid="{D47CD1AA-773E-4551-9BE2-89D0AD47CA51}"/>
    <cellStyle name="Lien hypertexte visité_X11J_TWN_SalesMonitor_NMI_070725_AN_Tool__FY10 Pull Ahead template (Dec 15)_FY10 Pull Ahead template (Jan 15 Consolidate)" xfId="13925" xr:uid="{6DC4A062-EE77-479A-845E-4C28DB9F29C5}"/>
    <cellStyle name="Lien hypertexte visite_X11J_TWN_SalesMonitor_NMI_070725_AN_Tool__FY10 Pull Ahead template (Dec 15)_FY10 Pull Ahead template (Jan 18 Consolidate)_v3" xfId="13926" xr:uid="{921F5CC0-E1C5-4C76-9380-46EBCE68EB1F}"/>
    <cellStyle name="Lien hypertexte visité_X11J_TWN_SalesMonitor_NMI_070725_AN_Tool__FY10 Pull Ahead template (Dec 15)_FY10 Pull Ahead template (Jan 18 Consolidate)_v3" xfId="13927" xr:uid="{7ED3D85A-C426-4A57-8BB1-B26F5C30DFB6}"/>
    <cellStyle name="Lien hypertexte visite_X11J_TWN_SalesMonitor_NMI_070725_AN_Tool__FY10 Pull Ahead template (Dec 15)_FY10 Pull Ahead template (Jan 19 Consolidate)_v2 (Europe)" xfId="13928" xr:uid="{D3968C64-FCA8-4859-B9CB-F1AF338EC257}"/>
    <cellStyle name="Lien hypertexte visité_X11J_TWN_SalesMonitor_NMI_070725_AN_Tool__FY10 Pull Ahead template (Dec 15)_FY10 Pull Ahead template (Jan 19 Consolidate)_v2 (Europe)" xfId="13929" xr:uid="{3358E634-B4EF-40F7-A779-D6D0FF35C4D8}"/>
    <cellStyle name="Lien hypertexte visite_X11J_TWN_SalesMonitor_NMI_070725_AN_Tool__FY10 Pull Ahead template (Dec 15)_FY10 Pull Ahead template (Jan 27 Consolidate)_v3" xfId="13930" xr:uid="{E039E4BA-2435-43A1-B25E-FF7029013872}"/>
    <cellStyle name="Lien hypertexte visité_X11J_TWN_SalesMonitor_NMI_070725_AN_Tool__FY10 Pull Ahead template (Dec 15)_FY10 Pull Ahead template (Jan 27 Consolidate)_v3" xfId="13931" xr:uid="{977FD272-E0D6-40C0-804B-7497FDE13541}"/>
    <cellStyle name="Lien hypertexte visite_X11J_TWN_SalesMonitor_NMI_070725_AN_Tool__FY10 Pull Ahead template (Dec 15)_FY10 Pull Ahead template (Jan 28 Consolidate)_v1" xfId="13932" xr:uid="{D18180CB-B8C2-4D67-AFBC-3861AFBBA472}"/>
    <cellStyle name="Lien hypertexte visité_X11J_TWN_SalesMonitor_NMI_070725_AN_Tool__FY10 Pull Ahead template (Dec 15)_FY10 Pull Ahead template (Jan 28 Consolidate)_v1" xfId="13933" xr:uid="{AFDA78F9-8A43-4C49-9F53-C54D928CB326}"/>
    <cellStyle name="Lien hypertexte visite_X11J_TWN_SalesMonitor_NMI_070725_AN_Tool__FY10 Pull Ahead template (Dec 15)_FY10 Pull Ahead template (Jan 28 Consolidate)_v2" xfId="13934" xr:uid="{289E09AD-9ED1-4F64-914F-8076C8550984}"/>
    <cellStyle name="Lien hypertexte visité_X11J_TWN_SalesMonitor_NMI_070725_AN_Tool__FY10 Pull Ahead template (Dec 15)_FY10 Pull Ahead template (Jan 28 Consolidate)_v2" xfId="13935" xr:uid="{68F54187-4AD8-4396-9A4F-68E78260CE73}"/>
    <cellStyle name="Lien hypertexte visite_X11J_TWN_SalesMonitor_NMI_070725_AN_Tool__FY10 Pull Ahead template (Dec 15)_FY10 Pull Ahead template (Jan 29 Consolidate)_v1" xfId="13936" xr:uid="{F1ADC473-2EB2-4304-BAD2-E3CFC708CB46}"/>
    <cellStyle name="Lien hypertexte visité_X11J_TWN_SalesMonitor_NMI_070725_AN_Tool__FY10 Pull Ahead template (Dec 15)_FY10 Pull Ahead template (Jan 29 Consolidate)_v1" xfId="13937" xr:uid="{DE6708C7-D5D4-4146-AFEE-7641EDC704BB}"/>
    <cellStyle name="Lien hypertexte visite_X11J_TWN_SalesMonitor_NMI_070725_AN_Tool__Periodic ITP Adjustment for NMEX (2)" xfId="13938" xr:uid="{2D05B1BD-3FA1-40CD-91E0-3D74D0335960}"/>
    <cellStyle name="Lien hypertexte visité_X11J_TWN_SalesMonitor_NMI_070725_AN_Tool__Periodic ITP Adjustment for NMEX (2)" xfId="13939" xr:uid="{5D9C133F-2BF1-4E46-9195-479D5FBF73A8}"/>
    <cellStyle name="Lien hypertexte visite_X11J_TWN_SalesMonitor_収益試算Final070905_AN_Tool" xfId="13940" xr:uid="{3153596B-57BB-41D5-BFA8-E81EE49A5745}"/>
    <cellStyle name="Lien hypertexte visité_X11J_TWN_SalesMonitor_収益試算Final070905_AN_Tool" xfId="13941" xr:uid="{63246C00-CDFC-400F-B2D2-B933CFC274FA}"/>
    <cellStyle name="Lien hypertexte visite_X11J_TWN_SalesMonitor_収益試算Final070905_AN_Tool_Flash Volume Summary-PER01-rv1" xfId="13942" xr:uid="{0337FE5A-4E60-400D-A760-0AD107630671}"/>
    <cellStyle name="Lien hypertexte visité_X11J_TWN_SalesMonitor_収益試算Final070905_AN_Tool_Flash Volume Summary-PER01-rv1" xfId="13943" xr:uid="{EB6567C0-72D8-4763-BE46-C63B7A1012CA}"/>
    <cellStyle name="Lien hypertexte visite_X11J_TWN_SalesMonitor_収益試算Final070905_AN_Tool_Flash Volume Summary-PER02" xfId="13944" xr:uid="{B9EF26FD-080F-425D-9E5D-3BF9D29D3EF6}"/>
    <cellStyle name="Lien hypertexte visité_X11J_TWN_SalesMonitor_収益試算Final070905_AN_Tool_Flash Volume Summary-PER02" xfId="13945" xr:uid="{96062B1A-BA6F-48A5-A63C-445C5A73799F}"/>
    <cellStyle name="Lien hypertexte visite_X11J_TWN_SalesMonitor_収益試算Final070905_AN_Tool_Flash Volume Summary-PER04" xfId="13946" xr:uid="{D8BBC619-D19C-4CD4-8BD3-09F576E324E8}"/>
    <cellStyle name="Lien hypertexte visité_X11J_TWN_SalesMonitor_収益試算Final070905_AN_Tool_Flash Volume Summary-PER04" xfId="13947" xr:uid="{6141E766-BFA9-4391-95F8-FC041FE1A1A1}"/>
    <cellStyle name="Lien hypertexte visite_X11J_TWN_SalesMonitor_収益試算Final070905_AN_Tool_Flash Volume Summary-PER0自分用2" xfId="13948" xr:uid="{01E378E7-D046-47D0-9657-2513C5527AFC}"/>
    <cellStyle name="Lien hypertexte visité_X11J_TWN_SalesMonitor_収益試算Final070905_AN_Tool_Flash Volume Summary-PER0自分用2" xfId="13949" xr:uid="{43B2AC7D-82BE-473F-B911-A59E5031995F}"/>
    <cellStyle name="Lien hypertexte visite_X11J_TWN_SalesMonitor_収益試算Final070905_AN_Tool_Flash Volume Summary-PER10" xfId="13950" xr:uid="{1C6B5187-6F6C-4B1D-9B81-B99CD037AD67}"/>
    <cellStyle name="Lien hypertexte visité_X11J_TWN_SalesMonitor_収益試算Final070905_AN_Tool_Flash Volume Summary-PER10" xfId="13951" xr:uid="{2D64B516-BE29-4D40-AE58-AA5E5FF6EF78}"/>
    <cellStyle name="Lien hypertexte visite_X11J_TWN_SalesMonitor_収益試算Final070905_AN_Tool_Flash Volume Summary-PER10 for Central" xfId="13952" xr:uid="{0CDEBD6E-A012-49DC-999E-104E46E69214}"/>
    <cellStyle name="Lien hypertexte visité_X11J_TWN_SalesMonitor_収益試算Final070905_AN_Tool_Flash Volume Summary-PER10 for Central" xfId="13953" xr:uid="{731BD2DF-4E26-4210-8747-B358747E79DF}"/>
    <cellStyle name="Lien hypertexte visite_X11J_TWN_SalesMonitor_収益試算Final070905_AN_Tool_FY08 March 10 Flash Analysis" xfId="13954" xr:uid="{7904CCB2-BE2E-430D-A986-5F0047A50580}"/>
    <cellStyle name="Lien hypertexte visité_X11J_TWN_SalesMonitor_収益試算Final070905_AN_Tool_FY08 March 10 Flash Analysis" xfId="13955" xr:uid="{BB4764AD-00CD-4DF1-8308-446FFDAF2D63}"/>
    <cellStyle name="Lien hypertexte visite_X11J_TWN_SalesMonitor_収益試算Final070905_AN_Tool_FY08 March 10 Flash Analysis_Flash Volume Summary-PER01-rv1" xfId="13956" xr:uid="{9210B120-4226-4B76-A790-ECF668CD8436}"/>
    <cellStyle name="Lien hypertexte visité_X11J_TWN_SalesMonitor_収益試算Final070905_AN_Tool_FY08 March 10 Flash Analysis_Flash Volume Summary-PER01-rv1" xfId="13957" xr:uid="{8EBDC031-A7DF-4833-9526-C48FEC97C3A3}"/>
    <cellStyle name="Lien hypertexte visite_X11J_TWN_SalesMonitor_収益試算Final070905_AN_Tool_FY08 March 10 Flash Analysis_Flash Volume Summary-PER02" xfId="13958" xr:uid="{448F1FCC-7F7C-484E-A644-CD3A3A5D0C22}"/>
    <cellStyle name="Lien hypertexte visité_X11J_TWN_SalesMonitor_収益試算Final070905_AN_Tool_FY08 March 10 Flash Analysis_Flash Volume Summary-PER02" xfId="13959" xr:uid="{7F70B7B5-9A31-4320-94BF-15969B1031D4}"/>
    <cellStyle name="Lien hypertexte visite_X11J_TWN_SalesMonitor_収益試算Final070905_AN_Tool_FY08 March 10 Flash Analysis_Flash Volume Summary-PER04" xfId="13960" xr:uid="{5E2A9855-256F-4215-8403-75043841987D}"/>
    <cellStyle name="Lien hypertexte visité_X11J_TWN_SalesMonitor_収益試算Final070905_AN_Tool_FY08 March 10 Flash Analysis_Flash Volume Summary-PER04" xfId="13961" xr:uid="{4153ADDA-2083-4472-ACBB-229809CFC248}"/>
    <cellStyle name="Lien hypertexte visite_X11J_TWN_SalesMonitor_収益試算Final070905_AN_Tool_FY08 March 10 Flash Analysis_Flash Volume Summary-PER0自分用2" xfId="13962" xr:uid="{9DD061AD-0B53-4AE1-AFC8-010734F35C6B}"/>
    <cellStyle name="Lien hypertexte visité_X11J_TWN_SalesMonitor_収益試算Final070905_AN_Tool_FY08 March 10 Flash Analysis_Flash Volume Summary-PER0自分用2" xfId="13963" xr:uid="{72CFE7CD-C2AA-44FE-A880-E6ADB9B0807A}"/>
    <cellStyle name="Lien hypertexte visite_X11J_TWN_SalesMonitor_収益試算Final070905_AN_Tool_FY08 March 10 Flash Analysis_Flash Volume Summary-PER10" xfId="13964" xr:uid="{79501C43-CDB8-497A-B671-7B905BF6DA68}"/>
    <cellStyle name="Lien hypertexte visité_X11J_TWN_SalesMonitor_収益試算Final070905_AN_Tool_FY08 March 10 Flash Analysis_Flash Volume Summary-PER10" xfId="13965" xr:uid="{39448952-862B-4D10-869D-D9A0965EB60C}"/>
    <cellStyle name="Lien hypertexte visite_X11J_TWN_SalesMonitor_収益試算Final070905_AN_Tool_FY08 March 10 Flash Analysis_Flash Volume Summary-PER10 for Central" xfId="13966" xr:uid="{0CC582AB-69F2-47FF-8361-EA4E0C71E59B}"/>
    <cellStyle name="Lien hypertexte visité_X11J_TWN_SalesMonitor_収益試算Final070905_AN_Tool_FY08 March 10 Flash Analysis_Flash Volume Summary-PER10 for Central" xfId="13967" xr:uid="{B7B58748-3C7E-438D-B0EA-CC71C72BB857}"/>
    <cellStyle name="Lien hypertexte visite_X11J_TWN_SalesMonitor_収益試算Final070905_AN_Tool_FY08 March 10 Flash Analysis_FY08 March Outlook (March 11 version)" xfId="13968" xr:uid="{CF2ABBEF-942F-49EA-9C66-5C32C8754603}"/>
    <cellStyle name="Lien hypertexte visité_X11J_TWN_SalesMonitor_収益試算Final070905_AN_Tool_FY08 March 10 Flash Analysis_FY08 March Outlook (March 11 version)" xfId="13969" xr:uid="{3F3D4076-0FFE-4D36-87D2-65E5F78CDF5C}"/>
    <cellStyle name="Lien hypertexte visite_X11J_TWN_SalesMonitor_収益試算Final070905_AN_Tool_FY08 March 10 Flash Analysis_FY08 March Outlook (March 11 version)_Flash Volume Summary-PER01-rv1" xfId="13970" xr:uid="{27FFEBB2-7E70-417F-9954-E886AE0E39BF}"/>
    <cellStyle name="Lien hypertexte visité_X11J_TWN_SalesMonitor_収益試算Final070905_AN_Tool_FY08 March 10 Flash Analysis_FY08 March Outlook (March 11 version)_Flash Volume Summary-PER01-rv1" xfId="13971" xr:uid="{57154E8D-5CE8-4C93-B6DA-F264D04F82C2}"/>
    <cellStyle name="Lien hypertexte visite_X11J_TWN_SalesMonitor_収益試算Final070905_AN_Tool_FY08 March 10 Flash Analysis_FY08 March Outlook (March 11 version)_Flash Volume Summary-PER02" xfId="13972" xr:uid="{5474B94E-8975-450F-BC79-A23F49C453FF}"/>
    <cellStyle name="Lien hypertexte visité_X11J_TWN_SalesMonitor_収益試算Final070905_AN_Tool_FY08 March 10 Flash Analysis_FY08 March Outlook (March 11 version)_Flash Volume Summary-PER02" xfId="13973" xr:uid="{559252CA-FCBA-42D3-AA70-6338B38500A3}"/>
    <cellStyle name="Lien hypertexte visite_X11J_TWN_SalesMonitor_収益試算Final070905_AN_Tool_FY08 March 10 Flash Analysis_FY08 March Outlook (March 11 version)_Flash Volume Summary-PER04" xfId="13974" xr:uid="{59888ADB-A5C4-473C-A571-55898E1FEDFC}"/>
    <cellStyle name="Lien hypertexte visité_X11J_TWN_SalesMonitor_収益試算Final070905_AN_Tool_FY08 March 10 Flash Analysis_FY08 March Outlook (March 11 version)_Flash Volume Summary-PER04" xfId="13975" xr:uid="{CA2838A7-84ED-4CF8-B4F1-389B92D202B3}"/>
    <cellStyle name="Lien hypertexte visite_X11J_TWN_SalesMonitor_収益試算Final070905_AN_Tool_FY08 March 10 Flash Analysis_FY08 March Outlook (March 11 version)_Flash Volume Summary-PER0自分用2" xfId="13976" xr:uid="{32C1A79D-85F0-4BBB-8D43-A46544C3C563}"/>
    <cellStyle name="Lien hypertexte visité_X11J_TWN_SalesMonitor_収益試算Final070905_AN_Tool_FY08 March 10 Flash Analysis_FY08 March Outlook (March 11 version)_Flash Volume Summary-PER0自分用2" xfId="13977" xr:uid="{4978892F-DC4D-4DC5-84F1-CE3EC5799341}"/>
    <cellStyle name="Lien hypertexte visite_X11J_TWN_SalesMonitor_収益試算Final070905_AN_Tool_FY08 March 10 Flash Analysis_FY08 March Outlook (March 11 version)_Flash Volume Summary-PER10" xfId="13978" xr:uid="{2FE47CD0-38CC-467F-AC5C-F6079507DFAE}"/>
    <cellStyle name="Lien hypertexte visité_X11J_TWN_SalesMonitor_収益試算Final070905_AN_Tool_FY08 March 10 Flash Analysis_FY08 March Outlook (March 11 version)_Flash Volume Summary-PER10" xfId="13979" xr:uid="{E7CF68B8-720F-4449-9E19-8868BCCB9688}"/>
    <cellStyle name="Lien hypertexte visite_X11J_TWN_SalesMonitor_収益試算Final070905_AN_Tool_FY08 March 10 Flash Analysis_FY08 March Outlook (March 11 version)_Flash Volume Summary-PER10 for Central" xfId="13980" xr:uid="{42875D6A-493A-4C9D-81CE-94FD6F2643DE}"/>
    <cellStyle name="Lien hypertexte visité_X11J_TWN_SalesMonitor_収益試算Final070905_AN_Tool_FY08 March 10 Flash Analysis_FY08 March Outlook (March 11 version)_Flash Volume Summary-PER10 for Central" xfId="13981" xr:uid="{A9FF544A-4D08-432C-A939-40A34D378907}"/>
    <cellStyle name="Lien hypertexte visite_X11J_TWN_SalesMonitor_収益試算Final070905_AN_Tool_FY08 March 10 Flash Analysis_FY08 March Outlook (March 11 version)_FY10 Pull Ahead template (Dec 15)" xfId="13982" xr:uid="{E25EF13A-923D-4485-B4D7-B52629CDBB45}"/>
    <cellStyle name="Lien hypertexte visité_X11J_TWN_SalesMonitor_収益試算Final070905_AN_Tool_FY08 March 10 Flash Analysis_FY08 March Outlook (March 11 version)_FY10 Pull Ahead template (Dec 15)" xfId="13983" xr:uid="{97071195-D8BC-44A6-8A97-0ECBE9E11164}"/>
    <cellStyle name="Lien hypertexte visite_X11J_TWN_SalesMonitor_収益試算Final070905_AN_Tool_FY08 March 10 Flash Analysis_FY08 March Outlook (March 11 version)_FY10 Pull Ahead template (Dec 15)_FY10 Pull Ahead template (Dec 16 Consolidate)" xfId="13984" xr:uid="{EAE38202-6A7C-4679-8494-BED06A1F5CE4}"/>
    <cellStyle name="Lien hypertexte visité_X11J_TWN_SalesMonitor_収益試算Final070905_AN_Tool_FY08 March 10 Flash Analysis_FY08 March Outlook (March 11 version)_FY10 Pull Ahead template (Dec 15)_FY10 Pull Ahead template (Dec 16 Consolidate)" xfId="13985" xr:uid="{CC37544E-E59D-4D59-A830-03343669A4F2}"/>
    <cellStyle name="Lien hypertexte visite_X11J_TWN_SalesMonitor_収益試算Final070905_AN_Tool_FY08 March 10 Flash Analysis_FY08 March Outlook (March 11 version)_FY10 Pull Ahead template (Dec 15)_FY10 Pull Ahead template (Dec 16 Consolidate)v2 (2)" xfId="13986" xr:uid="{FBE6D3C6-FBDD-4131-B462-90277AA124A8}"/>
    <cellStyle name="Lien hypertexte visité_X11J_TWN_SalesMonitor_収益試算Final070905_AN_Tool_FY08 March 10 Flash Analysis_FY08 March Outlook (March 11 version)_FY10 Pull Ahead template (Dec 15)_FY10 Pull Ahead template (Dec 16 Consolidate)v2 (2)" xfId="13987" xr:uid="{4B5A86C1-C8B2-4161-9BFD-EBDF6BC5CB92}"/>
    <cellStyle name="Lien hypertexte visite_X11J_TWN_SalesMonitor_収益試算Final070905_AN_Tool_FY08 March 10 Flash Analysis_FY08 March Outlook (March 11 version)_FY10 Pull Ahead template (Dec 15)_FY10 Pull Ahead template (Jan 15 Consolidate)" xfId="13988" xr:uid="{C05C726D-257F-4172-A31C-790E75E0B665}"/>
    <cellStyle name="Lien hypertexte visité_X11J_TWN_SalesMonitor_収益試算Final070905_AN_Tool_FY08 March 10 Flash Analysis_FY08 March Outlook (March 11 version)_FY10 Pull Ahead template (Dec 15)_FY10 Pull Ahead template (Jan 15 Consolidate)" xfId="13989" xr:uid="{72334D98-5C56-4DCF-85C3-2E84AC5495DE}"/>
    <cellStyle name="Lien hypertexte visite_X11J_TWN_SalesMonitor_収益試算Final070905_AN_Tool_FY08 March 10 Flash Analysis_FY08 March Outlook (March 11 version)_FY10 Pull Ahead template (Dec 15)_FY10 Pull Ahead template (Jan 18 Consolidate)_v3" xfId="13990" xr:uid="{DFF01731-6FC9-49E1-AA81-A9EA8F996559}"/>
    <cellStyle name="Lien hypertexte visité_X11J_TWN_SalesMonitor_収益試算Final070905_AN_Tool_FY08 March 10 Flash Analysis_FY08 March Outlook (March 11 version)_FY10 Pull Ahead template (Dec 15)_FY10 Pull Ahead template (Jan 18 Consolidate)_v3" xfId="13991" xr:uid="{209C0983-D702-4785-BB41-C6098423E237}"/>
    <cellStyle name="Lien hypertexte visite_X11J_TWN_SalesMonitor_収益試算Final070905_AN_Tool_FY08 March 10 Flash Analysis_FY08 March Outlook (March 11 version)_FY10 Pull Ahead template (Dec 15)_FY10 Pull Ahead template (Jan 19 Consolidate)_v2 (Europe)" xfId="13992" xr:uid="{8676D99B-0A29-4882-87A8-E01D9066E389}"/>
    <cellStyle name="Lien hypertexte visité_X11J_TWN_SalesMonitor_収益試算Final070905_AN_Tool_FY08 March 10 Flash Analysis_FY08 March Outlook (March 11 version)_FY10 Pull Ahead template (Dec 15)_FY10 Pull Ahead template (Jan 19 Consolidate)_v2 (Europe)" xfId="13993" xr:uid="{ED844DFE-229F-44D7-852A-E351FF70A4BA}"/>
    <cellStyle name="Lien hypertexte visite_X11J_TWN_SalesMonitor_収益試算Final070905_AN_Tool_FY08 March 10 Flash Analysis_FY08 March Outlook (March 11 version)_FY10 Pull Ahead template (Dec 15)_FY10 Pull Ahead template (Jan 27 Consolidate)_v3" xfId="13994" xr:uid="{931E93F9-3862-4D47-BB8B-2EE1A64EDFA2}"/>
    <cellStyle name="Lien hypertexte visité_X11J_TWN_SalesMonitor_収益試算Final070905_AN_Tool_FY08 March 10 Flash Analysis_FY08 March Outlook (March 11 version)_FY10 Pull Ahead template (Dec 15)_FY10 Pull Ahead template (Jan 27 Consolidate)_v3" xfId="13995" xr:uid="{95075A59-57A4-47EF-A6ED-9A290C723999}"/>
    <cellStyle name="Lien hypertexte visite_X11J_TWN_SalesMonitor_収益試算Final070905_AN_Tool_FY08 March 10 Flash Analysis_FY08 March Outlook (March 11 version)_FY10 Pull Ahead template (Dec 15)_FY10 Pull Ahead template (Jan 28 Consolidate)_v1" xfId="13996" xr:uid="{3D26CFC1-2E81-429E-A321-D2AEB9A7567D}"/>
    <cellStyle name="Lien hypertexte visité_X11J_TWN_SalesMonitor_収益試算Final070905_AN_Tool_FY08 March 10 Flash Analysis_FY08 March Outlook (March 11 version)_FY10 Pull Ahead template (Dec 15)_FY10 Pull Ahead template (Jan 28 Consolidate)_v1" xfId="13997" xr:uid="{FEDA559C-CDBE-4666-A5B6-F1DF7C3F8607}"/>
    <cellStyle name="Lien hypertexte visite_X11J_TWN_SalesMonitor_収益試算Final070905_AN_Tool_FY08 March 10 Flash Analysis_FY08 March Outlook (March 11 version)_FY10 Pull Ahead template (Dec 15)_FY10 Pull Ahead template (Jan 28 Consolidate)_v2" xfId="13998" xr:uid="{7E8A100A-F486-412C-A833-04CA069EEC0A}"/>
    <cellStyle name="Lien hypertexte visité_X11J_TWN_SalesMonitor_収益試算Final070905_AN_Tool_FY08 March 10 Flash Analysis_FY08 March Outlook (March 11 version)_FY10 Pull Ahead template (Dec 15)_FY10 Pull Ahead template (Jan 28 Consolidate)_v2" xfId="13999" xr:uid="{4E38FB4D-7425-421A-8306-B27F44A9C6F5}"/>
    <cellStyle name="Lien hypertexte visite_X11J_TWN_SalesMonitor_収益試算Final070905_AN_Tool_FY08 March 10 Flash Analysis_FY08 March Outlook (March 11 version)_FY10 Pull Ahead template (Dec 15)_FY10 Pull Ahead template (Jan 29 Consolidate)_v1" xfId="14000" xr:uid="{54BFCCF6-48EE-49B3-A9EE-C604A6009406}"/>
    <cellStyle name="Lien hypertexte visité_X11J_TWN_SalesMonitor_収益試算Final070905_AN_Tool_FY08 March 10 Flash Analysis_FY08 March Outlook (March 11 version)_FY10 Pull Ahead template (Dec 15)_FY10 Pull Ahead template (Jan 29 Consolidate)_v1" xfId="14001" xr:uid="{FF1C5E1D-C465-4D82-BF90-81223D3C5B70}"/>
    <cellStyle name="Lien hypertexte visite_X11J_TWN_SalesMonitor_収益試算Final070905_AN_Tool_FY08 March 10 Flash Analysis_FY08 March Outlook (March 11 version)_Periodic ITP Adjustment for NMEX (2)" xfId="14002" xr:uid="{A113D08E-F0AA-4843-8204-1034DD70101A}"/>
    <cellStyle name="Lien hypertexte visité_X11J_TWN_SalesMonitor_収益試算Final070905_AN_Tool_FY08 March 10 Flash Analysis_FY08 March Outlook (March 11 version)_Periodic ITP Adjustment for NMEX (2)" xfId="14003" xr:uid="{F001C48F-DF27-410C-A1A8-524A8C85ACF7}"/>
    <cellStyle name="Lien hypertexte visite_X11J_TWN_SalesMonitor_収益試算Final070905_AN_Tool_FY08 March 10 Flash Analysis_FY10 Pull Ahead template (Dec 15)" xfId="14004" xr:uid="{5A23E38C-F707-4CBE-B85A-F99DA32D5571}"/>
    <cellStyle name="Lien hypertexte visité_X11J_TWN_SalesMonitor_収益試算Final070905_AN_Tool_FY08 March 10 Flash Analysis_FY10 Pull Ahead template (Dec 15)" xfId="14005" xr:uid="{DA93E4C4-1F76-4F4C-AF0F-1C75537D331B}"/>
    <cellStyle name="Lien hypertexte visite_X11J_TWN_SalesMonitor_収益試算Final070905_AN_Tool_FY08 March 10 Flash Analysis_FY10 Pull Ahead template (Dec 15)_FY10 Pull Ahead template (Dec 16 Consolidate)" xfId="14006" xr:uid="{624E4FED-8D82-4B9F-A9E9-26DCB2F07801}"/>
    <cellStyle name="Lien hypertexte visité_X11J_TWN_SalesMonitor_収益試算Final070905_AN_Tool_FY08 March 10 Flash Analysis_FY10 Pull Ahead template (Dec 15)_FY10 Pull Ahead template (Dec 16 Consolidate)" xfId="14007" xr:uid="{FAE2F6E9-993D-44B5-A0B5-4BDB929A7248}"/>
    <cellStyle name="Lien hypertexte visite_X11J_TWN_SalesMonitor_収益試算Final070905_AN_Tool_FY08 March 10 Flash Analysis_FY10 Pull Ahead template (Dec 15)_FY10 Pull Ahead template (Dec 16 Consolidate)v2 (2)" xfId="14008" xr:uid="{046B21AD-0C58-46D1-89B9-F04FE7EF518E}"/>
    <cellStyle name="Lien hypertexte visité_X11J_TWN_SalesMonitor_収益試算Final070905_AN_Tool_FY08 March 10 Flash Analysis_FY10 Pull Ahead template (Dec 15)_FY10 Pull Ahead template (Dec 16 Consolidate)v2 (2)" xfId="14009" xr:uid="{AFB503EB-A1CC-4F73-B299-437132C7809A}"/>
    <cellStyle name="Lien hypertexte visite_X11J_TWN_SalesMonitor_収益試算Final070905_AN_Tool_FY08 March 10 Flash Analysis_FY10 Pull Ahead template (Dec 15)_FY10 Pull Ahead template (Jan 15 Consolidate)" xfId="14010" xr:uid="{99DA9E08-0A14-4AB4-996E-CEB59268D1D6}"/>
    <cellStyle name="Lien hypertexte visité_X11J_TWN_SalesMonitor_収益試算Final070905_AN_Tool_FY08 March 10 Flash Analysis_FY10 Pull Ahead template (Dec 15)_FY10 Pull Ahead template (Jan 15 Consolidate)" xfId="14011" xr:uid="{E2CB28DB-01E6-4B4B-887E-3991FBF8EA51}"/>
    <cellStyle name="Lien hypertexte visite_X11J_TWN_SalesMonitor_収益試算Final070905_AN_Tool_FY08 March 10 Flash Analysis_FY10 Pull Ahead template (Dec 15)_FY10 Pull Ahead template (Jan 18 Consolidate)_v3" xfId="14012" xr:uid="{58061633-5EAD-47C5-AC11-EA464247569F}"/>
    <cellStyle name="Lien hypertexte visité_X11J_TWN_SalesMonitor_収益試算Final070905_AN_Tool_FY08 March 10 Flash Analysis_FY10 Pull Ahead template (Dec 15)_FY10 Pull Ahead template (Jan 18 Consolidate)_v3" xfId="14013" xr:uid="{4E32F999-1853-467C-B0B5-DE910888F4BA}"/>
    <cellStyle name="Lien hypertexte visite_X11J_TWN_SalesMonitor_収益試算Final070905_AN_Tool_FY08 March 10 Flash Analysis_FY10 Pull Ahead template (Dec 15)_FY10 Pull Ahead template (Jan 19 Consolidate)_v2 (Europe)" xfId="14014" xr:uid="{E596D1E8-907E-4B0E-B44E-4E2B262648B4}"/>
    <cellStyle name="Lien hypertexte visité_X11J_TWN_SalesMonitor_収益試算Final070905_AN_Tool_FY08 March 10 Flash Analysis_FY10 Pull Ahead template (Dec 15)_FY10 Pull Ahead template (Jan 19 Consolidate)_v2 (Europe)" xfId="14015" xr:uid="{FA17B0A8-02D0-47F0-A9BE-5C542DA21E99}"/>
    <cellStyle name="Lien hypertexte visite_X11J_TWN_SalesMonitor_収益試算Final070905_AN_Tool_FY08 March 10 Flash Analysis_FY10 Pull Ahead template (Dec 15)_FY10 Pull Ahead template (Jan 27 Consolidate)_v3" xfId="14016" xr:uid="{73DEE09C-28B8-4994-8E32-7D644D4EBEB3}"/>
    <cellStyle name="Lien hypertexte visité_X11J_TWN_SalesMonitor_収益試算Final070905_AN_Tool_FY08 March 10 Flash Analysis_FY10 Pull Ahead template (Dec 15)_FY10 Pull Ahead template (Jan 27 Consolidate)_v3" xfId="14017" xr:uid="{3806869F-6089-4C34-B1C3-48DBA71B2E20}"/>
    <cellStyle name="Lien hypertexte visite_X11J_TWN_SalesMonitor_収益試算Final070905_AN_Tool_FY08 March 10 Flash Analysis_FY10 Pull Ahead template (Dec 15)_FY10 Pull Ahead template (Jan 28 Consolidate)_v1" xfId="14018" xr:uid="{9B9811FB-4FD1-41C6-AA76-DFFBEC56084C}"/>
    <cellStyle name="Lien hypertexte visité_X11J_TWN_SalesMonitor_収益試算Final070905_AN_Tool_FY08 March 10 Flash Analysis_FY10 Pull Ahead template (Dec 15)_FY10 Pull Ahead template (Jan 28 Consolidate)_v1" xfId="14019" xr:uid="{95DA3E3C-B46A-4042-A7D5-DE7387214809}"/>
    <cellStyle name="Lien hypertexte visite_X11J_TWN_SalesMonitor_収益試算Final070905_AN_Tool_FY08 March 10 Flash Analysis_FY10 Pull Ahead template (Dec 15)_FY10 Pull Ahead template (Jan 28 Consolidate)_v2" xfId="14020" xr:uid="{2C3C023A-D4ED-45EB-A963-76D4B134A17B}"/>
    <cellStyle name="Lien hypertexte visité_X11J_TWN_SalesMonitor_収益試算Final070905_AN_Tool_FY08 March 10 Flash Analysis_FY10 Pull Ahead template (Dec 15)_FY10 Pull Ahead template (Jan 28 Consolidate)_v2" xfId="14021" xr:uid="{7426E9BF-04F4-4193-B395-84B01DE2792E}"/>
    <cellStyle name="Lien hypertexte visite_X11J_TWN_SalesMonitor_収益試算Final070905_AN_Tool_FY08 March 10 Flash Analysis_FY10 Pull Ahead template (Dec 15)_FY10 Pull Ahead template (Jan 29 Consolidate)_v1" xfId="14022" xr:uid="{8A9F5DA8-D30A-45DC-B4A6-79B750615E8B}"/>
    <cellStyle name="Lien hypertexte visité_X11J_TWN_SalesMonitor_収益試算Final070905_AN_Tool_FY08 March 10 Flash Analysis_FY10 Pull Ahead template (Dec 15)_FY10 Pull Ahead template (Jan 29 Consolidate)_v1" xfId="14023" xr:uid="{A5552B82-071B-47E9-9BB6-DF2F9656064A}"/>
    <cellStyle name="Lien hypertexte visite_X11J_TWN_SalesMonitor_収益試算Final070905_AN_Tool_FY08 March 10 Flash Analysis_Periodic ITP Adjustment for NMEX (2)" xfId="14024" xr:uid="{C3410962-C2EF-4C9F-ACF8-07781F08079A}"/>
    <cellStyle name="Lien hypertexte visité_X11J_TWN_SalesMonitor_収益試算Final070905_AN_Tool_FY08 March 10 Flash Analysis_Periodic ITP Adjustment for NMEX (2)" xfId="14025" xr:uid="{93D5299E-207E-4E84-837B-3CC3B89E70FE}"/>
    <cellStyle name="Lien hypertexte visite_X11J_TWN_SalesMonitor_収益試算Final070905_AN_Tool_FY10 Pull Ahead template (Dec 15)" xfId="14026" xr:uid="{6B3E6B1F-28B2-4B74-A630-9ECD58AE8D70}"/>
    <cellStyle name="Lien hypertexte visité_X11J_TWN_SalesMonitor_収益試算Final070905_AN_Tool_FY10 Pull Ahead template (Dec 15)" xfId="14027" xr:uid="{89267323-2FFE-4E92-835C-1F5415BA2B65}"/>
    <cellStyle name="Lien hypertexte visite_X11J_TWN_SalesMonitor_収益試算Final070905_AN_Tool_FY10 Pull Ahead template (Dec 15)_FY10 Pull Ahead template (Dec 16 Consolidate)" xfId="14028" xr:uid="{D61FE926-5BE6-4BCD-A5E8-B228CA926788}"/>
    <cellStyle name="Lien hypertexte visité_X11J_TWN_SalesMonitor_収益試算Final070905_AN_Tool_FY10 Pull Ahead template (Dec 15)_FY10 Pull Ahead template (Dec 16 Consolidate)" xfId="14029" xr:uid="{44031FB3-F86B-458B-B9E9-54C84B5EF39C}"/>
    <cellStyle name="Lien hypertexte visite_X11J_TWN_SalesMonitor_収益試算Final070905_AN_Tool_FY10 Pull Ahead template (Dec 15)_FY10 Pull Ahead template (Dec 16 Consolidate)v2 (2)" xfId="14030" xr:uid="{5AB7EC1C-94C3-4C93-BCDA-70AD7D1764AE}"/>
    <cellStyle name="Lien hypertexte visité_X11J_TWN_SalesMonitor_収益試算Final070905_AN_Tool_FY10 Pull Ahead template (Dec 15)_FY10 Pull Ahead template (Dec 16 Consolidate)v2 (2)" xfId="14031" xr:uid="{9422222C-5FAC-446C-A49B-9EB0A54EF7A1}"/>
    <cellStyle name="Lien hypertexte visite_X11J_TWN_SalesMonitor_収益試算Final070905_AN_Tool_FY10 Pull Ahead template (Dec 15)_FY10 Pull Ahead template (Jan 15 Consolidate)" xfId="14032" xr:uid="{65B8AB2D-7D18-4395-A4DC-04EAA3445BD5}"/>
    <cellStyle name="Lien hypertexte visité_X11J_TWN_SalesMonitor_収益試算Final070905_AN_Tool_FY10 Pull Ahead template (Dec 15)_FY10 Pull Ahead template (Jan 15 Consolidate)" xfId="14033" xr:uid="{A7391138-FB54-49C4-A7B5-F66712ED291C}"/>
    <cellStyle name="Lien hypertexte visite_X11J_TWN_SalesMonitor_収益試算Final070905_AN_Tool_FY10 Pull Ahead template (Dec 15)_FY10 Pull Ahead template (Jan 18 Consolidate)_v3" xfId="14034" xr:uid="{20B1D6AD-A173-4D46-8504-FD9E742A2068}"/>
    <cellStyle name="Lien hypertexte visité_X11J_TWN_SalesMonitor_収益試算Final070905_AN_Tool_FY10 Pull Ahead template (Dec 15)_FY10 Pull Ahead template (Jan 18 Consolidate)_v3" xfId="14035" xr:uid="{E44ADD8B-BEC9-4070-B569-B21771CAA65D}"/>
    <cellStyle name="Lien hypertexte visite_X11J_TWN_SalesMonitor_収益試算Final070905_AN_Tool_FY10 Pull Ahead template (Dec 15)_FY10 Pull Ahead template (Jan 19 Consolidate)_v2 (Europe)" xfId="14036" xr:uid="{8B945B81-FE26-4D0E-9D25-045F0B73D1C1}"/>
    <cellStyle name="Lien hypertexte visité_X11J_TWN_SalesMonitor_収益試算Final070905_AN_Tool_FY10 Pull Ahead template (Dec 15)_FY10 Pull Ahead template (Jan 19 Consolidate)_v2 (Europe)" xfId="14037" xr:uid="{237771F1-7878-448C-917B-9606FFE432B0}"/>
    <cellStyle name="Lien hypertexte visite_X11J_TWN_SalesMonitor_収益試算Final070905_AN_Tool_FY10 Pull Ahead template (Dec 15)_FY10 Pull Ahead template (Jan 27 Consolidate)_v3" xfId="14038" xr:uid="{8467BF58-18C1-4464-B8F0-4D116C18F7A7}"/>
    <cellStyle name="Lien hypertexte visité_X11J_TWN_SalesMonitor_収益試算Final070905_AN_Tool_FY10 Pull Ahead template (Dec 15)_FY10 Pull Ahead template (Jan 27 Consolidate)_v3" xfId="14039" xr:uid="{58127D92-71BA-4C23-BEC2-F6A5C829352E}"/>
    <cellStyle name="Lien hypertexte visite_X11J_TWN_SalesMonitor_収益試算Final070905_AN_Tool_FY10 Pull Ahead template (Dec 15)_FY10 Pull Ahead template (Jan 28 Consolidate)_v1" xfId="14040" xr:uid="{97068AFF-55E6-4ED0-971C-D9094FDFA9E7}"/>
    <cellStyle name="Lien hypertexte visité_X11J_TWN_SalesMonitor_収益試算Final070905_AN_Tool_FY10 Pull Ahead template (Dec 15)_FY10 Pull Ahead template (Jan 28 Consolidate)_v1" xfId="14041" xr:uid="{4B165774-E8A3-45A7-8653-DC2BC0D571DE}"/>
    <cellStyle name="Lien hypertexte visite_X11J_TWN_SalesMonitor_収益試算Final070905_AN_Tool_FY10 Pull Ahead template (Dec 15)_FY10 Pull Ahead template (Jan 28 Consolidate)_v2" xfId="14042" xr:uid="{7F575DB0-D373-463B-9823-C872191CCBEA}"/>
    <cellStyle name="Lien hypertexte visité_X11J_TWN_SalesMonitor_収益試算Final070905_AN_Tool_FY10 Pull Ahead template (Dec 15)_FY10 Pull Ahead template (Jan 28 Consolidate)_v2" xfId="14043" xr:uid="{50B7C17F-34A5-43CC-94DF-61B40BE43FA9}"/>
    <cellStyle name="Lien hypertexte visite_X11J_TWN_SalesMonitor_収益試算Final070905_AN_Tool_FY10 Pull Ahead template (Dec 15)_FY10 Pull Ahead template (Jan 29 Consolidate)_v1" xfId="14044" xr:uid="{337798DB-9D25-4B48-804B-81BD526BD94A}"/>
    <cellStyle name="Lien hypertexte visité_X11J_TWN_SalesMonitor_収益試算Final070905_AN_Tool_FY10 Pull Ahead template (Dec 15)_FY10 Pull Ahead template (Jan 29 Consolidate)_v1" xfId="14045" xr:uid="{F2FA440F-35AC-4D59-A9BF-6647A97C1672}"/>
    <cellStyle name="Lien hypertexte visite_X11J_TWN_SalesMonitor_収益試算Final070905_AN_Tool_Periodic ITP Adjustment for NMEX (2)" xfId="14046" xr:uid="{391B36EF-11DD-4F19-850C-D57092621079}"/>
    <cellStyle name="Lien hypertexte visité_X11J_TWN_SalesMonitor_収益試算Final070905_AN_Tool_Periodic ITP Adjustment for NMEX (2)" xfId="14047" xr:uid="{636D1628-7A79-423A-9382-5A64C5B1E8E6}"/>
    <cellStyle name="Lien hypertexte visit饑Sheet1" xfId="14048" xr:uid="{AFA8EE3D-3AD9-4F1C-A8D4-D11A36D4ADFB}"/>
    <cellStyle name="Lien hypertexte visit饑Sheet1 2" xfId="14049" xr:uid="{767F7C3A-0724-4053-8ECB-52CE012820C1}"/>
    <cellStyle name="Lien hypertexte visit饑Sheet1 2 2" xfId="14050" xr:uid="{F1AE1B53-7CFC-4062-BB4F-C501DB3BEE5D}"/>
    <cellStyle name="Lien hypertexte visit饑Sheet1 2 3" xfId="14051" xr:uid="{22B552FA-20AE-4A2A-A346-8EDE8C5FECF5}"/>
    <cellStyle name="Lien hypertexte visit饑Sheet1 3" xfId="14052" xr:uid="{C0084221-3C7B-4D96-B81A-85EB0EB98B3A}"/>
    <cellStyle name="Lien hypertexte visit饑Sheet1 4" xfId="14053" xr:uid="{1A53F762-4F9A-4C5A-BAF5-F0F9ED5A2A3F}"/>
    <cellStyle name="Lien hypertexte visit饑Sheet1 5" xfId="14054" xr:uid="{034B9327-99AD-45B5-89AB-480920766EEA}"/>
    <cellStyle name="Lien hypertexte_#1 Forecast Summary" xfId="14055" xr:uid="{EC50DBD8-19FC-4D80-95AE-B75686186457}"/>
    <cellStyle name="Link Currency (0)" xfId="14056" xr:uid="{49574814-C37F-467C-A46A-90DE6F29177F}"/>
    <cellStyle name="Link Currency (0) 2" xfId="14057" xr:uid="{845D7C83-F0DB-4426-A917-7C224CBA92A4}"/>
    <cellStyle name="Link Currency (2)" xfId="14058" xr:uid="{36CAFDDD-FD3A-4DF4-ABB8-6C8454549E61}"/>
    <cellStyle name="Link Currency (2) 2" xfId="14059" xr:uid="{A65F48D7-CAD1-4CD0-9D02-BEDF5F8BEE4D}"/>
    <cellStyle name="Link Units (0)" xfId="14060" xr:uid="{4613275D-B33A-4186-912A-64736BADDAC1}"/>
    <cellStyle name="Link Units (0) 2" xfId="14061" xr:uid="{D4911CFC-54BF-407E-B428-6873D7D38A37}"/>
    <cellStyle name="Link Units (1)" xfId="14062" xr:uid="{30677E0C-9731-4F15-97E4-C772CE87F3B7}"/>
    <cellStyle name="Link Units (1) 2" xfId="14063" xr:uid="{88FACF5F-4D50-4DFC-83A6-F4E705DC6307}"/>
    <cellStyle name="Link Units (2)" xfId="14064" xr:uid="{883504E3-27A5-46C8-8BCC-6773E91EF1F2}"/>
    <cellStyle name="Link Units (2) 2" xfId="14065" xr:uid="{326E64AB-9CA2-442E-B1DB-785617415903}"/>
    <cellStyle name="Linked Cell 2" xfId="14067" xr:uid="{F4FE3C4D-D4FC-4FEA-94DC-80B4BCB95905}"/>
    <cellStyle name="Linked Cell 2 2" xfId="29398" xr:uid="{C7D661EE-EB5E-4430-88DD-D57684BB9DB9}"/>
    <cellStyle name="Linked Cell 3" xfId="14068" xr:uid="{741CD008-9536-47B6-AA57-E3E9DAD4C7F5}"/>
    <cellStyle name="Linked Cell 3 2" xfId="29397" xr:uid="{4BA18A9A-468D-456A-9B28-952E6B37230E}"/>
    <cellStyle name="Linked Cell 4" xfId="14069" xr:uid="{652F59E8-6688-436F-9180-F4912BC6961B}"/>
    <cellStyle name="Linked Cell 4 2" xfId="29396" xr:uid="{9F91251F-5558-4A6C-BF15-AA9C5807BB0E}"/>
    <cellStyle name="Linked Cell 5" xfId="14070" xr:uid="{D3BA13CB-2A46-41FE-8500-7F6EB4C35FBB}"/>
    <cellStyle name="Linked Cell 5 2" xfId="29395" xr:uid="{2CDB3A7E-05DF-4C80-8E78-05F85C3D4AC4}"/>
    <cellStyle name="Linked Cell 6" xfId="14071" xr:uid="{1C996A41-EB5F-4E72-9BA8-50DB1F387E70}"/>
    <cellStyle name="Linked Cell 6 2" xfId="29394" xr:uid="{DFACE33C-2B87-4351-9286-A900BD070192}"/>
    <cellStyle name="Linked Cell 7" xfId="14072" xr:uid="{2A09D0B2-140D-45A3-858E-B31B0D9ABF65}"/>
    <cellStyle name="Linked Cell 7 2" xfId="29393" xr:uid="{F62B4F4F-E38A-4617-AE9C-CC6C55B38759}"/>
    <cellStyle name="Linked Cell 8" xfId="14066" xr:uid="{95D5C9FE-99CC-4BB4-B98F-4AE342030578}"/>
    <cellStyle name="Linked Cell 8 2" xfId="29399" xr:uid="{53DC9FD7-5018-48F4-B434-6C575F8419BE}"/>
    <cellStyle name="LISAM" xfId="14073" xr:uid="{C668BEDE-C7C2-4877-9E8E-4788CEDE5A35}"/>
    <cellStyle name="macroname" xfId="14074" xr:uid="{9B906C7B-F5F9-412C-9F2F-7F49C4D492E1}"/>
    <cellStyle name="Margin" xfId="14075" xr:uid="{2A264160-A37A-439A-A76B-57E4D1DA25D8}"/>
    <cellStyle name="Memo" xfId="14076" xr:uid="{15D9C7FA-A3C1-4DEF-B182-00BE6356D1A9}"/>
    <cellStyle name="MemoLbl" xfId="14077" xr:uid="{A2AA011D-8D26-4B2F-BA66-2D149A4DCF05}"/>
    <cellStyle name="MemoPct_Wide" xfId="14078" xr:uid="{41E37D1E-96B0-435A-9D4F-8801E13485D7}"/>
    <cellStyle name="MemoPercent" xfId="14079" xr:uid="{23098C09-94F0-45DA-B48A-4B53BB9C6F69}"/>
    <cellStyle name="MemoTitle" xfId="14080" xr:uid="{9C0B6B0C-BE37-4AF4-89A1-E98AD69EB297}"/>
    <cellStyle name="MemoTitleItal" xfId="14081" xr:uid="{4A77C47B-4023-4A93-AEE6-FF3A0C4352B6}"/>
    <cellStyle name="MemoValue" xfId="14082" xr:uid="{E4266024-F583-4493-8E7D-8973613303BC}"/>
    <cellStyle name="MemoValueRow18" xfId="14083" xr:uid="{CBE9AC02-F4A7-4779-BD90-67AAB0F28D68}"/>
    <cellStyle name="MemoValueWide" xfId="14084" xr:uid="{2F080342-9592-462B-AD67-1BEF6EDFEB65}"/>
    <cellStyle name="MEV1_PRIMM000" xfId="14085" xr:uid="{F68C2795-5A61-43BC-864D-D975837A758B}"/>
    <cellStyle name="MF" xfId="14086" xr:uid="{C579708D-B1EB-496F-8E6C-FB04663A5FB9}"/>
    <cellStyle name="MF 2" xfId="14087" xr:uid="{D414A779-6E89-448D-BBCA-10D06510D16B}"/>
    <cellStyle name="Migliaia (0)_Enditem" xfId="14088" xr:uid="{5E093308-79A2-4B7C-95AE-A3E9F61776FA}"/>
    <cellStyle name="Migliaia [0]_ITA - PBD K12F#3" xfId="14089" xr:uid="{8AE4F00C-DBE5-4926-B44F-191759F72C7C}"/>
    <cellStyle name="Migliaia_ITA - PBD K12F#3" xfId="14090" xr:uid="{6453FDD3-DD5E-4AD3-B4B2-31BECCE16274}"/>
    <cellStyle name="Milers [0]_CST1_1" xfId="14091" xr:uid="{38460A22-459D-4664-A7F3-E9B4921325C4}"/>
    <cellStyle name="Milers_CST1_1" xfId="14092" xr:uid="{008B94E8-65CF-4721-9E17-983C8F608296}"/>
    <cellStyle name="Millares [0] 2" xfId="14093" xr:uid="{296B8356-23E0-442A-87A9-F821D13B3AA0}"/>
    <cellStyle name="Millares [0]_ V00" xfId="14094" xr:uid="{C09D08FC-1BD8-4D1D-BDC9-E694310DF242}"/>
    <cellStyle name="Millares_ V00" xfId="14095" xr:uid="{0555F49D-29FF-49B7-8299-C8428D66BC80}"/>
    <cellStyle name="Milliers [0]_ F4R" xfId="14096" xr:uid="{918FFBA2-1F78-4AE7-8968-5043D86441F6}"/>
    <cellStyle name="Milliers_ 5" xfId="14097" xr:uid="{DD529BCD-D886-4D5A-9138-092C879C4408}"/>
    <cellStyle name="MilliersN&amp;R,0" xfId="14098" xr:uid="{7D398E9A-2524-49C3-90E8-7CC056E5F3DB}"/>
    <cellStyle name="MilliersN&amp;R,0 2" xfId="14099" xr:uid="{B33C02DF-C06C-49BD-9AE3-FCF6D75D6BB0}"/>
    <cellStyle name="Model" xfId="14100" xr:uid="{93D18138-5EA8-4981-B9F8-CB4B95DA9CE3}"/>
    <cellStyle name="Model 2" xfId="29666" xr:uid="{17DC91EB-0D21-4EDE-88D9-734EE505B34A}"/>
    <cellStyle name="Model Name" xfId="14101" xr:uid="{F360F948-395A-4970-9DFB-C64A2B5ACEF7}"/>
    <cellStyle name="Moeda [0]_aola" xfId="14102" xr:uid="{63221EC3-951D-4135-BE2C-C4DB4CB1AB44}"/>
    <cellStyle name="Moeda_aola" xfId="14103" xr:uid="{02E66AD9-B403-462F-8522-37FC2BBE1147}"/>
    <cellStyle name="Mon?aire [0]_2000-2006" xfId="14104" xr:uid="{B0750E2A-207E-4E68-AD06-B325F58860D1}"/>
    <cellStyle name="Mon?aire_2000-2006" xfId="14105" xr:uid="{6DB2F662-97C6-445D-90BD-806948C13721}"/>
    <cellStyle name="Mon?taire [0]_Classeur1" xfId="14106" xr:uid="{0B4ABF56-E5AB-4264-B272-FFADC7CE31CA}"/>
    <cellStyle name="Mon?taire_Classeur1" xfId="14107" xr:uid="{7C25AEAC-F2FF-43FB-8F21-62B317E04C12}"/>
    <cellStyle name="Mon¨?taire [0]_!!!GO" xfId="14108" xr:uid="{A33A44CE-3292-4242-B3BF-C8C571EF2981}"/>
    <cellStyle name="Mon¨?taire_!!!GO" xfId="14109" xr:uid="{4300BF3B-1FDD-42D8-BF09-0FF2596C0C69}"/>
    <cellStyle name="Mon¨¦taire [0]_!!!GO" xfId="14110" xr:uid="{5EE17CA3-524D-44C2-8264-2A9A08C47E47}"/>
    <cellStyle name="Mon¨¦taire_!!!GO" xfId="14111" xr:uid="{F837AD2A-53F4-4FE4-BF89-4F58855F152A}"/>
    <cellStyle name="Moneda [0]_ V00" xfId="14112" xr:uid="{66E83681-FAA7-4589-86CE-5A0AB75B0F5B}"/>
    <cellStyle name="Moneda_ V00" xfId="14113" xr:uid="{B25E2219-66DF-4AD3-885E-0F2E6C459F29}"/>
    <cellStyle name="Monétaire [0]_!!!GO" xfId="14114" xr:uid="{BB50EE45-755E-41D8-A2B9-707F9665DFA1}"/>
    <cellStyle name="Monetaire [0]_BP2001 sandrine" xfId="14115" xr:uid="{3F497EE6-6665-4FCE-90EF-23DD0EF1FF58}"/>
    <cellStyle name="Monétaire [0]_EDYAN" xfId="14116" xr:uid="{675E00EB-BDC0-4FBA-A0DE-BF80BBDC5D7B}"/>
    <cellStyle name="Monétaire_!!!GO" xfId="14117" xr:uid="{737E73DA-FAE4-44F2-970E-C43F52A1ADDE}"/>
    <cellStyle name="Monetaire_BP2001 sandrine" xfId="14118" xr:uid="{D533957B-84FA-4D9F-AF1D-BA41E8E18B14}"/>
    <cellStyle name="Monétaire_détail" xfId="14119" xr:uid="{46AC2AB2-8DF5-48CF-A4BA-80477571EAFF}"/>
    <cellStyle name="Monetari [0]_CST1_1" xfId="14120" xr:uid="{AC8A92FC-1924-456D-9519-1F70C6EF23F1}"/>
    <cellStyle name="Monetari_CST1_1" xfId="14121" xr:uid="{0AC9CBCE-5DEC-48F7-B229-EF449B29D90F}"/>
    <cellStyle name="Monetario0" xfId="14122" xr:uid="{A6BBA3E4-CE1E-4957-9816-04C9D0DA5AA9}"/>
    <cellStyle name="Month" xfId="14123" xr:uid="{6C20EE73-79BF-44FA-BEED-C8D9CE24745A}"/>
    <cellStyle name="Month 2" xfId="14124" xr:uid="{74935DE3-9F50-43B6-AA2B-7BF02988898D}"/>
    <cellStyle name="Mon閠aire [0]_2000-2006" xfId="14125" xr:uid="{FB71428D-2571-406D-BEB8-C1FA8C06B268}"/>
    <cellStyle name="Mon閠aire_2000-2006" xfId="14126" xr:uid="{B7EAFC69-B8E3-4AB9-9EA5-4CDAFE9251BD}"/>
    <cellStyle name="Mon騁aire [0]_ 5" xfId="14127" xr:uid="{71115352-ED46-4090-925F-D824175D6B2B}"/>
    <cellStyle name="Mon騁aire_ 5" xfId="14128" xr:uid="{A42CF329-BB5B-4EB0-809D-4D0D0816CACA}"/>
    <cellStyle name="moteur" xfId="14129" xr:uid="{8FB5D060-6F43-4F17-9952-48E6BE2FF087}"/>
    <cellStyle name="MS Pゴシック 10" xfId="14130" xr:uid="{460947EB-11B0-4AA9-A5BB-2EDDDD6B7ABE}"/>
    <cellStyle name="MS Pゴシック 11" xfId="14131" xr:uid="{695580F4-7DBD-4C34-A285-F124B78C7CCE}"/>
    <cellStyle name="MS Pゴシック 9" xfId="14132" xr:uid="{61F64372-3839-4F86-B55E-FD39C98893D9}"/>
    <cellStyle name="ＭＳゴシック" xfId="14133" xr:uid="{45697171-EAC7-41BD-AA7B-CCC1C85398AB}"/>
    <cellStyle name="ＭＳゴシック2" xfId="14134" xr:uid="{212BC034-FAFA-4D36-A715-978DE293636A}"/>
    <cellStyle name="_x0003_n_x0007_" xfId="14135" xr:uid="{82FA671A-0454-4032-A1B3-1D7A69487DC3}"/>
    <cellStyle name="N)＋－" xfId="14136" xr:uid="{498DD04D-C246-4F52-B75E-9FD45828B2D0}"/>
    <cellStyle name="N)＋▲" xfId="14137" xr:uid="{07B62F2B-28D3-43DD-BFFE-B6DBF9166390}"/>
    <cellStyle name="N)０非表示" xfId="14138" xr:uid="{2A51309C-5C41-4EC6-B5B7-B3C4323B41B3}"/>
    <cellStyle name="Navadno_gmtmontagespr" xfId="14139" xr:uid="{5B522A5B-7A1C-4885-8DF6-17B38F43FB5F}"/>
    <cellStyle name="Neutral 2" xfId="14141" xr:uid="{6C61C573-7940-49B5-9F2C-2CD508208340}"/>
    <cellStyle name="Neutral 3" xfId="14142" xr:uid="{E7CA76D3-3FE2-4392-AE9B-6D6A1AAF8BB5}"/>
    <cellStyle name="Neutral 4" xfId="14143" xr:uid="{CC5637DC-4A7F-4B9D-A4F5-0AF95B91F276}"/>
    <cellStyle name="Neutral 5" xfId="14144" xr:uid="{F066337B-F6F8-449D-98D4-C4053EA4F369}"/>
    <cellStyle name="Neutral 6" xfId="14145" xr:uid="{9841B8E6-912D-4D3A-A924-5BC340CD84D7}"/>
    <cellStyle name="Neutral 7" xfId="14146" xr:uid="{DD0598EB-246D-4B01-9772-1EDB53C5821B}"/>
    <cellStyle name="Neutral 8" xfId="14140" xr:uid="{F61A53EC-7872-4D98-827A-E9A8944EAC0C}"/>
    <cellStyle name="Neutre" xfId="14147" xr:uid="{44729427-F3F9-4AFB-B79B-35DE561C030D}"/>
    <cellStyle name="new" xfId="14148" xr:uid="{4D6E4CDC-9011-4777-87F2-255C46C0DBA4}"/>
    <cellStyle name="NewStyle" xfId="14149" xr:uid="{A8F5C26C-5FB3-46CB-9107-836BFDA2CA3C}"/>
    <cellStyle name="no dec" xfId="14150" xr:uid="{7B3C5BC7-0CA6-4B3D-AFD8-63C0649B3C54}"/>
    <cellStyle name="No-definido" xfId="14151" xr:uid="{8F988E3C-443E-4755-B51E-5B90E5F0BB34}"/>
    <cellStyle name="Nom Gamme" xfId="14152" xr:uid="{BBCDFCC5-432D-48BD-A668-251BE1E38437}"/>
    <cellStyle name="Nombre2" xfId="14153" xr:uid="{C958430D-629D-43CA-8832-53848B412EAC}"/>
    <cellStyle name="Nor}al" xfId="14154" xr:uid="{F2246C9F-5B55-4645-95DD-EC3E575F9873}"/>
    <cellStyle name="Norm੎੎" xfId="14155" xr:uid="{695AF754-C2BF-4A8B-89FB-A7688C809185}"/>
    <cellStyle name="Norm1" xfId="14156" xr:uid="{B2C19965-01A3-41AB-A8ED-1C0204F64BBB}"/>
    <cellStyle name="Norma" xfId="14157" xr:uid="{73BC2D12-148F-4DC2-AD23-F7D84220ABDA}"/>
    <cellStyle name="Normal" xfId="0" builtinId="0"/>
    <cellStyle name="Normal - Style1" xfId="14158" xr:uid="{D13EFD26-1D0D-4B6A-89D2-13FAB7E0579A}"/>
    <cellStyle name="Normal - Style1 2" xfId="14159" xr:uid="{2F6F582D-EE43-4B39-8A60-A42940F8517C}"/>
    <cellStyle name="Normal - Style1 2 2" xfId="14160" xr:uid="{E759DE86-3067-4B10-A8FF-4EFC0A669A3F}"/>
    <cellStyle name="Normal - Style1 2 3" xfId="14161" xr:uid="{0C362D15-2AA1-4B3A-AD66-395DB8BD7ED0}"/>
    <cellStyle name="Normal - Style1 3" xfId="14162" xr:uid="{BF06DB71-F0A3-4A28-AECB-7C544F8299E1}"/>
    <cellStyle name="Normal - Style1 3 2" xfId="14163" xr:uid="{D63818C7-132C-4785-A7D5-F8E2A9695F24}"/>
    <cellStyle name="Normal - Style1 3 3" xfId="14164" xr:uid="{5E560C07-D225-437E-B5BF-A2623C803EA6}"/>
    <cellStyle name="Normal - Style5" xfId="14165" xr:uid="{E9EACCFF-F8D0-48C1-8F07-DCFD4F5E681B}"/>
    <cellStyle name="Normal - スタイル1" xfId="14166" xr:uid="{8756C201-2E28-44F9-A626-7A14CF56BF32}"/>
    <cellStyle name="Normal - スタイル2" xfId="14167" xr:uid="{8DBE58DD-E303-42C4-AC1E-ECCF57CC00C1}"/>
    <cellStyle name="Normal - スタイル3" xfId="14168" xr:uid="{8F3BDE06-E13B-4270-952C-6C0E679C5DAD}"/>
    <cellStyle name="Normal - スタイル4" xfId="14169" xr:uid="{227E14F4-48C1-455C-8569-BA75E169581B}"/>
    <cellStyle name="Normal - スタイル5" xfId="14170" xr:uid="{70637E97-6240-457C-A3B8-DF1E5EECE53B}"/>
    <cellStyle name="Normal - スタイル6" xfId="14171" xr:uid="{B8AF699A-069F-43F4-9362-675C27C8DF1A}"/>
    <cellStyle name="Normal - スタイル7" xfId="14172" xr:uid="{10148871-64F6-4250-B91C-BB01413B0BF4}"/>
    <cellStyle name="Normal - スタイル8" xfId="14173" xr:uid="{9C8DDB4A-9D7C-4E01-A2D1-5F93E1A3E784}"/>
    <cellStyle name="Normal 10" xfId="28" xr:uid="{C39AC28E-0BDA-4757-B6D1-23BCC4D9A90B}"/>
    <cellStyle name="Normal 10 2" xfId="14174" xr:uid="{49D7D514-41F7-4E43-B5C4-D8D8DE5E9A7B}"/>
    <cellStyle name="Normal 11" xfId="14175" xr:uid="{19691C88-394F-420D-A9FF-C7CF96235A62}"/>
    <cellStyle name="Normal 11 2" xfId="14176" xr:uid="{5F1D8EF0-5E55-44B0-822D-1D3B32B885BB}"/>
    <cellStyle name="Normal 12" xfId="29" xr:uid="{3871B2C1-4875-4C89-8D97-79654B37342B}"/>
    <cellStyle name="Normal 12 2" xfId="14177" xr:uid="{6CDA9204-AFF7-4CAB-8C86-BC6AE4A4D2FA}"/>
    <cellStyle name="Normal 13" xfId="14178" xr:uid="{A279B360-F866-4A2E-A162-1FC51A51D910}"/>
    <cellStyle name="Normal 14" xfId="24" xr:uid="{1765E71B-0CC5-4A34-AC8F-03AC094815C7}"/>
    <cellStyle name="Normal 14 2" xfId="14179" xr:uid="{F88D058D-FA75-4A88-98CC-C7131BFEC2B6}"/>
    <cellStyle name="Normal 15" xfId="14180" xr:uid="{5A3121B4-9AFE-493E-B814-F2674690CA40}"/>
    <cellStyle name="Normal 16" xfId="25431" xr:uid="{A2FEA869-C8AD-4522-ADB5-5611E8E3D846}"/>
    <cellStyle name="Normal 16 2" xfId="25432" xr:uid="{4715A767-7F70-438B-A7E0-25F56356B5BC}"/>
    <cellStyle name="Normal 17" xfId="37" xr:uid="{6DB0F6E2-4055-4D70-8C09-FC0038BED04D}"/>
    <cellStyle name="Normal 19" xfId="25434" xr:uid="{3E107096-01C0-4E23-AEDE-F1581F502F05}"/>
    <cellStyle name="Normal 2" xfId="18" xr:uid="{6859862A-9E4D-4FBD-A7BE-F0ED2C705583}"/>
    <cellStyle name="Normal 2 10" xfId="25426" xr:uid="{8E34B481-0483-4E58-ACE2-EF4A6CF69BE3}"/>
    <cellStyle name="Normal 2 2" xfId="14182" xr:uid="{B688AAA3-6BDF-4B80-A70F-F963CCED21E6}"/>
    <cellStyle name="Normal 2 2 2" xfId="14183" xr:uid="{4EF7C0A3-0562-478B-B25D-8681D84A95AF}"/>
    <cellStyle name="Normal 2 3" xfId="14184" xr:uid="{A8DE4F95-67B3-4068-920A-C825443CE9CC}"/>
    <cellStyle name="Normal 2 4" xfId="14185" xr:uid="{A047F2E7-B12C-4A47-99CC-9EC178954C58}"/>
    <cellStyle name="Normal 2 5" xfId="14186" xr:uid="{22FDB076-3FB5-454F-A6F6-388972D39B3C}"/>
    <cellStyle name="Normal 2 6" xfId="14181" xr:uid="{CFFC6CA5-12D3-44A1-9885-D01523975756}"/>
    <cellStyle name="Normal 2 6 2" xfId="25433" xr:uid="{42C9192A-EC59-4045-9B15-7B58E29001BE}"/>
    <cellStyle name="Normal 2 6 2 3" xfId="25436" xr:uid="{13504890-75B0-4B93-B2BE-E01E7CC55199}"/>
    <cellStyle name="Normal 2 6 2 3 2" xfId="25439" xr:uid="{7F11C74A-7C72-4327-86FD-3E00878E1E2D}"/>
    <cellStyle name="Normal 2 6 2 3 2 2" xfId="27424" xr:uid="{3D1801EF-E99B-4862-B5F1-16229B520620}"/>
    <cellStyle name="Normal 2 6 2 3 3" xfId="27421" xr:uid="{13F938A2-B790-4058-A84E-5C90151D9FD4}"/>
    <cellStyle name="Normal 2 7" xfId="33" xr:uid="{D33053B5-C0E8-4207-A674-5429D7774559}"/>
    <cellStyle name="Normal 2_FCF_FY12 BUD Simulation Excel PKG for Auto_v2" xfId="14187" xr:uid="{46C1993A-EC5C-45DA-8DC9-AE76DD5EFD29}"/>
    <cellStyle name="Normal 24" xfId="14188" xr:uid="{605B799F-10F6-40A2-A3BC-AB15882004C4}"/>
    <cellStyle name="Normal 25" xfId="25430" xr:uid="{8B9BAA53-EE5F-4471-A643-4F964146BB3F}"/>
    <cellStyle name="Normal 25 2" xfId="25427" xr:uid="{1448B569-73BD-4AE5-BA5B-67A7243A0CC5}"/>
    <cellStyle name="Normal 25 2 2" xfId="27418" xr:uid="{40AE2F58-93DF-4A43-A5E5-A69B16911ECD}"/>
    <cellStyle name="Normal 3" xfId="14189" xr:uid="{70080108-FB16-4F96-8263-C0F7257D2D25}"/>
    <cellStyle name="Normal 3 2" xfId="14190" xr:uid="{C716190C-465C-4F87-982E-5A07F1F7DE7F}"/>
    <cellStyle name="Normal 3 2 2" xfId="14191" xr:uid="{6D732ADD-3CCA-4DE0-8A66-17DAA91C2B99}"/>
    <cellStyle name="Normal 3 3" xfId="14192" xr:uid="{08C0669F-7C28-4B4E-B760-B935FD3F55EE}"/>
    <cellStyle name="Normal 3 4" xfId="14193" xr:uid="{3D55DA11-8B76-44BC-A42D-DF084C9EDF52}"/>
    <cellStyle name="Normal 4" xfId="14194" xr:uid="{7A73304C-3407-4FF8-9D47-5054640535C0}"/>
    <cellStyle name="Normal 4 2" xfId="14195" xr:uid="{43B928BE-3B2F-47FE-A166-FCB96B12F91F}"/>
    <cellStyle name="Normal 4 3" xfId="14196" xr:uid="{2A986007-4C2D-4ED5-ADB5-122E0DCFC33C}"/>
    <cellStyle name="Normal 4 3 2" xfId="26384" xr:uid="{3EBF8882-0935-48BB-98A8-3844B9EBEE54}"/>
    <cellStyle name="Normal 5" xfId="14197" xr:uid="{97812A6D-B89D-4207-971E-FA704A38D759}"/>
    <cellStyle name="Normal 5 2" xfId="14198" xr:uid="{3069E9F2-B243-4D35-8E0B-8A31C7E5F6D7}"/>
    <cellStyle name="Normal 5 3" xfId="14199" xr:uid="{725FD53B-BDAB-4D50-840F-BE32F02AB7CA}"/>
    <cellStyle name="Normal 6" xfId="14200" xr:uid="{2D6B0A2B-B7F7-4490-B42E-84FAF34AD5C7}"/>
    <cellStyle name="Normal 6 2" xfId="14201" xr:uid="{F3502544-1F24-4807-8AF4-73F47B2947AC}"/>
    <cellStyle name="Normal 7" xfId="14202" xr:uid="{99A1960E-40FD-46C1-A744-18EBDF1D4CF7}"/>
    <cellStyle name="Normal 8" xfId="14203" xr:uid="{1C159EE7-1E33-4A0F-A059-AAB3EFA19E8D}"/>
    <cellStyle name="Normal 9" xfId="14204" xr:uid="{F60EBACE-7DF1-4309-B120-789ECE9F9964}"/>
    <cellStyle name="Normál_HUNVI_0082_MTR1_V" xfId="14205" xr:uid="{80320550-64BB-41FB-9FE9-BD59285B8140}"/>
    <cellStyle name="Normal_P&amp;L_FY04_11th_YTD_result" xfId="6" xr:uid="{30AD4F5D-C043-4A6C-958F-3961A4ACF480}"/>
    <cellStyle name="Normale_BP PANTANO" xfId="14206" xr:uid="{2A0F2113-5761-4C1B-BBA9-2D6FC7DB081F}"/>
    <cellStyle name="normální_Nov 2" xfId="14207" xr:uid="{2B4D7C97-391E-425F-A9FE-9940B5BF81E7}"/>
    <cellStyle name="Normalny_calcul+150KHUF" xfId="14208" xr:uid="{0F38757A-6E10-467E-8A81-DEB9E012F76B}"/>
    <cellStyle name="normalRow" xfId="14209" xr:uid="{1A81EE3D-26D3-4577-B124-C669AB05DA93}"/>
    <cellStyle name="normalRow 2" xfId="14210" xr:uid="{B9D8F19B-FAEF-453C-90FE-6DCAE60BBBD8}"/>
    <cellStyle name="normalRow 2 2" xfId="14211" xr:uid="{B66811F0-A828-4FF5-AE2A-95794354B8F5}"/>
    <cellStyle name="normalRow 2 2 10" xfId="14212" xr:uid="{FF15576F-C06C-4935-A0F3-FE021852DB6B}"/>
    <cellStyle name="normalRow 2 2 10 2" xfId="29670" xr:uid="{6823F73B-EE8F-4774-AFDA-068CCDE6F014}"/>
    <cellStyle name="normalRow 2 2 11" xfId="14213" xr:uid="{420E9C35-D00C-48AF-A673-0428BB08FE45}"/>
    <cellStyle name="normalRow 2 2 11 2" xfId="29671" xr:uid="{0361779F-1446-4218-B314-9969DF9A528E}"/>
    <cellStyle name="normalRow 2 2 12" xfId="14214" xr:uid="{C5D20D6F-6324-422B-8EA8-C60E133713BD}"/>
    <cellStyle name="normalRow 2 2 12 2" xfId="29672" xr:uid="{D72C841B-AE94-4E54-A420-2666F66FCEE2}"/>
    <cellStyle name="normalRow 2 2 13" xfId="14215" xr:uid="{C3F7EBA3-611B-4022-81CD-26DF51EE3D66}"/>
    <cellStyle name="normalRow 2 2 13 2" xfId="29673" xr:uid="{C527223C-F58B-4247-81AD-2E4F500820FC}"/>
    <cellStyle name="normalRow 2 2 14" xfId="14216" xr:uid="{4CBD49C6-1DF5-4AD2-B55B-9794ACDD3D76}"/>
    <cellStyle name="normalRow 2 2 14 2" xfId="30" xr:uid="{87E99562-A7EC-4B5A-9352-4ED75DB3CED7}"/>
    <cellStyle name="normalRow 2 2 15" xfId="14217" xr:uid="{7ACD6AEE-DC81-4007-89C5-EE622D3C5CD7}"/>
    <cellStyle name="normalRow 2 2 15 2" xfId="29674" xr:uid="{968871FA-3A84-477C-90E1-7C02CDF7984F}"/>
    <cellStyle name="normalRow 2 2 16" xfId="14218" xr:uid="{3CB62C7C-4803-4FEE-8E26-966E4811327C}"/>
    <cellStyle name="normalRow 2 2 16 2" xfId="29675" xr:uid="{5C79FB4D-22DA-450C-A550-7ADA8D816DAB}"/>
    <cellStyle name="normalRow 2 2 17" xfId="14219" xr:uid="{D92962F7-49CF-4919-B369-38525487CFF8}"/>
    <cellStyle name="normalRow 2 2 17 2" xfId="29676" xr:uid="{0685933D-C579-4DD4-AE68-D29F6C6F729B}"/>
    <cellStyle name="normalRow 2 2 18" xfId="14220" xr:uid="{480052EB-3CDA-4C38-B657-E432379F7096}"/>
    <cellStyle name="normalRow 2 2 18 2" xfId="29677" xr:uid="{1A1A6E63-3B2F-4DE8-BD31-F0A7FFD127C3}"/>
    <cellStyle name="normalRow 2 2 19" xfId="14221" xr:uid="{64B973EC-5E40-49B3-8E23-03769F02822D}"/>
    <cellStyle name="normalRow 2 2 19 2" xfId="29678" xr:uid="{020BBFC7-647F-4384-90B3-57F199BF7F7D}"/>
    <cellStyle name="normalRow 2 2 2" xfId="14222" xr:uid="{AB241A7E-F9D6-45B5-B1FF-A1C378F63670}"/>
    <cellStyle name="normalRow 2 2 2 2" xfId="29679" xr:uid="{50C36028-76F2-490B-9532-7F521889BDCD}"/>
    <cellStyle name="normalRow 2 2 20" xfId="14223" xr:uid="{BAF5E287-CE88-493B-BDEE-403247994844}"/>
    <cellStyle name="normalRow 2 2 20 2" xfId="29680" xr:uid="{10D77E82-E4FE-4EE4-8363-35C92FF9EB03}"/>
    <cellStyle name="normalRow 2 2 21" xfId="14224" xr:uid="{41828416-A7BC-45D7-B0EC-C99BEFA8C13B}"/>
    <cellStyle name="normalRow 2 2 21 2" xfId="29681" xr:uid="{4BC2547B-3A9C-42A6-B900-6EEF10DFD23D}"/>
    <cellStyle name="normalRow 2 2 22" xfId="29669" xr:uid="{80E23600-C752-42A1-9BDC-3508BD410C17}"/>
    <cellStyle name="normalRow 2 2 3" xfId="14225" xr:uid="{D023421E-5D39-4EF4-8B64-6F820A82C3DB}"/>
    <cellStyle name="normalRow 2 2 3 2" xfId="29682" xr:uid="{5515895F-ABE8-4D94-847B-CDED06DE0E7C}"/>
    <cellStyle name="normalRow 2 2 4" xfId="14226" xr:uid="{F78EE21D-B261-449F-858F-CB3DF56C21AE}"/>
    <cellStyle name="normalRow 2 2 4 2" xfId="29683" xr:uid="{AAE42F95-9424-49F7-B1A1-E09EC68F4271}"/>
    <cellStyle name="normalRow 2 2 5" xfId="14227" xr:uid="{ADA3AF1D-C89E-4968-ACA6-3B0548CF7B28}"/>
    <cellStyle name="normalRow 2 2 5 2" xfId="29684" xr:uid="{5C153849-D3BA-4DA1-BF3E-E22C0524D3FC}"/>
    <cellStyle name="normalRow 2 2 6" xfId="14228" xr:uid="{039DFF80-37E0-48A1-92FE-6B3BED7BBE07}"/>
    <cellStyle name="normalRow 2 2 6 2" xfId="29685" xr:uid="{C26AF4DB-0316-44FE-922D-3EB67FF03094}"/>
    <cellStyle name="normalRow 2 2 7" xfId="14229" xr:uid="{9317104F-99DA-47CA-914B-33973CDD52CE}"/>
    <cellStyle name="normalRow 2 2 7 2" xfId="29686" xr:uid="{CB5CB170-A812-4597-847C-6F82FB5F55D0}"/>
    <cellStyle name="normalRow 2 2 8" xfId="14230" xr:uid="{26A7B097-DD1A-4970-92F7-2BED45C308F8}"/>
    <cellStyle name="normalRow 2 2 8 2" xfId="29687" xr:uid="{CB28A8C0-2E07-43D2-885D-47350C686E09}"/>
    <cellStyle name="normalRow 2 2 9" xfId="14231" xr:uid="{A919DEBB-77C3-49DB-B559-83636B0AD8A3}"/>
    <cellStyle name="normalRow 2 2 9 2" xfId="29688" xr:uid="{AAEE1461-6A70-4CEE-B742-1491A6CC7B5D}"/>
    <cellStyle name="normalRow 2 3" xfId="29668" xr:uid="{EFC48013-AE1F-44CB-8E51-5AB9009C8F39}"/>
    <cellStyle name="normalRow 3" xfId="14232" xr:uid="{C20B8281-C0A1-4B7B-B0C7-DD6BF0D64178}"/>
    <cellStyle name="normalRow 3 10" xfId="14233" xr:uid="{52E9EA8D-D03F-4F9D-B16D-5603CDE7AA17}"/>
    <cellStyle name="normalRow 3 10 2" xfId="27431" xr:uid="{DF37A59D-9A4B-4591-9BD9-DCC9ED1F7926}"/>
    <cellStyle name="normalRow 3 11" xfId="14234" xr:uid="{D71627BA-2A92-463E-B237-8538B459FE9C}"/>
    <cellStyle name="normalRow 3 11 2" xfId="29690" xr:uid="{4EDB9B44-064B-43E9-99CB-559653ABC4E8}"/>
    <cellStyle name="normalRow 3 12" xfId="14235" xr:uid="{3BC9D456-E46A-4612-A8F7-0A59CCABCC8F}"/>
    <cellStyle name="normalRow 3 12 2" xfId="29691" xr:uid="{DFB146B5-0AB3-4B23-84EE-7EF5E64BA1D3}"/>
    <cellStyle name="normalRow 3 13" xfId="14236" xr:uid="{D366CF1C-15C6-43D8-9D49-18F79B5E08C8}"/>
    <cellStyle name="normalRow 3 13 2" xfId="29692" xr:uid="{9C13E6D3-C97F-4520-AC4D-C65596F87DE6}"/>
    <cellStyle name="normalRow 3 14" xfId="14237" xr:uid="{7AFF0373-DAF7-440A-A128-768205573CA8}"/>
    <cellStyle name="normalRow 3 14 2" xfId="27432" xr:uid="{56C83614-78F7-4188-912F-30D0D773D456}"/>
    <cellStyle name="normalRow 3 15" xfId="14238" xr:uid="{256D4734-E90C-4839-87C5-DEC5E8BFBF8A}"/>
    <cellStyle name="normalRow 3 15 2" xfId="29693" xr:uid="{F8364BD7-3145-4A81-AC21-9A2825D3A18A}"/>
    <cellStyle name="normalRow 3 16" xfId="14239" xr:uid="{72800623-1177-4E19-97D3-28AACD49B331}"/>
    <cellStyle name="normalRow 3 16 2" xfId="29694" xr:uid="{FACC7CCA-1EF0-4A6E-AAE4-D3EC954E613A}"/>
    <cellStyle name="normalRow 3 17" xfId="14240" xr:uid="{DD688112-CE14-4BF3-9331-1B46C7700120}"/>
    <cellStyle name="normalRow 3 17 2" xfId="34" xr:uid="{0E272BC6-F546-453D-A70F-0D17F642BE54}"/>
    <cellStyle name="normalRow 3 18" xfId="14241" xr:uid="{9992CDDE-B16E-419C-A7C3-6F7D2E8D2963}"/>
    <cellStyle name="normalRow 3 18 2" xfId="29695" xr:uid="{CC6D6CAB-1C86-4CC5-8451-93DADF0F9F44}"/>
    <cellStyle name="normalRow 3 19" xfId="14242" xr:uid="{60F67B2A-B35C-470B-84A6-5FCE13B4A8B1}"/>
    <cellStyle name="normalRow 3 19 2" xfId="29696" xr:uid="{7BEDF28A-98EB-4250-BD59-CF7693F22318}"/>
    <cellStyle name="normalRow 3 2" xfId="14243" xr:uid="{D83BAF40-BAB0-4EE6-87E4-BD50C78FF322}"/>
    <cellStyle name="normalRow 3 2 2" xfId="37751" xr:uid="{502C2A4A-BA8E-4630-8674-A2D48C0ABE68}"/>
    <cellStyle name="normalRow 3 20" xfId="14244" xr:uid="{46C84CE5-6124-4419-82A1-80EF0F87CE71}"/>
    <cellStyle name="normalRow 3 20 2" xfId="37752" xr:uid="{F3293003-88C1-4DD1-8F9B-F412E176F09C}"/>
    <cellStyle name="normalRow 3 21" xfId="14245" xr:uid="{611B09EE-9B18-4876-83F3-95F201E82188}"/>
    <cellStyle name="normalRow 3 21 2" xfId="27440" xr:uid="{1675B5E8-3228-4B79-9D0A-FAF7C8F65B03}"/>
    <cellStyle name="normalRow 3 22" xfId="29689" xr:uid="{8A9A9932-C1D3-4DB5-B73E-F808ADC3C15A}"/>
    <cellStyle name="normalRow 3 3" xfId="14246" xr:uid="{48515957-9D46-4C39-92C1-DA706C0EC9A9}"/>
    <cellStyle name="normalRow 3 3 2" xfId="37754" xr:uid="{8E53EF75-A521-429F-A3E6-AD8C70D24830}"/>
    <cellStyle name="normalRow 3 4" xfId="14247" xr:uid="{EC27A78D-7CDB-4241-B7F9-FABC8650222E}"/>
    <cellStyle name="normalRow 3 4 2" xfId="27436" xr:uid="{67756B8B-D411-4332-9F91-16F7E6360330}"/>
    <cellStyle name="normalRow 3 5" xfId="14248" xr:uid="{42588DD7-98E8-43E4-9761-8752325D7795}"/>
    <cellStyle name="normalRow 3 5 2" xfId="37747" xr:uid="{91FD4000-8131-4805-AFDF-7F87F85DF9E6}"/>
    <cellStyle name="normalRow 3 6" xfId="14249" xr:uid="{D00FCB00-E94F-4F3A-AC85-FC30E22E7AB4}"/>
    <cellStyle name="normalRow 3 6 2" xfId="29698" xr:uid="{8FFF1711-91F1-4EF4-AC97-41854DBE0200}"/>
    <cellStyle name="normalRow 3 7" xfId="14250" xr:uid="{D3002FA6-AB4F-4645-87A2-550AF6C823E5}"/>
    <cellStyle name="normalRow 3 7 2" xfId="29699" xr:uid="{4D485288-10D8-428A-B197-A6F2173D9D7B}"/>
    <cellStyle name="normalRow 3 8" xfId="14251" xr:uid="{9C530BBC-A914-411E-9CC5-D22D2EDC6FA0}"/>
    <cellStyle name="normalRow 3 8 2" xfId="29700" xr:uid="{0676B6FF-70DC-42A3-9E4F-D04BE1212FBD}"/>
    <cellStyle name="normalRow 3 9" xfId="14252" xr:uid="{495B29FE-8502-420A-ACE6-930EACD80C3E}"/>
    <cellStyle name="normalRow 3 9 2" xfId="29701" xr:uid="{DF28731F-ABD4-4C99-87A6-AD5468DD3C5C}"/>
    <cellStyle name="normalRow 4" xfId="29667" xr:uid="{6558FC7D-B210-437B-82BE-7F105253F264}"/>
    <cellStyle name="Notas" xfId="14253" xr:uid="{54207A4D-6D4C-4A0D-A2B5-6A51BC122D3E}"/>
    <cellStyle name="Notas 10" xfId="14254" xr:uid="{E68B51F5-D23D-4C54-9ED5-3FE7350C4962}"/>
    <cellStyle name="Notas 10 2" xfId="29697" xr:uid="{076304F7-971B-46D0-877D-53AB12F0C3D9}"/>
    <cellStyle name="Notas 11" xfId="14255" xr:uid="{2DC72B42-8AE9-4889-AF5B-CDF722A095A8}"/>
    <cellStyle name="Notas 11 2" xfId="37753" xr:uid="{1C5FD71F-7DD1-4EC0-9253-C8669043910D}"/>
    <cellStyle name="Notas 12" xfId="14256" xr:uid="{3F9B2340-474B-4ABB-9CF2-997BF01AC4C6}"/>
    <cellStyle name="Notas 12 2" xfId="37755" xr:uid="{0BBC9873-5EFD-4318-95DB-605250FD44EE}"/>
    <cellStyle name="Notas 13" xfId="14257" xr:uid="{77717759-3280-46F9-A7AC-25F8EDF98DBD}"/>
    <cellStyle name="Notas 13 2" xfId="37756" xr:uid="{8318A6D8-365A-45CF-8DF1-B4D456EE3E9B}"/>
    <cellStyle name="Notas 14" xfId="14258" xr:uid="{EE8DC311-9100-4AF1-9094-63592E339785}"/>
    <cellStyle name="Notas 14 2" xfId="38747" xr:uid="{DFF16568-E272-43E2-B15F-41075627F153}"/>
    <cellStyle name="Notas 15" xfId="14259" xr:uid="{1B795DB8-DE25-47C9-A9A6-6FFD6C923441}"/>
    <cellStyle name="Notas 15 2" xfId="38744" xr:uid="{3B440A64-E56E-4D9E-BF9E-94829AF588DE}"/>
    <cellStyle name="Notas 16" xfId="14260" xr:uid="{60343885-9144-4FDD-8873-EB1133741DB5}"/>
    <cellStyle name="Notas 16 2" xfId="29703" xr:uid="{BA6419BE-6368-4952-9FC8-44817CBC6389}"/>
    <cellStyle name="Notas 17" xfId="14261" xr:uid="{F4769FEE-AF2D-40AF-82FD-11FC473F4481}"/>
    <cellStyle name="Notas 17 2" xfId="29704" xr:uid="{5B988B1E-ED69-4EAB-9C7B-4831285A5B86}"/>
    <cellStyle name="Notas 18" xfId="14262" xr:uid="{AAF260FA-0B05-4483-8A02-5C9A1A8A038B}"/>
    <cellStyle name="Notas 18 2" xfId="37750" xr:uid="{50AF53AF-D786-402A-984A-D9AC3FE8E88F}"/>
    <cellStyle name="Notas 19" xfId="14263" xr:uid="{2F30E881-CC29-4CAA-A0E9-D9DC8FA6A912}"/>
    <cellStyle name="Notas 19 2" xfId="37748" xr:uid="{8C952D46-B4D2-4F29-BDB8-69ED6FE2C283}"/>
    <cellStyle name="Notas 2" xfId="14264" xr:uid="{370B6AE4-2D0F-4E09-B5CD-AC7B8B9DA7A4}"/>
    <cellStyle name="Notas 2 10" xfId="14265" xr:uid="{DC4D54EC-E89D-447B-B20F-6D8889982FAD}"/>
    <cellStyle name="Notas 2 10 2" xfId="29705" xr:uid="{43899032-3DF2-4662-B13D-2FAF055DCA2D}"/>
    <cellStyle name="Notas 2 11" xfId="14266" xr:uid="{6CEC8B32-9748-491F-831D-D9EE2E0B8696}"/>
    <cellStyle name="Notas 2 11 2" xfId="29706" xr:uid="{7DBFE507-89A6-4A52-B9FB-844B0A9C6526}"/>
    <cellStyle name="Notas 2 12" xfId="14267" xr:uid="{ECB18865-56EE-4D0D-B28F-A0F8A91A71EC}"/>
    <cellStyle name="Notas 2 12 2" xfId="29707" xr:uid="{F89A7A28-1E70-4A74-B819-AD0A0E059388}"/>
    <cellStyle name="Notas 2 13" xfId="14268" xr:uid="{0D46BC40-4C20-480A-BD12-BC10BFF378A2}"/>
    <cellStyle name="Notas 2 13 2" xfId="29708" xr:uid="{84BCCBF1-F32F-4A29-A3A4-3A5FFD35A1C9}"/>
    <cellStyle name="Notas 2 14" xfId="14269" xr:uid="{8BA18522-B205-41BA-93F1-B52D227C5F47}"/>
    <cellStyle name="Notas 2 14 2" xfId="29709" xr:uid="{516A7923-91E0-4BB7-AA89-26B75EE1FB43}"/>
    <cellStyle name="Notas 2 15" xfId="14270" xr:uid="{3C1A2FEA-94A1-4989-BA9B-D8E8714C1DA3}"/>
    <cellStyle name="Notas 2 15 2" xfId="29710" xr:uid="{C7845D29-B1F1-438B-A04A-3B5ECE42AD3B}"/>
    <cellStyle name="Notas 2 16" xfId="14271" xr:uid="{C64A9100-AB8D-4BAA-82C6-893D99FC0E60}"/>
    <cellStyle name="Notas 2 16 2" xfId="29711" xr:uid="{B99E2B74-C3FA-4DC3-9331-18776E55764E}"/>
    <cellStyle name="Notas 2 17" xfId="14272" xr:uid="{383A76AB-8610-4852-984D-79DEBD8A1523}"/>
    <cellStyle name="Notas 2 17 2" xfId="29712" xr:uid="{AFA5BBB7-614E-4BD7-A5BA-18CD7F110196}"/>
    <cellStyle name="Notas 2 18" xfId="14273" xr:uid="{58097D2B-9F8E-4617-AECE-9A223958475D}"/>
    <cellStyle name="Notas 2 18 2" xfId="38112" xr:uid="{66DA95A6-4B80-43FE-A1F9-9349FB43E238}"/>
    <cellStyle name="Notas 2 19" xfId="14274" xr:uid="{03FEDF6D-81B7-4179-B8AC-5695CC0EC562}"/>
    <cellStyle name="Notas 2 19 2" xfId="29713" xr:uid="{E243665B-4E79-4EB1-9566-7B7728338659}"/>
    <cellStyle name="Notas 2 2" xfId="14275" xr:uid="{BBA9099D-9502-47E6-8917-A156A5A896E5}"/>
    <cellStyle name="Notas 2 2 10" xfId="14276" xr:uid="{AA6D788F-7D44-4EDA-86EE-8F6E95A610B5}"/>
    <cellStyle name="Notas 2 2 10 2" xfId="29715" xr:uid="{F2C05105-5A00-4F1C-8580-61B638152619}"/>
    <cellStyle name="Notas 2 2 11" xfId="14277" xr:uid="{5D591319-F6A4-48A8-8FF0-A219D1757B54}"/>
    <cellStyle name="Notas 2 2 11 2" xfId="29716" xr:uid="{40C2147D-F83A-45A7-A518-A03D9BEA6008}"/>
    <cellStyle name="Notas 2 2 12" xfId="14278" xr:uid="{5E5C2F00-7AE4-4861-B8F5-0876AFAFCA23}"/>
    <cellStyle name="Notas 2 2 12 2" xfId="29717" xr:uid="{0D2FCD35-FF2B-4F90-9A78-4951F957AF48}"/>
    <cellStyle name="Notas 2 2 13" xfId="14279" xr:uid="{CCD07563-B022-4483-97AF-E5AD5C44A568}"/>
    <cellStyle name="Notas 2 2 13 2" xfId="29718" xr:uid="{9CEC7271-5E1F-40AA-90D4-C0D26C214F34}"/>
    <cellStyle name="Notas 2 2 14" xfId="14280" xr:uid="{B8DCAC87-3B45-42C8-A20D-860919372A5E}"/>
    <cellStyle name="Notas 2 2 14 2" xfId="29719" xr:uid="{D3E03728-34AD-4584-B27E-F0970FA4DD73}"/>
    <cellStyle name="Notas 2 2 15" xfId="14281" xr:uid="{D1DFDD0C-DAEA-4CA4-BCDF-C8A67287A1A2}"/>
    <cellStyle name="Notas 2 2 15 2" xfId="29720" xr:uid="{4D6784B2-4603-4C5C-843A-81A5CA69C847}"/>
    <cellStyle name="Notas 2 2 16" xfId="29714" xr:uid="{D65C5737-75FC-4047-BF11-6FEFCBDED45E}"/>
    <cellStyle name="Notas 2 2 2" xfId="14282" xr:uid="{5D87798B-B6AE-40E2-A332-D614820D045F}"/>
    <cellStyle name="Notas 2 2 2 2" xfId="29721" xr:uid="{F8D60BDB-BDE6-44C5-B484-002C0600F80B}"/>
    <cellStyle name="Notas 2 2 3" xfId="14283" xr:uid="{629A5129-F900-4A1D-92E7-D2E058887EFC}"/>
    <cellStyle name="Notas 2 2 3 2" xfId="27439" xr:uid="{68F8CBF1-6A2C-43DB-B1E4-3EC96EC5AD76}"/>
    <cellStyle name="Notas 2 2 4" xfId="14284" xr:uid="{0651DBD9-E64D-4F00-AFA5-F7FC839C7BF0}"/>
    <cellStyle name="Notas 2 2 4 2" xfId="29722" xr:uid="{0B96A235-DCA5-4645-8157-3C53B57AD7DB}"/>
    <cellStyle name="Notas 2 2 5" xfId="14285" xr:uid="{669A3E0E-DF02-403F-8692-FCED06A5B29D}"/>
    <cellStyle name="Notas 2 2 5 2" xfId="29723" xr:uid="{DCF7AB33-7A31-4AC1-9FE5-19BB5A5066C1}"/>
    <cellStyle name="Notas 2 2 6" xfId="14286" xr:uid="{B6EEA774-AF21-4820-AF9A-ACF5913381E7}"/>
    <cellStyle name="Notas 2 2 6 2" xfId="29724" xr:uid="{2AEAD979-5B67-44E4-8B60-2C68B915C323}"/>
    <cellStyle name="Notas 2 2 7" xfId="14287" xr:uid="{3CFE7EE9-91FF-42CF-9FE2-71850118AF7F}"/>
    <cellStyle name="Notas 2 2 7 2" xfId="29725" xr:uid="{AAACC71B-1396-48C3-8890-C7C78049FC03}"/>
    <cellStyle name="Notas 2 2 8" xfId="14288" xr:uid="{2E021D98-C153-44E1-9586-67AD75933D55}"/>
    <cellStyle name="Notas 2 2 8 2" xfId="29726" xr:uid="{F462E4B4-384E-41E5-8FA4-6658C133F7A9}"/>
    <cellStyle name="Notas 2 2 9" xfId="14289" xr:uid="{A6DFAAEF-FF12-4F7C-9F73-28F29332CD77}"/>
    <cellStyle name="Notas 2 2 9 2" xfId="29727" xr:uid="{6DD435BE-D370-482D-96A1-6C75962C23D8}"/>
    <cellStyle name="Notas 2 20" xfId="38741" xr:uid="{AFA4845B-D36A-4DF4-B89D-838F8493BE44}"/>
    <cellStyle name="Notas 2 3" xfId="14290" xr:uid="{8820F273-6027-4318-816D-DE6CDEFD255B}"/>
    <cellStyle name="Notas 2 3 2" xfId="29728" xr:uid="{F0C1A92A-3A86-4B9E-B2FD-8D5B7A64E966}"/>
    <cellStyle name="Notas 2 4" xfId="14291" xr:uid="{33F559F9-7FEB-493B-9E70-A85EA571205A}"/>
    <cellStyle name="Notas 2 4 2" xfId="29729" xr:uid="{DBDCD36E-049F-4548-B749-6F38336ECEC7}"/>
    <cellStyle name="Notas 2 5" xfId="14292" xr:uid="{45ABD06C-4071-41F8-B9BF-DA570C01F186}"/>
    <cellStyle name="Notas 2 5 2" xfId="29730" xr:uid="{42443717-5BBD-4461-9ABB-56F647427D58}"/>
    <cellStyle name="Notas 2 6" xfId="14293" xr:uid="{91A18EF5-3475-42A0-99B5-F28AD63B0F7B}"/>
    <cellStyle name="Notas 2 6 2" xfId="29731" xr:uid="{52552FE5-0564-4A00-A8E1-181D80F99BFB}"/>
    <cellStyle name="Notas 2 7" xfId="14294" xr:uid="{1C7E95F6-6081-4B1B-BB0D-7FE2B46A1E20}"/>
    <cellStyle name="Notas 2 7 2" xfId="29732" xr:uid="{83D68A59-6B80-48D4-A01F-6CB2CDB373EA}"/>
    <cellStyle name="Notas 2 8" xfId="14295" xr:uid="{7D588631-9C8B-40D2-AFB3-742D23427155}"/>
    <cellStyle name="Notas 2 8 2" xfId="29733" xr:uid="{59F64453-338B-4E74-8285-D782A06AD5DC}"/>
    <cellStyle name="Notas 2 9" xfId="14296" xr:uid="{19C4E87F-8395-4160-814E-FFCC49F131E6}"/>
    <cellStyle name="Notas 2 9 2" xfId="29734" xr:uid="{B033FECA-6BD8-4E6B-B4B9-2A5D178DA834}"/>
    <cellStyle name="Notas 20" xfId="14297" xr:uid="{70A424C5-7D76-4A6F-97BA-F63952811840}"/>
    <cellStyle name="Notas 20 2" xfId="29735" xr:uid="{C711591C-99ED-4A90-ABEE-A9D4C43ED6AD}"/>
    <cellStyle name="Notas 21" xfId="29702" xr:uid="{2A1031E3-C142-4E30-81EE-1E193FF73D0F}"/>
    <cellStyle name="Notas 3" xfId="14298" xr:uid="{FE28D50D-8424-460D-8635-DCA447C343EA}"/>
    <cellStyle name="Notas 3 10" xfId="14299" xr:uid="{484DF320-5731-4CEA-AD3C-8A8C551D0AB7}"/>
    <cellStyle name="Notas 3 10 2" xfId="29737" xr:uid="{BA8D79E0-C257-4921-A5A5-CB84BEF0022C}"/>
    <cellStyle name="Notas 3 11" xfId="14300" xr:uid="{3DD4EA38-3251-4438-BA1F-B775972D0221}"/>
    <cellStyle name="Notas 3 11 2" xfId="29738" xr:uid="{2BC91D52-2296-4B83-B439-42F3FBD6A3D4}"/>
    <cellStyle name="Notas 3 12" xfId="14301" xr:uid="{64600213-2C3A-4C3D-9BD4-D2BCD4217A0A}"/>
    <cellStyle name="Notas 3 12 2" xfId="29739" xr:uid="{998335B9-5AC3-48A8-8926-1FC99D195768}"/>
    <cellStyle name="Notas 3 13" xfId="14302" xr:uid="{E7C8DA95-61E5-4371-A737-2FB044F1782B}"/>
    <cellStyle name="Notas 3 13 2" xfId="29740" xr:uid="{2FBB6137-AEC8-4618-B700-7DB45B096AC2}"/>
    <cellStyle name="Notas 3 14" xfId="14303" xr:uid="{E5B82125-BFF2-4D0E-82A5-55898CC094FB}"/>
    <cellStyle name="Notas 3 14 2" xfId="29741" xr:uid="{DF636D3F-394D-4D7F-BD44-CEE556EC9AAA}"/>
    <cellStyle name="Notas 3 15" xfId="14304" xr:uid="{30E1B667-1667-44F0-BFAE-DF3CDCDA6F58}"/>
    <cellStyle name="Notas 3 15 2" xfId="29742" xr:uid="{401CCA16-69DE-46A0-B5E8-01C53EA4A0C7}"/>
    <cellStyle name="Notas 3 16" xfId="29736" xr:uid="{E51BB930-8B11-4989-A05D-3C691430FD3E}"/>
    <cellStyle name="Notas 3 2" xfId="14305" xr:uid="{9B7D5AF9-3079-41CD-A7CA-AA45E00106B0}"/>
    <cellStyle name="Notas 3 2 2" xfId="29743" xr:uid="{6E2B3B13-D2B5-425F-86A4-9787EFACE0AB}"/>
    <cellStyle name="Notas 3 3" xfId="14306" xr:uid="{3B099A1A-010F-416B-AF71-91E6A98D5B13}"/>
    <cellStyle name="Notas 3 3 2" xfId="29744" xr:uid="{F62BB7AB-9363-42A0-9316-C11555B0F900}"/>
    <cellStyle name="Notas 3 4" xfId="14307" xr:uid="{897C951B-7A4E-4BB2-BF6A-4A45D3C3546A}"/>
    <cellStyle name="Notas 3 4 2" xfId="29745" xr:uid="{ECD77F4E-1E1B-4058-B9DD-142278D263FF}"/>
    <cellStyle name="Notas 3 5" xfId="14308" xr:uid="{D41E4E7C-D8B8-47EB-AAF3-34BCD171F4A4}"/>
    <cellStyle name="Notas 3 5 2" xfId="29746" xr:uid="{50C71AB0-199D-4DD3-AFE4-AE3B5553CF4A}"/>
    <cellStyle name="Notas 3 6" xfId="14309" xr:uid="{18C13791-89AC-470B-AED4-3DEE90752B5C}"/>
    <cellStyle name="Notas 3 6 2" xfId="29747" xr:uid="{19E0496B-8A5E-4B21-817C-9A883EBAF8FB}"/>
    <cellStyle name="Notas 3 7" xfId="14310" xr:uid="{BCB37FA2-268F-4C5D-A9C0-D3A98000BC20}"/>
    <cellStyle name="Notas 3 7 2" xfId="29748" xr:uid="{D2FC4BB2-9A42-45D5-9B08-D9372F7276A9}"/>
    <cellStyle name="Notas 3 8" xfId="14311" xr:uid="{C86CAB9D-8F43-46F8-8936-D5F098480160}"/>
    <cellStyle name="Notas 3 8 2" xfId="29749" xr:uid="{D443F455-F83F-44FF-BE27-31413F454BF5}"/>
    <cellStyle name="Notas 3 9" xfId="14312" xr:uid="{988849F9-0205-44A6-A627-9AC459BF2999}"/>
    <cellStyle name="Notas 3 9 2" xfId="29750" xr:uid="{9079F140-E1E3-4E57-BEC8-F92C92A84724}"/>
    <cellStyle name="Notas 4" xfId="14313" xr:uid="{0E08CD1B-4A01-46EF-91A9-D2DDEE559149}"/>
    <cellStyle name="Notas 4 2" xfId="29751" xr:uid="{04378CE6-3440-4E41-AA70-75320CA3B58C}"/>
    <cellStyle name="Notas 5" xfId="14314" xr:uid="{BD051172-7B88-42E5-BDF9-530A3D47A710}"/>
    <cellStyle name="Notas 5 2" xfId="29752" xr:uid="{19F4D01F-0F84-4FA7-8FEA-9314FE854943}"/>
    <cellStyle name="Notas 6" xfId="14315" xr:uid="{494520BA-8644-4305-8298-510EA5E0F1FE}"/>
    <cellStyle name="Notas 6 2" xfId="29753" xr:uid="{B22CAD80-7367-420C-A2AF-7DC2F3C696DB}"/>
    <cellStyle name="Notas 7" xfId="14316" xr:uid="{73D9B014-F651-44FD-8F97-1EE5AF2DF720}"/>
    <cellStyle name="Notas 7 2" xfId="29754" xr:uid="{F8985C1D-A30B-4E67-A48A-63BF19DC1E0A}"/>
    <cellStyle name="Notas 8" xfId="14317" xr:uid="{C8AEB919-397F-4BC5-86F0-0B4452ED6D1B}"/>
    <cellStyle name="Notas 8 2" xfId="29755" xr:uid="{154DA63B-B03C-4FDE-9C34-D782EF50B4AA}"/>
    <cellStyle name="Notas 9" xfId="14318" xr:uid="{3A0E6EF2-20E7-4525-97D4-1B9270919BF5}"/>
    <cellStyle name="Notas 9 2" xfId="29756" xr:uid="{DD72E2D2-5F87-4CCD-B710-3FF35BB4E098}"/>
    <cellStyle name="Note 10" xfId="14320" xr:uid="{79835216-090F-4CA0-B013-A53584DCCC25}"/>
    <cellStyle name="Note 10 2" xfId="29758" xr:uid="{132CA8FE-1BCB-426D-8893-901F9448E42E}"/>
    <cellStyle name="Note 11" xfId="14321" xr:uid="{25F71A1C-6530-4717-B034-95D96BA32CFD}"/>
    <cellStyle name="Note 11 2" xfId="29759" xr:uid="{19956896-8081-4FF4-8444-2834030C32DD}"/>
    <cellStyle name="Note 12" xfId="14322" xr:uid="{BD50FF47-676D-49FC-8C0D-523B22100DC4}"/>
    <cellStyle name="Note 12 2" xfId="29760" xr:uid="{BB773DE9-F30D-465E-8AF8-663033F95FDD}"/>
    <cellStyle name="Note 13" xfId="14323" xr:uid="{A9DA01CB-FA7F-4697-809C-E01DFA38DBB8}"/>
    <cellStyle name="Note 13 2" xfId="29761" xr:uid="{A1A2DACD-8EAB-4130-AC1C-2158DD63A4AE}"/>
    <cellStyle name="Note 14" xfId="14324" xr:uid="{5A76923E-3E7A-44FB-B181-5803E2313DB3}"/>
    <cellStyle name="Note 14 2" xfId="29762" xr:uid="{9A8EE070-1D2C-4085-BADA-D844D7BD2E04}"/>
    <cellStyle name="Note 15" xfId="14325" xr:uid="{87F6BBDA-6DED-4865-B8C2-6F9DABB0FE9D}"/>
    <cellStyle name="Note 15 2" xfId="29763" xr:uid="{D85D7A05-BF2C-412B-8417-A24D52F08EC6}"/>
    <cellStyle name="Note 16" xfId="14326" xr:uid="{5E4AF634-3844-4DEA-84FC-DFE48F319330}"/>
    <cellStyle name="Note 16 2" xfId="29764" xr:uid="{D5537B6B-E273-4217-B099-FA65F40342CE}"/>
    <cellStyle name="Note 17" xfId="14327" xr:uid="{7AFBFAC5-2C4E-4767-BCFD-D44025190CA6}"/>
    <cellStyle name="Note 17 2" xfId="29765" xr:uid="{E73AAF9D-78F5-4471-B2A1-12DFDADA6D72}"/>
    <cellStyle name="Note 18" xfId="14328" xr:uid="{FB68EB5A-BC44-47A4-B397-5BAE58A03500}"/>
    <cellStyle name="Note 18 2" xfId="29766" xr:uid="{B9BEE99A-4382-4B74-A921-BDF3B9FD6A4E}"/>
    <cellStyle name="Note 19" xfId="14329" xr:uid="{E9EBE5CC-826C-451E-BB15-322D272DA871}"/>
    <cellStyle name="Note 19 2" xfId="29767" xr:uid="{EF5C3F40-CA97-478A-BBED-A59F8E1C7D36}"/>
    <cellStyle name="Note 2" xfId="14330" xr:uid="{7CCC52B6-1C7A-4BDF-9C39-3070BAC5F58B}"/>
    <cellStyle name="Note 2 10" xfId="14331" xr:uid="{C9BD25C2-5449-41D4-A648-05A72CD3FE76}"/>
    <cellStyle name="Note 2 10 2" xfId="29769" xr:uid="{07483DBB-C1E5-415F-8093-BAB47FAAE470}"/>
    <cellStyle name="Note 2 11" xfId="14332" xr:uid="{FFED9DB3-76C3-48DE-B53B-6CC518CFA093}"/>
    <cellStyle name="Note 2 11 2" xfId="29770" xr:uid="{41265282-07BE-48B6-8136-BE3A3A3647B4}"/>
    <cellStyle name="Note 2 12" xfId="14333" xr:uid="{C8C827A9-B8BE-438D-BE79-C72937BF376A}"/>
    <cellStyle name="Note 2 12 2" xfId="29771" xr:uid="{5880C49D-AD9B-4A4A-A5D3-96E48EF629A6}"/>
    <cellStyle name="Note 2 13" xfId="14334" xr:uid="{BA4614F1-A627-4841-89C2-439582AE4E56}"/>
    <cellStyle name="Note 2 13 2" xfId="29772" xr:uid="{317AA09F-12AC-45BA-B046-EE66DA15D881}"/>
    <cellStyle name="Note 2 14" xfId="14335" xr:uid="{36544B08-CE2E-4E56-9623-BCD39B199022}"/>
    <cellStyle name="Note 2 14 2" xfId="29773" xr:uid="{CE88AA75-822E-4412-A4C2-34D5D941E8BB}"/>
    <cellStyle name="Note 2 15" xfId="14336" xr:uid="{B0EE5234-F729-4909-80A4-AE8E38FAF7AF}"/>
    <cellStyle name="Note 2 15 2" xfId="29774" xr:uid="{B6BBA3AC-3931-4095-80B9-0F5E4B8D6CDC}"/>
    <cellStyle name="Note 2 16" xfId="14337" xr:uid="{CBD5483A-7A83-433D-BF42-34ADCBE3B18D}"/>
    <cellStyle name="Note 2 16 2" xfId="29775" xr:uid="{D9D3A79B-F867-4F69-8C70-0450C07FB827}"/>
    <cellStyle name="Note 2 17" xfId="14338" xr:uid="{FEC237B6-9AD3-4D31-A561-302B854650ED}"/>
    <cellStyle name="Note 2 17 2" xfId="29776" xr:uid="{FC0E1D09-45E4-49F9-89D4-5A49E8500D60}"/>
    <cellStyle name="Note 2 18" xfId="14339" xr:uid="{5184F9BE-C32F-4A21-BC5C-1D48816D2B2D}"/>
    <cellStyle name="Note 2 18 2" xfId="29777" xr:uid="{25A78198-E1FD-4B76-BDFF-2A9108FA6FFB}"/>
    <cellStyle name="Note 2 19" xfId="14340" xr:uid="{58AF34E5-E4BF-4553-9780-5E562B097904}"/>
    <cellStyle name="Note 2 19 2" xfId="29778" xr:uid="{FDC3243A-D23E-43B7-9218-9EECA17EB635}"/>
    <cellStyle name="Note 2 2" xfId="14341" xr:uid="{3EDEBE39-F327-4207-86AF-EA8A05D9B211}"/>
    <cellStyle name="Note 2 2 10" xfId="14342" xr:uid="{63AB106D-DE72-4DBD-B86D-6CA39341DC12}"/>
    <cellStyle name="Note 2 2 10 2" xfId="29780" xr:uid="{4CECAE14-A9A7-461A-8C14-0395624AEC93}"/>
    <cellStyle name="Note 2 2 11" xfId="14343" xr:uid="{2AD7A79F-91E4-4303-9950-29CFB3B09DF0}"/>
    <cellStyle name="Note 2 2 11 2" xfId="29781" xr:uid="{C494BF4D-FEC7-494A-95B3-F509A33A0FB7}"/>
    <cellStyle name="Note 2 2 12" xfId="14344" xr:uid="{CF1883C4-8DF0-465F-B39A-94FE74840C08}"/>
    <cellStyle name="Note 2 2 12 2" xfId="29782" xr:uid="{99D56FB7-D3FD-416D-9248-5F42ED63B890}"/>
    <cellStyle name="Note 2 2 13" xfId="14345" xr:uid="{9D6F721F-CC55-4C28-A6E4-618DC3C195E3}"/>
    <cellStyle name="Note 2 2 13 2" xfId="29783" xr:uid="{D0155222-C46A-4A4F-9B00-3675B13DBBA1}"/>
    <cellStyle name="Note 2 2 14" xfId="14346" xr:uid="{78FB24A7-9F5C-4F10-8681-3D32B3A8EEF1}"/>
    <cellStyle name="Note 2 2 14 2" xfId="29784" xr:uid="{31A4BCF8-F5AC-4B6F-99AD-37CC6F212762}"/>
    <cellStyle name="Note 2 2 15" xfId="14347" xr:uid="{CE816F11-0707-4F58-A6FB-ADC0A6AD810E}"/>
    <cellStyle name="Note 2 2 15 2" xfId="29785" xr:uid="{311853F4-C99E-4D46-B95E-1381F2B91D6C}"/>
    <cellStyle name="Note 2 2 16" xfId="14348" xr:uid="{9D7195C8-BCD2-4206-A7B5-A0B694681029}"/>
    <cellStyle name="Note 2 2 16 2" xfId="29786" xr:uid="{ABD0789B-80A0-4889-A0E1-B3907FE48C32}"/>
    <cellStyle name="Note 2 2 17" xfId="14349" xr:uid="{0DB30E3F-16BE-478B-86AA-FC6A76202A3F}"/>
    <cellStyle name="Note 2 2 17 2" xfId="29787" xr:uid="{803B4838-D9E5-457B-8E58-4DC5241E5909}"/>
    <cellStyle name="Note 2 2 18" xfId="14350" xr:uid="{3D00DAB8-02A4-495B-A4E5-866029024E03}"/>
    <cellStyle name="Note 2 2 18 2" xfId="29794" xr:uid="{15992A4C-1949-46DF-BA7D-6EE358470B2B}"/>
    <cellStyle name="Note 2 2 19" xfId="14351" xr:uid="{0892B905-A9CB-4961-8F85-6D8F9A49FFFE}"/>
    <cellStyle name="Note 2 2 19 2" xfId="29788" xr:uid="{52FEBC51-D98F-4D87-91EF-D3540C9F19E8}"/>
    <cellStyle name="Note 2 2 2" xfId="14352" xr:uid="{32B36421-628E-4F04-8539-CFB284C42BCB}"/>
    <cellStyle name="Note 2 2 2 10" xfId="14353" xr:uid="{C21D8A02-20FE-43B0-BA16-C5BCE26564AC}"/>
    <cellStyle name="Note 2 2 2 10 2" xfId="29790" xr:uid="{0E87C148-CCC7-496D-9D79-7466A12CC44D}"/>
    <cellStyle name="Note 2 2 2 11" xfId="14354" xr:uid="{7CAC4BD9-FBC1-40A2-B407-58D4CD5BDE43}"/>
    <cellStyle name="Note 2 2 2 11 2" xfId="29791" xr:uid="{FAE5528F-A47B-4A08-AA16-E5D2124E2D6D}"/>
    <cellStyle name="Note 2 2 2 12" xfId="14355" xr:uid="{339247A4-09A1-43CC-BE33-DA565A380D54}"/>
    <cellStyle name="Note 2 2 2 12 2" xfId="29792" xr:uid="{1417E6EF-6E7C-4599-903F-A11734C0423C}"/>
    <cellStyle name="Note 2 2 2 13" xfId="14356" xr:uid="{260A1A1A-5EE0-45BD-9C99-C878D6EB6723}"/>
    <cellStyle name="Note 2 2 2 13 2" xfId="29793" xr:uid="{D3855C55-D4CD-41AD-8C37-29558CCF5110}"/>
    <cellStyle name="Note 2 2 2 14" xfId="14357" xr:uid="{81983980-720F-4566-8352-1DB774F7667E}"/>
    <cellStyle name="Note 2 2 2 14 2" xfId="29795" xr:uid="{324A9F5D-AAFD-4B45-AF85-84E06238756C}"/>
    <cellStyle name="Note 2 2 2 15" xfId="14358" xr:uid="{C13474FA-9EC7-48A2-85A2-90EF18A67925}"/>
    <cellStyle name="Note 2 2 2 15 2" xfId="29796" xr:uid="{2E9831C4-6CA0-41F2-B90C-E5D30D3083E1}"/>
    <cellStyle name="Note 2 2 2 16" xfId="14359" xr:uid="{1FE616B7-2555-41B8-96C2-E6941E72688C}"/>
    <cellStyle name="Note 2 2 2 16 2" xfId="29797" xr:uid="{57DEA835-9977-4976-9E0B-3B7D76365DD0}"/>
    <cellStyle name="Note 2 2 2 17" xfId="14360" xr:uid="{C6ACBBF9-AB1F-4423-A104-4428D944D32C}"/>
    <cellStyle name="Note 2 2 2 17 2" xfId="29798" xr:uid="{C1FADE17-2BD0-452F-94EE-D4F19BB01E43}"/>
    <cellStyle name="Note 2 2 2 18" xfId="14361" xr:uid="{CC21CF7A-7AB3-4899-A6D2-A3FB4C16A777}"/>
    <cellStyle name="Note 2 2 2 18 2" xfId="29799" xr:uid="{B3CF63C0-96B0-4020-AC50-938A5F91BCE5}"/>
    <cellStyle name="Note 2 2 2 19" xfId="14362" xr:uid="{EB53BAB0-419A-435C-A86B-93558EE929B5}"/>
    <cellStyle name="Note 2 2 2 19 2" xfId="29800" xr:uid="{082D5C5E-BCE3-41AE-9BAC-E4E6DB77132C}"/>
    <cellStyle name="Note 2 2 2 2" xfId="14363" xr:uid="{F169E388-DCCC-4E41-8A59-B8B9E1342D6E}"/>
    <cellStyle name="Note 2 2 2 2 10" xfId="14364" xr:uid="{D87B139C-6DA5-4182-BADB-CB44D0F5C0C2}"/>
    <cellStyle name="Note 2 2 2 2 10 2" xfId="29802" xr:uid="{C0A16DE0-787F-4B08-AE93-3EBEE82ED99D}"/>
    <cellStyle name="Note 2 2 2 2 11" xfId="14365" xr:uid="{700D3D6C-35E7-44E8-9F7E-5BF1A879F342}"/>
    <cellStyle name="Note 2 2 2 2 11 2" xfId="29803" xr:uid="{23BAEB95-2E3A-4EAC-87B6-923C6DC549BC}"/>
    <cellStyle name="Note 2 2 2 2 12" xfId="14366" xr:uid="{BEAF92F7-C37C-4C1E-84C9-8A8786882FAA}"/>
    <cellStyle name="Note 2 2 2 2 12 2" xfId="29804" xr:uid="{E3178D93-E3D8-4706-847D-DB8BCE346E24}"/>
    <cellStyle name="Note 2 2 2 2 13" xfId="14367" xr:uid="{2EC2B74F-382D-4F7A-A8F0-2E376CBBCA1F}"/>
    <cellStyle name="Note 2 2 2 2 13 2" xfId="29805" xr:uid="{65BC769F-B3AC-44FB-B43D-692CF8BC970C}"/>
    <cellStyle name="Note 2 2 2 2 14" xfId="14368" xr:uid="{05872712-36F9-42D3-ADAB-810028E7B1EF}"/>
    <cellStyle name="Note 2 2 2 2 14 2" xfId="29806" xr:uid="{74622DE9-6BAA-4125-AC66-3967C9818A9D}"/>
    <cellStyle name="Note 2 2 2 2 15" xfId="14369" xr:uid="{5085E580-440A-48BA-86C1-C4639CA39B6C}"/>
    <cellStyle name="Note 2 2 2 2 15 2" xfId="29807" xr:uid="{7D50901E-EC9F-402F-8F89-1E76BD1F71C4}"/>
    <cellStyle name="Note 2 2 2 2 16" xfId="14370" xr:uid="{2F550647-8B08-4CB5-96ED-DE80FEDD0893}"/>
    <cellStyle name="Note 2 2 2 2 16 2" xfId="29808" xr:uid="{C84BF91F-4491-4760-8913-A0754347D0FC}"/>
    <cellStyle name="Note 2 2 2 2 17" xfId="14371" xr:uid="{9CFCDBF2-94FA-4646-BF72-16AE92AF6C79}"/>
    <cellStyle name="Note 2 2 2 2 17 2" xfId="29809" xr:uid="{B93B1D11-2AA1-45E1-98D4-AEA45A647CA7}"/>
    <cellStyle name="Note 2 2 2 2 18" xfId="14372" xr:uid="{B4FAD3E9-6B58-4DFD-8956-8D503A91A24E}"/>
    <cellStyle name="Note 2 2 2 2 18 2" xfId="29810" xr:uid="{ECC1E66C-7601-4B5B-BCDB-1404FB00BD81}"/>
    <cellStyle name="Note 2 2 2 2 19" xfId="29801" xr:uid="{1E4379E1-4522-4283-8804-3553918A7314}"/>
    <cellStyle name="Note 2 2 2 2 2" xfId="14373" xr:uid="{614F35FA-DC64-443C-9C14-DC5617CCC942}"/>
    <cellStyle name="Note 2 2 2 2 2 10" xfId="14374" xr:uid="{A2FF10CD-A611-4119-8C91-3FAE6B04D881}"/>
    <cellStyle name="Note 2 2 2 2 2 10 2" xfId="29812" xr:uid="{B087449B-1367-42F2-9297-9764028E7203}"/>
    <cellStyle name="Note 2 2 2 2 2 11" xfId="14375" xr:uid="{E20DB37D-D8D1-4893-9AD7-E9DDD7C95C7D}"/>
    <cellStyle name="Note 2 2 2 2 2 11 2" xfId="29813" xr:uid="{79BCCD9C-E92C-4708-9308-95D5E43DD673}"/>
    <cellStyle name="Note 2 2 2 2 2 12" xfId="14376" xr:uid="{B88C3EFF-1B98-4D1B-AE08-0001CF54E03C}"/>
    <cellStyle name="Note 2 2 2 2 2 12 2" xfId="29814" xr:uid="{8EF20EFC-C957-4B6E-906D-823D227C7C79}"/>
    <cellStyle name="Note 2 2 2 2 2 13" xfId="14377" xr:uid="{339A017A-AD6F-40A9-B400-F68558367150}"/>
    <cellStyle name="Note 2 2 2 2 2 13 2" xfId="29815" xr:uid="{2B156D70-BD12-49D9-8018-49ABF6D5FC41}"/>
    <cellStyle name="Note 2 2 2 2 2 14" xfId="14378" xr:uid="{36800A70-16BF-46DE-8331-74D5382155D8}"/>
    <cellStyle name="Note 2 2 2 2 2 14 2" xfId="29816" xr:uid="{FEF0CCCD-0679-40C2-AC72-95805B5D7F31}"/>
    <cellStyle name="Note 2 2 2 2 2 15" xfId="14379" xr:uid="{293EFF97-E4C2-4062-B772-743FD1BA29AD}"/>
    <cellStyle name="Note 2 2 2 2 2 15 2" xfId="29817" xr:uid="{2A3E3853-6E53-4BDF-90E5-B682F073AF5C}"/>
    <cellStyle name="Note 2 2 2 2 2 16" xfId="29811" xr:uid="{77A5BD0C-DBDB-4E92-81E7-48BC17B8BB49}"/>
    <cellStyle name="Note 2 2 2 2 2 2" xfId="14380" xr:uid="{A444093D-2584-460D-8A0D-95C6EEC71A31}"/>
    <cellStyle name="Note 2 2 2 2 2 2 2" xfId="29818" xr:uid="{895EDD73-3A6B-462B-826A-F23275E56D26}"/>
    <cellStyle name="Note 2 2 2 2 2 3" xfId="14381" xr:uid="{720DE5D7-A94E-45D9-9823-FCBDF7E4A802}"/>
    <cellStyle name="Note 2 2 2 2 2 3 2" xfId="29819" xr:uid="{47D0CB66-E190-472D-8393-AA400EC4E1B8}"/>
    <cellStyle name="Note 2 2 2 2 2 4" xfId="14382" xr:uid="{E92816AB-03C1-4B7F-9E66-DD037BEF7149}"/>
    <cellStyle name="Note 2 2 2 2 2 4 2" xfId="29820" xr:uid="{39920C9E-E23B-4022-B505-C633B9711C64}"/>
    <cellStyle name="Note 2 2 2 2 2 5" xfId="14383" xr:uid="{54AAC9AE-8803-438B-8767-C42FB667DAEA}"/>
    <cellStyle name="Note 2 2 2 2 2 5 2" xfId="29821" xr:uid="{7AF07024-7720-4444-B5A4-D72E3A431178}"/>
    <cellStyle name="Note 2 2 2 2 2 6" xfId="14384" xr:uid="{81033CB3-B9E2-4C63-9CD0-9A7A89B070E8}"/>
    <cellStyle name="Note 2 2 2 2 2 6 2" xfId="29822" xr:uid="{3D75EC7C-3E0B-4478-8499-648CDD2EE9F5}"/>
    <cellStyle name="Note 2 2 2 2 2 7" xfId="14385" xr:uid="{1B55C247-3C3D-48D5-AA30-E17A20A7E522}"/>
    <cellStyle name="Note 2 2 2 2 2 7 2" xfId="29823" xr:uid="{C17D93D4-CA3E-43A1-9B76-730CCA291EFC}"/>
    <cellStyle name="Note 2 2 2 2 2 8" xfId="14386" xr:uid="{3BFDC2C7-6D09-4D13-AF34-125271CB7811}"/>
    <cellStyle name="Note 2 2 2 2 2 8 2" xfId="29824" xr:uid="{953897F2-C12B-4421-AB88-3E9D9EA8EE3E}"/>
    <cellStyle name="Note 2 2 2 2 2 9" xfId="14387" xr:uid="{A5884522-75AA-4915-9FC4-DC6246313C18}"/>
    <cellStyle name="Note 2 2 2 2 2 9 2" xfId="29825" xr:uid="{3DE49D1A-6F4B-444D-A79B-758E629329D5}"/>
    <cellStyle name="Note 2 2 2 2 3" xfId="14388" xr:uid="{66A9F4DE-5D5B-4577-93B1-39307A401D6D}"/>
    <cellStyle name="Note 2 2 2 2 3 2" xfId="29826" xr:uid="{7F4487F3-146B-4C95-BF36-E8EE1CFCE475}"/>
    <cellStyle name="Note 2 2 2 2 4" xfId="14389" xr:uid="{DB62783A-C82B-4AC1-B686-F254B0293271}"/>
    <cellStyle name="Note 2 2 2 2 4 2" xfId="29827" xr:uid="{808F72E3-EF34-4F26-8F96-F7877378BDE8}"/>
    <cellStyle name="Note 2 2 2 2 5" xfId="14390" xr:uid="{20EA942E-FFF5-4B49-ACE7-FC42E1273AC2}"/>
    <cellStyle name="Note 2 2 2 2 5 2" xfId="29828" xr:uid="{4BB4178F-37F1-45C4-898A-7B8DBC0B52F8}"/>
    <cellStyle name="Note 2 2 2 2 6" xfId="14391" xr:uid="{E015F1AD-7750-4F63-8DC1-4D7AD5740F41}"/>
    <cellStyle name="Note 2 2 2 2 6 2" xfId="29829" xr:uid="{F57876E1-B1FD-4C6D-8164-1F60D0152371}"/>
    <cellStyle name="Note 2 2 2 2 7" xfId="14392" xr:uid="{8DFAC578-95A3-4818-A6D5-9849CFF0E3EA}"/>
    <cellStyle name="Note 2 2 2 2 7 2" xfId="29830" xr:uid="{909B0527-940D-41C9-A9A6-DA69336CD637}"/>
    <cellStyle name="Note 2 2 2 2 8" xfId="14393" xr:uid="{173F8CD8-33E9-4E49-9AC8-7FB9A515F4DB}"/>
    <cellStyle name="Note 2 2 2 2 8 2" xfId="29831" xr:uid="{21121060-6F22-4BA4-BA97-84F73E530EFF}"/>
    <cellStyle name="Note 2 2 2 2 9" xfId="14394" xr:uid="{CD13EEB1-FC1D-45E3-9C96-8357E5179DEC}"/>
    <cellStyle name="Note 2 2 2 2 9 2" xfId="29832" xr:uid="{A7230323-4EE8-4656-A735-E4B052E2F453}"/>
    <cellStyle name="Note 2 2 2 20" xfId="29789" xr:uid="{81BF7BFC-805C-4091-B483-4A3A6E7D8FDF}"/>
    <cellStyle name="Note 2 2 2 3" xfId="14395" xr:uid="{6A95807B-7143-4BA1-B4AD-9284D19DE7B7}"/>
    <cellStyle name="Note 2 2 2 3 10" xfId="14396" xr:uid="{704E2B9D-0C25-40B2-9E13-F8DE901680EB}"/>
    <cellStyle name="Note 2 2 2 3 10 2" xfId="29834" xr:uid="{6CAAE539-C849-423D-8C22-9FEA892BB701}"/>
    <cellStyle name="Note 2 2 2 3 11" xfId="14397" xr:uid="{6E3DE33E-3FB0-4E7E-899B-6F87AE6301A9}"/>
    <cellStyle name="Note 2 2 2 3 11 2" xfId="29836" xr:uid="{E5F7F2D2-E990-4E75-A1F8-7F9202FFCC7A}"/>
    <cellStyle name="Note 2 2 2 3 12" xfId="14398" xr:uid="{AF2378CF-809E-46E5-AF8D-80D8D7E4FF47}"/>
    <cellStyle name="Note 2 2 2 3 12 2" xfId="29837" xr:uid="{E1924220-000D-430C-8243-CD9F37666E49}"/>
    <cellStyle name="Note 2 2 2 3 13" xfId="14399" xr:uid="{040A5FC4-1C81-4AC3-B4D2-5F649067A828}"/>
    <cellStyle name="Note 2 2 2 3 13 2" xfId="29838" xr:uid="{BA63AB9E-88AC-4869-902D-8EB7F48E536D}"/>
    <cellStyle name="Note 2 2 2 3 14" xfId="14400" xr:uid="{F11A04AD-5D1A-4775-9152-DA2EE970C849}"/>
    <cellStyle name="Note 2 2 2 3 14 2" xfId="29839" xr:uid="{08D2D5E2-2111-43C8-B666-86B60F4AFB65}"/>
    <cellStyle name="Note 2 2 2 3 15" xfId="14401" xr:uid="{825CBAD1-DF98-4C28-9179-A5C468028D8F}"/>
    <cellStyle name="Note 2 2 2 3 15 2" xfId="29840" xr:uid="{36E6D085-90F6-4274-901B-31720E2A8529}"/>
    <cellStyle name="Note 2 2 2 3 16" xfId="29833" xr:uid="{665C2583-9A6F-4111-A92C-0F0B7CAA6FF5}"/>
    <cellStyle name="Note 2 2 2 3 2" xfId="14402" xr:uid="{82D45EDB-5B46-438A-AC55-4E1733F1E4B7}"/>
    <cellStyle name="Note 2 2 2 3 2 2" xfId="29841" xr:uid="{B8300C10-202A-4DDC-819D-38C2D25384D2}"/>
    <cellStyle name="Note 2 2 2 3 3" xfId="14403" xr:uid="{6B57BD81-CB1A-4EFA-A1D9-CF748304F1E1}"/>
    <cellStyle name="Note 2 2 2 3 3 2" xfId="29842" xr:uid="{7CC4772D-D416-40E4-A141-6414E1C78745}"/>
    <cellStyle name="Note 2 2 2 3 4" xfId="14404" xr:uid="{F92C6509-34BF-4576-B583-EB66429528B3}"/>
    <cellStyle name="Note 2 2 2 3 4 2" xfId="29850" xr:uid="{7718D305-E5D1-4254-BE21-99DC41258962}"/>
    <cellStyle name="Note 2 2 2 3 5" xfId="14405" xr:uid="{1E27EA89-39E3-45E9-AECC-B730E28FD26D}"/>
    <cellStyle name="Note 2 2 2 3 5 2" xfId="29843" xr:uid="{26EB32D2-BA66-46E3-8EFE-67130B4D86C0}"/>
    <cellStyle name="Note 2 2 2 3 6" xfId="14406" xr:uid="{89580EC6-20EB-490A-80A6-92FBC0441572}"/>
    <cellStyle name="Note 2 2 2 3 6 2" xfId="29844" xr:uid="{D985C291-E0D8-4124-B60E-A4CE91AA6132}"/>
    <cellStyle name="Note 2 2 2 3 7" xfId="14407" xr:uid="{0DCCB0FD-81DC-4555-849D-9F748AF67E56}"/>
    <cellStyle name="Note 2 2 2 3 7 2" xfId="29845" xr:uid="{9CD49164-0CB9-4E2C-815C-77FEC9BC8ECC}"/>
    <cellStyle name="Note 2 2 2 3 8" xfId="14408" xr:uid="{9D5EB7F6-4891-4CBE-90E3-A92B49180F11}"/>
    <cellStyle name="Note 2 2 2 3 8 2" xfId="29846" xr:uid="{57C86607-11A0-48AB-A940-5F7146EFC5D0}"/>
    <cellStyle name="Note 2 2 2 3 9" xfId="14409" xr:uid="{0ED0A57C-AACF-49A8-B59F-ACD28F35F400}"/>
    <cellStyle name="Note 2 2 2 3 9 2" xfId="29847" xr:uid="{1DBE3FCF-3294-416E-BF6E-6AB078BD3743}"/>
    <cellStyle name="Note 2 2 2 4" xfId="14410" xr:uid="{892D3F25-1E1F-4EB6-B557-D272C7666D5C}"/>
    <cellStyle name="Note 2 2 2 4 2" xfId="29848" xr:uid="{F4B0463A-7113-4DE6-A516-73D3BF65B999}"/>
    <cellStyle name="Note 2 2 2 5" xfId="14411" xr:uid="{880E3B1B-2D3D-41A2-8C5E-B230317DF3DB}"/>
    <cellStyle name="Note 2 2 2 5 2" xfId="29849" xr:uid="{4AECF2CC-F358-4B34-B8BD-10A4048BD6F0}"/>
    <cellStyle name="Note 2 2 2 6" xfId="14412" xr:uid="{F66A7B9A-30FC-4AFD-A915-5333C9B42098}"/>
    <cellStyle name="Note 2 2 2 6 2" xfId="29851" xr:uid="{3227B3E6-E592-47A7-B462-676318422530}"/>
    <cellStyle name="Note 2 2 2 7" xfId="14413" xr:uid="{44F392F6-748C-4A4A-A29A-2165DE20BF17}"/>
    <cellStyle name="Note 2 2 2 7 2" xfId="27443" xr:uid="{664EAF78-F6D3-43A0-B05D-1E527666766F}"/>
    <cellStyle name="Note 2 2 2 8" xfId="14414" xr:uid="{EE868F09-7DB7-480D-848C-3CF788DC626C}"/>
    <cellStyle name="Note 2 2 2 8 2" xfId="29852" xr:uid="{B44DCDA3-7603-463D-A04A-66A9458ED680}"/>
    <cellStyle name="Note 2 2 2 9" xfId="14415" xr:uid="{28D8B9E3-7C32-4283-84C7-09B5D4D465DA}"/>
    <cellStyle name="Note 2 2 2 9 2" xfId="29853" xr:uid="{96699838-FF30-45C3-A22C-562D8CE39271}"/>
    <cellStyle name="Note 2 2 20" xfId="14416" xr:uid="{07856E93-9C33-4283-B0E5-1E71CF2C7FEA}"/>
    <cellStyle name="Note 2 2 20 2" xfId="29854" xr:uid="{7C6ABE9B-9D75-4FAD-AE9A-79559439F87F}"/>
    <cellStyle name="Note 2 2 21" xfId="14417" xr:uid="{8C089961-2A21-4BE5-BE81-0644E02664E8}"/>
    <cellStyle name="Note 2 2 21 2" xfId="29855" xr:uid="{7768ED33-8F94-4BCA-BB9C-C76C6C0F1E51}"/>
    <cellStyle name="Note 2 2 22" xfId="29779" xr:uid="{EDD488C8-0E17-4FFC-A3F1-9F3D4FDEF6F4}"/>
    <cellStyle name="Note 2 2 3" xfId="14418" xr:uid="{DC964FA6-2F7E-4673-861B-A618BAC0FA93}"/>
    <cellStyle name="Note 2 2 3 10" xfId="14419" xr:uid="{30B83775-C682-4228-B454-7F1E9F4C00A9}"/>
    <cellStyle name="Note 2 2 3 10 2" xfId="29857" xr:uid="{AB4805AD-3312-4DE4-8FAE-7253116ABBF1}"/>
    <cellStyle name="Note 2 2 3 11" xfId="14420" xr:uid="{BD128A79-7951-440F-8E31-4A496EBE5FD4}"/>
    <cellStyle name="Note 2 2 3 11 2" xfId="29858" xr:uid="{86D91F05-C9B5-44AF-9531-D665DB9561C9}"/>
    <cellStyle name="Note 2 2 3 12" xfId="14421" xr:uid="{B65F9582-2712-408E-9408-FB1A79367CCE}"/>
    <cellStyle name="Note 2 2 3 12 2" xfId="29859" xr:uid="{7C5C7752-56EC-4DE6-B423-85825FBFF2E7}"/>
    <cellStyle name="Note 2 2 3 13" xfId="14422" xr:uid="{892F60AD-8384-460A-8114-FE66EA8BE4C5}"/>
    <cellStyle name="Note 2 2 3 13 2" xfId="29860" xr:uid="{57FC7105-88B8-4A00-9DAC-909EE19BFABB}"/>
    <cellStyle name="Note 2 2 3 14" xfId="14423" xr:uid="{FB67FC69-D0FA-4F2A-9533-C99026A9F2AD}"/>
    <cellStyle name="Note 2 2 3 14 2" xfId="29861" xr:uid="{C0114DE7-8586-4056-A825-638B8F1B1EEA}"/>
    <cellStyle name="Note 2 2 3 15" xfId="14424" xr:uid="{4B58FF00-6249-4DDB-A205-575B96166DB4}"/>
    <cellStyle name="Note 2 2 3 15 2" xfId="29862" xr:uid="{90A9848B-049C-4D96-ADE5-EF0E42ED4CCF}"/>
    <cellStyle name="Note 2 2 3 16" xfId="14425" xr:uid="{12D2FCE6-10E4-41BC-82E0-348E33C54DDD}"/>
    <cellStyle name="Note 2 2 3 16 2" xfId="29863" xr:uid="{C9E5A47B-CD79-493D-A583-6F4D751076C0}"/>
    <cellStyle name="Note 2 2 3 17" xfId="14426" xr:uid="{5DD6B3AA-A66B-47B8-B792-C2A21211F8B2}"/>
    <cellStyle name="Note 2 2 3 17 2" xfId="29864" xr:uid="{2EB12B88-1721-4C58-8468-3BB0C3DAB143}"/>
    <cellStyle name="Note 2 2 3 18" xfId="14427" xr:uid="{AA75DEE1-3A38-4ABD-9039-08F5A2F6C45C}"/>
    <cellStyle name="Note 2 2 3 18 2" xfId="29865" xr:uid="{F2FF14E7-91AA-4654-B75B-2AA873524CF7}"/>
    <cellStyle name="Note 2 2 3 19" xfId="29856" xr:uid="{B2C285C1-D1B1-4917-A926-01A307E340D9}"/>
    <cellStyle name="Note 2 2 3 2" xfId="14428" xr:uid="{57C823AD-CDE6-43C8-8971-3F25767336EE}"/>
    <cellStyle name="Note 2 2 3 2 10" xfId="14429" xr:uid="{CD4230C2-86BD-4FDE-9E84-1E5CC6BB49EB}"/>
    <cellStyle name="Note 2 2 3 2 10 2" xfId="29867" xr:uid="{398BFE2A-AA91-4B20-9535-87B848E3DD5C}"/>
    <cellStyle name="Note 2 2 3 2 11" xfId="14430" xr:uid="{FF6CE409-C711-4F66-BED7-8565035BD7B5}"/>
    <cellStyle name="Note 2 2 3 2 11 2" xfId="29868" xr:uid="{4934DD67-7C4C-4822-A6E2-BA73E8655F41}"/>
    <cellStyle name="Note 2 2 3 2 12" xfId="14431" xr:uid="{7ED8A20E-30D3-434F-9ED2-D912919F6C46}"/>
    <cellStyle name="Note 2 2 3 2 12 2" xfId="29869" xr:uid="{52111297-95E5-401B-8F25-6E4B6DFE6097}"/>
    <cellStyle name="Note 2 2 3 2 13" xfId="14432" xr:uid="{9E56A110-0F6B-42F5-8156-EC0B634323D5}"/>
    <cellStyle name="Note 2 2 3 2 13 2" xfId="29870" xr:uid="{4AC1C200-F8C7-4FF4-9E8E-1A1EC16904E1}"/>
    <cellStyle name="Note 2 2 3 2 14" xfId="14433" xr:uid="{6B3FC671-F718-426A-AF23-125797A7379F}"/>
    <cellStyle name="Note 2 2 3 2 14 2" xfId="29871" xr:uid="{A9D579BC-DF7A-48E8-9388-F5AF00F16B2B}"/>
    <cellStyle name="Note 2 2 3 2 15" xfId="14434" xr:uid="{06C2C594-D43A-45E1-8D40-810178B96973}"/>
    <cellStyle name="Note 2 2 3 2 15 2" xfId="29872" xr:uid="{6FAC9D6A-02F3-4014-A3A3-7762C2F20F61}"/>
    <cellStyle name="Note 2 2 3 2 16" xfId="29866" xr:uid="{1AE99FDE-3D42-4E40-A03A-924628A5F273}"/>
    <cellStyle name="Note 2 2 3 2 2" xfId="14435" xr:uid="{D65C5739-FA67-4521-973B-6368D1FC11C8}"/>
    <cellStyle name="Note 2 2 3 2 2 2" xfId="29873" xr:uid="{2F5A7469-2005-43B4-9C5B-01D80992176E}"/>
    <cellStyle name="Note 2 2 3 2 3" xfId="14436" xr:uid="{2C370835-3577-41A3-9219-BC75ABD44E7B}"/>
    <cellStyle name="Note 2 2 3 2 3 2" xfId="29874" xr:uid="{3E5D438F-D6C8-4829-A75A-D4504E09BD1A}"/>
    <cellStyle name="Note 2 2 3 2 4" xfId="14437" xr:uid="{3705DE55-6B4D-4D18-9F59-5ACA2F893982}"/>
    <cellStyle name="Note 2 2 3 2 4 2" xfId="29875" xr:uid="{ADD3211C-93BA-497B-B6AC-DD7A4876183B}"/>
    <cellStyle name="Note 2 2 3 2 5" xfId="14438" xr:uid="{2AF9D67B-AC90-4B85-B2CF-A54913DC5C15}"/>
    <cellStyle name="Note 2 2 3 2 5 2" xfId="29876" xr:uid="{AE26ADA8-334C-42A5-B34B-A09B8C037B73}"/>
    <cellStyle name="Note 2 2 3 2 6" xfId="14439" xr:uid="{756D1E2E-0EE3-4B82-BEB7-50632571BB79}"/>
    <cellStyle name="Note 2 2 3 2 6 2" xfId="29877" xr:uid="{D5A310C3-2960-48EE-893E-200FC128C656}"/>
    <cellStyle name="Note 2 2 3 2 7" xfId="14440" xr:uid="{49A7CEE4-63C9-4AB9-8560-319AF74810CB}"/>
    <cellStyle name="Note 2 2 3 2 7 2" xfId="29878" xr:uid="{4FC9308D-9B3B-4165-ABF8-86950DFEEE7A}"/>
    <cellStyle name="Note 2 2 3 2 8" xfId="14441" xr:uid="{61069FB4-901C-4CE9-9B05-5FCD2BCBCAF5}"/>
    <cellStyle name="Note 2 2 3 2 8 2" xfId="29879" xr:uid="{62E5E803-8523-4073-A2EB-706120961253}"/>
    <cellStyle name="Note 2 2 3 2 9" xfId="14442" xr:uid="{7B3BAB73-03B4-4A2E-837A-283A43A1E858}"/>
    <cellStyle name="Note 2 2 3 2 9 2" xfId="29880" xr:uid="{37A3A395-07DA-4204-AA68-BB478049802F}"/>
    <cellStyle name="Note 2 2 3 3" xfId="14443" xr:uid="{DF8FB5A4-B2F1-49D4-8D22-CFB07241D71D}"/>
    <cellStyle name="Note 2 2 3 3 2" xfId="29881" xr:uid="{46783074-0528-424C-9E77-2350155D3886}"/>
    <cellStyle name="Note 2 2 3 4" xfId="14444" xr:uid="{6A300BCF-AC1A-44AE-897E-8C42E20064DB}"/>
    <cellStyle name="Note 2 2 3 4 2" xfId="29882" xr:uid="{9B19E25A-9C0E-4573-95AE-04F78EF3E253}"/>
    <cellStyle name="Note 2 2 3 5" xfId="14445" xr:uid="{F30A473A-BB7E-4486-8A5F-02EDC852EA8F}"/>
    <cellStyle name="Note 2 2 3 5 2" xfId="29883" xr:uid="{920DA502-254A-4DFD-B102-5285E3F994BC}"/>
    <cellStyle name="Note 2 2 3 6" xfId="14446" xr:uid="{291E3B4C-6B2B-4919-8BE3-E7572E8C4B09}"/>
    <cellStyle name="Note 2 2 3 6 2" xfId="29884" xr:uid="{ACDA97C9-35C3-4FF2-B336-1A8404D844F7}"/>
    <cellStyle name="Note 2 2 3 7" xfId="14447" xr:uid="{3AA1608F-0B08-4A48-9603-BFABBB466132}"/>
    <cellStyle name="Note 2 2 3 7 2" xfId="29885" xr:uid="{946BBB70-68C8-4EBC-A10A-ABDD8E9D7AEE}"/>
    <cellStyle name="Note 2 2 3 8" xfId="14448" xr:uid="{D2684768-A036-4674-AE0E-14D9F81DDF8D}"/>
    <cellStyle name="Note 2 2 3 8 2" xfId="29886" xr:uid="{404966B7-3CD3-4723-B00A-76AC161D64D6}"/>
    <cellStyle name="Note 2 2 3 9" xfId="14449" xr:uid="{A7BDA176-1347-4E6D-A26E-5D9D1F03208E}"/>
    <cellStyle name="Note 2 2 3 9 2" xfId="29887" xr:uid="{51224CCF-648F-4B1E-8AFE-5B693F5FFA18}"/>
    <cellStyle name="Note 2 2 4" xfId="14450" xr:uid="{F11C9C0E-7317-4A0C-B27C-BDBA8CA82A6A}"/>
    <cellStyle name="Note 2 2 4 10" xfId="14451" xr:uid="{CD9B4D94-53D6-48BC-87D0-BBA5C93796D5}"/>
    <cellStyle name="Note 2 2 4 10 2" xfId="29889" xr:uid="{50CECCB9-7679-4AD8-A96D-7307B7487F6D}"/>
    <cellStyle name="Note 2 2 4 11" xfId="14452" xr:uid="{62F705F3-629A-4D8C-91A7-1ABFDAA20C69}"/>
    <cellStyle name="Note 2 2 4 11 2" xfId="29890" xr:uid="{0AD7B9A0-77E3-4D6A-8D39-5D00BB156785}"/>
    <cellStyle name="Note 2 2 4 12" xfId="14453" xr:uid="{D86F274C-431D-4503-B74D-70B209B52702}"/>
    <cellStyle name="Note 2 2 4 12 2" xfId="29891" xr:uid="{A6BFB531-63D9-42A3-8624-B189437C2C5A}"/>
    <cellStyle name="Note 2 2 4 13" xfId="14454" xr:uid="{61415213-D020-4AE2-8E0C-C39020648E1F}"/>
    <cellStyle name="Note 2 2 4 13 2" xfId="29892" xr:uid="{49783095-D186-44E3-AF8B-009C852D4E59}"/>
    <cellStyle name="Note 2 2 4 14" xfId="14455" xr:uid="{2EF87A6E-385E-4FE4-84DA-D18EBF66F62F}"/>
    <cellStyle name="Note 2 2 4 14 2" xfId="29893" xr:uid="{ED57D849-74B4-4068-9B8E-12B7692E8073}"/>
    <cellStyle name="Note 2 2 4 15" xfId="14456" xr:uid="{F11404F7-5167-44A0-9721-0A2153F4F4B0}"/>
    <cellStyle name="Note 2 2 4 15 2" xfId="29894" xr:uid="{F356FF28-23EF-4A65-8ECF-D8C17919B385}"/>
    <cellStyle name="Note 2 2 4 16" xfId="14457" xr:uid="{23056B11-1BED-4651-BC82-9537C7A7C083}"/>
    <cellStyle name="Note 2 2 4 16 2" xfId="29895" xr:uid="{855E0887-5BD9-4791-8A5B-813AD581349C}"/>
    <cellStyle name="Note 2 2 4 17" xfId="14458" xr:uid="{F418F913-7CBD-411D-A338-34A50899DE76}"/>
    <cellStyle name="Note 2 2 4 17 2" xfId="29896" xr:uid="{D8EC4137-A46A-4F76-AB90-95AD64FB9AA2}"/>
    <cellStyle name="Note 2 2 4 18" xfId="14459" xr:uid="{C28B4372-6AE2-41D8-BB32-AB117366C973}"/>
    <cellStyle name="Note 2 2 4 18 2" xfId="29897" xr:uid="{58470F99-22C3-4C9E-915D-11DE9D62F020}"/>
    <cellStyle name="Note 2 2 4 19" xfId="29888" xr:uid="{E53FAF6E-0DAC-4C69-864D-92B9AFED8C90}"/>
    <cellStyle name="Note 2 2 4 2" xfId="14460" xr:uid="{4F09774C-EC5C-4B4D-A7E5-FD06220466EF}"/>
    <cellStyle name="Note 2 2 4 2 10" xfId="14461" xr:uid="{255AF292-1EC6-4F29-BDD4-07BBF4CBE4EF}"/>
    <cellStyle name="Note 2 2 4 2 10 2" xfId="29899" xr:uid="{1266C27D-183C-4E44-9740-56538387EB5B}"/>
    <cellStyle name="Note 2 2 4 2 11" xfId="14462" xr:uid="{99C2947E-BDE7-492F-A3CE-77118897D7AB}"/>
    <cellStyle name="Note 2 2 4 2 11 2" xfId="29900" xr:uid="{61CAB4AD-EF49-4B2E-A969-CCCE9B898CA8}"/>
    <cellStyle name="Note 2 2 4 2 12" xfId="14463" xr:uid="{EA38BD58-3EA1-4F4B-8B62-2FC2B0B2AE4F}"/>
    <cellStyle name="Note 2 2 4 2 12 2" xfId="29901" xr:uid="{1F315E23-C8D1-4691-B914-71EB99049BF1}"/>
    <cellStyle name="Note 2 2 4 2 13" xfId="14464" xr:uid="{C2949014-5DC4-4A36-9FDC-2C29B6F2D4D9}"/>
    <cellStyle name="Note 2 2 4 2 13 2" xfId="29902" xr:uid="{5E510A5F-8B6A-409A-AAC9-886E9B8625D5}"/>
    <cellStyle name="Note 2 2 4 2 14" xfId="14465" xr:uid="{00F666B8-EE80-49AE-97A4-6CC61A4C4290}"/>
    <cellStyle name="Note 2 2 4 2 14 2" xfId="29903" xr:uid="{7E523C59-D636-417E-99C3-797704B079C7}"/>
    <cellStyle name="Note 2 2 4 2 15" xfId="14466" xr:uid="{BA7B1353-77EE-4565-AE11-0F181AA704E6}"/>
    <cellStyle name="Note 2 2 4 2 15 2" xfId="29904" xr:uid="{ABDE847A-32F2-4D74-9243-5009894A2802}"/>
    <cellStyle name="Note 2 2 4 2 16" xfId="29898" xr:uid="{6B0E623A-0232-4303-AD13-C22D8A18D7EB}"/>
    <cellStyle name="Note 2 2 4 2 2" xfId="14467" xr:uid="{4400EC59-289E-4B1C-9F93-A2795F023F20}"/>
    <cellStyle name="Note 2 2 4 2 2 2" xfId="29905" xr:uid="{3253AA19-CC0D-472B-BE9B-49A5694DBE85}"/>
    <cellStyle name="Note 2 2 4 2 3" xfId="14468" xr:uid="{F38141D7-AF3E-48FF-805F-1F01591207F4}"/>
    <cellStyle name="Note 2 2 4 2 3 2" xfId="29906" xr:uid="{20545921-8604-4F9A-B984-F61387EDFEC5}"/>
    <cellStyle name="Note 2 2 4 2 4" xfId="14469" xr:uid="{F941A69E-C858-4244-AF93-591C92B5DE3C}"/>
    <cellStyle name="Note 2 2 4 2 4 2" xfId="29907" xr:uid="{33288781-A936-4655-8BEC-8D2118AEADAB}"/>
    <cellStyle name="Note 2 2 4 2 5" xfId="14470" xr:uid="{B103236F-4F9F-418D-8272-FC96D84C23C5}"/>
    <cellStyle name="Note 2 2 4 2 5 2" xfId="29908" xr:uid="{968E370E-4F4E-4B8F-B294-810D529F0966}"/>
    <cellStyle name="Note 2 2 4 2 6" xfId="14471" xr:uid="{5139C4B9-796C-4E21-9FBD-86EDF9319A18}"/>
    <cellStyle name="Note 2 2 4 2 6 2" xfId="29909" xr:uid="{A0CDAA8F-0525-491B-BBDD-7E1029EA0733}"/>
    <cellStyle name="Note 2 2 4 2 7" xfId="14472" xr:uid="{F6577B83-3E9B-4A92-B8C2-176DFDBC6801}"/>
    <cellStyle name="Note 2 2 4 2 7 2" xfId="29910" xr:uid="{1E1358D6-341E-4B54-9101-09041C26142E}"/>
    <cellStyle name="Note 2 2 4 2 8" xfId="14473" xr:uid="{D2799E54-8887-42C1-98EC-0187B56B4245}"/>
    <cellStyle name="Note 2 2 4 2 8 2" xfId="29911" xr:uid="{9B5C1CF6-1DA6-411E-9871-CF724A40DDB2}"/>
    <cellStyle name="Note 2 2 4 2 9" xfId="14474" xr:uid="{CD65FC7E-9146-450B-A6B9-0A49DE239FCE}"/>
    <cellStyle name="Note 2 2 4 2 9 2" xfId="29912" xr:uid="{D3FB51CF-87A0-4D65-82FE-42837F0D6E17}"/>
    <cellStyle name="Note 2 2 4 3" xfId="14475" xr:uid="{D05FB796-9BC9-46AB-9063-18BC9061FAB7}"/>
    <cellStyle name="Note 2 2 4 3 2" xfId="29913" xr:uid="{DD368832-0EB0-417C-A29D-545BCE41C967}"/>
    <cellStyle name="Note 2 2 4 4" xfId="14476" xr:uid="{CCAFB0DB-C369-42CC-B48B-323F9C87B11F}"/>
    <cellStyle name="Note 2 2 4 4 2" xfId="29914" xr:uid="{BD0CBAD2-27B5-4A03-A1A2-D0E4D5F2CA61}"/>
    <cellStyle name="Note 2 2 4 5" xfId="14477" xr:uid="{726FD7BF-47B0-4E41-9FC1-A08DF001F64F}"/>
    <cellStyle name="Note 2 2 4 5 2" xfId="29915" xr:uid="{3CD7EFDC-C31B-4376-9914-E452ACC4FE45}"/>
    <cellStyle name="Note 2 2 4 6" xfId="14478" xr:uid="{DD48BE80-0B9F-487D-B120-E498EDD26362}"/>
    <cellStyle name="Note 2 2 4 6 2" xfId="29916" xr:uid="{F99D2808-CB61-437B-855C-B72558B1292F}"/>
    <cellStyle name="Note 2 2 4 7" xfId="14479" xr:uid="{E12E4FDC-EFFD-491F-B23D-0525041EF19A}"/>
    <cellStyle name="Note 2 2 4 7 2" xfId="29917" xr:uid="{EE9C6DD4-C323-4AA5-801C-FEB5ABDC91F8}"/>
    <cellStyle name="Note 2 2 4 8" xfId="14480" xr:uid="{AD29119E-B679-4181-889E-F580C035BA09}"/>
    <cellStyle name="Note 2 2 4 8 2" xfId="29918" xr:uid="{AC8E16F0-369B-412F-945A-2BD38E7B89B8}"/>
    <cellStyle name="Note 2 2 4 9" xfId="14481" xr:uid="{442D4A54-9AE3-427A-BACD-4D746BF0E7C8}"/>
    <cellStyle name="Note 2 2 4 9 2" xfId="29919" xr:uid="{18FF79FF-F8F2-4C0A-8E7C-00FE8CEEE1A8}"/>
    <cellStyle name="Note 2 2 5" xfId="14482" xr:uid="{FDCF9E3E-A9B3-4875-8E0C-22A5CB9C7670}"/>
    <cellStyle name="Note 2 2 5 10" xfId="14483" xr:uid="{A1633EE5-0E37-4911-B887-8031A75D72D7}"/>
    <cellStyle name="Note 2 2 5 10 2" xfId="29921" xr:uid="{AE0BE8A3-6852-49AC-A799-96050E9F0927}"/>
    <cellStyle name="Note 2 2 5 11" xfId="14484" xr:uid="{BBA0A309-5722-454B-8C55-6687B24F370C}"/>
    <cellStyle name="Note 2 2 5 11 2" xfId="29922" xr:uid="{50C9425E-64EC-4D62-AA4A-4370FFE4F753}"/>
    <cellStyle name="Note 2 2 5 12" xfId="14485" xr:uid="{38CD2864-1FF1-4C57-AE7F-6C83FC3CF85A}"/>
    <cellStyle name="Note 2 2 5 12 2" xfId="29923" xr:uid="{913F3B42-46BA-44B0-B157-AC1EF9A96DB6}"/>
    <cellStyle name="Note 2 2 5 13" xfId="14486" xr:uid="{51400F69-2573-4EC8-916B-A2F788CF38DC}"/>
    <cellStyle name="Note 2 2 5 13 2" xfId="29924" xr:uid="{D0C0C93E-D2B4-4539-BFB0-908627BA6BD0}"/>
    <cellStyle name="Note 2 2 5 14" xfId="14487" xr:uid="{4116B1DE-B0B0-4D3F-8A04-91C63AF33D2A}"/>
    <cellStyle name="Note 2 2 5 14 2" xfId="29925" xr:uid="{4465C747-D334-43A5-9BE3-9AA7539EB4A5}"/>
    <cellStyle name="Note 2 2 5 15" xfId="14488" xr:uid="{13A6428F-2DCA-4BF3-998C-121D1AC25A15}"/>
    <cellStyle name="Note 2 2 5 15 2" xfId="29926" xr:uid="{D99CEDEA-DDA1-4CC7-B770-85C91D05FC34}"/>
    <cellStyle name="Note 2 2 5 16" xfId="29920" xr:uid="{A6DD200C-C032-4601-BAD5-725FDD73CB09}"/>
    <cellStyle name="Note 2 2 5 2" xfId="14489" xr:uid="{5DD18BE5-F9DD-48D7-8BEA-E461B6465EFC}"/>
    <cellStyle name="Note 2 2 5 2 2" xfId="29927" xr:uid="{27A4DE8C-710E-4909-96E8-803A8793CD52}"/>
    <cellStyle name="Note 2 2 5 3" xfId="14490" xr:uid="{4F052607-894A-4835-BC64-C0D96A3FE58F}"/>
    <cellStyle name="Note 2 2 5 3 2" xfId="29928" xr:uid="{18ADD385-3285-48D3-9106-5B0E58659DAD}"/>
    <cellStyle name="Note 2 2 5 4" xfId="14491" xr:uid="{1099C2B3-C49F-4CE1-96AF-FE9DC7DA2DAB}"/>
    <cellStyle name="Note 2 2 5 4 2" xfId="29929" xr:uid="{9B7E123F-C687-40F1-9E9C-A09F0D9175A9}"/>
    <cellStyle name="Note 2 2 5 5" xfId="14492" xr:uid="{E380E4A3-FE5E-4DCD-8D85-374DD265270B}"/>
    <cellStyle name="Note 2 2 5 5 2" xfId="29930" xr:uid="{6768F557-5491-4664-97D6-2223D62FC624}"/>
    <cellStyle name="Note 2 2 5 6" xfId="14493" xr:uid="{5AD51A96-EAC7-4ADB-AEDE-057EAFBED95C}"/>
    <cellStyle name="Note 2 2 5 6 2" xfId="29931" xr:uid="{74893894-7EA9-40C6-9860-F1ACC0710975}"/>
    <cellStyle name="Note 2 2 5 7" xfId="14494" xr:uid="{0757D5AC-E8DB-498A-A5E4-E5FA3E566A5A}"/>
    <cellStyle name="Note 2 2 5 7 2" xfId="29932" xr:uid="{3EF2972B-CA86-44FC-A7F2-FD9178300EC6}"/>
    <cellStyle name="Note 2 2 5 8" xfId="14495" xr:uid="{CE570593-1EDB-424B-A3F3-5A1AED2AE7FF}"/>
    <cellStyle name="Note 2 2 5 8 2" xfId="29933" xr:uid="{6D3611DB-265B-4548-A403-F68705E0AAB1}"/>
    <cellStyle name="Note 2 2 5 9" xfId="14496" xr:uid="{7CAEB955-8DAF-4BE4-9871-61D25511ECB6}"/>
    <cellStyle name="Note 2 2 5 9 2" xfId="29934" xr:uid="{B3712443-9B0F-4867-8B1A-B7ACE58ABBE2}"/>
    <cellStyle name="Note 2 2 6" xfId="14497" xr:uid="{5037D784-86A7-4600-AFA4-297A3F362BEB}"/>
    <cellStyle name="Note 2 2 6 2" xfId="29935" xr:uid="{770E081C-975E-4829-8BA5-CF0C534255CE}"/>
    <cellStyle name="Note 2 2 7" xfId="14498" xr:uid="{56EE8558-60FA-4B8F-B6D9-6E7D1F25E148}"/>
    <cellStyle name="Note 2 2 7 2" xfId="29936" xr:uid="{3CAB5F57-BEB1-43BE-9598-B67CB6677840}"/>
    <cellStyle name="Note 2 2 8" xfId="14499" xr:uid="{D9E604AD-FAB9-471B-AFD5-ADDBF9AEA335}"/>
    <cellStyle name="Note 2 2 8 2" xfId="29937" xr:uid="{7CB54B18-3D24-4B23-82A8-17CF716E3636}"/>
    <cellStyle name="Note 2 2 9" xfId="14500" xr:uid="{5B0333A3-C716-40A6-8EDD-5CE221AAD7C5}"/>
    <cellStyle name="Note 2 2 9 2" xfId="29938" xr:uid="{B53B85A9-4DDA-4081-B823-A90FA790D00F}"/>
    <cellStyle name="Note 2 20" xfId="14501" xr:uid="{030EDFE7-74C7-4500-BEE0-9D3F994AB1E6}"/>
    <cellStyle name="Note 2 20 2" xfId="29939" xr:uid="{953C24D7-F423-4AD4-9B9C-523E569458C1}"/>
    <cellStyle name="Note 2 21" xfId="14502" xr:uid="{1290C74E-122F-467F-AC5C-98CFA004AF6A}"/>
    <cellStyle name="Note 2 21 2" xfId="29940" xr:uid="{DD47CC78-E21E-4C46-BDEC-E3E062BBA60E}"/>
    <cellStyle name="Note 2 22" xfId="14503" xr:uid="{13CCC66D-2416-4CA5-A937-A300651B6BE5}"/>
    <cellStyle name="Note 2 22 2" xfId="29941" xr:uid="{F7B2B6A9-920F-495C-B746-8B823C58E69E}"/>
    <cellStyle name="Note 2 23" xfId="14504" xr:uid="{4ABEC41F-8077-4B98-B621-C1577F0311F5}"/>
    <cellStyle name="Note 2 23 2" xfId="29942" xr:uid="{83E53AD3-5151-43EE-8BDA-35BE2E137248}"/>
    <cellStyle name="Note 2 24" xfId="29768" xr:uid="{A76BADDC-616D-420F-BDB6-386F6FBE8DDE}"/>
    <cellStyle name="Note 2 3" xfId="14505" xr:uid="{CDF2BB99-E160-4B5B-A826-F63E5DA78129}"/>
    <cellStyle name="Note 2 3 10" xfId="14506" xr:uid="{569B05F9-693A-4479-BA91-613D76CC4643}"/>
    <cellStyle name="Note 2 3 10 2" xfId="29944" xr:uid="{BD6C9246-6A2B-47E9-AB88-D409878E3553}"/>
    <cellStyle name="Note 2 3 11" xfId="14507" xr:uid="{9D9F3241-660B-4749-85E6-C1C78545DC45}"/>
    <cellStyle name="Note 2 3 11 2" xfId="29945" xr:uid="{D71827C5-BC8F-4074-A2F3-4128D794191B}"/>
    <cellStyle name="Note 2 3 12" xfId="14508" xr:uid="{4D056DE9-68D7-4C95-A781-203D5EC9202A}"/>
    <cellStyle name="Note 2 3 12 2" xfId="29946" xr:uid="{472D3394-5E63-46BD-9136-5C2EA6875737}"/>
    <cellStyle name="Note 2 3 13" xfId="14509" xr:uid="{9BF63B53-7FD8-42F9-8AB4-8D295E32A5D9}"/>
    <cellStyle name="Note 2 3 13 2" xfId="29947" xr:uid="{788F1F3F-B556-4E32-B311-CC0357F4FC26}"/>
    <cellStyle name="Note 2 3 14" xfId="14510" xr:uid="{32F83CA1-585E-4A9F-997C-CD67316FFEC8}"/>
    <cellStyle name="Note 2 3 14 2" xfId="29948" xr:uid="{46D88B3D-79A2-4CB3-B57E-89CBAB718461}"/>
    <cellStyle name="Note 2 3 15" xfId="14511" xr:uid="{E8983ACE-A953-46C3-8A5A-7FC4CE80511A}"/>
    <cellStyle name="Note 2 3 15 2" xfId="29949" xr:uid="{A3AC2417-07D7-4FC3-8847-FCD5D7C5983C}"/>
    <cellStyle name="Note 2 3 16" xfId="14512" xr:uid="{427CA551-F871-4660-8AC1-84ED8EE54782}"/>
    <cellStyle name="Note 2 3 16 2" xfId="29950" xr:uid="{3E34AD62-7F08-481E-80C0-2802DCA30F51}"/>
    <cellStyle name="Note 2 3 17" xfId="14513" xr:uid="{36143422-336B-4978-B6C6-E981480F5B44}"/>
    <cellStyle name="Note 2 3 17 2" xfId="29951" xr:uid="{1546A1C5-9465-470E-835F-D7E241DF7D40}"/>
    <cellStyle name="Note 2 3 18" xfId="14514" xr:uid="{08755F0C-95AF-45CA-8CA3-7885F542D5CF}"/>
    <cellStyle name="Note 2 3 18 2" xfId="29952" xr:uid="{119F04E1-E73E-4A93-AB77-411599C4B9E8}"/>
    <cellStyle name="Note 2 3 19" xfId="14515" xr:uid="{ABE4E574-4F52-478C-A89D-C49FAC9F2239}"/>
    <cellStyle name="Note 2 3 19 2" xfId="29953" xr:uid="{5E1547EB-D55B-4F32-9AC6-7422F5DA10E2}"/>
    <cellStyle name="Note 2 3 2" xfId="14516" xr:uid="{A6885C21-9AB8-450D-BCC6-5D24BC4455B9}"/>
    <cellStyle name="Note 2 3 2 10" xfId="14517" xr:uid="{C7A80486-F81D-4CA2-9BD6-5E0963707D6A}"/>
    <cellStyle name="Note 2 3 2 10 2" xfId="29955" xr:uid="{D090E68C-72A1-4E90-8D8E-85E348FB8EEF}"/>
    <cellStyle name="Note 2 3 2 11" xfId="14518" xr:uid="{21CF42C2-32B9-44D9-A7AD-32910FCE7180}"/>
    <cellStyle name="Note 2 3 2 11 2" xfId="29956" xr:uid="{1533B1E8-2643-43CC-8E04-A3A6A79F661C}"/>
    <cellStyle name="Note 2 3 2 12" xfId="14519" xr:uid="{DFC9CD6E-F48A-4879-B4F5-1FEFA750351B}"/>
    <cellStyle name="Note 2 3 2 12 2" xfId="29957" xr:uid="{4C231684-B4E3-4CCE-97F8-7A97CFA848E5}"/>
    <cellStyle name="Note 2 3 2 13" xfId="14520" xr:uid="{F2AA5A1F-0A8F-420D-AB60-0A5B59AE6F95}"/>
    <cellStyle name="Note 2 3 2 13 2" xfId="29958" xr:uid="{9B569889-DC95-4005-9A61-08C33759DB4D}"/>
    <cellStyle name="Note 2 3 2 14" xfId="14521" xr:uid="{4CF62F6D-A3D8-4292-8E28-2CA40E37D9EA}"/>
    <cellStyle name="Note 2 3 2 14 2" xfId="29959" xr:uid="{49EA2C9F-3DBC-4948-BC03-5A5057D52D67}"/>
    <cellStyle name="Note 2 3 2 15" xfId="14522" xr:uid="{6AA33DD8-C61D-4DB3-B197-CF0BE001ACC1}"/>
    <cellStyle name="Note 2 3 2 15 2" xfId="29960" xr:uid="{51650551-B388-451B-8701-0A17470D1ACF}"/>
    <cellStyle name="Note 2 3 2 16" xfId="14523" xr:uid="{FC2E5A65-B7BB-4C97-93FD-E7002E933DAD}"/>
    <cellStyle name="Note 2 3 2 16 2" xfId="29961" xr:uid="{8188DFE4-8714-462C-9714-0BBF1673D326}"/>
    <cellStyle name="Note 2 3 2 17" xfId="14524" xr:uid="{5FA12A57-0460-439A-8BF7-EF1E004E3E68}"/>
    <cellStyle name="Note 2 3 2 17 2" xfId="29962" xr:uid="{FD91B324-7AF8-4EEE-8622-06A4FC31EBAF}"/>
    <cellStyle name="Note 2 3 2 18" xfId="14525" xr:uid="{097949B6-FF39-419B-91AD-2637E77FB101}"/>
    <cellStyle name="Note 2 3 2 18 2" xfId="29963" xr:uid="{1F8FBE8A-E499-4AFD-BD10-D3FFEE5230F1}"/>
    <cellStyle name="Note 2 3 2 19" xfId="29954" xr:uid="{AB796796-BF79-4647-B03D-ED486CFA182D}"/>
    <cellStyle name="Note 2 3 2 2" xfId="14526" xr:uid="{7B176244-2258-4A95-8666-7B3802F9FD30}"/>
    <cellStyle name="Note 2 3 2 2 10" xfId="14527" xr:uid="{79402587-D689-4215-A2FA-4971198B9FD8}"/>
    <cellStyle name="Note 2 3 2 2 10 2" xfId="29965" xr:uid="{B37C8943-7505-4025-871D-D79095734270}"/>
    <cellStyle name="Note 2 3 2 2 11" xfId="14528" xr:uid="{E087B670-0F95-4E0C-BD1F-AA48F6AF8AB6}"/>
    <cellStyle name="Note 2 3 2 2 11 2" xfId="29966" xr:uid="{D2F12C28-48DF-43DE-A356-B85C654B102F}"/>
    <cellStyle name="Note 2 3 2 2 12" xfId="14529" xr:uid="{7EC96A8E-D5E7-48FC-B4DE-91E4A0EA4E47}"/>
    <cellStyle name="Note 2 3 2 2 12 2" xfId="29967" xr:uid="{D12C8A53-1C25-4A01-9C43-57DBECCAED1A}"/>
    <cellStyle name="Note 2 3 2 2 13" xfId="14530" xr:uid="{E4613BE4-16A8-49A2-BCE8-8E4F8956F47C}"/>
    <cellStyle name="Note 2 3 2 2 13 2" xfId="29968" xr:uid="{239B7452-F8FB-4EDC-AB4F-59065CD279F3}"/>
    <cellStyle name="Note 2 3 2 2 14" xfId="14531" xr:uid="{6235998A-FBCF-4DFA-A9F3-A1F6F85FA315}"/>
    <cellStyle name="Note 2 3 2 2 14 2" xfId="29969" xr:uid="{9B1A445C-27D2-48F5-86E0-BFC383D0D154}"/>
    <cellStyle name="Note 2 3 2 2 15" xfId="14532" xr:uid="{52042195-EA42-4071-8968-4FEA3FED04F4}"/>
    <cellStyle name="Note 2 3 2 2 15 2" xfId="29970" xr:uid="{6D588DBB-1CD8-4DEB-B74D-661E324A0732}"/>
    <cellStyle name="Note 2 3 2 2 16" xfId="29964" xr:uid="{54394CEA-62C3-421E-800E-DB3D3D94DCE5}"/>
    <cellStyle name="Note 2 3 2 2 2" xfId="14533" xr:uid="{9391AB49-0C10-4978-971E-C481B70ADC7C}"/>
    <cellStyle name="Note 2 3 2 2 2 2" xfId="29971" xr:uid="{DF01AFE6-359D-47AD-A5B3-61C03A49B33A}"/>
    <cellStyle name="Note 2 3 2 2 3" xfId="14534" xr:uid="{BCD1F318-DD08-47B7-AE0F-FF5F188BD2F8}"/>
    <cellStyle name="Note 2 3 2 2 3 2" xfId="29972" xr:uid="{A481B014-EA86-420A-B168-A3F2A9958087}"/>
    <cellStyle name="Note 2 3 2 2 4" xfId="14535" xr:uid="{24D9D00B-1D1D-4C83-AC49-8D581F2DC5E0}"/>
    <cellStyle name="Note 2 3 2 2 4 2" xfId="29973" xr:uid="{7400B5DA-7816-4DFE-A5DA-170BB616525F}"/>
    <cellStyle name="Note 2 3 2 2 5" xfId="14536" xr:uid="{AC94BCEE-DDE0-4529-8DE2-EC2ADEAAA12F}"/>
    <cellStyle name="Note 2 3 2 2 5 2" xfId="29974" xr:uid="{C8601101-FF0E-4F44-9702-3B8839583F70}"/>
    <cellStyle name="Note 2 3 2 2 6" xfId="14537" xr:uid="{A13CFCA3-7AC8-4046-93F6-55924ADCC7C6}"/>
    <cellStyle name="Note 2 3 2 2 6 2" xfId="29975" xr:uid="{5916C241-5C7B-44BD-B27E-E28822D12699}"/>
    <cellStyle name="Note 2 3 2 2 7" xfId="14538" xr:uid="{ACCF16B8-5549-4DE5-BD8E-5546DF7CF387}"/>
    <cellStyle name="Note 2 3 2 2 7 2" xfId="29976" xr:uid="{A4B77B4C-3087-432D-8161-0BCE23C44060}"/>
    <cellStyle name="Note 2 3 2 2 8" xfId="14539" xr:uid="{025B0606-9F18-45DA-92B7-74158C50D6F0}"/>
    <cellStyle name="Note 2 3 2 2 8 2" xfId="29977" xr:uid="{155B91CE-0003-48B0-A767-E6D1D8D0B00F}"/>
    <cellStyle name="Note 2 3 2 2 9" xfId="14540" xr:uid="{9BAE2E0D-A4DE-4A43-A482-2781601A8D32}"/>
    <cellStyle name="Note 2 3 2 2 9 2" xfId="29978" xr:uid="{6888DACF-A7C6-4F07-8749-C9504FEFDBE6}"/>
    <cellStyle name="Note 2 3 2 3" xfId="14541" xr:uid="{6993632F-DEE7-40A9-BBBF-7DC24F0D51C6}"/>
    <cellStyle name="Note 2 3 2 3 2" xfId="29979" xr:uid="{F19A90C3-91F2-4946-A0DF-969686557422}"/>
    <cellStyle name="Note 2 3 2 4" xfId="14542" xr:uid="{81C6A81E-A8A9-44DC-A9DF-14D1400AB407}"/>
    <cellStyle name="Note 2 3 2 4 2" xfId="29980" xr:uid="{7B693627-8354-41AC-A6AB-F1400B33FAD1}"/>
    <cellStyle name="Note 2 3 2 5" xfId="14543" xr:uid="{A0A7C217-FBF3-464A-8A2B-4B6A512CFB95}"/>
    <cellStyle name="Note 2 3 2 5 2" xfId="29981" xr:uid="{63834149-E574-405E-B4AA-154B60C903C1}"/>
    <cellStyle name="Note 2 3 2 6" xfId="14544" xr:uid="{5A249563-9EE7-43D7-8C70-7A1204063FE1}"/>
    <cellStyle name="Note 2 3 2 6 2" xfId="29982" xr:uid="{761CD825-375E-4A30-B0B5-22AF4384FF65}"/>
    <cellStyle name="Note 2 3 2 7" xfId="14545" xr:uid="{D4D7386D-0439-4D9E-97D7-846FCA2F7ECB}"/>
    <cellStyle name="Note 2 3 2 7 2" xfId="29983" xr:uid="{2FD7CBB7-6D4D-463F-A10C-198F77E9632F}"/>
    <cellStyle name="Note 2 3 2 8" xfId="14546" xr:uid="{52B0F99C-827B-4404-85C4-3DC633F47E39}"/>
    <cellStyle name="Note 2 3 2 8 2" xfId="29984" xr:uid="{7136FC35-4AA5-46A1-BE2C-12484A755D15}"/>
    <cellStyle name="Note 2 3 2 9" xfId="14547" xr:uid="{D1D0DB8A-745D-4C4E-BB7D-22BA82D034FB}"/>
    <cellStyle name="Note 2 3 2 9 2" xfId="29985" xr:uid="{0658F5A0-7518-4F0C-A19E-DEEF366CF6EC}"/>
    <cellStyle name="Note 2 3 20" xfId="29943" xr:uid="{A37DF83C-B3B5-4A2A-8ADF-7C04417C846F}"/>
    <cellStyle name="Note 2 3 3" xfId="14548" xr:uid="{1325D2F2-0C32-4FB1-8697-33B4A451CD9D}"/>
    <cellStyle name="Note 2 3 3 10" xfId="14549" xr:uid="{6E75FBE5-8E12-4A12-BA25-6A549967C188}"/>
    <cellStyle name="Note 2 3 3 10 2" xfId="29987" xr:uid="{9925CFDD-1D78-482A-9C3A-49FDF51A3AF0}"/>
    <cellStyle name="Note 2 3 3 11" xfId="14550" xr:uid="{F5406C8E-2C0C-4F98-9867-3866E3FE65F0}"/>
    <cellStyle name="Note 2 3 3 11 2" xfId="29988" xr:uid="{43783AB4-E9C0-49A1-B543-B39B79E4B1C7}"/>
    <cellStyle name="Note 2 3 3 12" xfId="14551" xr:uid="{159B66DC-B467-4397-8056-C0B36329DCF4}"/>
    <cellStyle name="Note 2 3 3 12 2" xfId="29989" xr:uid="{9D012604-AFE6-42DE-A30F-F3F1B2047226}"/>
    <cellStyle name="Note 2 3 3 13" xfId="14552" xr:uid="{EE620CAF-8E64-4563-8267-707472E77589}"/>
    <cellStyle name="Note 2 3 3 13 2" xfId="29990" xr:uid="{F637BABB-F7C6-4683-8ED0-85D48A507FC9}"/>
    <cellStyle name="Note 2 3 3 14" xfId="14553" xr:uid="{39390FC5-3C94-4BA7-A5E4-73D41CFB9D2A}"/>
    <cellStyle name="Note 2 3 3 14 2" xfId="29991" xr:uid="{5FCC6B56-1726-45FB-9E3A-D06063243520}"/>
    <cellStyle name="Note 2 3 3 15" xfId="14554" xr:uid="{6B58B892-FF15-4F4A-8981-7AE410934C61}"/>
    <cellStyle name="Note 2 3 3 15 2" xfId="29992" xr:uid="{3BD69DE1-CB92-4352-899B-51177F1EE7CD}"/>
    <cellStyle name="Note 2 3 3 16" xfId="29986" xr:uid="{D4652109-F943-40F1-91D0-1096E23C8599}"/>
    <cellStyle name="Note 2 3 3 2" xfId="14555" xr:uid="{02B56AC7-8229-4C74-B6EE-3E1663815742}"/>
    <cellStyle name="Note 2 3 3 2 2" xfId="29993" xr:uid="{62D6C5B1-36B9-4B37-AF00-AC720CDD24F3}"/>
    <cellStyle name="Note 2 3 3 3" xfId="14556" xr:uid="{F2D207B1-97F1-4977-AD45-5ABE867009D5}"/>
    <cellStyle name="Note 2 3 3 3 2" xfId="29994" xr:uid="{AABFCD0E-D985-494F-AF99-499C903F03E8}"/>
    <cellStyle name="Note 2 3 3 4" xfId="14557" xr:uid="{8C73CF4C-FAF1-4791-8F10-D8275CDACC91}"/>
    <cellStyle name="Note 2 3 3 4 2" xfId="29995" xr:uid="{E8BCBE22-6ADB-4614-AD97-AEBE2A08BE8A}"/>
    <cellStyle name="Note 2 3 3 5" xfId="14558" xr:uid="{2C51AB3A-784A-4709-9486-3FCDFD09752D}"/>
    <cellStyle name="Note 2 3 3 5 2" xfId="29996" xr:uid="{175A9B2A-D47D-4D50-9A8A-58D84C4D0204}"/>
    <cellStyle name="Note 2 3 3 6" xfId="14559" xr:uid="{C6496E8D-F243-4336-92D7-7DEDCA115DC0}"/>
    <cellStyle name="Note 2 3 3 6 2" xfId="29997" xr:uid="{3AF0F462-177B-473F-BA22-DC26CBC064CF}"/>
    <cellStyle name="Note 2 3 3 7" xfId="14560" xr:uid="{520F3176-CCF1-4E3B-81CC-CB2146F9A9AD}"/>
    <cellStyle name="Note 2 3 3 7 2" xfId="29998" xr:uid="{0D614FF2-3507-4017-908F-CEF7A69AA765}"/>
    <cellStyle name="Note 2 3 3 8" xfId="14561" xr:uid="{376DCCD2-0D55-4FC0-A9D8-C9D074874FCA}"/>
    <cellStyle name="Note 2 3 3 8 2" xfId="29999" xr:uid="{0F1818C9-1DA7-4AD4-A67A-7628BD84AD47}"/>
    <cellStyle name="Note 2 3 3 9" xfId="14562" xr:uid="{205D6762-9858-43C0-B87C-75AD36B42C26}"/>
    <cellStyle name="Note 2 3 3 9 2" xfId="30000" xr:uid="{78ABF76C-BED1-4520-860F-5879B61E794B}"/>
    <cellStyle name="Note 2 3 4" xfId="14563" xr:uid="{8FC4FDF3-B6DA-40D6-86E1-7EC2BC90A514}"/>
    <cellStyle name="Note 2 3 4 2" xfId="30001" xr:uid="{079A2364-3F7B-4A9E-BCD0-17D95FE980A4}"/>
    <cellStyle name="Note 2 3 5" xfId="14564" xr:uid="{6B6746C9-DB3F-426E-8B04-E6CC9EA7D403}"/>
    <cellStyle name="Note 2 3 5 2" xfId="30002" xr:uid="{E414EB2E-BFE5-41F4-8FDE-50707CC7A9E4}"/>
    <cellStyle name="Note 2 3 6" xfId="14565" xr:uid="{B008D4D5-C6D8-4D84-9EB9-6F2C2B703499}"/>
    <cellStyle name="Note 2 3 6 2" xfId="30003" xr:uid="{C74D37A7-0A27-4213-9CFE-6CA5E70D6DC3}"/>
    <cellStyle name="Note 2 3 7" xfId="14566" xr:uid="{A1950248-2CF2-4509-9839-31D1621C15AF}"/>
    <cellStyle name="Note 2 3 7 2" xfId="30004" xr:uid="{A2A667E7-45AF-42E0-84D5-D44792A3C093}"/>
    <cellStyle name="Note 2 3 8" xfId="14567" xr:uid="{5F1B0DCA-9809-4B2E-9607-0A0FBD5080F7}"/>
    <cellStyle name="Note 2 3 8 2" xfId="30005" xr:uid="{FD5D2371-D81D-4D2D-AA24-1D24D5895226}"/>
    <cellStyle name="Note 2 3 9" xfId="14568" xr:uid="{5424E708-CB48-4436-A55B-D83C5246EF10}"/>
    <cellStyle name="Note 2 3 9 2" xfId="30006" xr:uid="{E3787E9F-D317-4488-A542-FD7573EBB576}"/>
    <cellStyle name="Note 2 4" xfId="14569" xr:uid="{17425DA0-A5C1-4EDD-85CD-F549B21588AF}"/>
    <cellStyle name="Note 2 4 10" xfId="14570" xr:uid="{0D58FD92-525C-4B8F-8C83-54036E986E38}"/>
    <cellStyle name="Note 2 4 10 2" xfId="30008" xr:uid="{3F6043A4-AE20-47BF-BC94-B1D5A14CD4F6}"/>
    <cellStyle name="Note 2 4 11" xfId="14571" xr:uid="{6308E62D-F00E-4206-B193-391E545602CA}"/>
    <cellStyle name="Note 2 4 11 2" xfId="30009" xr:uid="{ACEDC22C-29F5-4F36-9010-8F4BA533A961}"/>
    <cellStyle name="Note 2 4 12" xfId="14572" xr:uid="{44BE0BAF-20DA-43DA-BA79-F43B7E562992}"/>
    <cellStyle name="Note 2 4 12 2" xfId="30010" xr:uid="{B8FC5348-C207-4146-BBF6-99871A8C6E32}"/>
    <cellStyle name="Note 2 4 13" xfId="14573" xr:uid="{C5176F73-D86A-4679-AD06-4718B571B971}"/>
    <cellStyle name="Note 2 4 13 2" xfId="30011" xr:uid="{6498E503-F8D5-4C87-B2BD-5C8DA063EA68}"/>
    <cellStyle name="Note 2 4 14" xfId="14574" xr:uid="{A6DFF902-4FCA-4F6B-B68C-2EED4EECDB78}"/>
    <cellStyle name="Note 2 4 14 2" xfId="30012" xr:uid="{DD293062-40D8-498A-BE48-2CA390200CFB}"/>
    <cellStyle name="Note 2 4 15" xfId="14575" xr:uid="{0F81C4E9-A0D6-4F92-9A7A-24C57E74CAEC}"/>
    <cellStyle name="Note 2 4 15 2" xfId="30013" xr:uid="{43506EA0-CBED-4280-A02E-35623902D433}"/>
    <cellStyle name="Note 2 4 16" xfId="14576" xr:uid="{562C8075-31C3-4313-91D4-D859D0BE7E70}"/>
    <cellStyle name="Note 2 4 16 2" xfId="30014" xr:uid="{96FB6FFD-335B-494E-B83B-8E771F68F28E}"/>
    <cellStyle name="Note 2 4 17" xfId="14577" xr:uid="{EE6C9295-7B92-4F6E-A90D-87FD37D67288}"/>
    <cellStyle name="Note 2 4 17 2" xfId="30015" xr:uid="{CA426604-718A-425E-B9C4-0B042904D9B8}"/>
    <cellStyle name="Note 2 4 18" xfId="14578" xr:uid="{8DBB30A9-8352-4612-BB91-E049C08CD28B}"/>
    <cellStyle name="Note 2 4 18 2" xfId="30016" xr:uid="{92AB92B0-4F92-4D64-B268-D5A95515DF27}"/>
    <cellStyle name="Note 2 4 19" xfId="30007" xr:uid="{04A648AE-ED13-4761-A746-E6D0625263CB}"/>
    <cellStyle name="Note 2 4 2" xfId="14579" xr:uid="{DE74B5B9-4445-4763-8AA0-E99ED769EFB1}"/>
    <cellStyle name="Note 2 4 2 10" xfId="14580" xr:uid="{072F0FB9-FEC6-4065-B976-BB47A8EAD39E}"/>
    <cellStyle name="Note 2 4 2 10 2" xfId="30018" xr:uid="{38671FB4-E6F7-4DEC-8ACA-078C3CCD363F}"/>
    <cellStyle name="Note 2 4 2 11" xfId="14581" xr:uid="{F9848296-710C-4C90-A965-3A76738C1450}"/>
    <cellStyle name="Note 2 4 2 11 2" xfId="30019" xr:uid="{B0149B53-802F-4587-AC02-629311A7DDB0}"/>
    <cellStyle name="Note 2 4 2 12" xfId="14582" xr:uid="{BD3B9F94-9B0F-46ED-9B8C-ADF9C0838233}"/>
    <cellStyle name="Note 2 4 2 12 2" xfId="30020" xr:uid="{18DF18F9-74A7-414B-994E-4B74AD6D6ADC}"/>
    <cellStyle name="Note 2 4 2 13" xfId="14583" xr:uid="{1A305073-9487-4A54-8517-96FE5854497F}"/>
    <cellStyle name="Note 2 4 2 13 2" xfId="30021" xr:uid="{746E883D-8D1B-4D50-9FD7-251442E829B9}"/>
    <cellStyle name="Note 2 4 2 14" xfId="14584" xr:uid="{E0FDD3C1-FCC7-4F74-AACB-C08CFFD1B900}"/>
    <cellStyle name="Note 2 4 2 14 2" xfId="30022" xr:uid="{F7762685-2DA6-4AA1-AA87-EAAA40D2C81C}"/>
    <cellStyle name="Note 2 4 2 15" xfId="14585" xr:uid="{3B769EFF-6203-40B1-92DC-24DF42C78882}"/>
    <cellStyle name="Note 2 4 2 15 2" xfId="30023" xr:uid="{0357F76A-B348-4D9C-9BC9-97248FE36530}"/>
    <cellStyle name="Note 2 4 2 16" xfId="30017" xr:uid="{9EC507B8-CBAB-45C6-B620-7AF5D11FDF08}"/>
    <cellStyle name="Note 2 4 2 2" xfId="14586" xr:uid="{C7447280-39BC-4596-9367-87AB5CF86F13}"/>
    <cellStyle name="Note 2 4 2 2 2" xfId="30024" xr:uid="{CB2F64EE-E9B8-4BF0-B989-DBC96F794BD3}"/>
    <cellStyle name="Note 2 4 2 3" xfId="14587" xr:uid="{CE105100-5CA7-4713-A615-AFB79A3CB9E5}"/>
    <cellStyle name="Note 2 4 2 3 2" xfId="30025" xr:uid="{501AD5BF-75E4-42B7-B972-6DFFB322155D}"/>
    <cellStyle name="Note 2 4 2 4" xfId="14588" xr:uid="{8DD37B0D-C13D-4B51-B94A-41E3E3EFD991}"/>
    <cellStyle name="Note 2 4 2 4 2" xfId="30026" xr:uid="{A60F8C9B-683B-4D04-8DB1-E33BAC360709}"/>
    <cellStyle name="Note 2 4 2 5" xfId="14589" xr:uid="{76E843B8-DF92-4204-8D7B-737ADF5CDD2F}"/>
    <cellStyle name="Note 2 4 2 5 2" xfId="30027" xr:uid="{72F07EE1-F1FE-4469-B0B0-41D0934056AA}"/>
    <cellStyle name="Note 2 4 2 6" xfId="14590" xr:uid="{7E09B29D-041C-45F2-B8E6-8CD0C1C8CEB4}"/>
    <cellStyle name="Note 2 4 2 6 2" xfId="30028" xr:uid="{DB28A6F7-FF76-4FB5-849A-2D1722EE17B2}"/>
    <cellStyle name="Note 2 4 2 7" xfId="14591" xr:uid="{60953A4A-491E-42D1-B628-0AF644280A23}"/>
    <cellStyle name="Note 2 4 2 7 2" xfId="30029" xr:uid="{832E9C67-5110-4B98-8AB3-BE3CA19639B7}"/>
    <cellStyle name="Note 2 4 2 8" xfId="14592" xr:uid="{8362ECB5-26C0-4EDB-B9C4-5F540EC16E2C}"/>
    <cellStyle name="Note 2 4 2 8 2" xfId="30030" xr:uid="{57A70D38-7C86-42CC-9AD0-E96DC77E6F35}"/>
    <cellStyle name="Note 2 4 2 9" xfId="14593" xr:uid="{5108AF65-9A41-47A9-B7B0-52ED30BA4A52}"/>
    <cellStyle name="Note 2 4 2 9 2" xfId="30031" xr:uid="{84F3657A-61D5-4BFD-94E3-859141C6D370}"/>
    <cellStyle name="Note 2 4 3" xfId="14594" xr:uid="{926E1B05-132F-4985-9B62-3C036EF7D8EA}"/>
    <cellStyle name="Note 2 4 3 2" xfId="30032" xr:uid="{15884C50-84CE-4A1C-BE8D-EA2B979C2478}"/>
    <cellStyle name="Note 2 4 4" xfId="14595" xr:uid="{D99A7765-9816-4C8C-B378-8421503FDBF1}"/>
    <cellStyle name="Note 2 4 4 2" xfId="30033" xr:uid="{F1178D69-8787-4629-9435-40EA3279CB85}"/>
    <cellStyle name="Note 2 4 5" xfId="14596" xr:uid="{B518D34C-2B3C-469E-808D-2B6FBB3E21AF}"/>
    <cellStyle name="Note 2 4 5 2" xfId="30034" xr:uid="{E9FC5B29-4A9D-42BA-B42F-C36B6D44F4CD}"/>
    <cellStyle name="Note 2 4 6" xfId="14597" xr:uid="{933B0012-27BB-41C2-B486-32788A4545AB}"/>
    <cellStyle name="Note 2 4 6 2" xfId="30035" xr:uid="{E388BD89-2C34-47FF-B34D-98207582429E}"/>
    <cellStyle name="Note 2 4 7" xfId="14598" xr:uid="{D857B45F-1248-4882-BE50-7E76147E74A4}"/>
    <cellStyle name="Note 2 4 7 2" xfId="30036" xr:uid="{059DA11F-FAFD-4ABD-B91F-95400A747D7B}"/>
    <cellStyle name="Note 2 4 8" xfId="14599" xr:uid="{2632B2CD-7E1E-421D-8E38-545FF25AA8AD}"/>
    <cellStyle name="Note 2 4 8 2" xfId="30037" xr:uid="{962A085B-549B-483D-952D-6080ACCCC988}"/>
    <cellStyle name="Note 2 4 9" xfId="14600" xr:uid="{D3DC23BF-2C53-47D3-AE36-0DD8D843D52A}"/>
    <cellStyle name="Note 2 4 9 2" xfId="30038" xr:uid="{3D35573B-A50D-4AF3-98B0-D413A089F3CB}"/>
    <cellStyle name="Note 2 5" xfId="14601" xr:uid="{F422C4B9-A792-4F19-94D3-AE67FECA0C1D}"/>
    <cellStyle name="Note 2 5 10" xfId="14602" xr:uid="{B1BAAAF8-80DE-435B-901F-59C365C45355}"/>
    <cellStyle name="Note 2 5 10 2" xfId="30040" xr:uid="{867733BF-0C37-4C06-A23B-AF592B0F0B13}"/>
    <cellStyle name="Note 2 5 11" xfId="14603" xr:uid="{D4045C5D-914F-4CDB-809A-B8226396AFA7}"/>
    <cellStyle name="Note 2 5 11 2" xfId="30041" xr:uid="{814FE875-59CB-4435-89B3-DC476659EB93}"/>
    <cellStyle name="Note 2 5 12" xfId="14604" xr:uid="{1EC3655E-24E2-4526-8B16-9E00A46BC050}"/>
    <cellStyle name="Note 2 5 12 2" xfId="30042" xr:uid="{99D22755-0B37-4E27-8A64-558C5FC212C9}"/>
    <cellStyle name="Note 2 5 13" xfId="14605" xr:uid="{377A39CB-5D7E-4806-A23F-CFF3E99CDB17}"/>
    <cellStyle name="Note 2 5 13 2" xfId="30043" xr:uid="{535612C1-2829-4BF9-8F29-03E34436CB38}"/>
    <cellStyle name="Note 2 5 14" xfId="14606" xr:uid="{E5446766-057C-4C94-8F8A-9C922FF65F53}"/>
    <cellStyle name="Note 2 5 14 2" xfId="30044" xr:uid="{72C63F98-47F1-4FB2-B5E9-4E2762D06A79}"/>
    <cellStyle name="Note 2 5 15" xfId="14607" xr:uid="{F5390AF4-1BBE-47E3-AE08-E7FBDC0ABA7A}"/>
    <cellStyle name="Note 2 5 15 2" xfId="30045" xr:uid="{13FFCE0D-9937-49EE-961E-94099EC1D5B9}"/>
    <cellStyle name="Note 2 5 16" xfId="14608" xr:uid="{E301605C-BA4E-4EB6-93C4-8F27D4EF4EB1}"/>
    <cellStyle name="Note 2 5 16 2" xfId="30046" xr:uid="{B3B2697A-CD30-453A-8A6E-49745C869CCD}"/>
    <cellStyle name="Note 2 5 17" xfId="14609" xr:uid="{330BB871-8DA8-4D57-9F9C-FF2B5ABDF1E8}"/>
    <cellStyle name="Note 2 5 17 2" xfId="30047" xr:uid="{465F9CF0-FCD0-4FEC-A7B2-2264428CC3E5}"/>
    <cellStyle name="Note 2 5 18" xfId="14610" xr:uid="{64A36854-A04C-4264-B519-D7A2C69CD9D0}"/>
    <cellStyle name="Note 2 5 18 2" xfId="30048" xr:uid="{302A61C9-F781-4EBD-907C-E9407C6783AB}"/>
    <cellStyle name="Note 2 5 19" xfId="30039" xr:uid="{A3F18FD3-2C0F-46A1-9F2E-B1DB349DAEF9}"/>
    <cellStyle name="Note 2 5 2" xfId="14611" xr:uid="{340F651D-414C-45A9-B7C2-78B7BE7365E5}"/>
    <cellStyle name="Note 2 5 2 10" xfId="14612" xr:uid="{597D3F32-26EA-4D2D-8972-3DE58EA03EE5}"/>
    <cellStyle name="Note 2 5 2 10 2" xfId="30050" xr:uid="{D04A0080-E02F-4FA0-BAE9-7B17AF1E375D}"/>
    <cellStyle name="Note 2 5 2 11" xfId="14613" xr:uid="{9AB5128D-471C-45E8-A753-ABC51D033440}"/>
    <cellStyle name="Note 2 5 2 11 2" xfId="30051" xr:uid="{0A9C6F95-02E5-4BA3-8858-E1CD3210EE4E}"/>
    <cellStyle name="Note 2 5 2 12" xfId="14614" xr:uid="{9C204CF7-3C48-46DC-AD8D-7C2C6144F5EA}"/>
    <cellStyle name="Note 2 5 2 12 2" xfId="30052" xr:uid="{AD4112A1-B45F-4EA9-AF41-1E118214A515}"/>
    <cellStyle name="Note 2 5 2 13" xfId="14615" xr:uid="{F57EFE87-6BF7-4B3C-B8CA-5D13BD2C4F7C}"/>
    <cellStyle name="Note 2 5 2 13 2" xfId="30053" xr:uid="{63238121-D21D-4EA3-BF4A-006C1F3133CF}"/>
    <cellStyle name="Note 2 5 2 14" xfId="14616" xr:uid="{093A9C5B-B8D7-4810-B58C-6E4E08466082}"/>
    <cellStyle name="Note 2 5 2 14 2" xfId="30054" xr:uid="{481782FF-57CA-4083-AEA8-F7021CE01CC3}"/>
    <cellStyle name="Note 2 5 2 15" xfId="14617" xr:uid="{D5C0AE75-D638-4618-BD98-F05C4E4262AD}"/>
    <cellStyle name="Note 2 5 2 15 2" xfId="30055" xr:uid="{18D32C4B-3D01-48D9-B59E-27333980C9F5}"/>
    <cellStyle name="Note 2 5 2 16" xfId="30049" xr:uid="{71E1181B-74D3-478C-BE02-71E71BE178CE}"/>
    <cellStyle name="Note 2 5 2 2" xfId="14618" xr:uid="{E84A3947-1973-4A42-91E6-807D008E993D}"/>
    <cellStyle name="Note 2 5 2 2 2" xfId="30056" xr:uid="{B39CA28F-0929-423A-9FC2-B31327A9AE98}"/>
    <cellStyle name="Note 2 5 2 3" xfId="14619" xr:uid="{F6A2DDD4-24F9-43D1-AFCD-A12DCA953F54}"/>
    <cellStyle name="Note 2 5 2 3 2" xfId="30057" xr:uid="{3BFF6B25-3A94-403A-92E6-1C774C4182CA}"/>
    <cellStyle name="Note 2 5 2 4" xfId="14620" xr:uid="{0A4F07D3-9492-4EEF-B61E-E385D2AE02AE}"/>
    <cellStyle name="Note 2 5 2 4 2" xfId="30058" xr:uid="{C91DE5FA-E23E-4D02-BA08-54B0D8D07A98}"/>
    <cellStyle name="Note 2 5 2 5" xfId="14621" xr:uid="{A03ED6E5-077C-4AB6-B9BA-5309719F2721}"/>
    <cellStyle name="Note 2 5 2 5 2" xfId="30059" xr:uid="{E9B159E7-D609-4E8A-96AB-91567E8F0602}"/>
    <cellStyle name="Note 2 5 2 6" xfId="14622" xr:uid="{8D74F44D-A5D1-447B-A794-D74850F01FB4}"/>
    <cellStyle name="Note 2 5 2 6 2" xfId="30060" xr:uid="{0493AAB9-B33D-4420-B3CB-3F1D356564CF}"/>
    <cellStyle name="Note 2 5 2 7" xfId="14623" xr:uid="{90479CB1-A185-4F76-BB03-387D77EB8EBE}"/>
    <cellStyle name="Note 2 5 2 7 2" xfId="30061" xr:uid="{E1D54EFB-6374-412A-9433-63EB6F7D2EC7}"/>
    <cellStyle name="Note 2 5 2 8" xfId="14624" xr:uid="{1E9DA4A0-3F1B-4EE1-84A3-9C52A3B6CB99}"/>
    <cellStyle name="Note 2 5 2 8 2" xfId="30062" xr:uid="{F73F0630-21C4-4493-96F9-C5229A8E9B5B}"/>
    <cellStyle name="Note 2 5 2 9" xfId="14625" xr:uid="{A5B7362D-1AF7-43AA-9CFC-AD1F3B38979B}"/>
    <cellStyle name="Note 2 5 2 9 2" xfId="30063" xr:uid="{DA03FF32-F23A-40EB-95E1-82DE39CD17C8}"/>
    <cellStyle name="Note 2 5 3" xfId="14626" xr:uid="{3CA1F8F1-D5C8-4B87-83C0-2F5EB7E37F55}"/>
    <cellStyle name="Note 2 5 3 2" xfId="30064" xr:uid="{A3380CA4-A7F3-4CD0-80BA-5A3EA7024851}"/>
    <cellStyle name="Note 2 5 4" xfId="14627" xr:uid="{001BA0FF-4FD8-4824-B9CA-D3B533BC0E6B}"/>
    <cellStyle name="Note 2 5 4 2" xfId="30065" xr:uid="{F28C2274-E53C-4E65-9D28-477A9F84F093}"/>
    <cellStyle name="Note 2 5 5" xfId="14628" xr:uid="{02341444-01BA-452E-B190-249B3D195B3D}"/>
    <cellStyle name="Note 2 5 5 2" xfId="30066" xr:uid="{AE5EF136-9BBF-414F-BB29-C48E58159F06}"/>
    <cellStyle name="Note 2 5 6" xfId="14629" xr:uid="{1BCFFA6E-30AD-44C7-BAEE-008A342FF967}"/>
    <cellStyle name="Note 2 5 6 2" xfId="30067" xr:uid="{3384B3C3-7B79-43BC-A983-A4F98303D7B3}"/>
    <cellStyle name="Note 2 5 7" xfId="14630" xr:uid="{05D50FDD-1766-4C39-A2C8-9A62F1B9E1EC}"/>
    <cellStyle name="Note 2 5 7 2" xfId="30068" xr:uid="{0ECD3BDC-E218-4587-A32D-F8C88597D3CC}"/>
    <cellStyle name="Note 2 5 8" xfId="14631" xr:uid="{1B5FFCB6-BC46-4C59-AAC7-C0DE95568708}"/>
    <cellStyle name="Note 2 5 8 2" xfId="30069" xr:uid="{D9A594E2-6AF6-4C5D-B27D-7C245E80E1BB}"/>
    <cellStyle name="Note 2 5 9" xfId="14632" xr:uid="{D3E4FE67-C499-41BF-851F-95A392756BB8}"/>
    <cellStyle name="Note 2 5 9 2" xfId="30070" xr:uid="{4F01A84B-C0FC-4E40-8537-9521411F38FE}"/>
    <cellStyle name="Note 2 6" xfId="14633" xr:uid="{2068E5DD-B576-43EA-A38C-1927283190C4}"/>
    <cellStyle name="Note 2 6 10" xfId="14634" xr:uid="{1B9F46D3-3744-4F0D-83C2-267D24C6D538}"/>
    <cellStyle name="Note 2 6 10 2" xfId="30072" xr:uid="{C9E3622D-C1CA-4DEC-AC7E-50C9A3D8CAB4}"/>
    <cellStyle name="Note 2 6 11" xfId="14635" xr:uid="{C9D7B4E6-09F3-497F-BAD1-78E2C44A2A50}"/>
    <cellStyle name="Note 2 6 11 2" xfId="30073" xr:uid="{13CE3C5F-51EC-4A67-BAD5-EC4DCCA9EBB8}"/>
    <cellStyle name="Note 2 6 12" xfId="14636" xr:uid="{10580C0C-9D2C-419E-A900-1602406BB97A}"/>
    <cellStyle name="Note 2 6 12 2" xfId="30074" xr:uid="{6430461F-E0D6-48C3-8AE7-EE48B5D36D29}"/>
    <cellStyle name="Note 2 6 13" xfId="14637" xr:uid="{27CC29F1-D6B7-4FEB-9664-D77C8965ABC7}"/>
    <cellStyle name="Note 2 6 13 2" xfId="30075" xr:uid="{D5C3CC25-B280-46E6-9947-652DC2854A58}"/>
    <cellStyle name="Note 2 6 14" xfId="14638" xr:uid="{E8A26D98-03F5-4505-90CF-D03046699E83}"/>
    <cellStyle name="Note 2 6 14 2" xfId="30076" xr:uid="{FF66A8BE-8739-47F2-85A9-7B34EC465CBC}"/>
    <cellStyle name="Note 2 6 15" xfId="14639" xr:uid="{66B45507-9AEE-4383-BCE6-EB892C434BEF}"/>
    <cellStyle name="Note 2 6 15 2" xfId="30077" xr:uid="{B678F50B-6A0F-4491-8F75-CC0B2EA6265E}"/>
    <cellStyle name="Note 2 6 16" xfId="30071" xr:uid="{27F56F0F-3375-46AB-A5BA-2071D5805427}"/>
    <cellStyle name="Note 2 6 2" xfId="14640" xr:uid="{C78018F4-E4B5-4F54-8E3B-E38B4D7203C6}"/>
    <cellStyle name="Note 2 6 2 2" xfId="30078" xr:uid="{A85DE854-CFB2-4EC0-A5E3-6A6546540C9C}"/>
    <cellStyle name="Note 2 6 3" xfId="14641" xr:uid="{54B09BE1-B96F-4CF4-B20F-133C95A1BB70}"/>
    <cellStyle name="Note 2 6 3 2" xfId="30079" xr:uid="{30F7D0CF-B9A2-4AF0-9CD8-126372E41762}"/>
    <cellStyle name="Note 2 6 4" xfId="14642" xr:uid="{099CA397-DAE1-463E-A0E1-480F9B18A049}"/>
    <cellStyle name="Note 2 6 4 2" xfId="30080" xr:uid="{AA4A5D47-4853-407E-86C2-059878901D64}"/>
    <cellStyle name="Note 2 6 5" xfId="14643" xr:uid="{DC99BC32-A733-4BDC-AEAA-7117C2ADB3B1}"/>
    <cellStyle name="Note 2 6 5 2" xfId="30081" xr:uid="{9BAD13A9-2351-4CB0-85C1-BE95A0752C49}"/>
    <cellStyle name="Note 2 6 6" xfId="14644" xr:uid="{36F673D9-5D1B-4EB3-BB11-BEA47C89B4AA}"/>
    <cellStyle name="Note 2 6 6 2" xfId="30082" xr:uid="{86C8BCED-839A-4ED4-B151-B914A8CAA2C5}"/>
    <cellStyle name="Note 2 6 7" xfId="14645" xr:uid="{0773EB0B-2277-4E39-AB8E-C396149D55AC}"/>
    <cellStyle name="Note 2 6 7 2" xfId="30083" xr:uid="{DBF7DC96-2B69-4616-9EAE-249ACE7BBB2D}"/>
    <cellStyle name="Note 2 6 8" xfId="14646" xr:uid="{E133D7DC-845D-47D8-B0C3-49A9E5542796}"/>
    <cellStyle name="Note 2 6 8 2" xfId="30084" xr:uid="{CBF6040B-4292-4D9F-8E73-18D67DA1EE8B}"/>
    <cellStyle name="Note 2 6 9" xfId="14647" xr:uid="{78ABBC6D-FFC7-4CF4-B596-45EF054FB06C}"/>
    <cellStyle name="Note 2 6 9 2" xfId="30085" xr:uid="{6C83FA8C-31D4-4C12-AFBC-CF2D00DA0E77}"/>
    <cellStyle name="Note 2 7" xfId="14648" xr:uid="{51CCDDF2-C9BA-41FF-8EA2-7ED7C1A8B023}"/>
    <cellStyle name="Note 2 7 2" xfId="30086" xr:uid="{A87C9C33-2430-4EF5-9BB7-9F5C0D5F16C5}"/>
    <cellStyle name="Note 2 8" xfId="14649" xr:uid="{7DF1D609-476B-417D-868A-266D6B18AF70}"/>
    <cellStyle name="Note 2 8 2" xfId="30087" xr:uid="{15DC2DDC-09E7-4760-B716-BD636BD8C6A5}"/>
    <cellStyle name="Note 2 9" xfId="14650" xr:uid="{F3888830-7D7D-46E4-9D01-68E8C0969303}"/>
    <cellStyle name="Note 2 9 2" xfId="30088" xr:uid="{05FB80C1-D1A4-4CD4-92EC-B4B17E8481E3}"/>
    <cellStyle name="Note 20" xfId="14651" xr:uid="{EA758E23-7DDA-46FF-90DD-728F747A5480}"/>
    <cellStyle name="Note 20 2" xfId="30089" xr:uid="{64C4F3B3-2AD2-40D8-AB49-A5D2E94C5281}"/>
    <cellStyle name="Note 21" xfId="14652" xr:uid="{8BAD0468-136C-4264-BFA1-312243F23C7A}"/>
    <cellStyle name="Note 21 2" xfId="30090" xr:uid="{96DCD82D-BE6D-4B2D-826B-09CB1433A3C8}"/>
    <cellStyle name="Note 22" xfId="14653" xr:uid="{DB3BC476-F62D-48D4-9C48-9822B56C401A}"/>
    <cellStyle name="Note 22 2" xfId="30091" xr:uid="{66281456-A8F6-4432-AE22-DCC08CF273E7}"/>
    <cellStyle name="Note 23" xfId="14654" xr:uid="{3A4D0093-428A-498D-9AEC-5E5723764921}"/>
    <cellStyle name="Note 23 2" xfId="30092" xr:uid="{A8772DD8-3689-4701-B980-294F98425D68}"/>
    <cellStyle name="Note 24" xfId="14655" xr:uid="{0DE5C5C7-250A-4889-95F9-38F5B611474F}"/>
    <cellStyle name="Note 24 2" xfId="30093" xr:uid="{91BBBDC2-80DE-4EA8-B38F-EFEF2300B40A}"/>
    <cellStyle name="Note 25" xfId="14656" xr:uid="{2A0C51CE-CF5E-490F-B484-EE0007D74C47}"/>
    <cellStyle name="Note 25 2" xfId="30094" xr:uid="{4CB79EDC-A6BF-40D7-8B3F-BACCB946D40E}"/>
    <cellStyle name="Note 26" xfId="14657" xr:uid="{623DC9EE-AE82-4FC5-B677-439582B79DCC}"/>
    <cellStyle name="Note 26 2" xfId="30095" xr:uid="{10B8406E-8643-4E84-8920-7EBF8EFFF1A0}"/>
    <cellStyle name="Note 27" xfId="14658" xr:uid="{E9D3ACA5-AD29-4361-9175-7F34E33ABA17}"/>
    <cellStyle name="Note 27 2" xfId="30096" xr:uid="{4020BD63-2077-463D-93DC-53DC8871C5BD}"/>
    <cellStyle name="Note 28" xfId="14319" xr:uid="{2B86A3D2-D56B-4DED-9540-1CED838EC7F4}"/>
    <cellStyle name="Note 28 2" xfId="29757" xr:uid="{8E38650D-8953-454A-AD58-96E4A1726D73}"/>
    <cellStyle name="Note 3" xfId="14659" xr:uid="{3092FB33-5CD9-44F6-B65D-D11F6E4A3023}"/>
    <cellStyle name="Note 3 10" xfId="14660" xr:uid="{10799EED-D40A-4C98-9030-A8493543620F}"/>
    <cellStyle name="Note 3 10 2" xfId="30098" xr:uid="{D376D16F-2443-4B4E-A8B4-536BF9E92A2E}"/>
    <cellStyle name="Note 3 11" xfId="14661" xr:uid="{66D1E364-7083-4E99-A232-675B4F7EF43C}"/>
    <cellStyle name="Note 3 11 2" xfId="30099" xr:uid="{341FA0B1-ABD3-42E8-AC91-5E8A6648B6F7}"/>
    <cellStyle name="Note 3 12" xfId="14662" xr:uid="{FED0281B-2198-43AE-A86A-67385F1ADBCD}"/>
    <cellStyle name="Note 3 12 2" xfId="30100" xr:uid="{F382A74B-DBC7-4F26-99BB-4A516D22365E}"/>
    <cellStyle name="Note 3 13" xfId="14663" xr:uid="{DB34C08A-6B49-46B2-BB70-DE2A042B00CA}"/>
    <cellStyle name="Note 3 13 2" xfId="30101" xr:uid="{0696DCB1-CF54-4B61-9FEE-CBB55DF40452}"/>
    <cellStyle name="Note 3 14" xfId="14664" xr:uid="{3864D56F-D418-4EC3-A4D1-1ED4609AE304}"/>
    <cellStyle name="Note 3 14 2" xfId="30102" xr:uid="{478CFEDB-20D0-44E4-A372-0AF981873E85}"/>
    <cellStyle name="Note 3 15" xfId="14665" xr:uid="{99D57D61-0F9D-423F-B91C-B72A6AC0AD7D}"/>
    <cellStyle name="Note 3 15 2" xfId="30103" xr:uid="{A05921C3-DB74-4B4C-9F14-F3A4196CB7B8}"/>
    <cellStyle name="Note 3 16" xfId="14666" xr:uid="{AB12055B-CA0F-4200-A768-487EB4CD60E5}"/>
    <cellStyle name="Note 3 16 2" xfId="30104" xr:uid="{E5191EE6-ADD2-4BAF-AC3A-819D54E74289}"/>
    <cellStyle name="Note 3 17" xfId="14667" xr:uid="{38CE14A8-DFFF-44A6-80A2-5C8F46ED3AFA}"/>
    <cellStyle name="Note 3 17 2" xfId="30105" xr:uid="{3FE75794-68CE-4FF7-813E-68A92CB53A2D}"/>
    <cellStyle name="Note 3 18" xfId="14668" xr:uid="{ECFFD0F8-B937-4ECE-8F74-F0DC26A092D3}"/>
    <cellStyle name="Note 3 18 2" xfId="30106" xr:uid="{3A80E27F-BAF9-44AD-A0FE-DEF71C8549CC}"/>
    <cellStyle name="Note 3 19" xfId="14669" xr:uid="{840EEDCC-A9A8-404D-BDA9-144F8D34DB8E}"/>
    <cellStyle name="Note 3 19 2" xfId="30107" xr:uid="{532263C3-0FD7-44AB-957B-257BCAD4EB33}"/>
    <cellStyle name="Note 3 2" xfId="14670" xr:uid="{D1BB82A7-C72A-4029-B75C-4BB09BF7FB5B}"/>
    <cellStyle name="Note 3 2 10" xfId="14671" xr:uid="{EE61B264-13F3-44D3-B029-74E9BA017B94}"/>
    <cellStyle name="Note 3 2 10 2" xfId="30109" xr:uid="{5F7E4CD0-B6A5-4698-A0F3-B9478C235977}"/>
    <cellStyle name="Note 3 2 11" xfId="14672" xr:uid="{3A604790-852E-44A4-ADC7-71A67F896091}"/>
    <cellStyle name="Note 3 2 11 2" xfId="30110" xr:uid="{01F5B928-ABED-45F3-8E96-1030D057B847}"/>
    <cellStyle name="Note 3 2 12" xfId="14673" xr:uid="{0E305585-C746-4416-AB58-0A13AA246986}"/>
    <cellStyle name="Note 3 2 12 2" xfId="30111" xr:uid="{4DD90B9B-B491-4750-BB51-E2920A1C3745}"/>
    <cellStyle name="Note 3 2 13" xfId="14674" xr:uid="{330A5A86-F4B6-4657-A525-746C48AA5EA5}"/>
    <cellStyle name="Note 3 2 13 2" xfId="30112" xr:uid="{EEA90D03-077E-44B4-B215-F2FF6B5141A9}"/>
    <cellStyle name="Note 3 2 14" xfId="14675" xr:uid="{31520EC0-7AB8-4AFC-8846-E82D9572E612}"/>
    <cellStyle name="Note 3 2 14 2" xfId="30113" xr:uid="{7C37ED17-2B8F-418E-AE81-F6076DE7603A}"/>
    <cellStyle name="Note 3 2 15" xfId="14676" xr:uid="{7CE47D5F-ADE5-4023-AC3F-3B544ADAC616}"/>
    <cellStyle name="Note 3 2 15 2" xfId="30114" xr:uid="{F9903BEC-8086-4CC0-94B4-9893379EB905}"/>
    <cellStyle name="Note 3 2 16" xfId="14677" xr:uid="{3901798D-95C6-4C33-B9C9-BD0095DD2351}"/>
    <cellStyle name="Note 3 2 16 2" xfId="30115" xr:uid="{1D043777-C54F-40FB-841B-4DE91208DB4E}"/>
    <cellStyle name="Note 3 2 17" xfId="14678" xr:uid="{6B7E586B-1F1D-4E73-93A4-1FCE1AA67C82}"/>
    <cellStyle name="Note 3 2 17 2" xfId="30116" xr:uid="{EB532D1E-94DD-4016-A1BE-BD6B95C12C76}"/>
    <cellStyle name="Note 3 2 18" xfId="14679" xr:uid="{F3047035-CD8B-4D2D-81B7-9D6B6785EBD0}"/>
    <cellStyle name="Note 3 2 18 2" xfId="30117" xr:uid="{AB6EE6A4-6448-4BC1-BF4B-DBD1755D004F}"/>
    <cellStyle name="Note 3 2 19" xfId="14680" xr:uid="{21D14A2C-A754-46B0-AB45-F650406FFC97}"/>
    <cellStyle name="Note 3 2 19 2" xfId="30118" xr:uid="{D87CA8F3-D67B-4F8F-A212-2E0D8C7DF26F}"/>
    <cellStyle name="Note 3 2 2" xfId="14681" xr:uid="{31095D4B-651B-4FDC-9A5A-8FA97BAB5ECF}"/>
    <cellStyle name="Note 3 2 2 10" xfId="14682" xr:uid="{E82BB096-3BE4-4772-8CB4-940C9A59FA7D}"/>
    <cellStyle name="Note 3 2 2 10 2" xfId="30120" xr:uid="{52E330D1-5D91-4066-B9CA-B34721FEA495}"/>
    <cellStyle name="Note 3 2 2 11" xfId="14683" xr:uid="{19FDB8D4-E501-4968-9EED-D5F6B9645463}"/>
    <cellStyle name="Note 3 2 2 11 2" xfId="30121" xr:uid="{43787CDD-DF21-44A0-A2BB-0BB986AC14D6}"/>
    <cellStyle name="Note 3 2 2 12" xfId="14684" xr:uid="{D483AF76-E53D-49DB-9968-796328402FE0}"/>
    <cellStyle name="Note 3 2 2 12 2" xfId="30122" xr:uid="{4BF84CFC-4F84-4CD6-BCEC-3B403A76ED28}"/>
    <cellStyle name="Note 3 2 2 13" xfId="14685" xr:uid="{608D8073-4302-47FB-A95D-E16D9A08AC04}"/>
    <cellStyle name="Note 3 2 2 13 2" xfId="30123" xr:uid="{789669D7-56E5-457F-9E02-A5746376F0F4}"/>
    <cellStyle name="Note 3 2 2 14" xfId="14686" xr:uid="{03E7143F-1EFD-4113-92A3-0C9DA7079AE8}"/>
    <cellStyle name="Note 3 2 2 14 2" xfId="30124" xr:uid="{82A62CC0-2271-4F70-A621-066985EA6725}"/>
    <cellStyle name="Note 3 2 2 15" xfId="14687" xr:uid="{F7C74255-657A-474E-84E9-CEF13CB8D571}"/>
    <cellStyle name="Note 3 2 2 15 2" xfId="30125" xr:uid="{EA2271A0-4E00-42E8-9FDA-0022F890E695}"/>
    <cellStyle name="Note 3 2 2 16" xfId="14688" xr:uid="{12903587-74C7-4AFE-88A1-50BAE24F2D86}"/>
    <cellStyle name="Note 3 2 2 16 2" xfId="30126" xr:uid="{103D9B26-5D21-4619-8AF0-1641C7DB9EF9}"/>
    <cellStyle name="Note 3 2 2 17" xfId="14689" xr:uid="{1D4436D5-DAEF-4628-9B52-86847E4B5178}"/>
    <cellStyle name="Note 3 2 2 17 2" xfId="30127" xr:uid="{4F42B6FB-B788-46B2-B9F8-06582D74B497}"/>
    <cellStyle name="Note 3 2 2 18" xfId="14690" xr:uid="{F38A5B93-0F31-4DA1-8241-8C7870BA455F}"/>
    <cellStyle name="Note 3 2 2 18 2" xfId="30128" xr:uid="{ECA2B2DE-1A8D-4B79-A5B4-01610ECDD0CA}"/>
    <cellStyle name="Note 3 2 2 19" xfId="30119" xr:uid="{BA0DF666-27FA-4F60-9888-1D478CA6FB85}"/>
    <cellStyle name="Note 3 2 2 2" xfId="14691" xr:uid="{13ECAEB1-C255-49BB-98E8-BFEB30442710}"/>
    <cellStyle name="Note 3 2 2 2 10" xfId="14692" xr:uid="{601D3834-D511-4531-A221-813533E828F8}"/>
    <cellStyle name="Note 3 2 2 2 10 2" xfId="30130" xr:uid="{E08B91B2-DB78-4548-BDD4-A850E2342E4E}"/>
    <cellStyle name="Note 3 2 2 2 11" xfId="14693" xr:uid="{A5B268B9-A748-41CD-8BB6-193C2675AD3B}"/>
    <cellStyle name="Note 3 2 2 2 11 2" xfId="30131" xr:uid="{9F9A9CC2-2E17-4ED0-BC4E-2F3C441FC18C}"/>
    <cellStyle name="Note 3 2 2 2 12" xfId="14694" xr:uid="{2EB54696-68C3-434F-9558-B2EB66CE7426}"/>
    <cellStyle name="Note 3 2 2 2 12 2" xfId="30132" xr:uid="{8859F195-F91D-4ED4-A111-B69E5C310ED3}"/>
    <cellStyle name="Note 3 2 2 2 13" xfId="14695" xr:uid="{98E9A78D-6495-45F0-B9B8-78C5E1D9F042}"/>
    <cellStyle name="Note 3 2 2 2 13 2" xfId="30133" xr:uid="{6D0DA549-6A41-4848-AD33-3C77417ADABE}"/>
    <cellStyle name="Note 3 2 2 2 14" xfId="14696" xr:uid="{F8E887A4-8636-428C-BAC4-38282424434E}"/>
    <cellStyle name="Note 3 2 2 2 14 2" xfId="30134" xr:uid="{869C7B39-3CBF-4129-8B78-E663334941DF}"/>
    <cellStyle name="Note 3 2 2 2 15" xfId="14697" xr:uid="{52D2ACF5-50BD-42B5-BC3B-F021B0053157}"/>
    <cellStyle name="Note 3 2 2 2 15 2" xfId="30135" xr:uid="{B121D0CD-2768-4D4A-A0CB-566BFA55F39E}"/>
    <cellStyle name="Note 3 2 2 2 16" xfId="30129" xr:uid="{50DB236E-A6DB-4D3D-9763-E01764CA3A22}"/>
    <cellStyle name="Note 3 2 2 2 2" xfId="14698" xr:uid="{767E7276-E14F-442F-8EC5-900A05A05C18}"/>
    <cellStyle name="Note 3 2 2 2 2 2" xfId="30136" xr:uid="{B502AA7D-4FB9-4858-A1A5-CEDE1994180B}"/>
    <cellStyle name="Note 3 2 2 2 3" xfId="14699" xr:uid="{48C7FEC1-9F04-4C1C-A196-66D565EC9A40}"/>
    <cellStyle name="Note 3 2 2 2 3 2" xfId="30137" xr:uid="{1BA68D35-590E-46C0-A8E6-6057A7D10559}"/>
    <cellStyle name="Note 3 2 2 2 4" xfId="14700" xr:uid="{9480BD80-1003-41B6-B458-0225ABF6F71C}"/>
    <cellStyle name="Note 3 2 2 2 4 2" xfId="30138" xr:uid="{C3653749-33D4-4731-B743-CECFD10B6A52}"/>
    <cellStyle name="Note 3 2 2 2 5" xfId="14701" xr:uid="{C2AE6B23-24ED-45A6-832E-EDC7EBAED6AB}"/>
    <cellStyle name="Note 3 2 2 2 5 2" xfId="30139" xr:uid="{5C07ED0A-F302-45F5-B5E8-B646C3E682E7}"/>
    <cellStyle name="Note 3 2 2 2 6" xfId="14702" xr:uid="{8582F718-DC1C-4B0B-89A8-08941C153368}"/>
    <cellStyle name="Note 3 2 2 2 6 2" xfId="30140" xr:uid="{7B26AD1F-8F9D-4DBB-A12A-29483FE8111F}"/>
    <cellStyle name="Note 3 2 2 2 7" xfId="14703" xr:uid="{97D79B4D-FA54-4783-875C-F70D4822766E}"/>
    <cellStyle name="Note 3 2 2 2 7 2" xfId="30141" xr:uid="{B1885CB7-6347-4181-9034-E9728873EF69}"/>
    <cellStyle name="Note 3 2 2 2 8" xfId="14704" xr:uid="{30E9F030-D8E8-4669-81CC-9DACEE4D6ED3}"/>
    <cellStyle name="Note 3 2 2 2 8 2" xfId="30142" xr:uid="{F4C7B035-84E5-4AFB-9EA4-0CDE7FFF4718}"/>
    <cellStyle name="Note 3 2 2 2 9" xfId="14705" xr:uid="{9DD9C8A1-5123-476A-9E4E-F8BFCE96979F}"/>
    <cellStyle name="Note 3 2 2 2 9 2" xfId="30143" xr:uid="{C51F62B7-2241-4665-A2DD-2904C0BBF46E}"/>
    <cellStyle name="Note 3 2 2 3" xfId="14706" xr:uid="{4732F171-B6A2-4563-B3DA-D9B325FD5053}"/>
    <cellStyle name="Note 3 2 2 3 2" xfId="30144" xr:uid="{7FE5BA2E-435B-4685-A9FB-340B98E8C3F9}"/>
    <cellStyle name="Note 3 2 2 4" xfId="14707" xr:uid="{0BBF3796-B437-488F-B5CF-E12537FE9391}"/>
    <cellStyle name="Note 3 2 2 4 2" xfId="30145" xr:uid="{D2591B58-3CC7-4C97-B923-53DDEDDC6E09}"/>
    <cellStyle name="Note 3 2 2 5" xfId="14708" xr:uid="{918AEBEA-371A-4B1B-9023-F84825AF77D8}"/>
    <cellStyle name="Note 3 2 2 5 2" xfId="30146" xr:uid="{33F578D2-AF11-453C-9445-27FCA67E0C33}"/>
    <cellStyle name="Note 3 2 2 6" xfId="14709" xr:uid="{90707C26-78D6-464F-A0F8-BF6661BAC255}"/>
    <cellStyle name="Note 3 2 2 6 2" xfId="30147" xr:uid="{19840233-C5A2-4876-9C02-D9FA7DFF3CDC}"/>
    <cellStyle name="Note 3 2 2 7" xfId="14710" xr:uid="{67AAF9D4-433E-4855-A6C3-E0C57CCF4D99}"/>
    <cellStyle name="Note 3 2 2 7 2" xfId="30148" xr:uid="{CA405297-D470-4DA8-A9E2-C9CB2C499B7C}"/>
    <cellStyle name="Note 3 2 2 8" xfId="14711" xr:uid="{4AFA31DE-4392-41F2-8043-487FD52E52D6}"/>
    <cellStyle name="Note 3 2 2 8 2" xfId="30149" xr:uid="{108A75C5-1687-44B1-9DF4-0610231EA641}"/>
    <cellStyle name="Note 3 2 2 9" xfId="14712" xr:uid="{C66C81C5-95D1-4DF6-9652-417B5AA69B9F}"/>
    <cellStyle name="Note 3 2 2 9 2" xfId="30150" xr:uid="{DDC9B48E-30C3-4393-B902-727B4311E64A}"/>
    <cellStyle name="Note 3 2 20" xfId="30108" xr:uid="{89922AF0-EEDA-465E-BC63-330B374CFC32}"/>
    <cellStyle name="Note 3 2 3" xfId="14713" xr:uid="{FC229EC6-0D88-4E94-BB18-2DFB3D231C47}"/>
    <cellStyle name="Note 3 2 3 10" xfId="14714" xr:uid="{496DD3E1-D36C-4CCF-85A2-427FA33CBDC5}"/>
    <cellStyle name="Note 3 2 3 10 2" xfId="30152" xr:uid="{DD44C615-E42C-4BD1-A373-196AEBFF388D}"/>
    <cellStyle name="Note 3 2 3 11" xfId="14715" xr:uid="{3CF06DB8-B50C-40CB-A470-FBCBC2E775EB}"/>
    <cellStyle name="Note 3 2 3 11 2" xfId="30153" xr:uid="{ABD6F5A2-CCE6-471E-B137-09ED6E2115AC}"/>
    <cellStyle name="Note 3 2 3 12" xfId="14716" xr:uid="{2E137DBC-A285-4D91-851E-950661386E41}"/>
    <cellStyle name="Note 3 2 3 12 2" xfId="30154" xr:uid="{B28216EB-06BB-48A6-8008-32F22EBE73BF}"/>
    <cellStyle name="Note 3 2 3 13" xfId="14717" xr:uid="{CDBBEEBD-6056-4068-AF4A-7D724C71474C}"/>
    <cellStyle name="Note 3 2 3 13 2" xfId="30155" xr:uid="{7D2B7DBE-550E-499C-8C15-ECF591BBFC05}"/>
    <cellStyle name="Note 3 2 3 14" xfId="14718" xr:uid="{919D3E4C-C678-4260-A49E-01E0B400BBFA}"/>
    <cellStyle name="Note 3 2 3 14 2" xfId="30156" xr:uid="{17491F5E-D2A4-4326-9223-F0DC036D4DBE}"/>
    <cellStyle name="Note 3 2 3 15" xfId="14719" xr:uid="{29290E65-F70D-49B8-A5E4-90D76A595902}"/>
    <cellStyle name="Note 3 2 3 15 2" xfId="30157" xr:uid="{12D5D491-0D8D-4ABA-8318-8554169B11BC}"/>
    <cellStyle name="Note 3 2 3 16" xfId="30151" xr:uid="{F0E624BF-7E6B-4A0F-B7C6-5EEFBA1CB57E}"/>
    <cellStyle name="Note 3 2 3 2" xfId="14720" xr:uid="{21849666-41A0-4951-976D-4910045054D5}"/>
    <cellStyle name="Note 3 2 3 2 2" xfId="30158" xr:uid="{89ED6FF9-81DA-4EC4-BBF6-6A97E52441CF}"/>
    <cellStyle name="Note 3 2 3 3" xfId="14721" xr:uid="{190CAB9F-4331-4DB8-90CC-FF627A9EC951}"/>
    <cellStyle name="Note 3 2 3 3 2" xfId="30159" xr:uid="{6B12DDD8-553D-4C69-B93E-05F7352330CC}"/>
    <cellStyle name="Note 3 2 3 4" xfId="14722" xr:uid="{1940EC54-2554-4B7B-BECC-06D9FE58597E}"/>
    <cellStyle name="Note 3 2 3 4 2" xfId="30160" xr:uid="{3AACDD25-AAD4-4001-B866-A657C74157EA}"/>
    <cellStyle name="Note 3 2 3 5" xfId="14723" xr:uid="{AAAC5CF6-3DBA-4319-825D-199802C47AF7}"/>
    <cellStyle name="Note 3 2 3 5 2" xfId="30161" xr:uid="{446686A3-D5F0-4900-B9F1-A8C6B2970CAB}"/>
    <cellStyle name="Note 3 2 3 6" xfId="14724" xr:uid="{9AFA2E26-334F-4F06-AABC-8FD341481B02}"/>
    <cellStyle name="Note 3 2 3 6 2" xfId="30162" xr:uid="{60128FB3-D685-4265-98B4-F28280CDE3E0}"/>
    <cellStyle name="Note 3 2 3 7" xfId="14725" xr:uid="{0A997E3E-6F1B-442E-A197-5FB6D6FC8CB7}"/>
    <cellStyle name="Note 3 2 3 7 2" xfId="30163" xr:uid="{CC70A35E-5792-4F87-BE89-B75A1654058B}"/>
    <cellStyle name="Note 3 2 3 8" xfId="14726" xr:uid="{484733A8-DC76-433E-A4E2-727BDB610C2B}"/>
    <cellStyle name="Note 3 2 3 8 2" xfId="30164" xr:uid="{BC93766B-5A18-42D5-961C-65E4CAF4E232}"/>
    <cellStyle name="Note 3 2 3 9" xfId="14727" xr:uid="{465D1F19-8F1B-4321-9419-27CD0D24C976}"/>
    <cellStyle name="Note 3 2 3 9 2" xfId="30165" xr:uid="{FFDB2346-6FEF-4E65-A3F2-93CB8877B093}"/>
    <cellStyle name="Note 3 2 4" xfId="14728" xr:uid="{81470CA9-CB42-48A6-A228-D99E6C056CA2}"/>
    <cellStyle name="Note 3 2 4 2" xfId="30166" xr:uid="{DBED1111-6253-4E41-84B3-0C888D217F20}"/>
    <cellStyle name="Note 3 2 5" xfId="14729" xr:uid="{C6700396-44AE-48CD-BB81-1AAF05DF18BB}"/>
    <cellStyle name="Note 3 2 5 2" xfId="30167" xr:uid="{331FE865-2498-4E94-9ACC-0762EFA94CCD}"/>
    <cellStyle name="Note 3 2 6" xfId="14730" xr:uid="{39179EF2-61B8-463B-A405-F31CB5866507}"/>
    <cellStyle name="Note 3 2 6 2" xfId="30171" xr:uid="{7ACAF9D5-E7EE-494F-BF7F-EBF80C13FED8}"/>
    <cellStyle name="Note 3 2 7" xfId="14731" xr:uid="{24732AF0-5ABE-4023-8178-BAB63F9A041F}"/>
    <cellStyle name="Note 3 2 7 2" xfId="30172" xr:uid="{DE97CC08-EDB4-4FC1-83F8-178EF48BD10E}"/>
    <cellStyle name="Note 3 2 8" xfId="14732" xr:uid="{04CA3BDA-A28F-4BFC-B103-573795783B1C}"/>
    <cellStyle name="Note 3 2 8 2" xfId="30170" xr:uid="{8A73AC75-EE6B-4530-A27D-80C3554D585C}"/>
    <cellStyle name="Note 3 2 9" xfId="14733" xr:uid="{C24C7AC0-8035-4ED8-B269-A93CF457E67D}"/>
    <cellStyle name="Note 3 2 9 2" xfId="30168" xr:uid="{C45A1DC7-9FDB-43AF-8DF0-D6303297E7CC}"/>
    <cellStyle name="Note 3 20" xfId="14734" xr:uid="{84B7BF37-9537-49A2-8C27-637E45955493}"/>
    <cellStyle name="Note 3 20 2" xfId="30169" xr:uid="{4455A8A9-CFCE-4A3E-B605-7C3E2941776C}"/>
    <cellStyle name="Note 3 21" xfId="14735" xr:uid="{E965016A-9495-4795-A881-668E02CEAF4C}"/>
    <cellStyle name="Note 3 21 2" xfId="30173" xr:uid="{845DD95B-04D7-4158-9713-D5966B57C8B1}"/>
    <cellStyle name="Note 3 22" xfId="30097" xr:uid="{A0DD60F7-6DE9-4E4A-9AF1-7214B84C9633}"/>
    <cellStyle name="Note 3 3" xfId="14736" xr:uid="{87A27FF2-E530-4519-A27A-EB4DF468BE59}"/>
    <cellStyle name="Note 3 3 10" xfId="14737" xr:uid="{4BC06C28-5845-44D1-85F2-3A0D4DFDD855}"/>
    <cellStyle name="Note 3 3 10 2" xfId="29835" xr:uid="{8AA8DCF1-3BD9-4B12-B559-E63F61EFE89A}"/>
    <cellStyle name="Note 3 3 11" xfId="14738" xr:uid="{4272D222-A72C-4573-81E0-33416F96A6E8}"/>
    <cellStyle name="Note 3 3 11 2" xfId="30175" xr:uid="{5D337647-4FBB-4DC9-B58A-9B53409C5A5A}"/>
    <cellStyle name="Note 3 3 12" xfId="14739" xr:uid="{EB16008A-8396-4169-87E3-1479079B988A}"/>
    <cellStyle name="Note 3 3 12 2" xfId="30176" xr:uid="{F1AE9AD2-BCB6-493F-95D1-D503A28285A0}"/>
    <cellStyle name="Note 3 3 13" xfId="14740" xr:uid="{61C5EDC0-D315-4532-861A-8F96CDE8A98E}"/>
    <cellStyle name="Note 3 3 13 2" xfId="30177" xr:uid="{62F5B371-327B-460C-BBC0-603C8AA948A8}"/>
    <cellStyle name="Note 3 3 14" xfId="14741" xr:uid="{A6739398-90E4-4A5E-8C7A-F289DB04A836}"/>
    <cellStyle name="Note 3 3 14 2" xfId="30178" xr:uid="{370790C7-DD0B-4E2D-9BBB-51A3D6F9434F}"/>
    <cellStyle name="Note 3 3 15" xfId="14742" xr:uid="{9D16D2A2-0570-4262-95F9-A3FCBCBBB2C3}"/>
    <cellStyle name="Note 3 3 15 2" xfId="30179" xr:uid="{195200C5-97F0-4935-984B-388C13CA21E2}"/>
    <cellStyle name="Note 3 3 16" xfId="14743" xr:uid="{4E5B88C9-D1A6-42E0-B370-91D9F04EBA3E}"/>
    <cellStyle name="Note 3 3 16 2" xfId="30180" xr:uid="{D431B5BA-6997-4855-ACD1-E8C155E4470F}"/>
    <cellStyle name="Note 3 3 17" xfId="14744" xr:uid="{E6B580A5-3632-41F0-9891-11C863F5E01D}"/>
    <cellStyle name="Note 3 3 17 2" xfId="30181" xr:uid="{E2A6E1C7-6700-4595-9378-DE918DF5DCB8}"/>
    <cellStyle name="Note 3 3 18" xfId="14745" xr:uid="{76114A12-776A-4F41-9553-7E29534C670B}"/>
    <cellStyle name="Note 3 3 18 2" xfId="30182" xr:uid="{55B21993-6CC0-432A-9E91-7792F507BDF6}"/>
    <cellStyle name="Note 3 3 19" xfId="30174" xr:uid="{EBEE675E-AA42-4F17-88F0-47F3E061F950}"/>
    <cellStyle name="Note 3 3 2" xfId="14746" xr:uid="{422989DE-E302-4258-9C86-9C6E808A0CB8}"/>
    <cellStyle name="Note 3 3 2 10" xfId="14747" xr:uid="{926A1140-6A9B-4A3B-917E-15C8C3931ABC}"/>
    <cellStyle name="Note 3 3 2 10 2" xfId="30184" xr:uid="{CFA28711-7145-4D03-9A3F-3FCDAD604302}"/>
    <cellStyle name="Note 3 3 2 11" xfId="14748" xr:uid="{6291754E-3DD1-47CE-B2AF-49ABAED48C5B}"/>
    <cellStyle name="Note 3 3 2 11 2" xfId="30185" xr:uid="{8E170CEF-A42A-4CB4-A43A-86DA390CF1CD}"/>
    <cellStyle name="Note 3 3 2 12" xfId="14749" xr:uid="{434F2CBE-86F0-4681-B78A-D2207BF8F1C5}"/>
    <cellStyle name="Note 3 3 2 12 2" xfId="30186" xr:uid="{19418438-DC24-4957-9B40-583B368F5A7F}"/>
    <cellStyle name="Note 3 3 2 13" xfId="14750" xr:uid="{8E3E3863-467E-4991-8907-5C565E538C20}"/>
    <cellStyle name="Note 3 3 2 13 2" xfId="30187" xr:uid="{2CA9AEE1-98C6-4D0F-8527-F15990912DC5}"/>
    <cellStyle name="Note 3 3 2 14" xfId="14751" xr:uid="{8F94284E-0DF8-4532-B71B-45A0319C4E36}"/>
    <cellStyle name="Note 3 3 2 14 2" xfId="30188" xr:uid="{0D6F47C8-AA9A-4791-AAE0-B0B311A79CE4}"/>
    <cellStyle name="Note 3 3 2 15" xfId="14752" xr:uid="{32254CFB-8EBD-43E4-A6FB-5FEE7A2444DB}"/>
    <cellStyle name="Note 3 3 2 15 2" xfId="30191" xr:uid="{F838BE9F-0C99-412F-BFC6-249B81DB1024}"/>
    <cellStyle name="Note 3 3 2 16" xfId="30183" xr:uid="{7E32097D-03BE-4182-92E2-DBAF886509AC}"/>
    <cellStyle name="Note 3 3 2 2" xfId="14753" xr:uid="{AAA7E796-57F7-4D8A-8ED6-B079E76CEA4A}"/>
    <cellStyle name="Note 3 3 2 2 2" xfId="30189" xr:uid="{C2394557-CD2C-4061-9AD4-EDEF8BB27351}"/>
    <cellStyle name="Note 3 3 2 3" xfId="14754" xr:uid="{C2E1B1DA-11DE-489D-B4EE-953A64D03D5C}"/>
    <cellStyle name="Note 3 3 2 3 2" xfId="30190" xr:uid="{ED7BEF6A-D67B-4411-8B90-36416C11EA26}"/>
    <cellStyle name="Note 3 3 2 4" xfId="14755" xr:uid="{E284C359-EBDF-4418-A94D-B4A2335B0606}"/>
    <cellStyle name="Note 3 3 2 4 2" xfId="30192" xr:uid="{2224A9B1-1FC9-42E6-9F6D-B11E8E893416}"/>
    <cellStyle name="Note 3 3 2 5" xfId="14756" xr:uid="{0A382162-3808-4802-9F8E-DD3B5A046AFF}"/>
    <cellStyle name="Note 3 3 2 5 2" xfId="30193" xr:uid="{EE416D55-4126-44D7-BA19-3BA009111692}"/>
    <cellStyle name="Note 3 3 2 6" xfId="14757" xr:uid="{27F2806C-9E14-4399-8DE8-9572F41E499B}"/>
    <cellStyle name="Note 3 3 2 6 2" xfId="30194" xr:uid="{552524D6-0427-4C92-A6F4-CD4ABD112667}"/>
    <cellStyle name="Note 3 3 2 7" xfId="14758" xr:uid="{D2B585BE-4291-4684-9CD7-46B878E5FBDE}"/>
    <cellStyle name="Note 3 3 2 7 2" xfId="30195" xr:uid="{3C937854-F80A-43CD-A8B3-B8765A44A92D}"/>
    <cellStyle name="Note 3 3 2 8" xfId="14759" xr:uid="{E34D23E6-4499-4421-B21C-9665A8BC9E36}"/>
    <cellStyle name="Note 3 3 2 8 2" xfId="30196" xr:uid="{8A222FBA-17FD-45D1-A80A-354E5AD3E2E3}"/>
    <cellStyle name="Note 3 3 2 9" xfId="14760" xr:uid="{5E0B4E03-6D19-4DA7-B526-7647D3CF5E4B}"/>
    <cellStyle name="Note 3 3 2 9 2" xfId="30197" xr:uid="{E929F7EC-CB2A-4291-B315-83CE24B14C02}"/>
    <cellStyle name="Note 3 3 3" xfId="14761" xr:uid="{6AA9FFC8-FA65-4B8B-9623-1CBB9F1A8EE0}"/>
    <cellStyle name="Note 3 3 3 2" xfId="30198" xr:uid="{EB88FDFA-25B3-442F-B7EB-CD8AD4B45980}"/>
    <cellStyle name="Note 3 3 4" xfId="14762" xr:uid="{0B3FC858-D9FF-43A7-972C-AFB643439506}"/>
    <cellStyle name="Note 3 3 4 2" xfId="30199" xr:uid="{A004C9C4-1DDE-4827-B20B-E0CB8545FEE6}"/>
    <cellStyle name="Note 3 3 5" xfId="14763" xr:uid="{71649319-0610-42F4-9410-666D47B664A6}"/>
    <cellStyle name="Note 3 3 5 2" xfId="30200" xr:uid="{D233CC81-C529-473F-B503-25580AD09DE6}"/>
    <cellStyle name="Note 3 3 6" xfId="14764" xr:uid="{ECBFA021-37BF-4EFA-A66E-580CCDD9389E}"/>
    <cellStyle name="Note 3 3 6 2" xfId="30201" xr:uid="{0BAE6E09-EF9B-4E10-8F20-433450B27794}"/>
    <cellStyle name="Note 3 3 7" xfId="14765" xr:uid="{CBD3C7E4-68C9-4F36-B2D1-DCFD405B524F}"/>
    <cellStyle name="Note 3 3 7 2" xfId="30202" xr:uid="{CE8080D6-4E28-43B8-A678-6891E0FF46FB}"/>
    <cellStyle name="Note 3 3 8" xfId="14766" xr:uid="{5E9981EE-F789-4D65-801F-8F0E4A5E0A30}"/>
    <cellStyle name="Note 3 3 8 2" xfId="30203" xr:uid="{FB1BB262-3509-4010-A7CA-11AB5EDCB39A}"/>
    <cellStyle name="Note 3 3 9" xfId="14767" xr:uid="{66B08ADA-BFB3-4955-8F52-06549BEBEE1A}"/>
    <cellStyle name="Note 3 3 9 2" xfId="30204" xr:uid="{4B30531D-BF96-434D-9568-619DD87CCB00}"/>
    <cellStyle name="Note 3 4" xfId="14768" xr:uid="{7EFAC38B-838D-4180-A3DE-37AFC5A892AD}"/>
    <cellStyle name="Note 3 4 10" xfId="14769" xr:uid="{72C6B8C5-D646-4C47-BBFB-57829AA842A6}"/>
    <cellStyle name="Note 3 4 10 2" xfId="30206" xr:uid="{B93286F9-1278-4016-8D7B-059CA01F98DB}"/>
    <cellStyle name="Note 3 4 11" xfId="14770" xr:uid="{DE84C738-17B6-4447-9ABB-EB6293B7BEB7}"/>
    <cellStyle name="Note 3 4 11 2" xfId="30207" xr:uid="{F6696F85-A02D-4C1E-BC51-16AC84496C43}"/>
    <cellStyle name="Note 3 4 12" xfId="14771" xr:uid="{5AE58BB3-29FF-4F99-97FA-08107A4DA59A}"/>
    <cellStyle name="Note 3 4 12 2" xfId="30208" xr:uid="{B474B00E-9070-4FD1-9842-512B3FFE3BC6}"/>
    <cellStyle name="Note 3 4 13" xfId="14772" xr:uid="{710782D5-B73C-4085-BF7E-1308B0A95D5B}"/>
    <cellStyle name="Note 3 4 13 2" xfId="30209" xr:uid="{73D655D7-CDDD-4C9F-B169-A1E1CB53499D}"/>
    <cellStyle name="Note 3 4 14" xfId="14773" xr:uid="{7BC6CD42-935C-486D-9A15-CB24D09441A5}"/>
    <cellStyle name="Note 3 4 14 2" xfId="30210" xr:uid="{CCEF4BF8-4906-4985-B779-B5B989BB4430}"/>
    <cellStyle name="Note 3 4 15" xfId="14774" xr:uid="{094864DE-F38A-4BE2-9D6C-0331B6BFB3A1}"/>
    <cellStyle name="Note 3 4 15 2" xfId="30211" xr:uid="{E55DD6A4-3E84-462F-BFE0-C06BB7BFA190}"/>
    <cellStyle name="Note 3 4 16" xfId="14775" xr:uid="{BDC2B3B9-CB12-4B70-838B-8B1BF1D37DD6}"/>
    <cellStyle name="Note 3 4 16 2" xfId="30212" xr:uid="{571E681D-FA36-489D-85CC-77F23BF0BA97}"/>
    <cellStyle name="Note 3 4 17" xfId="14776" xr:uid="{CD6FA33C-68DE-41BF-AA2D-7431A0759E8D}"/>
    <cellStyle name="Note 3 4 17 2" xfId="30213" xr:uid="{07FA90BB-C2BF-4D37-B488-04270697D5B4}"/>
    <cellStyle name="Note 3 4 18" xfId="14777" xr:uid="{C46AE9B9-FD4C-46AD-A106-C9504C7CDEA3}"/>
    <cellStyle name="Note 3 4 18 2" xfId="30214" xr:uid="{A8946EC5-3F18-4679-B239-C5DBA7CD6332}"/>
    <cellStyle name="Note 3 4 19" xfId="30205" xr:uid="{C6897FF1-4778-4CC1-B18F-4F9F61F2FB2C}"/>
    <cellStyle name="Note 3 4 2" xfId="14778" xr:uid="{0C431E04-9C40-4D46-84E1-F01E028D3F57}"/>
    <cellStyle name="Note 3 4 2 10" xfId="14779" xr:uid="{2A4C5A0E-618D-44CF-B43E-97F4B05A208F}"/>
    <cellStyle name="Note 3 4 2 10 2" xfId="30216" xr:uid="{50828936-E2EA-4B36-AA7F-7DAC6EFB07D0}"/>
    <cellStyle name="Note 3 4 2 11" xfId="14780" xr:uid="{941B0C3A-8254-4202-A9D9-C0E4ACF635EF}"/>
    <cellStyle name="Note 3 4 2 11 2" xfId="30217" xr:uid="{12D4FB15-36FF-46B5-8C34-7E578B7AF598}"/>
    <cellStyle name="Note 3 4 2 12" xfId="14781" xr:uid="{2B6974DA-E470-4402-B7FB-78EE6C83CFAA}"/>
    <cellStyle name="Note 3 4 2 12 2" xfId="30218" xr:uid="{8445D423-4C77-45DA-9CAA-A748B48E83B6}"/>
    <cellStyle name="Note 3 4 2 13" xfId="14782" xr:uid="{D3B5C7ED-064A-4A9D-8450-D114C85A6C7D}"/>
    <cellStyle name="Note 3 4 2 13 2" xfId="30219" xr:uid="{DC72FB2E-0BDA-4A84-91B2-E05805ECB45A}"/>
    <cellStyle name="Note 3 4 2 14" xfId="14783" xr:uid="{65B0282E-052E-45BD-A008-73B3A7933C60}"/>
    <cellStyle name="Note 3 4 2 14 2" xfId="30220" xr:uid="{D070AAEF-F64D-48C0-9626-EA32A753C2E5}"/>
    <cellStyle name="Note 3 4 2 15" xfId="14784" xr:uid="{BFCA6BCD-8D4B-4C9C-83E7-D1BF3BFBCAF7}"/>
    <cellStyle name="Note 3 4 2 15 2" xfId="30221" xr:uid="{E5B35831-7932-4E0D-868F-D381CC10531C}"/>
    <cellStyle name="Note 3 4 2 16" xfId="30215" xr:uid="{619B4303-6742-4AB6-9F61-9E207BBC9763}"/>
    <cellStyle name="Note 3 4 2 2" xfId="14785" xr:uid="{55A27BE6-C683-411E-9D7E-68793273B628}"/>
    <cellStyle name="Note 3 4 2 2 2" xfId="30222" xr:uid="{41F20822-F4B7-4EEE-835F-1292C0534644}"/>
    <cellStyle name="Note 3 4 2 3" xfId="14786" xr:uid="{65556D1D-C958-4118-8242-F23A84C975A6}"/>
    <cellStyle name="Note 3 4 2 3 2" xfId="30223" xr:uid="{C6A2C362-B46B-4BF5-BD71-36F270866C72}"/>
    <cellStyle name="Note 3 4 2 4" xfId="14787" xr:uid="{65120F00-7F0C-41A7-9A8B-5D214C0FF386}"/>
    <cellStyle name="Note 3 4 2 4 2" xfId="30224" xr:uid="{68859584-CE3A-4B1C-87F8-659FD13AB5C6}"/>
    <cellStyle name="Note 3 4 2 5" xfId="14788" xr:uid="{A8B27543-B486-44B5-9DFD-D5F667757B12}"/>
    <cellStyle name="Note 3 4 2 5 2" xfId="30225" xr:uid="{78ECAA77-82CF-4689-BEB9-A6A6F39B082B}"/>
    <cellStyle name="Note 3 4 2 6" xfId="14789" xr:uid="{E0A02F69-4191-4CC4-BB17-E7E4238BBCC8}"/>
    <cellStyle name="Note 3 4 2 6 2" xfId="30226" xr:uid="{8EF3549C-F99E-445B-91C4-052AB1EEC9CC}"/>
    <cellStyle name="Note 3 4 2 7" xfId="14790" xr:uid="{EA7A7E9E-FF4B-4A54-A103-152AA76A9D11}"/>
    <cellStyle name="Note 3 4 2 7 2" xfId="30227" xr:uid="{6C5F7B52-FBBC-4E5B-A714-D7D206D50239}"/>
    <cellStyle name="Note 3 4 2 8" xfId="14791" xr:uid="{A7FB80DE-65BF-46CF-A10E-5B82F2C2EF69}"/>
    <cellStyle name="Note 3 4 2 8 2" xfId="30228" xr:uid="{A304EB2A-E3B0-4A1D-9205-3A179AD8CA33}"/>
    <cellStyle name="Note 3 4 2 9" xfId="14792" xr:uid="{C078012D-38B4-4A4E-BADA-D63456118A24}"/>
    <cellStyle name="Note 3 4 2 9 2" xfId="30229" xr:uid="{E2285891-0595-492D-901C-A1EF5B7E0270}"/>
    <cellStyle name="Note 3 4 3" xfId="14793" xr:uid="{336F4742-799D-42DE-808D-7D304CDB7E34}"/>
    <cellStyle name="Note 3 4 3 2" xfId="30230" xr:uid="{82453A63-741E-49AE-B1A5-F0E56D381451}"/>
    <cellStyle name="Note 3 4 4" xfId="14794" xr:uid="{872470A9-C02A-4B6E-A8D6-38E504EB31D8}"/>
    <cellStyle name="Note 3 4 4 2" xfId="30231" xr:uid="{90276C4D-0708-41B1-9972-119FB8717B2B}"/>
    <cellStyle name="Note 3 4 5" xfId="14795" xr:uid="{969C70B1-3262-410F-8E5D-0EBF94001146}"/>
    <cellStyle name="Note 3 4 5 2" xfId="30232" xr:uid="{FA93B94D-74F2-4EDB-962E-216B9A781B73}"/>
    <cellStyle name="Note 3 4 6" xfId="14796" xr:uid="{30F47EE8-8369-4C59-BB99-271278F8B83A}"/>
    <cellStyle name="Note 3 4 6 2" xfId="30233" xr:uid="{1BE63908-D1A4-4482-8248-86ECD80E4E96}"/>
    <cellStyle name="Note 3 4 7" xfId="14797" xr:uid="{FD0CB1E4-BE68-414B-95BC-834B479FCA2A}"/>
    <cellStyle name="Note 3 4 7 2" xfId="30234" xr:uid="{F4B0AB50-A7E4-4DE5-827A-B8D933905634}"/>
    <cellStyle name="Note 3 4 8" xfId="14798" xr:uid="{94026916-42C3-4206-B457-EFC3827D051C}"/>
    <cellStyle name="Note 3 4 8 2" xfId="30235" xr:uid="{8026F7ED-CEB2-4032-93EE-BEF5434FBB06}"/>
    <cellStyle name="Note 3 4 9" xfId="14799" xr:uid="{A7FB5199-A2D0-4D9A-8691-AF42D2036BDF}"/>
    <cellStyle name="Note 3 4 9 2" xfId="30236" xr:uid="{2F2CE325-CADB-47F9-BD9E-EF5F63BFC4D3}"/>
    <cellStyle name="Note 3 5" xfId="14800" xr:uid="{0C17347A-350B-46F3-9D21-9A10E99A5C2E}"/>
    <cellStyle name="Note 3 5 10" xfId="14801" xr:uid="{BE4FEDD4-AD2F-44E2-85F8-25648F51857E}"/>
    <cellStyle name="Note 3 5 10 2" xfId="30238" xr:uid="{6F996F1F-E7A5-4A89-B2E0-CDEED28F19DF}"/>
    <cellStyle name="Note 3 5 11" xfId="14802" xr:uid="{C96EF633-FD40-497F-BB5D-9193E20A729A}"/>
    <cellStyle name="Note 3 5 11 2" xfId="30239" xr:uid="{8DAE1896-E3D4-4374-A724-17FDFD8688E4}"/>
    <cellStyle name="Note 3 5 12" xfId="14803" xr:uid="{C8ECFCC1-DB79-4529-90DF-306022BC60CE}"/>
    <cellStyle name="Note 3 5 12 2" xfId="30240" xr:uid="{6FCCEE5B-1290-404E-BEDC-B1E031A50835}"/>
    <cellStyle name="Note 3 5 13" xfId="14804" xr:uid="{E6D75242-D280-477B-8D60-A56B0F5F7A6A}"/>
    <cellStyle name="Note 3 5 13 2" xfId="30241" xr:uid="{283D667F-9239-4D13-9BA7-C806A43F79FE}"/>
    <cellStyle name="Note 3 5 14" xfId="14805" xr:uid="{D0D84AA8-FE43-4CD0-AAF4-1D213B7823A9}"/>
    <cellStyle name="Note 3 5 14 2" xfId="30242" xr:uid="{1286DACC-E6DD-4D1B-B52B-7D453ED9273B}"/>
    <cellStyle name="Note 3 5 15" xfId="14806" xr:uid="{AB07FAEB-516B-4097-B6D0-209610B21521}"/>
    <cellStyle name="Note 3 5 15 2" xfId="30243" xr:uid="{26E727CA-0B4C-483E-9690-A34B245A52A7}"/>
    <cellStyle name="Note 3 5 16" xfId="30237" xr:uid="{8CE2CCAC-216C-4262-AC2B-A3D0DA4F0DD5}"/>
    <cellStyle name="Note 3 5 2" xfId="14807" xr:uid="{3593552C-F72D-44F0-A517-0162DC309487}"/>
    <cellStyle name="Note 3 5 2 2" xfId="30244" xr:uid="{58564B44-3836-4C09-985B-1FDC2B218560}"/>
    <cellStyle name="Note 3 5 3" xfId="14808" xr:uid="{0C200335-9751-4508-A5AC-889C81034D48}"/>
    <cellStyle name="Note 3 5 3 2" xfId="30245" xr:uid="{2F4FEDD2-9FFF-4D20-9449-272882814E32}"/>
    <cellStyle name="Note 3 5 4" xfId="14809" xr:uid="{F31178D5-95A9-4848-B7F5-59490E21BE14}"/>
    <cellStyle name="Note 3 5 4 2" xfId="30246" xr:uid="{D43E7070-6360-4799-99CD-2A015D1BFCCA}"/>
    <cellStyle name="Note 3 5 5" xfId="14810" xr:uid="{DEE8C1A0-5087-49EF-B42E-6ADE9375A7F5}"/>
    <cellStyle name="Note 3 5 5 2" xfId="30247" xr:uid="{6DB46FD3-2B12-42BA-8569-FA9809834712}"/>
    <cellStyle name="Note 3 5 6" xfId="14811" xr:uid="{1D14F94A-D185-408E-B57B-B8B1D07BD51B}"/>
    <cellStyle name="Note 3 5 6 2" xfId="30248" xr:uid="{CF800969-EA9F-494B-99CF-36E5677052E3}"/>
    <cellStyle name="Note 3 5 7" xfId="14812" xr:uid="{DAEEABEE-FF4C-4D5A-AF57-EC1222E19E14}"/>
    <cellStyle name="Note 3 5 7 2" xfId="30249" xr:uid="{484358A2-53A6-4D1F-8471-5B4A0E21C349}"/>
    <cellStyle name="Note 3 5 8" xfId="14813" xr:uid="{FD0887D0-A542-49D5-9725-06D4306E7A16}"/>
    <cellStyle name="Note 3 5 8 2" xfId="30250" xr:uid="{4F8327A0-5D12-493E-96C5-98108AC12CB2}"/>
    <cellStyle name="Note 3 5 9" xfId="14814" xr:uid="{90EE4C67-26C7-4C59-AA55-9217604C157F}"/>
    <cellStyle name="Note 3 5 9 2" xfId="30251" xr:uid="{E190D2AB-9F63-451B-AEAD-3E13B73A74C2}"/>
    <cellStyle name="Note 3 6" xfId="14815" xr:uid="{EDF6C747-0FB9-4929-8837-8728B5840978}"/>
    <cellStyle name="Note 3 6 2" xfId="30252" xr:uid="{87E81D65-55B1-45C7-93F4-A2AA74B7088C}"/>
    <cellStyle name="Note 3 7" xfId="14816" xr:uid="{0D3DFFEC-4715-4225-8C43-4693A47494FD}"/>
    <cellStyle name="Note 3 7 2" xfId="30253" xr:uid="{2A05C083-52BC-454A-8F01-1419A9BA5D71}"/>
    <cellStyle name="Note 3 8" xfId="14817" xr:uid="{42724AAE-F4CE-4BC3-9A79-D16F17234190}"/>
    <cellStyle name="Note 3 8 2" xfId="30254" xr:uid="{98F3A758-BA1F-4BEE-9809-5A496B29815D}"/>
    <cellStyle name="Note 3 9" xfId="14818" xr:uid="{3317CFDE-85A3-493A-AF0E-B0BA903500EB}"/>
    <cellStyle name="Note 3 9 2" xfId="30255" xr:uid="{0754EE0E-3F1B-483A-8871-5311AE40DB26}"/>
    <cellStyle name="Note 4" xfId="14819" xr:uid="{80325245-BCC5-45A7-A1D0-5A8E00452235}"/>
    <cellStyle name="Note 5" xfId="14820" xr:uid="{5D2BC310-A15C-4949-BB4E-A24CE8FDE4A4}"/>
    <cellStyle name="Note 5 10" xfId="14821" xr:uid="{036B3C17-EA22-43EA-B0D6-EB72CC661CED}"/>
    <cellStyle name="Note 5 10 2" xfId="30257" xr:uid="{BCB0F78B-99DC-4484-A0C7-B5CCA7BAD8A8}"/>
    <cellStyle name="Note 5 11" xfId="14822" xr:uid="{04325EC3-09E4-4FFE-90B2-B82B7E43AEC9}"/>
    <cellStyle name="Note 5 11 2" xfId="30258" xr:uid="{44A0EF8E-ABC6-402E-8A1D-788E980D4E60}"/>
    <cellStyle name="Note 5 12" xfId="14823" xr:uid="{27B0D631-09DD-4BE9-8B6B-41FC62E1FA4D}"/>
    <cellStyle name="Note 5 12 2" xfId="30259" xr:uid="{5057E58C-ABD0-4A25-B5F1-A34FCD4CEE2E}"/>
    <cellStyle name="Note 5 13" xfId="14824" xr:uid="{E343CDD3-B654-4DD1-B141-936D49B73D7A}"/>
    <cellStyle name="Note 5 13 2" xfId="30260" xr:uid="{DC432468-AE1C-495A-A814-05F9683D7F41}"/>
    <cellStyle name="Note 5 14" xfId="14825" xr:uid="{CE0F0B06-FDC7-4FBD-9AFD-ECA9F5A47BEE}"/>
    <cellStyle name="Note 5 14 2" xfId="30261" xr:uid="{C4F8B390-EC46-4DF8-B109-4E61BFE128B7}"/>
    <cellStyle name="Note 5 15" xfId="14826" xr:uid="{B87B01C6-3BEB-4A3D-98BC-9F47FED32DF8}"/>
    <cellStyle name="Note 5 15 2" xfId="30262" xr:uid="{8BE87CBA-F3C4-45FF-8106-4BC4A6F41017}"/>
    <cellStyle name="Note 5 16" xfId="14827" xr:uid="{1A0DE290-6E11-4CA7-88EC-496A0137F175}"/>
    <cellStyle name="Note 5 16 2" xfId="30263" xr:uid="{2F5C7136-25D5-47F2-A8E7-B449183ED437}"/>
    <cellStyle name="Note 5 17" xfId="14828" xr:uid="{0AA3D5AC-D7D6-41B9-A902-562367AD6BF8}"/>
    <cellStyle name="Note 5 17 2" xfId="30264" xr:uid="{A9F3B4D4-8756-4B5D-89AF-437F213AF51E}"/>
    <cellStyle name="Note 5 18" xfId="14829" xr:uid="{DBA2118E-B067-4C5D-A3E9-75ECD4EAD099}"/>
    <cellStyle name="Note 5 18 2" xfId="30265" xr:uid="{7FBDB3D4-9E44-49B5-AC7D-679CFDEA680C}"/>
    <cellStyle name="Note 5 19" xfId="14830" xr:uid="{E2EBD677-40BA-44A3-8AB1-9D8635A75ADE}"/>
    <cellStyle name="Note 5 19 2" xfId="30266" xr:uid="{1DE1171B-DD1C-45D4-A291-3EC64385E6FE}"/>
    <cellStyle name="Note 5 2" xfId="14831" xr:uid="{46BBA180-9378-4775-80FB-9B7C2D1FE36C}"/>
    <cellStyle name="Note 5 2 10" xfId="14832" xr:uid="{8D040126-6D75-48E5-A531-F18BB23C33F5}"/>
    <cellStyle name="Note 5 2 10 2" xfId="30268" xr:uid="{53D76883-8008-4473-8656-9D66F717ADB1}"/>
    <cellStyle name="Note 5 2 11" xfId="14833" xr:uid="{14DFCE40-7D8B-4FDD-9B1B-DD0044E3D759}"/>
    <cellStyle name="Note 5 2 11 2" xfId="30269" xr:uid="{5139B54B-B927-4FA1-AF3A-88E9CEAD4BC7}"/>
    <cellStyle name="Note 5 2 12" xfId="14834" xr:uid="{4A442679-0545-4049-8B93-F024F3A8EE54}"/>
    <cellStyle name="Note 5 2 12 2" xfId="30270" xr:uid="{24C12CBA-D2BA-4F67-A2F4-DD388D671F1B}"/>
    <cellStyle name="Note 5 2 13" xfId="14835" xr:uid="{D3A92615-0130-49B5-B48B-9C6940D3D007}"/>
    <cellStyle name="Note 5 2 13 2" xfId="30271" xr:uid="{F2C96366-DCD9-424C-809B-50957F9910F8}"/>
    <cellStyle name="Note 5 2 14" xfId="14836" xr:uid="{0945219A-98FF-479F-AA93-6B004AF74E88}"/>
    <cellStyle name="Note 5 2 14 2" xfId="30272" xr:uid="{237E7AD2-F86B-41ED-B4A5-476483B80598}"/>
    <cellStyle name="Note 5 2 15" xfId="14837" xr:uid="{E3C3B695-B299-4999-BA68-05164B03926F}"/>
    <cellStyle name="Note 5 2 15 2" xfId="30273" xr:uid="{8922F3E7-0597-43FD-B583-CEE63C579448}"/>
    <cellStyle name="Note 5 2 16" xfId="14838" xr:uid="{432DDB34-3E5D-4545-B747-E0981541053D}"/>
    <cellStyle name="Note 5 2 16 2" xfId="30274" xr:uid="{AB54CA97-7BBA-4388-80A4-C0E95C0DAAFB}"/>
    <cellStyle name="Note 5 2 17" xfId="14839" xr:uid="{2C9FA9A1-2778-4E56-B13A-FEB7C55E1BF8}"/>
    <cellStyle name="Note 5 2 17 2" xfId="30275" xr:uid="{498DD739-9418-4323-A930-1649F0792476}"/>
    <cellStyle name="Note 5 2 18" xfId="14840" xr:uid="{B4415A49-8D66-4209-B10E-90ED5005BD3A}"/>
    <cellStyle name="Note 5 2 18 2" xfId="30276" xr:uid="{207F2828-EED0-4A49-B97A-F884A7B575C6}"/>
    <cellStyle name="Note 5 2 19" xfId="30267" xr:uid="{FFCCD708-9C54-418C-93DD-C773CFD772D1}"/>
    <cellStyle name="Note 5 2 2" xfId="14841" xr:uid="{3816CAAD-A770-4781-BF4C-C7A956EEB786}"/>
    <cellStyle name="Note 5 2 2 10" xfId="14842" xr:uid="{D37B0739-8C35-425A-B2EC-8482375CB598}"/>
    <cellStyle name="Note 5 2 2 10 2" xfId="30278" xr:uid="{6BBBA5D8-8D11-4EF8-AC8A-1199374B744F}"/>
    <cellStyle name="Note 5 2 2 11" xfId="14843" xr:uid="{E2F1FF5D-2A52-4705-9A93-42EA265BCE2B}"/>
    <cellStyle name="Note 5 2 2 11 2" xfId="30279" xr:uid="{C786061E-DA03-4B21-B582-8564F96033AE}"/>
    <cellStyle name="Note 5 2 2 12" xfId="14844" xr:uid="{C86A36B0-970D-4F5F-8457-E235C848B843}"/>
    <cellStyle name="Note 5 2 2 12 2" xfId="30280" xr:uid="{5CE82555-AEE1-4884-A57F-AB392D9725C2}"/>
    <cellStyle name="Note 5 2 2 13" xfId="14845" xr:uid="{31058D9F-407B-4C43-BC9C-EBAB62283CB3}"/>
    <cellStyle name="Note 5 2 2 13 2" xfId="30281" xr:uid="{6D12F4B3-912E-4075-98CE-5FEA4F5F5674}"/>
    <cellStyle name="Note 5 2 2 14" xfId="14846" xr:uid="{57C46C9F-3DA5-422B-8971-7DEDAFC7FA3E}"/>
    <cellStyle name="Note 5 2 2 14 2" xfId="30282" xr:uid="{D2D8CF4C-6042-4626-B2FA-8224DCE96117}"/>
    <cellStyle name="Note 5 2 2 15" xfId="14847" xr:uid="{AF4CB740-921A-41EA-AF8B-DF77436B89D5}"/>
    <cellStyle name="Note 5 2 2 15 2" xfId="30283" xr:uid="{354C988C-7637-44BB-AF3D-0352740A3F7D}"/>
    <cellStyle name="Note 5 2 2 16" xfId="30277" xr:uid="{B09840E4-AA01-42B1-9115-192D326CD848}"/>
    <cellStyle name="Note 5 2 2 2" xfId="14848" xr:uid="{017129DF-0301-4E2A-A18E-9B79870626DD}"/>
    <cellStyle name="Note 5 2 2 2 2" xfId="30284" xr:uid="{4819659F-81C1-4459-840D-B788C421DDBA}"/>
    <cellStyle name="Note 5 2 2 3" xfId="14849" xr:uid="{6202332D-261D-4253-BD27-E66EA6BD4A89}"/>
    <cellStyle name="Note 5 2 2 3 2" xfId="30285" xr:uid="{6D932771-E02B-41C8-9EBB-E5DC46540673}"/>
    <cellStyle name="Note 5 2 2 4" xfId="14850" xr:uid="{B8014B71-7819-44B9-B73C-AD5D3CCC5C58}"/>
    <cellStyle name="Note 5 2 2 4 2" xfId="30286" xr:uid="{4A09485F-1E7F-4F4D-8D54-6065D06544AC}"/>
    <cellStyle name="Note 5 2 2 5" xfId="14851" xr:uid="{079FA945-6AC1-4117-ABA1-229D8FC86FC2}"/>
    <cellStyle name="Note 5 2 2 5 2" xfId="30287" xr:uid="{76EC91A8-9B72-4FE5-9A6D-AE7A9CCED1FA}"/>
    <cellStyle name="Note 5 2 2 6" xfId="14852" xr:uid="{08491D5F-1D72-46D4-89B7-A7ABA1CF8D3B}"/>
    <cellStyle name="Note 5 2 2 6 2" xfId="30288" xr:uid="{12FD3FE3-32D7-4342-BAEE-44A237C9019A}"/>
    <cellStyle name="Note 5 2 2 7" xfId="14853" xr:uid="{42C2481E-A6D3-4973-903A-AB157312D4E6}"/>
    <cellStyle name="Note 5 2 2 7 2" xfId="30289" xr:uid="{90370B6F-9E36-43CC-B3D1-9C0139202F99}"/>
    <cellStyle name="Note 5 2 2 8" xfId="14854" xr:uid="{5110C612-ADFC-482A-A188-2AE91011BF59}"/>
    <cellStyle name="Note 5 2 2 8 2" xfId="30290" xr:uid="{B5584D6A-3661-4D3E-8456-1E02CF7D80C2}"/>
    <cellStyle name="Note 5 2 2 9" xfId="14855" xr:uid="{04BBB8C7-D15A-49D2-8309-1889AB527E5B}"/>
    <cellStyle name="Note 5 2 2 9 2" xfId="30291" xr:uid="{1517C632-7A3D-43AB-B2F3-FF275BA7B571}"/>
    <cellStyle name="Note 5 2 3" xfId="14856" xr:uid="{7D3FC31C-0C95-464B-A449-CDE4510E5578}"/>
    <cellStyle name="Note 5 2 3 2" xfId="30292" xr:uid="{D5DEDB2B-0F2C-44BB-BD91-36A0C80AD7E4}"/>
    <cellStyle name="Note 5 2 4" xfId="14857" xr:uid="{2841AA5E-C1AA-41F3-A4F2-C04ACFDA79B0}"/>
    <cellStyle name="Note 5 2 4 2" xfId="30293" xr:uid="{32E44767-E39A-4165-98D1-871F20392740}"/>
    <cellStyle name="Note 5 2 5" xfId="14858" xr:uid="{03D3FE52-225E-42C7-9FDB-1CD75F31D64F}"/>
    <cellStyle name="Note 5 2 5 2" xfId="30294" xr:uid="{9BBFB3E8-FA41-4E79-88AC-AF352A7CAC03}"/>
    <cellStyle name="Note 5 2 6" xfId="14859" xr:uid="{07F76F69-3FCF-489E-83C5-2BC1B36A6F83}"/>
    <cellStyle name="Note 5 2 6 2" xfId="30295" xr:uid="{36711743-BE9C-4885-B335-5D14ABD11968}"/>
    <cellStyle name="Note 5 2 7" xfId="14860" xr:uid="{B389A6AA-F931-42EC-8193-12B984645325}"/>
    <cellStyle name="Note 5 2 7 2" xfId="30296" xr:uid="{3F357630-D329-4104-A514-3AF50ED0502B}"/>
    <cellStyle name="Note 5 2 8" xfId="14861" xr:uid="{3C6F4027-ADD5-4DFE-952C-766C2795034C}"/>
    <cellStyle name="Note 5 2 8 2" xfId="30297" xr:uid="{D16FF3E4-75EC-4494-9557-940671F7D040}"/>
    <cellStyle name="Note 5 2 9" xfId="14862" xr:uid="{2F55E41E-D91B-4646-8FA6-D4F44F75FE82}"/>
    <cellStyle name="Note 5 2 9 2" xfId="30298" xr:uid="{0079DD47-2A09-4EE1-A0C2-3CF085A48A3B}"/>
    <cellStyle name="Note 5 20" xfId="14863" xr:uid="{5DC603A4-519A-40D8-B812-AFB9464C7BF2}"/>
    <cellStyle name="Note 5 20 2" xfId="30299" xr:uid="{52E14F05-AA8E-4E93-9ECE-F3FE53411AAF}"/>
    <cellStyle name="Note 5 21" xfId="14864" xr:uid="{29889C9C-0573-4781-A057-3D133FED49DE}"/>
    <cellStyle name="Note 5 21 2" xfId="30300" xr:uid="{891C5982-B67E-4E76-9CAF-B97E08E0B5E2}"/>
    <cellStyle name="Note 5 22" xfId="14865" xr:uid="{D176DA58-37F2-4497-A30E-31F97DA617C4}"/>
    <cellStyle name="Note 5 22 2" xfId="30301" xr:uid="{DD65DCB0-59D6-4BA4-8B56-27F145D8B6E7}"/>
    <cellStyle name="Note 5 23" xfId="14866" xr:uid="{D08B235A-E562-4A27-A653-27C6F02A7127}"/>
    <cellStyle name="Note 5 23 2" xfId="30302" xr:uid="{4941754D-8574-430F-95A9-DE0A2CEE697A}"/>
    <cellStyle name="Note 5 24" xfId="30256" xr:uid="{2DE3260D-F38A-4AFE-807E-BE9CC77E3EC1}"/>
    <cellStyle name="Note 5 3" xfId="14867" xr:uid="{E6A0BBAB-DA3B-4E4C-AB57-18260F34E395}"/>
    <cellStyle name="Note 5 3 10" xfId="14868" xr:uid="{FE34D019-4193-43CB-929C-F91E4ECF2D67}"/>
    <cellStyle name="Note 5 3 10 2" xfId="30304" xr:uid="{A3CA9D75-72CF-472D-81CD-A6F9262F3595}"/>
    <cellStyle name="Note 5 3 11" xfId="14869" xr:uid="{9764615A-228A-4DAB-BC90-0EB1824B3254}"/>
    <cellStyle name="Note 5 3 11 2" xfId="30305" xr:uid="{696449D9-57B8-44EA-AED6-39A0C635A23F}"/>
    <cellStyle name="Note 5 3 12" xfId="14870" xr:uid="{DD7AB6F5-5C53-4928-9813-7740D2EAFF97}"/>
    <cellStyle name="Note 5 3 12 2" xfId="30306" xr:uid="{4987D436-E378-48FD-8F55-7DADA629315A}"/>
    <cellStyle name="Note 5 3 13" xfId="14871" xr:uid="{FA97EABE-2DCF-4FCA-8D3B-830FF6BF647B}"/>
    <cellStyle name="Note 5 3 13 2" xfId="30307" xr:uid="{8C35D9F7-88E3-4195-9E89-05A5584E4D4B}"/>
    <cellStyle name="Note 5 3 14" xfId="14872" xr:uid="{CAF50735-EE6D-4961-8A75-1CD667D97F89}"/>
    <cellStyle name="Note 5 3 14 2" xfId="30308" xr:uid="{7933A986-D8D5-4641-96BA-99BD7899258F}"/>
    <cellStyle name="Note 5 3 15" xfId="14873" xr:uid="{4EBDE481-DC7F-4F2A-840C-3C77A9EB71ED}"/>
    <cellStyle name="Note 5 3 15 2" xfId="30309" xr:uid="{2064C205-EE27-4880-83B6-15B510F3FCAA}"/>
    <cellStyle name="Note 5 3 16" xfId="30303" xr:uid="{2CA4669D-6920-44E5-A5CB-2B37AE4DEC4A}"/>
    <cellStyle name="Note 5 3 2" xfId="14874" xr:uid="{8DB34E92-F9F0-4A01-AD60-424B45CDB98B}"/>
    <cellStyle name="Note 5 3 2 2" xfId="30310" xr:uid="{31F25AD7-E266-4A60-8794-6D2279723EB1}"/>
    <cellStyle name="Note 5 3 3" xfId="14875" xr:uid="{AA07F38E-8711-4505-9ACC-861B8F6C8B04}"/>
    <cellStyle name="Note 5 3 3 2" xfId="30311" xr:uid="{F0A2FB84-CFFC-4BD7-9E37-69B788067C8A}"/>
    <cellStyle name="Note 5 3 4" xfId="14876" xr:uid="{0A8A8F4F-0B5D-414D-96DE-10E65B10E810}"/>
    <cellStyle name="Note 5 3 4 2" xfId="30312" xr:uid="{7AD71F73-DFEE-4549-9525-13E510BBB8D7}"/>
    <cellStyle name="Note 5 3 5" xfId="14877" xr:uid="{B22EB107-3671-4511-A405-D1EFFA93DD31}"/>
    <cellStyle name="Note 5 3 5 2" xfId="30313" xr:uid="{195981EC-C48C-427A-9333-4026554F8A2B}"/>
    <cellStyle name="Note 5 3 6" xfId="14878" xr:uid="{03BF049A-AADB-4508-8EEA-C1BA1EE84401}"/>
    <cellStyle name="Note 5 3 6 2" xfId="30314" xr:uid="{4C14F43E-9FD0-48A8-855C-4EC5B7E63EF4}"/>
    <cellStyle name="Note 5 3 7" xfId="14879" xr:uid="{2C2DEFE9-06D8-4E94-B509-41B81DC22E21}"/>
    <cellStyle name="Note 5 3 7 2" xfId="30315" xr:uid="{AC7985C5-89DB-46D1-A47D-EF1717889349}"/>
    <cellStyle name="Note 5 3 8" xfId="14880" xr:uid="{68429FBB-FD1F-44BE-9CDA-CB2F07CFBE18}"/>
    <cellStyle name="Note 5 3 8 2" xfId="30316" xr:uid="{3A5D2662-FA18-4B3C-8AFC-115B6F643CE4}"/>
    <cellStyle name="Note 5 3 9" xfId="14881" xr:uid="{3E10B971-5C08-47F3-80DB-B6A7947114C3}"/>
    <cellStyle name="Note 5 3 9 2" xfId="30317" xr:uid="{26BC549F-C3B9-41BA-A1D6-BC0D9B6A4279}"/>
    <cellStyle name="Note 5 4" xfId="14882" xr:uid="{0C1ED646-470F-4D18-B4A6-8B53A9E92578}"/>
    <cellStyle name="Note 5 4 2" xfId="30318" xr:uid="{063C90FD-ACA6-40E2-AFC3-54BDA4578AD8}"/>
    <cellStyle name="Note 5 5" xfId="14883" xr:uid="{48BED54A-22D6-4079-B05D-14F3E7BEC1C3}"/>
    <cellStyle name="Note 5 5 2" xfId="30319" xr:uid="{EE408D01-ABB2-4F23-8D75-ACE2DAB99330}"/>
    <cellStyle name="Note 5 6" xfId="14884" xr:uid="{977C308A-79D2-4F88-B13A-688DE2ABAAC6}"/>
    <cellStyle name="Note 5 6 2" xfId="30320" xr:uid="{FDC9BFDF-4D47-4273-81A7-4DEC20861245}"/>
    <cellStyle name="Note 5 7" xfId="14885" xr:uid="{A21C8857-37F3-4FE4-A055-CE5DF2374CCC}"/>
    <cellStyle name="Note 5 7 2" xfId="30321" xr:uid="{EB90F9E3-6CDA-4B48-83AB-1747A809DA2D}"/>
    <cellStyle name="Note 5 8" xfId="14886" xr:uid="{69E15FCA-492B-4740-9CF7-6B3FD315FA0C}"/>
    <cellStyle name="Note 5 8 2" xfId="30322" xr:uid="{3BADFA61-B3C0-4138-B6D9-CC8373D7811F}"/>
    <cellStyle name="Note 5 9" xfId="14887" xr:uid="{8113ED29-1D74-4C45-A54C-4156EF6D7321}"/>
    <cellStyle name="Note 5 9 2" xfId="30323" xr:uid="{A7985102-1496-4F5B-A1F7-828BF7EAAEA4}"/>
    <cellStyle name="Note 6" xfId="14888" xr:uid="{2E5FCFF5-FAFF-4A29-94C9-8E11F9CD5B73}"/>
    <cellStyle name="Note 6 10" xfId="14889" xr:uid="{EF086A3B-80A6-46D9-8931-4E188EE2B8EB}"/>
    <cellStyle name="Note 6 10 2" xfId="30325" xr:uid="{73BB5998-CEC5-4148-8575-EE22B265D2CA}"/>
    <cellStyle name="Note 6 11" xfId="14890" xr:uid="{D2670095-7C3C-435A-B050-6CCF70BEA478}"/>
    <cellStyle name="Note 6 11 2" xfId="30326" xr:uid="{4DEBF262-5CBC-41A3-9188-727412E2A28A}"/>
    <cellStyle name="Note 6 12" xfId="14891" xr:uid="{6C277E88-351F-4C41-850D-B48EB5704E96}"/>
    <cellStyle name="Note 6 12 2" xfId="30327" xr:uid="{A9946028-D0B6-46C6-91CA-4188DE3E6E01}"/>
    <cellStyle name="Note 6 13" xfId="14892" xr:uid="{4A2A7739-F719-4BDE-8B6B-9492A66D1FF2}"/>
    <cellStyle name="Note 6 13 2" xfId="30328" xr:uid="{DCE815D9-88E3-4ABF-8869-10FC1B18E07D}"/>
    <cellStyle name="Note 6 14" xfId="14893" xr:uid="{D71CDB8E-5DAB-420F-9D17-FDD88BE08B9F}"/>
    <cellStyle name="Note 6 14 2" xfId="30329" xr:uid="{564A821F-A151-4392-B13C-7E4E3D5A3908}"/>
    <cellStyle name="Note 6 15" xfId="14894" xr:uid="{45078127-AD70-4790-A922-70B1151D3310}"/>
    <cellStyle name="Note 6 15 2" xfId="30330" xr:uid="{461744B8-6941-48D3-93D8-0E9EE4959399}"/>
    <cellStyle name="Note 6 16" xfId="14895" xr:uid="{C7F65CEB-620A-45C2-A95E-9A906E09C6E7}"/>
    <cellStyle name="Note 6 16 2" xfId="30331" xr:uid="{B81943B5-F47F-4B94-818C-CB5A1EBF1D69}"/>
    <cellStyle name="Note 6 17" xfId="14896" xr:uid="{4DECB638-42CD-4C20-BF3D-A9272F2D4553}"/>
    <cellStyle name="Note 6 17 2" xfId="30332" xr:uid="{FCA7F075-C13F-4C32-8414-530A377D101E}"/>
    <cellStyle name="Note 6 18" xfId="14897" xr:uid="{6D9DBE21-07F6-4E91-A65C-D7B44751A43E}"/>
    <cellStyle name="Note 6 18 2" xfId="30333" xr:uid="{2B92DE64-BD35-435C-813F-51CFE39E4455}"/>
    <cellStyle name="Note 6 19" xfId="14898" xr:uid="{A570FCE4-8EF9-4D4E-9A16-584F61C4CBC0}"/>
    <cellStyle name="Note 6 19 2" xfId="30334" xr:uid="{8EC86CAD-E014-4D8A-9321-C285EE764E28}"/>
    <cellStyle name="Note 6 2" xfId="14899" xr:uid="{E0295C34-18E0-49F0-BA4F-72DCD161207B}"/>
    <cellStyle name="Note 6 2 10" xfId="14900" xr:uid="{AB51C734-561B-4E68-ABE0-90D346C7D50D}"/>
    <cellStyle name="Note 6 2 10 2" xfId="30336" xr:uid="{8C9C1E22-53CB-495D-901F-CA7C24965BFB}"/>
    <cellStyle name="Note 6 2 11" xfId="14901" xr:uid="{E6A74B26-D686-4ABA-8B54-F46ED17F6FD8}"/>
    <cellStyle name="Note 6 2 11 2" xfId="30337" xr:uid="{99510DD4-90A7-489C-9401-0CDCCF7337AE}"/>
    <cellStyle name="Note 6 2 12" xfId="14902" xr:uid="{50345DA1-2CA7-490C-8F4C-73EFD27E1CFC}"/>
    <cellStyle name="Note 6 2 12 2" xfId="30338" xr:uid="{B596B73A-9CAB-4561-A454-5866708B3F9F}"/>
    <cellStyle name="Note 6 2 13" xfId="14903" xr:uid="{8CD2EFCB-2625-45F7-9CB3-B4B9A0F29D38}"/>
    <cellStyle name="Note 6 2 13 2" xfId="30339" xr:uid="{16F8431F-42BB-44A2-BD6B-F0330B291895}"/>
    <cellStyle name="Note 6 2 14" xfId="14904" xr:uid="{C4B1789D-319F-4C7A-A568-EC4AD5E42DF8}"/>
    <cellStyle name="Note 6 2 14 2" xfId="30340" xr:uid="{DF5F0E76-1BC7-45B9-BED9-BE07F63E3D72}"/>
    <cellStyle name="Note 6 2 15" xfId="14905" xr:uid="{6C1DA3DC-1BA6-4C72-AB72-CB2AE5EAE287}"/>
    <cellStyle name="Note 6 2 15 2" xfId="30341" xr:uid="{B8A33FEA-980D-4A2A-A563-309A46FACD07}"/>
    <cellStyle name="Note 6 2 16" xfId="14906" xr:uid="{DCA27311-0FB0-4640-A91D-508A65273F07}"/>
    <cellStyle name="Note 6 2 16 2" xfId="30342" xr:uid="{07A53FF8-A139-4233-B88F-60F04AA6E65F}"/>
    <cellStyle name="Note 6 2 17" xfId="14907" xr:uid="{61EF34B2-8064-4EB7-A5EF-2A4B0DEE6394}"/>
    <cellStyle name="Note 6 2 17 2" xfId="30343" xr:uid="{8F6441AB-17AC-453D-827F-1996BF8511B7}"/>
    <cellStyle name="Note 6 2 18" xfId="14908" xr:uid="{701F712D-CE47-40C5-B82B-113BEA1D8485}"/>
    <cellStyle name="Note 6 2 18 2" xfId="30344" xr:uid="{5461CB95-D184-4C2C-9732-E4FF42B803F7}"/>
    <cellStyle name="Note 6 2 19" xfId="30335" xr:uid="{00BE355D-C393-40F2-89FB-39A946378980}"/>
    <cellStyle name="Note 6 2 2" xfId="14909" xr:uid="{C6959889-F3CE-4482-82E9-D1C47078CC4D}"/>
    <cellStyle name="Note 6 2 2 10" xfId="14910" xr:uid="{B2817AE9-B681-4CC3-8FCE-1D6CD2632163}"/>
    <cellStyle name="Note 6 2 2 10 2" xfId="30346" xr:uid="{E57662D1-8DA5-4EB7-A32C-C3CE62288543}"/>
    <cellStyle name="Note 6 2 2 11" xfId="14911" xr:uid="{D5CBC0E5-EDC7-455D-8FE0-A6CB2A55CB8F}"/>
    <cellStyle name="Note 6 2 2 11 2" xfId="30347" xr:uid="{85438155-E548-47EE-A88C-7807A4E0EF8A}"/>
    <cellStyle name="Note 6 2 2 12" xfId="14912" xr:uid="{2F5D7610-2527-4A07-9337-0C835C711F1A}"/>
    <cellStyle name="Note 6 2 2 12 2" xfId="30348" xr:uid="{58C442D6-BB24-47BB-86E0-E399906B0B64}"/>
    <cellStyle name="Note 6 2 2 13" xfId="14913" xr:uid="{286F51DA-34F4-4C64-9606-FEC0A6A49292}"/>
    <cellStyle name="Note 6 2 2 13 2" xfId="30349" xr:uid="{9E2372C8-6FDB-43FF-A5A1-F9FA4379FC27}"/>
    <cellStyle name="Note 6 2 2 14" xfId="14914" xr:uid="{46DC3A6B-5547-466A-AFC3-00C4435F82CF}"/>
    <cellStyle name="Note 6 2 2 14 2" xfId="30350" xr:uid="{3B73781F-A3BE-43ED-8FDB-C93FD85A953C}"/>
    <cellStyle name="Note 6 2 2 15" xfId="14915" xr:uid="{79C0827B-176F-46BF-A9A4-B006E8111AD4}"/>
    <cellStyle name="Note 6 2 2 15 2" xfId="30351" xr:uid="{7D754327-B92B-4005-A44F-4A4AF8E4AA75}"/>
    <cellStyle name="Note 6 2 2 16" xfId="30345" xr:uid="{59A2B57B-44B5-4986-9610-DBB37B7BD712}"/>
    <cellStyle name="Note 6 2 2 2" xfId="14916" xr:uid="{FFF5A73B-B145-46AE-B35E-4746FC651E30}"/>
    <cellStyle name="Note 6 2 2 2 2" xfId="30352" xr:uid="{3492279E-DF3B-4662-969A-878638873354}"/>
    <cellStyle name="Note 6 2 2 3" xfId="14917" xr:uid="{B9F30B4F-B2A8-4D59-AE57-B60FB0B7CA7B}"/>
    <cellStyle name="Note 6 2 2 3 2" xfId="30353" xr:uid="{878F44B8-26C0-48BD-8E9F-4DE896EA1702}"/>
    <cellStyle name="Note 6 2 2 4" xfId="14918" xr:uid="{9119C8F5-18C4-43F0-A69C-B24E4C2A849F}"/>
    <cellStyle name="Note 6 2 2 4 2" xfId="30354" xr:uid="{2387F95F-79B6-4428-850E-C58FA34C0D3C}"/>
    <cellStyle name="Note 6 2 2 5" xfId="14919" xr:uid="{43FEC056-1207-4E91-84C4-1FD8CB988CF7}"/>
    <cellStyle name="Note 6 2 2 5 2" xfId="30355" xr:uid="{5F42A375-9138-4F70-9030-FFE2D87D2975}"/>
    <cellStyle name="Note 6 2 2 6" xfId="14920" xr:uid="{F6BF4F52-C9DD-4D8A-BA63-ACE144BE3D8B}"/>
    <cellStyle name="Note 6 2 2 6 2" xfId="30356" xr:uid="{C8AD065A-05F9-4214-B238-19305398EBAC}"/>
    <cellStyle name="Note 6 2 2 7" xfId="14921" xr:uid="{C7456123-8DB0-4AEE-9328-60ACAE5E7016}"/>
    <cellStyle name="Note 6 2 2 7 2" xfId="30357" xr:uid="{FB4AE436-C39F-446B-865E-70158086F440}"/>
    <cellStyle name="Note 6 2 2 8" xfId="14922" xr:uid="{CF59408F-8AFB-4BD3-9F23-8EF037AADA83}"/>
    <cellStyle name="Note 6 2 2 8 2" xfId="30358" xr:uid="{9A9CF0D1-95EA-4EDC-8AD2-2A7FD067D88B}"/>
    <cellStyle name="Note 6 2 2 9" xfId="14923" xr:uid="{CD97717F-3A8F-4BE5-8F9F-CAAA06449E21}"/>
    <cellStyle name="Note 6 2 2 9 2" xfId="30359" xr:uid="{B8D5BF47-8DE1-4188-9040-EF77BE01A660}"/>
    <cellStyle name="Note 6 2 3" xfId="14924" xr:uid="{6071C39C-8D4E-4017-A403-F428CAC3EADB}"/>
    <cellStyle name="Note 6 2 3 2" xfId="30360" xr:uid="{91132DDC-20E3-4E8C-A6F5-18553435224B}"/>
    <cellStyle name="Note 6 2 4" xfId="14925" xr:uid="{37DF2E6D-53CE-48B1-B8F4-01842943AB9C}"/>
    <cellStyle name="Note 6 2 4 2" xfId="30361" xr:uid="{FF60359E-0288-4F6C-8D5E-65F1E830194E}"/>
    <cellStyle name="Note 6 2 5" xfId="14926" xr:uid="{07C7CDC8-303C-4C20-B79C-B730E7206A72}"/>
    <cellStyle name="Note 6 2 5 2" xfId="30362" xr:uid="{A67A526B-D5FF-438F-8E02-16A7A6229947}"/>
    <cellStyle name="Note 6 2 6" xfId="14927" xr:uid="{2DBCF499-2BF7-404C-9DB0-6A8C9486E259}"/>
    <cellStyle name="Note 6 2 6 2" xfId="30363" xr:uid="{AA6EB8C7-0E19-4F52-8143-DCF704B0CD72}"/>
    <cellStyle name="Note 6 2 7" xfId="14928" xr:uid="{47BB3A9A-EF28-4348-A478-9AA43BA06187}"/>
    <cellStyle name="Note 6 2 7 2" xfId="30364" xr:uid="{B3A735D4-C302-472B-BDB4-8C0F4A24E4B3}"/>
    <cellStyle name="Note 6 2 8" xfId="14929" xr:uid="{0D2BDB73-145A-4E02-B04B-1556F16987DB}"/>
    <cellStyle name="Note 6 2 8 2" xfId="30365" xr:uid="{C17062D7-5554-4163-B180-0DB0EAE9C796}"/>
    <cellStyle name="Note 6 2 9" xfId="14930" xr:uid="{9FA283CF-2E06-47E7-983F-17790BEBD53F}"/>
    <cellStyle name="Note 6 2 9 2" xfId="30366" xr:uid="{AFCD8B74-9413-4E72-94CD-62FD08C0B9DD}"/>
    <cellStyle name="Note 6 20" xfId="30324" xr:uid="{73B18DF5-5990-41B4-B83F-3C4FB671074F}"/>
    <cellStyle name="Note 6 3" xfId="14931" xr:uid="{013730F8-A847-4BB4-91A4-B69A82A1CD3C}"/>
    <cellStyle name="Note 6 3 10" xfId="14932" xr:uid="{232E4726-4494-42B4-B500-76ECA33945C0}"/>
    <cellStyle name="Note 6 3 10 2" xfId="30368" xr:uid="{AE68DDF4-2DD4-4BB3-AEB8-975C2F78C6DB}"/>
    <cellStyle name="Note 6 3 11" xfId="14933" xr:uid="{251B4DEE-DB08-4270-AA73-1014DF5E44C6}"/>
    <cellStyle name="Note 6 3 11 2" xfId="30369" xr:uid="{FBD5FCF7-ECF7-4D7C-AAE2-74B52F57A3CB}"/>
    <cellStyle name="Note 6 3 12" xfId="14934" xr:uid="{AA692882-A198-43E3-8104-0D5F26B9888B}"/>
    <cellStyle name="Note 6 3 12 2" xfId="30370" xr:uid="{76059477-CB43-41DD-BAF0-2B01AA9F7BED}"/>
    <cellStyle name="Note 6 3 13" xfId="14935" xr:uid="{88A2EBEB-930A-4A0A-BA66-57AC9C5630FC}"/>
    <cellStyle name="Note 6 3 13 2" xfId="30371" xr:uid="{FEAABB7C-E92A-4663-9446-E00BBDA76E2F}"/>
    <cellStyle name="Note 6 3 14" xfId="14936" xr:uid="{8066A9CB-CF23-475E-86EC-55E402F02A95}"/>
    <cellStyle name="Note 6 3 14 2" xfId="30372" xr:uid="{A783D73B-3F28-4370-AADE-B7EB6F24D4F5}"/>
    <cellStyle name="Note 6 3 15" xfId="14937" xr:uid="{F83211EA-EF6A-4459-BDB4-3396452CAA2A}"/>
    <cellStyle name="Note 6 3 15 2" xfId="30373" xr:uid="{18AF7672-0972-4687-8739-3E1900B401C1}"/>
    <cellStyle name="Note 6 3 16" xfId="30367" xr:uid="{68E7AFCF-258A-40D1-B22A-ED8C930D8AD5}"/>
    <cellStyle name="Note 6 3 2" xfId="14938" xr:uid="{55D242D6-B3C2-43A9-A0A5-DBB44EE416A4}"/>
    <cellStyle name="Note 6 3 2 2" xfId="30374" xr:uid="{5590050B-66E7-4743-B836-FBBC48F13896}"/>
    <cellStyle name="Note 6 3 3" xfId="14939" xr:uid="{442DFAA7-98D3-4EB2-88D3-1943F96EF450}"/>
    <cellStyle name="Note 6 3 3 2" xfId="30375" xr:uid="{5D6BD400-5D0F-44A9-A501-6C8F41E6DDBA}"/>
    <cellStyle name="Note 6 3 4" xfId="14940" xr:uid="{10695F0B-3382-4437-B169-57AABAD000DC}"/>
    <cellStyle name="Note 6 3 4 2" xfId="30376" xr:uid="{408A9B94-531E-40CA-979C-B9CF624C073A}"/>
    <cellStyle name="Note 6 3 5" xfId="14941" xr:uid="{E661D9D5-78D9-4308-A8BE-469F3BB792D2}"/>
    <cellStyle name="Note 6 3 5 2" xfId="30377" xr:uid="{E01B66F9-38BB-414E-8844-67E2FC575323}"/>
    <cellStyle name="Note 6 3 6" xfId="14942" xr:uid="{2908BADD-9DAA-4B80-9E75-3F89D43F4F05}"/>
    <cellStyle name="Note 6 3 6 2" xfId="30378" xr:uid="{811CABEB-75C4-4B42-96CD-04535B099E93}"/>
    <cellStyle name="Note 6 3 7" xfId="14943" xr:uid="{CE115AB0-DE09-439C-BE75-9B3FC0A7DFE6}"/>
    <cellStyle name="Note 6 3 7 2" xfId="30379" xr:uid="{5819BD71-BC20-4C4A-83FF-FC9ADA40A41A}"/>
    <cellStyle name="Note 6 3 8" xfId="14944" xr:uid="{6D965BFD-6B3E-4A86-844F-4A51F5232121}"/>
    <cellStyle name="Note 6 3 8 2" xfId="30380" xr:uid="{CF8EAA15-59B8-4B94-AF19-279FB8239F1E}"/>
    <cellStyle name="Note 6 3 9" xfId="14945" xr:uid="{C9CA6BDE-4BFF-4A13-A874-6AC1DA83D969}"/>
    <cellStyle name="Note 6 3 9 2" xfId="30381" xr:uid="{B0D6857F-0C77-44B9-BD16-5CF9D31A3843}"/>
    <cellStyle name="Note 6 4" xfId="14946" xr:uid="{473777AA-07D8-42D9-B94A-6778C17AD1A5}"/>
    <cellStyle name="Note 6 4 2" xfId="30382" xr:uid="{5F27A689-D1FF-43A6-A6C8-BDE35ED43155}"/>
    <cellStyle name="Note 6 5" xfId="14947" xr:uid="{B3349E72-5122-486F-877B-0E8E3AB876C6}"/>
    <cellStyle name="Note 6 5 2" xfId="30383" xr:uid="{2BF9D434-60F2-4C38-8B4E-7CBFD671F601}"/>
    <cellStyle name="Note 6 6" xfId="14948" xr:uid="{DCFA9DA3-8579-40FB-9784-E0662D195CCB}"/>
    <cellStyle name="Note 6 6 2" xfId="30384" xr:uid="{930ECB5F-6209-4C74-A14C-F7129B51C5CE}"/>
    <cellStyle name="Note 6 7" xfId="14949" xr:uid="{BD464563-FEEE-43B0-82B5-90B57EA71D71}"/>
    <cellStyle name="Note 6 7 2" xfId="30385" xr:uid="{7244C268-64A5-42EA-AD11-557AB0A16A20}"/>
    <cellStyle name="Note 6 8" xfId="14950" xr:uid="{D46F6B5B-83D9-4D5E-B372-A5EEFA242AC8}"/>
    <cellStyle name="Note 6 8 2" xfId="28053" xr:uid="{F2008D45-CB15-476D-8FEA-F9827524AA3E}"/>
    <cellStyle name="Note 6 9" xfId="14951" xr:uid="{51CC9E4E-9C38-45A3-8116-BF0C76EFCEEE}"/>
    <cellStyle name="Note 6 9 2" xfId="37854" xr:uid="{ADAF538B-F587-49E2-B52F-62F947967900}"/>
    <cellStyle name="Note 7" xfId="14952" xr:uid="{10C5BAF7-91A1-44BE-9EDC-1BFCF8136D46}"/>
    <cellStyle name="Note 7 10" xfId="14953" xr:uid="{E7A6AE55-07CC-4DCA-B653-C528D5D6DD2F}"/>
    <cellStyle name="Note 7 10 2" xfId="27444" xr:uid="{6E179218-8151-49B6-8009-57C3ECCFEFF2}"/>
    <cellStyle name="Note 7 11" xfId="14954" xr:uid="{92102AE9-27EA-48A0-A10C-2F13FA2B93BC}"/>
    <cellStyle name="Note 7 11 2" xfId="30387" xr:uid="{8FDA0658-CF4E-43D2-BA27-810ED4426412}"/>
    <cellStyle name="Note 7 12" xfId="14955" xr:uid="{4A6393F1-3385-4C16-BE68-5E83056B6E94}"/>
    <cellStyle name="Note 7 12 2" xfId="30388" xr:uid="{134B11EB-D046-4E39-8A07-32E65C6553EC}"/>
    <cellStyle name="Note 7 13" xfId="14956" xr:uid="{553B1657-5F70-4DEF-B24C-0CEAECEED9EB}"/>
    <cellStyle name="Note 7 13 2" xfId="30389" xr:uid="{0B161939-6F4D-42B4-B5A8-0578A77CDE6D}"/>
    <cellStyle name="Note 7 14" xfId="14957" xr:uid="{64A0F545-9B2F-452E-BCD2-BD4DA90E7EC8}"/>
    <cellStyle name="Note 7 14 2" xfId="30390" xr:uid="{9F7F6C63-2FC5-47DC-8BB0-71618687DBA0}"/>
    <cellStyle name="Note 7 15" xfId="14958" xr:uid="{53017AF9-4B0D-4E68-BE97-BCB2AA9168D7}"/>
    <cellStyle name="Note 7 15 2" xfId="27446" xr:uid="{E5DB1538-4713-4B90-B03C-A179D9CE300D}"/>
    <cellStyle name="Note 7 16" xfId="14959" xr:uid="{EA008733-176B-447B-BBCE-C5B71A116762}"/>
    <cellStyle name="Note 7 16 2" xfId="30391" xr:uid="{EE575105-B527-4489-9961-099DBD85C4F5}"/>
    <cellStyle name="Note 7 17" xfId="14960" xr:uid="{9D0FAD44-F7DF-4E41-AFEC-70E9E1CCB899}"/>
    <cellStyle name="Note 7 17 2" xfId="27445" xr:uid="{74BC3AC3-EB01-4B63-AC30-24C48EF99FCA}"/>
    <cellStyle name="Note 7 18" xfId="14961" xr:uid="{456BA3AA-0776-4E6E-8174-4AAA21707075}"/>
    <cellStyle name="Note 7 18 2" xfId="30392" xr:uid="{EDF47923-4D5A-4730-B151-E62E5737147C}"/>
    <cellStyle name="Note 7 19" xfId="14962" xr:uid="{5541D0D7-D005-41F4-81D9-5A699F21424A}"/>
    <cellStyle name="Note 7 19 2" xfId="30393" xr:uid="{B31D0FA8-FD9E-4D06-BD7D-E8EDABA3C43B}"/>
    <cellStyle name="Note 7 2" xfId="14963" xr:uid="{36C1B636-9823-4421-84D5-A54EBABE2B6D}"/>
    <cellStyle name="Note 7 2 10" xfId="14964" xr:uid="{DA9CF897-701D-4583-B0DA-18747547E644}"/>
    <cellStyle name="Note 7 2 10 2" xfId="27447" xr:uid="{BCF2DF7B-0D8C-4B84-83CF-59E157198162}"/>
    <cellStyle name="Note 7 2 11" xfId="14965" xr:uid="{1C36FD40-1ABB-43AF-B8C2-3959AC5689DE}"/>
    <cellStyle name="Note 7 2 11 2" xfId="30394" xr:uid="{15BECDB9-5C7D-4314-84BB-4AE76852B913}"/>
    <cellStyle name="Note 7 2 12" xfId="14966" xr:uid="{E7BC7FBE-E468-4A7B-9F75-3BA5096282C4}"/>
    <cellStyle name="Note 7 2 12 2" xfId="30395" xr:uid="{00A5987B-4EF6-4AB4-A63A-B8B29D9A3CFE}"/>
    <cellStyle name="Note 7 2 13" xfId="14967" xr:uid="{43C30A3A-A22A-49F9-A79C-A3125D14D13C}"/>
    <cellStyle name="Note 7 2 13 2" xfId="37036" xr:uid="{D7BD0BDA-9506-43DD-9A28-9347DA4FA522}"/>
    <cellStyle name="Note 7 2 14" xfId="14968" xr:uid="{1BDE0831-286F-4DEA-896E-C98E18353A99}"/>
    <cellStyle name="Note 7 2 14 2" xfId="38758" xr:uid="{8B1E0E9E-C551-4042-A927-70586D3FD360}"/>
    <cellStyle name="Note 7 2 15" xfId="14969" xr:uid="{55724AE3-8FDF-4000-BF2C-854062192D83}"/>
    <cellStyle name="Note 7 2 15 2" xfId="27453" xr:uid="{6C2D8AE8-16E3-497B-BEF2-1928034EA579}"/>
    <cellStyle name="Note 7 2 16" xfId="30396" xr:uid="{4D2BDBD5-E7C1-475E-A869-242404B39C3B}"/>
    <cellStyle name="Note 7 2 2" xfId="14970" xr:uid="{BD95F020-E4BF-4F23-A3C3-622B536538CF}"/>
    <cellStyle name="Note 7 2 2 2" xfId="28056" xr:uid="{80649B28-8287-4BEB-8016-5145FB88EFB3}"/>
    <cellStyle name="Note 7 2 3" xfId="14971" xr:uid="{60EFAC24-D554-410F-9215-36C5EC8FCBC9}"/>
    <cellStyle name="Note 7 2 3 2" xfId="27448" xr:uid="{56DBF446-342B-4420-9677-DBEB81A4EAC1}"/>
    <cellStyle name="Note 7 2 4" xfId="14972" xr:uid="{CFCC703D-0893-4E60-A399-DBCEC4F3BD3E}"/>
    <cellStyle name="Note 7 2 4 2" xfId="30397" xr:uid="{04C630C9-65D7-445F-97C6-5AB4AC3533DA}"/>
    <cellStyle name="Note 7 2 5" xfId="14973" xr:uid="{A70F75C8-C0D0-4A29-98A5-EEFF81723ADA}"/>
    <cellStyle name="Note 7 2 5 2" xfId="27449" xr:uid="{80441460-258D-4BA3-9238-96BC96DF00B9}"/>
    <cellStyle name="Note 7 2 6" xfId="14974" xr:uid="{DDBCDCBE-AD36-4A5E-9021-ACFC47DE3013}"/>
    <cellStyle name="Note 7 2 6 2" xfId="30398" xr:uid="{AA140DAA-9837-437B-8A66-89CAA8807E49}"/>
    <cellStyle name="Note 7 2 7" xfId="14975" xr:uid="{33796CFF-110A-4122-AFA3-93052970CEDB}"/>
    <cellStyle name="Note 7 2 7 2" xfId="27452" xr:uid="{6208FFCF-D6FB-4217-8B7C-729D83419B22}"/>
    <cellStyle name="Note 7 2 8" xfId="14976" xr:uid="{DAFDEED2-1E3C-4492-A26F-7F79F58C1592}"/>
    <cellStyle name="Note 7 2 8 2" xfId="27450" xr:uid="{3FCE67AF-649B-4924-BA55-55EDB6213D54}"/>
    <cellStyle name="Note 7 2 9" xfId="14977" xr:uid="{F5DBF174-48B6-49A6-9BB0-60A7AE87BC79}"/>
    <cellStyle name="Note 7 2 9 2" xfId="30399" xr:uid="{5039D316-C1AC-43FE-9B81-231EBC143C59}"/>
    <cellStyle name="Note 7 20" xfId="14978" xr:uid="{20619F10-1C12-4AAC-885D-DFF657EE2FF0}"/>
    <cellStyle name="Note 7 20 2" xfId="27451" xr:uid="{95D05A73-FBAF-48FF-A459-51276CD79F86}"/>
    <cellStyle name="Note 7 21" xfId="14979" xr:uid="{1E81820B-E3EF-4B52-B0A7-4649424E1515}"/>
    <cellStyle name="Note 7 21 2" xfId="30400" xr:uid="{191A6359-708D-4881-B4BA-91ED77A2333E}"/>
    <cellStyle name="Note 7 22" xfId="14980" xr:uid="{B1247426-FDE8-4DDC-8532-55C79BA2E24E}"/>
    <cellStyle name="Note 7 22 2" xfId="30401" xr:uid="{F0FC92BE-0B32-4BC7-9789-EF54B6460435}"/>
    <cellStyle name="Note 7 23" xfId="30386" xr:uid="{BE2D7245-7303-44B1-9712-7D8CC3C91C5C}"/>
    <cellStyle name="Note 7 3" xfId="14981" xr:uid="{5AC2ECA3-A77B-449C-8784-3AD9791DF4E8}"/>
    <cellStyle name="Note 7 3 2" xfId="30402" xr:uid="{82E7D685-0AD2-4CFF-9F51-99831FBAED0F}"/>
    <cellStyle name="Note 7 4" xfId="14982" xr:uid="{38DAD44B-E259-45C0-8CFD-57DFEA25223D}"/>
    <cellStyle name="Note 7 4 2" xfId="38760" xr:uid="{BED4AD2C-F5EF-492C-BD02-6B75312F1973}"/>
    <cellStyle name="Note 7 5" xfId="14983" xr:uid="{B26244EB-AEC6-4CFE-B2A2-884B43675726}"/>
    <cellStyle name="Note 7 5 2" xfId="38756" xr:uid="{FADE7AD0-DA15-4A5A-B3F4-69B24F02A17E}"/>
    <cellStyle name="Note 7 6" xfId="14984" xr:uid="{28AC85BD-FECD-485C-AB00-F91B791228D5}"/>
    <cellStyle name="Note 7 6 2" xfId="38754" xr:uid="{6E273227-7C9E-4F35-B41E-EA2E2E3774C3}"/>
    <cellStyle name="Note 7 7" xfId="14985" xr:uid="{33E1B625-4434-4883-834C-2AB0558CFC1D}"/>
    <cellStyle name="Note 7 7 2" xfId="38755" xr:uid="{0E86360C-8F86-4702-868F-F215C24B7B4C}"/>
    <cellStyle name="Note 7 8" xfId="14986" xr:uid="{30DB9883-31A7-4740-8DEF-589F1FFA35F2}"/>
    <cellStyle name="Note 7 8 2" xfId="38757" xr:uid="{899792D8-762B-46A1-B174-9D73FE8F2E40}"/>
    <cellStyle name="Note 7 9" xfId="14987" xr:uid="{1D2B0FCB-A7D6-4D91-9499-B3FE29331AD8}"/>
    <cellStyle name="Note 7 9 2" xfId="28054" xr:uid="{A47152D4-73E1-434B-9C9B-343ABC640BD1}"/>
    <cellStyle name="Note 8" xfId="14988" xr:uid="{19382EC3-AA8C-4CD8-B49C-7410575ADD5B}"/>
    <cellStyle name="Note 8 10" xfId="14989" xr:uid="{38825955-4C4E-41A8-AAE7-8F4E6A558027}"/>
    <cellStyle name="Note 8 10 2" xfId="37853" xr:uid="{F0F951A2-0895-4588-8660-D0DB90F224E2}"/>
    <cellStyle name="Note 8 11" xfId="14990" xr:uid="{62280CE7-8097-4A11-8825-6FE8E0DB5F9C}"/>
    <cellStyle name="Note 8 11 2" xfId="37852" xr:uid="{65EC3932-3F7D-49FA-A272-1E2653314552}"/>
    <cellStyle name="Note 8 12" xfId="14991" xr:uid="{36CAD107-C049-4913-BBFF-F971134707FC}"/>
    <cellStyle name="Note 8 12 2" xfId="30403" xr:uid="{95B77478-527C-4287-9B03-DE0BF52119C0}"/>
    <cellStyle name="Note 8 13" xfId="14992" xr:uid="{37058504-FEAE-486E-B467-48BC08075680}"/>
    <cellStyle name="Note 8 13 2" xfId="30404" xr:uid="{858B7526-BE43-43FA-9C8E-C6125B467457}"/>
    <cellStyle name="Note 8 14" xfId="14993" xr:uid="{4BDAEDAB-689E-47C9-9AC4-3059BD486661}"/>
    <cellStyle name="Note 8 14 2" xfId="38761" xr:uid="{48B3D732-6EC7-4D4C-8730-F55D0158623D}"/>
    <cellStyle name="Note 8 15" xfId="14994" xr:uid="{426FF96B-D5E8-4FB4-8080-A040A89F733F}"/>
    <cellStyle name="Note 8 15 2" xfId="38759" xr:uid="{5D7EFFB1-01F3-47BA-9D83-4F181D365B1C}"/>
    <cellStyle name="Note 8 16" xfId="14995" xr:uid="{C66407A8-FAA3-4592-92A6-33D3C091803B}"/>
    <cellStyle name="Note 8 16 2" xfId="27454" xr:uid="{04FE6A20-7F0F-4FCD-AED8-CF52000C2A3D}"/>
    <cellStyle name="Note 8 17" xfId="14996" xr:uid="{BD624A75-180D-4498-9741-6FD35F7958B1}"/>
    <cellStyle name="Note 8 17 2" xfId="30405" xr:uid="{7AED68F6-D4B2-40D4-8944-AFCF3FFE1C4A}"/>
    <cellStyle name="Note 8 18" xfId="14997" xr:uid="{F2051127-24F9-498B-A7B6-B3CAAA6A7100}"/>
    <cellStyle name="Note 8 18 2" xfId="30407" xr:uid="{0A4B1970-A7A6-47C9-BBDF-54EB7C8F212E}"/>
    <cellStyle name="Note 8 19" xfId="28055" xr:uid="{578BDF94-4472-4298-B3DE-E0D16999541A}"/>
    <cellStyle name="Note 8 2" xfId="14998" xr:uid="{EF2AE607-2B1C-4762-A480-BB493948E36B}"/>
    <cellStyle name="Note 8 2 10" xfId="14999" xr:uid="{E2FC2CD0-6E3E-488A-9137-FE0E132403D0}"/>
    <cellStyle name="Note 8 2 10 2" xfId="37037" xr:uid="{ABD81D13-D2DE-4126-9037-2DCA5089549C}"/>
    <cellStyle name="Note 8 2 11" xfId="15000" xr:uid="{AE1E7248-DA67-4099-BB6B-8C1F642FE31D}"/>
    <cellStyle name="Note 8 2 11 2" xfId="30410" xr:uid="{51BC4E43-81E5-4C5B-B38E-7F2FE7DD94FD}"/>
    <cellStyle name="Note 8 2 12" xfId="15001" xr:uid="{257C71EB-FC26-403D-BEF0-F021379F9016}"/>
    <cellStyle name="Note 8 2 12 2" xfId="30408" xr:uid="{4F413668-14E5-43EF-A90D-8C81A0358374}"/>
    <cellStyle name="Note 8 2 13" xfId="15002" xr:uid="{7A71B8DB-6F41-463B-BA44-9CDA0B1C41BF}"/>
    <cellStyle name="Note 8 2 13 2" xfId="30409" xr:uid="{C393307E-EB4B-4550-8B1D-0B514F290411}"/>
    <cellStyle name="Note 8 2 14" xfId="15003" xr:uid="{3EB54253-7507-4051-BC81-D9439352A526}"/>
    <cellStyle name="Note 8 2 14 2" xfId="35979" xr:uid="{354430DA-F08F-4942-A0DD-087D89BE8BFC}"/>
    <cellStyle name="Note 8 2 15" xfId="15004" xr:uid="{AC42C82C-E822-4D6D-9B82-A0E1933446A6}"/>
    <cellStyle name="Note 8 2 15 2" xfId="37743" xr:uid="{CC3B4288-6C88-4576-B65D-188E2A537030}"/>
    <cellStyle name="Note 8 2 16" xfId="30406" xr:uid="{339B2218-43A8-4F7C-BEC1-434DBD04241D}"/>
    <cellStyle name="Note 8 2 2" xfId="15005" xr:uid="{FB68ACA9-93FC-46C8-8931-67662B64C951}"/>
    <cellStyle name="Note 8 2 2 2" xfId="30411" xr:uid="{B22F073C-EE3A-4383-94EB-65E549DF0646}"/>
    <cellStyle name="Note 8 2 3" xfId="15006" xr:uid="{F7ECC85E-9BE7-44FB-9F54-7F54BC58B048}"/>
    <cellStyle name="Note 8 2 3 2" xfId="30412" xr:uid="{DDA183CF-80F9-44AE-BD6B-626F9A069F67}"/>
    <cellStyle name="Note 8 2 4" xfId="15007" xr:uid="{6BD8CD4B-EF24-4AFC-A027-7DFE7E559DDA}"/>
    <cellStyle name="Note 8 2 4 2" xfId="30413" xr:uid="{7CB60402-1B98-46B6-93C9-298B909DD8DF}"/>
    <cellStyle name="Note 8 2 5" xfId="15008" xr:uid="{F94FD5A5-5C4E-455A-BC3D-5EB2AD8A71DC}"/>
    <cellStyle name="Note 8 2 5 2" xfId="30414" xr:uid="{33E2FC2B-9C76-490B-9459-F59EA9AC104A}"/>
    <cellStyle name="Note 8 2 6" xfId="15009" xr:uid="{96E65CDD-4E7B-4632-87D7-76F32A47DD40}"/>
    <cellStyle name="Note 8 2 6 2" xfId="30415" xr:uid="{358FDD8E-2E38-4673-A505-1F1C514EEF9A}"/>
    <cellStyle name="Note 8 2 7" xfId="15010" xr:uid="{2F1448A5-2E55-4D57-9112-D2BC0DD04846}"/>
    <cellStyle name="Note 8 2 7 2" xfId="30416" xr:uid="{D91C642A-7538-45A8-949C-718740FA1753}"/>
    <cellStyle name="Note 8 2 8" xfId="15011" xr:uid="{9D062EF1-362E-40D8-8390-5A9CD8229094}"/>
    <cellStyle name="Note 8 2 8 2" xfId="30417" xr:uid="{C3694CED-2AFA-4087-B81F-EA17A5258946}"/>
    <cellStyle name="Note 8 2 9" xfId="15012" xr:uid="{AAA61645-B9A8-4955-BCAB-112CF63ABE55}"/>
    <cellStyle name="Note 8 2 9 2" xfId="30418" xr:uid="{10190AAC-4334-4353-AC3D-F4388A989903}"/>
    <cellStyle name="Note 8 3" xfId="15013" xr:uid="{D915D72B-F4D8-40BB-9E27-1876FE096BF0}"/>
    <cellStyle name="Note 8 3 2" xfId="30419" xr:uid="{EED61E7B-95BC-4710-9174-9D59191B6952}"/>
    <cellStyle name="Note 8 4" xfId="15014" xr:uid="{B724B2B0-3DDF-4491-A00F-0A06A8E64E8D}"/>
    <cellStyle name="Note 8 4 2" xfId="30420" xr:uid="{22706F5D-C5B0-495F-B800-B2AAADAF81B3}"/>
    <cellStyle name="Note 8 5" xfId="15015" xr:uid="{10B23EC7-FD0B-4F1F-99F9-B2A84726C582}"/>
    <cellStyle name="Note 8 5 2" xfId="30421" xr:uid="{8B325980-238F-47A3-AB7A-62B95D9FF23E}"/>
    <cellStyle name="Note 8 6" xfId="15016" xr:uid="{F358142E-7402-4809-8C73-B5BE29CBC9AE}"/>
    <cellStyle name="Note 8 6 2" xfId="30422" xr:uid="{F4E4C302-233B-4858-848F-A0E03C95C030}"/>
    <cellStyle name="Note 8 7" xfId="15017" xr:uid="{F5399538-9362-4B65-926C-105F566FC6A1}"/>
    <cellStyle name="Note 8 7 2" xfId="30423" xr:uid="{6C448EB7-EEBA-4450-9BC6-F9FB0563B91B}"/>
    <cellStyle name="Note 8 8" xfId="15018" xr:uid="{14ED7C8A-25B1-4645-96FC-959E148D8EFA}"/>
    <cellStyle name="Note 8 8 2" xfId="30424" xr:uid="{550679E5-E770-4D07-BA54-AC379E814903}"/>
    <cellStyle name="Note 8 9" xfId="15019" xr:uid="{94F08836-0FF2-4BAD-B28D-5FEB5177A89C}"/>
    <cellStyle name="Note 8 9 2" xfId="30425" xr:uid="{94AEF5F4-F8C1-4274-A087-3F08D68538F7}"/>
    <cellStyle name="Note 9" xfId="15020" xr:uid="{F56FC17B-0E90-4B58-98C8-F9F4A26EC89A}"/>
    <cellStyle name="Note 9 10" xfId="15021" xr:uid="{98A7D13F-184A-4843-8241-FAE166C7499D}"/>
    <cellStyle name="Note 9 10 2" xfId="30427" xr:uid="{02AAFC03-AFA9-4D70-9612-FFC758B19A9C}"/>
    <cellStyle name="Note 9 11" xfId="15022" xr:uid="{B48DF068-42D6-4B6D-AB24-A3E21259AC5E}"/>
    <cellStyle name="Note 9 11 2" xfId="30428" xr:uid="{FC8BA964-07A3-4D46-971B-C97177132475}"/>
    <cellStyle name="Note 9 12" xfId="15023" xr:uid="{77BD8D46-202B-418E-ABEF-3DC0861B45A0}"/>
    <cellStyle name="Note 9 12 2" xfId="30429" xr:uid="{821E57D9-19E6-43CD-945C-3FC1B327961D}"/>
    <cellStyle name="Note 9 13" xfId="15024" xr:uid="{85E35577-0C62-4522-9CE0-C742B24D2B95}"/>
    <cellStyle name="Note 9 13 2" xfId="30430" xr:uid="{B12D0E27-283A-4398-8F2A-0BBD517E2A0A}"/>
    <cellStyle name="Note 9 14" xfId="15025" xr:uid="{BDEE6BDF-1DCF-4B3C-930C-A330E4618D83}"/>
    <cellStyle name="Note 9 14 2" xfId="30431" xr:uid="{03695E16-1557-4757-B3A8-82DDEE363DDD}"/>
    <cellStyle name="Note 9 15" xfId="15026" xr:uid="{C8EE8F4D-D7F7-41C2-946D-D29FA5F0452E}"/>
    <cellStyle name="Note 9 15 2" xfId="30432" xr:uid="{6E7B1959-04EB-476F-A3B4-656C9DEEFE77}"/>
    <cellStyle name="Note 9 16" xfId="30426" xr:uid="{CB89C9A5-B9E2-4846-AA16-F894FD83833A}"/>
    <cellStyle name="Note 9 2" xfId="15027" xr:uid="{9622DDD4-FB61-42DD-9FE0-B527389355BA}"/>
    <cellStyle name="Note 9 2 2" xfId="30433" xr:uid="{6B9DD3BA-7A77-4BB9-B147-63FD44090BD0}"/>
    <cellStyle name="Note 9 3" xfId="15028" xr:uid="{8F86876A-FE3D-4663-BA89-6BAB59F3B59A}"/>
    <cellStyle name="Note 9 3 2" xfId="30434" xr:uid="{77CEAAB1-C77C-4444-898D-551699252400}"/>
    <cellStyle name="Note 9 4" xfId="15029" xr:uid="{AF4195C0-E4E1-4BAA-B6F8-7EE221B9DDC9}"/>
    <cellStyle name="Note 9 4 2" xfId="30435" xr:uid="{D54CC12F-9A20-4E30-B6DA-91767205C3D7}"/>
    <cellStyle name="Note 9 5" xfId="15030" xr:uid="{1DFEEAFF-77A7-48BF-9D92-24268FF0581A}"/>
    <cellStyle name="Note 9 5 2" xfId="30436" xr:uid="{A8BF6D6D-D2FA-4EAA-AEE9-0A44BBD84897}"/>
    <cellStyle name="Note 9 6" xfId="15031" xr:uid="{65DE4C57-9368-49F6-A83E-95A93BC36297}"/>
    <cellStyle name="Note 9 6 2" xfId="30437" xr:uid="{AC8630AB-6DD3-4B13-869D-0C2DCCB12569}"/>
    <cellStyle name="Note 9 7" xfId="15032" xr:uid="{C92FF6BA-EA07-4229-8398-EE49C4B25694}"/>
    <cellStyle name="Note 9 7 2" xfId="30438" xr:uid="{F3D8B1C9-9C45-4BBE-9DED-7B3249688F4E}"/>
    <cellStyle name="Note 9 8" xfId="15033" xr:uid="{C48C77AC-8502-451F-9B86-4770B3F7F701}"/>
    <cellStyle name="Note 9 8 2" xfId="30439" xr:uid="{A114CA5A-6C3F-49E2-BCF5-5B3D954345C0}"/>
    <cellStyle name="Note 9 9" xfId="15034" xr:uid="{32DBCF26-4059-44E0-9552-DE007987C732}"/>
    <cellStyle name="Note 9 9 2" xfId="30440" xr:uid="{0375D078-F386-4DDE-9BC3-BF315FF1C711}"/>
    <cellStyle name="number" xfId="15035" xr:uid="{C381E72F-7995-4FFD-B7B2-84EB1B3EE128}"/>
    <cellStyle name="O_#_0dp" xfId="15036" xr:uid="{E6EDC2C1-AEFF-4500-B894-3008360F4977}"/>
    <cellStyle name="O_#_0dp_Instructions" xfId="15037" xr:uid="{ACDF7A06-1B8A-4D76-B541-6D54153C6E2F}"/>
    <cellStyle name="O_#_0dp_Instructions_2010 Reply 3 PXP Report v2 0 DISTv2 (2)" xfId="15038" xr:uid="{D86BA6F2-6EDF-40B8-B451-BD048787B230}"/>
    <cellStyle name="O_#_1dp" xfId="15039" xr:uid="{D9D22097-E383-41E9-8C6F-DA5FCF00A3CB}"/>
    <cellStyle name="O_#_2dp" xfId="15040" xr:uid="{3D72375A-F8C1-4ADE-975C-B6699EE84907}"/>
    <cellStyle name="O_#_2dp_Instructions" xfId="15041" xr:uid="{8439A111-C7CB-4D18-BC76-B267593575FF}"/>
    <cellStyle name="O_#_2dp_Instructions 2" xfId="15042" xr:uid="{A5B2DF82-A6D3-47EA-81E5-FE0F4158341A}"/>
    <cellStyle name="O_#_3dp" xfId="15043" xr:uid="{1ADE0C88-68AA-40E8-8461-0EB4D9E6C54D}"/>
    <cellStyle name="O_#_3dp_2010 Reply 3 PXP Report v2 0 DISTv2 (2)" xfId="15044" xr:uid="{2A1631B0-A6D6-452D-88E0-AD60F514A586}"/>
    <cellStyle name="O_#_4dp" xfId="15045" xr:uid="{D8393353-1683-498F-BAA6-06B62BFBC7C7}"/>
    <cellStyle name="O_#KPI_0dp" xfId="15046" xr:uid="{61C2CC7B-9DC6-4690-AC07-A4F641368960}"/>
    <cellStyle name="O_%_0dp" xfId="15047" xr:uid="{6D100F37-29A7-4639-BC7C-34429305F669}"/>
    <cellStyle name="O_%_0dp 2" xfId="15048" xr:uid="{CA28EE42-41E2-45C8-99F0-A7C42E5A3E27}"/>
    <cellStyle name="O_%_0dp 2 2" xfId="30442" xr:uid="{1DE80225-CC93-4105-83B6-3424C9648F84}"/>
    <cellStyle name="O_%_0dp 3" xfId="30441" xr:uid="{4FF7B268-378E-4BB1-825F-8D00B8A1AAE4}"/>
    <cellStyle name="O_%_0dp_Instructions" xfId="15049" xr:uid="{3510943B-8086-46F9-864A-01EA68021515}"/>
    <cellStyle name="O_%_0dp_Instructions 2" xfId="30507" xr:uid="{EEC52CC2-55AB-4C7F-BA12-1882F1D478F3}"/>
    <cellStyle name="O_%_1dp" xfId="15050" xr:uid="{177F2C1B-9FF2-4D8C-BE49-4F0E6CDD7911}"/>
    <cellStyle name="O_%_1dp_Instructions" xfId="15051" xr:uid="{9C3A0CBF-637E-405D-97CA-47EB623B98E8}"/>
    <cellStyle name="O_%_1dp_Instructions 2" xfId="30509" xr:uid="{969292C7-1F71-49E8-8F62-EE74E96C497C}"/>
    <cellStyle name="O_%_2dp" xfId="15052" xr:uid="{909B7CFD-9581-485F-890E-5C15255A9C60}"/>
    <cellStyle name="O_%_2dp_Instructions" xfId="15053" xr:uid="{E1AB30E9-5231-47D4-859D-B2BBED55CE17}"/>
    <cellStyle name="O_%_2dp_Instructions 2" xfId="30511" xr:uid="{8E1BC74C-5236-46EE-B4E4-AF18FA018312}"/>
    <cellStyle name="O_%_3dp" xfId="15054" xr:uid="{E07EB534-EB8C-431F-BB1C-27F7B21992A3}"/>
    <cellStyle name="O_%_4dp" xfId="15055" xr:uid="{92C65DB5-B16D-49D2-86CF-24BB85D49623}"/>
    <cellStyle name="O_%KPI_1dp" xfId="15056" xr:uid="{B8323ECE-6405-4834-BC69-DBAE0D61B10A}"/>
    <cellStyle name="O_%Sales_0dp" xfId="15057" xr:uid="{75980C6F-6A27-45BD-9A12-D3CEE5B39027}"/>
    <cellStyle name="O_Check" xfId="15058" xr:uid="{DE7B766C-89FB-43FC-93AD-9EEA4C03166F}"/>
    <cellStyle name="O_Check_CFSP CPA model 20060516 v49i" xfId="15059" xr:uid="{9F5D1FC4-001E-47C9-98A4-BBE735DBD283}"/>
    <cellStyle name="O_Check_CFSP CPA model 20060516 v49i 2" xfId="15060" xr:uid="{FFBC0719-5ABC-4F44-959C-DECFCF3FC900}"/>
    <cellStyle name="O_Check_CFSP CPA model 20060516 v49i 2 2" xfId="30444" xr:uid="{88057A7A-B351-470D-B258-3A82CE525D54}"/>
    <cellStyle name="O_Check_CFSP CPA model 20060516 v49i 3" xfId="30443" xr:uid="{0B1EE773-337F-45E3-8869-549631ACF230}"/>
    <cellStyle name="O_Check_Instructions" xfId="15061" xr:uid="{0F82A709-3F70-423B-91AB-C92113BAFFDB}"/>
    <cellStyle name="O_Commentary" xfId="15062" xr:uid="{C7E34EFE-AE21-4F1B-B37D-9A5CB3D015A7}"/>
    <cellStyle name="O_Commentary 2" xfId="15063" xr:uid="{653DE8C7-2107-43EF-B805-8742D95383A4}"/>
    <cellStyle name="O_Commentary 3" xfId="15064" xr:uid="{F045D270-66EF-4483-9DAE-3969CF4A242E}"/>
    <cellStyle name="O_Commentary_Instructions" xfId="15065" xr:uid="{3EAFCC3E-74F1-4F51-881F-D2BF3136EB90}"/>
    <cellStyle name="O_Commentary_Instructions 2" xfId="15066" xr:uid="{ABB3A04B-1AD9-447B-BA13-DFBEEF7DBEB8}"/>
    <cellStyle name="O_Commentary_Instructions 3" xfId="15067" xr:uid="{D928DE61-8037-4DDE-A348-4FCFAB09D8ED}"/>
    <cellStyle name="O_Date" xfId="15068" xr:uid="{0A227756-EF10-4D3F-B2ED-31B62A39A97F}"/>
    <cellStyle name="O_Date_CF Acc" xfId="15069" xr:uid="{C302D6D1-DBE0-42E7-859B-300916C5B006}"/>
    <cellStyle name="O_Date_CFSP CPA model 20060613 v82" xfId="15070" xr:uid="{1B8FB566-62DE-42A5-91D5-1019A516F0B7}"/>
    <cellStyle name="O_Date_MmmYY" xfId="15071" xr:uid="{BCCB5572-AEB4-4289-9E87-589906167D9E}"/>
    <cellStyle name="O_Date_Mth" xfId="15072" xr:uid="{477D3C7D-5BC0-4738-A7F9-7F6420F97DD7}"/>
    <cellStyle name="O_Date_Mth 2" xfId="15073" xr:uid="{F4F59076-5364-4E5C-B2BA-A6B02A1D1128}"/>
    <cellStyle name="O_Date_Mth 2 2" xfId="30446" xr:uid="{8FB21905-9042-4BC5-8C2F-2A3D288DBE1D}"/>
    <cellStyle name="O_Date_Mth 3" xfId="30445" xr:uid="{1B10F36A-E256-43FD-A66A-400598FA5CB2}"/>
    <cellStyle name="O_Date_Mth_2010 Reply 3 PXP Report v2 0 DISTv2 (2)" xfId="15074" xr:uid="{7C65C355-4A78-45CA-AAD0-67EDFCA5F2E2}"/>
    <cellStyle name="O_Date_Mth_2010 Reply 3 PXP Report v2 0 DISTv2 (2) 2" xfId="15075" xr:uid="{94A2C1D5-3E72-4992-B79E-3FCEBCAC3B8B}"/>
    <cellStyle name="O_Date_Mth_2010 Reply 3 PXP Report v2 0 DISTv2 (2) 2 2" xfId="30450" xr:uid="{A3BE3841-40C7-427B-B2FA-4FB3627DBA8E}"/>
    <cellStyle name="O_Date_Mth_2010 Reply 3 PXP Report v2 0 DISTv2 (2) 3" xfId="30447" xr:uid="{0F7A7222-A914-40A7-B4B6-AB9EF91A2D49}"/>
    <cellStyle name="O_Date_Mth_Instructions" xfId="15076" xr:uid="{7225808E-F0FC-416F-89DC-052E79E2C6BC}"/>
    <cellStyle name="O_Date_Mth_Instructions 2" xfId="15077" xr:uid="{AD269A23-10CC-4FF2-85B5-28E8B1E56542}"/>
    <cellStyle name="O_Date_Mth_Instructions 3" xfId="15078" xr:uid="{74F8BB33-B207-4416-8F45-B81FD64B9B2A}"/>
    <cellStyle name="O_Date_YE" xfId="15079" xr:uid="{F2A4115C-C96A-41FB-9F7D-EC2F2C231B69}"/>
    <cellStyle name="O_Date_YE_Instructions" xfId="15080" xr:uid="{5E117CD4-0428-4AAC-90D2-28A5ADA106F7}"/>
    <cellStyle name="O_Date_YE_Instructions 2" xfId="15081" xr:uid="{49B11801-9247-42AD-B064-82A3854AF0F7}"/>
    <cellStyle name="O_Date_YE_Instructions 3" xfId="15082" xr:uid="{CB35BFC3-308D-41C1-A9C7-41AA32B896CC}"/>
    <cellStyle name="O_Date_Yr" xfId="15083" xr:uid="{066F8F37-B4D5-4311-AAFF-896B8EFF4482}"/>
    <cellStyle name="O_Date_Yr 2" xfId="15084" xr:uid="{D35516FB-528F-4652-928D-BDB58EA22038}"/>
    <cellStyle name="O_Date_Yr 3" xfId="15085" xr:uid="{80FCF247-01F3-4316-9308-3DD3A15FFCDD}"/>
    <cellStyle name="O_Flag_YesNo" xfId="15086" xr:uid="{48457CB5-047C-4347-A376-8B33A1CBC8BE}"/>
    <cellStyle name="O_Text" xfId="15087" xr:uid="{77237ADE-B31B-4B0F-B636-AEF743C81384}"/>
    <cellStyle name="O_Text_Instructions" xfId="15088" xr:uid="{02299840-568F-4762-B903-9E93E9F2E676}"/>
    <cellStyle name="O_Text_Instructions 2" xfId="15089" xr:uid="{D1B72BA8-3F99-403A-A817-DC7BD8925D4A}"/>
    <cellStyle name="O_Text_Instructions 3" xfId="15090" xr:uid="{F8D0C713-EE8A-4FBE-9AE3-907A383725BC}"/>
    <cellStyle name="Odwiedzone hiper??cze" xfId="15091" xr:uid="{DA95E8EC-B08D-4CBF-909A-FCEB65EDA4A7}"/>
    <cellStyle name="Odwiedzone hiperlacze" xfId="15092" xr:uid="{3C117010-9A67-42F0-BB32-5413EE52F13F}"/>
    <cellStyle name="Œ…‹aO‚e [0.00]_02Feb_Quick_NMISA(revised)" xfId="15093" xr:uid="{E8F542E8-55CF-4760-9031-88EC4C3B0799}"/>
    <cellStyle name="Œ…‹aO‚e_02Feb_Quick_NMISA(revised)" xfId="15094" xr:uid="{899033D5-E6BC-4641-AAD5-4699669F81A3}"/>
    <cellStyle name="Œ…‹æØ‚è [0.00]_!!!GO" xfId="15095" xr:uid="{BBA27ACC-DDD4-44D1-B716-296E1E0C4FEF}"/>
    <cellStyle name="Œ…‹æØ‚è_!!!GO" xfId="15096" xr:uid="{2400053F-E85F-4AAE-9DC4-90EA097A81EE}"/>
    <cellStyle name="oft Excel]_x000a__x000d_Comment=open=/f を指定すると、ユーザー定義関数を関数貼り付けの一覧に登録することができます。_x000a__x000d_Maximized" xfId="15097" xr:uid="{B2DCB0DE-3A3B-41DC-B6F3-AE0DD4119314}"/>
    <cellStyle name="oft Excel]_x000d__x000a_Comment=open=/f を指定すると、ユーザー定義関数を関数貼り付けの一覧に登録することができます。_x000d__x000a_Maximized" xfId="15098" xr:uid="{EE4F9EB6-6875-418C-86F4-8AFEF797A923}"/>
    <cellStyle name="option" xfId="15099" xr:uid="{C0C57EAC-E7D9-4B98-94C2-2DE6F463007A}"/>
    <cellStyle name="Output 10" xfId="15101" xr:uid="{C69B367D-523C-49DA-BA73-7BE419E6DD8B}"/>
    <cellStyle name="Output 10 2" xfId="30452" xr:uid="{73C494D9-6063-441C-B715-CBBA9ADD93D4}"/>
    <cellStyle name="Output 11" xfId="15102" xr:uid="{D681F978-8A08-4B7B-84F3-ABA8E141D19F}"/>
    <cellStyle name="Output 11 2" xfId="30453" xr:uid="{1592E61F-961F-4BEC-9212-094FBAAF2C27}"/>
    <cellStyle name="Output 12" xfId="15103" xr:uid="{83FC507D-6AB1-4892-B3C8-82038048C301}"/>
    <cellStyle name="Output 12 2" xfId="30454" xr:uid="{98F94E21-FC57-4276-9788-0BD05B010938}"/>
    <cellStyle name="Output 13" xfId="15104" xr:uid="{23AFBE87-71EE-4F6E-A7C7-06335EB9F29C}"/>
    <cellStyle name="Output 13 2" xfId="30455" xr:uid="{DBBE7BB0-4118-4DE1-A22D-3B9036D592EE}"/>
    <cellStyle name="Output 14" xfId="15105" xr:uid="{84DBEE63-FD29-4CB0-9EC1-CAB16B5A4A4D}"/>
    <cellStyle name="Output 14 2" xfId="30456" xr:uid="{17C6BDCE-5D73-4395-AA8C-1DE48BFD981C}"/>
    <cellStyle name="Output 15" xfId="15106" xr:uid="{298E5F1B-8519-4FCC-B54E-9EA092D14B89}"/>
    <cellStyle name="Output 15 2" xfId="30457" xr:uid="{04AF850F-E7ED-4885-8B03-6F6E38D43E9F}"/>
    <cellStyle name="Output 16" xfId="15107" xr:uid="{F9581BEF-6A65-4284-8172-9D23CE01A1F3}"/>
    <cellStyle name="Output 16 2" xfId="30458" xr:uid="{B9A9F78F-93C4-48CA-B0FE-1C2B6C2B5506}"/>
    <cellStyle name="Output 17" xfId="15108" xr:uid="{4440D1B5-D6C6-4A7E-9FC9-ADA94A282B03}"/>
    <cellStyle name="Output 17 2" xfId="30459" xr:uid="{9675C211-0F80-497C-BD0B-C39F8FEB8C9E}"/>
    <cellStyle name="Output 18" xfId="15109" xr:uid="{7E79D9F2-73E1-44A6-B2AC-23A4FC8AE735}"/>
    <cellStyle name="Output 18 2" xfId="30460" xr:uid="{560C0C5A-3FD4-4F4D-8A5B-E385B735784C}"/>
    <cellStyle name="Output 19" xfId="15110" xr:uid="{4E37667D-56A2-4F2E-ABD5-B57BB0893A9D}"/>
    <cellStyle name="Output 19 2" xfId="30461" xr:uid="{2D1270E6-DFD9-4672-ADB1-09FB484AAA0E}"/>
    <cellStyle name="Output 2" xfId="15111" xr:uid="{EDE62511-B4AD-4066-858F-000B9E86B184}"/>
    <cellStyle name="Output 2 10" xfId="15112" xr:uid="{D3B8DEEC-F937-4373-A772-BBA041F54D0C}"/>
    <cellStyle name="Output 2 10 2" xfId="30463" xr:uid="{F3C5B3F4-8234-4C6B-A8D7-88E87B5B3125}"/>
    <cellStyle name="Output 2 11" xfId="15113" xr:uid="{B4A9E81B-8994-4E13-8280-3D22A02CA8F7}"/>
    <cellStyle name="Output 2 11 2" xfId="30464" xr:uid="{E2B6490C-3795-4F1A-9F36-1E05EE6EE68D}"/>
    <cellStyle name="Output 2 12" xfId="15114" xr:uid="{F7E93E0C-9663-4BBD-B242-C879B74390D7}"/>
    <cellStyle name="Output 2 12 2" xfId="30465" xr:uid="{113257BA-94A3-41B8-A600-FBFA561A3107}"/>
    <cellStyle name="Output 2 13" xfId="15115" xr:uid="{711F9FC0-212C-4E60-AA68-A8E9FC482EEA}"/>
    <cellStyle name="Output 2 13 2" xfId="30466" xr:uid="{BB46F063-CDC3-4398-9A85-311E6BBCB022}"/>
    <cellStyle name="Output 2 14" xfId="15116" xr:uid="{3DEDEDF8-3FE8-4ED3-A78E-880C1C435B69}"/>
    <cellStyle name="Output 2 14 2" xfId="30467" xr:uid="{C23A185E-8BC0-4154-9E82-C8F64321EAE9}"/>
    <cellStyle name="Output 2 15" xfId="15117" xr:uid="{615DFA70-64D1-43DF-8425-F4BFDB38453C}"/>
    <cellStyle name="Output 2 15 2" xfId="30468" xr:uid="{1AE841E3-656B-4E99-9A46-9D05AE30BFA8}"/>
    <cellStyle name="Output 2 16" xfId="15118" xr:uid="{70738CFF-B6D5-483E-9C50-FB1FEF54B0B7}"/>
    <cellStyle name="Output 2 16 2" xfId="30469" xr:uid="{E40640C0-A633-48C5-BE82-C80081261556}"/>
    <cellStyle name="Output 2 17" xfId="15119" xr:uid="{1240DEFA-9E58-4758-BE0D-33EB882B5168}"/>
    <cellStyle name="Output 2 17 2" xfId="30470" xr:uid="{A38E7E9F-7058-4C14-ADF6-8BE256400BE3}"/>
    <cellStyle name="Output 2 18" xfId="15120" xr:uid="{A253CA3A-C90C-4287-B8EE-AD9702D5C3EE}"/>
    <cellStyle name="Output 2 18 2" xfId="30471" xr:uid="{580F066E-BFC2-4F81-AAFB-799C26E7DD94}"/>
    <cellStyle name="Output 2 19" xfId="15121" xr:uid="{7DD9199C-548A-42E8-87C9-795634DDCEBB}"/>
    <cellStyle name="Output 2 19 2" xfId="30472" xr:uid="{9DD454A0-2E35-4DB7-8015-DCF2904D1D55}"/>
    <cellStyle name="Output 2 2" xfId="15122" xr:uid="{2912D65C-83E4-40B8-A2E4-FC4B91446564}"/>
    <cellStyle name="Output 2 2 10" xfId="15123" xr:uid="{11F44A87-79A5-4473-BF92-814DFBA86741}"/>
    <cellStyle name="Output 2 2 10 2" xfId="30474" xr:uid="{325FDF88-0C21-4A65-B658-2E5747E36DC1}"/>
    <cellStyle name="Output 2 2 11" xfId="15124" xr:uid="{A4764845-8258-4B02-A5C9-62E50BC7E02C}"/>
    <cellStyle name="Output 2 2 11 2" xfId="30475" xr:uid="{FA0DDD1F-4D07-4BC8-8F06-F390F2645427}"/>
    <cellStyle name="Output 2 2 12" xfId="15125" xr:uid="{3F478958-64B3-4029-A0BD-52BD5B638C15}"/>
    <cellStyle name="Output 2 2 12 2" xfId="30476" xr:uid="{7904F078-2570-4B82-8C6D-CAFCBAA3BA1A}"/>
    <cellStyle name="Output 2 2 13" xfId="15126" xr:uid="{483DF1CC-8FD1-4E24-B3DA-9F2D93CF70A4}"/>
    <cellStyle name="Output 2 2 13 2" xfId="30477" xr:uid="{BA3C8F7F-58C5-4BC3-ADDF-7D161D8905B1}"/>
    <cellStyle name="Output 2 2 14" xfId="15127" xr:uid="{67348679-0E78-4A63-9E08-225B1C986749}"/>
    <cellStyle name="Output 2 2 14 2" xfId="30478" xr:uid="{191C2F27-497E-4BCB-9F90-D5CC94AADA6F}"/>
    <cellStyle name="Output 2 2 15" xfId="15128" xr:uid="{233EB708-04C7-4BE8-9561-978373732B4D}"/>
    <cellStyle name="Output 2 2 15 2" xfId="30479" xr:uid="{B7C6D701-C625-4429-B91D-7D15BC9CB1AF}"/>
    <cellStyle name="Output 2 2 16" xfId="15129" xr:uid="{70D413F7-0398-424A-AB8B-2C82AA2AC474}"/>
    <cellStyle name="Output 2 2 16 2" xfId="30480" xr:uid="{B476192C-7D43-4661-9C74-8DBD024361BB}"/>
    <cellStyle name="Output 2 2 17" xfId="15130" xr:uid="{D780AAB1-B7E3-4472-AB81-BCC972059697}"/>
    <cellStyle name="Output 2 2 17 2" xfId="30481" xr:uid="{7982DD65-68E2-4C14-A141-7FDE862EE67A}"/>
    <cellStyle name="Output 2 2 18" xfId="15131" xr:uid="{7D56B7F2-FCAA-4911-AA03-8136A7518220}"/>
    <cellStyle name="Output 2 2 18 2" xfId="30482" xr:uid="{AAD49D4F-4F16-473E-B144-E60B9D8B04BF}"/>
    <cellStyle name="Output 2 2 19" xfId="30473" xr:uid="{1BA6389D-A973-480E-AF59-75006F18272F}"/>
    <cellStyle name="Output 2 2 2" xfId="15132" xr:uid="{3F7E1C09-8D7D-42EB-A5C9-BEAF81F9A7D5}"/>
    <cellStyle name="Output 2 2 2 10" xfId="15133" xr:uid="{45B5F190-CD3C-4E88-B103-81A0CC7DCD70}"/>
    <cellStyle name="Output 2 2 2 10 2" xfId="30484" xr:uid="{05525802-782F-48DE-B41F-8EDFD2126147}"/>
    <cellStyle name="Output 2 2 2 11" xfId="15134" xr:uid="{96186FE7-16D3-476E-8D5E-4AD006AC158C}"/>
    <cellStyle name="Output 2 2 2 11 2" xfId="30485" xr:uid="{6C8E8B48-99AC-4595-BB2F-945359666EE5}"/>
    <cellStyle name="Output 2 2 2 12" xfId="15135" xr:uid="{04053718-A692-44B0-B79F-0FCC0A9FAC0B}"/>
    <cellStyle name="Output 2 2 2 12 2" xfId="30486" xr:uid="{52B2BED5-FE38-4692-A273-9870EAF30340}"/>
    <cellStyle name="Output 2 2 2 13" xfId="15136" xr:uid="{83A8C19C-4341-4D96-BEAB-C870147EF530}"/>
    <cellStyle name="Output 2 2 2 13 2" xfId="30487" xr:uid="{5EC9827D-B93B-49C1-814C-F1A3309C79A1}"/>
    <cellStyle name="Output 2 2 2 14" xfId="15137" xr:uid="{19A25CBF-113B-4F09-8D40-95F2D597E398}"/>
    <cellStyle name="Output 2 2 2 14 2" xfId="30488" xr:uid="{B2D485FC-9501-440E-AC14-AFFEEEF69CB4}"/>
    <cellStyle name="Output 2 2 2 15" xfId="30483" xr:uid="{2BDEBAE3-5C57-411E-8AB0-3131407D6F12}"/>
    <cellStyle name="Output 2 2 2 2" xfId="15138" xr:uid="{C63D1C31-27A4-4549-A4EE-2AAB418F10DD}"/>
    <cellStyle name="Output 2 2 2 2 2" xfId="30489" xr:uid="{58706607-9D4A-473E-B417-028351980825}"/>
    <cellStyle name="Output 2 2 2 3" xfId="15139" xr:uid="{32D45652-96B0-4CD0-89E1-A86BE590F722}"/>
    <cellStyle name="Output 2 2 2 3 2" xfId="30490" xr:uid="{8AD5D19E-3274-4998-88C4-AF18B5D821CE}"/>
    <cellStyle name="Output 2 2 2 4" xfId="15140" xr:uid="{48919A78-02FC-45D0-A075-372F5B335FBC}"/>
    <cellStyle name="Output 2 2 2 4 2" xfId="30491" xr:uid="{A262D641-E46B-4547-9904-22842348189D}"/>
    <cellStyle name="Output 2 2 2 5" xfId="15141" xr:uid="{731D57A9-02A6-48A7-8485-72782526E243}"/>
    <cellStyle name="Output 2 2 2 5 2" xfId="30492" xr:uid="{A9C0F328-F5F7-4649-AA03-E871C7A2615F}"/>
    <cellStyle name="Output 2 2 2 6" xfId="15142" xr:uid="{02B1A6CF-C666-4835-8803-1EC315680AC3}"/>
    <cellStyle name="Output 2 2 2 6 2" xfId="30493" xr:uid="{44A1C627-9064-4AD4-8E3A-66F4D04D5C7A}"/>
    <cellStyle name="Output 2 2 2 7" xfId="15143" xr:uid="{A7D30697-41C1-4AF5-8725-985BEFBCADCD}"/>
    <cellStyle name="Output 2 2 2 7 2" xfId="30494" xr:uid="{263D1159-EFA2-481F-A4C6-9F078ABAE67C}"/>
    <cellStyle name="Output 2 2 2 8" xfId="15144" xr:uid="{5F665250-E796-403D-8E23-8E12BB7968FE}"/>
    <cellStyle name="Output 2 2 2 8 2" xfId="30495" xr:uid="{7F52338B-0E5C-4CC1-9E8B-CB3C150CF843}"/>
    <cellStyle name="Output 2 2 2 9" xfId="15145" xr:uid="{0E3B3A35-083A-4941-8235-966905941142}"/>
    <cellStyle name="Output 2 2 2 9 2" xfId="30496" xr:uid="{5309110F-530D-4B49-BD40-ED490325E8F8}"/>
    <cellStyle name="Output 2 2 3" xfId="15146" xr:uid="{4B401D66-3DF3-468C-AC2A-AA356CF02721}"/>
    <cellStyle name="Output 2 2 3 2" xfId="30497" xr:uid="{4B645BC3-044D-4866-9061-C935518D9C9A}"/>
    <cellStyle name="Output 2 2 4" xfId="15147" xr:uid="{C0F48091-B892-4446-8E83-9037BA1DAD84}"/>
    <cellStyle name="Output 2 2 4 2" xfId="30498" xr:uid="{EF64489C-BD58-4410-B253-D86F26B80E39}"/>
    <cellStyle name="Output 2 2 5" xfId="15148" xr:uid="{32F3A8D7-F073-4814-86C1-9390A8C7A419}"/>
    <cellStyle name="Output 2 2 5 2" xfId="30499" xr:uid="{62A538FF-94DC-46F2-9CA1-EE69477CB48C}"/>
    <cellStyle name="Output 2 2 6" xfId="15149" xr:uid="{C63B3C61-F7B9-46DC-B4E3-4C7DD00BAEC7}"/>
    <cellStyle name="Output 2 2 6 2" xfId="30500" xr:uid="{067648D7-1499-4867-86B7-F685E9079E5E}"/>
    <cellStyle name="Output 2 2 7" xfId="15150" xr:uid="{9864B8BF-3790-4063-81C6-7A9E5042C494}"/>
    <cellStyle name="Output 2 2 7 2" xfId="30501" xr:uid="{8E662242-30FB-4E17-9004-4598C9BC3FCD}"/>
    <cellStyle name="Output 2 2 8" xfId="15151" xr:uid="{0F593B46-0DC3-4090-B098-C3EC45D1E8FA}"/>
    <cellStyle name="Output 2 2 8 2" xfId="30502" xr:uid="{EDDA199F-B802-4004-9D9E-04031D2069B7}"/>
    <cellStyle name="Output 2 2 9" xfId="15152" xr:uid="{29FA1476-EE18-46FD-A623-BD636C31A97E}"/>
    <cellStyle name="Output 2 2 9 2" xfId="30503" xr:uid="{8C3F37FC-9962-4885-90F8-4C9FC867C7EE}"/>
    <cellStyle name="Output 2 20" xfId="30462" xr:uid="{B6064841-E999-4584-8C2C-79993D3366D5}"/>
    <cellStyle name="Output 2 3" xfId="15153" xr:uid="{A6A7662F-F7CF-49E0-A753-97E1FB494CE3}"/>
    <cellStyle name="Output 2 3 10" xfId="15154" xr:uid="{42AE4AFC-6941-460C-A224-E368A2429D90}"/>
    <cellStyle name="Output 2 3 10 2" xfId="30505" xr:uid="{3933DD14-8598-4563-BC20-F45272A9D9F7}"/>
    <cellStyle name="Output 2 3 11" xfId="15155" xr:uid="{3A55E812-5858-4750-B0FC-04859A789459}"/>
    <cellStyle name="Output 2 3 11 2" xfId="30506" xr:uid="{1210CAA6-91AC-44AC-ADB2-862034F70CB2}"/>
    <cellStyle name="Output 2 3 12" xfId="15156" xr:uid="{58AC9F04-F0D5-4E37-B785-877592D7E8A2}"/>
    <cellStyle name="Output 2 3 12 2" xfId="30508" xr:uid="{BA93C5BA-E08C-4183-AB8A-9E641D514D5A}"/>
    <cellStyle name="Output 2 3 13" xfId="15157" xr:uid="{724F5F26-A3FC-47B5-9E40-B226D91020E4}"/>
    <cellStyle name="Output 2 3 13 2" xfId="30510" xr:uid="{37DB9FB6-3A0B-493D-A932-D4AC3DABA9C9}"/>
    <cellStyle name="Output 2 3 14" xfId="15158" xr:uid="{9329F35F-03C9-4CE7-AB35-2CFB74608E12}"/>
    <cellStyle name="Output 2 3 14 2" xfId="30512" xr:uid="{12E3294E-9E71-4C68-9D90-A9532128C054}"/>
    <cellStyle name="Output 2 3 15" xfId="30504" xr:uid="{CA310605-5BC9-4BED-8BF6-99010CC98F0F}"/>
    <cellStyle name="Output 2 3 2" xfId="15159" xr:uid="{B7EC9035-41E1-4CBD-AA38-211E38D9349F}"/>
    <cellStyle name="Output 2 3 2 2" xfId="30513" xr:uid="{395D626C-17FD-4ADF-95E5-02650D5F9436}"/>
    <cellStyle name="Output 2 3 3" xfId="15160" xr:uid="{D24D9319-A6D1-4691-94E7-ACC441D5F900}"/>
    <cellStyle name="Output 2 3 3 2" xfId="30514" xr:uid="{C4218B8E-92E9-4C4A-9E41-E033959B4EB7}"/>
    <cellStyle name="Output 2 3 4" xfId="15161" xr:uid="{2CFB0A57-5473-4586-A61B-B80B4D5CA1C8}"/>
    <cellStyle name="Output 2 3 4 2" xfId="30515" xr:uid="{3EF7224B-88E2-4841-BC36-1DF9DF692329}"/>
    <cellStyle name="Output 2 3 5" xfId="15162" xr:uid="{F20DDD20-DFAD-4C85-9D38-2A3BFD3F39B1}"/>
    <cellStyle name="Output 2 3 5 2" xfId="30516" xr:uid="{64C3A212-D0C8-4BF5-AD38-FCB6BF93344F}"/>
    <cellStyle name="Output 2 3 6" xfId="15163" xr:uid="{7A822745-0501-47BA-9006-A3AE33F8E09F}"/>
    <cellStyle name="Output 2 3 6 2" xfId="30517" xr:uid="{2E58725C-C39E-49FA-BF5F-758376C45BE4}"/>
    <cellStyle name="Output 2 3 7" xfId="15164" xr:uid="{E8FEF57C-15D4-4BD1-8FC7-4B7E34605822}"/>
    <cellStyle name="Output 2 3 7 2" xfId="30518" xr:uid="{A36B164C-EAF2-48B9-B50C-5B12962699B0}"/>
    <cellStyle name="Output 2 3 8" xfId="15165" xr:uid="{469188AA-F8D9-4AD5-B10B-32E5EC344F30}"/>
    <cellStyle name="Output 2 3 8 2" xfId="30519" xr:uid="{3109B49E-A518-4D8B-8DB0-7768295D1C19}"/>
    <cellStyle name="Output 2 3 9" xfId="15166" xr:uid="{2EFAC84E-43D9-409C-AC73-28D39289A4FC}"/>
    <cellStyle name="Output 2 3 9 2" xfId="30520" xr:uid="{FABEB1E1-29BA-4A55-8605-EBEEBB02E513}"/>
    <cellStyle name="Output 2 4" xfId="15167" xr:uid="{37069D0A-98BF-4F78-890E-3B03B2CE947E}"/>
    <cellStyle name="Output 2 4 2" xfId="30521" xr:uid="{3BFBC582-9E9D-4FC9-8E91-8E26EAA8FD2B}"/>
    <cellStyle name="Output 2 5" xfId="15168" xr:uid="{3D08E216-BA4F-41BA-A798-EFFF4446BE3D}"/>
    <cellStyle name="Output 2 5 2" xfId="30522" xr:uid="{0A5EFE07-BD66-486F-AD04-01AF713FCE97}"/>
    <cellStyle name="Output 2 6" xfId="15169" xr:uid="{2AD155B1-1882-409C-AAC3-8D4EB0AC542C}"/>
    <cellStyle name="Output 2 6 2" xfId="30523" xr:uid="{C88C9ABB-B1CB-4E48-9040-32A147E68D73}"/>
    <cellStyle name="Output 2 7" xfId="15170" xr:uid="{38B34BDB-0EAE-4092-AE6C-8EC6AF687E3D}"/>
    <cellStyle name="Output 2 7 2" xfId="30524" xr:uid="{736907EC-3C2B-4E24-99D1-27629CEA9D0D}"/>
    <cellStyle name="Output 2 8" xfId="15171" xr:uid="{883AAD2D-5238-4534-A502-E2631B412931}"/>
    <cellStyle name="Output 2 8 2" xfId="30525" xr:uid="{4598F0E1-5EFB-41B3-A8A1-F28C9A7D5EEB}"/>
    <cellStyle name="Output 2 9" xfId="15172" xr:uid="{32F5EB63-052B-460F-B681-67A3EEE40D1F}"/>
    <cellStyle name="Output 2 9 2" xfId="30526" xr:uid="{C7ABA520-F7F1-4EB6-A49A-B56E91022F28}"/>
    <cellStyle name="Output 20" xfId="15173" xr:uid="{7CE02ECE-1DD9-4767-95BF-89A6D6E40BDE}"/>
    <cellStyle name="Output 20 2" xfId="30527" xr:uid="{2B8F2FDF-307D-4BAA-BE2B-17235E070376}"/>
    <cellStyle name="Output 21" xfId="15174" xr:uid="{5425054E-D7C4-40A2-98D0-DD9510878BA3}"/>
    <cellStyle name="Output 21 2" xfId="30528" xr:uid="{D2334568-EB48-4DE6-A228-6BB9840B9546}"/>
    <cellStyle name="Output 22" xfId="15175" xr:uid="{B69917F6-CBA1-468C-BC01-ECE8760BC6CA}"/>
    <cellStyle name="Output 22 2" xfId="30529" xr:uid="{B8333C70-5EF1-4F40-87BC-3CC47F022305}"/>
    <cellStyle name="Output 23" xfId="15176" xr:uid="{3911AF49-633F-4A07-AE5F-7ECD5F87EBD2}"/>
    <cellStyle name="Output 23 2" xfId="30530" xr:uid="{B77960FE-0969-42BE-84D2-6F1159413FB2}"/>
    <cellStyle name="Output 24" xfId="15177" xr:uid="{8EB18CCA-C3DD-4536-8F7B-1F517F36A7C2}"/>
    <cellStyle name="Output 24 2" xfId="30531" xr:uid="{0689B154-8ACB-4501-A7B8-216EBCD44EC8}"/>
    <cellStyle name="Output 25" xfId="15178" xr:uid="{C7138369-9EED-4EB0-938C-B606358E6775}"/>
    <cellStyle name="Output 25 2" xfId="30532" xr:uid="{954AA8DA-4F21-4DFF-8DE2-C4E03BBF88BB}"/>
    <cellStyle name="Output 26" xfId="15179" xr:uid="{C83C3F6E-BF45-49A0-8D32-C7DB836EB6BD}"/>
    <cellStyle name="Output 26 2" xfId="30533" xr:uid="{0CF7FFC3-6620-438F-96F2-AB2AD422A499}"/>
    <cellStyle name="Output 27" xfId="15180" xr:uid="{E2D55576-135A-4F3C-9E97-78E9DEEAAB4D}"/>
    <cellStyle name="Output 27 2" xfId="30534" xr:uid="{A3C968AC-0238-46E1-B584-41AC36642A57}"/>
    <cellStyle name="Output 28" xfId="15100" xr:uid="{9912FCDF-647B-4547-AFE9-7276624F345B}"/>
    <cellStyle name="Output 28 2" xfId="30451" xr:uid="{1F877C12-7B16-4D9C-9A8E-A761AAC65E96}"/>
    <cellStyle name="Output 3" xfId="15181" xr:uid="{7D39A9CB-B190-4E51-B2E7-17DB65ADC730}"/>
    <cellStyle name="Output 3 10" xfId="15182" xr:uid="{263CEA93-0F3D-4930-B8AA-B904FCC95AF8}"/>
    <cellStyle name="Output 3 10 2" xfId="30536" xr:uid="{3A79C884-C48D-4C29-85BA-3789307118DC}"/>
    <cellStyle name="Output 3 11" xfId="15183" xr:uid="{63A95732-08E1-4417-8DCC-F71626D56C20}"/>
    <cellStyle name="Output 3 11 2" xfId="30537" xr:uid="{27CDCC05-91CF-4499-A9F1-F38441EF9C08}"/>
    <cellStyle name="Output 3 12" xfId="15184" xr:uid="{D4C75A1A-4B9F-450F-93DC-86AA57943AD9}"/>
    <cellStyle name="Output 3 12 2" xfId="30538" xr:uid="{CCB61628-7A44-4FA6-94B3-7B8C515A28AF}"/>
    <cellStyle name="Output 3 13" xfId="15185" xr:uid="{B1C44824-5AE1-46B3-8CDE-196226114B97}"/>
    <cellStyle name="Output 3 13 2" xfId="30539" xr:uid="{9ABA403D-9E28-40CA-B3A9-EE77A2FE1455}"/>
    <cellStyle name="Output 3 14" xfId="15186" xr:uid="{31C38BD9-0202-4A3C-805B-759AB1029DC8}"/>
    <cellStyle name="Output 3 14 2" xfId="30540" xr:uid="{44507200-C357-4D15-B41B-E87C9008F461}"/>
    <cellStyle name="Output 3 15" xfId="15187" xr:uid="{110B25E8-EE37-4553-9143-2F4D5EAFD8F7}"/>
    <cellStyle name="Output 3 15 2" xfId="30541" xr:uid="{573CEC68-8B12-4CC9-8313-484E49165C01}"/>
    <cellStyle name="Output 3 16" xfId="15188" xr:uid="{EAD4E989-ED2B-4B9E-B18E-4F506A712015}"/>
    <cellStyle name="Output 3 16 2" xfId="30542" xr:uid="{A72536DC-C5AD-4B49-A5D9-E451306A9B2D}"/>
    <cellStyle name="Output 3 17" xfId="15189" xr:uid="{A52CAD30-757B-4924-8CF9-6267A1CCD770}"/>
    <cellStyle name="Output 3 17 2" xfId="30543" xr:uid="{39441442-853D-4672-97A3-18FD948EB218}"/>
    <cellStyle name="Output 3 18" xfId="15190" xr:uid="{FC800431-E1DF-413A-91D1-A2997636040F}"/>
    <cellStyle name="Output 3 18 2" xfId="30544" xr:uid="{78B36D24-C57A-4831-9107-BC0BC5063F5E}"/>
    <cellStyle name="Output 3 19" xfId="15191" xr:uid="{5D2578C3-95E7-42C6-B07B-AFAE7DAB3CD5}"/>
    <cellStyle name="Output 3 19 2" xfId="30545" xr:uid="{044EE38F-306A-4C6E-B4E7-7FB9C155BD96}"/>
    <cellStyle name="Output 3 2" xfId="15192" xr:uid="{1F2C53FA-19D3-48C8-8B4C-CD746502786A}"/>
    <cellStyle name="Output 3 2 10" xfId="15193" xr:uid="{95BABB4B-B37B-46BE-B675-6C98F7C9C489}"/>
    <cellStyle name="Output 3 2 10 2" xfId="30547" xr:uid="{3784A69B-13B3-403D-9DFC-75C3D7336F19}"/>
    <cellStyle name="Output 3 2 11" xfId="15194" xr:uid="{BC1E4C69-E1C6-4500-A47E-4F89819AEDA3}"/>
    <cellStyle name="Output 3 2 11 2" xfId="30548" xr:uid="{8A3CC7B3-30CB-46EF-B052-C155CA0A088B}"/>
    <cellStyle name="Output 3 2 12" xfId="15195" xr:uid="{1DE41C78-F4A4-407F-BB86-24F6EE94FDD9}"/>
    <cellStyle name="Output 3 2 12 2" xfId="30549" xr:uid="{BDDBA86B-3873-4A0D-829C-5DFD074E6C55}"/>
    <cellStyle name="Output 3 2 13" xfId="15196" xr:uid="{0B27474E-AE17-4BED-A3F9-112E7B06E80C}"/>
    <cellStyle name="Output 3 2 13 2" xfId="30550" xr:uid="{016B7E59-FADF-4F93-A601-CB2169DF79D0}"/>
    <cellStyle name="Output 3 2 14" xfId="15197" xr:uid="{34D76947-5575-4DCF-BACB-09308695724A}"/>
    <cellStyle name="Output 3 2 14 2" xfId="30551" xr:uid="{C367C0B6-2A5B-45A6-950C-8782804BA4F2}"/>
    <cellStyle name="Output 3 2 15" xfId="15198" xr:uid="{9F6B9414-A518-4F6B-956C-31C05E9D430F}"/>
    <cellStyle name="Output 3 2 15 2" xfId="30552" xr:uid="{625CCB59-F19B-41E8-980C-0A845874FC49}"/>
    <cellStyle name="Output 3 2 16" xfId="15199" xr:uid="{391100D5-02A6-4975-8715-44120129D8B4}"/>
    <cellStyle name="Output 3 2 16 2" xfId="30553" xr:uid="{181B0F98-A834-4778-A3A0-563ECCC3D9B6}"/>
    <cellStyle name="Output 3 2 17" xfId="15200" xr:uid="{1C5183C8-5FC5-4879-BB9F-BEDFEB14884F}"/>
    <cellStyle name="Output 3 2 17 2" xfId="30554" xr:uid="{75557000-C5B1-4BE3-ABC0-4E76A740B72B}"/>
    <cellStyle name="Output 3 2 18" xfId="15201" xr:uid="{7D42355B-FBAC-403C-BF79-6C09912FF747}"/>
    <cellStyle name="Output 3 2 18 2" xfId="30555" xr:uid="{E3BCD685-0E9B-4EE7-8B15-EFC1E0A150B6}"/>
    <cellStyle name="Output 3 2 19" xfId="30546" xr:uid="{FBB8F963-E716-4B63-B51F-C2E3F7C61151}"/>
    <cellStyle name="Output 3 2 2" xfId="15202" xr:uid="{F53D0A94-92F6-4DF2-8AC7-043D8A38D9DC}"/>
    <cellStyle name="Output 3 2 2 10" xfId="15203" xr:uid="{0D920C88-DF55-4ADE-B2EC-78DB8DB186FD}"/>
    <cellStyle name="Output 3 2 2 10 2" xfId="30557" xr:uid="{1099DD0C-488A-4775-BA6E-D303CA330D6E}"/>
    <cellStyle name="Output 3 2 2 11" xfId="15204" xr:uid="{6DB140C7-F1A9-4DAF-9FF6-399C9A203542}"/>
    <cellStyle name="Output 3 2 2 11 2" xfId="30559" xr:uid="{E7300908-DAE2-423B-8A23-88A64435F79C}"/>
    <cellStyle name="Output 3 2 2 12" xfId="15205" xr:uid="{A30DB08B-2707-405A-9E5D-817A3B61F86F}"/>
    <cellStyle name="Output 3 2 2 12 2" xfId="30560" xr:uid="{C1632B2C-AB30-4334-83BA-7283A48B6DB8}"/>
    <cellStyle name="Output 3 2 2 13" xfId="15206" xr:uid="{6AAF3EFD-9745-4F24-99E4-EC6A525718AE}"/>
    <cellStyle name="Output 3 2 2 13 2" xfId="30561" xr:uid="{58B15F18-F413-4B2B-842F-6C889328B7B6}"/>
    <cellStyle name="Output 3 2 2 14" xfId="15207" xr:uid="{8AA9E7BE-AC3A-490B-8DDB-BA2AB42EB6CB}"/>
    <cellStyle name="Output 3 2 2 14 2" xfId="30562" xr:uid="{280658ED-9F44-405A-9070-C954EFE817E0}"/>
    <cellStyle name="Output 3 2 2 15" xfId="30556" xr:uid="{E2514097-A3D2-4D9B-AA79-18DAABFD43C2}"/>
    <cellStyle name="Output 3 2 2 2" xfId="15208" xr:uid="{EFEDC580-9A54-4D99-97DC-D09D652A5AEE}"/>
    <cellStyle name="Output 3 2 2 2 2" xfId="30563" xr:uid="{FD649137-825B-435C-95D6-001D33644E75}"/>
    <cellStyle name="Output 3 2 2 3" xfId="15209" xr:uid="{DD909D29-2FD7-46E8-B38D-76E2FC7F03C2}"/>
    <cellStyle name="Output 3 2 2 3 2" xfId="30564" xr:uid="{6008A52A-0BA5-4E36-9A13-CD5646F278C5}"/>
    <cellStyle name="Output 3 2 2 4" xfId="15210" xr:uid="{ECABEC31-0591-4E03-82D0-882423D64F12}"/>
    <cellStyle name="Output 3 2 2 4 2" xfId="30565" xr:uid="{D1A7994A-2F20-468C-9C0E-272AFD73A99B}"/>
    <cellStyle name="Output 3 2 2 5" xfId="15211" xr:uid="{B2F51A9E-BA02-4D41-89D6-20C1548588C7}"/>
    <cellStyle name="Output 3 2 2 5 2" xfId="30566" xr:uid="{937D53D9-2C38-495B-89A0-FD12BEE42251}"/>
    <cellStyle name="Output 3 2 2 6" xfId="15212" xr:uid="{CE1B8CE6-7685-4A89-8398-794F05349913}"/>
    <cellStyle name="Output 3 2 2 6 2" xfId="30567" xr:uid="{C685DE55-501E-45E6-AB73-6F13EEF9FDED}"/>
    <cellStyle name="Output 3 2 2 7" xfId="15213" xr:uid="{D2A2FA48-B5C4-40FF-BB5D-68E71C34EEAF}"/>
    <cellStyle name="Output 3 2 2 7 2" xfId="30568" xr:uid="{65D22AA6-9165-4FC3-8D7B-29333D7B4CB2}"/>
    <cellStyle name="Output 3 2 2 8" xfId="15214" xr:uid="{BE715381-CF35-42A4-A062-5D373C819B92}"/>
    <cellStyle name="Output 3 2 2 8 2" xfId="30569" xr:uid="{89F45F2A-7045-497D-83D6-12D4942C815A}"/>
    <cellStyle name="Output 3 2 2 9" xfId="15215" xr:uid="{44076E89-F3C7-4646-873A-65F3992CCC23}"/>
    <cellStyle name="Output 3 2 2 9 2" xfId="30570" xr:uid="{F872469F-A4EA-4A40-8035-C30B1CEB301F}"/>
    <cellStyle name="Output 3 2 3" xfId="15216" xr:uid="{A801D542-632F-4419-A261-D89C2D479CDE}"/>
    <cellStyle name="Output 3 2 3 2" xfId="30571" xr:uid="{75477A60-73CA-4C92-88CC-424DA5EAE12F}"/>
    <cellStyle name="Output 3 2 4" xfId="15217" xr:uid="{8E64B676-0094-4D41-940D-8532CCA40116}"/>
    <cellStyle name="Output 3 2 4 2" xfId="30572" xr:uid="{DA9E4ACE-8D38-4113-AFC2-7B104D0212B1}"/>
    <cellStyle name="Output 3 2 5" xfId="15218" xr:uid="{844E1041-69BB-4764-88A3-3546DF645D2B}"/>
    <cellStyle name="Output 3 2 5 2" xfId="30573" xr:uid="{99EA4E6F-AFED-467F-8329-33B8AB391894}"/>
    <cellStyle name="Output 3 2 6" xfId="15219" xr:uid="{83C2D4F6-269F-40D0-882F-1E5EC148F119}"/>
    <cellStyle name="Output 3 2 6 2" xfId="30574" xr:uid="{CABFB1E9-B4CC-44DA-9F16-E5BB051BC00A}"/>
    <cellStyle name="Output 3 2 7" xfId="15220" xr:uid="{A06AE655-B096-4DD1-829D-B3092D2CB13D}"/>
    <cellStyle name="Output 3 2 7 2" xfId="30575" xr:uid="{90AFFAA2-3D7B-46A2-9F00-23BF24B38C12}"/>
    <cellStyle name="Output 3 2 8" xfId="15221" xr:uid="{D51A6D55-92FC-4B89-B041-A59E96BB1ACD}"/>
    <cellStyle name="Output 3 2 8 2" xfId="30576" xr:uid="{B2E7DDC5-9040-448A-9DE8-C631C0313866}"/>
    <cellStyle name="Output 3 2 9" xfId="15222" xr:uid="{E1B522C5-7645-48E6-96DA-8E3E23815653}"/>
    <cellStyle name="Output 3 2 9 2" xfId="30577" xr:uid="{A9D9126C-5C64-4DC4-8105-A963FB408A07}"/>
    <cellStyle name="Output 3 20" xfId="15223" xr:uid="{FC88CDEE-74AC-43C9-B4D5-0D26CDFC0998}"/>
    <cellStyle name="Output 3 20 2" xfId="30578" xr:uid="{0D0E06D4-CC80-4BAF-804D-AF6336A2D375}"/>
    <cellStyle name="Output 3 21" xfId="15224" xr:uid="{7CCB3A35-27E5-4A46-BD47-2A88FBC133A3}"/>
    <cellStyle name="Output 3 21 2" xfId="30579" xr:uid="{D323E7C3-37EF-4122-8AF7-B8152E26A82C}"/>
    <cellStyle name="Output 3 22" xfId="15225" xr:uid="{93E0E316-AC15-4AC8-AC28-643756443D25}"/>
    <cellStyle name="Output 3 22 2" xfId="30580" xr:uid="{16B7A81A-409F-4A5B-8294-BB51BB5BA27F}"/>
    <cellStyle name="Output 3 23" xfId="15226" xr:uid="{11F5F921-7447-4A2E-B936-E2E8370B6FA4}"/>
    <cellStyle name="Output 3 23 2" xfId="30581" xr:uid="{D38FE889-0322-4EAE-BE25-23942213A9B4}"/>
    <cellStyle name="Output 3 24" xfId="15227" xr:uid="{E2B57230-4A95-4DF7-ACC2-F1CA7E429CE0}"/>
    <cellStyle name="Output 3 24 2" xfId="30582" xr:uid="{FD4FB913-4E45-43E7-A602-C21C2C3ABBCB}"/>
    <cellStyle name="Output 3 25" xfId="30535" xr:uid="{86837ECB-9592-4451-8437-42DE97C792EF}"/>
    <cellStyle name="Output 3 3" xfId="15228" xr:uid="{376145D2-FCC9-4519-8D96-BE34B0F028D6}"/>
    <cellStyle name="Output 3 3 10" xfId="15229" xr:uid="{9EEE4E57-DCDC-42F8-98BE-CA159C94A927}"/>
    <cellStyle name="Output 3 3 10 2" xfId="30584" xr:uid="{FC374DFF-8EF4-4344-902B-E1072AA86BA8}"/>
    <cellStyle name="Output 3 3 11" xfId="15230" xr:uid="{079FB143-A692-4771-B47C-C5E21EEDDB48}"/>
    <cellStyle name="Output 3 3 11 2" xfId="30585" xr:uid="{B1D74B1E-EF3E-4AEA-8014-49F4F4CA0EE9}"/>
    <cellStyle name="Output 3 3 12" xfId="15231" xr:uid="{92DFB2C7-4817-4F9E-AFB0-806FB48C5950}"/>
    <cellStyle name="Output 3 3 12 2" xfId="30586" xr:uid="{15A295E5-1299-46C6-91C4-384CA162B0AF}"/>
    <cellStyle name="Output 3 3 13" xfId="15232" xr:uid="{A496C003-15A8-4F6A-BA63-B3312CAABAF8}"/>
    <cellStyle name="Output 3 3 13 2" xfId="30587" xr:uid="{10A69912-4C69-476C-84F7-87ABF2B8CC61}"/>
    <cellStyle name="Output 3 3 14" xfId="15233" xr:uid="{641D4D7E-E420-44BB-9444-CFAAAF736DD8}"/>
    <cellStyle name="Output 3 3 14 2" xfId="30588" xr:uid="{89BAD55F-B552-48AA-8647-A657C759C70E}"/>
    <cellStyle name="Output 3 3 15" xfId="30583" xr:uid="{7017F6AC-4BEB-4BCB-89E4-61F89FE95B82}"/>
    <cellStyle name="Output 3 3 2" xfId="15234" xr:uid="{3DA3C003-7459-4114-AC1C-5CEDB2B00BB3}"/>
    <cellStyle name="Output 3 3 2 2" xfId="30589" xr:uid="{29A6F853-85DC-4635-9A83-FD7C1821D164}"/>
    <cellStyle name="Output 3 3 3" xfId="15235" xr:uid="{5C2CFBDE-B318-4780-BA07-DC9A57551FEA}"/>
    <cellStyle name="Output 3 3 3 2" xfId="30590" xr:uid="{98B8AD55-D08C-4D08-8ED3-6B7241F057EB}"/>
    <cellStyle name="Output 3 3 4" xfId="15236" xr:uid="{4D6C0559-8579-4950-9E01-628D04648B53}"/>
    <cellStyle name="Output 3 3 4 2" xfId="30591" xr:uid="{8701739D-F366-46F9-84BB-B497F1915F17}"/>
    <cellStyle name="Output 3 3 5" xfId="15237" xr:uid="{7750CCA5-577D-454B-B37C-7953FEC719AF}"/>
    <cellStyle name="Output 3 3 5 2" xfId="30592" xr:uid="{97D15764-EE74-4E70-A992-14FA9052A62E}"/>
    <cellStyle name="Output 3 3 6" xfId="15238" xr:uid="{1569D124-61B1-47DF-B7F7-22EC3DEAF326}"/>
    <cellStyle name="Output 3 3 6 2" xfId="30593" xr:uid="{F6B93F67-78C0-4FE9-B539-9730D7EFB032}"/>
    <cellStyle name="Output 3 3 7" xfId="15239" xr:uid="{1EFC5B73-6A37-4DD1-AB46-889DF219444E}"/>
    <cellStyle name="Output 3 3 7 2" xfId="30594" xr:uid="{94D1D370-C4A5-4508-A89D-3AFD3357C92C}"/>
    <cellStyle name="Output 3 3 8" xfId="15240" xr:uid="{2CFA52F9-A901-40EF-AEE9-CAA207D8D772}"/>
    <cellStyle name="Output 3 3 8 2" xfId="30595" xr:uid="{2A3E7F2D-8D36-4D0C-B34B-0AC2C10771DA}"/>
    <cellStyle name="Output 3 3 9" xfId="15241" xr:uid="{F5DC049F-E25E-40E2-9B69-75516E9561E6}"/>
    <cellStyle name="Output 3 3 9 2" xfId="30596" xr:uid="{09D054B2-7C71-4D52-9841-713F129CBB2F}"/>
    <cellStyle name="Output 3 4" xfId="15242" xr:uid="{7EC5F911-8D8D-4556-A9BC-77C4BAF26E73}"/>
    <cellStyle name="Output 3 4 2" xfId="30597" xr:uid="{546F566C-B1A8-4EA8-B10B-8A4DD9394D78}"/>
    <cellStyle name="Output 3 5" xfId="15243" xr:uid="{7BF5A725-E691-4B9A-9A6D-9BE240E42DD7}"/>
    <cellStyle name="Output 3 5 2" xfId="30598" xr:uid="{F58D443E-AF11-4CCD-9CFE-DBAC8C594825}"/>
    <cellStyle name="Output 3 6" xfId="15244" xr:uid="{27845AA1-29D1-4BCF-A926-91BD847715CB}"/>
    <cellStyle name="Output 3 6 2" xfId="30599" xr:uid="{06F2DB6E-6B5D-4965-B7C4-D0A1C8BD20B7}"/>
    <cellStyle name="Output 3 7" xfId="15245" xr:uid="{630E26AE-CF74-4662-A629-D15885E20CB4}"/>
    <cellStyle name="Output 3 7 2" xfId="30600" xr:uid="{AE8A9D13-4566-4C27-A656-4DFBDBBB12D6}"/>
    <cellStyle name="Output 3 8" xfId="15246" xr:uid="{7041661D-EE34-4824-A18D-61ABC1BAF5BC}"/>
    <cellStyle name="Output 3 8 2" xfId="30601" xr:uid="{BEC67468-62AE-4478-BD88-0B5EA11F2B43}"/>
    <cellStyle name="Output 3 9" xfId="15247" xr:uid="{6B79D9BA-6DC6-4980-8A5D-4CD7D861DC96}"/>
    <cellStyle name="Output 3 9 2" xfId="30602" xr:uid="{FCBB2068-A3ED-4592-A50C-8CA6B113CB58}"/>
    <cellStyle name="Output 4" xfId="15248" xr:uid="{01A90EF6-9FDE-48F8-BE9A-6BA383BB6675}"/>
    <cellStyle name="Output 4 10" xfId="15249" xr:uid="{94F630A3-1E08-4874-84CF-B1DE6618DB1F}"/>
    <cellStyle name="Output 4 10 2" xfId="30604" xr:uid="{A3CB609D-65E0-404C-B5DD-7E711C9F054C}"/>
    <cellStyle name="Output 4 11" xfId="15250" xr:uid="{991CCACB-F82B-456D-AB64-5DEAF6918282}"/>
    <cellStyle name="Output 4 11 2" xfId="30605" xr:uid="{D0B88C26-D240-4793-9036-A08E3D40EA42}"/>
    <cellStyle name="Output 4 12" xfId="15251" xr:uid="{53BF76E7-4DA6-41EF-9AA3-1FAA6A06D4B1}"/>
    <cellStyle name="Output 4 12 2" xfId="30606" xr:uid="{4ED71295-CF81-49D6-8EF8-99B399E21143}"/>
    <cellStyle name="Output 4 13" xfId="15252" xr:uid="{7F7CAE27-8612-46EE-A45E-8DE8461D5330}"/>
    <cellStyle name="Output 4 13 2" xfId="30607" xr:uid="{690FDADF-4C30-4ACC-8B70-0C2FA8F8EE15}"/>
    <cellStyle name="Output 4 14" xfId="15253" xr:uid="{35E21D52-4711-4DAA-800A-35FAAAF4BDA8}"/>
    <cellStyle name="Output 4 14 2" xfId="30608" xr:uid="{7CD04F5B-780B-4116-AF50-242E3A04B26C}"/>
    <cellStyle name="Output 4 15" xfId="15254" xr:uid="{FD644A7E-49AD-43F2-944B-C6EAAE9CC3D6}"/>
    <cellStyle name="Output 4 15 2" xfId="30609" xr:uid="{D108BDB1-7571-41BF-BAEA-6E3B6FA86282}"/>
    <cellStyle name="Output 4 16" xfId="15255" xr:uid="{331D7E6E-22BC-41AF-95A8-7D6C4FFF765A}"/>
    <cellStyle name="Output 4 16 2" xfId="30610" xr:uid="{4E5B4BD5-BDF2-4A21-A4BC-F2319A734BF9}"/>
    <cellStyle name="Output 4 17" xfId="15256" xr:uid="{3D7EB518-FCC8-41A3-AE82-AA6EEE368563}"/>
    <cellStyle name="Output 4 17 2" xfId="30611" xr:uid="{479B87A3-0986-48DD-B98A-0758682AFD47}"/>
    <cellStyle name="Output 4 18" xfId="15257" xr:uid="{49D3F626-DC24-4B35-9FD7-4E16EA9B759C}"/>
    <cellStyle name="Output 4 18 2" xfId="30612" xr:uid="{3865A815-9CA4-41E8-93DB-180027225B96}"/>
    <cellStyle name="Output 4 19" xfId="15258" xr:uid="{94BD466D-7C7C-4ED3-80AE-D52C455F44F9}"/>
    <cellStyle name="Output 4 19 2" xfId="30613" xr:uid="{31424E84-F995-48DC-8EE2-90671F0DFD3F}"/>
    <cellStyle name="Output 4 2" xfId="15259" xr:uid="{A1A2A23D-3CD8-4481-9591-C556350C96F1}"/>
    <cellStyle name="Output 4 2 10" xfId="15260" xr:uid="{AD5BF9F1-3525-465A-A226-566A1D09420E}"/>
    <cellStyle name="Output 4 2 10 2" xfId="30615" xr:uid="{2309DCB1-EB17-40A2-B1CF-2457E83F5AF6}"/>
    <cellStyle name="Output 4 2 11" xfId="15261" xr:uid="{94B06390-B715-447C-849D-F1BAA7FD6926}"/>
    <cellStyle name="Output 4 2 11 2" xfId="30616" xr:uid="{B444A4AB-35DE-4B70-9361-33F8B2E5C711}"/>
    <cellStyle name="Output 4 2 12" xfId="15262" xr:uid="{31F8FB39-9C22-449B-A6DC-D027AB215FD5}"/>
    <cellStyle name="Output 4 2 12 2" xfId="30617" xr:uid="{2C4A4B00-DC3F-4606-A85B-E0CFFE6B023B}"/>
    <cellStyle name="Output 4 2 13" xfId="15263" xr:uid="{FEFED228-CD44-48C9-881B-CD72DFB2F674}"/>
    <cellStyle name="Output 4 2 13 2" xfId="30618" xr:uid="{B6A81F52-40D1-4840-B50B-549FCF1230C8}"/>
    <cellStyle name="Output 4 2 14" xfId="15264" xr:uid="{1C6287A8-ECD9-457B-9576-91313AD59662}"/>
    <cellStyle name="Output 4 2 14 2" xfId="30619" xr:uid="{E264512D-FE92-41A1-953A-EBB43D61CF07}"/>
    <cellStyle name="Output 4 2 15" xfId="15265" xr:uid="{0C3B3C72-2DD8-4646-964A-6E5D41B12F6E}"/>
    <cellStyle name="Output 4 2 15 2" xfId="30620" xr:uid="{E2AE9F99-672C-4341-9C82-5385D36B1DDD}"/>
    <cellStyle name="Output 4 2 16" xfId="15266" xr:uid="{1C0A74F8-C1D7-44E5-9CAC-DE12609C636F}"/>
    <cellStyle name="Output 4 2 16 2" xfId="30621" xr:uid="{8C28BADB-B681-4237-8E4C-7D1966B527A6}"/>
    <cellStyle name="Output 4 2 17" xfId="15267" xr:uid="{9D9C5E07-4CB9-43AC-B4AD-C7308EA0B5A3}"/>
    <cellStyle name="Output 4 2 17 2" xfId="30622" xr:uid="{E4A7611C-3485-44D5-8326-F7CEEC85C55A}"/>
    <cellStyle name="Output 4 2 18" xfId="15268" xr:uid="{C60B0C5D-D789-4C6B-A14D-252EDFD2C96B}"/>
    <cellStyle name="Output 4 2 18 2" xfId="30623" xr:uid="{11337195-F321-42BC-BB27-950C26593478}"/>
    <cellStyle name="Output 4 2 19" xfId="30614" xr:uid="{BA2F380B-4498-469C-BF6D-8ADB03459E95}"/>
    <cellStyle name="Output 4 2 2" xfId="15269" xr:uid="{8ABDE37B-9AB9-40CE-8C68-99593FD2C06D}"/>
    <cellStyle name="Output 4 2 2 10" xfId="15270" xr:uid="{EB4A2E68-9D87-448B-863F-7687DB5621B5}"/>
    <cellStyle name="Output 4 2 2 10 2" xfId="30625" xr:uid="{F439C460-D060-420E-B9BD-993DAB352829}"/>
    <cellStyle name="Output 4 2 2 11" xfId="15271" xr:uid="{43BF267D-4721-4C7F-91A6-D223C4031038}"/>
    <cellStyle name="Output 4 2 2 11 2" xfId="30626" xr:uid="{F7B3F7F5-4A96-459F-A48C-0F741C4FA11F}"/>
    <cellStyle name="Output 4 2 2 12" xfId="15272" xr:uid="{D4E44E6D-6C10-4BBA-8337-381806FF4B84}"/>
    <cellStyle name="Output 4 2 2 12 2" xfId="30627" xr:uid="{84D023B2-CFF6-4720-82A8-09E80422E0B2}"/>
    <cellStyle name="Output 4 2 2 13" xfId="15273" xr:uid="{37779780-82EA-4D8C-B10D-83EEDF69903C}"/>
    <cellStyle name="Output 4 2 2 13 2" xfId="30628" xr:uid="{D7852127-6CCB-4691-A031-46DE90FB5AA7}"/>
    <cellStyle name="Output 4 2 2 14" xfId="15274" xr:uid="{0E7BBB73-EF64-4A17-805A-30C717E7EDB8}"/>
    <cellStyle name="Output 4 2 2 14 2" xfId="30629" xr:uid="{02A611F7-1EB0-4D92-A5EB-AD09156D3BA3}"/>
    <cellStyle name="Output 4 2 2 15" xfId="30624" xr:uid="{8052C34F-78E2-4552-AC98-165E5C2A31F9}"/>
    <cellStyle name="Output 4 2 2 2" xfId="15275" xr:uid="{C043ED3C-04B4-4FDC-A409-ACC236152A51}"/>
    <cellStyle name="Output 4 2 2 2 2" xfId="30630" xr:uid="{8618C2D5-7A6A-4B83-B36C-C9FFCFD6415F}"/>
    <cellStyle name="Output 4 2 2 3" xfId="15276" xr:uid="{2EFC31BB-3213-4D89-9B55-F1FFD56F5933}"/>
    <cellStyle name="Output 4 2 2 3 2" xfId="30631" xr:uid="{D2201AEC-0766-4A08-8E65-6F0654DD6018}"/>
    <cellStyle name="Output 4 2 2 4" xfId="15277" xr:uid="{4C2BDAE4-CBBC-4D87-A3E5-4D71B0C3CA99}"/>
    <cellStyle name="Output 4 2 2 4 2" xfId="30632" xr:uid="{B30662B6-BEA8-4559-B3EB-1971D92EE543}"/>
    <cellStyle name="Output 4 2 2 5" xfId="15278" xr:uid="{1F0E1529-F4B0-4F52-B20E-68020190579C}"/>
    <cellStyle name="Output 4 2 2 5 2" xfId="30633" xr:uid="{A1EC37F8-A787-4D22-B0CF-CF5C8214AFD1}"/>
    <cellStyle name="Output 4 2 2 6" xfId="15279" xr:uid="{99312A9B-BBB0-480D-AFA5-97D208DA2C13}"/>
    <cellStyle name="Output 4 2 2 6 2" xfId="30634" xr:uid="{CFC7967F-C8FA-45B4-ABCA-B8C71ADB8C5B}"/>
    <cellStyle name="Output 4 2 2 7" xfId="15280" xr:uid="{C390B792-5BBD-4D7B-AA09-FF7067CD8575}"/>
    <cellStyle name="Output 4 2 2 7 2" xfId="30635" xr:uid="{53E82DE1-C238-4843-8395-CD81293D02F8}"/>
    <cellStyle name="Output 4 2 2 8" xfId="15281" xr:uid="{E24A9005-862E-41A3-B6FB-5F8E84BD38C8}"/>
    <cellStyle name="Output 4 2 2 8 2" xfId="30636" xr:uid="{8F01A446-59D4-4ECF-80D9-41B4B2445D3C}"/>
    <cellStyle name="Output 4 2 2 9" xfId="15282" xr:uid="{20805D4E-CA28-48F3-A7EC-C7D5389825C0}"/>
    <cellStyle name="Output 4 2 2 9 2" xfId="30637" xr:uid="{73EE36B8-5E4D-4A6A-82BB-A5FBB3237A84}"/>
    <cellStyle name="Output 4 2 3" xfId="15283" xr:uid="{6C6B18AA-F135-4E78-8411-902FC06807D5}"/>
    <cellStyle name="Output 4 2 3 2" xfId="30638" xr:uid="{84D298E5-3938-4E84-9204-32DF12EC372D}"/>
    <cellStyle name="Output 4 2 4" xfId="15284" xr:uid="{7796C15B-87F7-417E-960B-D22634D2B070}"/>
    <cellStyle name="Output 4 2 4 2" xfId="30558" xr:uid="{280407E7-098E-4D84-BEBF-37E486D68014}"/>
    <cellStyle name="Output 4 2 5" xfId="15285" xr:uid="{CA9943C3-6CD6-4C90-95CA-F0BB08E1CB50}"/>
    <cellStyle name="Output 4 2 5 2" xfId="30639" xr:uid="{552345E1-F948-4E15-995C-207650334FB6}"/>
    <cellStyle name="Output 4 2 6" xfId="15286" xr:uid="{40157692-3B7B-4B81-894C-5153053B5BFA}"/>
    <cellStyle name="Output 4 2 6 2" xfId="30640" xr:uid="{A388A2C7-BBCF-4426-9763-48FCF91A9444}"/>
    <cellStyle name="Output 4 2 7" xfId="15287" xr:uid="{D65F917B-340F-4E69-8DF7-2476AD71BAD9}"/>
    <cellStyle name="Output 4 2 7 2" xfId="30641" xr:uid="{219DEE76-7244-46B7-A684-F90ABA43D403}"/>
    <cellStyle name="Output 4 2 8" xfId="15288" xr:uid="{6A9DD5C2-CD63-4688-935A-8E9B1BE06E8B}"/>
    <cellStyle name="Output 4 2 8 2" xfId="30642" xr:uid="{C9E6A88D-ADE0-44DC-8099-E2551A8BBF37}"/>
    <cellStyle name="Output 4 2 9" xfId="15289" xr:uid="{0D8C3C98-F017-4682-B555-D3A38DB875AA}"/>
    <cellStyle name="Output 4 2 9 2" xfId="30643" xr:uid="{5B30D7ED-D3FB-4C47-81E0-23FE19B5C671}"/>
    <cellStyle name="Output 4 20" xfId="15290" xr:uid="{56A99F0F-D594-4146-B4F1-6BB7628D530E}"/>
    <cellStyle name="Output 4 20 2" xfId="30644" xr:uid="{BA6E0EF8-E942-4AAB-A57B-D60C454627C6}"/>
    <cellStyle name="Output 4 21" xfId="15291" xr:uid="{CE71F6B8-7410-4106-99A3-F9B8900B611C}"/>
    <cellStyle name="Output 4 21 2" xfId="30645" xr:uid="{0F958019-296D-47EA-8A12-E681574B87BE}"/>
    <cellStyle name="Output 4 22" xfId="15292" xr:uid="{2779AACB-0B90-4587-B118-FAC54C0176EF}"/>
    <cellStyle name="Output 4 22 2" xfId="30646" xr:uid="{30B11095-0F9B-4BF0-A757-50EBA56F56CB}"/>
    <cellStyle name="Output 4 23" xfId="15293" xr:uid="{E9FA09DE-6FA0-4320-B80A-CC07EC7E85DE}"/>
    <cellStyle name="Output 4 23 2" xfId="30647" xr:uid="{342671E9-84A6-4DF6-9EEA-5A19C1974D2C}"/>
    <cellStyle name="Output 4 24" xfId="15294" xr:uid="{EDEEC82F-8F1A-437D-8660-89648493F3FD}"/>
    <cellStyle name="Output 4 24 2" xfId="30648" xr:uid="{21C5F961-4FE9-4FD3-9391-414379FBAC44}"/>
    <cellStyle name="Output 4 25" xfId="30603" xr:uid="{5B43894E-3473-41E8-AA50-536D28662A84}"/>
    <cellStyle name="Output 4 3" xfId="15295" xr:uid="{8A0C8A9C-BEE7-4D17-A700-9165BA799175}"/>
    <cellStyle name="Output 4 3 10" xfId="15296" xr:uid="{B504C9ED-9D9D-4DAE-A6F2-67B8FF8A580C}"/>
    <cellStyle name="Output 4 3 10 2" xfId="30650" xr:uid="{B4BB65B6-52C0-4107-A080-9BBEBFD1C843}"/>
    <cellStyle name="Output 4 3 11" xfId="15297" xr:uid="{0D0F8CAB-981E-42B5-98D3-F338A5308EA9}"/>
    <cellStyle name="Output 4 3 11 2" xfId="30651" xr:uid="{14461B3E-DFC7-4FA6-808D-E53F8B9E0EC1}"/>
    <cellStyle name="Output 4 3 12" xfId="15298" xr:uid="{B81EBDF0-A2E8-45F8-9B3D-2A589560FC31}"/>
    <cellStyle name="Output 4 3 12 2" xfId="30652" xr:uid="{7F614F4C-652F-4474-BF03-21BC7A57D9A4}"/>
    <cellStyle name="Output 4 3 13" xfId="15299" xr:uid="{3AB6587D-C2B8-4BD5-A59B-291CCC78381A}"/>
    <cellStyle name="Output 4 3 13 2" xfId="30653" xr:uid="{83C9F1B9-660C-4593-8C30-730E4C1B47F0}"/>
    <cellStyle name="Output 4 3 14" xfId="15300" xr:uid="{6406A720-314C-4133-8F10-93EB33A719A7}"/>
    <cellStyle name="Output 4 3 14 2" xfId="30654" xr:uid="{F4FEC318-425D-45B1-B0F8-F2F240FCBEBD}"/>
    <cellStyle name="Output 4 3 15" xfId="30649" xr:uid="{052C21AB-0AFE-4200-800A-3EACEB361FFA}"/>
    <cellStyle name="Output 4 3 2" xfId="15301" xr:uid="{1FB83AC6-AE10-4993-8D3E-31ADB3D32F6A}"/>
    <cellStyle name="Output 4 3 2 2" xfId="30655" xr:uid="{9BA2F3A3-3AF4-4790-9B67-18D8887F63DC}"/>
    <cellStyle name="Output 4 3 3" xfId="15302" xr:uid="{DFD9A9A0-F01C-4321-BF25-5B3916D358D4}"/>
    <cellStyle name="Output 4 3 3 2" xfId="30656" xr:uid="{BDC5F27D-7F86-4153-83AE-DE550E045628}"/>
    <cellStyle name="Output 4 3 4" xfId="15303" xr:uid="{B600E3CA-3A54-4319-9098-01FB8303710B}"/>
    <cellStyle name="Output 4 3 4 2" xfId="30657" xr:uid="{53427B3D-F6E4-48D2-B220-5E2F73F6CA1B}"/>
    <cellStyle name="Output 4 3 5" xfId="15304" xr:uid="{A5FAED7C-8952-4181-AC20-F262C8287CD7}"/>
    <cellStyle name="Output 4 3 5 2" xfId="30658" xr:uid="{6DB06249-73FF-4CED-A6E6-812605B49A45}"/>
    <cellStyle name="Output 4 3 6" xfId="15305" xr:uid="{FA1EFA7B-B3BA-4598-96E1-4D244F085E6B}"/>
    <cellStyle name="Output 4 3 6 2" xfId="30659" xr:uid="{DC83F311-1BD4-4770-8B35-73A405748370}"/>
    <cellStyle name="Output 4 3 7" xfId="15306" xr:uid="{0B439174-B311-4FD1-884D-F975B9119782}"/>
    <cellStyle name="Output 4 3 7 2" xfId="30660" xr:uid="{BA638307-204E-43A8-B278-56C494894448}"/>
    <cellStyle name="Output 4 3 8" xfId="15307" xr:uid="{BBDD1442-CE91-447F-BD33-55D57A4ABA94}"/>
    <cellStyle name="Output 4 3 8 2" xfId="30661" xr:uid="{0F5E9877-C476-4437-ADDF-18137D9B2095}"/>
    <cellStyle name="Output 4 3 9" xfId="15308" xr:uid="{187DC8A6-250B-4F04-9C26-EFA474CF77DE}"/>
    <cellStyle name="Output 4 3 9 2" xfId="30662" xr:uid="{4D15F332-F43A-4CAC-8559-A9707F855434}"/>
    <cellStyle name="Output 4 4" xfId="15309" xr:uid="{BA96DBE9-3201-4C5C-84AA-531117001532}"/>
    <cellStyle name="Output 4 4 2" xfId="30663" xr:uid="{70EBAA77-7E9B-4A5B-B23E-65C6D0B8470D}"/>
    <cellStyle name="Output 4 5" xfId="15310" xr:uid="{55A8D07A-7928-4391-889F-D88878A4D642}"/>
    <cellStyle name="Output 4 5 2" xfId="30664" xr:uid="{42222D71-E9C1-4AB8-8EDB-7FF9857D43B5}"/>
    <cellStyle name="Output 4 6" xfId="15311" xr:uid="{FE767A8F-8F65-4075-8AFC-189E2D8243E2}"/>
    <cellStyle name="Output 4 6 2" xfId="30665" xr:uid="{ACE4AAC0-8D50-4764-9C4D-45FD4408E49A}"/>
    <cellStyle name="Output 4 7" xfId="15312" xr:uid="{63D7812E-BE5B-4167-B1DC-A8DA4767B6A1}"/>
    <cellStyle name="Output 4 7 2" xfId="30666" xr:uid="{70A6E692-760C-4860-9548-D217697EABB7}"/>
    <cellStyle name="Output 4 8" xfId="15313" xr:uid="{27989E2D-70E0-4943-85EB-5C5196918530}"/>
    <cellStyle name="Output 4 8 2" xfId="30667" xr:uid="{B2349882-DDB6-4754-A559-58C13A4318C1}"/>
    <cellStyle name="Output 4 9" xfId="15314" xr:uid="{22815A8B-F54D-4DF0-9CD0-D41F21B39940}"/>
    <cellStyle name="Output 4 9 2" xfId="30668" xr:uid="{0E2674EE-D8EF-41AD-B610-1027C9A8FFBA}"/>
    <cellStyle name="Output 5" xfId="15315" xr:uid="{D0181A2B-DCE5-41CB-B76C-9292EB0635E3}"/>
    <cellStyle name="Output 5 10" xfId="15316" xr:uid="{1EEEE898-DA42-434F-86B9-13D5F349BF27}"/>
    <cellStyle name="Output 5 10 2" xfId="30670" xr:uid="{0E505950-5164-49B1-BCFB-4EEE8534AF27}"/>
    <cellStyle name="Output 5 11" xfId="15317" xr:uid="{803A80C9-17DD-4DC8-8B26-49F541EBACF3}"/>
    <cellStyle name="Output 5 11 2" xfId="30671" xr:uid="{3EFF6BD0-9572-4C87-B46E-10A39DF854E9}"/>
    <cellStyle name="Output 5 12" xfId="15318" xr:uid="{48CB7C2F-2805-4DE9-A709-B201561A3759}"/>
    <cellStyle name="Output 5 12 2" xfId="30672" xr:uid="{35489801-53BC-4A11-8475-2D64EA7BF38C}"/>
    <cellStyle name="Output 5 13" xfId="15319" xr:uid="{58454E1E-463D-4154-9D7D-193486695A35}"/>
    <cellStyle name="Output 5 13 2" xfId="30673" xr:uid="{A9045364-7EAB-4788-A65E-D0B15F163DB8}"/>
    <cellStyle name="Output 5 14" xfId="15320" xr:uid="{0DCCB105-2E0D-46C1-B56A-C6162A5992CE}"/>
    <cellStyle name="Output 5 14 2" xfId="30674" xr:uid="{4B885288-6A7A-4E52-9E8A-41E1B2B5C58E}"/>
    <cellStyle name="Output 5 15" xfId="15321" xr:uid="{BF9E744B-FDB8-4ECC-83CD-C21D84385F8E}"/>
    <cellStyle name="Output 5 15 2" xfId="30675" xr:uid="{38CCE2C8-9F01-4DE5-ABE0-8B0911C62BA4}"/>
    <cellStyle name="Output 5 16" xfId="15322" xr:uid="{D9D85F16-0648-4E7C-8B6D-C96ED9032850}"/>
    <cellStyle name="Output 5 16 2" xfId="30676" xr:uid="{18890C97-314F-4CEC-9A93-39BB625C9040}"/>
    <cellStyle name="Output 5 17" xfId="15323" xr:uid="{57C9151E-48CB-4A79-BF27-B818496019FB}"/>
    <cellStyle name="Output 5 17 2" xfId="30677" xr:uid="{6979CDB2-D637-4B8E-B7A9-87210F308226}"/>
    <cellStyle name="Output 5 18" xfId="15324" xr:uid="{66FBBFD6-ED67-42C1-AC82-E832FD6DBD07}"/>
    <cellStyle name="Output 5 18 2" xfId="30678" xr:uid="{3C8C55FC-6134-450C-9286-8728B5F3DE1D}"/>
    <cellStyle name="Output 5 19" xfId="30669" xr:uid="{C341B3BA-94D0-45E3-B2AE-94258DE5F2C7}"/>
    <cellStyle name="Output 5 2" xfId="15325" xr:uid="{4C753C83-231F-41E1-B768-2CF0F1484DEF}"/>
    <cellStyle name="Output 5 2 10" xfId="15326" xr:uid="{1A6036F8-68AC-43E2-A012-66230910A468}"/>
    <cellStyle name="Output 5 2 10 2" xfId="30680" xr:uid="{524F0897-3B2A-407A-89B4-7DC195F08409}"/>
    <cellStyle name="Output 5 2 11" xfId="15327" xr:uid="{4CC48547-EFE0-4E7E-A48D-1D7491F4D099}"/>
    <cellStyle name="Output 5 2 11 2" xfId="30681" xr:uid="{C42AC334-9CF1-490D-8022-F75A3BCC24E1}"/>
    <cellStyle name="Output 5 2 12" xfId="15328" xr:uid="{96649CC5-6A8D-4852-BA8B-5161A8B8E324}"/>
    <cellStyle name="Output 5 2 12 2" xfId="30682" xr:uid="{0BBB50DB-C61C-4900-B274-B02C9EF37855}"/>
    <cellStyle name="Output 5 2 13" xfId="15329" xr:uid="{3A53E79D-ED16-49C3-A70A-F7FB5DBD98FE}"/>
    <cellStyle name="Output 5 2 13 2" xfId="30683" xr:uid="{DF403084-A18D-44A9-A169-6679587AC1C8}"/>
    <cellStyle name="Output 5 2 14" xfId="15330" xr:uid="{F0DCF0E6-1722-4825-B8C8-D5F6BAA6D135}"/>
    <cellStyle name="Output 5 2 14 2" xfId="30684" xr:uid="{E86077B9-E753-4757-98ED-88B09703E539}"/>
    <cellStyle name="Output 5 2 15" xfId="30679" xr:uid="{25999782-E0FD-4D0B-8115-4BE96F3A8D27}"/>
    <cellStyle name="Output 5 2 2" xfId="15331" xr:uid="{C59453E3-2C70-4016-A7B1-D74EB7C79501}"/>
    <cellStyle name="Output 5 2 2 2" xfId="30685" xr:uid="{15D2F649-1732-47E2-8F46-006F1469B743}"/>
    <cellStyle name="Output 5 2 3" xfId="15332" xr:uid="{BE90B80E-3425-404D-AABA-BC5114059A81}"/>
    <cellStyle name="Output 5 2 3 2" xfId="30686" xr:uid="{DEDF838B-DC1C-49FD-9A3E-B65CF0F06489}"/>
    <cellStyle name="Output 5 2 4" xfId="15333" xr:uid="{2FD95876-C30D-4033-84D5-7C0EA853F73A}"/>
    <cellStyle name="Output 5 2 4 2" xfId="30687" xr:uid="{E3CA4C23-296F-421B-A950-0D90204848D5}"/>
    <cellStyle name="Output 5 2 5" xfId="15334" xr:uid="{7E9CE4DC-8BEA-429A-A110-90F21DA13FF0}"/>
    <cellStyle name="Output 5 2 5 2" xfId="30688" xr:uid="{901DAA90-A00E-4D1E-BFD4-0B521C22C09F}"/>
    <cellStyle name="Output 5 2 6" xfId="15335" xr:uid="{4088D823-5441-4D03-B3E6-B9FE667BFB24}"/>
    <cellStyle name="Output 5 2 6 2" xfId="30689" xr:uid="{8F5813E4-046C-4456-A74D-9ECFB3BE3CF3}"/>
    <cellStyle name="Output 5 2 7" xfId="15336" xr:uid="{67BE2DF8-D6DC-46D3-8EE7-93BF602A91A1}"/>
    <cellStyle name="Output 5 2 7 2" xfId="30690" xr:uid="{6A7E2FC7-2408-43EE-8E97-D4C320B9F0C4}"/>
    <cellStyle name="Output 5 2 8" xfId="15337" xr:uid="{AE74457D-5E04-4553-AB71-D63F78AEADF1}"/>
    <cellStyle name="Output 5 2 8 2" xfId="30691" xr:uid="{70B54CC8-B955-468C-AEFC-7E5FA1346CDB}"/>
    <cellStyle name="Output 5 2 9" xfId="15338" xr:uid="{99DBCF15-1364-495D-B581-ED012BA39E83}"/>
    <cellStyle name="Output 5 2 9 2" xfId="30692" xr:uid="{EAA0B3C5-7580-4677-A1E6-9566CE937631}"/>
    <cellStyle name="Output 5 3" xfId="15339" xr:uid="{10137C0A-6270-448E-B434-3CEC0092E31A}"/>
    <cellStyle name="Output 5 3 2" xfId="30693" xr:uid="{0F999B0A-5C00-4E96-88A5-F203537C9BCD}"/>
    <cellStyle name="Output 5 4" xfId="15340" xr:uid="{D37BDB69-67BB-4112-93BE-F91F81AE3092}"/>
    <cellStyle name="Output 5 4 2" xfId="30694" xr:uid="{42B9BCB0-3C7C-4A1F-AE21-089D1044D86D}"/>
    <cellStyle name="Output 5 5" xfId="15341" xr:uid="{CD0D804A-F443-4509-B53E-3AAE749B394F}"/>
    <cellStyle name="Output 5 5 2" xfId="30695" xr:uid="{4AD4CD27-A23C-4B97-8BA3-598C3EE2AE79}"/>
    <cellStyle name="Output 5 6" xfId="15342" xr:uid="{A25BEB16-A00B-4260-B290-986E0597D2E7}"/>
    <cellStyle name="Output 5 6 2" xfId="30696" xr:uid="{6803AFC4-3EB7-49D9-9C53-1CC50B98C183}"/>
    <cellStyle name="Output 5 7" xfId="15343" xr:uid="{A5BE181D-CA5C-4BF8-BBCD-FDC9C9E0EB15}"/>
    <cellStyle name="Output 5 7 2" xfId="30697" xr:uid="{F30D820A-C7D9-47C1-871C-10048F172B29}"/>
    <cellStyle name="Output 5 8" xfId="15344" xr:uid="{8A9DC228-170D-4BC4-BD3A-FA0AC2673CA8}"/>
    <cellStyle name="Output 5 8 2" xfId="30698" xr:uid="{D4B734B5-80D4-4320-98A1-16E9D8C66A6D}"/>
    <cellStyle name="Output 5 9" xfId="15345" xr:uid="{7E736789-3010-45F4-8ED0-BB0CFA8DA7A3}"/>
    <cellStyle name="Output 5 9 2" xfId="30699" xr:uid="{8BADAAB1-D033-432E-B890-116E95F43305}"/>
    <cellStyle name="Output 6" xfId="15346" xr:uid="{A19AD574-AB62-40B0-961C-FB2010C7FECE}"/>
    <cellStyle name="Output 6 10" xfId="15347" xr:uid="{4167515F-7F45-484C-95CC-6B01BACFB8FE}"/>
    <cellStyle name="Output 6 10 2" xfId="30701" xr:uid="{14027976-2B11-4943-9C36-B9BCDED602FE}"/>
    <cellStyle name="Output 6 11" xfId="15348" xr:uid="{7B5F5008-B428-4D2F-8101-9CB10177AC8E}"/>
    <cellStyle name="Output 6 11 2" xfId="30702" xr:uid="{6E50E3E5-33D2-45E4-998E-DABCFC1DDB60}"/>
    <cellStyle name="Output 6 12" xfId="15349" xr:uid="{758EEFC8-E96B-42D8-8884-8132CC8C878F}"/>
    <cellStyle name="Output 6 12 2" xfId="30703" xr:uid="{9A3F73D2-E8BC-4FC4-9752-699FAC4C6F4D}"/>
    <cellStyle name="Output 6 13" xfId="15350" xr:uid="{4B5CD783-11D6-419A-82A6-7D5F3C5D1D8C}"/>
    <cellStyle name="Output 6 13 2" xfId="30704" xr:uid="{3634ABD4-D3C2-4219-8810-4330E1F6993A}"/>
    <cellStyle name="Output 6 14" xfId="15351" xr:uid="{AC7E4BEB-C16C-4C52-A37D-0E1235044838}"/>
    <cellStyle name="Output 6 14 2" xfId="30705" xr:uid="{47391421-246F-436C-BDE3-FB2CC52C1232}"/>
    <cellStyle name="Output 6 15" xfId="15352" xr:uid="{992C448B-524C-4F09-B242-C9435B0D61DE}"/>
    <cellStyle name="Output 6 15 2" xfId="30706" xr:uid="{19FC7286-8B34-48A5-B9EE-1C248BF079F9}"/>
    <cellStyle name="Output 6 16" xfId="15353" xr:uid="{E2FC2889-86A3-43BA-9719-D160307DAC81}"/>
    <cellStyle name="Output 6 16 2" xfId="30707" xr:uid="{739A5555-2011-4D90-BAB9-9568393DEB71}"/>
    <cellStyle name="Output 6 17" xfId="15354" xr:uid="{8D5FD0CE-CD9F-4F4D-909F-5FF6649D94BB}"/>
    <cellStyle name="Output 6 17 2" xfId="30708" xr:uid="{1E07CD61-20C8-4466-8114-7A0830D8EDB3}"/>
    <cellStyle name="Output 6 18" xfId="15355" xr:uid="{AFD284CD-D967-4D5E-A2F7-5AC31443A901}"/>
    <cellStyle name="Output 6 18 2" xfId="30709" xr:uid="{E892CB22-DBF4-4988-941D-64BCE86E4354}"/>
    <cellStyle name="Output 6 19" xfId="30700" xr:uid="{5829FE6A-4FA9-444C-81DB-313685948B7F}"/>
    <cellStyle name="Output 6 2" xfId="15356" xr:uid="{149F8A8C-EA37-4969-91C8-5D1DDAB8B866}"/>
    <cellStyle name="Output 6 2 10" xfId="15357" xr:uid="{0614C3F0-13E5-4652-A842-B80F5B4CE9CD}"/>
    <cellStyle name="Output 6 2 10 2" xfId="30711" xr:uid="{0E513254-AC73-4A29-B4FF-A8E075A7F117}"/>
    <cellStyle name="Output 6 2 11" xfId="15358" xr:uid="{F4BAC07E-1F17-400F-A989-368A673628A7}"/>
    <cellStyle name="Output 6 2 11 2" xfId="30712" xr:uid="{7D614F5C-4EB8-47CE-AF39-5B73461EEEE7}"/>
    <cellStyle name="Output 6 2 12" xfId="15359" xr:uid="{E2B3F640-530B-4A38-B6AF-DB12C50AA4A4}"/>
    <cellStyle name="Output 6 2 12 2" xfId="30713" xr:uid="{5515B368-8D28-45B5-BED7-3C48636685E1}"/>
    <cellStyle name="Output 6 2 13" xfId="15360" xr:uid="{AD2AA824-0C5F-4678-BD50-9AC90D3E3396}"/>
    <cellStyle name="Output 6 2 13 2" xfId="30714" xr:uid="{6993C740-CA1A-4756-AC84-EE4EF220FB7A}"/>
    <cellStyle name="Output 6 2 14" xfId="15361" xr:uid="{407DE25D-F6DC-43A2-A0BE-C16CCFFEF71A}"/>
    <cellStyle name="Output 6 2 14 2" xfId="30715" xr:uid="{8337D2F6-5450-41D8-B39C-45E32EDCE7B8}"/>
    <cellStyle name="Output 6 2 15" xfId="30710" xr:uid="{1E08AF43-29F5-47EC-AAF5-979A1D333343}"/>
    <cellStyle name="Output 6 2 2" xfId="15362" xr:uid="{368CC22A-F673-4DA2-A3BF-F68C0291FA7E}"/>
    <cellStyle name="Output 6 2 2 2" xfId="30716" xr:uid="{BA5C9981-1670-48EE-B511-25E37419F095}"/>
    <cellStyle name="Output 6 2 3" xfId="15363" xr:uid="{0A0B768E-FBB0-43D2-BE8C-031ED238B6C3}"/>
    <cellStyle name="Output 6 2 3 2" xfId="30717" xr:uid="{D9FDDFD2-5EC4-4916-BE0C-0B3C91C78347}"/>
    <cellStyle name="Output 6 2 4" xfId="15364" xr:uid="{5CC47913-0DA8-4018-9C3A-D4B060D06B3D}"/>
    <cellStyle name="Output 6 2 4 2" xfId="30718" xr:uid="{0279F906-07AB-427C-BC47-77956A0DD51F}"/>
    <cellStyle name="Output 6 2 5" xfId="15365" xr:uid="{494F088E-2FFE-4DB7-BB1E-38F054F79BD0}"/>
    <cellStyle name="Output 6 2 5 2" xfId="30719" xr:uid="{A8FB4C07-90E6-4B55-A025-F8C62D7CDBFE}"/>
    <cellStyle name="Output 6 2 6" xfId="15366" xr:uid="{E6B3F119-9014-4626-AA49-F179DE369550}"/>
    <cellStyle name="Output 6 2 6 2" xfId="30720" xr:uid="{2F603890-165B-43DB-AC26-6ED7F7957357}"/>
    <cellStyle name="Output 6 2 7" xfId="15367" xr:uid="{9DE087DA-DFAE-4DE2-BF9C-4A007BFB9DEC}"/>
    <cellStyle name="Output 6 2 7 2" xfId="30721" xr:uid="{3140DCC5-9888-4A30-B188-9E1D24A2D7E1}"/>
    <cellStyle name="Output 6 2 8" xfId="15368" xr:uid="{7CAE5280-EC84-43C6-952E-61A2C1BFB74B}"/>
    <cellStyle name="Output 6 2 8 2" xfId="30722" xr:uid="{E07E25C1-BEC2-4129-969A-F1695B98236D}"/>
    <cellStyle name="Output 6 2 9" xfId="15369" xr:uid="{62B3ACA7-C526-482A-822D-FAB4D742FF7B}"/>
    <cellStyle name="Output 6 2 9 2" xfId="30723" xr:uid="{DB7DBA64-A519-4DF4-AA0C-FFE744F5B247}"/>
    <cellStyle name="Output 6 3" xfId="15370" xr:uid="{13011CB3-FBB1-48E5-9340-FA0C07360BDF}"/>
    <cellStyle name="Output 6 3 2" xfId="30724" xr:uid="{236D7AEF-DF88-4CF4-BEF4-3F4F0BC26D24}"/>
    <cellStyle name="Output 6 4" xfId="15371" xr:uid="{1E9C17E6-090C-4E48-B69A-97842F2A7F8A}"/>
    <cellStyle name="Output 6 4 2" xfId="30725" xr:uid="{2F7509C8-ADF7-470D-9044-4373D86B9FC9}"/>
    <cellStyle name="Output 6 5" xfId="15372" xr:uid="{347E10BF-501B-4740-9207-172EB264514B}"/>
    <cellStyle name="Output 6 5 2" xfId="30726" xr:uid="{D4E54548-F3DF-4F56-BB36-E185FD6EFE0C}"/>
    <cellStyle name="Output 6 6" xfId="15373" xr:uid="{32B9C3FF-7C37-45A1-9FDB-A4478FA1D4F6}"/>
    <cellStyle name="Output 6 6 2" xfId="30727" xr:uid="{67652A04-63DB-42D8-B4AB-967BB220C2FD}"/>
    <cellStyle name="Output 6 7" xfId="15374" xr:uid="{39A20232-BD5F-41DC-901F-C4F32AF60E3F}"/>
    <cellStyle name="Output 6 7 2" xfId="30728" xr:uid="{B75816AE-B5B5-4E9E-A769-57F143BAC453}"/>
    <cellStyle name="Output 6 8" xfId="15375" xr:uid="{31509FD6-1856-43D2-BCDD-2C17FF0E7C72}"/>
    <cellStyle name="Output 6 8 2" xfId="30729" xr:uid="{017002DA-2B9B-4324-AC81-FAFBCFC0C6DA}"/>
    <cellStyle name="Output 6 9" xfId="15376" xr:uid="{27B0796F-26A6-41A0-B570-FF4F20F10269}"/>
    <cellStyle name="Output 6 9 2" xfId="30730" xr:uid="{B9845F2D-1400-4667-BBA5-E95029F0F1E5}"/>
    <cellStyle name="Output 7" xfId="15377" xr:uid="{26BFC467-49E7-44E1-82A7-92AF00F2AB80}"/>
    <cellStyle name="Output 7 10" xfId="15378" xr:uid="{2DBC3EFA-F29C-4769-8407-EEC65C73E730}"/>
    <cellStyle name="Output 7 10 2" xfId="30732" xr:uid="{AFE6A050-1F34-4CA4-BD10-62A45CB5F786}"/>
    <cellStyle name="Output 7 11" xfId="15379" xr:uid="{742E44A2-51C1-4BB7-A3EC-24FFD97B4357}"/>
    <cellStyle name="Output 7 11 2" xfId="30733" xr:uid="{7206DB3F-B4A2-4E40-A7D4-21996200D859}"/>
    <cellStyle name="Output 7 12" xfId="15380" xr:uid="{A1D2DD79-3627-4463-AEB8-E2CC7B06B214}"/>
    <cellStyle name="Output 7 12 2" xfId="30734" xr:uid="{70234FDC-AD2F-4435-A518-88FE00880F07}"/>
    <cellStyle name="Output 7 13" xfId="15381" xr:uid="{0C833393-55F1-4CE1-9C8C-9B55467865C2}"/>
    <cellStyle name="Output 7 13 2" xfId="30735" xr:uid="{0A865A9C-A348-46E3-9207-89D9F8A8737C}"/>
    <cellStyle name="Output 7 14" xfId="15382" xr:uid="{F02E0913-719D-416D-BF11-05DB5B3E3F9C}"/>
    <cellStyle name="Output 7 14 2" xfId="30736" xr:uid="{909D4EBB-44F4-455E-AAE5-B050D73E668D}"/>
    <cellStyle name="Output 7 15" xfId="30731" xr:uid="{D457EC9E-6BE2-4711-894B-223D487A7818}"/>
    <cellStyle name="Output 7 2" xfId="15383" xr:uid="{090A4ACC-7F12-42C3-B4CD-C879FA7DAB6C}"/>
    <cellStyle name="Output 7 2 2" xfId="30737" xr:uid="{926998E2-73BC-49CD-91DA-1E1C933C2221}"/>
    <cellStyle name="Output 7 3" xfId="15384" xr:uid="{BF95848A-A6E7-41F6-A6CB-4939D5416906}"/>
    <cellStyle name="Output 7 3 2" xfId="30738" xr:uid="{8BC5142B-CECD-4CDC-8EFA-FE3EAAA00FD5}"/>
    <cellStyle name="Output 7 4" xfId="15385" xr:uid="{D51FEB98-8D72-4DD1-AD9F-DCD724382BA2}"/>
    <cellStyle name="Output 7 4 2" xfId="30739" xr:uid="{4C003A8F-59CD-4F1E-9939-BC52BBFD60C6}"/>
    <cellStyle name="Output 7 5" xfId="15386" xr:uid="{663689E9-A1E4-4451-834A-2DE9E6D16DE0}"/>
    <cellStyle name="Output 7 5 2" xfId="30740" xr:uid="{7514FA07-9F57-4944-8947-CF314656B180}"/>
    <cellStyle name="Output 7 6" xfId="15387" xr:uid="{858B08A1-FC30-48C1-B74F-47A8A89EF0DE}"/>
    <cellStyle name="Output 7 6 2" xfId="30741" xr:uid="{76297125-795C-4AB1-98F0-C9868C4BF7EF}"/>
    <cellStyle name="Output 7 7" xfId="15388" xr:uid="{4D571E41-65F3-4410-A178-21B179A21686}"/>
    <cellStyle name="Output 7 7 2" xfId="30742" xr:uid="{A173A82C-E20E-4291-AA0F-90932672F4E2}"/>
    <cellStyle name="Output 7 8" xfId="15389" xr:uid="{1CE81FC6-7114-49A4-BC80-871D3E48F4B4}"/>
    <cellStyle name="Output 7 8 2" xfId="30743" xr:uid="{57AE44FA-4B3D-409E-9DDC-73F363122260}"/>
    <cellStyle name="Output 7 9" xfId="15390" xr:uid="{8FBB6466-510D-43CD-B156-3A302D17580B}"/>
    <cellStyle name="Output 7 9 2" xfId="30744" xr:uid="{40BE223D-5DB5-42CE-9BA6-69AA01E5B1AA}"/>
    <cellStyle name="Output 8" xfId="15391" xr:uid="{AD723163-3990-4292-9DFC-E49C358933FE}"/>
    <cellStyle name="Output 8 2" xfId="30745" xr:uid="{E6276001-02CA-43AF-9195-BD37EAF85E4E}"/>
    <cellStyle name="Output 9" xfId="15392" xr:uid="{64D6068D-5BAE-40FC-9024-144F899DA61C}"/>
    <cellStyle name="Output 9 2" xfId="30746" xr:uid="{7E12102F-36C1-495B-A995-28ED9B206E56}"/>
    <cellStyle name="Ov Und On" xfId="15393" xr:uid="{30FA4548-3DB2-493C-86B2-FCD3E9FA4D6A}"/>
    <cellStyle name="Page_Header" xfId="15394" xr:uid="{E52A0C83-B6D3-493A-971A-3CAD1B6CABE7}"/>
    <cellStyle name="Pattern" xfId="15395" xr:uid="{4CD1A361-8E2D-437A-ADB4-4C284669F358}"/>
    <cellStyle name="Pattern 2" xfId="26385" xr:uid="{265D05CA-AE5D-4349-A751-BDFA491B8325}"/>
    <cellStyle name="PctChg" xfId="15396" xr:uid="{87BE3888-7917-4D76-B825-BC94007442D4}"/>
    <cellStyle name="PctChgCol" xfId="15397" xr:uid="{8E6FD202-B645-49F0-B996-924305166A06}"/>
    <cellStyle name="per.style" xfId="15398" xr:uid="{61551B13-1CA7-4D8B-8136-806CA6C49656}"/>
    <cellStyle name="Percen - Style2" xfId="15399" xr:uid="{254FF892-A3FD-438F-A40D-CF4C748B9EBC}"/>
    <cellStyle name="Percen  t" xfId="15400" xr:uid="{D1F0A39A-2E00-44BA-B716-5DCF3311C8BF}"/>
    <cellStyle name="Percent" xfId="3" builtinId="5"/>
    <cellStyle name="Percent ()" xfId="15401" xr:uid="{26A2282C-968D-45DC-AC71-13DB1D1BBE7C}"/>
    <cellStyle name="Percent () 2" xfId="15402" xr:uid="{3FD8DBCD-A52D-4A88-A10A-334B22DC9DBF}"/>
    <cellStyle name="Percent () 2 2" xfId="15403" xr:uid="{BA966540-6BF1-4AB7-BDFD-E722FEB4B2D7}"/>
    <cellStyle name="Percent () 2 2 2" xfId="15404" xr:uid="{7DFFCFF9-7087-419B-B2BF-19A842D3270B}"/>
    <cellStyle name="Percent () 2 2 2 2" xfId="15405" xr:uid="{FD91AC4D-83E3-4ABB-AF5B-DDCF3EB1C907}"/>
    <cellStyle name="Percent () 2 2 2 3" xfId="15406" xr:uid="{127D89B2-40A9-419E-9858-E4F2354F0C4C}"/>
    <cellStyle name="Percent () 2 2 3" xfId="15407" xr:uid="{868516F0-4516-4686-9313-B6E9E4B5CD56}"/>
    <cellStyle name="Percent () 2 3" xfId="15408" xr:uid="{2314D85F-18AC-49E0-BE2B-A136FF084A2A}"/>
    <cellStyle name="Percent () 3" xfId="15409" xr:uid="{8376DA7A-DF4A-42F6-9B67-19AE4D47552A}"/>
    <cellStyle name="Percent () 3 2" xfId="15410" xr:uid="{DB27B462-CB7A-429E-AC6D-D3F3CBD867D6}"/>
    <cellStyle name="Percent () 3 2 2" xfId="15411" xr:uid="{C1224206-8D4C-44A2-A8D0-483F83FCD2A8}"/>
    <cellStyle name="Percent () 3 2 3" xfId="15412" xr:uid="{8D7ABDAE-9428-42A1-9A26-8DAD5D86F523}"/>
    <cellStyle name="Percent () 3 3" xfId="15413" xr:uid="{96FD8099-D4C8-40C5-8E75-069CA685600B}"/>
    <cellStyle name="Percent () 4" xfId="15414" xr:uid="{4998F4D8-D6F4-4E2C-B391-19FB0A946D97}"/>
    <cellStyle name="Percent (0)" xfId="15415" xr:uid="{1CD2A583-3DDB-4FBB-BD7E-C496198DB0DD}"/>
    <cellStyle name="Percent [0]" xfId="15416" xr:uid="{6F83D0AC-1896-47F8-A974-C60D910CB7C7}"/>
    <cellStyle name="Percent [0] 2" xfId="15417" xr:uid="{9B449080-DE65-46ED-A753-C3BB9CD757B1}"/>
    <cellStyle name="Percent [00]" xfId="15418" xr:uid="{21067EC6-9285-4C74-9E9F-8145846E1798}"/>
    <cellStyle name="Percent [00] 2" xfId="15419" xr:uid="{00D88EA3-5D93-44D7-B1FF-3C17D4F59C77}"/>
    <cellStyle name="Percent [2]" xfId="15420" xr:uid="{5C7A0827-5AD4-4323-B299-DD9DBCA31C27}"/>
    <cellStyle name="Percent [2] 2" xfId="15421" xr:uid="{D6671CAA-7E3E-431B-800C-5F14D8224AEC}"/>
    <cellStyle name="Percent [2] 3" xfId="15422" xr:uid="{85F9A19A-26E7-4E5F-B8EB-0C7E91A77243}"/>
    <cellStyle name="Percent 1" xfId="15423" xr:uid="{0AE9F1D4-B3F0-466B-BC75-DAA21E1E84A2}"/>
    <cellStyle name="Percent 1 2" xfId="15424" xr:uid="{62D284FF-5792-40C5-A606-3A3668EA4A03}"/>
    <cellStyle name="Percent 2" xfId="15425" xr:uid="{3F76BBB3-867E-499A-B566-D6E8706EBB1C}"/>
    <cellStyle name="Percent 2 2" xfId="15426" xr:uid="{06CEC02F-4142-43DC-A9B2-0AB404658892}"/>
    <cellStyle name="Percent 2 2 2" xfId="15427" xr:uid="{F77C75E6-122C-4E05-B000-5F1B8D5AF08C}"/>
    <cellStyle name="Percent 2 3" xfId="15428" xr:uid="{135ADBCB-2148-4ED0-82A4-3C1165620E4F}"/>
    <cellStyle name="Percent 2_(for confirmation to Regin team) FX impact (Simu vs Updated) by MC" xfId="15429" xr:uid="{F956BB66-8F76-4510-8E1B-2B300F906BB2}"/>
    <cellStyle name="Percent 3" xfId="15430" xr:uid="{F5FFCDE9-FA53-4AFD-96F5-151D408057E3}"/>
    <cellStyle name="Percent 3 2" xfId="15431" xr:uid="{A60A8446-2302-4872-956C-CC89F420A425}"/>
    <cellStyle name="Percent 3 3" xfId="15432" xr:uid="{A3A9B236-2D43-427F-BA4B-0F68AA2BE431}"/>
    <cellStyle name="Percent 4" xfId="15433" xr:uid="{8E64C27A-6C26-48C0-B99B-CEF014231946}"/>
    <cellStyle name="Percent 5" xfId="27" xr:uid="{7DE263E0-E6BD-40D9-9B01-456E63BAE993}"/>
    <cellStyle name="Percent 5 2" xfId="15434" xr:uid="{C1ED45FC-3183-46DA-A8D8-979FD0F38E2E}"/>
    <cellStyle name="PERCENTAGE" xfId="15435" xr:uid="{62C4A738-DC2B-40BC-BF3D-5369FA1B2F71}"/>
    <cellStyle name="Percentage (blue)" xfId="15436" xr:uid="{BBD9AAE9-6019-4498-AD0A-B8BC9E0299F3}"/>
    <cellStyle name="Percentage (green)" xfId="15437" xr:uid="{CE52F04F-DADD-4706-8504-6D3F88F391B2}"/>
    <cellStyle name="Percentage 2" xfId="15438" xr:uid="{F72ED54F-10EF-4F2A-9327-5D5239A26681}"/>
    <cellStyle name="PERCENTAGE 3" xfId="30754" xr:uid="{CDE53C7D-E0A9-41E4-BBA0-1594D0520F60}"/>
    <cellStyle name="PERCENTAGE 4" xfId="28680" xr:uid="{DC479ABF-5DD8-4562-9433-97472E212DD7}"/>
    <cellStyle name="PERCENTAGE 5" xfId="30747" xr:uid="{01AC73BB-439A-452C-8B8F-B1A414DFB942}"/>
    <cellStyle name="Percentage_Fcst#2　FY13台数諸元表13 9 19" xfId="15439" xr:uid="{745F0EE0-1D16-41EC-B14E-B89C4C02FCCD}"/>
    <cellStyle name="Porcentual_CALCULO_PRESUPUESTO _2005(229 UNITS(04-11-04))" xfId="15440" xr:uid="{516C0EAB-9EDD-40D7-B1D9-18EC5CC96D95}"/>
    <cellStyle name="Pourcentage_Hyp. Plan 06-09 v 06-1307 H1 CEG" xfId="15441" xr:uid="{291771C4-FA42-42D0-B72F-53AE93A7C545}"/>
    <cellStyle name="PourcentageN&amp;R,0" xfId="15442" xr:uid="{B6962F99-B976-44A0-8C02-01963BE84091}"/>
    <cellStyle name="PourcentageN&amp;R,0 2" xfId="15443" xr:uid="{6E8C227B-6576-4DFC-B934-60EF1C06B761}"/>
    <cellStyle name="Precent" xfId="15444" xr:uid="{4F0ACDA8-F8C6-4DD2-88C2-4CD40C73FC79}"/>
    <cellStyle name="Preliminary_Data" xfId="15445" xr:uid="{D20169C6-B112-4493-9B74-6840B86A01D9}"/>
    <cellStyle name="PrePop Currency (0)" xfId="15446" xr:uid="{BF8692F4-C0D0-427A-8709-3ACC98A5DFBA}"/>
    <cellStyle name="PrePop Currency (0) 2" xfId="15447" xr:uid="{8C4CB640-D3FD-4BCD-BA34-262443627C6D}"/>
    <cellStyle name="PrePop Currency (2)" xfId="15448" xr:uid="{96305AB1-A1E6-4E83-8872-F493F5DA75F4}"/>
    <cellStyle name="PrePop Currency (2) 2" xfId="15449" xr:uid="{D1BDAE58-17EF-4750-BD98-FC588B822706}"/>
    <cellStyle name="PrePop Units (0)" xfId="15450" xr:uid="{F9E407CE-6030-492B-A274-B95B2E1B3CDF}"/>
    <cellStyle name="PrePop Units (0) 2" xfId="15451" xr:uid="{24524F97-DE62-41C5-871F-BD9A0F69BCB8}"/>
    <cellStyle name="PrePop Units (1)" xfId="15452" xr:uid="{DBFFDF10-AA70-462E-806D-8DF49E19ED77}"/>
    <cellStyle name="PrePop Units (1) 2" xfId="15453" xr:uid="{6C0A9530-AB47-4F5E-A522-006EB60DB5EE}"/>
    <cellStyle name="PrePop Units (2)" xfId="15454" xr:uid="{E80600F7-CC3C-4FAF-A7AA-4B95A46E7C21}"/>
    <cellStyle name="PrePop Units (2) 2" xfId="15455" xr:uid="{3790570D-2635-4F0B-80EA-4F60CCAB00D5}"/>
    <cellStyle name="price" xfId="15456" xr:uid="{4FBD91D3-8F81-4477-BE56-3F004EB08241}"/>
    <cellStyle name="Prices_Data" xfId="15457" xr:uid="{E60CD4A4-EDB8-4560-91FD-ACF2F0A106B2}"/>
    <cellStyle name="Print Titel" xfId="15458" xr:uid="{524AA402-554D-443F-AD35-F49D642B802D}"/>
    <cellStyle name="Print Titel 2" xfId="15459" xr:uid="{555F574D-1708-4787-BC4A-30AC4574A087}"/>
    <cellStyle name="Print Titel 2 2" xfId="15460" xr:uid="{5FB2C8F3-E1D1-4C9E-8779-75DFA7863C4B}"/>
    <cellStyle name="Print Titel 2 2 10" xfId="15461" xr:uid="{F2BEC9A4-87D8-4511-8D29-5EAFFCFD519D}"/>
    <cellStyle name="Print Titel 2 2 11" xfId="15462" xr:uid="{060FEF6F-861C-4EC4-9A5A-C93A254504C5}"/>
    <cellStyle name="Print Titel 2 2 12" xfId="15463" xr:uid="{CBBA9BBA-6C5E-429D-B2EF-E4A59A89A038}"/>
    <cellStyle name="Print Titel 2 2 13" xfId="15464" xr:uid="{EB892D9F-E24B-41A6-9B20-BBDBEA8E4657}"/>
    <cellStyle name="Print Titel 2 2 14" xfId="15465" xr:uid="{5DD4B9B4-950B-4088-8BCC-0E5D53798291}"/>
    <cellStyle name="Print Titel 2 2 15" xfId="15466" xr:uid="{8E3F3476-F33E-4A86-A4A3-168365426FEC}"/>
    <cellStyle name="Print Titel 2 2 16" xfId="15467" xr:uid="{FB05CC0A-71BE-4101-9012-9CBEED93D1B2}"/>
    <cellStyle name="Print Titel 2 2 17" xfId="15468" xr:uid="{C1556E6C-C544-42AB-958B-66D72CA585DB}"/>
    <cellStyle name="Print Titel 2 2 18" xfId="15469" xr:uid="{4741F067-C1CF-415F-9694-3804EE92EA73}"/>
    <cellStyle name="Print Titel 2 2 19" xfId="15470" xr:uid="{DD412414-355D-461E-969E-0F03FCF32F28}"/>
    <cellStyle name="Print Titel 2 2 2" xfId="15471" xr:uid="{66488570-4547-4C9C-9541-145733F28F61}"/>
    <cellStyle name="Print Titel 2 2 20" xfId="15472" xr:uid="{2535860C-9F40-4000-A10F-6767AFACB4B0}"/>
    <cellStyle name="Print Titel 2 2 21" xfId="15473" xr:uid="{B0BC637A-B834-44D6-BD30-968D44AC4253}"/>
    <cellStyle name="Print Titel 2 2 3" xfId="15474" xr:uid="{8D0C5408-2174-48CE-BC09-E181AD84FCD3}"/>
    <cellStyle name="Print Titel 2 2 4" xfId="15475" xr:uid="{E2708CA6-7531-468E-B2A3-EE3824E01BA0}"/>
    <cellStyle name="Print Titel 2 2 5" xfId="15476" xr:uid="{9C86BD8D-3FE9-4CDE-B4DC-0730F8BBB0C9}"/>
    <cellStyle name="Print Titel 2 2 6" xfId="15477" xr:uid="{680FFF7D-81E3-4A50-9511-BC240041B904}"/>
    <cellStyle name="Print Titel 2 2 7" xfId="15478" xr:uid="{9925DB28-4035-47B9-9C0A-33D1C4B81981}"/>
    <cellStyle name="Print Titel 2 2 8" xfId="15479" xr:uid="{D6C49521-AD2A-435E-9D57-D2F421702B29}"/>
    <cellStyle name="Print Titel 2 2 9" xfId="15480" xr:uid="{237DAFA1-D1C2-4486-ACEB-7EE03C08CFFE}"/>
    <cellStyle name="Print Titel 3" xfId="15481" xr:uid="{A44396AE-24B5-4421-ACB4-328E512F8326}"/>
    <cellStyle name="Print Titel 3 10" xfId="15482" xr:uid="{B1DB8C73-C70F-4993-B86C-ADD6317A85FF}"/>
    <cellStyle name="Print Titel 3 11" xfId="15483" xr:uid="{9FE00241-0CBA-4947-9B10-903B2C1EB281}"/>
    <cellStyle name="Print Titel 3 12" xfId="15484" xr:uid="{1C456188-3D92-4E9C-ABAA-8AFAE097DCDD}"/>
    <cellStyle name="Print Titel 3 13" xfId="15485" xr:uid="{F79E0573-940A-4743-90F1-20CFD0FB446D}"/>
    <cellStyle name="Print Titel 3 14" xfId="15486" xr:uid="{1DC7E820-5657-4995-9EEE-8E494DC6A40D}"/>
    <cellStyle name="Print Titel 3 15" xfId="15487" xr:uid="{614E2A96-1FCB-4477-84B2-13651BF14168}"/>
    <cellStyle name="Print Titel 3 16" xfId="15488" xr:uid="{1A618452-A05F-4EB0-BF63-935111B86E04}"/>
    <cellStyle name="Print Titel 3 17" xfId="15489" xr:uid="{FA242952-C7EB-4F85-8444-D9F2FA7139D9}"/>
    <cellStyle name="Print Titel 3 18" xfId="15490" xr:uid="{5B085928-C0DE-4EA7-96C6-B69D02FCAD1F}"/>
    <cellStyle name="Print Titel 3 19" xfId="15491" xr:uid="{0FDFADDE-48B2-4319-8EFA-C8537B55D4DC}"/>
    <cellStyle name="Print Titel 3 2" xfId="15492" xr:uid="{C9AC9940-C6B0-4A7F-8D65-A91F9DA33CE2}"/>
    <cellStyle name="Print Titel 3 20" xfId="15493" xr:uid="{6BFC16A2-3C5E-47BF-BAFD-B1B982B606A0}"/>
    <cellStyle name="Print Titel 3 21" xfId="15494" xr:uid="{71D74FCB-586F-4C53-8A9E-CC539A4E620A}"/>
    <cellStyle name="Print Titel 3 3" xfId="15495" xr:uid="{97B10994-DA0F-4F64-8C23-9848DECC4E93}"/>
    <cellStyle name="Print Titel 3 4" xfId="15496" xr:uid="{6556E1D8-B9CA-473B-A013-83B52762FC39}"/>
    <cellStyle name="Print Titel 3 5" xfId="15497" xr:uid="{605A986A-5A87-475A-902C-20DF46F31A47}"/>
    <cellStyle name="Print Titel 3 6" xfId="15498" xr:uid="{BF736FCA-7725-4F3F-91E2-1E5E4EFC30FA}"/>
    <cellStyle name="Print Titel 3 7" xfId="15499" xr:uid="{3EB96027-78F5-4E1B-A51C-F63B1577C139}"/>
    <cellStyle name="Print Titel 3 8" xfId="15500" xr:uid="{AB93B3B7-7FD5-4797-8621-A1529D0764CB}"/>
    <cellStyle name="Print Titel 3 9" xfId="15501" xr:uid="{29680CA8-4153-4B48-B5DD-DBD8C041382C}"/>
    <cellStyle name="PSChar" xfId="15502" xr:uid="{E2997D57-041D-45D5-837B-12215FF9F997}"/>
    <cellStyle name="PSChar 2" xfId="15503" xr:uid="{C000258A-107B-4DA3-A119-D345A5860480}"/>
    <cellStyle name="PSDate" xfId="15504" xr:uid="{79E2C6C9-4E4C-48B0-9738-A364B7B291AA}"/>
    <cellStyle name="PSDec" xfId="15505" xr:uid="{0DF2DC01-BEB0-4B23-821E-C872BA17044F}"/>
    <cellStyle name="pseudo_pourcentage" xfId="15506" xr:uid="{BF580A39-614A-4984-9606-D00C9B22CC96}"/>
    <cellStyle name="PSHeading" xfId="15507" xr:uid="{823496A7-ECDE-4606-A7D7-0837D3DB99E7}"/>
    <cellStyle name="PSHeading 2" xfId="15508" xr:uid="{B47506EF-91C3-4F18-AB75-617E42852694}"/>
    <cellStyle name="PSHeading 2 2" xfId="30749" xr:uid="{2AACEF89-641F-404C-A82E-EB4ED99D13B9}"/>
    <cellStyle name="PSHeading 3" xfId="30748" xr:uid="{99E0E0D0-255F-48C6-9AD8-9F55CB76503F}"/>
    <cellStyle name="Punto0" xfId="15509" xr:uid="{EFC87823-5FBE-412C-BFF2-A62ECB9F8292}"/>
    <cellStyle name="Q3" xfId="15510" xr:uid="{42DDC9D7-98A5-48D4-9F2C-1E3D2267E912}"/>
    <cellStyle name="R?" xfId="15511" xr:uid="{67A026F8-D402-4A7A-A0C6-BF20714658B1}"/>
    <cellStyle name="R? 2" xfId="26386" xr:uid="{69023C64-BF6A-455E-BA5A-CB54857D33D8}"/>
    <cellStyle name="RangeName" xfId="15512" xr:uid="{B5FB4500-E608-4674-B232-951BB51ED6A4}"/>
    <cellStyle name="reconstruit" xfId="15513" xr:uid="{B918037D-2A32-4DFA-8F99-6ABC9A013FA9}"/>
    <cellStyle name="Red Subhead 3" xfId="15514" xr:uid="{6854E8D1-F82F-4E4B-AF4C-BC8E2A4674EF}"/>
    <cellStyle name="Red Text" xfId="15515" xr:uid="{AE8B0773-8E0D-4EB0-BCF3-48C3D61DF13A}"/>
    <cellStyle name="Red Text 2" xfId="15516" xr:uid="{4323B363-1973-486B-BB7B-846822CDCEFD}"/>
    <cellStyle name="revised" xfId="15517" xr:uid="{C5A16285-F92B-4430-9746-9FBCE5A43E59}"/>
    <cellStyle name="RevList" xfId="15518" xr:uid="{82B6126A-4BAA-430E-B781-962FB5B793E5}"/>
    <cellStyle name="Right Number" xfId="15519" xr:uid="{8218DADD-EC7C-427C-9E01-39F9E9CE9B5F}"/>
    <cellStyle name="Rounding" xfId="15520" xr:uid="{2BAE4DDB-A2F7-4606-B78C-882368B35E9C}"/>
    <cellStyle name="Rounding1" xfId="15521" xr:uid="{9B558F73-63F5-44A9-9825-0C0AA89318FD}"/>
    <cellStyle name="Row Lvl 1" xfId="15522" xr:uid="{D152D436-D374-4A3D-BBD3-8503BF8FC165}"/>
    <cellStyle name="Row Lvl 2" xfId="15523" xr:uid="{EC6850FE-58EC-433E-B1F4-C78C73DA9AD6}"/>
    <cellStyle name="Row Total" xfId="15524" xr:uid="{303AF848-E373-4EB3-932F-51562CB8F412}"/>
    <cellStyle name="Row Total (currency)" xfId="15525" xr:uid="{4A515661-AC1D-4C1C-9B90-2A9AE0BDEA35}"/>
    <cellStyle name="Row Total (currency) 2" xfId="30750" xr:uid="{B4FC494E-E7BB-44B4-BA02-50F28E022029}"/>
    <cellStyle name="Saisie" xfId="15526" xr:uid="{5A369AEA-49CB-410C-9B7B-BFC66B30EA1E}"/>
    <cellStyle name="saisie man" xfId="15527" xr:uid="{4F607627-298B-4285-AF28-AE8183115E60}"/>
    <cellStyle name="Saisie%1" xfId="15528" xr:uid="{CC16335A-495D-40F2-AC5B-A9CF498EEB67}"/>
    <cellStyle name="Saisie%1 2" xfId="15529" xr:uid="{F53028DF-A271-4B31-8625-FB7CCEAA5043}"/>
    <cellStyle name="Saisie%1 2 2" xfId="15530" xr:uid="{477F553E-83D9-444D-B452-15AA55E5E8BF}"/>
    <cellStyle name="Saisie_Feuil1" xfId="15531" xr:uid="{6AC3E53F-6B88-4443-BE23-A5F1D55B8BD6}"/>
    <cellStyle name="SaisieNb0" xfId="15532" xr:uid="{354C0BFD-4246-4081-A366-DC67BA4D98A9}"/>
    <cellStyle name="SaisieNb0 2" xfId="15533" xr:uid="{A9E35000-5430-4C0B-98E0-D9923CC0306A}"/>
    <cellStyle name="SaisieNb0 2 2" xfId="15534" xr:uid="{B7E4E38B-4363-473B-8156-A4E3F444C1F0}"/>
    <cellStyle name="SaisieNb1" xfId="15535" xr:uid="{CAF09020-E8F3-492F-9AD6-4EA436533529}"/>
    <cellStyle name="SaisieNb1 2" xfId="15536" xr:uid="{AB5EBBEC-8792-4DB8-82C6-4B5C9E52C7FF}"/>
    <cellStyle name="SaisieNb1 2 2" xfId="15537" xr:uid="{79D15EC6-1EE9-4A7B-AFF3-2B014024A201}"/>
    <cellStyle name="Salida" xfId="15538" xr:uid="{8FD1D5BE-EF3E-4301-B293-125F08123F48}"/>
    <cellStyle name="Salida 10" xfId="15539" xr:uid="{358FDE54-8FBD-4F1A-BD00-E126550C0B95}"/>
    <cellStyle name="Salida 10 2" xfId="30752" xr:uid="{C723E899-C9FE-4737-AB08-35F771F34BB5}"/>
    <cellStyle name="Salida 11" xfId="15540" xr:uid="{0975FF88-33CA-41E7-A016-DDDD635DD570}"/>
    <cellStyle name="Salida 11 2" xfId="27430" xr:uid="{15660561-04A8-4350-9060-A3BDBB49523C}"/>
    <cellStyle name="Salida 12" xfId="15541" xr:uid="{4182488C-A19D-445D-A778-60F7333B4963}"/>
    <cellStyle name="Salida 12 2" xfId="30753" xr:uid="{09796E78-09F9-4965-8EF9-11CE6AFB27A3}"/>
    <cellStyle name="Salida 13" xfId="15542" xr:uid="{3B716B2F-4EA6-42F1-B1B5-A4BE8D5CDF59}"/>
    <cellStyle name="Salida 13 2" xfId="30755" xr:uid="{E344891A-DD6E-4B0D-B937-65E188D8A36F}"/>
    <cellStyle name="Salida 14" xfId="15543" xr:uid="{14CB8780-D645-4F40-AC7F-1D201995C42E}"/>
    <cellStyle name="Salida 14 2" xfId="30756" xr:uid="{7CCC2BC0-DF71-48D5-843C-81282512DFF6}"/>
    <cellStyle name="Salida 15" xfId="15544" xr:uid="{CB426697-0EF6-470C-940A-6B0A8EBAC979}"/>
    <cellStyle name="Salida 15 2" xfId="30757" xr:uid="{0B58078D-B31A-4C73-BAB0-719D54D2A596}"/>
    <cellStyle name="Salida 16" xfId="15545" xr:uid="{D974DD9E-C088-4B9F-ACF1-D7D795AD1CC6}"/>
    <cellStyle name="Salida 16 2" xfId="30758" xr:uid="{BEAAB795-CA74-47FF-A1E0-7DF31FF389E2}"/>
    <cellStyle name="Salida 17" xfId="15546" xr:uid="{990CD18F-5D47-47C5-8EFE-5ACB546B8386}"/>
    <cellStyle name="Salida 17 2" xfId="30759" xr:uid="{2A7E4DF2-A343-4A30-AD4C-5C3495AB0460}"/>
    <cellStyle name="Salida 18" xfId="15547" xr:uid="{D67178DA-7373-40A0-A37D-E7332F894300}"/>
    <cellStyle name="Salida 18 2" xfId="30760" xr:uid="{DA24A6AB-AEA2-450C-8836-38080957C562}"/>
    <cellStyle name="Salida 19" xfId="15548" xr:uid="{7DEE3E71-32DE-4BAA-BAFE-FAE8A090D1F6}"/>
    <cellStyle name="Salida 19 2" xfId="30761" xr:uid="{248D4F02-9033-4B67-A00E-657252D05A61}"/>
    <cellStyle name="Salida 2" xfId="15549" xr:uid="{DFAE30D2-BB23-4B4A-B644-EF4E0C986D83}"/>
    <cellStyle name="Salida 2 10" xfId="15550" xr:uid="{31776DFA-1BC9-4712-8111-6413F3805A76}"/>
    <cellStyle name="Salida 2 10 2" xfId="30763" xr:uid="{873ACA6A-0ADC-4CA2-9BE6-86AD82F9646F}"/>
    <cellStyle name="Salida 2 11" xfId="15551" xr:uid="{9BD64DF3-601E-4055-8E24-F7B7C97CFD45}"/>
    <cellStyle name="Salida 2 11 2" xfId="30764" xr:uid="{2496A1BA-2C4D-4B5B-96DA-3A5828C45746}"/>
    <cellStyle name="Salida 2 12" xfId="15552" xr:uid="{3C9AA54B-EFD2-47B6-A3C4-2595662F5F13}"/>
    <cellStyle name="Salida 2 12 2" xfId="30765" xr:uid="{F0F7BEF7-AF01-4D53-A2CE-26BA9F301F52}"/>
    <cellStyle name="Salida 2 13" xfId="15553" xr:uid="{57143E20-03EC-4361-B275-BFA8D93F3FF8}"/>
    <cellStyle name="Salida 2 13 2" xfId="30766" xr:uid="{D2DA83F4-BD25-4064-9128-02CC1201625D}"/>
    <cellStyle name="Salida 2 14" xfId="15554" xr:uid="{7D2E9AA9-2731-4DD7-BE93-067D8AA3F441}"/>
    <cellStyle name="Salida 2 14 2" xfId="30767" xr:uid="{80FD149D-1981-4FA1-9574-91E5A5930A81}"/>
    <cellStyle name="Salida 2 15" xfId="15555" xr:uid="{050D0A2C-C1DD-4900-A2C5-51104D434C6A}"/>
    <cellStyle name="Salida 2 15 2" xfId="30768" xr:uid="{B8112B40-0E96-44DB-97F7-19843FB89C1C}"/>
    <cellStyle name="Salida 2 16" xfId="15556" xr:uid="{E334538F-FB52-4284-980A-7BB2ABA749E5}"/>
    <cellStyle name="Salida 2 16 2" xfId="30769" xr:uid="{1DFE5890-FC8F-4328-B350-9085C1D82367}"/>
    <cellStyle name="Salida 2 17" xfId="15557" xr:uid="{F1B578ED-E2A1-487B-ADF8-B216127A187C}"/>
    <cellStyle name="Salida 2 17 2" xfId="30770" xr:uid="{70976D43-38A7-41F4-9DE3-1B01C883242F}"/>
    <cellStyle name="Salida 2 18" xfId="15558" xr:uid="{3E388AA5-CDB3-4EA7-96DC-6BEDA2EA0946}"/>
    <cellStyle name="Salida 2 18 2" xfId="30771" xr:uid="{F2347D97-8147-4DC7-A2B7-6BC491914530}"/>
    <cellStyle name="Salida 2 19" xfId="30762" xr:uid="{37EFDDC6-1335-4CE0-9931-E608537675D8}"/>
    <cellStyle name="Salida 2 2" xfId="15559" xr:uid="{4AEF47D8-54B7-444C-8F77-50A9A928DE77}"/>
    <cellStyle name="Salida 2 2 10" xfId="15560" xr:uid="{58274076-386E-4BE8-98CB-AFDB57FA8A26}"/>
    <cellStyle name="Salida 2 2 10 2" xfId="30773" xr:uid="{F789D96E-B571-4D89-90B6-D958338CC5AC}"/>
    <cellStyle name="Salida 2 2 11" xfId="15561" xr:uid="{96C58344-7684-4EC3-B866-2E9106F7AA64}"/>
    <cellStyle name="Salida 2 2 11 2" xfId="30774" xr:uid="{92086A75-9D15-484E-B0E7-AE487EA607F0}"/>
    <cellStyle name="Salida 2 2 12" xfId="15562" xr:uid="{0E43003B-B554-4353-AD43-648099907E72}"/>
    <cellStyle name="Salida 2 2 12 2" xfId="30775" xr:uid="{9D7C0726-5206-419B-9453-3961B440F244}"/>
    <cellStyle name="Salida 2 2 13" xfId="15563" xr:uid="{30761E78-8009-4CA2-A65D-3B059CB42B85}"/>
    <cellStyle name="Salida 2 2 13 2" xfId="30776" xr:uid="{CB168137-FC6B-479B-8573-69A3B0CF6201}"/>
    <cellStyle name="Salida 2 2 14" xfId="15564" xr:uid="{5727863D-F7C9-4AF0-BE31-A64495A1E1A2}"/>
    <cellStyle name="Salida 2 2 14 2" xfId="30777" xr:uid="{609D2472-9A89-4453-92FC-B0D01FC5A453}"/>
    <cellStyle name="Salida 2 2 15" xfId="30772" xr:uid="{586F5CDC-19A9-4E22-97A5-462B26850955}"/>
    <cellStyle name="Salida 2 2 2" xfId="15565" xr:uid="{B8AC7177-720B-422B-BCFC-0163F3747407}"/>
    <cellStyle name="Salida 2 2 2 2" xfId="30778" xr:uid="{2EC2C780-7F68-41E0-B62F-DD70AF8079E6}"/>
    <cellStyle name="Salida 2 2 3" xfId="15566" xr:uid="{4FBAFEF6-C56B-4343-91FE-2B4CC512EEEE}"/>
    <cellStyle name="Salida 2 2 3 2" xfId="30779" xr:uid="{9580F13B-83D4-48FF-B97A-ADB7AF3F44D9}"/>
    <cellStyle name="Salida 2 2 4" xfId="15567" xr:uid="{5EB6E7F6-ECCD-4754-8402-D07B6A2107FD}"/>
    <cellStyle name="Salida 2 2 4 2" xfId="30780" xr:uid="{F92D39A9-8172-44B6-A273-9017F9CD8FFC}"/>
    <cellStyle name="Salida 2 2 5" xfId="15568" xr:uid="{03963D51-523A-48FE-A5EA-E496C364C34E}"/>
    <cellStyle name="Salida 2 2 5 2" xfId="30781" xr:uid="{8C49E39A-45FE-4033-B576-EB351D939F6D}"/>
    <cellStyle name="Salida 2 2 6" xfId="15569" xr:uid="{EFE539F2-6927-4C63-9000-976851D8BAE5}"/>
    <cellStyle name="Salida 2 2 6 2" xfId="30782" xr:uid="{50B3809B-95BA-4B9B-BF6E-F1A9D205CA67}"/>
    <cellStyle name="Salida 2 2 7" xfId="15570" xr:uid="{39779FB2-3CBD-4EA9-BEFA-F2C0467C435F}"/>
    <cellStyle name="Salida 2 2 7 2" xfId="30783" xr:uid="{FE7EDDB6-596C-4955-A0F3-20B94021014F}"/>
    <cellStyle name="Salida 2 2 8" xfId="15571" xr:uid="{34793251-69A7-4F21-8010-83534881F343}"/>
    <cellStyle name="Salida 2 2 8 2" xfId="30784" xr:uid="{F596BE67-FA35-4B7A-ACFE-E8BCBB2A21D1}"/>
    <cellStyle name="Salida 2 2 9" xfId="15572" xr:uid="{2B942F09-1055-4E6E-9D36-421AF2C82362}"/>
    <cellStyle name="Salida 2 2 9 2" xfId="30785" xr:uid="{CAB1168D-586D-4804-80B5-597594FB781F}"/>
    <cellStyle name="Salida 2 3" xfId="15573" xr:uid="{79CDDE98-8DB7-45C5-9604-464AEDAAFDD5}"/>
    <cellStyle name="Salida 2 3 2" xfId="30786" xr:uid="{C3EF59A2-EBC6-4066-996E-7A425218A5D4}"/>
    <cellStyle name="Salida 2 4" xfId="15574" xr:uid="{ED5F107E-7EA5-49D4-97F6-93CE607DA781}"/>
    <cellStyle name="Salida 2 4 2" xfId="30787" xr:uid="{51161007-D345-4DAA-9F62-314288E51CED}"/>
    <cellStyle name="Salida 2 5" xfId="15575" xr:uid="{4EA26E10-43EA-4784-9E2B-7C263C972DF8}"/>
    <cellStyle name="Salida 2 5 2" xfId="30788" xr:uid="{5194389C-876A-4A23-9C69-6225BEDC2151}"/>
    <cellStyle name="Salida 2 6" xfId="15576" xr:uid="{0E4208B8-30F9-4590-8482-1AAB70017650}"/>
    <cellStyle name="Salida 2 6 2" xfId="30789" xr:uid="{F25BA1D6-1449-4702-9A21-D7EEF2EF163B}"/>
    <cellStyle name="Salida 2 7" xfId="15577" xr:uid="{39C51F3D-7BA2-446F-A0F2-75A96A123FCC}"/>
    <cellStyle name="Salida 2 7 2" xfId="30790" xr:uid="{44A7E8A5-84F9-480B-A085-6944C59763C2}"/>
    <cellStyle name="Salida 2 8" xfId="15578" xr:uid="{AAE543A1-F94D-4616-905B-B72A494D5330}"/>
    <cellStyle name="Salida 2 8 2" xfId="30791" xr:uid="{177DBB86-963B-4896-A937-A4F7C1AAF564}"/>
    <cellStyle name="Salida 2 9" xfId="15579" xr:uid="{7ACF025D-1D3E-46E0-BF75-42A832BA5451}"/>
    <cellStyle name="Salida 2 9 2" xfId="30792" xr:uid="{9F2BF141-3849-4EF3-A6F1-AEA946D0BE88}"/>
    <cellStyle name="Salida 20" xfId="30751" xr:uid="{7133C0B1-BC14-4B10-89F7-1EC97EA5E3A3}"/>
    <cellStyle name="Salida 3" xfId="15580" xr:uid="{BDB6EB69-5EC6-40F9-8DFB-595E2FB0B2FB}"/>
    <cellStyle name="Salida 3 10" xfId="15581" xr:uid="{84159D7D-0E74-4AC4-A4E6-BB3D323BE75E}"/>
    <cellStyle name="Salida 3 10 2" xfId="30794" xr:uid="{852D91E7-7968-4A8E-BFF8-642E7E5E2EBE}"/>
    <cellStyle name="Salida 3 11" xfId="15582" xr:uid="{0356DB97-20E3-48F2-931C-E806079D15C3}"/>
    <cellStyle name="Salida 3 11 2" xfId="30795" xr:uid="{E018683B-1C23-4F83-A453-DD5F200CF439}"/>
    <cellStyle name="Salida 3 12" xfId="15583" xr:uid="{8AD447AF-3F1A-4601-8046-2CF77BDF751C}"/>
    <cellStyle name="Salida 3 12 2" xfId="30796" xr:uid="{01EE606A-D38D-40D8-9E69-B71766A1291F}"/>
    <cellStyle name="Salida 3 13" xfId="15584" xr:uid="{13716148-329B-47A9-B31C-FFC2A7078FCF}"/>
    <cellStyle name="Salida 3 13 2" xfId="30797" xr:uid="{366B3BAC-6223-46EC-BC47-5473E5771FA0}"/>
    <cellStyle name="Salida 3 14" xfId="15585" xr:uid="{06286890-0549-4CA7-9BC6-393F5B250945}"/>
    <cellStyle name="Salida 3 14 2" xfId="30798" xr:uid="{45643125-8DDF-4DA7-8EC4-D5D314B3DC05}"/>
    <cellStyle name="Salida 3 15" xfId="30793" xr:uid="{A48F2A01-51E0-4246-B84E-157392435C71}"/>
    <cellStyle name="Salida 3 2" xfId="15586" xr:uid="{A841CB49-C968-400C-AC88-232D3A58313E}"/>
    <cellStyle name="Salida 3 2 2" xfId="30799" xr:uid="{D70DAD97-4DF1-4133-8C19-B45522712D60}"/>
    <cellStyle name="Salida 3 3" xfId="15587" xr:uid="{141E9703-44CB-4C9F-A8EE-B395AE48830A}"/>
    <cellStyle name="Salida 3 3 2" xfId="30800" xr:uid="{56282C6B-757F-4123-846F-E4E3A1AF9588}"/>
    <cellStyle name="Salida 3 4" xfId="15588" xr:uid="{5DF76441-0EC6-4BC5-B3CD-73DD6598A01C}"/>
    <cellStyle name="Salida 3 4 2" xfId="30801" xr:uid="{5E53C8EA-17ED-4657-A23D-7C26BAFC0922}"/>
    <cellStyle name="Salida 3 5" xfId="15589" xr:uid="{5F233F78-60D4-4A38-A7DB-9502D4B9901A}"/>
    <cellStyle name="Salida 3 5 2" xfId="30802" xr:uid="{CB7CC07F-6AA5-46A1-B8F8-65ED89909CEA}"/>
    <cellStyle name="Salida 3 6" xfId="15590" xr:uid="{09ECE5E7-35AC-4FB5-8E87-B35CCDA5525A}"/>
    <cellStyle name="Salida 3 6 2" xfId="30803" xr:uid="{FDE99965-C9E9-4A89-909A-1E32F40438D5}"/>
    <cellStyle name="Salida 3 7" xfId="15591" xr:uid="{05D268D7-F612-4F27-9FCE-0904E1DF5ECC}"/>
    <cellStyle name="Salida 3 7 2" xfId="30804" xr:uid="{EC52925D-71F9-4078-A64C-D56B2C301F29}"/>
    <cellStyle name="Salida 3 8" xfId="15592" xr:uid="{D4A6C394-CE3F-4AA9-928A-7CEE9B6DFF07}"/>
    <cellStyle name="Salida 3 8 2" xfId="30805" xr:uid="{DC11ECD1-8552-4477-881D-47F336C9F773}"/>
    <cellStyle name="Salida 3 9" xfId="15593" xr:uid="{1B50722E-5130-41B9-BC85-C7E06946CAB9}"/>
    <cellStyle name="Salida 3 9 2" xfId="30806" xr:uid="{B0679010-B960-4D94-AAEC-CA582726B521}"/>
    <cellStyle name="Salida 4" xfId="15594" xr:uid="{4D149F01-956C-4F27-B486-8C3537F9CBE7}"/>
    <cellStyle name="Salida 4 2" xfId="30807" xr:uid="{B5CD26AE-E1F9-418F-9B70-8805CA542C1E}"/>
    <cellStyle name="Salida 5" xfId="15595" xr:uid="{A71BAE29-1777-4C19-8F63-F4DCA9FB67A1}"/>
    <cellStyle name="Salida 5 2" xfId="30808" xr:uid="{48D62635-2DBE-4956-9378-701205A2F3F4}"/>
    <cellStyle name="Salida 6" xfId="15596" xr:uid="{834A98C6-48FE-4735-8E22-129EE9EA1A85}"/>
    <cellStyle name="Salida 6 2" xfId="30809" xr:uid="{549C6C48-C734-41F9-A2EF-4F3EE92CE2B8}"/>
    <cellStyle name="Salida 7" xfId="15597" xr:uid="{EF005466-715E-4355-B451-D9474270AA6C}"/>
    <cellStyle name="Salida 7 2" xfId="30810" xr:uid="{ACF32530-B58C-4850-A7F7-16F4F2963872}"/>
    <cellStyle name="Salida 8" xfId="15598" xr:uid="{6FB7C6AE-F243-48B6-B055-F6E24FD93165}"/>
    <cellStyle name="Salida 8 2" xfId="30811" xr:uid="{3ADA1C7F-EDA0-49D9-B0FD-8A88B5C05D41}"/>
    <cellStyle name="Salida 9" xfId="15599" xr:uid="{D0F4D17E-5260-42BB-A010-05C29B01AB03}"/>
    <cellStyle name="Salida 9 2" xfId="30812" xr:uid="{25D5E44D-444F-469C-B482-2B0319798CA8}"/>
    <cellStyle name="SAPBEXaggData" xfId="15600" xr:uid="{D6D6B7F3-8044-43AB-BE46-ECD27D7B98CC}"/>
    <cellStyle name="SAPBEXaggData 10" xfId="15601" xr:uid="{9402B496-59AD-4946-A599-4C4155755F0A}"/>
    <cellStyle name="SAPBEXaggData 10 2" xfId="30813" xr:uid="{2FCEF695-5EA5-467E-AF1A-9617A869FFA6}"/>
    <cellStyle name="SAPBEXaggData 11" xfId="15602" xr:uid="{33FFC49F-A29D-4AD5-9DD5-F2265B6A3C77}"/>
    <cellStyle name="SAPBEXaggData 11 2" xfId="30814" xr:uid="{0113F536-90EE-4ECB-B58D-A2D26452F419}"/>
    <cellStyle name="SAPBEXaggData 12" xfId="15603" xr:uid="{56A973FA-7900-487A-8A46-3C79FF5C7C10}"/>
    <cellStyle name="SAPBEXaggData 12 2" xfId="30815" xr:uid="{22B1A42F-9DB6-4F78-A124-4D80B3DB7CF2}"/>
    <cellStyle name="SAPBEXaggData 13" xfId="15604" xr:uid="{A851CA8D-C9D8-4473-AB5A-E2840BED1F56}"/>
    <cellStyle name="SAPBEXaggData 13 2" xfId="30816" xr:uid="{555D8DB7-F19C-4CD6-B714-4ED67A9A48C7}"/>
    <cellStyle name="SAPBEXaggData 14" xfId="15605" xr:uid="{7A0DFD19-E658-4E02-B8B4-5EF4EC2DEDA1}"/>
    <cellStyle name="SAPBEXaggData 14 2" xfId="30817" xr:uid="{1A5001E2-C659-48DC-9B2C-D5AB732B43B0}"/>
    <cellStyle name="SAPBEXaggData 15" xfId="15606" xr:uid="{8E04921B-A97F-4F58-8D14-E790E0308F85}"/>
    <cellStyle name="SAPBEXaggData 15 2" xfId="30818" xr:uid="{87A6563C-78C7-4500-92DD-EA2417CC8030}"/>
    <cellStyle name="SAPBEXaggData 16" xfId="15607" xr:uid="{3634ADE3-BBDA-4FB6-A34E-07C456AC7945}"/>
    <cellStyle name="SAPBEXaggData 16 2" xfId="30819" xr:uid="{B2B06088-32A0-4F33-90BB-C138D337D8E6}"/>
    <cellStyle name="SAPBEXaggData 17" xfId="15608" xr:uid="{27443DDD-37EE-4A76-AA9F-4B991DBFA3DE}"/>
    <cellStyle name="SAPBEXaggData 17 2" xfId="30820" xr:uid="{0E2B8CE3-C484-4E36-B6AD-E3B6933F4778}"/>
    <cellStyle name="SAPBEXaggData 18" xfId="15609" xr:uid="{34315D23-8A23-4F83-B3B4-C1F940B57C1B}"/>
    <cellStyle name="SAPBEXaggData 18 2" xfId="30821" xr:uid="{0F1C9E6A-0054-430A-8743-00883AC00252}"/>
    <cellStyle name="SAPBEXaggData 19" xfId="15610" xr:uid="{47F0864C-BE20-4FF8-B9CC-58F8E29000E1}"/>
    <cellStyle name="SAPBEXaggData 19 2" xfId="30822" xr:uid="{B22E8BFB-3421-4B19-9F86-113E280DC910}"/>
    <cellStyle name="SAPBEXaggData 2" xfId="15611" xr:uid="{2977CAE0-ED95-458E-AC7D-348E7BC55F41}"/>
    <cellStyle name="SAPBEXaggData 2 10" xfId="15612" xr:uid="{D3FDDD15-7DC4-4790-82D2-282E3D20F94B}"/>
    <cellStyle name="SAPBEXaggData 2 10 2" xfId="30824" xr:uid="{4AA29F8E-26EF-4F7A-8819-CD5BBEE5EE9D}"/>
    <cellStyle name="SAPBEXaggData 2 11" xfId="15613" xr:uid="{0E205596-BC79-4043-BF54-3312EA5E7A00}"/>
    <cellStyle name="SAPBEXaggData 2 11 2" xfId="30825" xr:uid="{A17CCB58-DA67-44BE-BA55-FB0EFA34D1D2}"/>
    <cellStyle name="SAPBEXaggData 2 12" xfId="15614" xr:uid="{F02B1816-6208-4EF2-8BC3-35182CF474F5}"/>
    <cellStyle name="SAPBEXaggData 2 12 2" xfId="30826" xr:uid="{68567830-CF25-4380-B9E7-F6043F8F9DBF}"/>
    <cellStyle name="SAPBEXaggData 2 13" xfId="15615" xr:uid="{3E3B7452-D4BF-49B0-8F50-0037F66C0A2E}"/>
    <cellStyle name="SAPBEXaggData 2 13 2" xfId="30827" xr:uid="{765B1E38-B783-486A-A029-5B390548CDA4}"/>
    <cellStyle name="SAPBEXaggData 2 14" xfId="15616" xr:uid="{B3E212A1-D2F7-40D3-8C9B-85DB13F710E5}"/>
    <cellStyle name="SAPBEXaggData 2 14 2" xfId="30828" xr:uid="{DD8F8922-991E-4391-BCC7-B7679126B2EA}"/>
    <cellStyle name="SAPBEXaggData 2 15" xfId="15617" xr:uid="{B674791F-6F21-44E5-AB85-67DFD98D37BD}"/>
    <cellStyle name="SAPBEXaggData 2 15 2" xfId="38113" xr:uid="{0BE3A57D-655C-455A-ABC0-66000D9E3ECC}"/>
    <cellStyle name="SAPBEXaggData 2 16" xfId="15618" xr:uid="{836434EF-4C19-4A5D-99B9-0D163FA8C3EB}"/>
    <cellStyle name="SAPBEXaggData 2 16 2" xfId="30829" xr:uid="{9DDA089E-4B2A-4D24-874D-E56D9806C525}"/>
    <cellStyle name="SAPBEXaggData 2 17" xfId="15619" xr:uid="{4B67FDCF-7728-4D15-974C-5F711D421E59}"/>
    <cellStyle name="SAPBEXaggData 2 17 2" xfId="30830" xr:uid="{2017F70B-EEC9-4870-9E74-ABBE42FE2A34}"/>
    <cellStyle name="SAPBEXaggData 2 18" xfId="15620" xr:uid="{DFB53E2C-EB6B-4919-A235-81161B78BCFC}"/>
    <cellStyle name="SAPBEXaggData 2 18 2" xfId="30831" xr:uid="{A58B706D-0EE3-4F70-A45F-D1B543972216}"/>
    <cellStyle name="SAPBEXaggData 2 19" xfId="15621" xr:uid="{1FF69749-629B-40C9-A04F-8C870015E86B}"/>
    <cellStyle name="SAPBEXaggData 2 19 2" xfId="30832" xr:uid="{9C1DF853-D308-4D79-AA61-56B48C68E5FD}"/>
    <cellStyle name="SAPBEXaggData 2 2" xfId="15622" xr:uid="{50D56B5F-C70E-4AC0-ACB1-9638A01C31BF}"/>
    <cellStyle name="SAPBEXaggData 2 2 10" xfId="15623" xr:uid="{87AB70ED-C78C-4ACD-A758-C75694DA0C66}"/>
    <cellStyle name="SAPBEXaggData 2 2 10 2" xfId="30834" xr:uid="{64FFFDB0-9308-42E8-9FB5-15A3A9F93EA2}"/>
    <cellStyle name="SAPBEXaggData 2 2 11" xfId="15624" xr:uid="{867A58A5-22E0-41BE-9B4B-FD30880F7CFB}"/>
    <cellStyle name="SAPBEXaggData 2 2 11 2" xfId="30835" xr:uid="{8467BC40-B90E-4799-B4BE-FF9C8212B224}"/>
    <cellStyle name="SAPBEXaggData 2 2 12" xfId="15625" xr:uid="{3475F934-181E-4B18-9C47-8187CFE7622C}"/>
    <cellStyle name="SAPBEXaggData 2 2 12 2" xfId="30836" xr:uid="{DF415D0E-9564-415C-8DDA-8A06EE7C6124}"/>
    <cellStyle name="SAPBEXaggData 2 2 13" xfId="15626" xr:uid="{102363FC-227B-4E08-81D4-1852A430D9D3}"/>
    <cellStyle name="SAPBEXaggData 2 2 13 2" xfId="30837" xr:uid="{9B62E249-51C3-4EAE-AE33-628762A4B8B2}"/>
    <cellStyle name="SAPBEXaggData 2 2 14" xfId="15627" xr:uid="{55B7B04C-54AC-4269-9F42-3BA6B0FA899B}"/>
    <cellStyle name="SAPBEXaggData 2 2 14 2" xfId="30838" xr:uid="{58559894-B037-48AD-AC66-7EA80996AD75}"/>
    <cellStyle name="SAPBEXaggData 2 2 15" xfId="15628" xr:uid="{F605EF33-1849-461C-9EFA-5E30D6903A63}"/>
    <cellStyle name="SAPBEXaggData 2 2 15 2" xfId="30839" xr:uid="{575B794F-B5D6-477E-8122-399192899F0E}"/>
    <cellStyle name="SAPBEXaggData 2 2 16" xfId="15629" xr:uid="{DE1B6142-FCA3-43B7-83E6-5DCA9665AEF1}"/>
    <cellStyle name="SAPBEXaggData 2 2 16 2" xfId="30840" xr:uid="{BB44F8DC-AF26-4015-B10E-CA7D81C73926}"/>
    <cellStyle name="SAPBEXaggData 2 2 17" xfId="15630" xr:uid="{E81E976D-8815-4614-BC7E-58461CA5EC78}"/>
    <cellStyle name="SAPBEXaggData 2 2 17 2" xfId="30841" xr:uid="{47A1946F-A2F2-4601-939C-E8B850C414DA}"/>
    <cellStyle name="SAPBEXaggData 2 2 18" xfId="15631" xr:uid="{BE0ABAD1-A779-484A-932E-9E05AB45E882}"/>
    <cellStyle name="SAPBEXaggData 2 2 18 2" xfId="30842" xr:uid="{BF663224-4394-42C1-B35A-2C1A0CB16861}"/>
    <cellStyle name="SAPBEXaggData 2 2 19" xfId="30833" xr:uid="{EE1DCD78-0121-4E94-B69B-D40B02391948}"/>
    <cellStyle name="SAPBEXaggData 2 2 2" xfId="15632" xr:uid="{63E17E87-1C00-466B-BEF8-677830250731}"/>
    <cellStyle name="SAPBEXaggData 2 2 2 10" xfId="15633" xr:uid="{715C7E94-BADF-45B3-A33E-30C5794913A7}"/>
    <cellStyle name="SAPBEXaggData 2 2 2 10 2" xfId="30844" xr:uid="{08FB3135-D110-4A92-9E0A-55DE968A0A70}"/>
    <cellStyle name="SAPBEXaggData 2 2 2 11" xfId="15634" xr:uid="{01F8C681-2244-4CD5-B4B7-CF4AB07C0C16}"/>
    <cellStyle name="SAPBEXaggData 2 2 2 11 2" xfId="30845" xr:uid="{60FAD6AF-6D31-4540-B865-CF0A74667C00}"/>
    <cellStyle name="SAPBEXaggData 2 2 2 12" xfId="15635" xr:uid="{831C6707-9D34-474F-B979-AB3A3E66A81D}"/>
    <cellStyle name="SAPBEXaggData 2 2 2 12 2" xfId="30846" xr:uid="{09DD2149-561C-40BE-A9DE-E8A5788A52DB}"/>
    <cellStyle name="SAPBEXaggData 2 2 2 13" xfId="15636" xr:uid="{B5A5CE7B-7E13-4B5C-ABA1-D280365B0066}"/>
    <cellStyle name="SAPBEXaggData 2 2 2 13 2" xfId="30847" xr:uid="{EB2066C5-0C7D-4B64-9884-8736EC322F30}"/>
    <cellStyle name="SAPBEXaggData 2 2 2 14" xfId="15637" xr:uid="{FCFDAD5B-DD00-4141-9983-B75DFBBCC58E}"/>
    <cellStyle name="SAPBEXaggData 2 2 2 14 2" xfId="30848" xr:uid="{0A287E87-ED20-4609-A9C4-F357142074B1}"/>
    <cellStyle name="SAPBEXaggData 2 2 2 15" xfId="30843" xr:uid="{4FF9E9ED-FE79-4732-BFD6-059711BFD239}"/>
    <cellStyle name="SAPBEXaggData 2 2 2 2" xfId="15638" xr:uid="{E9D38626-86C5-471B-8153-464A78014A51}"/>
    <cellStyle name="SAPBEXaggData 2 2 2 2 2" xfId="30849" xr:uid="{4B7E1EAE-CAC3-4659-BB83-FA614C3359C6}"/>
    <cellStyle name="SAPBEXaggData 2 2 2 3" xfId="15639" xr:uid="{68F1A7F5-3FAE-46CE-A0E1-4A4C586D51A5}"/>
    <cellStyle name="SAPBEXaggData 2 2 2 3 2" xfId="30850" xr:uid="{2CC3CA89-271B-4851-9751-E6C90F47D65F}"/>
    <cellStyle name="SAPBEXaggData 2 2 2 4" xfId="15640" xr:uid="{BCBEF3B2-1A60-437D-B183-A0BDFCA6BFB4}"/>
    <cellStyle name="SAPBEXaggData 2 2 2 4 2" xfId="30851" xr:uid="{2FE38BA0-53AA-4DF7-B7FC-1005CC774582}"/>
    <cellStyle name="SAPBEXaggData 2 2 2 5" xfId="15641" xr:uid="{FA08A736-774B-4E27-8206-C24CC0317EF2}"/>
    <cellStyle name="SAPBEXaggData 2 2 2 5 2" xfId="30852" xr:uid="{8FACAB34-85D8-49ED-BDFE-1912FA6F09BD}"/>
    <cellStyle name="SAPBEXaggData 2 2 2 6" xfId="15642" xr:uid="{F63AA629-6D33-45E7-9853-21D24FBE85EF}"/>
    <cellStyle name="SAPBEXaggData 2 2 2 6 2" xfId="30853" xr:uid="{6E69D676-D9DA-48D7-9059-C8046F12E84A}"/>
    <cellStyle name="SAPBEXaggData 2 2 2 7" xfId="15643" xr:uid="{5B96E727-B9BC-490F-9459-16C2B2C6E4CF}"/>
    <cellStyle name="SAPBEXaggData 2 2 2 7 2" xfId="30854" xr:uid="{E1932A9F-F9E5-419B-863B-6C30AF34A7D6}"/>
    <cellStyle name="SAPBEXaggData 2 2 2 8" xfId="15644" xr:uid="{6259190E-5E4C-4BB8-BE2A-692B5A42B5A3}"/>
    <cellStyle name="SAPBEXaggData 2 2 2 8 2" xfId="30855" xr:uid="{F59860B0-379F-4461-B62B-9A91EEA19D6E}"/>
    <cellStyle name="SAPBEXaggData 2 2 2 9" xfId="15645" xr:uid="{DD4512A9-16AC-40E5-A0DD-F25BD6745116}"/>
    <cellStyle name="SAPBEXaggData 2 2 2 9 2" xfId="30856" xr:uid="{84020DF3-3C04-4AB9-8986-DED1BA6FB58E}"/>
    <cellStyle name="SAPBEXaggData 2 2 3" xfId="15646" xr:uid="{F9D35CC2-CC9C-48A5-8029-D2A121C1FB4B}"/>
    <cellStyle name="SAPBEXaggData 2 2 3 2" xfId="30857" xr:uid="{BA00AAE2-1DA5-4A59-8543-7A8569EF5FA9}"/>
    <cellStyle name="SAPBEXaggData 2 2 4" xfId="15647" xr:uid="{A4AC970A-FABE-4FDD-9C0D-936AA8FD31CB}"/>
    <cellStyle name="SAPBEXaggData 2 2 4 2" xfId="30858" xr:uid="{12079DDC-EC7A-4850-9581-A3AE25170025}"/>
    <cellStyle name="SAPBEXaggData 2 2 5" xfId="15648" xr:uid="{F72A7B50-4B54-4B69-81BA-5CF27698FFA5}"/>
    <cellStyle name="SAPBEXaggData 2 2 5 2" xfId="30859" xr:uid="{74936E71-D17B-4D31-B066-8DE68D33D361}"/>
    <cellStyle name="SAPBEXaggData 2 2 6" xfId="15649" xr:uid="{2F2FC3A1-1AA6-4C10-862C-D1F40373F859}"/>
    <cellStyle name="SAPBEXaggData 2 2 6 2" xfId="30860" xr:uid="{8D912CA1-3F84-4100-AAE3-5905386B4CF8}"/>
    <cellStyle name="SAPBEXaggData 2 2 7" xfId="15650" xr:uid="{DA1CDBB6-F20B-4D6B-81D4-D13550855B41}"/>
    <cellStyle name="SAPBEXaggData 2 2 7 2" xfId="30861" xr:uid="{75B7AEB3-78CF-4366-8854-0291F2C11DE9}"/>
    <cellStyle name="SAPBEXaggData 2 2 8" xfId="15651" xr:uid="{A3CD971C-A0B3-4FEE-892A-8E588D3A2E2B}"/>
    <cellStyle name="SAPBEXaggData 2 2 8 2" xfId="30862" xr:uid="{DE42899D-A109-469B-A3CF-9BDC175E4A4F}"/>
    <cellStyle name="SAPBEXaggData 2 2 9" xfId="15652" xr:uid="{923F861F-1F13-4CEB-8D85-34BC417FCD7E}"/>
    <cellStyle name="SAPBEXaggData 2 2 9 2" xfId="30863" xr:uid="{B2757430-9AD8-4177-82C7-A59A62834E5B}"/>
    <cellStyle name="SAPBEXaggData 2 20" xfId="30823" xr:uid="{0F3640A0-6373-4680-87CA-A2C82864D98D}"/>
    <cellStyle name="SAPBEXaggData 2 3" xfId="15653" xr:uid="{FA3AA8CE-37E5-46EB-9DC9-DCADE2AE874A}"/>
    <cellStyle name="SAPBEXaggData 2 3 10" xfId="15654" xr:uid="{77837AE2-2733-4047-9B21-6A7B760F4DE3}"/>
    <cellStyle name="SAPBEXaggData 2 3 10 2" xfId="30865" xr:uid="{F7B8D838-12E6-4F37-ACE3-55DDD22C862F}"/>
    <cellStyle name="SAPBEXaggData 2 3 11" xfId="15655" xr:uid="{A186FBE4-35F5-419B-ABD6-01EA39473542}"/>
    <cellStyle name="SAPBEXaggData 2 3 11 2" xfId="30866" xr:uid="{BE1B42A2-6428-4DF5-9ABA-8969B762957A}"/>
    <cellStyle name="SAPBEXaggData 2 3 12" xfId="15656" xr:uid="{E4FD6C58-7B98-486C-80AD-7A15481B6A86}"/>
    <cellStyle name="SAPBEXaggData 2 3 12 2" xfId="30867" xr:uid="{D6B8A5A2-E682-4057-AA5B-AE0455F5F0E7}"/>
    <cellStyle name="SAPBEXaggData 2 3 13" xfId="15657" xr:uid="{993378C5-E206-4B69-A973-6AE53CF2D6D7}"/>
    <cellStyle name="SAPBEXaggData 2 3 13 2" xfId="30868" xr:uid="{F1AA87A6-B9E3-4037-AE92-8ECF8E7E0A04}"/>
    <cellStyle name="SAPBEXaggData 2 3 14" xfId="15658" xr:uid="{C602C3F7-1A12-4C8A-9D97-966E4EE468B5}"/>
    <cellStyle name="SAPBEXaggData 2 3 14 2" xfId="30869" xr:uid="{7D0F4B67-D507-4F2F-BFF1-DEEA415A98AB}"/>
    <cellStyle name="SAPBEXaggData 2 3 15" xfId="30864" xr:uid="{C204568B-AD24-43A6-894C-66745F4A064F}"/>
    <cellStyle name="SAPBEXaggData 2 3 2" xfId="15659" xr:uid="{88388E7B-3A24-44C5-AF4C-A4EEDABAA964}"/>
    <cellStyle name="SAPBEXaggData 2 3 2 2" xfId="30870" xr:uid="{290D96D6-A117-4355-8645-161D06BD5384}"/>
    <cellStyle name="SAPBEXaggData 2 3 3" xfId="15660" xr:uid="{F19EF60D-E510-4EA0-BF41-775DE8BBFB7F}"/>
    <cellStyle name="SAPBEXaggData 2 3 3 2" xfId="30871" xr:uid="{36D73510-E8DF-4485-801D-5EEFD9F65EBA}"/>
    <cellStyle name="SAPBEXaggData 2 3 4" xfId="15661" xr:uid="{CF1CB7B3-B0F2-4C8C-91F1-B2B0686364EB}"/>
    <cellStyle name="SAPBEXaggData 2 3 4 2" xfId="30872" xr:uid="{8500DDEC-7891-4D8F-A2D8-57C2444271EF}"/>
    <cellStyle name="SAPBEXaggData 2 3 5" xfId="15662" xr:uid="{245770B3-8EBE-49B6-AE42-CAEA19D92D49}"/>
    <cellStyle name="SAPBEXaggData 2 3 5 2" xfId="30873" xr:uid="{0A424B8C-0E27-4DB7-9C0A-CFE0A5789F3E}"/>
    <cellStyle name="SAPBEXaggData 2 3 6" xfId="15663" xr:uid="{09BCC6CA-B116-4490-8244-FFA4B310CF21}"/>
    <cellStyle name="SAPBEXaggData 2 3 6 2" xfId="30874" xr:uid="{70F28343-A251-45AF-A0E2-119CFAAB4052}"/>
    <cellStyle name="SAPBEXaggData 2 3 7" xfId="15664" xr:uid="{55B70590-538F-46A9-8656-BED9C60CFE29}"/>
    <cellStyle name="SAPBEXaggData 2 3 7 2" xfId="30875" xr:uid="{D5AA4FF2-20A3-4A0B-B5A3-4EDFA4FA0BF3}"/>
    <cellStyle name="SAPBEXaggData 2 3 8" xfId="15665" xr:uid="{E09FBC19-F307-4C56-9C8A-93EE4A525763}"/>
    <cellStyle name="SAPBEXaggData 2 3 8 2" xfId="30876" xr:uid="{EA4BB870-3921-42FA-ABA8-F56C0556D7C4}"/>
    <cellStyle name="SAPBEXaggData 2 3 9" xfId="15666" xr:uid="{33566628-2270-4FDE-9E8B-539EF0F68586}"/>
    <cellStyle name="SAPBEXaggData 2 3 9 2" xfId="30877" xr:uid="{40B21434-5504-4B1F-89FA-A66879EEAC70}"/>
    <cellStyle name="SAPBEXaggData 2 4" xfId="15667" xr:uid="{A903D241-B095-4540-B417-33009489F6E6}"/>
    <cellStyle name="SAPBEXaggData 2 4 2" xfId="30878" xr:uid="{0C60C73E-9C83-4102-BBB9-74CEBA274F9A}"/>
    <cellStyle name="SAPBEXaggData 2 5" xfId="15668" xr:uid="{C5F011BA-050F-47B3-B9E1-0E2484A45005}"/>
    <cellStyle name="SAPBEXaggData 2 5 2" xfId="30879" xr:uid="{A0669097-4932-4B45-8492-3155ED206F69}"/>
    <cellStyle name="SAPBEXaggData 2 6" xfId="15669" xr:uid="{BCD50900-2921-42FE-9962-47686D05A1AC}"/>
    <cellStyle name="SAPBEXaggData 2 6 2" xfId="30880" xr:uid="{91A422D5-4BB1-41C7-8FCE-6338412CE33A}"/>
    <cellStyle name="SAPBEXaggData 2 7" xfId="15670" xr:uid="{448467AC-7A8D-40E0-82CF-9535E76A6C0B}"/>
    <cellStyle name="SAPBEXaggData 2 7 2" xfId="30881" xr:uid="{877BE46E-86F1-4418-ACA1-41017E093574}"/>
    <cellStyle name="SAPBEXaggData 2 8" xfId="15671" xr:uid="{4F28168E-6B8B-460A-839F-2F0EF2B824AD}"/>
    <cellStyle name="SAPBEXaggData 2 8 2" xfId="30882" xr:uid="{D0D12197-051B-46BF-8E43-14D6E10958CB}"/>
    <cellStyle name="SAPBEXaggData 2 9" xfId="15672" xr:uid="{B9AC63D1-DFA9-49AC-860C-906D082660F6}"/>
    <cellStyle name="SAPBEXaggData 2 9 2" xfId="30883" xr:uid="{AD6BBAC6-DA32-4BF9-A731-32A7DD72E5FE}"/>
    <cellStyle name="SAPBEXaggData 20" xfId="15673" xr:uid="{69793ECB-8D5B-43D5-918C-CBC5B15F3C7B}"/>
    <cellStyle name="SAPBEXaggData 20 2" xfId="30884" xr:uid="{D56C8463-7947-440F-9FD6-8B91B8292D38}"/>
    <cellStyle name="SAPBEXaggData 21" xfId="15674" xr:uid="{26196A56-4D99-49DC-B483-4D2EE667DD84}"/>
    <cellStyle name="SAPBEXaggData 21 2" xfId="30885" xr:uid="{0B0C47D4-4344-4F6F-AEDF-799B57DD102B}"/>
    <cellStyle name="SAPBEXaggData 3" xfId="15675" xr:uid="{13DA93C4-7D26-4320-826C-F4F3AF448917}"/>
    <cellStyle name="SAPBEXaggData 3 2" xfId="15676" xr:uid="{37569D5A-3B74-44F4-97D0-23DD7FB57363}"/>
    <cellStyle name="SAPBEXaggData 3 2 10" xfId="15677" xr:uid="{C963CC80-DBF0-4247-BFF0-19013F00C11B}"/>
    <cellStyle name="SAPBEXaggData 3 2 10 2" xfId="30888" xr:uid="{EA6F41FC-C0C8-407E-A78F-62872E1D1203}"/>
    <cellStyle name="SAPBEXaggData 3 2 11" xfId="15678" xr:uid="{72F9684A-435D-4446-A613-FBC17DA0DB9F}"/>
    <cellStyle name="SAPBEXaggData 3 2 11 2" xfId="30889" xr:uid="{1F56CA7A-ED31-480B-848C-155959F869A9}"/>
    <cellStyle name="SAPBEXaggData 3 2 12" xfId="15679" xr:uid="{2D95D976-1F37-49F3-A371-3766C16FCCE0}"/>
    <cellStyle name="SAPBEXaggData 3 2 12 2" xfId="30890" xr:uid="{E81094E3-E6D9-44D1-B8A0-E987B44BE817}"/>
    <cellStyle name="SAPBEXaggData 3 2 13" xfId="15680" xr:uid="{78915049-D16F-49E9-ABE4-45F7CFE40241}"/>
    <cellStyle name="SAPBEXaggData 3 2 13 2" xfId="30891" xr:uid="{8D057BB5-BB04-44EA-9DB3-F41F27066093}"/>
    <cellStyle name="SAPBEXaggData 3 2 14" xfId="15681" xr:uid="{DD189D0B-3449-40BA-A650-4F8A5AC4E6F2}"/>
    <cellStyle name="SAPBEXaggData 3 2 14 2" xfId="30892" xr:uid="{E136ADFC-895E-4B99-B980-AE2CE49E4245}"/>
    <cellStyle name="SAPBEXaggData 3 2 15" xfId="30887" xr:uid="{F969FF04-3864-4825-BE3A-4E60434A6EEF}"/>
    <cellStyle name="SAPBEXaggData 3 2 2" xfId="15682" xr:uid="{BC08A2AB-58DC-4647-A8AA-E1747DE35F5F}"/>
    <cellStyle name="SAPBEXaggData 3 2 2 2" xfId="30893" xr:uid="{31562183-CF0D-48E7-8564-EF0707D593C1}"/>
    <cellStyle name="SAPBEXaggData 3 2 3" xfId="15683" xr:uid="{E5157D29-3220-4B0D-A0A7-99EA62A17EC8}"/>
    <cellStyle name="SAPBEXaggData 3 2 3 2" xfId="30894" xr:uid="{9FD42731-979D-4754-A117-A9D14E885512}"/>
    <cellStyle name="SAPBEXaggData 3 2 4" xfId="15684" xr:uid="{98C157B8-2B75-488D-A005-5D21CFEFB73A}"/>
    <cellStyle name="SAPBEXaggData 3 2 4 2" xfId="30895" xr:uid="{D8EDB8A3-45F7-48F6-9FA0-BFF0B7CFEB32}"/>
    <cellStyle name="SAPBEXaggData 3 2 5" xfId="15685" xr:uid="{FDA2112A-FB40-46CF-A5BA-46F0F2590B0C}"/>
    <cellStyle name="SAPBEXaggData 3 2 5 2" xfId="30896" xr:uid="{11D380F0-2A4B-4FCA-84B4-D4F0F7AF2908}"/>
    <cellStyle name="SAPBEXaggData 3 2 6" xfId="15686" xr:uid="{08D5D404-94D2-4286-928A-EEC2240BF99D}"/>
    <cellStyle name="SAPBEXaggData 3 2 6 2" xfId="30897" xr:uid="{4E1865C5-EEEB-456B-92CF-8E911373D88A}"/>
    <cellStyle name="SAPBEXaggData 3 2 7" xfId="15687" xr:uid="{E5F9C7C5-2B82-42AD-B985-E4D641301AA1}"/>
    <cellStyle name="SAPBEXaggData 3 2 7 2" xfId="30898" xr:uid="{C9BCDC75-176B-4793-B75A-CB1C9DB1966B}"/>
    <cellStyle name="SAPBEXaggData 3 2 8" xfId="15688" xr:uid="{E6B8EAAF-C933-46E0-A6C3-F447057E9065}"/>
    <cellStyle name="SAPBEXaggData 3 2 8 2" xfId="30899" xr:uid="{50FE0828-A507-4B22-BFE5-AD01FA9F5497}"/>
    <cellStyle name="SAPBEXaggData 3 2 9" xfId="15689" xr:uid="{24E1C48E-8AC2-4B52-8D52-B535104EFF0A}"/>
    <cellStyle name="SAPBEXaggData 3 2 9 2" xfId="30900" xr:uid="{0C0FBC21-3A68-497B-B75C-D7795F3FA517}"/>
    <cellStyle name="SAPBEXaggData 3 3" xfId="15690" xr:uid="{3E4673F8-6531-4009-A080-F28C6AAF082F}"/>
    <cellStyle name="SAPBEXaggData 3 4" xfId="30886" xr:uid="{157B7C8A-86F6-4D2A-AA4B-BC7571DEED38}"/>
    <cellStyle name="SAPBEXaggData 4" xfId="15691" xr:uid="{E8B528FA-F79B-45A5-A737-4F8E78FAA7AC}"/>
    <cellStyle name="SAPBEXaggData 5" xfId="15692" xr:uid="{CA02AAC4-5B4C-4C72-9A2E-7FAA6B3DC5F0}"/>
    <cellStyle name="SAPBEXaggData 5 10" xfId="15693" xr:uid="{92D14406-CF01-41DD-A86D-B8EE48FB892C}"/>
    <cellStyle name="SAPBEXaggData 5 10 2" xfId="30902" xr:uid="{9115F2A8-699A-426B-8B10-6575BA4DE62B}"/>
    <cellStyle name="SAPBEXaggData 5 11" xfId="15694" xr:uid="{D680C4A9-CEE3-4480-A89D-3003A34E572F}"/>
    <cellStyle name="SAPBEXaggData 5 11 2" xfId="30903" xr:uid="{9FF9DCAD-4191-45B1-8712-A17F2BD174AD}"/>
    <cellStyle name="SAPBEXaggData 5 12" xfId="15695" xr:uid="{9C7F6DEE-3EB2-4B01-A17F-5C7543E936E8}"/>
    <cellStyle name="SAPBEXaggData 5 12 2" xfId="30904" xr:uid="{971A6471-4D5A-42E3-AF04-8AD913E95B47}"/>
    <cellStyle name="SAPBEXaggData 5 13" xfId="15696" xr:uid="{407C5EE9-4CF4-4260-A752-C5FFEFD06249}"/>
    <cellStyle name="SAPBEXaggData 5 13 2" xfId="30905" xr:uid="{CC359E72-5E2F-4634-93EE-59F30554FB61}"/>
    <cellStyle name="SAPBEXaggData 5 14" xfId="15697" xr:uid="{112449AD-532B-4823-8A66-9479B54CACF7}"/>
    <cellStyle name="SAPBEXaggData 5 14 2" xfId="30906" xr:uid="{77B249FF-22F1-463A-A416-2A4EF0DE7F91}"/>
    <cellStyle name="SAPBEXaggData 5 15" xfId="30901" xr:uid="{35710588-54BD-4E59-A541-312C98C7FF23}"/>
    <cellStyle name="SAPBEXaggData 5 2" xfId="15698" xr:uid="{1ED27CA4-C7F5-4A7F-987E-094C918D0A34}"/>
    <cellStyle name="SAPBEXaggData 5 2 2" xfId="30907" xr:uid="{459E3FF1-8407-48B6-845B-3183990940DF}"/>
    <cellStyle name="SAPBEXaggData 5 3" xfId="15699" xr:uid="{5F710C7C-9A60-4474-AA88-3912E19831AF}"/>
    <cellStyle name="SAPBEXaggData 5 3 2" xfId="30908" xr:uid="{408F7E59-6DEB-4DAB-9146-849801F5AB9E}"/>
    <cellStyle name="SAPBEXaggData 5 4" xfId="15700" xr:uid="{DEEBFA37-E2D3-4B17-80AD-09039F1F41D0}"/>
    <cellStyle name="SAPBEXaggData 5 4 2" xfId="30909" xr:uid="{03FD0A2D-750B-4E82-9DFB-9B267514A871}"/>
    <cellStyle name="SAPBEXaggData 5 5" xfId="15701" xr:uid="{72017E50-C74A-4EBE-AF6F-5926DF0696DA}"/>
    <cellStyle name="SAPBEXaggData 5 5 2" xfId="30910" xr:uid="{40240D88-BDF2-42A9-8FEF-CE2D4CDEC3B2}"/>
    <cellStyle name="SAPBEXaggData 5 6" xfId="15702" xr:uid="{FCA42E59-3DDC-4813-B25E-CC8BD2C12BF4}"/>
    <cellStyle name="SAPBEXaggData 5 6 2" xfId="30911" xr:uid="{B4B825C0-617E-4E2F-9810-CAF8315E020F}"/>
    <cellStyle name="SAPBEXaggData 5 7" xfId="15703" xr:uid="{8C258314-135D-400B-AC41-08B33C3810E6}"/>
    <cellStyle name="SAPBEXaggData 5 7 2" xfId="30912" xr:uid="{83E249FC-D112-4DCD-88F1-0985A75BA927}"/>
    <cellStyle name="SAPBEXaggData 5 8" xfId="15704" xr:uid="{6F51FCC5-E780-46E2-85EA-7FB690E05A7F}"/>
    <cellStyle name="SAPBEXaggData 5 8 2" xfId="30913" xr:uid="{5A527CF7-B24E-4A1C-BE9C-FA6E5BC12E9F}"/>
    <cellStyle name="SAPBEXaggData 5 9" xfId="15705" xr:uid="{4687CAE8-1095-47D3-AE23-29B03796437C}"/>
    <cellStyle name="SAPBEXaggData 5 9 2" xfId="30914" xr:uid="{14F07742-74CE-46F8-AEE7-14DFB09D322A}"/>
    <cellStyle name="SAPBEXaggData 6" xfId="15706" xr:uid="{AE7C2D80-3F47-4D67-B8A3-E16C102C11DB}"/>
    <cellStyle name="SAPBEXaggData 6 2" xfId="30915" xr:uid="{C2347636-A351-4366-A985-E6C955939386}"/>
    <cellStyle name="SAPBEXaggData 7" xfId="15707" xr:uid="{38DC87A6-75D6-4670-B8B8-261D91BC48C9}"/>
    <cellStyle name="SAPBEXaggData 7 2" xfId="30916" xr:uid="{ABDA0E8A-D187-4CF6-8B7C-54163BE7DA44}"/>
    <cellStyle name="SAPBEXaggData 8" xfId="15708" xr:uid="{36F5E37C-312B-4AFE-9A0E-4A0F165CE053}"/>
    <cellStyle name="SAPBEXaggData 8 2" xfId="30917" xr:uid="{2FA4CB7E-3CEF-441C-852A-C10FF0AF3F96}"/>
    <cellStyle name="SAPBEXaggData 9" xfId="15709" xr:uid="{9B634237-D9DD-4AC6-98ED-7A94636C0618}"/>
    <cellStyle name="SAPBEXaggData 9 2" xfId="30918" xr:uid="{3D7517E9-CAA4-444B-93CF-6F4EF0FD5B7D}"/>
    <cellStyle name="SAPBEXaggDataEmph" xfId="15710" xr:uid="{182DC346-CBA2-4DE8-8325-3E18CFC4AE32}"/>
    <cellStyle name="SAPBEXaggDataEmph 10" xfId="15711" xr:uid="{C2A31528-6028-48C9-B4A5-C5C9ED5377C5}"/>
    <cellStyle name="SAPBEXaggDataEmph 10 2" xfId="30919" xr:uid="{C3AEAB07-5FCB-4268-A880-C8FF555B2A84}"/>
    <cellStyle name="SAPBEXaggDataEmph 11" xfId="15712" xr:uid="{E6B91A24-D0EC-444C-8BCD-E1B908DEF95A}"/>
    <cellStyle name="SAPBEXaggDataEmph 11 2" xfId="30920" xr:uid="{3F549374-48F3-41DE-9045-5463313BBE28}"/>
    <cellStyle name="SAPBEXaggDataEmph 12" xfId="15713" xr:uid="{F5501858-990E-4D4A-B102-8659795150F4}"/>
    <cellStyle name="SAPBEXaggDataEmph 12 2" xfId="30921" xr:uid="{0DFB076D-DC1C-451D-83BF-F490B9ECDD12}"/>
    <cellStyle name="SAPBEXaggDataEmph 13" xfId="15714" xr:uid="{55EC81F6-4C1E-4F2D-837A-6719D55A9CAD}"/>
    <cellStyle name="SAPBEXaggDataEmph 13 2" xfId="30922" xr:uid="{3EA9E9F9-4212-421B-9075-F52AC0DD5408}"/>
    <cellStyle name="SAPBEXaggDataEmph 14" xfId="15715" xr:uid="{A993AC21-1C42-481C-AC38-B44181849EAC}"/>
    <cellStyle name="SAPBEXaggDataEmph 14 2" xfId="30923" xr:uid="{B9A61D61-6D81-4A31-916D-32A0255347B9}"/>
    <cellStyle name="SAPBEXaggDataEmph 15" xfId="15716" xr:uid="{720A83B8-88D8-46BD-B2C5-B6EE05FBB50C}"/>
    <cellStyle name="SAPBEXaggDataEmph 15 2" xfId="30924" xr:uid="{5B0E24CC-A1CF-437F-B3A3-072315315D07}"/>
    <cellStyle name="SAPBEXaggDataEmph 16" xfId="15717" xr:uid="{0EC01672-0400-4211-B4A2-30B73A4FFA9E}"/>
    <cellStyle name="SAPBEXaggDataEmph 16 2" xfId="30925" xr:uid="{59427FCB-88C3-4E98-84C2-98EBD4BF51CB}"/>
    <cellStyle name="SAPBEXaggDataEmph 17" xfId="15718" xr:uid="{51274C42-E5E9-487E-BFD4-FA4F5E5F4096}"/>
    <cellStyle name="SAPBEXaggDataEmph 17 2" xfId="30926" xr:uid="{312AD27C-145D-4FB4-AEBF-F75A0AA8BBB8}"/>
    <cellStyle name="SAPBEXaggDataEmph 18" xfId="15719" xr:uid="{BE54DB06-D24D-4E09-9BEA-78E3C3695F32}"/>
    <cellStyle name="SAPBEXaggDataEmph 18 2" xfId="30927" xr:uid="{DDE985E7-EC14-4FA4-ACAC-769FE8C8FEB1}"/>
    <cellStyle name="SAPBEXaggDataEmph 19" xfId="15720" xr:uid="{D411D43B-AC0B-4B72-B2D3-4672FE9E0BF2}"/>
    <cellStyle name="SAPBEXaggDataEmph 19 2" xfId="30928" xr:uid="{5B276411-B36B-4357-A4C9-A2CE41BE6942}"/>
    <cellStyle name="SAPBEXaggDataEmph 2" xfId="15721" xr:uid="{CE03D577-299F-4C85-9003-B1E0502B6877}"/>
    <cellStyle name="SAPBEXaggDataEmph 2 10" xfId="15722" xr:uid="{ADA5B388-199E-4F8F-AABE-6A533EF80F21}"/>
    <cellStyle name="SAPBEXaggDataEmph 2 10 2" xfId="30930" xr:uid="{FF2F09AD-7239-4C8E-AACC-6BC581406F2F}"/>
    <cellStyle name="SAPBEXaggDataEmph 2 11" xfId="15723" xr:uid="{234C84AA-650F-453C-A8E6-C0E2B971A14D}"/>
    <cellStyle name="SAPBEXaggDataEmph 2 11 2" xfId="30931" xr:uid="{605C5C0D-A925-47AE-AA6F-B3104BD269C4}"/>
    <cellStyle name="SAPBEXaggDataEmph 2 12" xfId="15724" xr:uid="{67E31ACA-33E0-4530-90F9-24B1D16608B9}"/>
    <cellStyle name="SAPBEXaggDataEmph 2 12 2" xfId="30932" xr:uid="{F72A4CFC-AA47-4ECE-91FC-3AE8A4FAFE5B}"/>
    <cellStyle name="SAPBEXaggDataEmph 2 13" xfId="15725" xr:uid="{E962564A-632B-46C5-A2B8-71C838013488}"/>
    <cellStyle name="SAPBEXaggDataEmph 2 13 2" xfId="30933" xr:uid="{A23BE361-569B-4AAC-8D7A-420CBA6E3796}"/>
    <cellStyle name="SAPBEXaggDataEmph 2 14" xfId="15726" xr:uid="{1621F321-F4D9-434F-873A-C693EEE054C6}"/>
    <cellStyle name="SAPBEXaggDataEmph 2 14 2" xfId="30934" xr:uid="{4DF8D270-68D3-4949-80B6-2AC373CEDA2A}"/>
    <cellStyle name="SAPBEXaggDataEmph 2 15" xfId="15727" xr:uid="{3D7B288C-7AAD-4524-80E1-0732229328D5}"/>
    <cellStyle name="SAPBEXaggDataEmph 2 15 2" xfId="30935" xr:uid="{7E654ACD-54BB-4154-879E-154B915A8290}"/>
    <cellStyle name="SAPBEXaggDataEmph 2 16" xfId="15728" xr:uid="{37C89A78-9AC3-43F4-B7B1-AB56E5A76429}"/>
    <cellStyle name="SAPBEXaggDataEmph 2 16 2" xfId="30936" xr:uid="{2E1ED514-5C74-4F3B-A821-6B3C5E459683}"/>
    <cellStyle name="SAPBEXaggDataEmph 2 17" xfId="15729" xr:uid="{BE00BD52-BD3D-41F5-A6D7-C3382DCC5BAB}"/>
    <cellStyle name="SAPBEXaggDataEmph 2 17 2" xfId="30937" xr:uid="{C5EEA99A-140A-40AD-B921-7CC5D9F30409}"/>
    <cellStyle name="SAPBEXaggDataEmph 2 18" xfId="15730" xr:uid="{24345745-F32E-4E2C-A9A8-673954AAD5C1}"/>
    <cellStyle name="SAPBEXaggDataEmph 2 18 2" xfId="30938" xr:uid="{D82D16E9-58A1-4281-B848-E249F796E99C}"/>
    <cellStyle name="SAPBEXaggDataEmph 2 19" xfId="15731" xr:uid="{33F07DA0-8F54-4029-93BD-E36ABF3CEE8E}"/>
    <cellStyle name="SAPBEXaggDataEmph 2 19 2" xfId="30939" xr:uid="{13F55169-C5CC-4EC2-9C3D-54114D49F5F0}"/>
    <cellStyle name="SAPBEXaggDataEmph 2 2" xfId="15732" xr:uid="{39A2F2DB-B7C1-4921-97DF-4DE0D1FA4F95}"/>
    <cellStyle name="SAPBEXaggDataEmph 2 2 10" xfId="15733" xr:uid="{EFF84429-500E-46D1-A15B-964A98384482}"/>
    <cellStyle name="SAPBEXaggDataEmph 2 2 10 2" xfId="30941" xr:uid="{0A905A0A-7785-4D0F-A934-288AAD3A42A2}"/>
    <cellStyle name="SAPBEXaggDataEmph 2 2 11" xfId="15734" xr:uid="{89414F0A-CA38-463D-B512-4DD32448950A}"/>
    <cellStyle name="SAPBEXaggDataEmph 2 2 11 2" xfId="30942" xr:uid="{5F4C9549-5436-4D38-8321-01526FC6C6D2}"/>
    <cellStyle name="SAPBEXaggDataEmph 2 2 12" xfId="15735" xr:uid="{CD03151F-0EB1-4C92-8A14-BB168E7CDBE0}"/>
    <cellStyle name="SAPBEXaggDataEmph 2 2 12 2" xfId="30943" xr:uid="{5CBD480E-3280-4A5E-A7D7-A83ECC84371C}"/>
    <cellStyle name="SAPBEXaggDataEmph 2 2 13" xfId="15736" xr:uid="{A59BE6CC-F207-4E26-8129-8BF1AFD7AD5A}"/>
    <cellStyle name="SAPBEXaggDataEmph 2 2 13 2" xfId="30944" xr:uid="{94A080C6-414E-4ACB-BD48-ED675D09437D}"/>
    <cellStyle name="SAPBEXaggDataEmph 2 2 14" xfId="15737" xr:uid="{7D7A1C9A-69A5-47D5-BA95-4811A8798BEA}"/>
    <cellStyle name="SAPBEXaggDataEmph 2 2 14 2" xfId="30945" xr:uid="{294B0F7A-190F-433F-806C-7DFBAA1E9023}"/>
    <cellStyle name="SAPBEXaggDataEmph 2 2 15" xfId="15738" xr:uid="{DB6FEBF5-67D7-4503-BAFD-E71797DDC943}"/>
    <cellStyle name="SAPBEXaggDataEmph 2 2 15 2" xfId="30946" xr:uid="{056775E7-33A5-4658-8DEB-63937D743783}"/>
    <cellStyle name="SAPBEXaggDataEmph 2 2 16" xfId="15739" xr:uid="{9E585C1C-D580-4056-B4EE-EBE60FA8A12D}"/>
    <cellStyle name="SAPBEXaggDataEmph 2 2 16 2" xfId="30947" xr:uid="{4F81461C-DB50-4E54-B044-2DBBEA01D5EB}"/>
    <cellStyle name="SAPBEXaggDataEmph 2 2 17" xfId="15740" xr:uid="{7FFC7C1F-2ACB-43CD-99AB-CB4B2D4E1165}"/>
    <cellStyle name="SAPBEXaggDataEmph 2 2 17 2" xfId="30948" xr:uid="{123F4CC6-1AD7-45C6-BCA2-1E64C7A113ED}"/>
    <cellStyle name="SAPBEXaggDataEmph 2 2 18" xfId="15741" xr:uid="{3878567E-8E7F-4C66-B6C5-E6EA022FFEB9}"/>
    <cellStyle name="SAPBEXaggDataEmph 2 2 18 2" xfId="30949" xr:uid="{7309FD85-3439-4DDF-9FB0-2E0B20D9E683}"/>
    <cellStyle name="SAPBEXaggDataEmph 2 2 19" xfId="30940" xr:uid="{6B42C13C-FD66-4855-8089-0803050E8488}"/>
    <cellStyle name="SAPBEXaggDataEmph 2 2 2" xfId="15742" xr:uid="{D61015A2-9CFA-4EFA-B529-7FF38A51AAC2}"/>
    <cellStyle name="SAPBEXaggDataEmph 2 2 2 10" xfId="15743" xr:uid="{FAABAB49-E170-4CFE-B3CC-287DC54C3027}"/>
    <cellStyle name="SAPBEXaggDataEmph 2 2 2 10 2" xfId="30951" xr:uid="{29103FC6-2F8B-442E-945F-ADA4E2559268}"/>
    <cellStyle name="SAPBEXaggDataEmph 2 2 2 11" xfId="15744" xr:uid="{407005BB-30FB-4B0D-B3FF-3FE55F558A98}"/>
    <cellStyle name="SAPBEXaggDataEmph 2 2 2 11 2" xfId="30952" xr:uid="{1C36C12A-DB42-4AF2-AD67-10C03F8CC7E4}"/>
    <cellStyle name="SAPBEXaggDataEmph 2 2 2 12" xfId="15745" xr:uid="{A618479F-8132-4C55-986B-9B2A29E3D5A2}"/>
    <cellStyle name="SAPBEXaggDataEmph 2 2 2 12 2" xfId="30953" xr:uid="{F356818C-1312-44BE-B4F7-B7A11E6B7725}"/>
    <cellStyle name="SAPBEXaggDataEmph 2 2 2 13" xfId="15746" xr:uid="{25473453-0E45-4A04-BB3B-E3D5B71CA0D1}"/>
    <cellStyle name="SAPBEXaggDataEmph 2 2 2 13 2" xfId="30954" xr:uid="{C6E4291B-3302-4AD5-8E5F-18034451B2F4}"/>
    <cellStyle name="SAPBEXaggDataEmph 2 2 2 14" xfId="15747" xr:uid="{1A87DFE6-8788-4AA1-A97B-036E415608D2}"/>
    <cellStyle name="SAPBEXaggDataEmph 2 2 2 14 2" xfId="30955" xr:uid="{A687ACE2-85AC-46A3-907A-9C37C5710D43}"/>
    <cellStyle name="SAPBEXaggDataEmph 2 2 2 15" xfId="30950" xr:uid="{A3BC0FD9-D611-46D8-8CDC-4290FC864D17}"/>
    <cellStyle name="SAPBEXaggDataEmph 2 2 2 2" xfId="15748" xr:uid="{D2697F35-A2D7-4311-A6C3-AC1DDFCA28CE}"/>
    <cellStyle name="SAPBEXaggDataEmph 2 2 2 2 2" xfId="30956" xr:uid="{637A3BD3-5BD2-4D5D-AC9A-9CCB6BEFA27B}"/>
    <cellStyle name="SAPBEXaggDataEmph 2 2 2 3" xfId="15749" xr:uid="{D9D4DEDA-ECCB-41BF-BB88-621B0DA1CDD5}"/>
    <cellStyle name="SAPBEXaggDataEmph 2 2 2 3 2" xfId="30957" xr:uid="{6C586497-9DDB-47AB-98F3-7E18B4CB40C9}"/>
    <cellStyle name="SAPBEXaggDataEmph 2 2 2 4" xfId="15750" xr:uid="{C2741932-93C1-42C6-AE34-E8BC88BE288F}"/>
    <cellStyle name="SAPBEXaggDataEmph 2 2 2 4 2" xfId="30958" xr:uid="{C7896789-9AB9-4F61-9D3D-67E21B206A5E}"/>
    <cellStyle name="SAPBEXaggDataEmph 2 2 2 5" xfId="15751" xr:uid="{886E9800-1B54-42D8-A136-4666DF81C67B}"/>
    <cellStyle name="SAPBEXaggDataEmph 2 2 2 5 2" xfId="30959" xr:uid="{E6681744-B266-41AA-A8B9-FE1CF10AF97F}"/>
    <cellStyle name="SAPBEXaggDataEmph 2 2 2 6" xfId="15752" xr:uid="{09441C43-ACDB-49B5-982A-BA0519E87334}"/>
    <cellStyle name="SAPBEXaggDataEmph 2 2 2 6 2" xfId="30960" xr:uid="{393D1344-E84D-43FB-93F5-00F6CBBF2B75}"/>
    <cellStyle name="SAPBEXaggDataEmph 2 2 2 7" xfId="15753" xr:uid="{AF5FD89C-859D-4931-82C0-9248BD33245D}"/>
    <cellStyle name="SAPBEXaggDataEmph 2 2 2 7 2" xfId="30961" xr:uid="{CFA1E5DC-526D-478A-A81E-1E5BF619C9BB}"/>
    <cellStyle name="SAPBEXaggDataEmph 2 2 2 8" xfId="15754" xr:uid="{0E8F7138-193D-4B16-943C-A8B078759C66}"/>
    <cellStyle name="SAPBEXaggDataEmph 2 2 2 8 2" xfId="30962" xr:uid="{27A30564-58E3-4DC0-9661-C383ACE1C118}"/>
    <cellStyle name="SAPBEXaggDataEmph 2 2 2 9" xfId="15755" xr:uid="{2CFD0BD5-FC22-42F8-B69D-7F53560E17C8}"/>
    <cellStyle name="SAPBEXaggDataEmph 2 2 2 9 2" xfId="30963" xr:uid="{749314C0-AAE6-4903-A1AA-3A4C841DAFB0}"/>
    <cellStyle name="SAPBEXaggDataEmph 2 2 3" xfId="15756" xr:uid="{B3CE4763-2672-4CB5-94DA-D4DEA6A69806}"/>
    <cellStyle name="SAPBEXaggDataEmph 2 2 3 2" xfId="30964" xr:uid="{E07F6D9D-DA40-4636-8F3E-73684D168BC7}"/>
    <cellStyle name="SAPBEXaggDataEmph 2 2 4" xfId="15757" xr:uid="{749BF666-B156-4E8C-9CE2-884D632AB1D6}"/>
    <cellStyle name="SAPBEXaggDataEmph 2 2 4 2" xfId="30965" xr:uid="{CBD33593-2985-4408-8FEF-FCF8E66AA2B0}"/>
    <cellStyle name="SAPBEXaggDataEmph 2 2 5" xfId="15758" xr:uid="{90A1020D-D89F-4435-8D9A-224E18CBAB96}"/>
    <cellStyle name="SAPBEXaggDataEmph 2 2 5 2" xfId="30966" xr:uid="{E70D0ED1-930B-412B-B744-8479CA15BD1E}"/>
    <cellStyle name="SAPBEXaggDataEmph 2 2 6" xfId="15759" xr:uid="{C69941E3-A321-4645-878B-AB08493AF7B0}"/>
    <cellStyle name="SAPBEXaggDataEmph 2 2 6 2" xfId="30967" xr:uid="{F9C1BE64-9E22-4C17-B955-03B1AAEA8CF7}"/>
    <cellStyle name="SAPBEXaggDataEmph 2 2 7" xfId="15760" xr:uid="{0B1EE195-6CD9-483F-B615-FFF4CA7D47FA}"/>
    <cellStyle name="SAPBEXaggDataEmph 2 2 7 2" xfId="30968" xr:uid="{81B562FC-FB22-4379-8556-984CC7C57D3F}"/>
    <cellStyle name="SAPBEXaggDataEmph 2 2 8" xfId="15761" xr:uid="{A360C3EA-E0D3-4B78-BE42-12559AC0F993}"/>
    <cellStyle name="SAPBEXaggDataEmph 2 2 8 2" xfId="30969" xr:uid="{2B7419B3-BA98-4253-92D7-158C03057E79}"/>
    <cellStyle name="SAPBEXaggDataEmph 2 2 9" xfId="15762" xr:uid="{649B6866-3F8B-4FF9-8AED-9DF5EFC7B454}"/>
    <cellStyle name="SAPBEXaggDataEmph 2 2 9 2" xfId="30970" xr:uid="{B24857D9-04F0-4B29-8FC1-87CD76DC3250}"/>
    <cellStyle name="SAPBEXaggDataEmph 2 20" xfId="30929" xr:uid="{FE0A90EC-8535-4123-AB70-27845032C2A3}"/>
    <cellStyle name="SAPBEXaggDataEmph 2 3" xfId="15763" xr:uid="{73A1D4D9-C365-4CDB-863A-1BE73DF27A79}"/>
    <cellStyle name="SAPBEXaggDataEmph 2 3 10" xfId="15764" xr:uid="{E6634599-DC6B-4FE5-9FAA-F5C9E1907607}"/>
    <cellStyle name="SAPBEXaggDataEmph 2 3 10 2" xfId="30972" xr:uid="{65565CE6-6A50-42BC-9C1B-DCC3FB6711A7}"/>
    <cellStyle name="SAPBEXaggDataEmph 2 3 11" xfId="15765" xr:uid="{5B19C8E4-F8C4-4E95-AA1D-490C555AA6B8}"/>
    <cellStyle name="SAPBEXaggDataEmph 2 3 11 2" xfId="30973" xr:uid="{364AAC72-D0EB-453C-B32D-51816DB95E5F}"/>
    <cellStyle name="SAPBEXaggDataEmph 2 3 12" xfId="15766" xr:uid="{BC9753B8-BC8A-4E62-B74B-9730AF917ED4}"/>
    <cellStyle name="SAPBEXaggDataEmph 2 3 12 2" xfId="30974" xr:uid="{36661698-F75F-4D61-9B15-DCDB20E2B5C5}"/>
    <cellStyle name="SAPBEXaggDataEmph 2 3 13" xfId="15767" xr:uid="{B4D41BC7-C26F-4722-A393-8B4A0E3FAF50}"/>
    <cellStyle name="SAPBEXaggDataEmph 2 3 13 2" xfId="30975" xr:uid="{30FCBBEE-90A8-4503-9524-FC6482AF5A4D}"/>
    <cellStyle name="SAPBEXaggDataEmph 2 3 14" xfId="15768" xr:uid="{5C90FC48-C751-4DAE-B50F-4F8120E7C2CA}"/>
    <cellStyle name="SAPBEXaggDataEmph 2 3 14 2" xfId="30976" xr:uid="{DCA80AD0-4842-42D9-8266-EA049525601B}"/>
    <cellStyle name="SAPBEXaggDataEmph 2 3 15" xfId="30971" xr:uid="{B8AEBE5C-D344-4FBB-A7C2-E4FC171C40DC}"/>
    <cellStyle name="SAPBEXaggDataEmph 2 3 2" xfId="15769" xr:uid="{204C495C-4404-4785-8127-757FADB7B213}"/>
    <cellStyle name="SAPBEXaggDataEmph 2 3 2 2" xfId="30977" xr:uid="{2B6BA2D0-4952-47BC-A3E0-85C12295CF9F}"/>
    <cellStyle name="SAPBEXaggDataEmph 2 3 3" xfId="15770" xr:uid="{2E1E65CC-4A52-48F3-8D85-85C2CE73FFA6}"/>
    <cellStyle name="SAPBEXaggDataEmph 2 3 3 2" xfId="30978" xr:uid="{036F8242-C67E-4894-84D7-D7AD32306314}"/>
    <cellStyle name="SAPBEXaggDataEmph 2 3 4" xfId="15771" xr:uid="{F9887640-2CF2-4A74-B287-C297CA7EE16F}"/>
    <cellStyle name="SAPBEXaggDataEmph 2 3 4 2" xfId="30979" xr:uid="{155E16F3-7C52-4B2B-933E-BE4854CB2643}"/>
    <cellStyle name="SAPBEXaggDataEmph 2 3 5" xfId="15772" xr:uid="{A9FB58E5-C888-4F7D-A670-70B4F80D79C6}"/>
    <cellStyle name="SAPBEXaggDataEmph 2 3 5 2" xfId="30980" xr:uid="{0307DC1E-59DE-475C-8346-AE61C5E1883C}"/>
    <cellStyle name="SAPBEXaggDataEmph 2 3 6" xfId="15773" xr:uid="{12E22B47-2116-45F5-B728-B6CDD5EF5AEC}"/>
    <cellStyle name="SAPBEXaggDataEmph 2 3 6 2" xfId="30981" xr:uid="{0EC12EB5-3A1F-43FC-8EAE-C31BC8C5AB02}"/>
    <cellStyle name="SAPBEXaggDataEmph 2 3 7" xfId="15774" xr:uid="{08167F7F-2E04-48B6-A398-61DED29B9D48}"/>
    <cellStyle name="SAPBEXaggDataEmph 2 3 7 2" xfId="30982" xr:uid="{81F2A71C-C0EE-4097-A988-B0CEE530E8BB}"/>
    <cellStyle name="SAPBEXaggDataEmph 2 3 8" xfId="15775" xr:uid="{12EEE387-9305-427D-ADF3-458264E075F6}"/>
    <cellStyle name="SAPBEXaggDataEmph 2 3 8 2" xfId="30983" xr:uid="{0B1E3995-5A04-4CAA-B197-FA84EAEB83C3}"/>
    <cellStyle name="SAPBEXaggDataEmph 2 3 9" xfId="15776" xr:uid="{F297F110-DC3E-435B-9E16-69231B26C818}"/>
    <cellStyle name="SAPBEXaggDataEmph 2 3 9 2" xfId="30984" xr:uid="{89730352-E8E1-4F2F-8D4E-206FBF77FEF0}"/>
    <cellStyle name="SAPBEXaggDataEmph 2 4" xfId="15777" xr:uid="{41ACFC4F-258C-466D-948D-86496C50C246}"/>
    <cellStyle name="SAPBEXaggDataEmph 2 4 2" xfId="30985" xr:uid="{82D85477-6AD1-47BA-95A2-A38F33D28C57}"/>
    <cellStyle name="SAPBEXaggDataEmph 2 5" xfId="15778" xr:uid="{FD1C0A06-9BB3-41E7-BDC4-A9391416E613}"/>
    <cellStyle name="SAPBEXaggDataEmph 2 5 2" xfId="30986" xr:uid="{1D70DAA9-C4D9-4665-987C-1F8D0EDE8C7E}"/>
    <cellStyle name="SAPBEXaggDataEmph 2 6" xfId="15779" xr:uid="{1AC21D0E-FDFA-4313-999A-91FDCB1749C1}"/>
    <cellStyle name="SAPBEXaggDataEmph 2 6 2" xfId="30987" xr:uid="{7752630A-6B5A-4BB5-B10C-3B968F528679}"/>
    <cellStyle name="SAPBEXaggDataEmph 2 7" xfId="15780" xr:uid="{048F8506-33C7-45B7-BF02-0A28B341B279}"/>
    <cellStyle name="SAPBEXaggDataEmph 2 7 2" xfId="30988" xr:uid="{64130AAC-DFB5-40DC-9311-ACA9142FFE02}"/>
    <cellStyle name="SAPBEXaggDataEmph 2 8" xfId="15781" xr:uid="{8EB0E831-BF74-4E52-AA5A-1E7E8AD6E13D}"/>
    <cellStyle name="SAPBEXaggDataEmph 2 8 2" xfId="30989" xr:uid="{4A574998-CDFC-497D-8937-9E34D8E77A01}"/>
    <cellStyle name="SAPBEXaggDataEmph 2 9" xfId="15782" xr:uid="{98A9D2C6-8743-4FB9-BA97-AAECB25E6231}"/>
    <cellStyle name="SAPBEXaggDataEmph 2 9 2" xfId="30990" xr:uid="{0AF032C2-C62F-43C8-B2CA-991A649F47DB}"/>
    <cellStyle name="SAPBEXaggDataEmph 20" xfId="15783" xr:uid="{4E373136-D90A-4E59-A48C-966614330A46}"/>
    <cellStyle name="SAPBEXaggDataEmph 20 2" xfId="30991" xr:uid="{BF41AA4E-A168-46D7-AB99-AE5026041FD2}"/>
    <cellStyle name="SAPBEXaggDataEmph 21" xfId="15784" xr:uid="{99AC064E-BE0D-4A7F-A2FA-A27465BECB5D}"/>
    <cellStyle name="SAPBEXaggDataEmph 21 2" xfId="30992" xr:uid="{A2C2DEEB-D18C-4239-99A9-6CCBCF762A2A}"/>
    <cellStyle name="SAPBEXaggDataEmph 3" xfId="15785" xr:uid="{6B727722-AD0F-452B-B2E2-CC050DD2CFFD}"/>
    <cellStyle name="SAPBEXaggDataEmph 3 2" xfId="15786" xr:uid="{7D1034A0-32AD-4D8B-9E93-480B9C270C38}"/>
    <cellStyle name="SAPBEXaggDataEmph 3 2 10" xfId="15787" xr:uid="{95239B68-63C5-4886-8C99-946141061A74}"/>
    <cellStyle name="SAPBEXaggDataEmph 3 2 10 2" xfId="30995" xr:uid="{F77510B5-335C-41B7-8219-0A83A04F64ED}"/>
    <cellStyle name="SAPBEXaggDataEmph 3 2 11" xfId="15788" xr:uid="{8E6E3BCB-133B-44B1-8307-C797FFBCB42D}"/>
    <cellStyle name="SAPBEXaggDataEmph 3 2 11 2" xfId="30996" xr:uid="{A2B651C5-5EAC-4D7E-9972-9B7C4145DE81}"/>
    <cellStyle name="SAPBEXaggDataEmph 3 2 12" xfId="15789" xr:uid="{C6973EC0-2EB4-45D0-BA20-79A202FEDEF9}"/>
    <cellStyle name="SAPBEXaggDataEmph 3 2 12 2" xfId="30997" xr:uid="{BCD78D1B-CAFE-40C3-97F9-AA69FCBE544D}"/>
    <cellStyle name="SAPBEXaggDataEmph 3 2 13" xfId="15790" xr:uid="{83D8D067-19C4-495D-82C4-F118D7360D11}"/>
    <cellStyle name="SAPBEXaggDataEmph 3 2 13 2" xfId="30998" xr:uid="{DCAAAAA0-1098-4E10-86CF-6FEDB9F04789}"/>
    <cellStyle name="SAPBEXaggDataEmph 3 2 14" xfId="15791" xr:uid="{C4574A52-78E9-4255-B34B-8ED00F536C75}"/>
    <cellStyle name="SAPBEXaggDataEmph 3 2 14 2" xfId="30999" xr:uid="{E9EBAFC1-D5D5-4D2A-9071-CA2D8F3AE1CF}"/>
    <cellStyle name="SAPBEXaggDataEmph 3 2 15" xfId="30994" xr:uid="{A68710B6-7FB3-4ADC-BEE2-03FD5A9C2512}"/>
    <cellStyle name="SAPBEXaggDataEmph 3 2 2" xfId="15792" xr:uid="{2F7DB9CA-B1DA-40D4-ABF6-9AE0E4AAA03F}"/>
    <cellStyle name="SAPBEXaggDataEmph 3 2 2 2" xfId="31000" xr:uid="{014760AB-4A2C-442B-8C73-EE4A3D56F8A0}"/>
    <cellStyle name="SAPBEXaggDataEmph 3 2 3" xfId="15793" xr:uid="{519B1C32-DE54-426A-879F-AF34EA4D649A}"/>
    <cellStyle name="SAPBEXaggDataEmph 3 2 3 2" xfId="31001" xr:uid="{FE4B02C9-8C4A-44DA-916B-07089E5B85B1}"/>
    <cellStyle name="SAPBEXaggDataEmph 3 2 4" xfId="15794" xr:uid="{E161F9A0-7866-43F2-B054-0E83F899C45C}"/>
    <cellStyle name="SAPBEXaggDataEmph 3 2 4 2" xfId="31002" xr:uid="{1FC9B8E8-E828-4705-8818-EE27B1657F26}"/>
    <cellStyle name="SAPBEXaggDataEmph 3 2 5" xfId="15795" xr:uid="{06889809-138E-4C71-A73D-043BB041B630}"/>
    <cellStyle name="SAPBEXaggDataEmph 3 2 5 2" xfId="31003" xr:uid="{A0564731-AFF6-463B-B5E1-D729FD8A6931}"/>
    <cellStyle name="SAPBEXaggDataEmph 3 2 6" xfId="15796" xr:uid="{D72D925B-BBAB-40B0-9FF9-8729B1C8EB99}"/>
    <cellStyle name="SAPBEXaggDataEmph 3 2 6 2" xfId="31004" xr:uid="{3B6F58A1-E8C2-4A6D-9C7F-0B589E32DC49}"/>
    <cellStyle name="SAPBEXaggDataEmph 3 2 7" xfId="15797" xr:uid="{01D681BA-E397-44CE-B7B5-33E0A4110CC1}"/>
    <cellStyle name="SAPBEXaggDataEmph 3 2 7 2" xfId="31005" xr:uid="{7E93451F-EEBC-4118-BC92-2AA2281581C8}"/>
    <cellStyle name="SAPBEXaggDataEmph 3 2 8" xfId="15798" xr:uid="{84F9AF0D-A0E7-4C2B-A0C1-FF91614C35AB}"/>
    <cellStyle name="SAPBEXaggDataEmph 3 2 8 2" xfId="31006" xr:uid="{43EFE079-5BCB-469B-B052-8CE71BF8F8AA}"/>
    <cellStyle name="SAPBEXaggDataEmph 3 2 9" xfId="15799" xr:uid="{A6C788FC-6035-47CD-A737-D80A084CFAB2}"/>
    <cellStyle name="SAPBEXaggDataEmph 3 2 9 2" xfId="31007" xr:uid="{85745C9B-C0EF-44BD-82CF-1CAD17A85003}"/>
    <cellStyle name="SAPBEXaggDataEmph 3 3" xfId="15800" xr:uid="{0CB5ABFB-84CB-4642-821A-5764C77811F7}"/>
    <cellStyle name="SAPBEXaggDataEmph 3 4" xfId="30993" xr:uid="{655046D7-EB6B-4ACC-B9D4-6B794920CD7C}"/>
    <cellStyle name="SAPBEXaggDataEmph 4" xfId="15801" xr:uid="{7F859797-403A-4A25-8049-B60A5F4EEE95}"/>
    <cellStyle name="SAPBEXaggDataEmph 5" xfId="15802" xr:uid="{C04D3ACC-4287-4801-89BD-E57265130D4B}"/>
    <cellStyle name="SAPBEXaggDataEmph 5 10" xfId="15803" xr:uid="{18F0CD5B-1870-4E43-8A46-38BF337D18F2}"/>
    <cellStyle name="SAPBEXaggDataEmph 5 10 2" xfId="31009" xr:uid="{568C81D5-85ED-437A-9836-60AB4000934E}"/>
    <cellStyle name="SAPBEXaggDataEmph 5 11" xfId="15804" xr:uid="{78B0501D-2E34-443F-8749-E46AB42B3E72}"/>
    <cellStyle name="SAPBEXaggDataEmph 5 11 2" xfId="31010" xr:uid="{EFCD1DCE-AE2F-4950-B30B-6FFE8916E4AB}"/>
    <cellStyle name="SAPBEXaggDataEmph 5 12" xfId="15805" xr:uid="{3B7FD380-4D23-4D54-9819-6353B88816E8}"/>
    <cellStyle name="SAPBEXaggDataEmph 5 12 2" xfId="31011" xr:uid="{B1A1570A-832B-4B8B-B599-59AE439BEFDB}"/>
    <cellStyle name="SAPBEXaggDataEmph 5 13" xfId="15806" xr:uid="{CEF36BA0-9DE2-4470-9AFA-B9D6B4E8A866}"/>
    <cellStyle name="SAPBEXaggDataEmph 5 13 2" xfId="31012" xr:uid="{5967301A-F5EF-4CEA-B508-4588201D3D2E}"/>
    <cellStyle name="SAPBEXaggDataEmph 5 14" xfId="15807" xr:uid="{18F83F2B-EA54-4D51-9693-7FEF37655736}"/>
    <cellStyle name="SAPBEXaggDataEmph 5 14 2" xfId="31013" xr:uid="{3A7B3267-892A-4441-A5B8-98E907A3E2D6}"/>
    <cellStyle name="SAPBEXaggDataEmph 5 15" xfId="31008" xr:uid="{D6AA0DDB-B84B-46AA-8390-087C8750B165}"/>
    <cellStyle name="SAPBEXaggDataEmph 5 2" xfId="15808" xr:uid="{07CF5DFC-3E7A-4F77-840B-575B8A6BE465}"/>
    <cellStyle name="SAPBEXaggDataEmph 5 2 2" xfId="31014" xr:uid="{10ED0F6C-68FE-48B5-B0B8-B3515637F9A0}"/>
    <cellStyle name="SAPBEXaggDataEmph 5 3" xfId="15809" xr:uid="{6B503DAF-B8F4-4FDC-BDB1-36E3172C588A}"/>
    <cellStyle name="SAPBEXaggDataEmph 5 3 2" xfId="31015" xr:uid="{581E4589-6C85-4BA8-BDD3-2E6EFEC24C1A}"/>
    <cellStyle name="SAPBEXaggDataEmph 5 4" xfId="15810" xr:uid="{1D88FEDE-0876-4C7C-9F3E-E81CC47B3478}"/>
    <cellStyle name="SAPBEXaggDataEmph 5 4 2" xfId="31016" xr:uid="{0600ABEF-CC07-4A9D-9B95-6F3C50F24034}"/>
    <cellStyle name="SAPBEXaggDataEmph 5 5" xfId="15811" xr:uid="{774EF9B6-1932-484D-B739-560045CFC825}"/>
    <cellStyle name="SAPBEXaggDataEmph 5 5 2" xfId="31017" xr:uid="{D4DFE9AA-C73A-48BD-80EA-647206743E38}"/>
    <cellStyle name="SAPBEXaggDataEmph 5 6" xfId="15812" xr:uid="{00D2CABB-20D4-4A66-82BF-0E1CB477D48B}"/>
    <cellStyle name="SAPBEXaggDataEmph 5 6 2" xfId="31018" xr:uid="{FF2564F6-54FC-4221-B7AB-5B1FE69A40DD}"/>
    <cellStyle name="SAPBEXaggDataEmph 5 7" xfId="15813" xr:uid="{5C98A44E-D6A2-45CD-9066-3D35DBACC2E9}"/>
    <cellStyle name="SAPBEXaggDataEmph 5 7 2" xfId="31019" xr:uid="{7B61AE23-3ADB-417E-9FD6-18E1E58474F2}"/>
    <cellStyle name="SAPBEXaggDataEmph 5 8" xfId="15814" xr:uid="{05C92F15-76E9-46B4-9AAE-40FB6BC05A77}"/>
    <cellStyle name="SAPBEXaggDataEmph 5 8 2" xfId="31020" xr:uid="{045A1728-E85C-43A6-B57D-1A470412EB2C}"/>
    <cellStyle name="SAPBEXaggDataEmph 5 9" xfId="15815" xr:uid="{375D7409-8E4E-4EED-BCDD-3083FD78FB01}"/>
    <cellStyle name="SAPBEXaggDataEmph 5 9 2" xfId="31021" xr:uid="{7359F197-8E28-4B5F-99FF-F55119268443}"/>
    <cellStyle name="SAPBEXaggDataEmph 6" xfId="15816" xr:uid="{305FAA2F-E622-45D0-A3DE-7D2E6E90A3C1}"/>
    <cellStyle name="SAPBEXaggDataEmph 6 2" xfId="31022" xr:uid="{245546F0-BC37-4F29-8977-AE41667FBDB3}"/>
    <cellStyle name="SAPBEXaggDataEmph 7" xfId="15817" xr:uid="{1F97BD8B-610A-447A-8E2B-58C5E109C03E}"/>
    <cellStyle name="SAPBEXaggDataEmph 7 2" xfId="31023" xr:uid="{1136ACB7-52EB-4967-9E0D-FE8FB35E270D}"/>
    <cellStyle name="SAPBEXaggDataEmph 8" xfId="15818" xr:uid="{0DEF0DEC-7018-487E-BD52-A6B35A2DD9FD}"/>
    <cellStyle name="SAPBEXaggDataEmph 8 2" xfId="31024" xr:uid="{F2F88C44-8780-4104-A41D-F8ADBB26D811}"/>
    <cellStyle name="SAPBEXaggDataEmph 9" xfId="15819" xr:uid="{1F7EC777-4654-4C89-AD28-0FC13A480C32}"/>
    <cellStyle name="SAPBEXaggDataEmph 9 2" xfId="31025" xr:uid="{A4D3C6A3-9722-43A9-AE83-10B73BDD1336}"/>
    <cellStyle name="SAPBEXaggItem" xfId="15820" xr:uid="{FD6C52DA-AD49-4B8B-8FC3-FE0ACEFDE9C1}"/>
    <cellStyle name="SAPBEXaggItem 10" xfId="15821" xr:uid="{2BD051AB-6BFC-4BA4-B1F7-F5C79A35BE53}"/>
    <cellStyle name="SAPBEXaggItem 10 2" xfId="31026" xr:uid="{CFAFADA9-2D54-450C-8FD6-6D517A4A3F00}"/>
    <cellStyle name="SAPBEXaggItem 11" xfId="15822" xr:uid="{984E3992-6F97-4D14-A730-0C90FC0A7CA2}"/>
    <cellStyle name="SAPBEXaggItem 11 2" xfId="31027" xr:uid="{DCB0B83A-02BF-4BC6-A2CE-1573B07A36BD}"/>
    <cellStyle name="SAPBEXaggItem 12" xfId="15823" xr:uid="{6AA69B6F-AAD8-437C-BEBC-CB02035F05E2}"/>
    <cellStyle name="SAPBEXaggItem 12 2" xfId="31028" xr:uid="{7160ED04-BBD7-4D17-9B2E-074AB84A8FBF}"/>
    <cellStyle name="SAPBEXaggItem 13" xfId="15824" xr:uid="{C62DB572-6AFD-420C-9310-105FC04A3FA1}"/>
    <cellStyle name="SAPBEXaggItem 13 2" xfId="31029" xr:uid="{F2AC85DF-D61B-440A-9F15-00320F5AED07}"/>
    <cellStyle name="SAPBEXaggItem 14" xfId="15825" xr:uid="{EE9440FD-EADE-41C1-90DB-99EAFD59EB25}"/>
    <cellStyle name="SAPBEXaggItem 14 2" xfId="31030" xr:uid="{93AF13EE-CD3A-4A70-A27D-0DD8F584BDD1}"/>
    <cellStyle name="SAPBEXaggItem 15" xfId="15826" xr:uid="{8A239602-68DA-4BDD-A53F-78C419D28902}"/>
    <cellStyle name="SAPBEXaggItem 15 2" xfId="31031" xr:uid="{86055A14-4C43-4742-9820-E4D9F26C9BD0}"/>
    <cellStyle name="SAPBEXaggItem 16" xfId="15827" xr:uid="{0ABC988D-49FB-424B-BA97-D398F588BC96}"/>
    <cellStyle name="SAPBEXaggItem 16 2" xfId="31032" xr:uid="{D0ECA594-40E5-4CD3-965D-7DB8EA1033C1}"/>
    <cellStyle name="SAPBEXaggItem 17" xfId="15828" xr:uid="{3D7C7BBE-3E84-44E9-AC3E-CEF75A01FB35}"/>
    <cellStyle name="SAPBEXaggItem 17 2" xfId="31033" xr:uid="{72B03259-FDD0-42AF-A26C-DD82988773A1}"/>
    <cellStyle name="SAPBEXaggItem 18" xfId="15829" xr:uid="{F09746FA-427E-4A09-9E82-E2B43E700C91}"/>
    <cellStyle name="SAPBEXaggItem 18 2" xfId="31034" xr:uid="{4BDF69A9-1949-4DEE-8DC0-71715357BC1F}"/>
    <cellStyle name="SAPBEXaggItem 19" xfId="15830" xr:uid="{D6D24D24-E663-47A9-AA57-14C2A47E4F01}"/>
    <cellStyle name="SAPBEXaggItem 19 2" xfId="31035" xr:uid="{95708954-AA2B-4472-B2BF-1C57202A535D}"/>
    <cellStyle name="SAPBEXaggItem 2" xfId="15831" xr:uid="{64E85B00-25E8-41F5-A987-88A5747CB5DF}"/>
    <cellStyle name="SAPBEXaggItem 2 10" xfId="15832" xr:uid="{F81B8BE5-1F1D-4BC3-AF0F-3A4D02E2290A}"/>
    <cellStyle name="SAPBEXaggItem 2 10 2" xfId="31037" xr:uid="{91A30176-5CBA-4611-A272-54895EB71C5A}"/>
    <cellStyle name="SAPBEXaggItem 2 11" xfId="15833" xr:uid="{9E0A55E5-C6CC-450C-8C7F-C204F2269B42}"/>
    <cellStyle name="SAPBEXaggItem 2 11 2" xfId="31038" xr:uid="{CC3FA81B-FDFF-46A6-9CC7-531DF14ABADF}"/>
    <cellStyle name="SAPBEXaggItem 2 12" xfId="15834" xr:uid="{E7188F15-78A5-46BE-B298-5B3687CC2D87}"/>
    <cellStyle name="SAPBEXaggItem 2 12 2" xfId="31039" xr:uid="{80507FD0-11BF-44AB-ADDB-4EC342B0FD58}"/>
    <cellStyle name="SAPBEXaggItem 2 13" xfId="15835" xr:uid="{4D5BFC55-E233-4150-B1F5-3789B36FFCE6}"/>
    <cellStyle name="SAPBEXaggItem 2 13 2" xfId="31040" xr:uid="{9BFA88E2-F7EC-4505-9D60-D8324C5F6536}"/>
    <cellStyle name="SAPBEXaggItem 2 14" xfId="15836" xr:uid="{E9314C7D-B81D-45BE-A912-75596A1BA46E}"/>
    <cellStyle name="SAPBEXaggItem 2 14 2" xfId="31041" xr:uid="{36CA53A1-8431-482D-86B7-1EB79D77CD66}"/>
    <cellStyle name="SAPBEXaggItem 2 15" xfId="15837" xr:uid="{46A55DB7-4108-4568-ADB8-077F6471BEC3}"/>
    <cellStyle name="SAPBEXaggItem 2 15 2" xfId="31042" xr:uid="{0FE11344-F557-4EF3-ADB0-27D9717E91D8}"/>
    <cellStyle name="SAPBEXaggItem 2 16" xfId="15838" xr:uid="{F65BA762-AD35-46CD-96C5-797178AE01A7}"/>
    <cellStyle name="SAPBEXaggItem 2 16 2" xfId="31043" xr:uid="{5278F8C2-54B0-43B4-BB44-31C0F213171D}"/>
    <cellStyle name="SAPBEXaggItem 2 17" xfId="15839" xr:uid="{FC631297-8FA7-43C6-A8DA-019C62743FAB}"/>
    <cellStyle name="SAPBEXaggItem 2 17 2" xfId="31044" xr:uid="{95DF239D-5DAE-48A3-8B1E-1D3E8D648A59}"/>
    <cellStyle name="SAPBEXaggItem 2 18" xfId="15840" xr:uid="{5583EF64-88A2-453A-A8A3-4675863EB766}"/>
    <cellStyle name="SAPBEXaggItem 2 18 2" xfId="31045" xr:uid="{254EC98C-6681-4074-9240-9BF8E36653F2}"/>
    <cellStyle name="SAPBEXaggItem 2 19" xfId="15841" xr:uid="{F1984687-722A-4D06-AAF0-43506E7E0153}"/>
    <cellStyle name="SAPBEXaggItem 2 19 2" xfId="31046" xr:uid="{8A7F1C92-41FB-469C-931E-225C826254DB}"/>
    <cellStyle name="SAPBEXaggItem 2 2" xfId="15842" xr:uid="{2EA82FC6-0A2B-41E6-9E92-AC617BCD25BF}"/>
    <cellStyle name="SAPBEXaggItem 2 2 10" xfId="15843" xr:uid="{018E293E-3E6D-4C23-A340-7DDEBA639F5A}"/>
    <cellStyle name="SAPBEXaggItem 2 2 10 2" xfId="31048" xr:uid="{470C2EA1-33F8-44FD-A0C7-A4C269D2C8AC}"/>
    <cellStyle name="SAPBEXaggItem 2 2 11" xfId="15844" xr:uid="{D9113163-4338-4B0E-9153-1989060E81FD}"/>
    <cellStyle name="SAPBEXaggItem 2 2 11 2" xfId="31049" xr:uid="{C57014D0-78FC-407F-A33D-2F283B4093C5}"/>
    <cellStyle name="SAPBEXaggItem 2 2 12" xfId="15845" xr:uid="{71055C8E-758D-4847-A3BC-AA431510502F}"/>
    <cellStyle name="SAPBEXaggItem 2 2 12 2" xfId="31050" xr:uid="{C0173CAD-DE66-46E3-A489-2F3D921E0B4B}"/>
    <cellStyle name="SAPBEXaggItem 2 2 13" xfId="15846" xr:uid="{7932CF29-667F-40A6-94A4-1BCE27877D01}"/>
    <cellStyle name="SAPBEXaggItem 2 2 13 2" xfId="31051" xr:uid="{76903A3B-EE69-4462-813F-F15B2F6BA5B0}"/>
    <cellStyle name="SAPBEXaggItem 2 2 14" xfId="15847" xr:uid="{7A45CB84-3E64-4045-8048-6F58CB20035A}"/>
    <cellStyle name="SAPBEXaggItem 2 2 14 2" xfId="31052" xr:uid="{E598811A-DF97-40ED-B5AF-F0B73EBA940D}"/>
    <cellStyle name="SAPBEXaggItem 2 2 15" xfId="15848" xr:uid="{3EBA658E-2BDD-45B8-AD59-A941CA06EEF0}"/>
    <cellStyle name="SAPBEXaggItem 2 2 15 2" xfId="31053" xr:uid="{EAEECBCB-C4B2-4F56-8031-FE74E0A6C245}"/>
    <cellStyle name="SAPBEXaggItem 2 2 16" xfId="15849" xr:uid="{15E30572-7F45-4E45-AB1C-502873113D55}"/>
    <cellStyle name="SAPBEXaggItem 2 2 16 2" xfId="31054" xr:uid="{94CEB1E0-0616-4F06-AD4C-F03B7FAAAB97}"/>
    <cellStyle name="SAPBEXaggItem 2 2 17" xfId="15850" xr:uid="{92E0144B-6959-42E8-8DE9-616F920D93CB}"/>
    <cellStyle name="SAPBEXaggItem 2 2 17 2" xfId="31055" xr:uid="{B08EB4AD-B477-4AC0-B6E5-D26A89220CBD}"/>
    <cellStyle name="SAPBEXaggItem 2 2 18" xfId="15851" xr:uid="{267CE1FC-FAD5-4F7E-A29F-2F20B585F955}"/>
    <cellStyle name="SAPBEXaggItem 2 2 18 2" xfId="31056" xr:uid="{206BBE48-7EA7-4767-80FE-82363999F82D}"/>
    <cellStyle name="SAPBEXaggItem 2 2 19" xfId="31047" xr:uid="{3E3E3323-46D9-4C19-8897-158FBCD35956}"/>
    <cellStyle name="SAPBEXaggItem 2 2 2" xfId="15852" xr:uid="{7DE4F3EC-2193-4841-992C-CB0AB72F5982}"/>
    <cellStyle name="SAPBEXaggItem 2 2 2 10" xfId="15853" xr:uid="{90B12992-2B0F-4864-8EF4-6E8C18DCCC25}"/>
    <cellStyle name="SAPBEXaggItem 2 2 2 10 2" xfId="31058" xr:uid="{F5539E5B-07DB-45A2-887D-D2366062A4DF}"/>
    <cellStyle name="SAPBEXaggItem 2 2 2 11" xfId="15854" xr:uid="{1574481A-EDB0-49DA-AB45-08777E70EC75}"/>
    <cellStyle name="SAPBEXaggItem 2 2 2 11 2" xfId="31059" xr:uid="{958D6568-283A-451B-9BC6-E924E540931D}"/>
    <cellStyle name="SAPBEXaggItem 2 2 2 12" xfId="15855" xr:uid="{AA9C3C12-1AD7-4BB1-B7CF-BC846C018BF3}"/>
    <cellStyle name="SAPBEXaggItem 2 2 2 12 2" xfId="31060" xr:uid="{05FE43E1-1C4A-4940-AAB7-D8837DD64C55}"/>
    <cellStyle name="SAPBEXaggItem 2 2 2 13" xfId="15856" xr:uid="{617668C6-D7B1-412B-A3B9-756A2C17D186}"/>
    <cellStyle name="SAPBEXaggItem 2 2 2 13 2" xfId="31061" xr:uid="{9B8F0448-E2D9-4B0D-9024-48B4FCE1A8E5}"/>
    <cellStyle name="SAPBEXaggItem 2 2 2 14" xfId="15857" xr:uid="{40A71670-E538-492C-B56C-0E8465CA777C}"/>
    <cellStyle name="SAPBEXaggItem 2 2 2 14 2" xfId="31062" xr:uid="{68ECE3CC-E086-4DC2-84A1-911CB5F4D7C8}"/>
    <cellStyle name="SAPBEXaggItem 2 2 2 15" xfId="31057" xr:uid="{32CE7922-A188-4063-9D19-3DFB1885A6F9}"/>
    <cellStyle name="SAPBEXaggItem 2 2 2 2" xfId="15858" xr:uid="{BD4D3D6F-D2E7-4FDC-90E0-F284EB07673D}"/>
    <cellStyle name="SAPBEXaggItem 2 2 2 2 2" xfId="31063" xr:uid="{637CFE8C-55DB-4502-A06D-81BE036CCA08}"/>
    <cellStyle name="SAPBEXaggItem 2 2 2 3" xfId="15859" xr:uid="{8C40A2B0-CDB8-486A-8385-30BF91C3F6B7}"/>
    <cellStyle name="SAPBEXaggItem 2 2 2 3 2" xfId="31064" xr:uid="{2AE99422-19EC-4D93-B340-F0D9AFF4CE03}"/>
    <cellStyle name="SAPBEXaggItem 2 2 2 4" xfId="15860" xr:uid="{96920B03-7780-4A25-BB61-81736F8241A9}"/>
    <cellStyle name="SAPBEXaggItem 2 2 2 4 2" xfId="31065" xr:uid="{27201D07-0AC3-4217-8374-E4502DDE71B2}"/>
    <cellStyle name="SAPBEXaggItem 2 2 2 5" xfId="15861" xr:uid="{13B1831A-5B97-4912-B8CF-A5F7F171D45F}"/>
    <cellStyle name="SAPBEXaggItem 2 2 2 5 2" xfId="31066" xr:uid="{0AB1BB6E-612C-4D0D-A91B-60EADDFC3D8F}"/>
    <cellStyle name="SAPBEXaggItem 2 2 2 6" xfId="15862" xr:uid="{32F0A902-08D1-4318-9160-662ADBDDBB65}"/>
    <cellStyle name="SAPBEXaggItem 2 2 2 6 2" xfId="31067" xr:uid="{6212706A-1175-4EC8-BBE4-27D80073F43C}"/>
    <cellStyle name="SAPBEXaggItem 2 2 2 7" xfId="15863" xr:uid="{581A2745-EE58-48FD-B064-F59D3DD917E1}"/>
    <cellStyle name="SAPBEXaggItem 2 2 2 7 2" xfId="31068" xr:uid="{06C749E2-92A3-408C-99FF-4CA0245A4121}"/>
    <cellStyle name="SAPBEXaggItem 2 2 2 8" xfId="15864" xr:uid="{94FBAE8B-142E-4C71-82A4-B891119270C4}"/>
    <cellStyle name="SAPBEXaggItem 2 2 2 8 2" xfId="31069" xr:uid="{BDC705B4-9DD4-4BD0-8B74-17374077524B}"/>
    <cellStyle name="SAPBEXaggItem 2 2 2 9" xfId="15865" xr:uid="{D4532221-70A9-4C17-AF67-0000D4A0FA88}"/>
    <cellStyle name="SAPBEXaggItem 2 2 2 9 2" xfId="31070" xr:uid="{680E4CFD-7E26-449F-A812-8B2AB3D17478}"/>
    <cellStyle name="SAPBEXaggItem 2 2 3" xfId="15866" xr:uid="{1E57BCE0-ED3D-4CE1-8DA7-E7744B225694}"/>
    <cellStyle name="SAPBEXaggItem 2 2 3 2" xfId="31071" xr:uid="{6251A1E9-05A1-4924-BDA0-E39D3DCACEFE}"/>
    <cellStyle name="SAPBEXaggItem 2 2 4" xfId="15867" xr:uid="{B46A5069-66E3-458A-80EB-30F6C7F23CCF}"/>
    <cellStyle name="SAPBEXaggItem 2 2 4 2" xfId="31072" xr:uid="{274F691E-3DEE-46E6-A971-9B32EE2F1234}"/>
    <cellStyle name="SAPBEXaggItem 2 2 5" xfId="15868" xr:uid="{C8A1BE9E-572B-46AC-8782-64BD1CDA8400}"/>
    <cellStyle name="SAPBEXaggItem 2 2 5 2" xfId="31073" xr:uid="{6A4C100F-7700-4811-8C2D-3C1BC1829D7C}"/>
    <cellStyle name="SAPBEXaggItem 2 2 6" xfId="15869" xr:uid="{11BB64B4-3E5B-4E34-802F-61372D7DB942}"/>
    <cellStyle name="SAPBEXaggItem 2 2 6 2" xfId="31074" xr:uid="{651AC755-452A-412F-AB06-5D031C01046C}"/>
    <cellStyle name="SAPBEXaggItem 2 2 7" xfId="15870" xr:uid="{74C1D6A3-A357-410C-B7AF-00A20359486A}"/>
    <cellStyle name="SAPBEXaggItem 2 2 7 2" xfId="31075" xr:uid="{E0587C31-89C8-449F-B3B9-C753AA45A1A7}"/>
    <cellStyle name="SAPBEXaggItem 2 2 8" xfId="15871" xr:uid="{EE5D4E0B-BD03-4EAA-821D-185D37870A11}"/>
    <cellStyle name="SAPBEXaggItem 2 2 8 2" xfId="31076" xr:uid="{4042AE3E-44B4-419D-99A4-0FA024A55E8C}"/>
    <cellStyle name="SAPBEXaggItem 2 2 9" xfId="15872" xr:uid="{B65567FD-E45B-4893-96E3-161E759C5525}"/>
    <cellStyle name="SAPBEXaggItem 2 2 9 2" xfId="31077" xr:uid="{3F8279D9-27BF-4DD0-AA98-D0CBFF1900E8}"/>
    <cellStyle name="SAPBEXaggItem 2 20" xfId="31036" xr:uid="{0672ADF1-2E18-4E12-8062-B0310108456D}"/>
    <cellStyle name="SAPBEXaggItem 2 3" xfId="15873" xr:uid="{0DC7A28C-58A8-495F-9204-B1626C08C702}"/>
    <cellStyle name="SAPBEXaggItem 2 3 10" xfId="15874" xr:uid="{7B1F2DAC-6EB2-4025-82CD-83BD232E6EEA}"/>
    <cellStyle name="SAPBEXaggItem 2 3 10 2" xfId="31079" xr:uid="{FF886982-610D-4F6B-AC43-271051416CF5}"/>
    <cellStyle name="SAPBEXaggItem 2 3 11" xfId="15875" xr:uid="{F176D4D5-93CD-4FBB-8E7B-3F074E9654A7}"/>
    <cellStyle name="SAPBEXaggItem 2 3 11 2" xfId="31080" xr:uid="{8E3C3361-9C1F-49B8-A97F-77B80131BBA0}"/>
    <cellStyle name="SAPBEXaggItem 2 3 12" xfId="15876" xr:uid="{A0142CCF-4875-4A69-9780-44B51987A9EA}"/>
    <cellStyle name="SAPBEXaggItem 2 3 12 2" xfId="31081" xr:uid="{E9303C13-A0C8-413F-9FC2-69CB342BF785}"/>
    <cellStyle name="SAPBEXaggItem 2 3 13" xfId="15877" xr:uid="{242FAD29-0253-451D-8CD0-C5429EF4DAB0}"/>
    <cellStyle name="SAPBEXaggItem 2 3 13 2" xfId="31082" xr:uid="{56805334-9EC6-4FC7-9DED-C3F47F7CAD65}"/>
    <cellStyle name="SAPBEXaggItem 2 3 14" xfId="15878" xr:uid="{BB730759-06A7-4A6B-9A51-75EEEEE53485}"/>
    <cellStyle name="SAPBEXaggItem 2 3 14 2" xfId="31083" xr:uid="{9CDD0E05-5961-498E-9972-346DB01822DF}"/>
    <cellStyle name="SAPBEXaggItem 2 3 15" xfId="31078" xr:uid="{EA6065A5-2B17-4DBA-B1F1-9FCF38A33E4E}"/>
    <cellStyle name="SAPBEXaggItem 2 3 2" xfId="15879" xr:uid="{17CB2C00-3CBE-4146-956C-06391A3138CB}"/>
    <cellStyle name="SAPBEXaggItem 2 3 2 2" xfId="31084" xr:uid="{E122B1F5-6D30-424C-8D54-23BF55105D60}"/>
    <cellStyle name="SAPBEXaggItem 2 3 3" xfId="15880" xr:uid="{DF2FF5AD-D3DB-469E-A47D-DA1655199548}"/>
    <cellStyle name="SAPBEXaggItem 2 3 3 2" xfId="31085" xr:uid="{529E8F2E-6454-49B2-9B7A-E6C8770EB53A}"/>
    <cellStyle name="SAPBEXaggItem 2 3 4" xfId="15881" xr:uid="{8CF0FEE9-05A5-42AA-B1F2-792BE36D502A}"/>
    <cellStyle name="SAPBEXaggItem 2 3 4 2" xfId="31086" xr:uid="{2F758E3E-D0A3-4255-AA4A-763C8992AE44}"/>
    <cellStyle name="SAPBEXaggItem 2 3 5" xfId="15882" xr:uid="{01E01E9E-90F3-4823-888B-16A4A3C40CD6}"/>
    <cellStyle name="SAPBEXaggItem 2 3 5 2" xfId="31087" xr:uid="{E39A6721-E0AE-472B-97B7-9A2677A08515}"/>
    <cellStyle name="SAPBEXaggItem 2 3 6" xfId="15883" xr:uid="{00E13AA8-E495-4370-A38B-861A99D5CB17}"/>
    <cellStyle name="SAPBEXaggItem 2 3 6 2" xfId="31088" xr:uid="{98E824CB-FEDF-48CD-BF73-31632120FDF9}"/>
    <cellStyle name="SAPBEXaggItem 2 3 7" xfId="15884" xr:uid="{6AE8347E-32EE-4701-8BE9-4E4014CCBCE7}"/>
    <cellStyle name="SAPBEXaggItem 2 3 7 2" xfId="31089" xr:uid="{1256C6F9-7A5E-450A-B73D-A28A292DCC3E}"/>
    <cellStyle name="SAPBEXaggItem 2 3 8" xfId="15885" xr:uid="{8868E880-D34C-447B-A2A4-05FF10AD1DBB}"/>
    <cellStyle name="SAPBEXaggItem 2 3 8 2" xfId="31090" xr:uid="{9FBDD932-327E-4727-8B3B-CDD7BA26AE57}"/>
    <cellStyle name="SAPBEXaggItem 2 3 9" xfId="15886" xr:uid="{E32D6AFC-8541-44E5-97FD-011BBD33C751}"/>
    <cellStyle name="SAPBEXaggItem 2 3 9 2" xfId="31091" xr:uid="{8AEC6D01-B9C5-4D5B-BBE7-A4AFFF5CDD37}"/>
    <cellStyle name="SAPBEXaggItem 2 4" xfId="15887" xr:uid="{0117174A-2B5A-4976-8946-9E0DE581B76A}"/>
    <cellStyle name="SAPBEXaggItem 2 4 2" xfId="31092" xr:uid="{40E39624-B195-4E31-8F0E-74D29E66521F}"/>
    <cellStyle name="SAPBEXaggItem 2 5" xfId="15888" xr:uid="{8B57F986-FA50-47E8-8DA7-53C80D05B542}"/>
    <cellStyle name="SAPBEXaggItem 2 5 2" xfId="31093" xr:uid="{62AD697C-25F6-4C11-B6ED-201AA5AC0D0B}"/>
    <cellStyle name="SAPBEXaggItem 2 6" xfId="15889" xr:uid="{016A69CF-1BC3-46FC-A112-75DF1BC70E43}"/>
    <cellStyle name="SAPBEXaggItem 2 6 2" xfId="31094" xr:uid="{F36C75A7-78C8-4171-8523-7C7651861DD7}"/>
    <cellStyle name="SAPBEXaggItem 2 7" xfId="15890" xr:uid="{27534555-08E9-4109-A246-790D8D963E3C}"/>
    <cellStyle name="SAPBEXaggItem 2 7 2" xfId="31095" xr:uid="{B7012A45-6BAC-44A7-88AE-4A03D6C3FFDF}"/>
    <cellStyle name="SAPBEXaggItem 2 8" xfId="15891" xr:uid="{5122BB4C-11CB-4440-A3C7-9D6A9D7785AC}"/>
    <cellStyle name="SAPBEXaggItem 2 8 2" xfId="31096" xr:uid="{E19E6A51-9C2A-4314-91E7-16BD2B26FC58}"/>
    <cellStyle name="SAPBEXaggItem 2 9" xfId="15892" xr:uid="{928F12E9-0E29-4276-81CA-1B5DE1DCF8B1}"/>
    <cellStyle name="SAPBEXaggItem 2 9 2" xfId="31097" xr:uid="{D060B848-F614-4FEE-9560-B4F3422FDFAD}"/>
    <cellStyle name="SAPBEXaggItem 20" xfId="15893" xr:uid="{F0667FF4-0F8C-49E1-8D50-41878AE40029}"/>
    <cellStyle name="SAPBEXaggItem 20 2" xfId="31098" xr:uid="{C8677B75-B025-4CAA-B234-87433A40B606}"/>
    <cellStyle name="SAPBEXaggItem 21" xfId="15894" xr:uid="{7519C545-E00F-4C8F-A25B-B44A11759F19}"/>
    <cellStyle name="SAPBEXaggItem 21 2" xfId="31099" xr:uid="{6C13731E-73A7-421E-8949-928BBD041970}"/>
    <cellStyle name="SAPBEXaggItem 3" xfId="15895" xr:uid="{50B2D897-0F61-4B20-B9DD-124922BAAB87}"/>
    <cellStyle name="SAPBEXaggItem 3 2" xfId="15896" xr:uid="{E7D04458-BA34-4970-B64B-D46FC2434D62}"/>
    <cellStyle name="SAPBEXaggItem 3 2 10" xfId="15897" xr:uid="{B9D5984E-2B19-4880-9D68-913CD261C128}"/>
    <cellStyle name="SAPBEXaggItem 3 2 10 2" xfId="31102" xr:uid="{012303CE-55FE-493C-A25E-A4EEF6B42CDE}"/>
    <cellStyle name="SAPBEXaggItem 3 2 11" xfId="15898" xr:uid="{003AC84F-B218-4B66-B9D0-D007A0D14CC3}"/>
    <cellStyle name="SAPBEXaggItem 3 2 11 2" xfId="31103" xr:uid="{0C549FC0-1A9F-4D44-9010-C60364F9AA20}"/>
    <cellStyle name="SAPBEXaggItem 3 2 12" xfId="15899" xr:uid="{AA74A76D-01C1-49CE-B899-CC48EF3204BF}"/>
    <cellStyle name="SAPBEXaggItem 3 2 12 2" xfId="31104" xr:uid="{BF890832-BD83-495F-9BD9-DC698C0ECBB3}"/>
    <cellStyle name="SAPBEXaggItem 3 2 13" xfId="15900" xr:uid="{667B2059-5F61-4657-938F-A11999A9CA0B}"/>
    <cellStyle name="SAPBEXaggItem 3 2 13 2" xfId="31105" xr:uid="{80FAA3EA-EBCE-42DD-B309-ACFEA0AC50CE}"/>
    <cellStyle name="SAPBEXaggItem 3 2 14" xfId="15901" xr:uid="{06B00758-9573-45E8-A61A-E9009F95AD0B}"/>
    <cellStyle name="SAPBEXaggItem 3 2 14 2" xfId="31106" xr:uid="{039738C4-966C-4DF0-B5EA-7183C251624A}"/>
    <cellStyle name="SAPBEXaggItem 3 2 15" xfId="31101" xr:uid="{343AE71F-A55B-4174-97CE-D6D7232E0D83}"/>
    <cellStyle name="SAPBEXaggItem 3 2 2" xfId="15902" xr:uid="{C457E6A2-1A0F-409C-A353-DF276410D867}"/>
    <cellStyle name="SAPBEXaggItem 3 2 2 2" xfId="31107" xr:uid="{D92D1E38-39B5-4875-BB10-66B9451DB864}"/>
    <cellStyle name="SAPBEXaggItem 3 2 3" xfId="15903" xr:uid="{0A0E7006-163F-4581-BB7F-5C3C97ED6E51}"/>
    <cellStyle name="SAPBEXaggItem 3 2 3 2" xfId="31108" xr:uid="{ADC04E7D-7488-483D-81CF-009917AAF5CC}"/>
    <cellStyle name="SAPBEXaggItem 3 2 4" xfId="15904" xr:uid="{95088F53-C4F3-4A20-B172-AD12B2F5603C}"/>
    <cellStyle name="SAPBEXaggItem 3 2 4 2" xfId="31109" xr:uid="{C5440242-B52D-4A59-838C-79E1F07691B2}"/>
    <cellStyle name="SAPBEXaggItem 3 2 5" xfId="15905" xr:uid="{AA92FC30-9CB9-4E13-8FE1-F7A15D6490C3}"/>
    <cellStyle name="SAPBEXaggItem 3 2 5 2" xfId="31110" xr:uid="{59AF0F8C-51C7-47FD-BF46-3B6077C0C426}"/>
    <cellStyle name="SAPBEXaggItem 3 2 6" xfId="15906" xr:uid="{E8CED0A1-C446-4ECA-AFA1-9D2A975341C4}"/>
    <cellStyle name="SAPBEXaggItem 3 2 6 2" xfId="31111" xr:uid="{266028D2-C730-452B-8097-2F99C18B0290}"/>
    <cellStyle name="SAPBEXaggItem 3 2 7" xfId="15907" xr:uid="{7107456D-3E06-4B4E-8992-582B2E15A54A}"/>
    <cellStyle name="SAPBEXaggItem 3 2 7 2" xfId="31112" xr:uid="{3D467106-D035-4C3B-97D9-0EA3034FAE76}"/>
    <cellStyle name="SAPBEXaggItem 3 2 8" xfId="15908" xr:uid="{7AE0C696-DB2F-488D-8500-5700037CECC1}"/>
    <cellStyle name="SAPBEXaggItem 3 2 8 2" xfId="31113" xr:uid="{853C09CC-F8A9-41A2-8DB3-DE8ED1930D77}"/>
    <cellStyle name="SAPBEXaggItem 3 2 9" xfId="15909" xr:uid="{956CF600-AFD2-4DFC-989D-5D45BBEC1A34}"/>
    <cellStyle name="SAPBEXaggItem 3 2 9 2" xfId="31114" xr:uid="{604434C6-0F2E-40FC-9CB0-F7B979900C4C}"/>
    <cellStyle name="SAPBEXaggItem 3 3" xfId="15910" xr:uid="{FE98B0E6-A056-45EF-8DA9-14A77BF4B993}"/>
    <cellStyle name="SAPBEXaggItem 3 4" xfId="31100" xr:uid="{FBC822C3-7906-4C1C-8D11-E878ED871551}"/>
    <cellStyle name="SAPBEXaggItem 4" xfId="15911" xr:uid="{2F8B6733-BF90-432C-A5C9-A5D74738E7EE}"/>
    <cellStyle name="SAPBEXaggItem 5" xfId="15912" xr:uid="{67B33E60-D164-4990-A060-537CE57A97FD}"/>
    <cellStyle name="SAPBEXaggItem 5 10" xfId="15913" xr:uid="{B790B8F9-A189-4150-AE4E-AFAF252A7894}"/>
    <cellStyle name="SAPBEXaggItem 5 10 2" xfId="31116" xr:uid="{9C65B5E8-7888-4BDD-BDD9-672B494182F4}"/>
    <cellStyle name="SAPBEXaggItem 5 11" xfId="15914" xr:uid="{DFFD5D4D-C6EC-4D1D-9C97-3755E6FEA3A3}"/>
    <cellStyle name="SAPBEXaggItem 5 11 2" xfId="31117" xr:uid="{0B6F0225-57FB-4AC1-8719-C464DBD40CFE}"/>
    <cellStyle name="SAPBEXaggItem 5 12" xfId="15915" xr:uid="{A21BABD2-BFFF-4B0B-8D6F-61C930462957}"/>
    <cellStyle name="SAPBEXaggItem 5 12 2" xfId="31118" xr:uid="{981ACE91-64FE-467C-897E-253EAA2C6154}"/>
    <cellStyle name="SAPBEXaggItem 5 13" xfId="15916" xr:uid="{F1B9F3DA-245B-4EEC-B41A-B122E0E20BE2}"/>
    <cellStyle name="SAPBEXaggItem 5 13 2" xfId="31119" xr:uid="{BB7AB9EC-4FFF-4146-8B8F-8F00F5FBE4FD}"/>
    <cellStyle name="SAPBEXaggItem 5 14" xfId="15917" xr:uid="{F799B3BC-CDA3-4580-A88E-DBB4D1849BF4}"/>
    <cellStyle name="SAPBEXaggItem 5 14 2" xfId="31120" xr:uid="{F654DCF4-A562-4A4F-8373-D97BEC20F2B8}"/>
    <cellStyle name="SAPBEXaggItem 5 15" xfId="31115" xr:uid="{1E181A11-43CF-4DDF-B371-93EBC35066DF}"/>
    <cellStyle name="SAPBEXaggItem 5 2" xfId="15918" xr:uid="{4A293406-BCA1-4367-8A47-9366DCC97EB1}"/>
    <cellStyle name="SAPBEXaggItem 5 2 2" xfId="31121" xr:uid="{EEB11D23-9218-4D30-A170-C101074A2863}"/>
    <cellStyle name="SAPBEXaggItem 5 3" xfId="15919" xr:uid="{A4D42A00-2138-4E92-BB10-EAD98CD13A08}"/>
    <cellStyle name="SAPBEXaggItem 5 3 2" xfId="31122" xr:uid="{99EEA160-D50F-4AE8-B34D-FB1B43283549}"/>
    <cellStyle name="SAPBEXaggItem 5 4" xfId="15920" xr:uid="{80F1B73B-4A77-42D0-9988-4EE0DC4020A7}"/>
    <cellStyle name="SAPBEXaggItem 5 4 2" xfId="31123" xr:uid="{A55C485B-52DD-445E-92FD-01B40C5A01A8}"/>
    <cellStyle name="SAPBEXaggItem 5 5" xfId="15921" xr:uid="{941D2402-A4B6-477C-AC68-0187ED17ACDB}"/>
    <cellStyle name="SAPBEXaggItem 5 5 2" xfId="31124" xr:uid="{CF1E92B2-2C80-4382-ABB7-1FB9F16E7699}"/>
    <cellStyle name="SAPBEXaggItem 5 6" xfId="15922" xr:uid="{4962C038-4F29-42B1-AC0C-175DFDC25311}"/>
    <cellStyle name="SAPBEXaggItem 5 6 2" xfId="31125" xr:uid="{F6C5296B-1515-489C-A399-63F614543846}"/>
    <cellStyle name="SAPBEXaggItem 5 7" xfId="15923" xr:uid="{C66E372A-BE8B-4E6C-B6E9-A4E0BA30705B}"/>
    <cellStyle name="SAPBEXaggItem 5 7 2" xfId="31126" xr:uid="{DEE0A45B-93E4-4EE4-B341-19F1546F774D}"/>
    <cellStyle name="SAPBEXaggItem 5 8" xfId="15924" xr:uid="{D55F0AE8-70A2-496D-ADA6-B054515F887F}"/>
    <cellStyle name="SAPBEXaggItem 5 8 2" xfId="31127" xr:uid="{A8F416A0-7940-408E-9AB0-00FF2F936D4A}"/>
    <cellStyle name="SAPBEXaggItem 5 9" xfId="15925" xr:uid="{5C52A661-B217-4413-B9E6-F3853CE90618}"/>
    <cellStyle name="SAPBEXaggItem 5 9 2" xfId="31128" xr:uid="{02018C85-CEAE-45AA-A6D3-1B98843F3BEF}"/>
    <cellStyle name="SAPBEXaggItem 6" xfId="15926" xr:uid="{D1217082-120E-4493-B3E7-EB0AD0BE6CA9}"/>
    <cellStyle name="SAPBEXaggItem 6 2" xfId="31129" xr:uid="{BEF5C4E4-AC58-457F-99E1-FC89CC5F145A}"/>
    <cellStyle name="SAPBEXaggItem 7" xfId="15927" xr:uid="{12ED85A0-D378-4488-8669-30F9B5F00808}"/>
    <cellStyle name="SAPBEXaggItem 7 2" xfId="31130" xr:uid="{07B0A70E-77A3-4E90-B597-3DFC29A3AFE4}"/>
    <cellStyle name="SAPBEXaggItem 8" xfId="15928" xr:uid="{C06CDFC9-8DF6-47BE-8E67-413A85721D16}"/>
    <cellStyle name="SAPBEXaggItem 8 2" xfId="31131" xr:uid="{77D3478C-B533-44B1-AD1E-E375DA63F952}"/>
    <cellStyle name="SAPBEXaggItem 9" xfId="15929" xr:uid="{45A6D29E-3614-4FF4-84D2-68CCD0DB7A41}"/>
    <cellStyle name="SAPBEXaggItem 9 2" xfId="31132" xr:uid="{F5331D51-684C-4677-974E-A867EEB1D508}"/>
    <cellStyle name="SAPBEXaggItemX" xfId="15930" xr:uid="{F67AA340-E351-48C2-A66E-E5086AC7F7BD}"/>
    <cellStyle name="SAPBEXaggItemX 10" xfId="15931" xr:uid="{18104886-4614-48F3-83AB-A90FA2BB6E4D}"/>
    <cellStyle name="SAPBEXaggItemX 10 2" xfId="31134" xr:uid="{117887FB-2280-4578-8535-BAF385F7DC30}"/>
    <cellStyle name="SAPBEXaggItemX 11" xfId="15932" xr:uid="{25D61FF3-95AE-40C7-8BFC-86A3AF7F334E}"/>
    <cellStyle name="SAPBEXaggItemX 11 2" xfId="31135" xr:uid="{577E4A2B-4AB7-48F1-8693-0CE95E4A10D6}"/>
    <cellStyle name="SAPBEXaggItemX 12" xfId="15933" xr:uid="{C203D6B0-2196-48F3-A94C-8A49B57235A9}"/>
    <cellStyle name="SAPBEXaggItemX 12 2" xfId="31136" xr:uid="{0B9EBF7A-86C3-46D9-A9B4-AB5D51A40EE6}"/>
    <cellStyle name="SAPBEXaggItemX 13" xfId="15934" xr:uid="{8888B111-856B-4C27-B241-8A001D4660FD}"/>
    <cellStyle name="SAPBEXaggItemX 13 2" xfId="31137" xr:uid="{8AD312F8-0A8A-4304-8687-B74675EB9F62}"/>
    <cellStyle name="SAPBEXaggItemX 14" xfId="15935" xr:uid="{FF4B8023-5C34-4FC8-A5F8-32E4B8406121}"/>
    <cellStyle name="SAPBEXaggItemX 14 2" xfId="31138" xr:uid="{3EC00A53-DB77-434B-8BF7-47BA32AB6BD0}"/>
    <cellStyle name="SAPBEXaggItemX 15" xfId="15936" xr:uid="{CC90ECF3-BD89-485E-A367-D37FB1BD8E9B}"/>
    <cellStyle name="SAPBEXaggItemX 15 2" xfId="31139" xr:uid="{E188497C-828D-45B5-934D-8C52BCDAB135}"/>
    <cellStyle name="SAPBEXaggItemX 16" xfId="15937" xr:uid="{18D41A15-B7EB-4804-BD3F-ECE12DAC5A3D}"/>
    <cellStyle name="SAPBEXaggItemX 16 2" xfId="31140" xr:uid="{214FB713-2047-4B85-9BA7-F86B11C35E66}"/>
    <cellStyle name="SAPBEXaggItemX 17" xfId="15938" xr:uid="{10A0159A-E282-4C41-92D6-5865661E9E02}"/>
    <cellStyle name="SAPBEXaggItemX 17 2" xfId="31141" xr:uid="{29834167-772F-4E61-8B8D-693CB9F753EF}"/>
    <cellStyle name="SAPBEXaggItemX 18" xfId="15939" xr:uid="{B71F523F-F3B0-48D9-8F7E-589A0FE7607D}"/>
    <cellStyle name="SAPBEXaggItemX 18 2" xfId="31142" xr:uid="{736D77BB-124F-4E10-8167-84005411D9EB}"/>
    <cellStyle name="SAPBEXaggItemX 19" xfId="15940" xr:uid="{67AF8B61-3DB5-4DBE-A8FD-F223B949DB15}"/>
    <cellStyle name="SAPBEXaggItemX 19 2" xfId="31143" xr:uid="{D52D5CC1-719B-4482-8C06-7F3F6BFEB5B6}"/>
    <cellStyle name="SAPBEXaggItemX 2" xfId="15941" xr:uid="{FFBA6F85-D9C8-47AE-9175-0E215635CEB1}"/>
    <cellStyle name="SAPBEXaggItemX 2 10" xfId="15942" xr:uid="{6424F78D-0EBE-4FA5-94F6-2587EC439C82}"/>
    <cellStyle name="SAPBEXaggItemX 2 10 2" xfId="31145" xr:uid="{0AA87FCE-BE3A-426D-851C-E502AE00720B}"/>
    <cellStyle name="SAPBEXaggItemX 2 11" xfId="15943" xr:uid="{2F58CF9B-95F3-41EF-A278-C1F67FD92EC0}"/>
    <cellStyle name="SAPBEXaggItemX 2 11 2" xfId="31146" xr:uid="{A95F861E-7EEA-46D1-A507-8578DC7D85B7}"/>
    <cellStyle name="SAPBEXaggItemX 2 12" xfId="15944" xr:uid="{1C11C062-1E5F-4B4D-997E-AEBD8FE8509E}"/>
    <cellStyle name="SAPBEXaggItemX 2 12 2" xfId="31147" xr:uid="{1F458D79-9082-4700-AC04-054DCC83A323}"/>
    <cellStyle name="SAPBEXaggItemX 2 13" xfId="15945" xr:uid="{26BDC97F-E788-46C0-A59D-FB4C694167A2}"/>
    <cellStyle name="SAPBEXaggItemX 2 13 2" xfId="31148" xr:uid="{8893F393-5D88-4BB0-8423-E13445BF358C}"/>
    <cellStyle name="SAPBEXaggItemX 2 14" xfId="15946" xr:uid="{34769FD1-DC62-411E-A028-F1D59F5F3966}"/>
    <cellStyle name="SAPBEXaggItemX 2 14 2" xfId="31149" xr:uid="{6917390D-B971-48CA-B58C-88DC3FFD4780}"/>
    <cellStyle name="SAPBEXaggItemX 2 15" xfId="15947" xr:uid="{CFA6AE29-D84C-4E97-8305-6180098D8BDF}"/>
    <cellStyle name="SAPBEXaggItemX 2 15 2" xfId="31150" xr:uid="{F035B169-6216-466E-975E-25A2965A6F0C}"/>
    <cellStyle name="SAPBEXaggItemX 2 16" xfId="15948" xr:uid="{61F271EA-E82B-4BBA-B2FC-CB6131CA063F}"/>
    <cellStyle name="SAPBEXaggItemX 2 16 2" xfId="31151" xr:uid="{B838A44E-A45B-47B9-84A2-753CC6434CE0}"/>
    <cellStyle name="SAPBEXaggItemX 2 17" xfId="15949" xr:uid="{558C1B21-1471-433E-B22F-CC1721C063B3}"/>
    <cellStyle name="SAPBEXaggItemX 2 17 2" xfId="31152" xr:uid="{8EF78CB0-C85C-4A85-B775-9CC57C53DEDB}"/>
    <cellStyle name="SAPBEXaggItemX 2 18" xfId="15950" xr:uid="{9ADE3F6E-0043-4B04-A3F0-2C22A5A15A36}"/>
    <cellStyle name="SAPBEXaggItemX 2 18 2" xfId="31153" xr:uid="{D98F151E-8D4E-4F6B-B517-AE83F1C74DB5}"/>
    <cellStyle name="SAPBEXaggItemX 2 19" xfId="15951" xr:uid="{BEE6A4A7-69F3-475C-940B-A6838E0DCF8B}"/>
    <cellStyle name="SAPBEXaggItemX 2 19 2" xfId="31154" xr:uid="{DE64321D-8360-4122-8E60-61DE0F627EF1}"/>
    <cellStyle name="SAPBEXaggItemX 2 2" xfId="15952" xr:uid="{7AEA4F7D-29CE-4526-B4A7-57F668FAE074}"/>
    <cellStyle name="SAPBEXaggItemX 2 2 10" xfId="15953" xr:uid="{355E97E5-DFB1-46BD-B216-7634E42876FE}"/>
    <cellStyle name="SAPBEXaggItemX 2 2 10 2" xfId="31156" xr:uid="{D15D4C45-EEDC-43EB-8022-2BB5C5CC2C3C}"/>
    <cellStyle name="SAPBEXaggItemX 2 2 11" xfId="15954" xr:uid="{89F940A8-6AEA-4267-9972-D999E7235AE3}"/>
    <cellStyle name="SAPBEXaggItemX 2 2 11 2" xfId="31157" xr:uid="{931A74FF-0E23-40A9-A0D5-FDA6476AF6A8}"/>
    <cellStyle name="SAPBEXaggItemX 2 2 12" xfId="15955" xr:uid="{4D39EA43-720A-45F0-B796-2D6C7022AB1A}"/>
    <cellStyle name="SAPBEXaggItemX 2 2 12 2" xfId="31158" xr:uid="{286689BC-6ACF-4F70-819F-086D3B8E04E2}"/>
    <cellStyle name="SAPBEXaggItemX 2 2 13" xfId="15956" xr:uid="{3BC087F9-EC38-4E2F-A285-233041B1C37D}"/>
    <cellStyle name="SAPBEXaggItemX 2 2 13 2" xfId="31159" xr:uid="{294988D0-C628-49D5-A916-067959670CE5}"/>
    <cellStyle name="SAPBEXaggItemX 2 2 14" xfId="15957" xr:uid="{178523A4-1ABD-4C2B-BCA2-6D5B1B411B6B}"/>
    <cellStyle name="SAPBEXaggItemX 2 2 14 2" xfId="31160" xr:uid="{6D18B437-C11C-462A-80A5-997BF6E85075}"/>
    <cellStyle name="SAPBEXaggItemX 2 2 15" xfId="15958" xr:uid="{00F13E03-C359-4289-9AC8-F775F80944B0}"/>
    <cellStyle name="SAPBEXaggItemX 2 2 15 2" xfId="31161" xr:uid="{AB530229-0F39-4669-91B1-F977D8CE406F}"/>
    <cellStyle name="SAPBEXaggItemX 2 2 16" xfId="15959" xr:uid="{19E705EE-E383-42CE-B847-ADCFE4AFC266}"/>
    <cellStyle name="SAPBEXaggItemX 2 2 16 2" xfId="31162" xr:uid="{D408A916-0D39-4756-9784-4AA87653F1A0}"/>
    <cellStyle name="SAPBEXaggItemX 2 2 17" xfId="15960" xr:uid="{95B4F913-A226-41D8-BFA8-B1189A85F7B0}"/>
    <cellStyle name="SAPBEXaggItemX 2 2 17 2" xfId="31163" xr:uid="{E6DE47BF-6E9D-419C-A023-3A728ED0E57F}"/>
    <cellStyle name="SAPBEXaggItemX 2 2 18" xfId="15961" xr:uid="{BD81B230-68A7-4BEB-8F23-5E7691B7DBE7}"/>
    <cellStyle name="SAPBEXaggItemX 2 2 18 2" xfId="31164" xr:uid="{C9ABE5FE-777F-454F-B6E7-E7D86D28DE07}"/>
    <cellStyle name="SAPBEXaggItemX 2 2 19" xfId="31155" xr:uid="{0E6CD61B-EEE3-41C7-B2CF-0597A0B74821}"/>
    <cellStyle name="SAPBEXaggItemX 2 2 2" xfId="15962" xr:uid="{821321C0-E3C3-4526-AEFC-8DE68912D0AA}"/>
    <cellStyle name="SAPBEXaggItemX 2 2 2 10" xfId="15963" xr:uid="{C176834A-D09D-45AB-A83F-9107BA571DE9}"/>
    <cellStyle name="SAPBEXaggItemX 2 2 2 10 2" xfId="31166" xr:uid="{942A1081-055D-43D7-A7AB-1DC879355B2F}"/>
    <cellStyle name="SAPBEXaggItemX 2 2 2 11" xfId="15964" xr:uid="{C88DD620-370F-441E-81F6-2A44EB377D3D}"/>
    <cellStyle name="SAPBEXaggItemX 2 2 2 11 2" xfId="31167" xr:uid="{1AF35A6D-C585-4B79-B171-82204903AB51}"/>
    <cellStyle name="SAPBEXaggItemX 2 2 2 12" xfId="15965" xr:uid="{5B3E63CE-5304-4511-B116-5E51C94BF6D1}"/>
    <cellStyle name="SAPBEXaggItemX 2 2 2 12 2" xfId="31168" xr:uid="{66453051-90AE-4CFE-A72C-1AA8644A52EB}"/>
    <cellStyle name="SAPBEXaggItemX 2 2 2 13" xfId="15966" xr:uid="{A4FB36B9-07CA-49F8-A90A-46AE228D18A6}"/>
    <cellStyle name="SAPBEXaggItemX 2 2 2 13 2" xfId="31169" xr:uid="{2A4ED616-9180-4713-B550-17A6882F9FD3}"/>
    <cellStyle name="SAPBEXaggItemX 2 2 2 14" xfId="15967" xr:uid="{8809F31F-1CE9-49A1-BDAE-3AB2CF776DF6}"/>
    <cellStyle name="SAPBEXaggItemX 2 2 2 14 2" xfId="31170" xr:uid="{93A85998-8094-45AC-8854-A0C5605B14AF}"/>
    <cellStyle name="SAPBEXaggItemX 2 2 2 15" xfId="31165" xr:uid="{41A63193-078D-4510-B4C6-37C9E53AEED7}"/>
    <cellStyle name="SAPBEXaggItemX 2 2 2 2" xfId="15968" xr:uid="{12C8CC81-0772-468D-AD1B-C11419B8DA35}"/>
    <cellStyle name="SAPBEXaggItemX 2 2 2 2 2" xfId="31171" xr:uid="{A82C4C0C-A419-4AAA-97D6-A38161336642}"/>
    <cellStyle name="SAPBEXaggItemX 2 2 2 3" xfId="15969" xr:uid="{CD768F6B-6BA6-48DC-AAA5-DED8EF2822D6}"/>
    <cellStyle name="SAPBEXaggItemX 2 2 2 3 2" xfId="31172" xr:uid="{F3CD7D5C-217F-4C86-B029-429989D9368B}"/>
    <cellStyle name="SAPBEXaggItemX 2 2 2 4" xfId="15970" xr:uid="{FA8397C1-2EA8-4752-9B5C-073C880DB1A6}"/>
    <cellStyle name="SAPBEXaggItemX 2 2 2 4 2" xfId="31173" xr:uid="{500D56C3-03ED-4EC8-885E-FC81BDFDE692}"/>
    <cellStyle name="SAPBEXaggItemX 2 2 2 5" xfId="15971" xr:uid="{F5F9BAFF-5F3B-4B24-BCE5-BE64DA9A5099}"/>
    <cellStyle name="SAPBEXaggItemX 2 2 2 5 2" xfId="31174" xr:uid="{62F6ED18-D7FB-4860-8CC1-991C1192A1AE}"/>
    <cellStyle name="SAPBEXaggItemX 2 2 2 6" xfId="15972" xr:uid="{6136FD4A-AD15-44E6-94A4-752CEBABD8C0}"/>
    <cellStyle name="SAPBEXaggItemX 2 2 2 6 2" xfId="31175" xr:uid="{7E08A147-6C31-4595-BEA4-5B1B6BA3BC80}"/>
    <cellStyle name="SAPBEXaggItemX 2 2 2 7" xfId="15973" xr:uid="{0184D272-FDAE-46A9-84FA-3837A9D37EFD}"/>
    <cellStyle name="SAPBEXaggItemX 2 2 2 7 2" xfId="31176" xr:uid="{9FAF3616-604A-4574-9DF3-D6E40FECF761}"/>
    <cellStyle name="SAPBEXaggItemX 2 2 2 8" xfId="15974" xr:uid="{3E9C375C-8BB8-4B85-8616-FA2FF6F8B52F}"/>
    <cellStyle name="SAPBEXaggItemX 2 2 2 8 2" xfId="31177" xr:uid="{4AD87BE2-A10D-42D6-BA34-C53A939019F8}"/>
    <cellStyle name="SAPBEXaggItemX 2 2 2 9" xfId="15975" xr:uid="{B1564685-BF6D-44E8-A05B-BC002AB0CF68}"/>
    <cellStyle name="SAPBEXaggItemX 2 2 2 9 2" xfId="31178" xr:uid="{9A3B5911-F84A-44CE-8D88-9860D952C61B}"/>
    <cellStyle name="SAPBEXaggItemX 2 2 3" xfId="15976" xr:uid="{94928024-1B0B-4B93-9E44-BB9E2D8633C2}"/>
    <cellStyle name="SAPBEXaggItemX 2 2 3 2" xfId="31179" xr:uid="{16C16697-8171-42B4-9F93-A2196398134A}"/>
    <cellStyle name="SAPBEXaggItemX 2 2 4" xfId="15977" xr:uid="{CCA87647-95A8-4C37-8B68-9E5FEAF81F00}"/>
    <cellStyle name="SAPBEXaggItemX 2 2 4 2" xfId="31180" xr:uid="{FDF6D6F7-DF2B-4FF3-8FDA-EB48CDDF6E40}"/>
    <cellStyle name="SAPBEXaggItemX 2 2 5" xfId="15978" xr:uid="{1C5F007F-8F62-427F-9E92-3A6B0B7E5F3E}"/>
    <cellStyle name="SAPBEXaggItemX 2 2 5 2" xfId="31181" xr:uid="{B2636853-7D48-4A5E-AD90-75DD25609A67}"/>
    <cellStyle name="SAPBEXaggItemX 2 2 6" xfId="15979" xr:uid="{91602E62-546B-4565-B65E-096EABAE52FE}"/>
    <cellStyle name="SAPBEXaggItemX 2 2 6 2" xfId="31182" xr:uid="{B639CFF9-9249-445F-BBEA-8F4432125273}"/>
    <cellStyle name="SAPBEXaggItemX 2 2 7" xfId="15980" xr:uid="{ADFDE489-DA46-486D-8B08-23D1B9D91FBE}"/>
    <cellStyle name="SAPBEXaggItemX 2 2 7 2" xfId="31183" xr:uid="{2455521B-2A96-45D5-BC29-F3BE0E47849A}"/>
    <cellStyle name="SAPBEXaggItemX 2 2 8" xfId="15981" xr:uid="{90D90AD2-8D02-4D93-9BDB-ECD536F07862}"/>
    <cellStyle name="SAPBEXaggItemX 2 2 8 2" xfId="31184" xr:uid="{96172EF7-AA56-400B-8535-F83712CFC0A0}"/>
    <cellStyle name="SAPBEXaggItemX 2 2 9" xfId="15982" xr:uid="{135C38E6-CE9C-460E-9685-FBC8B14EFAEE}"/>
    <cellStyle name="SAPBEXaggItemX 2 2 9 2" xfId="31185" xr:uid="{3CDA06EA-5DA1-4204-9BF5-C8E41BD81B95}"/>
    <cellStyle name="SAPBEXaggItemX 2 20" xfId="31144" xr:uid="{66D124D0-7A2E-47B0-B948-E7BBFFBE109E}"/>
    <cellStyle name="SAPBEXaggItemX 2 3" xfId="15983" xr:uid="{450FBCD3-9B39-4991-9406-3798CDEB74BE}"/>
    <cellStyle name="SAPBEXaggItemX 2 3 10" xfId="15984" xr:uid="{844ED1E6-7A4E-438E-B1D4-C20DDDCD18F6}"/>
    <cellStyle name="SAPBEXaggItemX 2 3 10 2" xfId="31187" xr:uid="{05235C54-23C8-4B74-8F05-F3056B5F11A9}"/>
    <cellStyle name="SAPBEXaggItemX 2 3 11" xfId="15985" xr:uid="{811E03D9-DD76-480D-AEC0-26E77BFC536C}"/>
    <cellStyle name="SAPBEXaggItemX 2 3 11 2" xfId="31188" xr:uid="{BE8B7F54-55CB-4AD4-9F92-AEC5CB3AB0E3}"/>
    <cellStyle name="SAPBEXaggItemX 2 3 12" xfId="15986" xr:uid="{8A2165B5-E052-4943-A5AA-E9A1E2F6C00E}"/>
    <cellStyle name="SAPBEXaggItemX 2 3 12 2" xfId="31189" xr:uid="{992CF1F1-E47A-4D98-B601-57A7A68D2D46}"/>
    <cellStyle name="SAPBEXaggItemX 2 3 13" xfId="15987" xr:uid="{2CC73E90-3668-4FC5-8146-B7548564D935}"/>
    <cellStyle name="SAPBEXaggItemX 2 3 13 2" xfId="31190" xr:uid="{55E79899-6CC9-4A80-9E8F-9C7E68DB0DF1}"/>
    <cellStyle name="SAPBEXaggItemX 2 3 14" xfId="15988" xr:uid="{74E92599-5F67-4D09-B5FD-110ADE0A6CB6}"/>
    <cellStyle name="SAPBEXaggItemX 2 3 14 2" xfId="31191" xr:uid="{01543DF2-6F2D-440D-9190-70873C7EF4BA}"/>
    <cellStyle name="SAPBEXaggItemX 2 3 15" xfId="31186" xr:uid="{06C2DFE3-199F-423D-B542-4BB944B532E1}"/>
    <cellStyle name="SAPBEXaggItemX 2 3 2" xfId="15989" xr:uid="{480C64AE-9D41-4DCF-BC0C-F82F67792D7D}"/>
    <cellStyle name="SAPBEXaggItemX 2 3 2 2" xfId="31192" xr:uid="{D1DE60EE-28AC-4FE6-A06B-4B92A279834F}"/>
    <cellStyle name="SAPBEXaggItemX 2 3 3" xfId="15990" xr:uid="{E85641A5-EDA3-4D88-B60F-4A7703F2BADD}"/>
    <cellStyle name="SAPBEXaggItemX 2 3 3 2" xfId="31193" xr:uid="{2B85EAFD-7535-45EB-B2AB-0214D0704CFC}"/>
    <cellStyle name="SAPBEXaggItemX 2 3 4" xfId="15991" xr:uid="{D810699E-DDB0-4AFE-9E87-7BB9CFA99CEF}"/>
    <cellStyle name="SAPBEXaggItemX 2 3 4 2" xfId="31194" xr:uid="{AC947558-0345-48D2-9C8B-5CC66382C56E}"/>
    <cellStyle name="SAPBEXaggItemX 2 3 5" xfId="15992" xr:uid="{D7FAC026-E1F5-48D2-9468-D1DEFCF1EDD7}"/>
    <cellStyle name="SAPBEXaggItemX 2 3 5 2" xfId="31195" xr:uid="{BBA04015-0DCF-4A87-9713-01958E6FE7E8}"/>
    <cellStyle name="SAPBEXaggItemX 2 3 6" xfId="15993" xr:uid="{F21896E3-D005-4EB1-B4C5-03AC404482F0}"/>
    <cellStyle name="SAPBEXaggItemX 2 3 6 2" xfId="31196" xr:uid="{8436C967-D16D-4130-AD4E-37DF6AE14626}"/>
    <cellStyle name="SAPBEXaggItemX 2 3 7" xfId="15994" xr:uid="{3B7D43DC-D45C-46B8-A034-1E02EA8A2C26}"/>
    <cellStyle name="SAPBEXaggItemX 2 3 7 2" xfId="31197" xr:uid="{8824DAEA-28ED-4FBA-A7C8-A4507395AED2}"/>
    <cellStyle name="SAPBEXaggItemX 2 3 8" xfId="15995" xr:uid="{DB3784E3-8DA4-4223-B83A-1F52F7726CA3}"/>
    <cellStyle name="SAPBEXaggItemX 2 3 8 2" xfId="31198" xr:uid="{9C5255C0-CFA0-428C-A4CC-55DDCD1AF61E}"/>
    <cellStyle name="SAPBEXaggItemX 2 3 9" xfId="15996" xr:uid="{6A7BF3E3-9A4D-4A4C-898C-9D85ED18A173}"/>
    <cellStyle name="SAPBEXaggItemX 2 3 9 2" xfId="31199" xr:uid="{F528DF8D-3593-4C98-8A10-3A106951D01C}"/>
    <cellStyle name="SAPBEXaggItemX 2 4" xfId="15997" xr:uid="{9AD07B3A-5529-4320-9DFD-D71AB758A916}"/>
    <cellStyle name="SAPBEXaggItemX 2 4 2" xfId="31200" xr:uid="{9FE2EA72-D428-463D-89AF-820481D2BA97}"/>
    <cellStyle name="SAPBEXaggItemX 2 5" xfId="15998" xr:uid="{B3E3484F-B817-4675-A7F4-95A4700F8712}"/>
    <cellStyle name="SAPBEXaggItemX 2 5 2" xfId="31201" xr:uid="{A6B066F0-E140-454B-A5FB-8736BB90C081}"/>
    <cellStyle name="SAPBEXaggItemX 2 6" xfId="15999" xr:uid="{D4A44BCA-5836-4701-89BC-278D61A598AD}"/>
    <cellStyle name="SAPBEXaggItemX 2 6 2" xfId="31202" xr:uid="{2BC3EFBF-252C-4D3E-81B0-AEB000A5E36B}"/>
    <cellStyle name="SAPBEXaggItemX 2 7" xfId="16000" xr:uid="{1BC12725-464E-4D54-9005-897FD47F89B6}"/>
    <cellStyle name="SAPBEXaggItemX 2 7 2" xfId="31203" xr:uid="{A6762649-7E06-4F61-96F0-198355497BCF}"/>
    <cellStyle name="SAPBEXaggItemX 2 8" xfId="16001" xr:uid="{B4DEC793-4B10-4216-B932-1516DD65DE2D}"/>
    <cellStyle name="SAPBEXaggItemX 2 8 2" xfId="31204" xr:uid="{1C683342-2C3B-4527-935A-C66E95BDD8A3}"/>
    <cellStyle name="SAPBEXaggItemX 2 9" xfId="16002" xr:uid="{153224EB-3353-4EFD-A9C1-FF0D059C2379}"/>
    <cellStyle name="SAPBEXaggItemX 2 9 2" xfId="31205" xr:uid="{5483FF40-325E-40A2-9269-6D1A817EE576}"/>
    <cellStyle name="SAPBEXaggItemX 20" xfId="16003" xr:uid="{AFA81E77-D706-4B1A-8DE2-2BC62557ED43}"/>
    <cellStyle name="SAPBEXaggItemX 20 2" xfId="31206" xr:uid="{F08C16E3-8581-4AC5-9B01-E4137BF35474}"/>
    <cellStyle name="SAPBEXaggItemX 21" xfId="31133" xr:uid="{C9CDF581-DC9E-4CF3-8F13-3521D01394D9}"/>
    <cellStyle name="SAPBEXaggItemX 3" xfId="16004" xr:uid="{9A1EC705-CD84-4BBD-A676-2ACA9CA6E864}"/>
    <cellStyle name="SAPBEXaggItemX 3 10" xfId="16005" xr:uid="{7380A39D-1E4A-44ED-A3D4-AAF0CE45338F}"/>
    <cellStyle name="SAPBEXaggItemX 3 10 2" xfId="31208" xr:uid="{9B91DFF2-B9BA-403D-A00E-460DD1AE1CE8}"/>
    <cellStyle name="SAPBEXaggItemX 3 11" xfId="16006" xr:uid="{B011C366-61EC-49E4-95B0-0BC7C0E4DC04}"/>
    <cellStyle name="SAPBEXaggItemX 3 11 2" xfId="31209" xr:uid="{A5E12A0F-FA2E-4A10-ADC2-3537CA953CBC}"/>
    <cellStyle name="SAPBEXaggItemX 3 12" xfId="16007" xr:uid="{4A4F236D-DE2D-4100-9785-387C86EB0898}"/>
    <cellStyle name="SAPBEXaggItemX 3 12 2" xfId="31210" xr:uid="{11B51791-862D-40BF-95F8-75ED3C8DDDD2}"/>
    <cellStyle name="SAPBEXaggItemX 3 13" xfId="16008" xr:uid="{76B4BC9D-BAF0-4B3F-8026-D05BBBB0392E}"/>
    <cellStyle name="SAPBEXaggItemX 3 13 2" xfId="31211" xr:uid="{536BAF0A-128C-413A-9566-2240FE4D3CE4}"/>
    <cellStyle name="SAPBEXaggItemX 3 14" xfId="16009" xr:uid="{B7E5B1F7-5808-4CC0-B64A-7C638B44F603}"/>
    <cellStyle name="SAPBEXaggItemX 3 14 2" xfId="31212" xr:uid="{05DBB17A-A3DF-4E8A-BF91-368CF3421A6F}"/>
    <cellStyle name="SAPBEXaggItemX 3 15" xfId="16010" xr:uid="{15460AA7-7B5C-490C-AD4E-D7DB0F3ED6E2}"/>
    <cellStyle name="SAPBEXaggItemX 3 15 2" xfId="31213" xr:uid="{5CB12BFB-26A2-4948-AF2F-A2535479CF26}"/>
    <cellStyle name="SAPBEXaggItemX 3 16" xfId="16011" xr:uid="{FDF42E54-3982-45EC-995A-EDB742C26259}"/>
    <cellStyle name="SAPBEXaggItemX 3 16 2" xfId="31214" xr:uid="{E03EED96-25C3-4687-AFD2-64D9BDF06010}"/>
    <cellStyle name="SAPBEXaggItemX 3 17" xfId="16012" xr:uid="{1B6F5807-8CBA-4E38-BEC6-6D3DCA6177C4}"/>
    <cellStyle name="SAPBEXaggItemX 3 17 2" xfId="31215" xr:uid="{3FBD7427-F96C-478D-BC96-ED3E3AC7773E}"/>
    <cellStyle name="SAPBEXaggItemX 3 18" xfId="16013" xr:uid="{26B6CCE9-1CF0-408B-A4BC-2D0FF351CC3B}"/>
    <cellStyle name="SAPBEXaggItemX 3 18 2" xfId="31216" xr:uid="{A672F0BC-E09D-499A-8ECF-7906834C0AF6}"/>
    <cellStyle name="SAPBEXaggItemX 3 19" xfId="31207" xr:uid="{4B4F3A8E-9D11-4D83-9F12-354A4B65F1AB}"/>
    <cellStyle name="SAPBEXaggItemX 3 2" xfId="16014" xr:uid="{A85B5BD9-B409-46D7-A95C-DE8DBDC3D2D4}"/>
    <cellStyle name="SAPBEXaggItemX 3 2 10" xfId="16015" xr:uid="{68B90879-F649-44A7-A53C-FC199814D9A6}"/>
    <cellStyle name="SAPBEXaggItemX 3 2 10 2" xfId="31218" xr:uid="{EBFB4826-5A0D-4151-A422-2BD75C90A325}"/>
    <cellStyle name="SAPBEXaggItemX 3 2 11" xfId="16016" xr:uid="{2D1E868C-89CD-4C0E-95D0-488064124BA1}"/>
    <cellStyle name="SAPBEXaggItemX 3 2 11 2" xfId="31219" xr:uid="{6BFF2DD2-4943-4B99-A055-3592DA18C213}"/>
    <cellStyle name="SAPBEXaggItemX 3 2 12" xfId="16017" xr:uid="{3F5DBAFF-3D4B-4EE0-96EB-AE613DE3555A}"/>
    <cellStyle name="SAPBEXaggItemX 3 2 12 2" xfId="31220" xr:uid="{5A989F88-21B2-4057-8F70-C48E5CB512EF}"/>
    <cellStyle name="SAPBEXaggItemX 3 2 13" xfId="16018" xr:uid="{8EA4D477-084D-4E8C-A2E1-42ECE9543ED3}"/>
    <cellStyle name="SAPBEXaggItemX 3 2 13 2" xfId="31221" xr:uid="{F93E4982-7863-43B6-ADFB-51B229168F77}"/>
    <cellStyle name="SAPBEXaggItemX 3 2 14" xfId="16019" xr:uid="{29388C38-B53F-4EA0-A25A-40CBB3EA6462}"/>
    <cellStyle name="SAPBEXaggItemX 3 2 14 2" xfId="31222" xr:uid="{F5A6C61B-9A0A-42D0-A868-96C37EC0B7E8}"/>
    <cellStyle name="SAPBEXaggItemX 3 2 15" xfId="31217" xr:uid="{0AA4815A-3CBA-4534-A60B-9E6ABA957C8B}"/>
    <cellStyle name="SAPBEXaggItemX 3 2 2" xfId="16020" xr:uid="{65543D6B-D473-461B-8919-822B3A1D37A7}"/>
    <cellStyle name="SAPBEXaggItemX 3 2 2 2" xfId="31223" xr:uid="{15D1AB44-3F9A-4FB6-B66E-B4DA114B8C52}"/>
    <cellStyle name="SAPBEXaggItemX 3 2 3" xfId="16021" xr:uid="{0CA4C88E-2AFB-4F91-878C-60EF6A97F6E8}"/>
    <cellStyle name="SAPBEXaggItemX 3 2 3 2" xfId="31224" xr:uid="{2008E02A-D15D-4820-9A67-49310FAB524D}"/>
    <cellStyle name="SAPBEXaggItemX 3 2 4" xfId="16022" xr:uid="{98CAABDC-BBEB-428F-A7DF-C0EA4FB85A73}"/>
    <cellStyle name="SAPBEXaggItemX 3 2 4 2" xfId="31225" xr:uid="{D32EC930-4D87-43B7-9307-F88AB79B5B76}"/>
    <cellStyle name="SAPBEXaggItemX 3 2 5" xfId="16023" xr:uid="{960494DA-D482-414F-97C8-8BD050CB89AA}"/>
    <cellStyle name="SAPBEXaggItemX 3 2 5 2" xfId="31226" xr:uid="{3CCA89F0-FFF4-4B02-A4CD-1FEFF5AC96BD}"/>
    <cellStyle name="SAPBEXaggItemX 3 2 6" xfId="16024" xr:uid="{4D814ACB-F608-43BD-AFB2-58522F618F37}"/>
    <cellStyle name="SAPBEXaggItemX 3 2 6 2" xfId="31227" xr:uid="{D0322B0B-7776-4287-B771-F0484744E645}"/>
    <cellStyle name="SAPBEXaggItemX 3 2 7" xfId="16025" xr:uid="{55ABBA2D-48A3-449F-850C-2F1C3634B4ED}"/>
    <cellStyle name="SAPBEXaggItemX 3 2 7 2" xfId="31228" xr:uid="{74313B36-C37A-43E7-A2F5-FF0CF73D4ADD}"/>
    <cellStyle name="SAPBEXaggItemX 3 2 8" xfId="16026" xr:uid="{22DF6489-1BA7-49D6-AC1B-B3D93A6D5712}"/>
    <cellStyle name="SAPBEXaggItemX 3 2 8 2" xfId="31229" xr:uid="{F4CF1921-4DE3-4741-B81A-9211ADDDF9FA}"/>
    <cellStyle name="SAPBEXaggItemX 3 2 9" xfId="16027" xr:uid="{6F25A708-54ED-4C92-90B9-AE1139B80E94}"/>
    <cellStyle name="SAPBEXaggItemX 3 2 9 2" xfId="31230" xr:uid="{AF4B2ECC-2DC5-46AC-A770-18A8AB8362C3}"/>
    <cellStyle name="SAPBEXaggItemX 3 3" xfId="16028" xr:uid="{21D071A2-0D5A-4806-9B6F-06B7312BD49B}"/>
    <cellStyle name="SAPBEXaggItemX 3 3 2" xfId="31231" xr:uid="{437F22E3-3013-40C6-B093-E44E44F00734}"/>
    <cellStyle name="SAPBEXaggItemX 3 4" xfId="16029" xr:uid="{52406178-1F50-4C30-9BA5-72E9E00862CE}"/>
    <cellStyle name="SAPBEXaggItemX 3 4 2" xfId="31232" xr:uid="{738CDF6F-927D-4C92-B4A1-2ECBE0BE4505}"/>
    <cellStyle name="SAPBEXaggItemX 3 5" xfId="16030" xr:uid="{40B23D0E-9B15-4690-A27E-65CB2B05F552}"/>
    <cellStyle name="SAPBEXaggItemX 3 5 2" xfId="31233" xr:uid="{5CB80A7F-88AA-454A-B35B-A2AC0C8CC5AF}"/>
    <cellStyle name="SAPBEXaggItemX 3 6" xfId="16031" xr:uid="{1AC40ED2-155C-4CAD-8D59-673CCB89184B}"/>
    <cellStyle name="SAPBEXaggItemX 3 6 2" xfId="31234" xr:uid="{7A33ACF1-1EE1-41C5-82B7-3451865C2613}"/>
    <cellStyle name="SAPBEXaggItemX 3 7" xfId="16032" xr:uid="{9E4E0A6F-041B-4344-9767-3B13375224FE}"/>
    <cellStyle name="SAPBEXaggItemX 3 7 2" xfId="31235" xr:uid="{109D2F91-5085-4671-BFD2-A6BE0AF33747}"/>
    <cellStyle name="SAPBEXaggItemX 3 8" xfId="16033" xr:uid="{B84120B7-1864-4ABE-964D-D60461255890}"/>
    <cellStyle name="SAPBEXaggItemX 3 8 2" xfId="31236" xr:uid="{2DE12A93-AE79-4A57-A474-CA251726E634}"/>
    <cellStyle name="SAPBEXaggItemX 3 9" xfId="16034" xr:uid="{1D9004E0-610F-4482-8F41-A3A9F78E50BD}"/>
    <cellStyle name="SAPBEXaggItemX 3 9 2" xfId="31237" xr:uid="{CC1373C0-C7F1-4B2C-9012-DE253AFF3C04}"/>
    <cellStyle name="SAPBEXaggItemX 4" xfId="16035" xr:uid="{B368D1D3-6905-46EA-BD36-3A5939FF2617}"/>
    <cellStyle name="SAPBEXaggItemX 4 10" xfId="16036" xr:uid="{B394B614-E7B7-4437-A689-348D3B1877C4}"/>
    <cellStyle name="SAPBEXaggItemX 4 10 2" xfId="31239" xr:uid="{77F64AD2-0A36-45D6-B021-22DCFA7DBFF7}"/>
    <cellStyle name="SAPBEXaggItemX 4 11" xfId="16037" xr:uid="{32731A1A-1DE8-48B6-8430-707E6C411434}"/>
    <cellStyle name="SAPBEXaggItemX 4 11 2" xfId="31240" xr:uid="{B832BCEC-6FC9-4703-A1C9-75B18E935967}"/>
    <cellStyle name="SAPBEXaggItemX 4 12" xfId="16038" xr:uid="{A9C49839-B617-4C77-8C50-983807D9F73A}"/>
    <cellStyle name="SAPBEXaggItemX 4 12 2" xfId="31241" xr:uid="{72CC8C68-6C09-498A-91B6-D18ADF510C8F}"/>
    <cellStyle name="SAPBEXaggItemX 4 13" xfId="16039" xr:uid="{324E0400-E54F-44AF-93DD-5426A41BF95D}"/>
    <cellStyle name="SAPBEXaggItemX 4 13 2" xfId="31242" xr:uid="{E15A8D2C-ED2F-489D-B03A-27732EB5D84A}"/>
    <cellStyle name="SAPBEXaggItemX 4 14" xfId="16040" xr:uid="{85A6866A-566C-4E95-A2E3-0ABD836DA23B}"/>
    <cellStyle name="SAPBEXaggItemX 4 14 2" xfId="31243" xr:uid="{F7899658-9EB2-41E7-B995-991769CA489D}"/>
    <cellStyle name="SAPBEXaggItemX 4 15" xfId="31238" xr:uid="{A9AA2900-EAFA-428E-BB3B-3A3998F1EA94}"/>
    <cellStyle name="SAPBEXaggItemX 4 2" xfId="16041" xr:uid="{1C39B2A9-980E-4546-B993-890FBB3D3A5C}"/>
    <cellStyle name="SAPBEXaggItemX 4 2 2" xfId="31244" xr:uid="{69B48899-4F28-485E-88FE-39994BC37434}"/>
    <cellStyle name="SAPBEXaggItemX 4 3" xfId="16042" xr:uid="{379C1E31-BF41-4389-90CA-16BB05AE27C7}"/>
    <cellStyle name="SAPBEXaggItemX 4 3 2" xfId="31245" xr:uid="{36433967-868B-46C6-9817-09A4D202721D}"/>
    <cellStyle name="SAPBEXaggItemX 4 4" xfId="16043" xr:uid="{3B52B8BB-9C83-4944-A2B8-F87CF971C52F}"/>
    <cellStyle name="SAPBEXaggItemX 4 4 2" xfId="31246" xr:uid="{118F4D89-7DF9-4DCD-9FCF-482E99D82B4B}"/>
    <cellStyle name="SAPBEXaggItemX 4 5" xfId="16044" xr:uid="{8C579570-A8C4-49C4-A9B2-9C2BE9B272CE}"/>
    <cellStyle name="SAPBEXaggItemX 4 5 2" xfId="31247" xr:uid="{90A74F92-2A26-4493-8F33-F9066582E7D2}"/>
    <cellStyle name="SAPBEXaggItemX 4 6" xfId="16045" xr:uid="{0916171F-D2A5-4C32-AD60-D5457FFD70F8}"/>
    <cellStyle name="SAPBEXaggItemX 4 6 2" xfId="31248" xr:uid="{E3250416-0963-414B-8204-AC2B31F4F047}"/>
    <cellStyle name="SAPBEXaggItemX 4 7" xfId="16046" xr:uid="{A7AB4F3C-0077-42A8-BC3F-7C4C9A15D9C4}"/>
    <cellStyle name="SAPBEXaggItemX 4 7 2" xfId="31249" xr:uid="{B8CF6270-05C1-476A-B879-0068DC2C4D60}"/>
    <cellStyle name="SAPBEXaggItemX 4 8" xfId="16047" xr:uid="{9D822DA6-6878-4B6F-B114-01C66C8845C8}"/>
    <cellStyle name="SAPBEXaggItemX 4 8 2" xfId="31250" xr:uid="{F9ACCFD3-7AE1-43D4-8E4A-47787B866E5B}"/>
    <cellStyle name="SAPBEXaggItemX 4 9" xfId="16048" xr:uid="{E907AE9D-CE93-4E7E-89BA-1C856CB8EC35}"/>
    <cellStyle name="SAPBEXaggItemX 4 9 2" xfId="31251" xr:uid="{40AD3F99-815B-461B-872A-F00A7F51B164}"/>
    <cellStyle name="SAPBEXaggItemX 5" xfId="16049" xr:uid="{2489C0F3-2E66-4F10-839D-5306411CE61C}"/>
    <cellStyle name="SAPBEXaggItemX 5 2" xfId="31252" xr:uid="{6B05F96F-81C2-4F94-ACA2-9359D1490DCF}"/>
    <cellStyle name="SAPBEXaggItemX 6" xfId="16050" xr:uid="{BCADA9E5-F13A-4F9D-8C8F-F3F75D599DE6}"/>
    <cellStyle name="SAPBEXaggItemX 6 2" xfId="31253" xr:uid="{5FB36E15-D835-4057-A4CA-AE203B4D8FAF}"/>
    <cellStyle name="SAPBEXaggItemX 7" xfId="16051" xr:uid="{A537D46F-3FB8-49D7-88E5-65BB8CC14F2B}"/>
    <cellStyle name="SAPBEXaggItemX 7 2" xfId="31254" xr:uid="{ACB3F804-B038-4A4C-BB88-CBA8E6E52DDE}"/>
    <cellStyle name="SAPBEXaggItemX 8" xfId="16052" xr:uid="{B51806C8-BCEE-4825-A5CE-F599EC4A1B05}"/>
    <cellStyle name="SAPBEXaggItemX 8 2" xfId="31255" xr:uid="{810B19FC-F4F3-4985-87A3-FD31C7F2B7C6}"/>
    <cellStyle name="SAPBEXaggItemX 9" xfId="16053" xr:uid="{28EFDC13-9FA0-4324-B4C9-8F050F054553}"/>
    <cellStyle name="SAPBEXaggItemX 9 2" xfId="31256" xr:uid="{2ADCD92B-41D5-4487-9772-D90A416AB47A}"/>
    <cellStyle name="SAPBEXchaText" xfId="16054" xr:uid="{BAB7B868-F217-426B-BE8A-05D795358572}"/>
    <cellStyle name="SAPBEXchaText 2" xfId="16055" xr:uid="{ACAF160E-E569-4DDA-B402-31DF196A46DB}"/>
    <cellStyle name="SAPBEXchaText 2 2" xfId="16056" xr:uid="{F9E18148-76CB-4130-B607-153D67A73A99}"/>
    <cellStyle name="SAPBEXchaText 2 3" xfId="16057" xr:uid="{32CC28BB-B6D4-4295-A202-7744B6CB4A46}"/>
    <cellStyle name="SAPBEXchaText 3" xfId="16058" xr:uid="{616FA64C-CF5E-4FD1-A964-B2D68FDB79B0}"/>
    <cellStyle name="SAPBEXchaText 4" xfId="16059" xr:uid="{DA56037E-A4F5-4BFE-AF48-422C5725DEA9}"/>
    <cellStyle name="SAPBEXexcBad" xfId="16060" xr:uid="{92FBF018-2CFA-422B-82DB-CD6FE58459D6}"/>
    <cellStyle name="SAPBEXexcBad 2" xfId="16061" xr:uid="{7F77826B-89BE-42A4-915A-F6FD92807988}"/>
    <cellStyle name="SAPBEXexcBad7" xfId="16062" xr:uid="{F5702BDB-E132-48B9-808F-5715666A5E30}"/>
    <cellStyle name="SAPBEXexcBad7 10" xfId="16063" xr:uid="{4F80EF1A-DC29-422A-8D1D-60C53663908A}"/>
    <cellStyle name="SAPBEXexcBad7 10 2" xfId="31258" xr:uid="{537F1B90-5375-44B6-8905-C095C9F9A278}"/>
    <cellStyle name="SAPBEXexcBad7 11" xfId="16064" xr:uid="{6A84D4C6-F395-471A-A36C-52C82694D90A}"/>
    <cellStyle name="SAPBEXexcBad7 11 2" xfId="31259" xr:uid="{B633780C-FA54-4F8A-B23D-B232B42403CC}"/>
    <cellStyle name="SAPBEXexcBad7 12" xfId="16065" xr:uid="{E0064142-C246-4C56-9313-A52D8C5DD422}"/>
    <cellStyle name="SAPBEXexcBad7 12 2" xfId="31260" xr:uid="{CEE5BC79-CC85-4D1F-866F-60E0DED19F63}"/>
    <cellStyle name="SAPBEXexcBad7 13" xfId="16066" xr:uid="{EF1DA8AB-ED4A-4C84-B318-2FB487741AC6}"/>
    <cellStyle name="SAPBEXexcBad7 13 2" xfId="31261" xr:uid="{80BA591D-B5CE-4347-9E28-9E6099756628}"/>
    <cellStyle name="SAPBEXexcBad7 14" xfId="16067" xr:uid="{00B6C84F-7FD5-458C-98C3-FDF38A7EF2A0}"/>
    <cellStyle name="SAPBEXexcBad7 14 2" xfId="31262" xr:uid="{0DC213B2-46B0-48FF-80E3-5E7637334D55}"/>
    <cellStyle name="SAPBEXexcBad7 15" xfId="16068" xr:uid="{3D715780-965C-46E7-BF22-640459446AF8}"/>
    <cellStyle name="SAPBEXexcBad7 15 2" xfId="31263" xr:uid="{E9B0DCA6-86A8-4957-8799-5A8DA2D5D7F3}"/>
    <cellStyle name="SAPBEXexcBad7 16" xfId="16069" xr:uid="{FD9022DE-2741-4A82-8653-6CCEC84E9930}"/>
    <cellStyle name="SAPBEXexcBad7 16 2" xfId="31264" xr:uid="{4E231BCA-81BB-405F-863B-802865369C68}"/>
    <cellStyle name="SAPBEXexcBad7 17" xfId="16070" xr:uid="{4E9D34FF-E036-4CDE-8DB0-BD57DE4714EE}"/>
    <cellStyle name="SAPBEXexcBad7 17 2" xfId="31265" xr:uid="{20D7C5DF-FE07-4DF8-82C2-887CEC1054DF}"/>
    <cellStyle name="SAPBEXexcBad7 18" xfId="16071" xr:uid="{FF1D9232-AD1D-4176-8644-F3A9232F141D}"/>
    <cellStyle name="SAPBEXexcBad7 18 2" xfId="31266" xr:uid="{CD1333DB-5F6F-43B7-B8B5-8DB9B8DFD206}"/>
    <cellStyle name="SAPBEXexcBad7 19" xfId="16072" xr:uid="{C15B3E69-430A-4CB4-9C44-05718E2AFC4C}"/>
    <cellStyle name="SAPBEXexcBad7 19 2" xfId="31267" xr:uid="{988D30C0-0498-4EC5-B061-3B4D7193945B}"/>
    <cellStyle name="SAPBEXexcBad7 2" xfId="16073" xr:uid="{F2879280-F5BF-42DE-957B-71C9E9EB217D}"/>
    <cellStyle name="SAPBEXexcBad7 2 10" xfId="16074" xr:uid="{7727FC53-4B0D-4DAC-93B7-9AE449ED7BB9}"/>
    <cellStyle name="SAPBEXexcBad7 2 10 2" xfId="31269" xr:uid="{322BEC46-2A37-4F37-98A7-50F347D8B60C}"/>
    <cellStyle name="SAPBEXexcBad7 2 11" xfId="16075" xr:uid="{3C0A558D-1314-45F7-B113-4ED394BC779D}"/>
    <cellStyle name="SAPBEXexcBad7 2 11 2" xfId="31270" xr:uid="{D89BD40F-D5AD-4394-9AC6-6B8CDD36E89A}"/>
    <cellStyle name="SAPBEXexcBad7 2 12" xfId="16076" xr:uid="{CB35E112-4806-4336-AD19-47C7AADB70AE}"/>
    <cellStyle name="SAPBEXexcBad7 2 12 2" xfId="31271" xr:uid="{711B9458-0CE4-4AEA-97FA-A025F1375714}"/>
    <cellStyle name="SAPBEXexcBad7 2 13" xfId="16077" xr:uid="{39DBA9EF-AC3E-43A5-BC5F-CA9644FB78C1}"/>
    <cellStyle name="SAPBEXexcBad7 2 13 2" xfId="31272" xr:uid="{51FB9026-1559-43CD-B98C-22965177E184}"/>
    <cellStyle name="SAPBEXexcBad7 2 14" xfId="16078" xr:uid="{7CD4634A-46AA-4AA3-A1A2-B09F6324F45F}"/>
    <cellStyle name="SAPBEXexcBad7 2 14 2" xfId="31273" xr:uid="{A738BAF9-C71F-4E1E-AC20-C65F73170AEC}"/>
    <cellStyle name="SAPBEXexcBad7 2 15" xfId="16079" xr:uid="{FB7A1F0B-D9FF-43E1-9B3D-1E144A4B57DA}"/>
    <cellStyle name="SAPBEXexcBad7 2 15 2" xfId="31274" xr:uid="{6E177256-EB89-4A9C-B43B-365EC909616D}"/>
    <cellStyle name="SAPBEXexcBad7 2 16" xfId="16080" xr:uid="{677CD13F-2599-4D8B-B2F3-2D1632147CBD}"/>
    <cellStyle name="SAPBEXexcBad7 2 16 2" xfId="31275" xr:uid="{761F1B22-0311-40D0-A414-649740BEC56E}"/>
    <cellStyle name="SAPBEXexcBad7 2 17" xfId="16081" xr:uid="{D8CA14F4-BF94-4637-8280-0C9F9E5A6E45}"/>
    <cellStyle name="SAPBEXexcBad7 2 17 2" xfId="31276" xr:uid="{746E1FC8-208F-4C6F-9F97-C3EDBC5177C5}"/>
    <cellStyle name="SAPBEXexcBad7 2 18" xfId="16082" xr:uid="{C1C3C345-5DFF-41FF-82E3-E7BBFD51D557}"/>
    <cellStyle name="SAPBEXexcBad7 2 18 2" xfId="31277" xr:uid="{14626265-0DFA-4C8D-9F83-32032D36075E}"/>
    <cellStyle name="SAPBEXexcBad7 2 19" xfId="16083" xr:uid="{E2EC92BB-F9A1-413E-AB44-CEBF51B27225}"/>
    <cellStyle name="SAPBEXexcBad7 2 19 2" xfId="31278" xr:uid="{347288F7-BD9F-4A9E-977B-36833F9505C1}"/>
    <cellStyle name="SAPBEXexcBad7 2 2" xfId="16084" xr:uid="{0CE2B0B4-87A2-44E1-868E-DA1520A3D4B3}"/>
    <cellStyle name="SAPBEXexcBad7 2 2 10" xfId="16085" xr:uid="{0D020612-63D3-4E4C-9948-0F5943B90EB2}"/>
    <cellStyle name="SAPBEXexcBad7 2 2 10 2" xfId="31280" xr:uid="{CD4BED0B-38DE-442E-8900-964746F2839F}"/>
    <cellStyle name="SAPBEXexcBad7 2 2 11" xfId="16086" xr:uid="{B951109D-A954-45B0-B613-3DA57D4622F7}"/>
    <cellStyle name="SAPBEXexcBad7 2 2 11 2" xfId="31281" xr:uid="{AA351E18-FBF7-425B-AAA5-FCCB5E852C64}"/>
    <cellStyle name="SAPBEXexcBad7 2 2 12" xfId="16087" xr:uid="{091AB98A-751F-4A12-B96A-017F199EF72C}"/>
    <cellStyle name="SAPBEXexcBad7 2 2 12 2" xfId="31282" xr:uid="{0CCB7A25-D2FD-448E-81F5-6F85590B190E}"/>
    <cellStyle name="SAPBEXexcBad7 2 2 13" xfId="16088" xr:uid="{CF8C2D1C-E58E-49E4-BD07-FDE69F972D46}"/>
    <cellStyle name="SAPBEXexcBad7 2 2 13 2" xfId="31283" xr:uid="{2510FA43-E3E9-4AE5-BB7A-E47C4DD81522}"/>
    <cellStyle name="SAPBEXexcBad7 2 2 14" xfId="16089" xr:uid="{9FAE7D09-945E-4032-AC10-DD806E5CEFCA}"/>
    <cellStyle name="SAPBEXexcBad7 2 2 14 2" xfId="31284" xr:uid="{212C48F9-649B-4F00-9F24-385FCE5FB35F}"/>
    <cellStyle name="SAPBEXexcBad7 2 2 15" xfId="16090" xr:uid="{562E4BFD-5C06-414E-B4E8-A2054C943D2C}"/>
    <cellStyle name="SAPBEXexcBad7 2 2 15 2" xfId="31285" xr:uid="{DB9976B5-EAE1-4896-A65C-8E39966E467A}"/>
    <cellStyle name="SAPBEXexcBad7 2 2 16" xfId="16091" xr:uid="{3D6F1D7F-CBC8-48C2-B3F3-89AA40A63381}"/>
    <cellStyle name="SAPBEXexcBad7 2 2 16 2" xfId="31286" xr:uid="{47FCD495-814B-4FC0-8CC2-3640B3C029F6}"/>
    <cellStyle name="SAPBEXexcBad7 2 2 17" xfId="16092" xr:uid="{278E56B0-B933-4B93-93DC-462C1C0FA7C7}"/>
    <cellStyle name="SAPBEXexcBad7 2 2 17 2" xfId="31287" xr:uid="{B1C007F7-8BDF-46C1-89A3-EAC9473AE60F}"/>
    <cellStyle name="SAPBEXexcBad7 2 2 18" xfId="16093" xr:uid="{09CDA567-3DCC-4ED4-97BF-A940915D6475}"/>
    <cellStyle name="SAPBEXexcBad7 2 2 18 2" xfId="31288" xr:uid="{63B19D93-5A89-4D9C-A441-5E1504F103E2}"/>
    <cellStyle name="SAPBEXexcBad7 2 2 19" xfId="31279" xr:uid="{6F4536CB-2C89-47C2-977E-55C70BC273A3}"/>
    <cellStyle name="SAPBEXexcBad7 2 2 2" xfId="16094" xr:uid="{7A57AEBC-D4BA-40A5-8CC0-8E3F827A9841}"/>
    <cellStyle name="SAPBEXexcBad7 2 2 2 10" xfId="16095" xr:uid="{F92E9047-BC53-4E69-9880-69B338379F38}"/>
    <cellStyle name="SAPBEXexcBad7 2 2 2 10 2" xfId="31290" xr:uid="{62A138A1-5800-407C-BE20-6566080B1439}"/>
    <cellStyle name="SAPBEXexcBad7 2 2 2 11" xfId="16096" xr:uid="{32A9A1DC-4A90-4D20-AB44-3164DD6DF6BB}"/>
    <cellStyle name="SAPBEXexcBad7 2 2 2 11 2" xfId="31291" xr:uid="{CCD3DF3E-F2F2-49E3-97AB-9FD87692F4B5}"/>
    <cellStyle name="SAPBEXexcBad7 2 2 2 12" xfId="16097" xr:uid="{2DF62F92-89DE-475E-B863-8B5215182FE4}"/>
    <cellStyle name="SAPBEXexcBad7 2 2 2 12 2" xfId="31292" xr:uid="{158B2F8B-BD7C-41C7-BCA1-01ECE13E8477}"/>
    <cellStyle name="SAPBEXexcBad7 2 2 2 13" xfId="16098" xr:uid="{E0D256EE-C217-4D53-A18C-4961050DE789}"/>
    <cellStyle name="SAPBEXexcBad7 2 2 2 13 2" xfId="31293" xr:uid="{0A5653A2-61B6-40D4-9C81-8A855A2B358A}"/>
    <cellStyle name="SAPBEXexcBad7 2 2 2 14" xfId="16099" xr:uid="{4199D90E-D72D-467A-A6F4-F2B858DC226D}"/>
    <cellStyle name="SAPBEXexcBad7 2 2 2 14 2" xfId="31294" xr:uid="{58E80D33-703D-410E-A098-D5A891EE2E58}"/>
    <cellStyle name="SAPBEXexcBad7 2 2 2 15" xfId="31289" xr:uid="{1ACBA704-4109-4AFD-A235-CF288CC5DD56}"/>
    <cellStyle name="SAPBEXexcBad7 2 2 2 2" xfId="16100" xr:uid="{23684D16-61A1-447D-A3C7-DC571C1BC705}"/>
    <cellStyle name="SAPBEXexcBad7 2 2 2 2 2" xfId="31295" xr:uid="{6B58D684-20B0-4A13-9FA7-42FA9708A264}"/>
    <cellStyle name="SAPBEXexcBad7 2 2 2 3" xfId="16101" xr:uid="{50F0DE22-4DEF-433A-8681-45EB79905029}"/>
    <cellStyle name="SAPBEXexcBad7 2 2 2 3 2" xfId="31296" xr:uid="{D859AE5C-9034-4309-9423-04DE5B217C15}"/>
    <cellStyle name="SAPBEXexcBad7 2 2 2 4" xfId="16102" xr:uid="{12FFAAD9-EB16-49B1-BDDB-938B55C6E723}"/>
    <cellStyle name="SAPBEXexcBad7 2 2 2 4 2" xfId="31297" xr:uid="{EC5D0E4C-DF22-41F8-9F7A-F4495EB9159B}"/>
    <cellStyle name="SAPBEXexcBad7 2 2 2 5" xfId="16103" xr:uid="{214DE14D-F977-4A8A-817F-63324A39A98A}"/>
    <cellStyle name="SAPBEXexcBad7 2 2 2 5 2" xfId="31298" xr:uid="{73E21264-8313-49C6-98D1-094E49FCD919}"/>
    <cellStyle name="SAPBEXexcBad7 2 2 2 6" xfId="16104" xr:uid="{71ACBF19-AE8B-4AFB-A61E-056640A2255B}"/>
    <cellStyle name="SAPBEXexcBad7 2 2 2 6 2" xfId="31299" xr:uid="{27496EE0-10EF-4A54-A75A-AAA996BC152E}"/>
    <cellStyle name="SAPBEXexcBad7 2 2 2 7" xfId="16105" xr:uid="{85BFD6AB-8CD8-4AD1-B863-67C7A139D873}"/>
    <cellStyle name="SAPBEXexcBad7 2 2 2 7 2" xfId="31300" xr:uid="{B99EC1B8-7928-459F-800A-DB670408ACF2}"/>
    <cellStyle name="SAPBEXexcBad7 2 2 2 8" xfId="16106" xr:uid="{C82A966A-3375-46C5-9B74-56DD36F35130}"/>
    <cellStyle name="SAPBEXexcBad7 2 2 2 8 2" xfId="31301" xr:uid="{9143724A-B397-41BA-8133-F2174E374DEA}"/>
    <cellStyle name="SAPBEXexcBad7 2 2 2 9" xfId="16107" xr:uid="{F1DBD695-BB3F-47C1-B905-1B15B25A7285}"/>
    <cellStyle name="SAPBEXexcBad7 2 2 2 9 2" xfId="31302" xr:uid="{BD1B64D2-BB98-4992-BA24-4B5458E5DB5B}"/>
    <cellStyle name="SAPBEXexcBad7 2 2 3" xfId="16108" xr:uid="{B05C5A82-8A37-4604-BF14-A497058655D9}"/>
    <cellStyle name="SAPBEXexcBad7 2 2 3 2" xfId="31303" xr:uid="{D8F84591-2267-4287-8B78-07EC329D84A4}"/>
    <cellStyle name="SAPBEXexcBad7 2 2 4" xfId="16109" xr:uid="{7F35C31C-A852-43C3-B5B9-13325A35CCE2}"/>
    <cellStyle name="SAPBEXexcBad7 2 2 4 2" xfId="31304" xr:uid="{1B16EBBC-61D3-4B54-9254-7C188C90D013}"/>
    <cellStyle name="SAPBEXexcBad7 2 2 5" xfId="16110" xr:uid="{CEB6044E-7082-4EFD-BE79-A2F73D5A18BF}"/>
    <cellStyle name="SAPBEXexcBad7 2 2 5 2" xfId="31305" xr:uid="{5067AAAA-BC95-4600-9928-CD5E3570648E}"/>
    <cellStyle name="SAPBEXexcBad7 2 2 6" xfId="16111" xr:uid="{B54716D2-795A-40E5-B3D1-DD7DDEB93234}"/>
    <cellStyle name="SAPBEXexcBad7 2 2 6 2" xfId="31306" xr:uid="{B4BE1498-D39C-4FA0-BF1D-79FE0DA072B9}"/>
    <cellStyle name="SAPBEXexcBad7 2 2 7" xfId="16112" xr:uid="{C5D682CB-B008-402D-A4B4-1A1C876406E9}"/>
    <cellStyle name="SAPBEXexcBad7 2 2 7 2" xfId="31307" xr:uid="{38F2399E-B4AA-4786-A717-26A22C134AF2}"/>
    <cellStyle name="SAPBEXexcBad7 2 2 8" xfId="16113" xr:uid="{B1935B99-95BC-47DA-8FDC-33F29B9D66E4}"/>
    <cellStyle name="SAPBEXexcBad7 2 2 8 2" xfId="31308" xr:uid="{43278FD6-C836-4B35-8441-5E64B8667E0F}"/>
    <cellStyle name="SAPBEXexcBad7 2 2 9" xfId="16114" xr:uid="{A3F7C4A7-B0D0-4FBD-A275-2829F438BA29}"/>
    <cellStyle name="SAPBEXexcBad7 2 2 9 2" xfId="31309" xr:uid="{9A22371E-1841-4376-9236-0F9AAB3A1B63}"/>
    <cellStyle name="SAPBEXexcBad7 2 20" xfId="31268" xr:uid="{E4F4FF44-D913-4DAA-950F-6CCFC36F1969}"/>
    <cellStyle name="SAPBEXexcBad7 2 3" xfId="16115" xr:uid="{372EC22F-2973-4414-A3ED-99F6A5C91267}"/>
    <cellStyle name="SAPBEXexcBad7 2 3 10" xfId="16116" xr:uid="{F2C52C77-AE01-4A97-9EBF-B3BC9AB180D2}"/>
    <cellStyle name="SAPBEXexcBad7 2 3 10 2" xfId="31311" xr:uid="{798718C6-9110-45C8-BA6B-BB77CD475646}"/>
    <cellStyle name="SAPBEXexcBad7 2 3 11" xfId="16117" xr:uid="{CC9F6B3C-38E5-4CCC-A324-9E779959F902}"/>
    <cellStyle name="SAPBEXexcBad7 2 3 11 2" xfId="31312" xr:uid="{B8610F0E-D407-416B-942C-F0BBB8DA50A7}"/>
    <cellStyle name="SAPBEXexcBad7 2 3 12" xfId="16118" xr:uid="{A2883753-A1B5-4B65-A060-582F78933404}"/>
    <cellStyle name="SAPBEXexcBad7 2 3 12 2" xfId="31313" xr:uid="{60E91F0F-28E8-408E-94F2-164372A1D489}"/>
    <cellStyle name="SAPBEXexcBad7 2 3 13" xfId="16119" xr:uid="{5AF1651C-BB12-4A5D-BD21-7F9770D1C94E}"/>
    <cellStyle name="SAPBEXexcBad7 2 3 13 2" xfId="31314" xr:uid="{85C7718D-C346-48F2-92B8-5675403ECBE6}"/>
    <cellStyle name="SAPBEXexcBad7 2 3 14" xfId="16120" xr:uid="{2B864003-7BF6-4EB1-A7CF-67AC1030D729}"/>
    <cellStyle name="SAPBEXexcBad7 2 3 14 2" xfId="31315" xr:uid="{A588E54A-E9BE-4785-8690-FBD047A3EEC2}"/>
    <cellStyle name="SAPBEXexcBad7 2 3 15" xfId="31310" xr:uid="{13F4C97B-B5DD-44E5-A7A6-678B312E2659}"/>
    <cellStyle name="SAPBEXexcBad7 2 3 2" xfId="16121" xr:uid="{860213E2-0281-4FCD-94BB-2A7CC5FB36B4}"/>
    <cellStyle name="SAPBEXexcBad7 2 3 2 2" xfId="31316" xr:uid="{5175DF87-1A20-47A2-A3D7-7FE84AB57622}"/>
    <cellStyle name="SAPBEXexcBad7 2 3 3" xfId="16122" xr:uid="{4B834A29-01AC-4682-A3CD-B93A6BC19C8B}"/>
    <cellStyle name="SAPBEXexcBad7 2 3 3 2" xfId="31317" xr:uid="{DC269343-21ED-4945-AC56-6730EDF982AA}"/>
    <cellStyle name="SAPBEXexcBad7 2 3 4" xfId="16123" xr:uid="{052F3599-841D-4F17-9DA2-9E6BA50DCAA5}"/>
    <cellStyle name="SAPBEXexcBad7 2 3 4 2" xfId="31318" xr:uid="{0C427693-33C7-4948-B466-CF20ABC6CA4F}"/>
    <cellStyle name="SAPBEXexcBad7 2 3 5" xfId="16124" xr:uid="{39CAD8C9-64CF-4138-8784-3CBE47183C24}"/>
    <cellStyle name="SAPBEXexcBad7 2 3 5 2" xfId="31319" xr:uid="{F46F20BD-AAF0-4977-9786-E0AE8B5674A4}"/>
    <cellStyle name="SAPBEXexcBad7 2 3 6" xfId="16125" xr:uid="{863741C4-1BDB-4888-922D-638171BA4667}"/>
    <cellStyle name="SAPBEXexcBad7 2 3 6 2" xfId="31320" xr:uid="{64F58CD8-12AF-461C-8029-0EF2095A9583}"/>
    <cellStyle name="SAPBEXexcBad7 2 3 7" xfId="16126" xr:uid="{020EC356-B511-4C14-9451-FE381D7480DB}"/>
    <cellStyle name="SAPBEXexcBad7 2 3 7 2" xfId="31321" xr:uid="{DC7C7328-C12F-4D42-B0FC-C9B5BA25ACA4}"/>
    <cellStyle name="SAPBEXexcBad7 2 3 8" xfId="16127" xr:uid="{8CF662A1-E920-4FB4-830A-C036191C4A60}"/>
    <cellStyle name="SAPBEXexcBad7 2 3 8 2" xfId="31322" xr:uid="{51BEBD5F-BDDE-4B39-BAEB-5F78E0585C31}"/>
    <cellStyle name="SAPBEXexcBad7 2 3 9" xfId="16128" xr:uid="{E3F8E1F3-82E2-4850-8D51-296485DEEEA6}"/>
    <cellStyle name="SAPBEXexcBad7 2 3 9 2" xfId="31323" xr:uid="{657E4D83-3B17-4961-9B03-FC76E486AAA4}"/>
    <cellStyle name="SAPBEXexcBad7 2 4" xfId="16129" xr:uid="{3244305B-40F8-4827-AEB8-1834359DF91A}"/>
    <cellStyle name="SAPBEXexcBad7 2 4 2" xfId="31324" xr:uid="{F2FFF9CE-6044-48E8-B1DE-135DB3DD761E}"/>
    <cellStyle name="SAPBEXexcBad7 2 5" xfId="16130" xr:uid="{A3DF8B9B-7C84-43F2-B88C-B26551F1F66C}"/>
    <cellStyle name="SAPBEXexcBad7 2 5 2" xfId="31325" xr:uid="{C276815E-5180-4BB0-B689-8BDD8FDA404F}"/>
    <cellStyle name="SAPBEXexcBad7 2 6" xfId="16131" xr:uid="{16B422ED-4087-497D-B0B1-7453F6B2A311}"/>
    <cellStyle name="SAPBEXexcBad7 2 6 2" xfId="31326" xr:uid="{AB293AE8-FDB4-44D3-8C7E-35B0A9A7A5C1}"/>
    <cellStyle name="SAPBEXexcBad7 2 7" xfId="16132" xr:uid="{AD9DBA52-ECA8-4376-9AE7-A3EE0BEE5BD9}"/>
    <cellStyle name="SAPBEXexcBad7 2 7 2" xfId="31327" xr:uid="{2E58A943-C037-4C93-B7FD-E2620112329F}"/>
    <cellStyle name="SAPBEXexcBad7 2 8" xfId="16133" xr:uid="{F744BF73-7151-40CA-B52E-20FAFE98CF63}"/>
    <cellStyle name="SAPBEXexcBad7 2 8 2" xfId="31328" xr:uid="{DD42C7C8-0B87-4005-9FEA-27E1794BA2EE}"/>
    <cellStyle name="SAPBEXexcBad7 2 9" xfId="16134" xr:uid="{A48A5E13-D8C9-4A40-AFAF-32DEA19F84F4}"/>
    <cellStyle name="SAPBEXexcBad7 2 9 2" xfId="31329" xr:uid="{363E0E66-12ED-442F-8BF6-9725B43CCB29}"/>
    <cellStyle name="SAPBEXexcBad7 20" xfId="16135" xr:uid="{84954B1E-2DC1-4904-A0E2-3A74FBFDD593}"/>
    <cellStyle name="SAPBEXexcBad7 20 2" xfId="31330" xr:uid="{FE92DB3F-9666-42DC-940E-F8880359EF3C}"/>
    <cellStyle name="SAPBEXexcBad7 21" xfId="31257" xr:uid="{5A3D4617-7A8A-4CE1-AEDF-03A6AD27C517}"/>
    <cellStyle name="SAPBEXexcBad7 3" xfId="16136" xr:uid="{E39863C4-8BD2-4E42-B7A9-F558B2FF06FD}"/>
    <cellStyle name="SAPBEXexcBad7 3 10" xfId="16137" xr:uid="{5C161635-C837-471A-AC7D-D16718609F8E}"/>
    <cellStyle name="SAPBEXexcBad7 3 10 2" xfId="31332" xr:uid="{4E6263B4-4C8E-463F-AE66-18D314BD3A9F}"/>
    <cellStyle name="SAPBEXexcBad7 3 11" xfId="16138" xr:uid="{71604B11-3B3C-4A3F-8158-8F10E144A725}"/>
    <cellStyle name="SAPBEXexcBad7 3 11 2" xfId="31333" xr:uid="{8F73FFEC-A50F-4BFC-B6DA-4941C4EDB6D1}"/>
    <cellStyle name="SAPBEXexcBad7 3 12" xfId="16139" xr:uid="{913827F1-A633-4D57-998B-AAC394E9F971}"/>
    <cellStyle name="SAPBEXexcBad7 3 12 2" xfId="31334" xr:uid="{D8070655-2E46-4471-ABCB-BBFF254FEAD2}"/>
    <cellStyle name="SAPBEXexcBad7 3 13" xfId="16140" xr:uid="{950C9FB0-E4E0-4483-A658-1498BAEB91FB}"/>
    <cellStyle name="SAPBEXexcBad7 3 13 2" xfId="31335" xr:uid="{BD88CBC5-0DCA-487E-A1D4-E1110E269EF4}"/>
    <cellStyle name="SAPBEXexcBad7 3 14" xfId="16141" xr:uid="{0927089F-23F0-4668-91F3-28A64E3A8033}"/>
    <cellStyle name="SAPBEXexcBad7 3 14 2" xfId="31336" xr:uid="{D15B0C45-EA7B-4912-8027-68EE66DE4DAC}"/>
    <cellStyle name="SAPBEXexcBad7 3 15" xfId="16142" xr:uid="{B051A411-DA8A-408C-BA0C-35F45AFDC20E}"/>
    <cellStyle name="SAPBEXexcBad7 3 15 2" xfId="31337" xr:uid="{6361FD60-559F-455A-83D3-8798B62C4D75}"/>
    <cellStyle name="SAPBEXexcBad7 3 16" xfId="16143" xr:uid="{351D6B6F-7CC1-4C28-9BD9-F7DC085A7AC0}"/>
    <cellStyle name="SAPBEXexcBad7 3 16 2" xfId="31338" xr:uid="{B5E4209F-7169-41A0-8A4B-B9F4576FFB0D}"/>
    <cellStyle name="SAPBEXexcBad7 3 17" xfId="16144" xr:uid="{23E79A03-F3FC-49E3-A8FF-25BB0C43DEA3}"/>
    <cellStyle name="SAPBEXexcBad7 3 17 2" xfId="31339" xr:uid="{ACFF840F-4C57-407F-9A42-2CFBC3124C26}"/>
    <cellStyle name="SAPBEXexcBad7 3 18" xfId="16145" xr:uid="{2124B5CD-3AA8-49B8-9296-18BDC72C72B0}"/>
    <cellStyle name="SAPBEXexcBad7 3 18 2" xfId="31340" xr:uid="{569FFF6D-30F9-4ADA-84C5-1CE22907E7D0}"/>
    <cellStyle name="SAPBEXexcBad7 3 19" xfId="31331" xr:uid="{2CA3F4D7-0F32-49AC-9819-2D1783DFAED9}"/>
    <cellStyle name="SAPBEXexcBad7 3 2" xfId="16146" xr:uid="{1A57FC95-78B7-40A2-9BDD-8723FF0F1687}"/>
    <cellStyle name="SAPBEXexcBad7 3 2 10" xfId="16147" xr:uid="{65CB81C8-E002-44B8-A195-F1AD01042E85}"/>
    <cellStyle name="SAPBEXexcBad7 3 2 10 2" xfId="31342" xr:uid="{86E94397-4864-435E-9F8F-0851546628C2}"/>
    <cellStyle name="SAPBEXexcBad7 3 2 11" xfId="16148" xr:uid="{CF20CA7B-9DFC-4088-92A7-EF4736B18FA4}"/>
    <cellStyle name="SAPBEXexcBad7 3 2 11 2" xfId="31343" xr:uid="{F24E8A18-5195-4048-83F7-662ECEAE3A1C}"/>
    <cellStyle name="SAPBEXexcBad7 3 2 12" xfId="16149" xr:uid="{6991F187-FBC2-47AF-A508-F9D13D965766}"/>
    <cellStyle name="SAPBEXexcBad7 3 2 12 2" xfId="31344" xr:uid="{58BF53F9-4EAB-4FC8-84EE-8C21A95A55D0}"/>
    <cellStyle name="SAPBEXexcBad7 3 2 13" xfId="16150" xr:uid="{CEC853D2-96C9-4F5D-BD56-5ACC9E4AD69C}"/>
    <cellStyle name="SAPBEXexcBad7 3 2 13 2" xfId="31345" xr:uid="{95453D30-A04C-441C-BB7D-307E46327131}"/>
    <cellStyle name="SAPBEXexcBad7 3 2 14" xfId="16151" xr:uid="{CFAC40F0-2B2E-4BCC-B126-1EB308DCB509}"/>
    <cellStyle name="SAPBEXexcBad7 3 2 14 2" xfId="31346" xr:uid="{96E3BAEE-EACD-45C6-986F-DE301C7CE12E}"/>
    <cellStyle name="SAPBEXexcBad7 3 2 15" xfId="31341" xr:uid="{82AFFE32-F35E-4542-A0D6-0DFD746CFD30}"/>
    <cellStyle name="SAPBEXexcBad7 3 2 2" xfId="16152" xr:uid="{9B3CD908-C1C3-4A30-9458-C83146595B7D}"/>
    <cellStyle name="SAPBEXexcBad7 3 2 2 2" xfId="31347" xr:uid="{D6498D9D-558A-420A-96D5-8FABECB153D7}"/>
    <cellStyle name="SAPBEXexcBad7 3 2 3" xfId="16153" xr:uid="{75932742-2B69-408C-876B-344B3638B935}"/>
    <cellStyle name="SAPBEXexcBad7 3 2 3 2" xfId="31348" xr:uid="{44005A45-20A4-4FDD-9B46-0E1D85B2FA1A}"/>
    <cellStyle name="SAPBEXexcBad7 3 2 4" xfId="16154" xr:uid="{27B7C486-0E20-4E4C-B810-912F84E9A113}"/>
    <cellStyle name="SAPBEXexcBad7 3 2 4 2" xfId="31349" xr:uid="{210CCC5A-EBA0-42DB-A46B-3EC74D333475}"/>
    <cellStyle name="SAPBEXexcBad7 3 2 5" xfId="16155" xr:uid="{B793A519-CA9C-460B-A619-66C22204EA4C}"/>
    <cellStyle name="SAPBEXexcBad7 3 2 5 2" xfId="31350" xr:uid="{932209EB-F62B-4594-AA09-63F9163FEB2D}"/>
    <cellStyle name="SAPBEXexcBad7 3 2 6" xfId="16156" xr:uid="{0C24C4E5-5F93-4FF7-8C94-14CECAF6611D}"/>
    <cellStyle name="SAPBEXexcBad7 3 2 6 2" xfId="31351" xr:uid="{8FEED44A-623F-40FF-8F60-A4329998DC06}"/>
    <cellStyle name="SAPBEXexcBad7 3 2 7" xfId="16157" xr:uid="{EFAD71E7-A1F1-4AB7-8F75-8C66B49D06DB}"/>
    <cellStyle name="SAPBEXexcBad7 3 2 7 2" xfId="31352" xr:uid="{073B1F19-37B0-4729-982C-DE902E940167}"/>
    <cellStyle name="SAPBEXexcBad7 3 2 8" xfId="16158" xr:uid="{BC0F000F-3F9F-4322-A367-1F7D5999DFE0}"/>
    <cellStyle name="SAPBEXexcBad7 3 2 8 2" xfId="31353" xr:uid="{6568A3A9-CBFE-4D88-9984-4567EE831096}"/>
    <cellStyle name="SAPBEXexcBad7 3 2 9" xfId="16159" xr:uid="{6C2DDD51-1459-4117-A7FE-30708F8D34A5}"/>
    <cellStyle name="SAPBEXexcBad7 3 2 9 2" xfId="31354" xr:uid="{659DAA35-F8C4-48E7-B5E3-E1F6DAB3EA75}"/>
    <cellStyle name="SAPBEXexcBad7 3 3" xfId="16160" xr:uid="{07EF13BA-5014-4D16-8655-F52B56D2C0EB}"/>
    <cellStyle name="SAPBEXexcBad7 3 3 2" xfId="31355" xr:uid="{C4B26365-667E-4F9E-B2F0-5405106B56B6}"/>
    <cellStyle name="SAPBEXexcBad7 3 4" xfId="16161" xr:uid="{6BF7EC55-FECF-4323-9788-7D2837759C08}"/>
    <cellStyle name="SAPBEXexcBad7 3 4 2" xfId="31356" xr:uid="{196800C8-3E8E-4A87-982C-E4F132C3B2F4}"/>
    <cellStyle name="SAPBEXexcBad7 3 5" xfId="16162" xr:uid="{EE0A76AA-D38B-431F-AC37-82CDEEB58E0C}"/>
    <cellStyle name="SAPBEXexcBad7 3 5 2" xfId="31357" xr:uid="{BEACB686-EE4C-4933-9999-0EC844366DD5}"/>
    <cellStyle name="SAPBEXexcBad7 3 6" xfId="16163" xr:uid="{CAAEB361-1E6C-4E74-9601-176900415ADB}"/>
    <cellStyle name="SAPBEXexcBad7 3 6 2" xfId="31358" xr:uid="{3291A0C3-7560-47A4-B7E8-BE810DBFE59C}"/>
    <cellStyle name="SAPBEXexcBad7 3 7" xfId="16164" xr:uid="{85B5ABBD-2B82-433F-BE26-3D2717DC54C8}"/>
    <cellStyle name="SAPBEXexcBad7 3 7 2" xfId="31359" xr:uid="{9E3C66C4-9817-42F5-85B0-619981BE2690}"/>
    <cellStyle name="SAPBEXexcBad7 3 8" xfId="16165" xr:uid="{431FE85D-6976-40F7-B549-DF44865FE387}"/>
    <cellStyle name="SAPBEXexcBad7 3 8 2" xfId="31360" xr:uid="{A6475CA3-BAF8-4DE4-93C9-63249BFADD77}"/>
    <cellStyle name="SAPBEXexcBad7 3 9" xfId="16166" xr:uid="{D86D6AE2-28ED-478A-85C3-5F23F9B8201A}"/>
    <cellStyle name="SAPBEXexcBad7 3 9 2" xfId="31361" xr:uid="{E8D95230-7667-4632-A456-D9D1F0A928ED}"/>
    <cellStyle name="SAPBEXexcBad7 4" xfId="16167" xr:uid="{AAAF2F00-2916-4423-82E3-58EBFE8A711F}"/>
    <cellStyle name="SAPBEXexcBad7 4 10" xfId="16168" xr:uid="{2D2DC05B-150A-4C40-897A-6F9BF4909801}"/>
    <cellStyle name="SAPBEXexcBad7 4 10 2" xfId="31363" xr:uid="{675CFF77-797F-40AB-B134-FF4C4575F131}"/>
    <cellStyle name="SAPBEXexcBad7 4 11" xfId="16169" xr:uid="{8D93B932-F0EA-476B-94B5-EBEFFF95B31B}"/>
    <cellStyle name="SAPBEXexcBad7 4 11 2" xfId="31364" xr:uid="{57E636A2-AB8E-4FEF-B66E-19C906C87250}"/>
    <cellStyle name="SAPBEXexcBad7 4 12" xfId="16170" xr:uid="{F7D68681-D0B9-4BFA-A491-0665F1F82FC2}"/>
    <cellStyle name="SAPBEXexcBad7 4 12 2" xfId="31365" xr:uid="{5006CCFF-7354-4A68-8047-9B3BDCBC4BE2}"/>
    <cellStyle name="SAPBEXexcBad7 4 13" xfId="16171" xr:uid="{C39605D0-9D77-448C-9ADA-A609F0D4E77D}"/>
    <cellStyle name="SAPBEXexcBad7 4 13 2" xfId="31366" xr:uid="{232E5D7A-127F-402B-A522-DFF533FCCD64}"/>
    <cellStyle name="SAPBEXexcBad7 4 14" xfId="16172" xr:uid="{E338837F-F502-425B-BC44-B92895D45655}"/>
    <cellStyle name="SAPBEXexcBad7 4 14 2" xfId="31367" xr:uid="{9C459DF8-5D2E-4162-B5B4-DCD261D30358}"/>
    <cellStyle name="SAPBEXexcBad7 4 15" xfId="31362" xr:uid="{2028A565-9E79-419F-A7A7-A5B0769F4577}"/>
    <cellStyle name="SAPBEXexcBad7 4 2" xfId="16173" xr:uid="{848B03B6-8E1D-41E4-BC36-1B057A4C1A38}"/>
    <cellStyle name="SAPBEXexcBad7 4 2 2" xfId="31368" xr:uid="{D723B74D-97DF-40CB-8582-5C09BB27F09F}"/>
    <cellStyle name="SAPBEXexcBad7 4 3" xfId="16174" xr:uid="{6C8C5E84-02BF-4699-93C4-494EB1AD2DD9}"/>
    <cellStyle name="SAPBEXexcBad7 4 3 2" xfId="31369" xr:uid="{C8CFF6EF-818E-4424-B66C-8C8E256AA3C9}"/>
    <cellStyle name="SAPBEXexcBad7 4 4" xfId="16175" xr:uid="{76F0F937-4EF8-42DD-8AA6-0693ADBB2FA1}"/>
    <cellStyle name="SAPBEXexcBad7 4 4 2" xfId="31370" xr:uid="{9397B02C-1EF9-451A-AE28-4A8BF03CF869}"/>
    <cellStyle name="SAPBEXexcBad7 4 5" xfId="16176" xr:uid="{8645D814-5CC2-4AB0-A8A2-9EE8706C5932}"/>
    <cellStyle name="SAPBEXexcBad7 4 5 2" xfId="31371" xr:uid="{EB28BE96-F9C6-4E63-AA31-E69A3D8DE906}"/>
    <cellStyle name="SAPBEXexcBad7 4 6" xfId="16177" xr:uid="{32F52C4C-67CC-4F6F-96B0-4854E89D432B}"/>
    <cellStyle name="SAPBEXexcBad7 4 6 2" xfId="31372" xr:uid="{E462B5D4-0943-4908-8A69-8FBEAC6F0BC7}"/>
    <cellStyle name="SAPBEXexcBad7 4 7" xfId="16178" xr:uid="{8EA3B9A0-E19E-4509-B233-B842C8973C60}"/>
    <cellStyle name="SAPBEXexcBad7 4 7 2" xfId="31373" xr:uid="{9AA73241-DF1F-4547-A533-66CC165E0C98}"/>
    <cellStyle name="SAPBEXexcBad7 4 8" xfId="16179" xr:uid="{4555B353-E54A-49DC-8E3F-FECCCB51C569}"/>
    <cellStyle name="SAPBEXexcBad7 4 8 2" xfId="31374" xr:uid="{1571AE73-26C5-41B1-A444-09C10EAB16CE}"/>
    <cellStyle name="SAPBEXexcBad7 4 9" xfId="16180" xr:uid="{115E24AD-5E75-480D-8AC8-6CAC219C4DB3}"/>
    <cellStyle name="SAPBEXexcBad7 4 9 2" xfId="31375" xr:uid="{ED62E236-018F-400D-A9AF-3FD74D443DAA}"/>
    <cellStyle name="SAPBEXexcBad7 5" xfId="16181" xr:uid="{FD2F71A3-12BE-42C9-ABB8-106654E4BE1B}"/>
    <cellStyle name="SAPBEXexcBad7 5 2" xfId="31376" xr:uid="{07978F7C-428B-4B20-B969-66FA84FD7F99}"/>
    <cellStyle name="SAPBEXexcBad7 6" xfId="16182" xr:uid="{29644A63-1523-43E7-8BD2-C8159510FEEE}"/>
    <cellStyle name="SAPBEXexcBad7 6 2" xfId="31377" xr:uid="{FFFCF4DB-036D-4F7B-9DDE-E3CA7BC7AF2C}"/>
    <cellStyle name="SAPBEXexcBad7 7" xfId="16183" xr:uid="{C2289D4C-63EC-49A6-8FDB-71F448518C46}"/>
    <cellStyle name="SAPBEXexcBad7 7 2" xfId="31378" xr:uid="{02826BCC-EB35-45E3-8A0F-1E3D4D7D6FD8}"/>
    <cellStyle name="SAPBEXexcBad7 8" xfId="16184" xr:uid="{7F3D2EEB-A94A-4AC2-A09A-F2322FB2ABB1}"/>
    <cellStyle name="SAPBEXexcBad7 8 2" xfId="31379" xr:uid="{D20E53CA-995D-4EB8-8149-B9C7AA36D01C}"/>
    <cellStyle name="SAPBEXexcBad7 9" xfId="16185" xr:uid="{385A3DA9-73BC-4339-AFC4-9CCE7602DDBC}"/>
    <cellStyle name="SAPBEXexcBad7 9 2" xfId="31380" xr:uid="{956AC3D5-0A60-49E8-ACC6-F3FB3E475A00}"/>
    <cellStyle name="SAPBEXexcBad8" xfId="16186" xr:uid="{8DCA6DEC-6616-4709-80D9-73167F9A28B8}"/>
    <cellStyle name="SAPBEXexcBad8 10" xfId="16187" xr:uid="{EE9194F7-0DC2-48C4-BC0F-4A5E67E8335B}"/>
    <cellStyle name="SAPBEXexcBad8 10 2" xfId="31382" xr:uid="{D58E3145-BC26-4A82-9D41-D8BAB3CF4D13}"/>
    <cellStyle name="SAPBEXexcBad8 11" xfId="16188" xr:uid="{58BF4937-7BEE-484C-9507-2CA0F5761824}"/>
    <cellStyle name="SAPBEXexcBad8 11 2" xfId="31383" xr:uid="{0C5B79BB-64D2-4F57-973E-3E25F2E804A5}"/>
    <cellStyle name="SAPBEXexcBad8 12" xfId="16189" xr:uid="{9EAC0F71-4022-46B4-B8BC-6A956808D38D}"/>
    <cellStyle name="SAPBEXexcBad8 12 2" xfId="31384" xr:uid="{A6074D34-77C9-4922-933D-02E62B87A31A}"/>
    <cellStyle name="SAPBEXexcBad8 13" xfId="16190" xr:uid="{CD82CB44-2442-4E67-A9C9-09C79CB92EB1}"/>
    <cellStyle name="SAPBEXexcBad8 13 2" xfId="31385" xr:uid="{74AE45D5-178D-4018-888A-D886C86B9EF3}"/>
    <cellStyle name="SAPBEXexcBad8 14" xfId="16191" xr:uid="{F998DC6E-9DD0-4636-BFAF-A54B26B6988C}"/>
    <cellStyle name="SAPBEXexcBad8 14 2" xfId="31386" xr:uid="{21E6CE9B-865F-4FE5-9C23-9E28C93A26FC}"/>
    <cellStyle name="SAPBEXexcBad8 15" xfId="16192" xr:uid="{4DA5B1FB-CF5D-45A6-B472-696614A12D97}"/>
    <cellStyle name="SAPBEXexcBad8 15 2" xfId="31387" xr:uid="{964E58D9-749D-4D8E-930E-A4F69D3E6A69}"/>
    <cellStyle name="SAPBEXexcBad8 16" xfId="16193" xr:uid="{1EE1FA6F-A6DF-4D7C-B715-998F8139DB50}"/>
    <cellStyle name="SAPBEXexcBad8 16 2" xfId="31388" xr:uid="{51A96137-FBC8-4A6A-8A80-B54802384009}"/>
    <cellStyle name="SAPBEXexcBad8 17" xfId="16194" xr:uid="{56FE3805-5C77-49A8-A95E-D03A8D1DB95C}"/>
    <cellStyle name="SAPBEXexcBad8 17 2" xfId="31389" xr:uid="{36936269-24F0-42BD-87CC-79C53C38E1FB}"/>
    <cellStyle name="SAPBEXexcBad8 18" xfId="16195" xr:uid="{DD1E80D3-7BCB-4CD6-B813-185616E7BDC6}"/>
    <cellStyle name="SAPBEXexcBad8 18 2" xfId="31390" xr:uid="{CD3D7505-4C49-4357-A618-D38CD81B5040}"/>
    <cellStyle name="SAPBEXexcBad8 19" xfId="16196" xr:uid="{22108119-33E0-4502-94DA-FB5D2257241B}"/>
    <cellStyle name="SAPBEXexcBad8 19 2" xfId="31391" xr:uid="{AC83A47E-C605-4E5A-A8F8-6F51CF982328}"/>
    <cellStyle name="SAPBEXexcBad8 2" xfId="16197" xr:uid="{6E240020-4D89-4F50-AF27-F766485DFD83}"/>
    <cellStyle name="SAPBEXexcBad8 2 10" xfId="16198" xr:uid="{695FCE0D-24CC-40F9-8F87-0C89A33D305E}"/>
    <cellStyle name="SAPBEXexcBad8 2 10 2" xfId="31393" xr:uid="{8C59EC9B-8EAA-4650-8F9A-9AD15C90DFA2}"/>
    <cellStyle name="SAPBEXexcBad8 2 11" xfId="16199" xr:uid="{D4DDE637-C852-49E2-8AF2-670FBC920A8E}"/>
    <cellStyle name="SAPBEXexcBad8 2 11 2" xfId="31394" xr:uid="{0DA7CE05-B56B-4555-B854-66E5901F3E81}"/>
    <cellStyle name="SAPBEXexcBad8 2 12" xfId="16200" xr:uid="{B771153C-64D8-47D5-9C6F-A572EC47B856}"/>
    <cellStyle name="SAPBEXexcBad8 2 12 2" xfId="31395" xr:uid="{1B568FEF-6893-479F-AA43-4C3A52698ABA}"/>
    <cellStyle name="SAPBEXexcBad8 2 13" xfId="16201" xr:uid="{94C2F56C-2B6F-4CEA-A6F6-D12F1256A57C}"/>
    <cellStyle name="SAPBEXexcBad8 2 13 2" xfId="31396" xr:uid="{FB298C66-D5B8-4529-9A22-332AE54E086E}"/>
    <cellStyle name="SAPBEXexcBad8 2 14" xfId="16202" xr:uid="{6CCDB31A-2DCA-484E-8AE2-5E772870389D}"/>
    <cellStyle name="SAPBEXexcBad8 2 14 2" xfId="31397" xr:uid="{44531B9F-3021-406F-A436-14115E7BE978}"/>
    <cellStyle name="SAPBEXexcBad8 2 15" xfId="16203" xr:uid="{8A99BB41-A356-4D50-8FA5-C62C3AA29817}"/>
    <cellStyle name="SAPBEXexcBad8 2 15 2" xfId="31398" xr:uid="{F0367DA8-CC43-44F2-A861-C82D67E6A2B1}"/>
    <cellStyle name="SAPBEXexcBad8 2 16" xfId="16204" xr:uid="{72AA93AA-902A-40D8-B29D-CBF35CABA7F2}"/>
    <cellStyle name="SAPBEXexcBad8 2 16 2" xfId="31399" xr:uid="{A0F74438-F3DA-4A45-B77A-7FD7AA45AC38}"/>
    <cellStyle name="SAPBEXexcBad8 2 17" xfId="16205" xr:uid="{8AF1ED29-7757-4F24-B899-AF0B965EB4B6}"/>
    <cellStyle name="SAPBEXexcBad8 2 17 2" xfId="31400" xr:uid="{53709E02-A3C6-4515-A2EE-48470D91D028}"/>
    <cellStyle name="SAPBEXexcBad8 2 18" xfId="16206" xr:uid="{8BF9E24A-5F03-47FC-8A77-B458F37D9AB6}"/>
    <cellStyle name="SAPBEXexcBad8 2 18 2" xfId="31401" xr:uid="{1389CCFA-AFB8-444E-8A45-D231E17E0BE9}"/>
    <cellStyle name="SAPBEXexcBad8 2 19" xfId="16207" xr:uid="{B643BEFF-B7E4-43F4-A3EB-70C0D11FDB66}"/>
    <cellStyle name="SAPBEXexcBad8 2 19 2" xfId="31402" xr:uid="{4E2A74D4-6267-4595-A4E6-F6A447C15D64}"/>
    <cellStyle name="SAPBEXexcBad8 2 2" xfId="16208" xr:uid="{8D8DBC36-976F-4C91-9DF9-9CB34759C7EE}"/>
    <cellStyle name="SAPBEXexcBad8 2 2 10" xfId="16209" xr:uid="{C9F52904-418E-4ED7-8CB2-2EC05D79932B}"/>
    <cellStyle name="SAPBEXexcBad8 2 2 10 2" xfId="31404" xr:uid="{7B8F1535-B58C-4413-AE74-F984B6283266}"/>
    <cellStyle name="SAPBEXexcBad8 2 2 11" xfId="16210" xr:uid="{DBBE9967-FFAA-4361-B562-38C63B450496}"/>
    <cellStyle name="SAPBEXexcBad8 2 2 11 2" xfId="31405" xr:uid="{9661D26D-5CE4-4F7A-A3D7-22D0752A583E}"/>
    <cellStyle name="SAPBEXexcBad8 2 2 12" xfId="16211" xr:uid="{F9749020-E361-4255-824A-019A76CF581B}"/>
    <cellStyle name="SAPBEXexcBad8 2 2 12 2" xfId="31406" xr:uid="{5D19ECF3-61D3-4A6D-BA6C-BFD8F4B9B8B6}"/>
    <cellStyle name="SAPBEXexcBad8 2 2 13" xfId="16212" xr:uid="{AF1BC700-768D-478D-B73F-36460800BB9A}"/>
    <cellStyle name="SAPBEXexcBad8 2 2 13 2" xfId="31407" xr:uid="{E2A2AF95-5784-4EF1-BB8A-9BE80CC6AB5E}"/>
    <cellStyle name="SAPBEXexcBad8 2 2 14" xfId="16213" xr:uid="{00D8F07E-3EF2-4B1E-8A7E-9B9FC7A9AA55}"/>
    <cellStyle name="SAPBEXexcBad8 2 2 14 2" xfId="31408" xr:uid="{691C71E3-EC7F-45B9-B6C8-8951D2FAA1CB}"/>
    <cellStyle name="SAPBEXexcBad8 2 2 15" xfId="16214" xr:uid="{71EDC4FA-E17E-4399-BF37-7C85D47BE723}"/>
    <cellStyle name="SAPBEXexcBad8 2 2 15 2" xfId="31409" xr:uid="{7DF3188D-A1F8-42B2-BD9C-2442E15F8816}"/>
    <cellStyle name="SAPBEXexcBad8 2 2 16" xfId="16215" xr:uid="{AED3EBE9-EB2A-4FCF-AD9A-AC7B1C602469}"/>
    <cellStyle name="SAPBEXexcBad8 2 2 16 2" xfId="31410" xr:uid="{04332397-BD78-48F5-9B97-E27FDE9AA155}"/>
    <cellStyle name="SAPBEXexcBad8 2 2 17" xfId="16216" xr:uid="{6D86AB14-DF48-44D3-BCA6-DC40C655E3AA}"/>
    <cellStyle name="SAPBEXexcBad8 2 2 17 2" xfId="31411" xr:uid="{3C0A535B-4A79-4BBC-8DBE-052125C2D74B}"/>
    <cellStyle name="SAPBEXexcBad8 2 2 18" xfId="16217" xr:uid="{95EB0DB4-22BE-4511-977D-A47DBABA67F8}"/>
    <cellStyle name="SAPBEXexcBad8 2 2 18 2" xfId="31412" xr:uid="{03AC87EE-DB4F-4376-9AFE-7FCCF69C2470}"/>
    <cellStyle name="SAPBEXexcBad8 2 2 19" xfId="31403" xr:uid="{F2F430ED-3FC5-4A05-8C00-EB68A2D5CC7D}"/>
    <cellStyle name="SAPBEXexcBad8 2 2 2" xfId="16218" xr:uid="{450BDEAF-46C8-48CC-B748-7D4CA0780054}"/>
    <cellStyle name="SAPBEXexcBad8 2 2 2 10" xfId="16219" xr:uid="{FFB72080-D593-4D00-8210-6DC7D4EAFDB5}"/>
    <cellStyle name="SAPBEXexcBad8 2 2 2 10 2" xfId="31414" xr:uid="{F83721F0-4801-4BC8-8F3E-4D32CD7E043A}"/>
    <cellStyle name="SAPBEXexcBad8 2 2 2 11" xfId="16220" xr:uid="{23D1A3BE-4585-4D40-8DED-37B86C96C690}"/>
    <cellStyle name="SAPBEXexcBad8 2 2 2 11 2" xfId="31415" xr:uid="{6EB77B6B-FEE9-49E8-AD2C-570295516C36}"/>
    <cellStyle name="SAPBEXexcBad8 2 2 2 12" xfId="16221" xr:uid="{8EC94528-B8E5-4531-9087-84E446BE5CE5}"/>
    <cellStyle name="SAPBEXexcBad8 2 2 2 12 2" xfId="31416" xr:uid="{79F02A41-34AA-4B3C-B588-1B5E05F02BC4}"/>
    <cellStyle name="SAPBEXexcBad8 2 2 2 13" xfId="16222" xr:uid="{D6B24822-B876-457D-B443-7A18997E4A48}"/>
    <cellStyle name="SAPBEXexcBad8 2 2 2 13 2" xfId="31417" xr:uid="{A258C066-214E-4836-B292-5FF15381AE04}"/>
    <cellStyle name="SAPBEXexcBad8 2 2 2 14" xfId="16223" xr:uid="{5499B863-213F-4879-AF4F-13444DA7456E}"/>
    <cellStyle name="SAPBEXexcBad8 2 2 2 14 2" xfId="31418" xr:uid="{14995A92-7BA1-49F0-A8EF-7E351D63551B}"/>
    <cellStyle name="SAPBEXexcBad8 2 2 2 15" xfId="31413" xr:uid="{8098B7EF-F630-4748-A722-E155EA7E2C69}"/>
    <cellStyle name="SAPBEXexcBad8 2 2 2 2" xfId="16224" xr:uid="{2F61F2BA-98FE-472C-A98F-5F226CB22321}"/>
    <cellStyle name="SAPBEXexcBad8 2 2 2 2 2" xfId="31419" xr:uid="{3F3EA31D-8ED1-4F52-901C-074B37D1D7A6}"/>
    <cellStyle name="SAPBEXexcBad8 2 2 2 3" xfId="16225" xr:uid="{4DEF0F1A-E16F-4F92-AD78-6350F9BE26DE}"/>
    <cellStyle name="SAPBEXexcBad8 2 2 2 3 2" xfId="31420" xr:uid="{FC650FF9-29CF-4350-806A-9EA285EAFFB7}"/>
    <cellStyle name="SAPBEXexcBad8 2 2 2 4" xfId="16226" xr:uid="{4DAEF3E7-CA82-4F02-856B-F2E1326EB9C2}"/>
    <cellStyle name="SAPBEXexcBad8 2 2 2 4 2" xfId="31421" xr:uid="{B9E9739F-2C20-4B7E-86A2-122C6FBBE59E}"/>
    <cellStyle name="SAPBEXexcBad8 2 2 2 5" xfId="16227" xr:uid="{21114B27-5858-4C3E-B50B-57EF15704AEF}"/>
    <cellStyle name="SAPBEXexcBad8 2 2 2 5 2" xfId="31422" xr:uid="{F470A322-8637-4832-B727-FC27D0CDE2ED}"/>
    <cellStyle name="SAPBEXexcBad8 2 2 2 6" xfId="16228" xr:uid="{01BF37D4-AAE1-497B-98AA-4744F71CBB61}"/>
    <cellStyle name="SAPBEXexcBad8 2 2 2 6 2" xfId="31423" xr:uid="{378187DE-7990-49F8-AB03-0432146BDD12}"/>
    <cellStyle name="SAPBEXexcBad8 2 2 2 7" xfId="16229" xr:uid="{496E4442-A65A-4BBC-880D-979FE14717DE}"/>
    <cellStyle name="SAPBEXexcBad8 2 2 2 7 2" xfId="31424" xr:uid="{1E77F7EB-F969-4EDD-8CD8-59A4639BF305}"/>
    <cellStyle name="SAPBEXexcBad8 2 2 2 8" xfId="16230" xr:uid="{4047ED4C-AAE8-4569-A2C8-D43EB5A70A52}"/>
    <cellStyle name="SAPBEXexcBad8 2 2 2 8 2" xfId="31425" xr:uid="{9C9C2DBB-D7B4-4BC6-B31C-ABA5262268C1}"/>
    <cellStyle name="SAPBEXexcBad8 2 2 2 9" xfId="16231" xr:uid="{838E6AC2-DC9C-425F-A7E9-E285A6DD7CBA}"/>
    <cellStyle name="SAPBEXexcBad8 2 2 2 9 2" xfId="31426" xr:uid="{C01E8DAF-E0ED-4725-970E-350E68919AFC}"/>
    <cellStyle name="SAPBEXexcBad8 2 2 3" xfId="16232" xr:uid="{BF81A6C2-AF4B-4C9A-BDE9-E6CCAD60DC78}"/>
    <cellStyle name="SAPBEXexcBad8 2 2 3 2" xfId="31427" xr:uid="{0537F53B-7A15-4773-8ADF-150B3529773E}"/>
    <cellStyle name="SAPBEXexcBad8 2 2 4" xfId="16233" xr:uid="{337F4B54-A0A9-4A1A-9B7B-5E9C27B17414}"/>
    <cellStyle name="SAPBEXexcBad8 2 2 4 2" xfId="31428" xr:uid="{A2529DC2-AA5C-440D-B57D-CBBF547D77BA}"/>
    <cellStyle name="SAPBEXexcBad8 2 2 5" xfId="16234" xr:uid="{0E15257D-AD0C-4CC4-A433-3D8E14FFFEC4}"/>
    <cellStyle name="SAPBEXexcBad8 2 2 5 2" xfId="31429" xr:uid="{23DF8191-8C7E-4754-B9DF-65EBC95E0A82}"/>
    <cellStyle name="SAPBEXexcBad8 2 2 6" xfId="16235" xr:uid="{9A49D16F-D5DE-4524-B2F5-5DB59AD7C3CC}"/>
    <cellStyle name="SAPBEXexcBad8 2 2 6 2" xfId="31430" xr:uid="{B8EF1437-15A0-4B72-ABC7-39002693A391}"/>
    <cellStyle name="SAPBEXexcBad8 2 2 7" xfId="16236" xr:uid="{D4021E60-8B43-4DCA-AEEB-96114AC8EA70}"/>
    <cellStyle name="SAPBEXexcBad8 2 2 7 2" xfId="31437" xr:uid="{97CC064E-3F9C-4C3F-B4AB-070E08FE7D3B}"/>
    <cellStyle name="SAPBEXexcBad8 2 2 8" xfId="16237" xr:uid="{5CF9B1C3-B988-44FA-8F3F-76B919271A67}"/>
    <cellStyle name="SAPBEXexcBad8 2 2 8 2" xfId="31431" xr:uid="{93C2386B-7D49-477F-8216-5211D7A8EDFE}"/>
    <cellStyle name="SAPBEXexcBad8 2 2 9" xfId="16238" xr:uid="{2670BEF1-8680-4510-A256-56B7BC4DB72A}"/>
    <cellStyle name="SAPBEXexcBad8 2 2 9 2" xfId="31432" xr:uid="{A86E00D2-C5B0-4D0E-A402-29617F2445B8}"/>
    <cellStyle name="SAPBEXexcBad8 2 20" xfId="31392" xr:uid="{BE590A1C-2E87-45C2-B5EB-6FDFE08F0580}"/>
    <cellStyle name="SAPBEXexcBad8 2 3" xfId="16239" xr:uid="{2969F59F-420F-4135-B64C-4B7D65CA89CE}"/>
    <cellStyle name="SAPBEXexcBad8 2 3 10" xfId="16240" xr:uid="{D1D00405-39FB-4C53-9F43-6B1DF95F7618}"/>
    <cellStyle name="SAPBEXexcBad8 2 3 10 2" xfId="31434" xr:uid="{2303DA62-486C-4365-9473-B5DF1CD0D824}"/>
    <cellStyle name="SAPBEXexcBad8 2 3 11" xfId="16241" xr:uid="{73EB9D7C-3D5F-4C95-8128-6F80D0033245}"/>
    <cellStyle name="SAPBEXexcBad8 2 3 11 2" xfId="31435" xr:uid="{30F4ED98-3A1B-469D-AA35-BEAC23E63B7B}"/>
    <cellStyle name="SAPBEXexcBad8 2 3 12" xfId="16242" xr:uid="{3A45343B-B6E2-4799-B646-C18BA7627B1D}"/>
    <cellStyle name="SAPBEXexcBad8 2 3 12 2" xfId="31436" xr:uid="{03558268-9AE9-42AE-B551-E6540801EB18}"/>
    <cellStyle name="SAPBEXexcBad8 2 3 13" xfId="16243" xr:uid="{484D98B5-EB2B-4318-888C-AC1BCD1C39B2}"/>
    <cellStyle name="SAPBEXexcBad8 2 3 13 2" xfId="31438" xr:uid="{BA401050-4797-4451-A202-8F8DC83AE7E1}"/>
    <cellStyle name="SAPBEXexcBad8 2 3 14" xfId="16244" xr:uid="{6861A305-6A1F-47AA-BCE1-8A448A84611A}"/>
    <cellStyle name="SAPBEXexcBad8 2 3 14 2" xfId="31439" xr:uid="{3390653E-F9EB-4051-A3F8-637326A2DF6D}"/>
    <cellStyle name="SAPBEXexcBad8 2 3 15" xfId="31433" xr:uid="{33962646-D43D-48A3-88E1-2577ED595B4F}"/>
    <cellStyle name="SAPBEXexcBad8 2 3 2" xfId="16245" xr:uid="{855380B8-B36E-4312-8D75-5A6FB51CCD2E}"/>
    <cellStyle name="SAPBEXexcBad8 2 3 2 2" xfId="31440" xr:uid="{99E1FBE6-754D-4869-B08B-201CF725F14A}"/>
    <cellStyle name="SAPBEXexcBad8 2 3 3" xfId="16246" xr:uid="{94879E63-596C-4A0E-BF65-8AA785646A6C}"/>
    <cellStyle name="SAPBEXexcBad8 2 3 3 2" xfId="31441" xr:uid="{12A2C3D0-6FDD-4385-9CA4-76B8FF6A597C}"/>
    <cellStyle name="SAPBEXexcBad8 2 3 4" xfId="16247" xr:uid="{C855EE94-F39A-4289-B4C5-F25EEEB1C28C}"/>
    <cellStyle name="SAPBEXexcBad8 2 3 4 2" xfId="31442" xr:uid="{AE51F782-0B52-4655-BCFE-B7934A649481}"/>
    <cellStyle name="SAPBEXexcBad8 2 3 5" xfId="16248" xr:uid="{9F9A19E2-2EED-455D-89B2-D55078C669B7}"/>
    <cellStyle name="SAPBEXexcBad8 2 3 5 2" xfId="31443" xr:uid="{BDA2AF40-35FC-4E93-BF04-75E7B6EA4FD1}"/>
    <cellStyle name="SAPBEXexcBad8 2 3 6" xfId="16249" xr:uid="{747F4892-375C-48C2-9180-D3496F99A0B6}"/>
    <cellStyle name="SAPBEXexcBad8 2 3 6 2" xfId="31444" xr:uid="{46820220-638A-4065-86C1-2BEAAC9E1630}"/>
    <cellStyle name="SAPBEXexcBad8 2 3 7" xfId="16250" xr:uid="{D00C8A90-0417-407B-9DB1-0A3342557EF1}"/>
    <cellStyle name="SAPBEXexcBad8 2 3 7 2" xfId="31445" xr:uid="{3F39C6BD-1B76-4E5F-81A1-89FC4732601B}"/>
    <cellStyle name="SAPBEXexcBad8 2 3 8" xfId="16251" xr:uid="{9804C3E0-87BE-4987-94BC-970CC5E01F2B}"/>
    <cellStyle name="SAPBEXexcBad8 2 3 8 2" xfId="31446" xr:uid="{99CE2714-DF9C-4213-999F-AC5F325D74FE}"/>
    <cellStyle name="SAPBEXexcBad8 2 3 9" xfId="16252" xr:uid="{732FD511-918E-4152-B7E3-88536EFC6FCD}"/>
    <cellStyle name="SAPBEXexcBad8 2 3 9 2" xfId="31447" xr:uid="{74AAC8DB-F602-4904-A41D-A5B7E9D130BB}"/>
    <cellStyle name="SAPBEXexcBad8 2 4" xfId="16253" xr:uid="{FEA85EDD-F655-4543-923B-A8A7D389E394}"/>
    <cellStyle name="SAPBEXexcBad8 2 4 2" xfId="31448" xr:uid="{2B36F765-FACC-4823-8288-9EBA7F585F97}"/>
    <cellStyle name="SAPBEXexcBad8 2 5" xfId="16254" xr:uid="{E9585949-BA58-4E93-B654-C76864A80360}"/>
    <cellStyle name="SAPBEXexcBad8 2 5 2" xfId="31449" xr:uid="{855018BE-2791-4AC6-BD6C-388270265C25}"/>
    <cellStyle name="SAPBEXexcBad8 2 6" xfId="16255" xr:uid="{E0C0B594-305B-4641-A8D4-6FCF55833DD2}"/>
    <cellStyle name="SAPBEXexcBad8 2 6 2" xfId="31450" xr:uid="{03E01CEB-1F70-48F1-BE85-63FD5AE84FA1}"/>
    <cellStyle name="SAPBEXexcBad8 2 7" xfId="16256" xr:uid="{5E591F93-0B00-4F3C-B5C5-2C9527B7B75F}"/>
    <cellStyle name="SAPBEXexcBad8 2 7 2" xfId="31451" xr:uid="{3FD41D12-F4EC-4232-B156-2D03EFE5C428}"/>
    <cellStyle name="SAPBEXexcBad8 2 8" xfId="16257" xr:uid="{199D0081-D81A-43C9-B0E7-2C562ED889A3}"/>
    <cellStyle name="SAPBEXexcBad8 2 8 2" xfId="31452" xr:uid="{B53182A9-FA05-4239-BBB9-42264EE1F616}"/>
    <cellStyle name="SAPBEXexcBad8 2 9" xfId="16258" xr:uid="{05659714-E075-4E42-95C6-35BFF3650D5F}"/>
    <cellStyle name="SAPBEXexcBad8 2 9 2" xfId="31453" xr:uid="{158746F4-5D6A-4230-A120-7FB55C0809B6}"/>
    <cellStyle name="SAPBEXexcBad8 20" xfId="16259" xr:uid="{9B6098F5-A76A-4245-8FC5-9EC930F1DA99}"/>
    <cellStyle name="SAPBEXexcBad8 20 2" xfId="31454" xr:uid="{DB482611-A8A6-4D29-9883-8A3F096FB119}"/>
    <cellStyle name="SAPBEXexcBad8 21" xfId="31381" xr:uid="{3A1890AD-F322-4E88-AC6E-056DAC4F44BD}"/>
    <cellStyle name="SAPBEXexcBad8 3" xfId="16260" xr:uid="{1A656B57-0133-4626-8251-8D8418F3818D}"/>
    <cellStyle name="SAPBEXexcBad8 3 10" xfId="16261" xr:uid="{B8EA9285-B1B5-4E86-A23A-CDC21356FB92}"/>
    <cellStyle name="SAPBEXexcBad8 3 10 2" xfId="31456" xr:uid="{EC1D19E9-AD64-4368-B8B0-3DF51236AB99}"/>
    <cellStyle name="SAPBEXexcBad8 3 11" xfId="16262" xr:uid="{E71B09B0-1661-4A41-B553-6477A4BE1493}"/>
    <cellStyle name="SAPBEXexcBad8 3 11 2" xfId="31457" xr:uid="{1F98853A-BDA3-4CB0-9F9E-7FF663EB3E81}"/>
    <cellStyle name="SAPBEXexcBad8 3 12" xfId="16263" xr:uid="{4035970B-EE35-4EF0-BC6E-EEF60930AAA5}"/>
    <cellStyle name="SAPBEXexcBad8 3 12 2" xfId="31458" xr:uid="{A1C51688-6C3B-4FA4-9FC6-28E388CBBCF5}"/>
    <cellStyle name="SAPBEXexcBad8 3 13" xfId="16264" xr:uid="{AF8A4BBA-0C6B-40AD-83D8-A6A20BAF7406}"/>
    <cellStyle name="SAPBEXexcBad8 3 13 2" xfId="31459" xr:uid="{1D0DE05C-1859-460F-AB01-D7EA26F8C449}"/>
    <cellStyle name="SAPBEXexcBad8 3 14" xfId="16265" xr:uid="{B4C29358-5384-460C-9A73-34A51505EB12}"/>
    <cellStyle name="SAPBEXexcBad8 3 14 2" xfId="31460" xr:uid="{A173ECBF-A218-454D-922F-EC5EC2A33EA1}"/>
    <cellStyle name="SAPBEXexcBad8 3 15" xfId="16266" xr:uid="{A8E2A3F1-107D-48F1-9D3D-B19A4C87DD8B}"/>
    <cellStyle name="SAPBEXexcBad8 3 15 2" xfId="31461" xr:uid="{7B5E8F72-54A0-478E-B275-BEDDC37CD10B}"/>
    <cellStyle name="SAPBEXexcBad8 3 16" xfId="16267" xr:uid="{9D3870CE-E825-48A3-8052-FC018F3D9B8F}"/>
    <cellStyle name="SAPBEXexcBad8 3 16 2" xfId="31462" xr:uid="{1ED59955-8C27-4F78-977E-6E4B45ACB16F}"/>
    <cellStyle name="SAPBEXexcBad8 3 17" xfId="16268" xr:uid="{50BEE366-B858-4354-98AB-7108C0039387}"/>
    <cellStyle name="SAPBEXexcBad8 3 17 2" xfId="31463" xr:uid="{B88ACB0A-6CDD-4D23-BD0F-E484B00D4ACD}"/>
    <cellStyle name="SAPBEXexcBad8 3 18" xfId="16269" xr:uid="{AD542452-8AAF-4E20-A3B5-753A9148C360}"/>
    <cellStyle name="SAPBEXexcBad8 3 18 2" xfId="31464" xr:uid="{491F6F4B-5E1E-4450-9128-E52272FF2C0E}"/>
    <cellStyle name="SAPBEXexcBad8 3 19" xfId="31455" xr:uid="{34D83BB7-8E34-425E-B8D2-64A3B8487051}"/>
    <cellStyle name="SAPBEXexcBad8 3 2" xfId="16270" xr:uid="{0AEAACAD-4691-4237-8A14-E4AC836D087F}"/>
    <cellStyle name="SAPBEXexcBad8 3 2 10" xfId="16271" xr:uid="{EC80A1E9-89C6-4396-8775-E29393CDFC5E}"/>
    <cellStyle name="SAPBEXexcBad8 3 2 10 2" xfId="31465" xr:uid="{97D65215-8023-4895-B412-E8AEFE7AE334}"/>
    <cellStyle name="SAPBEXexcBad8 3 2 11" xfId="16272" xr:uid="{D012965D-26CE-44F3-BF79-492FBAE5F5FB}"/>
    <cellStyle name="SAPBEXexcBad8 3 2 11 2" xfId="27456" xr:uid="{BB3A9823-45D9-42BF-928B-38923D48C60E}"/>
    <cellStyle name="SAPBEXexcBad8 3 2 12" xfId="16273" xr:uid="{593C510E-F4FA-4A6F-AFEE-4E57897164CC}"/>
    <cellStyle name="SAPBEXexcBad8 3 2 12 2" xfId="31466" xr:uid="{9388EF98-F1B8-4CCE-B9E6-44C9B6C2BE74}"/>
    <cellStyle name="SAPBEXexcBad8 3 2 13" xfId="16274" xr:uid="{BAAC86F5-C4F7-4BF3-BDC7-471DCDF1DDE3}"/>
    <cellStyle name="SAPBEXexcBad8 3 2 13 2" xfId="31467" xr:uid="{39A27291-6AFD-4E9E-9B27-DEEE18B10A37}"/>
    <cellStyle name="SAPBEXexcBad8 3 2 14" xfId="16275" xr:uid="{5121C9F3-1B75-443F-A89F-E3A1F8296372}"/>
    <cellStyle name="SAPBEXexcBad8 3 2 14 2" xfId="31468" xr:uid="{48834F86-52AA-4486-A499-8FD2DC60FE2B}"/>
    <cellStyle name="SAPBEXexcBad8 3 2 15" xfId="27455" xr:uid="{DF69A07A-078C-4D00-8F68-E8EF55FD82DE}"/>
    <cellStyle name="SAPBEXexcBad8 3 2 2" xfId="16276" xr:uid="{E52148D5-522F-4978-8574-CA85077F5034}"/>
    <cellStyle name="SAPBEXexcBad8 3 2 2 2" xfId="31469" xr:uid="{A5F7ADA2-0AB3-4935-ACA3-31673EC34454}"/>
    <cellStyle name="SAPBEXexcBad8 3 2 3" xfId="16277" xr:uid="{8260D664-2D56-4FB6-93F0-02DC30C31A21}"/>
    <cellStyle name="SAPBEXexcBad8 3 2 3 2" xfId="31470" xr:uid="{B55FF486-BB60-472B-9FB7-3C633E7828E4}"/>
    <cellStyle name="SAPBEXexcBad8 3 2 4" xfId="16278" xr:uid="{D9DC8B78-B97B-40C0-92DB-8B33D3782C9F}"/>
    <cellStyle name="SAPBEXexcBad8 3 2 4 2" xfId="31471" xr:uid="{6BCC7AAE-F7B0-4E34-B80E-D0C240FD807B}"/>
    <cellStyle name="SAPBEXexcBad8 3 2 5" xfId="16279" xr:uid="{E787FBF8-E0AD-46D2-98DB-7C5BD94BC821}"/>
    <cellStyle name="SAPBEXexcBad8 3 2 5 2" xfId="31472" xr:uid="{BE0A7CF6-0991-4047-AF63-AC2EC3559A89}"/>
    <cellStyle name="SAPBEXexcBad8 3 2 6" xfId="16280" xr:uid="{B9B368E4-F4FA-484E-85A3-A86CE8456ECF}"/>
    <cellStyle name="SAPBEXexcBad8 3 2 6 2" xfId="31502" xr:uid="{71BE29EF-B5A3-4A05-987C-2A9FA4C98455}"/>
    <cellStyle name="SAPBEXexcBad8 3 2 7" xfId="16281" xr:uid="{C5B9B77E-98D3-470A-9F08-ECE34FC6520B}"/>
    <cellStyle name="SAPBEXexcBad8 3 2 7 2" xfId="31473" xr:uid="{18071D3D-C78B-46BB-B2AF-23EA3FE038B8}"/>
    <cellStyle name="SAPBEXexcBad8 3 2 8" xfId="16282" xr:uid="{2DDC494E-CE60-41F9-AA84-AD8ADEAED069}"/>
    <cellStyle name="SAPBEXexcBad8 3 2 8 2" xfId="31474" xr:uid="{1DBA99F2-7FE3-438B-88D8-449C53335DC9}"/>
    <cellStyle name="SAPBEXexcBad8 3 2 9" xfId="16283" xr:uid="{A739D25E-AD0A-4F25-9208-DD1C637DE775}"/>
    <cellStyle name="SAPBEXexcBad8 3 2 9 2" xfId="31475" xr:uid="{4B2B5879-089A-45FB-B9CE-244BCB61B4BA}"/>
    <cellStyle name="SAPBEXexcBad8 3 3" xfId="16284" xr:uid="{B8623853-CD37-46F4-8B71-96973468F3EB}"/>
    <cellStyle name="SAPBEXexcBad8 3 3 2" xfId="31476" xr:uid="{2E302327-6A25-4108-A849-1643A016992D}"/>
    <cellStyle name="SAPBEXexcBad8 3 4" xfId="16285" xr:uid="{940AB611-AC09-43E1-875A-4244EF3D24ED}"/>
    <cellStyle name="SAPBEXexcBad8 3 4 2" xfId="31477" xr:uid="{0B011002-4F67-4DBC-9917-CE22F2A21910}"/>
    <cellStyle name="SAPBEXexcBad8 3 5" xfId="16286" xr:uid="{D532F8C6-64BB-4ED2-AD64-AEFD5A690A19}"/>
    <cellStyle name="SAPBEXexcBad8 3 5 2" xfId="31478" xr:uid="{111DE3C1-63D6-4CEF-96EC-0680362FD9C4}"/>
    <cellStyle name="SAPBEXexcBad8 3 6" xfId="16287" xr:uid="{A1602499-82EE-424D-B82F-E145522FC13C}"/>
    <cellStyle name="SAPBEXexcBad8 3 6 2" xfId="31479" xr:uid="{F7CB4BCE-D138-4B01-9AE1-5B54233053F1}"/>
    <cellStyle name="SAPBEXexcBad8 3 7" xfId="16288" xr:uid="{A6DA6EF3-3197-45AC-B50D-0977FBEE78ED}"/>
    <cellStyle name="SAPBEXexcBad8 3 7 2" xfId="31480" xr:uid="{B8208823-F869-4938-BCC7-8ABC8E4451A8}"/>
    <cellStyle name="SAPBEXexcBad8 3 8" xfId="16289" xr:uid="{16723B2E-EAC6-4273-80BE-2C51E10C0A84}"/>
    <cellStyle name="SAPBEXexcBad8 3 8 2" xfId="31481" xr:uid="{0C001D46-F1B3-4CB8-82BE-5587B3A9C562}"/>
    <cellStyle name="SAPBEXexcBad8 3 9" xfId="16290" xr:uid="{446B4E09-DC6A-4889-BE70-46E2F0A10D80}"/>
    <cellStyle name="SAPBEXexcBad8 3 9 2" xfId="31482" xr:uid="{E4040617-296B-463A-B00A-62021F5664E7}"/>
    <cellStyle name="SAPBEXexcBad8 4" xfId="16291" xr:uid="{48A07318-D743-41D8-8E2C-4EB58558FD00}"/>
    <cellStyle name="SAPBEXexcBad8 4 10" xfId="16292" xr:uid="{870E3F2A-0BCC-487C-89E3-F9F8E1A41686}"/>
    <cellStyle name="SAPBEXexcBad8 4 10 2" xfId="31484" xr:uid="{956C9965-5883-4DB9-A1D8-693E43695E04}"/>
    <cellStyle name="SAPBEXexcBad8 4 11" xfId="16293" xr:uid="{0DA5F4D9-2DC5-4863-A034-920EC503CA8D}"/>
    <cellStyle name="SAPBEXexcBad8 4 11 2" xfId="31485" xr:uid="{656C8296-AB19-4ECD-A43D-C1BB457C3821}"/>
    <cellStyle name="SAPBEXexcBad8 4 12" xfId="16294" xr:uid="{FE7D35EA-A983-45A1-A30C-E57A36723682}"/>
    <cellStyle name="SAPBEXexcBad8 4 12 2" xfId="31486" xr:uid="{32ADEC57-B7EF-46C0-ADF8-D377431C66FC}"/>
    <cellStyle name="SAPBEXexcBad8 4 13" xfId="16295" xr:uid="{A6DDC2DD-470A-452D-91C5-763D0C900C94}"/>
    <cellStyle name="SAPBEXexcBad8 4 13 2" xfId="31487" xr:uid="{F86A121A-14B5-462C-B62E-24D09E6BB420}"/>
    <cellStyle name="SAPBEXexcBad8 4 14" xfId="16296" xr:uid="{AF381C71-8027-49EB-8BCB-0EA598AF57A3}"/>
    <cellStyle name="SAPBEXexcBad8 4 14 2" xfId="31488" xr:uid="{A7470F40-9293-4A2A-8314-3A5E535FD44D}"/>
    <cellStyle name="SAPBEXexcBad8 4 15" xfId="31483" xr:uid="{86D8D59D-7F5B-44A5-B69E-98A5D9269ADA}"/>
    <cellStyle name="SAPBEXexcBad8 4 2" xfId="16297" xr:uid="{57603C32-F68A-47FB-84B5-99E23931AD81}"/>
    <cellStyle name="SAPBEXexcBad8 4 2 2" xfId="31489" xr:uid="{4519FEE9-0338-485D-8871-DC5EE1836D6F}"/>
    <cellStyle name="SAPBEXexcBad8 4 3" xfId="16298" xr:uid="{BD529E1A-21DF-429E-A682-E1A97C70626E}"/>
    <cellStyle name="SAPBEXexcBad8 4 3 2" xfId="31490" xr:uid="{783F0BC5-725C-4CED-88E2-7DA6B72B9142}"/>
    <cellStyle name="SAPBEXexcBad8 4 4" xfId="16299" xr:uid="{CFA5F720-639B-441F-A6E9-5A37BCFD13E8}"/>
    <cellStyle name="SAPBEXexcBad8 4 4 2" xfId="31491" xr:uid="{8DBCA220-C78D-4BF7-B7FC-D1F38B86AE4F}"/>
    <cellStyle name="SAPBEXexcBad8 4 5" xfId="16300" xr:uid="{DCCD66A9-4B87-48F1-B860-0821E71C0218}"/>
    <cellStyle name="SAPBEXexcBad8 4 5 2" xfId="31492" xr:uid="{12587C71-A85F-4A80-AB73-589E38D80C35}"/>
    <cellStyle name="SAPBEXexcBad8 4 6" xfId="16301" xr:uid="{84ED192A-9894-462D-838C-401395620458}"/>
    <cellStyle name="SAPBEXexcBad8 4 6 2" xfId="31493" xr:uid="{E5EB3873-B4E5-433F-BCE6-965828A127C5}"/>
    <cellStyle name="SAPBEXexcBad8 4 7" xfId="16302" xr:uid="{C4DD2023-62F8-4B47-84BC-091F062F3B00}"/>
    <cellStyle name="SAPBEXexcBad8 4 7 2" xfId="31494" xr:uid="{3C778290-D13D-4578-B9F4-141F5B904170}"/>
    <cellStyle name="SAPBEXexcBad8 4 8" xfId="16303" xr:uid="{72ED4A6E-1221-4AC6-B822-4940F3FBE7EE}"/>
    <cellStyle name="SAPBEXexcBad8 4 8 2" xfId="31495" xr:uid="{3A9000CB-BE0F-4BAB-8FD0-3F2E0FA49CDD}"/>
    <cellStyle name="SAPBEXexcBad8 4 9" xfId="16304" xr:uid="{1E1893F8-7586-4878-B13E-4A073ED5D07A}"/>
    <cellStyle name="SAPBEXexcBad8 4 9 2" xfId="31496" xr:uid="{F17588A2-6D16-4C9C-8536-78D4FB03A98B}"/>
    <cellStyle name="SAPBEXexcBad8 5" xfId="16305" xr:uid="{8F5EEC31-C7D4-4753-ACB7-1E397DCE5FFD}"/>
    <cellStyle name="SAPBEXexcBad8 5 2" xfId="31497" xr:uid="{E6D178E0-E63E-4AB5-884A-5A6D94CABB22}"/>
    <cellStyle name="SAPBEXexcBad8 6" xfId="16306" xr:uid="{47B5DEEC-A2E4-407F-8092-6A3F5BBE86BE}"/>
    <cellStyle name="SAPBEXexcBad8 6 2" xfId="31498" xr:uid="{5591BC20-4DCE-4665-BF4A-B05EBECB5865}"/>
    <cellStyle name="SAPBEXexcBad8 7" xfId="16307" xr:uid="{CFD8D8E3-9107-4C82-B832-327E78ECE6FA}"/>
    <cellStyle name="SAPBEXexcBad8 7 2" xfId="31499" xr:uid="{31470F4F-2BB6-41CA-83D6-84304C522194}"/>
    <cellStyle name="SAPBEXexcBad8 8" xfId="16308" xr:uid="{16C9200C-257B-43CA-BBE7-0BEF3066CD99}"/>
    <cellStyle name="SAPBEXexcBad8 8 2" xfId="31500" xr:uid="{090E1F4E-3DA5-4DCF-B6FD-1FCB0C5F7472}"/>
    <cellStyle name="SAPBEXexcBad8 9" xfId="16309" xr:uid="{5C461F89-7342-4B0B-842F-83390CA6CCBD}"/>
    <cellStyle name="SAPBEXexcBad8 9 2" xfId="31501" xr:uid="{A706EF6B-F840-4367-84BE-7C6B224BA4A5}"/>
    <cellStyle name="SAPBEXexcBad9" xfId="16310" xr:uid="{AD0053F1-B54C-4070-8040-D452BB79CBAD}"/>
    <cellStyle name="SAPBEXexcBad9 10" xfId="16311" xr:uid="{BA9C3CB7-4CFA-4610-BAC7-5CFB4C061598}"/>
    <cellStyle name="SAPBEXexcBad9 10 2" xfId="31503" xr:uid="{2AD47E96-2B24-4CD0-99EA-CF9788370F57}"/>
    <cellStyle name="SAPBEXexcBad9 11" xfId="16312" xr:uid="{1A651017-98E4-451B-8005-39EE83704AC3}"/>
    <cellStyle name="SAPBEXexcBad9 11 2" xfId="31504" xr:uid="{1EB82FB7-D22A-4418-A758-CF834444463D}"/>
    <cellStyle name="SAPBEXexcBad9 12" xfId="16313" xr:uid="{D4C2C232-6422-4012-8B6F-02AEED9BF9B9}"/>
    <cellStyle name="SAPBEXexcBad9 12 2" xfId="31505" xr:uid="{78317013-49CA-4F9D-91FE-D90F578DBE70}"/>
    <cellStyle name="SAPBEXexcBad9 13" xfId="16314" xr:uid="{B48A4FD0-8035-4085-8198-B27C84E9C228}"/>
    <cellStyle name="SAPBEXexcBad9 13 2" xfId="31506" xr:uid="{9C857A35-179B-4955-A71C-4B349DC4CFF1}"/>
    <cellStyle name="SAPBEXexcBad9 14" xfId="16315" xr:uid="{726366E3-7D34-4E4C-A816-BDFFEE159283}"/>
    <cellStyle name="SAPBEXexcBad9 14 2" xfId="31507" xr:uid="{50856E55-0EC7-4C1B-9D91-FB4DC0DE0016}"/>
    <cellStyle name="SAPBEXexcBad9 15" xfId="16316" xr:uid="{86DD807A-C402-475D-9143-7CE6EF01FDE5}"/>
    <cellStyle name="SAPBEXexcBad9 15 2" xfId="31508" xr:uid="{E5F8F6A4-B3F6-4AF9-8B54-73D10A429F44}"/>
    <cellStyle name="SAPBEXexcBad9 16" xfId="16317" xr:uid="{D7D79BAD-B7B6-47EC-92B0-BCE4AE6C2A42}"/>
    <cellStyle name="SAPBEXexcBad9 16 2" xfId="31510" xr:uid="{9A507AA7-D43B-456F-A331-8C970A401888}"/>
    <cellStyle name="SAPBEXexcBad9 17" xfId="16318" xr:uid="{D69CB155-BA64-4FBA-BF02-294E20FDDE67}"/>
    <cellStyle name="SAPBEXexcBad9 17 2" xfId="31511" xr:uid="{5C903497-3351-4D10-BEC5-E7FACB7D0AAF}"/>
    <cellStyle name="SAPBEXexcBad9 18" xfId="16319" xr:uid="{4E974F66-648D-4FB2-91AD-EDEF261AFF22}"/>
    <cellStyle name="SAPBEXexcBad9 18 2" xfId="31512" xr:uid="{45BC69BE-CF35-44DA-8207-8D9BF583A36C}"/>
    <cellStyle name="SAPBEXexcBad9 19" xfId="16320" xr:uid="{6433F1C7-923C-46A8-ACE8-D468034822B3}"/>
    <cellStyle name="SAPBEXexcBad9 19 2" xfId="31513" xr:uid="{0AEFF0C5-5780-4634-9A49-426D8DF0B504}"/>
    <cellStyle name="SAPBEXexcBad9 2" xfId="16321" xr:uid="{5329C463-28A7-432C-A234-399D820099F8}"/>
    <cellStyle name="SAPBEXexcBad9 2 10" xfId="16322" xr:uid="{3F79F76B-347E-4138-8FB5-91765A82213C}"/>
    <cellStyle name="SAPBEXexcBad9 2 10 2" xfId="31515" xr:uid="{80A1742D-CA81-4B63-A516-DA2AA26BAB24}"/>
    <cellStyle name="SAPBEXexcBad9 2 11" xfId="16323" xr:uid="{7016DDFD-9918-4C8B-A8EA-9C5D74D05B8F}"/>
    <cellStyle name="SAPBEXexcBad9 2 11 2" xfId="31545" xr:uid="{E0AC3E83-DFB4-463E-9C7C-0F39C3C77C4F}"/>
    <cellStyle name="SAPBEXexcBad9 2 12" xfId="16324" xr:uid="{07867D62-D87A-4A8D-A9E0-ED42846D3BF2}"/>
    <cellStyle name="SAPBEXexcBad9 2 12 2" xfId="31516" xr:uid="{056A767B-C623-4222-A57B-5AAE13101A68}"/>
    <cellStyle name="SAPBEXexcBad9 2 13" xfId="16325" xr:uid="{E557F5CB-BB4D-48E8-A14A-AD4C70E8F0B3}"/>
    <cellStyle name="SAPBEXexcBad9 2 13 2" xfId="31517" xr:uid="{955B0A13-3A83-41A1-8CD2-25B371381BA4}"/>
    <cellStyle name="SAPBEXexcBad9 2 14" xfId="16326" xr:uid="{E940E1DE-4237-42EC-B07A-B7B9CD2B0AF5}"/>
    <cellStyle name="SAPBEXexcBad9 2 14 2" xfId="31518" xr:uid="{9E4326CA-64F8-4A50-9BDC-D40D611D79B5}"/>
    <cellStyle name="SAPBEXexcBad9 2 15" xfId="16327" xr:uid="{31B583E3-675E-4745-B1F2-D8A7EA6DC2C1}"/>
    <cellStyle name="SAPBEXexcBad9 2 15 2" xfId="31519" xr:uid="{6BCA72A7-A9F8-4364-925D-4FFD52D61A0B}"/>
    <cellStyle name="SAPBEXexcBad9 2 16" xfId="16328" xr:uid="{618D063A-2AD4-4DCD-B887-B069D3452D84}"/>
    <cellStyle name="SAPBEXexcBad9 2 16 2" xfId="31520" xr:uid="{F119A422-6EE8-4861-9572-1AB39A35BD49}"/>
    <cellStyle name="SAPBEXexcBad9 2 17" xfId="16329" xr:uid="{6A413846-662C-4DD6-AD04-F26F93C66417}"/>
    <cellStyle name="SAPBEXexcBad9 2 17 2" xfId="31521" xr:uid="{0D7AE2CC-7484-4289-9616-F1A3A69A1FE1}"/>
    <cellStyle name="SAPBEXexcBad9 2 18" xfId="16330" xr:uid="{B779D001-1089-411D-965B-3E232EDFE034}"/>
    <cellStyle name="SAPBEXexcBad9 2 18 2" xfId="31522" xr:uid="{CBC65AB9-514A-42A7-849D-C4EF96D81DEC}"/>
    <cellStyle name="SAPBEXexcBad9 2 19" xfId="16331" xr:uid="{B4046CD8-288C-4D85-B929-19A8C5CC2DE6}"/>
    <cellStyle name="SAPBEXexcBad9 2 19 2" xfId="31523" xr:uid="{6AF4B39D-B17C-48B2-98F9-D650B34B0D18}"/>
    <cellStyle name="SAPBEXexcBad9 2 2" xfId="16332" xr:uid="{33BA5167-9A1E-4AC3-B413-040C6E1A0421}"/>
    <cellStyle name="SAPBEXexcBad9 2 2 10" xfId="16333" xr:uid="{95BAF717-AF8B-475D-8257-52A4FD30446F}"/>
    <cellStyle name="SAPBEXexcBad9 2 2 10 2" xfId="31525" xr:uid="{B1AAEE6C-F66E-427C-9FD0-5882569DBFC7}"/>
    <cellStyle name="SAPBEXexcBad9 2 2 11" xfId="16334" xr:uid="{30C06E91-25D1-4A40-9E7E-5504BC471049}"/>
    <cellStyle name="SAPBEXexcBad9 2 2 11 2" xfId="31526" xr:uid="{A2DC12A1-BD38-4BB5-A7B8-1B1129C3B594}"/>
    <cellStyle name="SAPBEXexcBad9 2 2 12" xfId="16335" xr:uid="{9E926A27-2423-4443-A926-53309B5E2614}"/>
    <cellStyle name="SAPBEXexcBad9 2 2 12 2" xfId="31527" xr:uid="{9D4377ED-94F7-44D0-9EEF-7C06141CEDFF}"/>
    <cellStyle name="SAPBEXexcBad9 2 2 13" xfId="16336" xr:uid="{1EF9B1D5-AFD9-4506-8876-309D175D3571}"/>
    <cellStyle name="SAPBEXexcBad9 2 2 13 2" xfId="31528" xr:uid="{CD9674C9-A858-4299-BA59-525CD8DE1E6A}"/>
    <cellStyle name="SAPBEXexcBad9 2 2 14" xfId="16337" xr:uid="{2568CAC8-CE5A-42BD-91BB-DE82E562B15B}"/>
    <cellStyle name="SAPBEXexcBad9 2 2 14 2" xfId="31529" xr:uid="{B0C08E12-814F-4422-924B-F5E82CF3E0B5}"/>
    <cellStyle name="SAPBEXexcBad9 2 2 15" xfId="16338" xr:uid="{FEC59E82-782B-4D1E-8DC5-F331B2FA551F}"/>
    <cellStyle name="SAPBEXexcBad9 2 2 15 2" xfId="31530" xr:uid="{7113D405-C3DF-42AF-94D6-87C24D571E43}"/>
    <cellStyle name="SAPBEXexcBad9 2 2 16" xfId="16339" xr:uid="{AF91751A-2EE2-4B16-BA50-2EF852DFFD52}"/>
    <cellStyle name="SAPBEXexcBad9 2 2 16 2" xfId="31531" xr:uid="{406DF1B6-BEDC-4DE9-8FED-4D3AD9844D72}"/>
    <cellStyle name="SAPBEXexcBad9 2 2 17" xfId="16340" xr:uid="{27B4A0BD-9726-46C5-9EB6-BB487CE18AC2}"/>
    <cellStyle name="SAPBEXexcBad9 2 2 17 2" xfId="31532" xr:uid="{926E786D-DED6-448B-8F44-C977576BD52C}"/>
    <cellStyle name="SAPBEXexcBad9 2 2 18" xfId="16341" xr:uid="{EF4EEB93-6F4B-4E6C-A211-2357E7FCFFF3}"/>
    <cellStyle name="SAPBEXexcBad9 2 2 18 2" xfId="31533" xr:uid="{F7BE9F3D-3DAA-4990-943D-2FB3F03391CB}"/>
    <cellStyle name="SAPBEXexcBad9 2 2 19" xfId="31524" xr:uid="{723FE754-BE5E-4780-8A9C-3D881F501DCC}"/>
    <cellStyle name="SAPBEXexcBad9 2 2 2" xfId="16342" xr:uid="{C3B39340-8E72-4427-84C4-7AFEF0511503}"/>
    <cellStyle name="SAPBEXexcBad9 2 2 2 10" xfId="16343" xr:uid="{6A1A4082-6281-41DE-9085-30DD14B5A139}"/>
    <cellStyle name="SAPBEXexcBad9 2 2 2 10 2" xfId="31535" xr:uid="{A086AADC-4DF0-4A72-97B3-132D0D3F0796}"/>
    <cellStyle name="SAPBEXexcBad9 2 2 2 11" xfId="16344" xr:uid="{AD3E547C-518C-4B5A-AD75-AB6FA57DA6F6}"/>
    <cellStyle name="SAPBEXexcBad9 2 2 2 11 2" xfId="31536" xr:uid="{3BF4134E-1325-4233-9449-8620DE228872}"/>
    <cellStyle name="SAPBEXexcBad9 2 2 2 12" xfId="16345" xr:uid="{034ADD15-0902-4102-B17A-A3BD452C8C57}"/>
    <cellStyle name="SAPBEXexcBad9 2 2 2 12 2" xfId="31537" xr:uid="{2E4CCE4D-8F19-4C91-B9F6-B7F45A3A2374}"/>
    <cellStyle name="SAPBEXexcBad9 2 2 2 13" xfId="16346" xr:uid="{C4DAE0D7-A800-4E87-9923-3636AD5361CE}"/>
    <cellStyle name="SAPBEXexcBad9 2 2 2 13 2" xfId="31538" xr:uid="{D2BD45DB-54E4-41B9-A42E-2F3E43225F2C}"/>
    <cellStyle name="SAPBEXexcBad9 2 2 2 14" xfId="16347" xr:uid="{B58AA024-7BEE-4671-961C-3A1EA95993D6}"/>
    <cellStyle name="SAPBEXexcBad9 2 2 2 14 2" xfId="31539" xr:uid="{787A7721-61FA-4850-B864-1B145D83B912}"/>
    <cellStyle name="SAPBEXexcBad9 2 2 2 15" xfId="31534" xr:uid="{B2F32736-0D92-408C-BA17-E09F81A3D939}"/>
    <cellStyle name="SAPBEXexcBad9 2 2 2 2" xfId="16348" xr:uid="{8F45DE40-2750-41EE-8526-148B764BCD28}"/>
    <cellStyle name="SAPBEXexcBad9 2 2 2 2 2" xfId="31540" xr:uid="{468DA304-8FDE-4765-807F-E69E3C41E64F}"/>
    <cellStyle name="SAPBEXexcBad9 2 2 2 3" xfId="16349" xr:uid="{CFFC6B76-35DB-4921-91DB-BEC1AC81F54E}"/>
    <cellStyle name="SAPBEXexcBad9 2 2 2 3 2" xfId="31541" xr:uid="{2DD05719-9310-4332-92B4-5BD5EE14FA03}"/>
    <cellStyle name="SAPBEXexcBad9 2 2 2 4" xfId="16350" xr:uid="{1308BE7E-1B51-439B-B57A-FBA02DA2032C}"/>
    <cellStyle name="SAPBEXexcBad9 2 2 2 4 2" xfId="31542" xr:uid="{D897461F-E576-4976-9EAB-37F374A5EE2A}"/>
    <cellStyle name="SAPBEXexcBad9 2 2 2 5" xfId="16351" xr:uid="{DB000BA6-1B75-49E4-B873-BCBC1030FB01}"/>
    <cellStyle name="SAPBEXexcBad9 2 2 2 5 2" xfId="31543" xr:uid="{D88D6B4E-2FD0-4C64-A057-2690459734CC}"/>
    <cellStyle name="SAPBEXexcBad9 2 2 2 6" xfId="16352" xr:uid="{692031E0-FB67-44A6-B696-F9F4F6F86E17}"/>
    <cellStyle name="SAPBEXexcBad9 2 2 2 6 2" xfId="31544" xr:uid="{96284FC7-D856-4615-ABE9-011394B9C0E2}"/>
    <cellStyle name="SAPBEXexcBad9 2 2 2 7" xfId="16353" xr:uid="{3C1E9CA0-03D9-474F-A5E3-EA66E7695241}"/>
    <cellStyle name="SAPBEXexcBad9 2 2 2 7 2" xfId="31546" xr:uid="{561A7201-2867-492D-81B9-DC35592440E9}"/>
    <cellStyle name="SAPBEXexcBad9 2 2 2 8" xfId="16354" xr:uid="{AA8AD519-7B25-40F3-BF29-AF79A309E104}"/>
    <cellStyle name="SAPBEXexcBad9 2 2 2 8 2" xfId="31547" xr:uid="{9083526C-8498-4845-826A-3104FB15A57E}"/>
    <cellStyle name="SAPBEXexcBad9 2 2 2 9" xfId="16355" xr:uid="{A3F91E2B-C887-4BC5-BDB1-7D7A11BE5036}"/>
    <cellStyle name="SAPBEXexcBad9 2 2 2 9 2" xfId="31548" xr:uid="{4E23C8EA-4C32-4A99-B204-A72279F20EAD}"/>
    <cellStyle name="SAPBEXexcBad9 2 2 3" xfId="16356" xr:uid="{89D67128-26B1-4A15-A78E-D6B40446E0F3}"/>
    <cellStyle name="SAPBEXexcBad9 2 2 3 2" xfId="31549" xr:uid="{6AEBA4D9-08B8-428F-B9C9-83AD5BB1343F}"/>
    <cellStyle name="SAPBEXexcBad9 2 2 4" xfId="16357" xr:uid="{6ED4E921-3933-41E4-9E0A-105CD6C2299D}"/>
    <cellStyle name="SAPBEXexcBad9 2 2 4 2" xfId="31550" xr:uid="{5CB71135-A153-407C-8D09-97C797568833}"/>
    <cellStyle name="SAPBEXexcBad9 2 2 5" xfId="16358" xr:uid="{62803C63-36B7-4F65-AB24-E3D2A27F8041}"/>
    <cellStyle name="SAPBEXexcBad9 2 2 5 2" xfId="31551" xr:uid="{C62A0CDF-25F3-4537-9F1A-F86BFAE5C30A}"/>
    <cellStyle name="SAPBEXexcBad9 2 2 6" xfId="16359" xr:uid="{81A79387-1074-4179-A1A5-5BCAD32EB33F}"/>
    <cellStyle name="SAPBEXexcBad9 2 2 6 2" xfId="31581" xr:uid="{61FD91BB-040A-45FB-8083-AB435B44B072}"/>
    <cellStyle name="SAPBEXexcBad9 2 2 7" xfId="16360" xr:uid="{79B9EB84-ECA6-45BB-BAE5-F01C78583BA7}"/>
    <cellStyle name="SAPBEXexcBad9 2 2 7 2" xfId="31552" xr:uid="{37561CE7-3C7C-4D2F-960C-E3FBF75472E9}"/>
    <cellStyle name="SAPBEXexcBad9 2 2 8" xfId="16361" xr:uid="{11707D31-696C-456C-8DE2-6EF6A69991A0}"/>
    <cellStyle name="SAPBEXexcBad9 2 2 8 2" xfId="31553" xr:uid="{ACE9BFF7-4B3A-4077-BA58-E6D2F358452D}"/>
    <cellStyle name="SAPBEXexcBad9 2 2 9" xfId="16362" xr:uid="{C63B996C-A37B-4F3E-B6BE-A3157B11A0E0}"/>
    <cellStyle name="SAPBEXexcBad9 2 2 9 2" xfId="31554" xr:uid="{3957A188-E3E9-4DE2-85A7-6CC12E8C5610}"/>
    <cellStyle name="SAPBEXexcBad9 2 20" xfId="31514" xr:uid="{71606A2F-3185-4308-926F-9B6CBFD0587C}"/>
    <cellStyle name="SAPBEXexcBad9 2 3" xfId="16363" xr:uid="{22D27CBD-F60C-42D8-8A0A-B0E53181B1B6}"/>
    <cellStyle name="SAPBEXexcBad9 2 3 10" xfId="16364" xr:uid="{950406B7-A8B7-48DC-A718-951C01BC8EEA}"/>
    <cellStyle name="SAPBEXexcBad9 2 3 10 2" xfId="31556" xr:uid="{6EB71B59-F6DA-4D16-86E9-B1C46575F093}"/>
    <cellStyle name="SAPBEXexcBad9 2 3 11" xfId="16365" xr:uid="{5B81A24B-DE72-4D4D-9752-265DA31B6D89}"/>
    <cellStyle name="SAPBEXexcBad9 2 3 11 2" xfId="31557" xr:uid="{C86378B8-49D3-4356-9499-FF17D7D13D3B}"/>
    <cellStyle name="SAPBEXexcBad9 2 3 12" xfId="16366" xr:uid="{7CB7BC1C-F8DB-40F9-BBA3-8E76751FD958}"/>
    <cellStyle name="SAPBEXexcBad9 2 3 12 2" xfId="31558" xr:uid="{14F7B0B3-7BC1-4561-9D3F-4F0A1AB574ED}"/>
    <cellStyle name="SAPBEXexcBad9 2 3 13" xfId="16367" xr:uid="{F7EA38A5-1B6C-4287-B46F-1B27AA2980C4}"/>
    <cellStyle name="SAPBEXexcBad9 2 3 13 2" xfId="31559" xr:uid="{B2F36DF0-7121-4493-BA97-A94E829E3564}"/>
    <cellStyle name="SAPBEXexcBad9 2 3 14" xfId="16368" xr:uid="{78A7C077-A884-455A-9D04-07304197A32A}"/>
    <cellStyle name="SAPBEXexcBad9 2 3 14 2" xfId="31560" xr:uid="{EED956EF-98F9-4587-95F6-4D1FB3C00232}"/>
    <cellStyle name="SAPBEXexcBad9 2 3 15" xfId="31555" xr:uid="{1807DE2C-FED9-4EFB-A555-9A9F381379A4}"/>
    <cellStyle name="SAPBEXexcBad9 2 3 2" xfId="16369" xr:uid="{B021061C-7F7D-4A04-AEB2-196472E3557A}"/>
    <cellStyle name="SAPBEXexcBad9 2 3 2 2" xfId="31561" xr:uid="{C624DE7E-0887-4E26-9489-02C198E242B1}"/>
    <cellStyle name="SAPBEXexcBad9 2 3 3" xfId="16370" xr:uid="{B6B5E919-74ED-42EF-8180-01707C3F3CEB}"/>
    <cellStyle name="SAPBEXexcBad9 2 3 3 2" xfId="31562" xr:uid="{69F9087A-8EE5-4092-9B59-C8DBFA8930AE}"/>
    <cellStyle name="SAPBEXexcBad9 2 3 4" xfId="16371" xr:uid="{53CEB85E-3A1B-4A67-A8B3-9CFD05DE709E}"/>
    <cellStyle name="SAPBEXexcBad9 2 3 4 2" xfId="31563" xr:uid="{FC6F4C17-512C-4528-B3C7-D2494554D1DB}"/>
    <cellStyle name="SAPBEXexcBad9 2 3 5" xfId="16372" xr:uid="{541A4118-CF45-4B71-AF23-09357286F35C}"/>
    <cellStyle name="SAPBEXexcBad9 2 3 5 2" xfId="31564" xr:uid="{8CBA5221-B0B4-4E09-A9BD-5FE7626D242C}"/>
    <cellStyle name="SAPBEXexcBad9 2 3 6" xfId="16373" xr:uid="{67DB83B8-2337-4659-A4B9-3F110FCEB3CA}"/>
    <cellStyle name="SAPBEXexcBad9 2 3 6 2" xfId="31565" xr:uid="{220F15B0-79FA-45EE-91C6-F5F6ECFE7ABE}"/>
    <cellStyle name="SAPBEXexcBad9 2 3 7" xfId="16374" xr:uid="{9C24BCE6-EB90-4EF9-8153-784EA9E07327}"/>
    <cellStyle name="SAPBEXexcBad9 2 3 7 2" xfId="31566" xr:uid="{9A92B6C3-C4E6-4F54-8E7D-42CC68D65C32}"/>
    <cellStyle name="SAPBEXexcBad9 2 3 8" xfId="16375" xr:uid="{707C8E3A-4F71-49BC-A84C-9E70F578F075}"/>
    <cellStyle name="SAPBEXexcBad9 2 3 8 2" xfId="31567" xr:uid="{08A59D75-F5FC-4034-BBD3-F54586F6B789}"/>
    <cellStyle name="SAPBEXexcBad9 2 3 9" xfId="16376" xr:uid="{08A9C061-1EDB-4405-842D-63A250632AAD}"/>
    <cellStyle name="SAPBEXexcBad9 2 3 9 2" xfId="31568" xr:uid="{62865BA2-561C-438A-86F5-AA201B1A4A06}"/>
    <cellStyle name="SAPBEXexcBad9 2 4" xfId="16377" xr:uid="{83C63746-10DB-42E0-B631-D2D32FBA77DA}"/>
    <cellStyle name="SAPBEXexcBad9 2 4 2" xfId="31569" xr:uid="{2F54C544-77D6-4CFA-8F99-204F8114D241}"/>
    <cellStyle name="SAPBEXexcBad9 2 5" xfId="16378" xr:uid="{DD8F07C9-FE3D-44F8-94A4-3132FBD0B7AB}"/>
    <cellStyle name="SAPBEXexcBad9 2 5 2" xfId="31570" xr:uid="{4ECDDF36-8AB3-4DB6-BD9A-41DA42588EEC}"/>
    <cellStyle name="SAPBEXexcBad9 2 6" xfId="16379" xr:uid="{5F62F9C8-2AF5-41C8-AA48-B70317E054EE}"/>
    <cellStyle name="SAPBEXexcBad9 2 6 2" xfId="31571" xr:uid="{021C2A9F-045F-442B-98F6-6A1648611D10}"/>
    <cellStyle name="SAPBEXexcBad9 2 7" xfId="16380" xr:uid="{6AB77DD0-DE04-4B29-B3A5-0DBA382BC0E8}"/>
    <cellStyle name="SAPBEXexcBad9 2 7 2" xfId="31572" xr:uid="{C6255E15-A0CF-49CB-8760-DD2788DA302C}"/>
    <cellStyle name="SAPBEXexcBad9 2 8" xfId="16381" xr:uid="{4EC35AF3-6EC1-47D8-A3CB-5A827CC14FF1}"/>
    <cellStyle name="SAPBEXexcBad9 2 8 2" xfId="31573" xr:uid="{D5D06C7E-8FBB-4D02-A6E5-1288E84334F9}"/>
    <cellStyle name="SAPBEXexcBad9 2 9" xfId="16382" xr:uid="{4CC1F3B2-78B8-4FE6-A43D-CE11EB87D8EA}"/>
    <cellStyle name="SAPBEXexcBad9 2 9 2" xfId="31574" xr:uid="{B0500680-4702-4B8D-99ED-285C64A9F354}"/>
    <cellStyle name="SAPBEXexcBad9 20" xfId="16383" xr:uid="{F9898659-FD1E-47C8-A14B-F2B796C9610D}"/>
    <cellStyle name="SAPBEXexcBad9 20 2" xfId="31575" xr:uid="{5277938D-CB7E-4C82-AADA-C942122037DD}"/>
    <cellStyle name="SAPBEXexcBad9 21" xfId="31509" xr:uid="{6950B5AF-A321-4B16-8813-385FBE5E4509}"/>
    <cellStyle name="SAPBEXexcBad9 3" xfId="16384" xr:uid="{3FD4622A-DE6C-4030-84F2-975D9076E827}"/>
    <cellStyle name="SAPBEXexcBad9 3 10" xfId="16385" xr:uid="{99128B76-08AF-4A3C-8534-56DD06CD6DC1}"/>
    <cellStyle name="SAPBEXexcBad9 3 10 2" xfId="31577" xr:uid="{46D91E8B-D41D-41F0-8D19-05B91EC32831}"/>
    <cellStyle name="SAPBEXexcBad9 3 11" xfId="16386" xr:uid="{33FB825A-5A53-4B26-B665-F414F1116A74}"/>
    <cellStyle name="SAPBEXexcBad9 3 11 2" xfId="31578" xr:uid="{B3E65132-0562-435F-A75C-F307B4394901}"/>
    <cellStyle name="SAPBEXexcBad9 3 12" xfId="16387" xr:uid="{214936D9-1E8C-416B-B3D1-D78C9857BC4E}"/>
    <cellStyle name="SAPBEXexcBad9 3 12 2" xfId="31579" xr:uid="{5FE58ADE-05B9-41F6-B5C0-65766B5980D9}"/>
    <cellStyle name="SAPBEXexcBad9 3 13" xfId="16388" xr:uid="{048EA27B-C832-4684-8556-4F7D0ACB6AEC}"/>
    <cellStyle name="SAPBEXexcBad9 3 13 2" xfId="31580" xr:uid="{23A43E1C-1467-4867-964B-F0B4FFA7C8A5}"/>
    <cellStyle name="SAPBEXexcBad9 3 14" xfId="16389" xr:uid="{5435534E-58D7-4D72-92D9-B45762892D21}"/>
    <cellStyle name="SAPBEXexcBad9 3 14 2" xfId="31582" xr:uid="{0CCC26EC-A43B-44ED-92E0-9B9DD31C5DE9}"/>
    <cellStyle name="SAPBEXexcBad9 3 15" xfId="16390" xr:uid="{7133A22B-A6DD-4119-B8FA-3DEFC0D455D7}"/>
    <cellStyle name="SAPBEXexcBad9 3 15 2" xfId="31583" xr:uid="{B3F2014C-B8C5-4746-8A40-6B5CB734BDFB}"/>
    <cellStyle name="SAPBEXexcBad9 3 16" xfId="16391" xr:uid="{E5FD5A2C-0A30-488A-ADC2-47AA394F4055}"/>
    <cellStyle name="SAPBEXexcBad9 3 16 2" xfId="31584" xr:uid="{45E26D71-74BF-43E8-AC9C-C79346AC87BF}"/>
    <cellStyle name="SAPBEXexcBad9 3 17" xfId="16392" xr:uid="{DB0B7541-4DB8-45B0-8FD4-F4013859AE66}"/>
    <cellStyle name="SAPBEXexcBad9 3 17 2" xfId="31585" xr:uid="{C0F6357B-EB3E-4DE1-B81F-DDA41B46411D}"/>
    <cellStyle name="SAPBEXexcBad9 3 18" xfId="16393" xr:uid="{44D07FEB-B789-4313-86A0-460754AACACF}"/>
    <cellStyle name="SAPBEXexcBad9 3 18 2" xfId="31586" xr:uid="{E84C92E8-90DE-40C0-92DC-A6CC2D8BF15F}"/>
    <cellStyle name="SAPBEXexcBad9 3 19" xfId="31576" xr:uid="{491EB56F-B55E-4630-8738-C730E4DDA5EB}"/>
    <cellStyle name="SAPBEXexcBad9 3 2" xfId="16394" xr:uid="{9003FE10-E048-4B35-9797-B9622F86A217}"/>
    <cellStyle name="SAPBEXexcBad9 3 2 10" xfId="16395" xr:uid="{7BEF224B-B966-4A6E-BA36-C1066A80BC96}"/>
    <cellStyle name="SAPBEXexcBad9 3 2 10 2" xfId="31617" xr:uid="{9CCF22CE-CADB-44A8-B58D-D648DEDF7FE7}"/>
    <cellStyle name="SAPBEXexcBad9 3 2 11" xfId="16396" xr:uid="{B16C1049-53C1-400F-8130-00ED96956C70}"/>
    <cellStyle name="SAPBEXexcBad9 3 2 11 2" xfId="31588" xr:uid="{87F67450-2750-4DE3-899C-8A65A9E05F75}"/>
    <cellStyle name="SAPBEXexcBad9 3 2 12" xfId="16397" xr:uid="{5D7204E8-A905-49F0-A6D3-F56D380DEDAB}"/>
    <cellStyle name="SAPBEXexcBad9 3 2 12 2" xfId="31589" xr:uid="{C06B593B-DE33-4343-8AAD-8B7F3001014A}"/>
    <cellStyle name="SAPBEXexcBad9 3 2 13" xfId="16398" xr:uid="{AB63DE22-4077-482B-9AE1-093610306A1E}"/>
    <cellStyle name="SAPBEXexcBad9 3 2 13 2" xfId="31590" xr:uid="{992FDB21-F0E3-4833-8EA8-584AF131D71E}"/>
    <cellStyle name="SAPBEXexcBad9 3 2 14" xfId="16399" xr:uid="{31E3D21A-C44B-405A-A612-4EACE39D7F56}"/>
    <cellStyle name="SAPBEXexcBad9 3 2 14 2" xfId="31591" xr:uid="{83445669-C30B-484F-945D-D766A9D996B3}"/>
    <cellStyle name="SAPBEXexcBad9 3 2 15" xfId="31587" xr:uid="{0CE5BCD8-6836-47CB-8EFC-5D073F382B57}"/>
    <cellStyle name="SAPBEXexcBad9 3 2 2" xfId="16400" xr:uid="{DC2D4090-7FD2-492A-9EA0-38F402D471B2}"/>
    <cellStyle name="SAPBEXexcBad9 3 2 2 2" xfId="31592" xr:uid="{220A1AA2-EB49-4AF5-B068-923ADDCBE2A1}"/>
    <cellStyle name="SAPBEXexcBad9 3 2 3" xfId="16401" xr:uid="{2C1E40D6-A33B-49A4-8277-1743A5C795E9}"/>
    <cellStyle name="SAPBEXexcBad9 3 2 3 2" xfId="31593" xr:uid="{91183BC8-834B-4BE1-8834-22C5C5121851}"/>
    <cellStyle name="SAPBEXexcBad9 3 2 4" xfId="16402" xr:uid="{5A789E9A-0A00-4B5E-AF1F-BCD55AD97050}"/>
    <cellStyle name="SAPBEXexcBad9 3 2 4 2" xfId="31594" xr:uid="{5C26D117-32B0-4ACF-BDE7-202F196D40AA}"/>
    <cellStyle name="SAPBEXexcBad9 3 2 5" xfId="16403" xr:uid="{8E1803A6-1447-4A06-947D-53F71F0B6A4A}"/>
    <cellStyle name="SAPBEXexcBad9 3 2 5 2" xfId="31595" xr:uid="{F313B002-AD51-470D-AACA-816A061B76A6}"/>
    <cellStyle name="SAPBEXexcBad9 3 2 6" xfId="16404" xr:uid="{88794BB1-C1A5-4AB4-87E5-F8CF53F86A91}"/>
    <cellStyle name="SAPBEXexcBad9 3 2 6 2" xfId="31596" xr:uid="{C2ED373D-492F-44E4-8AB6-2502CB29A0A6}"/>
    <cellStyle name="SAPBEXexcBad9 3 2 7" xfId="16405" xr:uid="{7328C37A-A4F3-4527-B5CD-8D2AAD554A56}"/>
    <cellStyle name="SAPBEXexcBad9 3 2 7 2" xfId="31597" xr:uid="{13D57BD5-5E35-4727-9278-F98247787CEC}"/>
    <cellStyle name="SAPBEXexcBad9 3 2 8" xfId="16406" xr:uid="{DD4A900E-5422-45AE-AE45-1E3B24CB7FC8}"/>
    <cellStyle name="SAPBEXexcBad9 3 2 8 2" xfId="31598" xr:uid="{33FEBAF0-5D5E-43DD-81E2-90261237C557}"/>
    <cellStyle name="SAPBEXexcBad9 3 2 9" xfId="16407" xr:uid="{8F8304F4-EA44-4AEE-B0E7-F74F597D91CC}"/>
    <cellStyle name="SAPBEXexcBad9 3 2 9 2" xfId="31599" xr:uid="{F386DA51-3B39-45F9-81E8-E40718710AB8}"/>
    <cellStyle name="SAPBEXexcBad9 3 3" xfId="16408" xr:uid="{D0970D95-9620-4C2A-8CB6-C3AB66080A50}"/>
    <cellStyle name="SAPBEXexcBad9 3 3 2" xfId="31600" xr:uid="{484FCE6F-072E-4121-BDC9-FD66D436706B}"/>
    <cellStyle name="SAPBEXexcBad9 3 4" xfId="16409" xr:uid="{8ACF425B-0EBC-4C0C-B2BB-34B289E60CE0}"/>
    <cellStyle name="SAPBEXexcBad9 3 4 2" xfId="31601" xr:uid="{EC4C7687-B289-4B62-B4E7-D83894D9DB1B}"/>
    <cellStyle name="SAPBEXexcBad9 3 5" xfId="16410" xr:uid="{20A7535C-26C1-49A6-80DA-D87B602C8477}"/>
    <cellStyle name="SAPBEXexcBad9 3 5 2" xfId="31602" xr:uid="{D5CC2359-6310-4FF1-9742-19E9EC548289}"/>
    <cellStyle name="SAPBEXexcBad9 3 6" xfId="16411" xr:uid="{F0D1EABB-5504-46C3-8F24-7223A6A51B1C}"/>
    <cellStyle name="SAPBEXexcBad9 3 6 2" xfId="31603" xr:uid="{A70A6E17-56D4-41FC-AA5F-A0B48DC49FAB}"/>
    <cellStyle name="SAPBEXexcBad9 3 7" xfId="16412" xr:uid="{7F11392C-50D2-4A31-96BC-FDB534CAE39E}"/>
    <cellStyle name="SAPBEXexcBad9 3 7 2" xfId="31604" xr:uid="{2BA6BFFC-FC76-44E3-B4BA-1066A32C1A5B}"/>
    <cellStyle name="SAPBEXexcBad9 3 8" xfId="16413" xr:uid="{554C13B4-F30C-42E1-AD61-1F1AC84C3717}"/>
    <cellStyle name="SAPBEXexcBad9 3 8 2" xfId="31605" xr:uid="{586405F4-F94D-43A5-942A-386076123107}"/>
    <cellStyle name="SAPBEXexcBad9 3 9" xfId="16414" xr:uid="{545F261A-9F7A-4D2F-B2E1-0DC458CF45E3}"/>
    <cellStyle name="SAPBEXexcBad9 3 9 2" xfId="31606" xr:uid="{0268529C-1790-4D10-9334-64AA22ED1A4F}"/>
    <cellStyle name="SAPBEXexcBad9 4" xfId="16415" xr:uid="{173FDBAC-5052-4FDB-859A-337E0647078B}"/>
    <cellStyle name="SAPBEXexcBad9 4 10" xfId="16416" xr:uid="{92C052C7-777F-49DE-B9B2-8B42E9846F03}"/>
    <cellStyle name="SAPBEXexcBad9 4 10 2" xfId="31608" xr:uid="{5AE8515C-A7DB-48C0-A6EA-659C41487A4C}"/>
    <cellStyle name="SAPBEXexcBad9 4 11" xfId="16417" xr:uid="{14985802-9E02-4F3A-A502-168C0F18BF12}"/>
    <cellStyle name="SAPBEXexcBad9 4 11 2" xfId="31609" xr:uid="{E941070A-F34D-4533-B27A-FDA2735275E0}"/>
    <cellStyle name="SAPBEXexcBad9 4 12" xfId="16418" xr:uid="{44D9A2D0-DC56-4F38-A119-80C06ABCB197}"/>
    <cellStyle name="SAPBEXexcBad9 4 12 2" xfId="31610" xr:uid="{840EA3BD-412B-4E8A-BA4B-2121E6318E46}"/>
    <cellStyle name="SAPBEXexcBad9 4 13" xfId="16419" xr:uid="{519B05E9-B78A-4917-8262-58B89FF92B96}"/>
    <cellStyle name="SAPBEXexcBad9 4 13 2" xfId="31611" xr:uid="{546F6FC6-75DD-4053-834F-8E9B0343B024}"/>
    <cellStyle name="SAPBEXexcBad9 4 14" xfId="16420" xr:uid="{A01FB60A-8B01-43E8-AB6C-311F19028740}"/>
    <cellStyle name="SAPBEXexcBad9 4 14 2" xfId="31612" xr:uid="{11BDF3B1-62A6-4E6D-BFD1-64D12A119ED8}"/>
    <cellStyle name="SAPBEXexcBad9 4 15" xfId="31607" xr:uid="{42DCD5A9-3634-4FBF-9545-26B58AC3D4E8}"/>
    <cellStyle name="SAPBEXexcBad9 4 2" xfId="16421" xr:uid="{6BFED004-A217-4D3E-9990-FBA33AEBA5E7}"/>
    <cellStyle name="SAPBEXexcBad9 4 2 2" xfId="31613" xr:uid="{B8F1FC2C-2A07-4BA3-869E-9BCA8CD29413}"/>
    <cellStyle name="SAPBEXexcBad9 4 3" xfId="16422" xr:uid="{B89D7C71-020E-48BF-9F75-6888C7D65B75}"/>
    <cellStyle name="SAPBEXexcBad9 4 3 2" xfId="31614" xr:uid="{E3428055-061F-4715-8188-78C2CCEAD22B}"/>
    <cellStyle name="SAPBEXexcBad9 4 4" xfId="16423" xr:uid="{0C6D76FA-8A20-423C-9BB9-D3E43D4BE154}"/>
    <cellStyle name="SAPBEXexcBad9 4 4 2" xfId="31615" xr:uid="{2BF2801C-AD29-4CF3-B496-52F93C10C72E}"/>
    <cellStyle name="SAPBEXexcBad9 4 5" xfId="16424" xr:uid="{AEEE9E6D-9C10-4142-B83B-7678BB87FF0D}"/>
    <cellStyle name="SAPBEXexcBad9 4 5 2" xfId="31616" xr:uid="{2ABB0E10-BD2F-4855-B056-96E11BDCC83A}"/>
    <cellStyle name="SAPBEXexcBad9 4 6" xfId="16425" xr:uid="{27A46BA6-63D3-45EA-8802-1646AD6E4C6D}"/>
    <cellStyle name="SAPBEXexcBad9 4 6 2" xfId="31618" xr:uid="{1ECB5878-EFBC-48BC-88EF-8CA21536CD25}"/>
    <cellStyle name="SAPBEXexcBad9 4 7" xfId="16426" xr:uid="{C87E5282-3FFD-4CE3-A551-A8AF93019FEE}"/>
    <cellStyle name="SAPBEXexcBad9 4 7 2" xfId="31619" xr:uid="{7EDC799C-5459-4658-A76A-88B9C1EC6A73}"/>
    <cellStyle name="SAPBEXexcBad9 4 8" xfId="16427" xr:uid="{959143C3-14FF-41A1-A9BE-4BE64C82DDAE}"/>
    <cellStyle name="SAPBEXexcBad9 4 8 2" xfId="31620" xr:uid="{C3CD71CE-12FB-4E76-B3AC-1043F6CEFF7F}"/>
    <cellStyle name="SAPBEXexcBad9 4 9" xfId="16428" xr:uid="{F46C3FD6-3A76-4692-A982-2E88E396FF59}"/>
    <cellStyle name="SAPBEXexcBad9 4 9 2" xfId="31621" xr:uid="{47F0290B-AC96-4010-BF43-ADCBADC103FD}"/>
    <cellStyle name="SAPBEXexcBad9 5" xfId="16429" xr:uid="{1EAE6506-AD72-44AD-9E93-D4A5E40435C6}"/>
    <cellStyle name="SAPBEXexcBad9 5 2" xfId="31622" xr:uid="{55765155-4A59-4F4B-B866-49479BE7DACF}"/>
    <cellStyle name="SAPBEXexcBad9 6" xfId="16430" xr:uid="{8401FBCD-D20A-4161-A90A-16059BA0184B}"/>
    <cellStyle name="SAPBEXexcBad9 6 2" xfId="31623" xr:uid="{6B8DD2C2-551F-43ED-AFDE-69F185E1B128}"/>
    <cellStyle name="SAPBEXexcBad9 7" xfId="16431" xr:uid="{0432A872-CD3B-459C-8B90-2CA5DD2A5E8B}"/>
    <cellStyle name="SAPBEXexcBad9 7 2" xfId="31651" xr:uid="{8F8910CD-4DD2-4947-8644-9D405282CD00}"/>
    <cellStyle name="SAPBEXexcBad9 8" xfId="16432" xr:uid="{6E510A2D-C809-4D2C-9434-497399F24148}"/>
    <cellStyle name="SAPBEXexcBad9 8 2" xfId="31624" xr:uid="{EFD82FA2-E531-4DE4-8063-BCBA7FDAA6A5}"/>
    <cellStyle name="SAPBEXexcBad9 9" xfId="16433" xr:uid="{3F23E465-3735-4BEC-A89B-131C0B917895}"/>
    <cellStyle name="SAPBEXexcBad9 9 2" xfId="31625" xr:uid="{AE4C226C-4A2D-4621-8243-8D840CCD134E}"/>
    <cellStyle name="SAPBEXexcCritical" xfId="16434" xr:uid="{B2B8E66B-DF03-42EC-BD24-30B078F4CEB8}"/>
    <cellStyle name="SAPBEXexcCritical 2" xfId="16435" xr:uid="{40F45A46-F91E-413C-8CA1-46E1CCD8B2A4}"/>
    <cellStyle name="SAPBEXexcCritical4" xfId="16436" xr:uid="{FABCB9BE-5FB7-4026-A9EE-E72C1E976696}"/>
    <cellStyle name="SAPBEXexcCritical4 10" xfId="16437" xr:uid="{2948E222-A131-4907-BF05-A219DE13962D}"/>
    <cellStyle name="SAPBEXexcCritical4 10 2" xfId="31627" xr:uid="{D8A705A6-74CE-48C9-AC15-E8159FCEDB7B}"/>
    <cellStyle name="SAPBEXexcCritical4 11" xfId="16438" xr:uid="{6E5D7F24-8B68-4184-9671-E7AF0B8A7AD7}"/>
    <cellStyle name="SAPBEXexcCritical4 11 2" xfId="31628" xr:uid="{138FBD9E-B414-4762-9DB8-F6A993F0BC64}"/>
    <cellStyle name="SAPBEXexcCritical4 12" xfId="16439" xr:uid="{1D19F92A-585E-41FD-97C9-984AD01B3395}"/>
    <cellStyle name="SAPBEXexcCritical4 12 2" xfId="31629" xr:uid="{A23FA943-8DFD-43EA-A197-DDFE1B4CB0CA}"/>
    <cellStyle name="SAPBEXexcCritical4 13" xfId="16440" xr:uid="{B9B66BA1-C16F-4A33-B236-21CF3DA8BA5E}"/>
    <cellStyle name="SAPBEXexcCritical4 13 2" xfId="31630" xr:uid="{08727734-0B56-442D-940E-932237FFB5A6}"/>
    <cellStyle name="SAPBEXexcCritical4 14" xfId="16441" xr:uid="{3990588F-AE50-4424-B852-64AA200CCAC2}"/>
    <cellStyle name="SAPBEXexcCritical4 14 2" xfId="31631" xr:uid="{961861B7-7E6B-4486-BE22-836D1673002D}"/>
    <cellStyle name="SAPBEXexcCritical4 15" xfId="16442" xr:uid="{91925A40-3D54-4F20-ADE8-06E0E077BB25}"/>
    <cellStyle name="SAPBEXexcCritical4 15 2" xfId="31632" xr:uid="{565A5D50-0BF7-42E2-8733-782139C64ECF}"/>
    <cellStyle name="SAPBEXexcCritical4 16" xfId="16443" xr:uid="{52C48892-C57D-442B-943F-FF12F6B5B921}"/>
    <cellStyle name="SAPBEXexcCritical4 16 2" xfId="31633" xr:uid="{635CD102-AEE6-49F1-9E8B-96FE20251E3E}"/>
    <cellStyle name="SAPBEXexcCritical4 17" xfId="16444" xr:uid="{E928C985-B4DF-48F9-8349-F5EC0E3F5DEC}"/>
    <cellStyle name="SAPBEXexcCritical4 17 2" xfId="31634" xr:uid="{F6E20F73-F7B7-4705-A37A-95A567034828}"/>
    <cellStyle name="SAPBEXexcCritical4 18" xfId="16445" xr:uid="{FE37A0BF-532F-4A5D-BF0B-2D90D67B60F3}"/>
    <cellStyle name="SAPBEXexcCritical4 18 2" xfId="31635" xr:uid="{C828083D-31E1-4467-AD47-BFB9C831FC52}"/>
    <cellStyle name="SAPBEXexcCritical4 19" xfId="16446" xr:uid="{5BEB3800-A407-4926-B9ED-FA36B6EE4E3E}"/>
    <cellStyle name="SAPBEXexcCritical4 19 2" xfId="31636" xr:uid="{7246E057-1A40-411D-8A97-F24C37E1AD5F}"/>
    <cellStyle name="SAPBEXexcCritical4 2" xfId="16447" xr:uid="{BC3F9679-BE44-40D8-A21E-FEDCC41F91A9}"/>
    <cellStyle name="SAPBEXexcCritical4 2 10" xfId="16448" xr:uid="{85911410-4C18-480F-9EA6-1707B79A3017}"/>
    <cellStyle name="SAPBEXexcCritical4 2 10 2" xfId="31638" xr:uid="{00105F43-287B-45BF-AEA2-ED151DCB7279}"/>
    <cellStyle name="SAPBEXexcCritical4 2 11" xfId="16449" xr:uid="{DA62738C-002B-4BA9-B1DD-728A37EB2F58}"/>
    <cellStyle name="SAPBEXexcCritical4 2 11 2" xfId="31639" xr:uid="{3C29557C-7ACD-4D7D-95E6-9BD91752E5FD}"/>
    <cellStyle name="SAPBEXexcCritical4 2 12" xfId="16450" xr:uid="{826DC01B-9EB4-4163-BAE0-9531BD00EDDA}"/>
    <cellStyle name="SAPBEXexcCritical4 2 12 2" xfId="31640" xr:uid="{D2B3DAB4-D30B-4896-8043-9E77E06A05C5}"/>
    <cellStyle name="SAPBEXexcCritical4 2 13" xfId="16451" xr:uid="{B99C2CB3-73BE-4FB2-A536-C1609119896F}"/>
    <cellStyle name="SAPBEXexcCritical4 2 13 2" xfId="31641" xr:uid="{A51273DA-0777-4600-80BC-646492038B8E}"/>
    <cellStyle name="SAPBEXexcCritical4 2 14" xfId="16452" xr:uid="{AF1B4D5B-6650-42F5-8F71-415ABC2D381B}"/>
    <cellStyle name="SAPBEXexcCritical4 2 14 2" xfId="31642" xr:uid="{3A58AAA5-B428-4655-9BB0-BBA524FD50A4}"/>
    <cellStyle name="SAPBEXexcCritical4 2 15" xfId="16453" xr:uid="{5BE21841-87BA-4A38-A6E7-AAB7AE55F5A0}"/>
    <cellStyle name="SAPBEXexcCritical4 2 15 2" xfId="31643" xr:uid="{64EE22C0-0D22-4752-9700-828D40D05ACB}"/>
    <cellStyle name="SAPBEXexcCritical4 2 16" xfId="16454" xr:uid="{3EBD57A9-9768-463B-AB7A-C28EA81C46C6}"/>
    <cellStyle name="SAPBEXexcCritical4 2 16 2" xfId="31644" xr:uid="{1C5D45A9-A1D1-42DD-9A90-51BB3F3B60C2}"/>
    <cellStyle name="SAPBEXexcCritical4 2 17" xfId="16455" xr:uid="{D718E4A9-CB21-4F72-85E7-04213C70DB62}"/>
    <cellStyle name="SAPBEXexcCritical4 2 17 2" xfId="31645" xr:uid="{FB363BF3-E782-49CE-8EE4-F6821B5D4AD9}"/>
    <cellStyle name="SAPBEXexcCritical4 2 18" xfId="16456" xr:uid="{3FC6FF56-CF0B-4238-9BEA-C0E1AF4FA7B6}"/>
    <cellStyle name="SAPBEXexcCritical4 2 18 2" xfId="31646" xr:uid="{903A0463-A25A-423D-AEFC-2306666D499C}"/>
    <cellStyle name="SAPBEXexcCritical4 2 19" xfId="16457" xr:uid="{A520968C-6D7D-47A0-A396-36165FD0E7E2}"/>
    <cellStyle name="SAPBEXexcCritical4 2 19 2" xfId="31647" xr:uid="{E40A7E49-3B06-47CF-83E5-21D70D43F6F0}"/>
    <cellStyle name="SAPBEXexcCritical4 2 2" xfId="16458" xr:uid="{0125838D-65BE-4C91-891A-CB520CC2B2D5}"/>
    <cellStyle name="SAPBEXexcCritical4 2 2 10" xfId="16459" xr:uid="{CA6F3CE8-171F-4584-B0EB-73D89735FDA4}"/>
    <cellStyle name="SAPBEXexcCritical4 2 2 10 2" xfId="31649" xr:uid="{FFAD9D1F-D994-407D-936C-CAEAF8B49415}"/>
    <cellStyle name="SAPBEXexcCritical4 2 2 11" xfId="16460" xr:uid="{AEA461A2-804B-49E8-81CE-1421D566EAB0}"/>
    <cellStyle name="SAPBEXexcCritical4 2 2 11 2" xfId="31650" xr:uid="{7CC1BFCD-3125-4E54-8B3F-C9CDDA7C1740}"/>
    <cellStyle name="SAPBEXexcCritical4 2 2 12" xfId="16461" xr:uid="{347F4E76-687D-4F27-B345-C90849E5E1E9}"/>
    <cellStyle name="SAPBEXexcCritical4 2 2 12 2" xfId="31652" xr:uid="{DD0C7DCB-AEE2-48E3-AA7F-8F3BC82C8F81}"/>
    <cellStyle name="SAPBEXexcCritical4 2 2 13" xfId="16462" xr:uid="{E30C2025-D25E-4589-AC6F-9536468E06E1}"/>
    <cellStyle name="SAPBEXexcCritical4 2 2 13 2" xfId="31653" xr:uid="{D2ED3E0B-D4B3-4BB2-A69A-C3DB6243B7C2}"/>
    <cellStyle name="SAPBEXexcCritical4 2 2 14" xfId="16463" xr:uid="{7F161B71-4B44-4153-8BC2-25B6C1C94AA6}"/>
    <cellStyle name="SAPBEXexcCritical4 2 2 14 2" xfId="31654" xr:uid="{E8165791-749E-41BA-95FE-8D2D4F243E71}"/>
    <cellStyle name="SAPBEXexcCritical4 2 2 15" xfId="16464" xr:uid="{C1C265A6-ADC1-47E3-B856-055403FBBCBE}"/>
    <cellStyle name="SAPBEXexcCritical4 2 2 15 2" xfId="31655" xr:uid="{DD4714C7-A747-4045-A2D9-E3C454FE9CBD}"/>
    <cellStyle name="SAPBEXexcCritical4 2 2 16" xfId="16465" xr:uid="{F32B8BD0-6C4D-4023-A800-75DE9EB169F7}"/>
    <cellStyle name="SAPBEXexcCritical4 2 2 16 2" xfId="31656" xr:uid="{DE85F8B8-96A9-43C6-8B56-D737E156CE77}"/>
    <cellStyle name="SAPBEXexcCritical4 2 2 17" xfId="16466" xr:uid="{BC923B71-B7F6-4760-B74E-8D643EB3D753}"/>
    <cellStyle name="SAPBEXexcCritical4 2 2 17 2" xfId="31695" xr:uid="{FA95105D-551E-4184-8422-54261F0AC5C7}"/>
    <cellStyle name="SAPBEXexcCritical4 2 2 18" xfId="16467" xr:uid="{BFA53F3B-705F-4717-AA98-6BC0D57B6093}"/>
    <cellStyle name="SAPBEXexcCritical4 2 2 18 2" xfId="31657" xr:uid="{0388E8AE-DDB8-4729-A98E-3E16821A1717}"/>
    <cellStyle name="SAPBEXexcCritical4 2 2 19" xfId="31648" xr:uid="{6508942D-0C71-4FFC-B0BC-1146CB89C9CB}"/>
    <cellStyle name="SAPBEXexcCritical4 2 2 2" xfId="16468" xr:uid="{78B82689-E443-4986-BFEB-4C7D42A3863B}"/>
    <cellStyle name="SAPBEXexcCritical4 2 2 2 10" xfId="16469" xr:uid="{C9857521-3768-4689-9DD9-67C72B56C706}"/>
    <cellStyle name="SAPBEXexcCritical4 2 2 2 10 2" xfId="31659" xr:uid="{640737D5-26CA-4ADF-9516-15D173CC7952}"/>
    <cellStyle name="SAPBEXexcCritical4 2 2 2 11" xfId="16470" xr:uid="{AF5F36D4-D190-43E8-B50D-C63AE747F3DD}"/>
    <cellStyle name="SAPBEXexcCritical4 2 2 2 11 2" xfId="31701" xr:uid="{A494F6F3-2BF1-4875-BACC-BE639991B1B1}"/>
    <cellStyle name="SAPBEXexcCritical4 2 2 2 12" xfId="16471" xr:uid="{29FC6437-B8B6-40F3-A78D-B4765E4EAF8D}"/>
    <cellStyle name="SAPBEXexcCritical4 2 2 2 12 2" xfId="31702" xr:uid="{99965F79-131F-4CE7-826D-92E094BF82F7}"/>
    <cellStyle name="SAPBEXexcCritical4 2 2 2 13" xfId="16472" xr:uid="{CDF2583E-7622-437D-8C1A-EEAA400D227A}"/>
    <cellStyle name="SAPBEXexcCritical4 2 2 2 13 2" xfId="31703" xr:uid="{C730299C-ABD9-4D6F-8147-B06CB26BBF86}"/>
    <cellStyle name="SAPBEXexcCritical4 2 2 2 14" xfId="16473" xr:uid="{465F1882-7C94-4D65-8AA5-364BCEC2FA22}"/>
    <cellStyle name="SAPBEXexcCritical4 2 2 2 14 2" xfId="31700" xr:uid="{1EA1173B-47DD-4F72-9526-512B9587AC7B}"/>
    <cellStyle name="SAPBEXexcCritical4 2 2 2 15" xfId="31658" xr:uid="{3D4C86CA-6E62-4FD9-995B-C747B2F05748}"/>
    <cellStyle name="SAPBEXexcCritical4 2 2 2 2" xfId="16474" xr:uid="{2DBA1827-8B2C-4C6D-8503-9C1419A59C4C}"/>
    <cellStyle name="SAPBEXexcCritical4 2 2 2 2 2" xfId="31683" xr:uid="{5905223F-F2EF-4353-99D8-2FFBC8AA1D33}"/>
    <cellStyle name="SAPBEXexcCritical4 2 2 2 3" xfId="16475" xr:uid="{D74AE4B1-3EF0-4EF9-98B1-3E15C5236C03}"/>
    <cellStyle name="SAPBEXexcCritical4 2 2 2 3 2" xfId="31684" xr:uid="{C931613B-153D-45F5-840A-B1721AFBE0EA}"/>
    <cellStyle name="SAPBEXexcCritical4 2 2 2 4" xfId="16476" xr:uid="{B3FA3496-564E-4849-8984-6EA96FDCB8B4}"/>
    <cellStyle name="SAPBEXexcCritical4 2 2 2 4 2" xfId="31685" xr:uid="{13DF8870-DD42-4CE5-A81F-221838D8669D}"/>
    <cellStyle name="SAPBEXexcCritical4 2 2 2 5" xfId="16477" xr:uid="{EC20F7EE-1EE1-433C-9DCE-F8A01D529707}"/>
    <cellStyle name="SAPBEXexcCritical4 2 2 2 5 2" xfId="31686" xr:uid="{7FAEB533-06EC-432C-8920-FDDA1209151F}"/>
    <cellStyle name="SAPBEXexcCritical4 2 2 2 6" xfId="16478" xr:uid="{657F739D-DCA3-4E92-92EF-798B9215083A}"/>
    <cellStyle name="SAPBEXexcCritical4 2 2 2 6 2" xfId="31687" xr:uid="{39F53AB4-0172-425F-AA76-C1B7959FCC4C}"/>
    <cellStyle name="SAPBEXexcCritical4 2 2 2 7" xfId="16479" xr:uid="{EF2124E8-C3E6-407E-8CAC-79BF64500122}"/>
    <cellStyle name="SAPBEXexcCritical4 2 2 2 7 2" xfId="31688" xr:uid="{A1FC11AA-541F-4A39-A384-396C67A8C396}"/>
    <cellStyle name="SAPBEXexcCritical4 2 2 2 8" xfId="16480" xr:uid="{AF99A9B7-B4DA-4582-A3F1-4C6B4921EC3D}"/>
    <cellStyle name="SAPBEXexcCritical4 2 2 2 8 2" xfId="31689" xr:uid="{59E60C59-E6B9-4D80-8463-6BAA08530890}"/>
    <cellStyle name="SAPBEXexcCritical4 2 2 2 9" xfId="16481" xr:uid="{C94AD2E2-DFE9-4224-9AE5-A781B8852682}"/>
    <cellStyle name="SAPBEXexcCritical4 2 2 2 9 2" xfId="31690" xr:uid="{FAE71C3A-45AB-43CD-9829-EFA5A69ADF2D}"/>
    <cellStyle name="SAPBEXexcCritical4 2 2 3" xfId="16482" xr:uid="{0617D94C-76FC-4521-9ED5-475B71F9D980}"/>
    <cellStyle name="SAPBEXexcCritical4 2 2 3 2" xfId="31691" xr:uid="{55C14D5A-D86E-4385-A808-994C8DC45FDF}"/>
    <cellStyle name="SAPBEXexcCritical4 2 2 4" xfId="16483" xr:uid="{77B4BB32-7C1B-403E-A050-30ADE0BB066D}"/>
    <cellStyle name="SAPBEXexcCritical4 2 2 4 2" xfId="31692" xr:uid="{0B426365-8F37-42F3-A391-A233DED615AF}"/>
    <cellStyle name="SAPBEXexcCritical4 2 2 5" xfId="16484" xr:uid="{848EBE90-B486-4907-B609-5CB89B0B2775}"/>
    <cellStyle name="SAPBEXexcCritical4 2 2 5 2" xfId="31693" xr:uid="{DBFC12DC-2410-46D8-B31F-06847D6760A7}"/>
    <cellStyle name="SAPBEXexcCritical4 2 2 6" xfId="16485" xr:uid="{55CD9F33-71F5-4602-9CDF-AE6361580F79}"/>
    <cellStyle name="SAPBEXexcCritical4 2 2 6 2" xfId="31694" xr:uid="{6D154ECE-C957-49E2-BF45-EA9E342B7099}"/>
    <cellStyle name="SAPBEXexcCritical4 2 2 7" xfId="16486" xr:uid="{B6D81894-6C68-4915-87D7-D2BBCD9232B6}"/>
    <cellStyle name="SAPBEXexcCritical4 2 2 7 2" xfId="27457" xr:uid="{098F1F9C-26DC-458A-B825-6371C0C024E2}"/>
    <cellStyle name="SAPBEXexcCritical4 2 2 8" xfId="16487" xr:uid="{B5194A24-2881-487D-8347-E54AA30696B1}"/>
    <cellStyle name="SAPBEXexcCritical4 2 2 8 2" xfId="31678" xr:uid="{55E22C33-DCAD-4A57-A6A1-982673090242}"/>
    <cellStyle name="SAPBEXexcCritical4 2 2 9" xfId="16488" xr:uid="{35B0E002-1214-4318-A23C-176C4A6AC54D}"/>
    <cellStyle name="SAPBEXexcCritical4 2 2 9 2" xfId="27458" xr:uid="{E3FEE04F-D0D2-4C91-B081-76179202FE76}"/>
    <cellStyle name="SAPBEXexcCritical4 2 20" xfId="31637" xr:uid="{85BC642D-5D8D-4654-9F4F-59669A6E46EC}"/>
    <cellStyle name="SAPBEXexcCritical4 2 3" xfId="16489" xr:uid="{69B2C06C-A02E-410C-8358-AD72F5EAA30E}"/>
    <cellStyle name="SAPBEXexcCritical4 2 3 10" xfId="16490" xr:uid="{2D97C347-C6E7-46AF-A937-205D4CA173AC}"/>
    <cellStyle name="SAPBEXexcCritical4 2 3 10 2" xfId="31680" xr:uid="{58F70A63-5FAF-4901-BA07-5CCCADFE4BA5}"/>
    <cellStyle name="SAPBEXexcCritical4 2 3 11" xfId="16491" xr:uid="{5C58C66C-50DE-4884-AF81-0544A87BB474}"/>
    <cellStyle name="SAPBEXexcCritical4 2 3 11 2" xfId="31681" xr:uid="{91FA9436-F316-4284-8E7B-74D33A9DE402}"/>
    <cellStyle name="SAPBEXexcCritical4 2 3 12" xfId="16492" xr:uid="{F991517D-DD31-4572-AFE3-B61194E6713A}"/>
    <cellStyle name="SAPBEXexcCritical4 2 3 12 2" xfId="31705" xr:uid="{825145E6-BE7A-440F-8CBF-22525106EE17}"/>
    <cellStyle name="SAPBEXexcCritical4 2 3 13" xfId="16493" xr:uid="{9B9059A7-A48C-47CA-A0FB-510CEFB4134C}"/>
    <cellStyle name="SAPBEXexcCritical4 2 3 13 2" xfId="31706" xr:uid="{686448BC-FD38-4786-B65C-FEB6D876A702}"/>
    <cellStyle name="SAPBEXexcCritical4 2 3 14" xfId="16494" xr:uid="{AE73891C-500F-4950-A1DE-6845A8F71997}"/>
    <cellStyle name="SAPBEXexcCritical4 2 3 14 2" xfId="31707" xr:uid="{AD300B84-66D3-411D-96ED-681DD711F00F}"/>
    <cellStyle name="SAPBEXexcCritical4 2 3 15" xfId="31679" xr:uid="{437ECF76-BF90-419D-B933-48860BDB212E}"/>
    <cellStyle name="SAPBEXexcCritical4 2 3 2" xfId="16495" xr:uid="{DC8A6762-668B-488B-B46A-12D788AB78A3}"/>
    <cellStyle name="SAPBEXexcCritical4 2 3 2 2" xfId="31704" xr:uid="{F041EB3B-0F7A-49E1-A5BE-BDD38139586B}"/>
    <cellStyle name="SAPBEXexcCritical4 2 3 3" xfId="16496" xr:uid="{3D5CF1B0-1576-403A-B536-DF830F7CAB55}"/>
    <cellStyle name="SAPBEXexcCritical4 2 3 3 2" xfId="27459" xr:uid="{07DDECCE-44A6-4511-9240-0888E91CA5CD}"/>
    <cellStyle name="SAPBEXexcCritical4 2 3 4" xfId="16497" xr:uid="{6C5516CE-EDFA-444B-AEA7-389E68D7F0EA}"/>
    <cellStyle name="SAPBEXexcCritical4 2 3 4 2" xfId="31696" xr:uid="{02250983-B560-459C-91FA-9949A0DE741A}"/>
    <cellStyle name="SAPBEXexcCritical4 2 3 5" xfId="16498" xr:uid="{C922C77F-17E9-4C20-A058-A6A9FA743BC8}"/>
    <cellStyle name="SAPBEXexcCritical4 2 3 5 2" xfId="27460" xr:uid="{BDFE8DB4-AC30-4358-962B-9E4C676BA325}"/>
    <cellStyle name="SAPBEXexcCritical4 2 3 6" xfId="16499" xr:uid="{24CD3F09-22DD-4585-A6C6-BC480EBCCA4D}"/>
    <cellStyle name="SAPBEXexcCritical4 2 3 6 2" xfId="31697" xr:uid="{E5794F07-5B9B-4D33-9B9C-CC8B9EF55885}"/>
    <cellStyle name="SAPBEXexcCritical4 2 3 7" xfId="16500" xr:uid="{3BE46BE3-E869-4EE1-9F29-B84342036D77}"/>
    <cellStyle name="SAPBEXexcCritical4 2 3 7 2" xfId="31698" xr:uid="{8201C57D-AC4C-4E51-891F-0FDCAA68A887}"/>
    <cellStyle name="SAPBEXexcCritical4 2 3 8" xfId="16501" xr:uid="{A81A48AE-60D2-4270-9ED1-40B5CBCFF497}"/>
    <cellStyle name="SAPBEXexcCritical4 2 3 8 2" xfId="31699" xr:uid="{E72B105F-D5D0-413A-82B8-F8B7C8006417}"/>
    <cellStyle name="SAPBEXexcCritical4 2 3 9" xfId="16502" xr:uid="{98FC6989-A704-4387-9514-5BEAEB945FCC}"/>
    <cellStyle name="SAPBEXexcCritical4 2 3 9 2" xfId="31660" xr:uid="{426A32CF-6FA6-490E-BCED-F4D619D3641B}"/>
    <cellStyle name="SAPBEXexcCritical4 2 4" xfId="16503" xr:uid="{F3F2AA72-839D-4BE9-BE79-6A0ECEAC9CBE}"/>
    <cellStyle name="SAPBEXexcCritical4 2 4 2" xfId="31661" xr:uid="{608DC723-0EEF-4C7D-8D3E-461C185CC542}"/>
    <cellStyle name="SAPBEXexcCritical4 2 5" xfId="16504" xr:uid="{C6317C39-B631-49D9-9593-85EC0D071BE5}"/>
    <cellStyle name="SAPBEXexcCritical4 2 5 2" xfId="31662" xr:uid="{44D07F87-4739-465C-9E13-AF1499AC47FF}"/>
    <cellStyle name="SAPBEXexcCritical4 2 6" xfId="16505" xr:uid="{42BC8785-0C76-4357-86A6-9042B282CEC8}"/>
    <cellStyle name="SAPBEXexcCritical4 2 6 2" xfId="31663" xr:uid="{67CE983F-DBDA-4714-A4A0-5DDC41836AF6}"/>
    <cellStyle name="SAPBEXexcCritical4 2 7" xfId="16506" xr:uid="{5DDFE4D9-D2EF-4C88-8B1E-7F8F165E1F82}"/>
    <cellStyle name="SAPBEXexcCritical4 2 7 2" xfId="31664" xr:uid="{D38E7644-4C63-4596-B9AA-362AC00A91FA}"/>
    <cellStyle name="SAPBEXexcCritical4 2 8" xfId="16507" xr:uid="{0784D5AF-D3C3-4269-ACC2-392A7FD9EABA}"/>
    <cellStyle name="SAPBEXexcCritical4 2 8 2" xfId="31665" xr:uid="{2F77A172-416E-4F95-90E8-D92A2F7D77B0}"/>
    <cellStyle name="SAPBEXexcCritical4 2 9" xfId="16508" xr:uid="{ED5F657E-E14E-4CED-A5BB-6C61A5180DC4}"/>
    <cellStyle name="SAPBEXexcCritical4 2 9 2" xfId="31666" xr:uid="{1FF6AA92-E4B5-4F24-9B12-5A686493A780}"/>
    <cellStyle name="SAPBEXexcCritical4 20" xfId="16509" xr:uid="{FAAFFF36-4BF8-41F7-BEC5-DA57A5E4AD96}"/>
    <cellStyle name="SAPBEXexcCritical4 20 2" xfId="31667" xr:uid="{D6F0C6E2-E978-45A6-B22C-8B34FED972AC}"/>
    <cellStyle name="SAPBEXexcCritical4 21" xfId="31626" xr:uid="{3C4B5B02-D0D0-4151-B128-419B54D47D3C}"/>
    <cellStyle name="SAPBEXexcCritical4 3" xfId="16510" xr:uid="{54BFDCA1-E92E-485C-A8A2-DFEB2BFE58A0}"/>
    <cellStyle name="SAPBEXexcCritical4 3 10" xfId="16511" xr:uid="{8C2867D6-DE62-412B-B076-D1E35AAF0333}"/>
    <cellStyle name="SAPBEXexcCritical4 3 10 2" xfId="31669" xr:uid="{D2A2A001-DD22-4EF5-9CFE-AA929F4877DD}"/>
    <cellStyle name="SAPBEXexcCritical4 3 11" xfId="16512" xr:uid="{7885899C-0976-4973-BFDA-05C5BE57F34A}"/>
    <cellStyle name="SAPBEXexcCritical4 3 11 2" xfId="31670" xr:uid="{8DC0279E-C4A5-4DDB-9F0C-B226075E1F4B}"/>
    <cellStyle name="SAPBEXexcCritical4 3 12" xfId="16513" xr:uid="{298D2BCC-EBFD-4487-9E14-CDCE844CE4C2}"/>
    <cellStyle name="SAPBEXexcCritical4 3 12 2" xfId="31671" xr:uid="{FC32F363-903F-4188-A8C0-228692604C64}"/>
    <cellStyle name="SAPBEXexcCritical4 3 13" xfId="16514" xr:uid="{F41DDE9E-8214-4D72-9BB6-8F44EE0C0D4A}"/>
    <cellStyle name="SAPBEXexcCritical4 3 13 2" xfId="31672" xr:uid="{F9D17B82-C423-4FD2-9944-C52A2CFFD782}"/>
    <cellStyle name="SAPBEXexcCritical4 3 14" xfId="16515" xr:uid="{5DD5AC29-13EB-41A5-A398-50FEB7DC8D49}"/>
    <cellStyle name="SAPBEXexcCritical4 3 14 2" xfId="31673" xr:uid="{107CADD9-F79E-464C-B0AE-A1402797E9E1}"/>
    <cellStyle name="SAPBEXexcCritical4 3 15" xfId="16516" xr:uid="{1D154366-719F-4230-94F5-11944AFB31B6}"/>
    <cellStyle name="SAPBEXexcCritical4 3 15 2" xfId="31674" xr:uid="{0CA446F0-6359-415A-AA3B-2F259063A633}"/>
    <cellStyle name="SAPBEXexcCritical4 3 16" xfId="16517" xr:uid="{C63F623F-9D9C-412E-954C-C033EBAFD29D}"/>
    <cellStyle name="SAPBEXexcCritical4 3 16 2" xfId="31675" xr:uid="{2DF8CAE4-8AF9-4E99-8397-0BCEDF0042DD}"/>
    <cellStyle name="SAPBEXexcCritical4 3 17" xfId="16518" xr:uid="{2B9866E2-21BC-4F11-B614-7F3C92A27233}"/>
    <cellStyle name="SAPBEXexcCritical4 3 17 2" xfId="31676" xr:uid="{2D32C91E-1FE0-40C2-8CBD-17B091ECD945}"/>
    <cellStyle name="SAPBEXexcCritical4 3 18" xfId="16519" xr:uid="{8595F899-44B3-4F5F-9343-8CA0427477E0}"/>
    <cellStyle name="SAPBEXexcCritical4 3 18 2" xfId="31677" xr:uid="{3C60426A-2AF2-4C1E-AE11-8A6E082EFC72}"/>
    <cellStyle name="SAPBEXexcCritical4 3 19" xfId="31668" xr:uid="{1ED5D699-3FEE-4BF3-B282-4DAC5B559165}"/>
    <cellStyle name="SAPBEXexcCritical4 3 2" xfId="16520" xr:uid="{32A061EE-0B91-40F1-9E50-91AF23E56B4D}"/>
    <cellStyle name="SAPBEXexcCritical4 3 2 10" xfId="16521" xr:uid="{670A5E56-2E9D-4EDA-9636-40444A73BAC0}"/>
    <cellStyle name="SAPBEXexcCritical4 3 2 10 2" xfId="27461" xr:uid="{51BF3DFA-3045-44EA-8E6B-D5C87BCE348E}"/>
    <cellStyle name="SAPBEXexcCritical4 3 2 11" xfId="16522" xr:uid="{79B98015-8518-4671-BB01-470335C0FD99}"/>
    <cellStyle name="SAPBEXexcCritical4 3 2 11 2" xfId="31708" xr:uid="{A6E39ACC-B2D9-44C0-9AE9-203BBE59521A}"/>
    <cellStyle name="SAPBEXexcCritical4 3 2 12" xfId="16523" xr:uid="{254313DA-118B-488A-9DB1-7CF9CB308D87}"/>
    <cellStyle name="SAPBEXexcCritical4 3 2 12 2" xfId="27462" xr:uid="{125DA4BF-FC99-41C0-962C-9A92C333304D}"/>
    <cellStyle name="SAPBEXexcCritical4 3 2 13" xfId="16524" xr:uid="{39B143D2-8483-405B-B51D-14C8AC55EC80}"/>
    <cellStyle name="SAPBEXexcCritical4 3 2 13 2" xfId="31709" xr:uid="{B37F8326-8CB4-49CA-99A1-CD1725E5E11F}"/>
    <cellStyle name="SAPBEXexcCritical4 3 2 14" xfId="16525" xr:uid="{AE713370-CFE5-4980-8A9B-4E529B024479}"/>
    <cellStyle name="SAPBEXexcCritical4 3 2 14 2" xfId="31710" xr:uid="{16D5B702-8B06-43B3-A83D-80A8EFC8BFA0}"/>
    <cellStyle name="SAPBEXexcCritical4 3 2 15" xfId="31682" xr:uid="{1E74FFA5-D3AF-417A-81D8-4C34BA8585D2}"/>
    <cellStyle name="SAPBEXexcCritical4 3 2 2" xfId="16526" xr:uid="{863C046E-3A22-4CA2-9582-CA08D732ADF6}"/>
    <cellStyle name="SAPBEXexcCritical4 3 2 2 2" xfId="31711" xr:uid="{8AF4A91B-FDCB-4C40-87F5-0E068F854188}"/>
    <cellStyle name="SAPBEXexcCritical4 3 2 3" xfId="16527" xr:uid="{BE78DA8F-5150-4584-8320-1BBC66FCA10D}"/>
    <cellStyle name="SAPBEXexcCritical4 3 2 3 2" xfId="31734" xr:uid="{D3BF4703-B2BE-4187-A548-E87E13C01D9E}"/>
    <cellStyle name="SAPBEXexcCritical4 3 2 4" xfId="16528" xr:uid="{F413123B-A38B-452E-842E-DA312598903E}"/>
    <cellStyle name="SAPBEXexcCritical4 3 2 4 2" xfId="31722" xr:uid="{21F29F95-832F-44D5-B0FF-7CA20FA1A727}"/>
    <cellStyle name="SAPBEXexcCritical4 3 2 5" xfId="16529" xr:uid="{061FAEBE-CA30-4858-879E-2897A29B96DB}"/>
    <cellStyle name="SAPBEXexcCritical4 3 2 5 2" xfId="31723" xr:uid="{F8AB0407-4AC7-4A89-8DBA-CC38110CF786}"/>
    <cellStyle name="SAPBEXexcCritical4 3 2 6" xfId="16530" xr:uid="{10026B2C-363B-4AFB-8960-8C1018D4F00A}"/>
    <cellStyle name="SAPBEXexcCritical4 3 2 6 2" xfId="31724" xr:uid="{136C5451-D2EE-44F1-B66C-DAFA2EBF4E19}"/>
    <cellStyle name="SAPBEXexcCritical4 3 2 7" xfId="16531" xr:uid="{B719AE59-C64E-43C2-AF60-2F3DCDE67026}"/>
    <cellStyle name="SAPBEXexcCritical4 3 2 7 2" xfId="31725" xr:uid="{CB41815C-E7F6-47E5-9917-48906C42F8A1}"/>
    <cellStyle name="SAPBEXexcCritical4 3 2 8" xfId="16532" xr:uid="{06AC2C6F-A338-45F2-A8C6-A12408F18F8C}"/>
    <cellStyle name="SAPBEXexcCritical4 3 2 8 2" xfId="31726" xr:uid="{6022EE47-8133-4A61-8F3F-B1D2E3FC3664}"/>
    <cellStyle name="SAPBEXexcCritical4 3 2 9" xfId="16533" xr:uid="{A68B254C-1EBD-4714-89DC-4087DE19214F}"/>
    <cellStyle name="SAPBEXexcCritical4 3 2 9 2" xfId="31727" xr:uid="{2E00E7E9-ED6E-4164-96B0-4A6D83A65D07}"/>
    <cellStyle name="SAPBEXexcCritical4 3 3" xfId="16534" xr:uid="{FE328D03-901E-44BA-9BAC-99962C1E7DA6}"/>
    <cellStyle name="SAPBEXexcCritical4 3 3 2" xfId="31728" xr:uid="{01883423-297C-448D-9D9B-C981F10188FC}"/>
    <cellStyle name="SAPBEXexcCritical4 3 4" xfId="16535" xr:uid="{2326883F-909D-4B21-984C-09F2B5CB5729}"/>
    <cellStyle name="SAPBEXexcCritical4 3 4 2" xfId="31729" xr:uid="{A35EE96F-E121-4743-82A3-022FD8DF50A3}"/>
    <cellStyle name="SAPBEXexcCritical4 3 5" xfId="16536" xr:uid="{4E12FC42-AEEC-40A5-B469-5E4ECD5443CE}"/>
    <cellStyle name="SAPBEXexcCritical4 3 5 2" xfId="31730" xr:uid="{A09C622F-EE03-4715-998D-97B3302F47C7}"/>
    <cellStyle name="SAPBEXexcCritical4 3 6" xfId="16537" xr:uid="{FC2B47FF-18F5-4679-A8D4-EDC30533D2E1}"/>
    <cellStyle name="SAPBEXexcCritical4 3 6 2" xfId="31731" xr:uid="{C7A9EA2C-9CC9-4CA5-8A3E-72BC05902585}"/>
    <cellStyle name="SAPBEXexcCritical4 3 7" xfId="16538" xr:uid="{9D0CB4EE-7C28-46C1-AF50-685E412BFFA1}"/>
    <cellStyle name="SAPBEXexcCritical4 3 7 2" xfId="31732" xr:uid="{8DCBBA74-6A92-429C-BC0D-0E0ED32F8D30}"/>
    <cellStyle name="SAPBEXexcCritical4 3 8" xfId="16539" xr:uid="{F76B29EB-7692-4936-9931-4294A6BB966A}"/>
    <cellStyle name="SAPBEXexcCritical4 3 8 2" xfId="31733" xr:uid="{92DB644B-66A1-454F-B010-852B1DF5656E}"/>
    <cellStyle name="SAPBEXexcCritical4 3 9" xfId="16540" xr:uid="{88AF77B4-6C4B-4488-BF3D-FCEE17203998}"/>
    <cellStyle name="SAPBEXexcCritical4 3 9 2" xfId="31735" xr:uid="{4A26D90B-EC4F-45BE-8299-483658A00369}"/>
    <cellStyle name="SAPBEXexcCritical4 4" xfId="16541" xr:uid="{9FB87180-F031-4996-A8E4-567BA6DF436F}"/>
    <cellStyle name="SAPBEXexcCritical4 4 10" xfId="16542" xr:uid="{1254A8A2-9C62-4053-AA03-3B3F76A1703E}"/>
    <cellStyle name="SAPBEXexcCritical4 4 10 2" xfId="31713" xr:uid="{9B570698-3EAA-4ED9-B21E-1209C4B0F9E7}"/>
    <cellStyle name="SAPBEXexcCritical4 4 11" xfId="16543" xr:uid="{B29B0DB8-F5F2-4DD8-ACF8-DC2B3CB8CDD2}"/>
    <cellStyle name="SAPBEXexcCritical4 4 11 2" xfId="31714" xr:uid="{D3469072-7BAF-4601-9FE3-00D41E807BAC}"/>
    <cellStyle name="SAPBEXexcCritical4 4 12" xfId="16544" xr:uid="{442414EC-B766-422E-898F-2028932B5DBF}"/>
    <cellStyle name="SAPBEXexcCritical4 4 12 2" xfId="31715" xr:uid="{BDC292C2-0006-4CE0-B734-464F93723FA9}"/>
    <cellStyle name="SAPBEXexcCritical4 4 13" xfId="16545" xr:uid="{8BC9DC18-8F7D-4C88-8745-20AC87FF5557}"/>
    <cellStyle name="SAPBEXexcCritical4 4 13 2" xfId="31716" xr:uid="{B57C4D72-FFEA-4456-9D55-569E8AEAFA0E}"/>
    <cellStyle name="SAPBEXexcCritical4 4 14" xfId="16546" xr:uid="{B923DAE9-DB3D-4EB8-BA73-AE3701457C30}"/>
    <cellStyle name="SAPBEXexcCritical4 4 14 2" xfId="31717" xr:uid="{60BF5B67-A55D-43EA-8E1E-8525901773ED}"/>
    <cellStyle name="SAPBEXexcCritical4 4 15" xfId="31712" xr:uid="{00D7873A-F59E-43B4-BCEB-611EA3FE797B}"/>
    <cellStyle name="SAPBEXexcCritical4 4 2" xfId="16547" xr:uid="{1A969610-F41E-4CD2-9426-4EE7CDD2F75E}"/>
    <cellStyle name="SAPBEXexcCritical4 4 2 2" xfId="31718" xr:uid="{8177424C-DEA3-4710-963E-C99B5BBA2C1C}"/>
    <cellStyle name="SAPBEXexcCritical4 4 3" xfId="16548" xr:uid="{E3614BC0-8131-4DD6-AE87-45B7DCE76D47}"/>
    <cellStyle name="SAPBEXexcCritical4 4 3 2" xfId="31719" xr:uid="{5DE8F965-39AE-45AE-8F8D-4381E5721B4B}"/>
    <cellStyle name="SAPBEXexcCritical4 4 4" xfId="16549" xr:uid="{0B79B981-F4CA-441A-9CDF-3AA68D2B6DB0}"/>
    <cellStyle name="SAPBEXexcCritical4 4 4 2" xfId="31720" xr:uid="{70711F10-5BE8-428E-8C8D-06B05BA27663}"/>
    <cellStyle name="SAPBEXexcCritical4 4 5" xfId="16550" xr:uid="{17EBDE4E-230F-42A3-B12C-BE578A9A19EC}"/>
    <cellStyle name="SAPBEXexcCritical4 4 5 2" xfId="31721" xr:uid="{1829C36F-CB15-4571-A028-0C25447D0135}"/>
    <cellStyle name="SAPBEXexcCritical4 4 6" xfId="16551" xr:uid="{E9C653AD-8326-417C-91E7-364387EBB791}"/>
    <cellStyle name="SAPBEXexcCritical4 4 6 2" xfId="31736" xr:uid="{95E50CD8-00CB-4719-8C00-0CD6A259BE54}"/>
    <cellStyle name="SAPBEXexcCritical4 4 7" xfId="16552" xr:uid="{798897DE-D33F-43D0-A45D-A8AD525F455F}"/>
    <cellStyle name="SAPBEXexcCritical4 4 7 2" xfId="31737" xr:uid="{8F470212-56AB-4B36-AA59-E10B21F98E02}"/>
    <cellStyle name="SAPBEXexcCritical4 4 8" xfId="16553" xr:uid="{F3325114-9C45-4EA3-9DDC-A5690EE6F44A}"/>
    <cellStyle name="SAPBEXexcCritical4 4 8 2" xfId="31738" xr:uid="{AC4EF7E8-FEA8-41D4-ABCC-A344044BDDE6}"/>
    <cellStyle name="SAPBEXexcCritical4 4 9" xfId="16554" xr:uid="{1475B314-2948-4E36-B3B4-4FCFDDC03B44}"/>
    <cellStyle name="SAPBEXexcCritical4 4 9 2" xfId="31740" xr:uid="{7AEC169B-0E84-4FC0-974C-91202D4113D3}"/>
    <cellStyle name="SAPBEXexcCritical4 5" xfId="16555" xr:uid="{BA7CADC1-2157-4BC0-BEC2-3154E2E66FFC}"/>
    <cellStyle name="SAPBEXexcCritical4 5 2" xfId="31741" xr:uid="{23C10793-5A5E-478A-95BE-6E1F59EB761D}"/>
    <cellStyle name="SAPBEXexcCritical4 6" xfId="16556" xr:uid="{8FB711CD-882A-41D9-952D-17A84C83F56A}"/>
    <cellStyle name="SAPBEXexcCritical4 6 2" xfId="31742" xr:uid="{E4768A4D-062C-4B83-A002-ACB014E40F85}"/>
    <cellStyle name="SAPBEXexcCritical4 7" xfId="16557" xr:uid="{EFC34AAD-6347-4417-8D1B-F95189498C89}"/>
    <cellStyle name="SAPBEXexcCritical4 7 2" xfId="31743" xr:uid="{AA605716-DDEA-4AB3-8E1A-7E463999C8F9}"/>
    <cellStyle name="SAPBEXexcCritical4 8" xfId="16558" xr:uid="{FEE8228B-A169-45DC-B258-9546C80DD3C2}"/>
    <cellStyle name="SAPBEXexcCritical4 8 2" xfId="31744" xr:uid="{8DB80829-2211-435E-8ACA-275E346961FB}"/>
    <cellStyle name="SAPBEXexcCritical4 9" xfId="16559" xr:uid="{24C208E7-413D-43F2-ACE6-8606D672C6BF}"/>
    <cellStyle name="SAPBEXexcCritical4 9 2" xfId="31745" xr:uid="{55C54513-7475-4F6C-961B-AA76D2D01FE7}"/>
    <cellStyle name="SAPBEXexcCritical5" xfId="16560" xr:uid="{FF550580-CC76-4A57-9CAF-5D93A346BF1D}"/>
    <cellStyle name="SAPBEXexcCritical5 10" xfId="16561" xr:uid="{BA3C34F2-609B-439E-8064-66626C4BE798}"/>
    <cellStyle name="SAPBEXexcCritical5 10 2" xfId="31747" xr:uid="{F7C6B316-C79E-490B-BA90-6B55D2F8A369}"/>
    <cellStyle name="SAPBEXexcCritical5 11" xfId="16562" xr:uid="{0B65AB0C-1364-4913-8F53-1BF3B2ADD124}"/>
    <cellStyle name="SAPBEXexcCritical5 11 2" xfId="31748" xr:uid="{2235B63A-72B5-4BA0-BFD1-544FF0F0D3BE}"/>
    <cellStyle name="SAPBEXexcCritical5 12" xfId="16563" xr:uid="{2D8AA51D-775E-4959-AA3D-80B847126C74}"/>
    <cellStyle name="SAPBEXexcCritical5 12 2" xfId="31749" xr:uid="{14F3385B-B23E-4423-814F-04B9294F11C8}"/>
    <cellStyle name="SAPBEXexcCritical5 13" xfId="16564" xr:uid="{4939A692-2259-4300-8313-093AF6B99562}"/>
    <cellStyle name="SAPBEXexcCritical5 13 2" xfId="31750" xr:uid="{A065DEAC-527C-4DD5-BD08-694B2D5F92CE}"/>
    <cellStyle name="SAPBEXexcCritical5 14" xfId="16565" xr:uid="{326E06C5-4ADA-4E2D-8442-5297EB817CEF}"/>
    <cellStyle name="SAPBEXexcCritical5 14 2" xfId="31751" xr:uid="{0D517F58-D0E3-4028-953C-8930977F3C7B}"/>
    <cellStyle name="SAPBEXexcCritical5 15" xfId="16566" xr:uid="{21551DF3-9795-48F7-9208-6AA71C63AA67}"/>
    <cellStyle name="SAPBEXexcCritical5 15 2" xfId="31752" xr:uid="{D56FE9CF-60E9-4485-89FD-6A7B12C388F0}"/>
    <cellStyle name="SAPBEXexcCritical5 16" xfId="16567" xr:uid="{B6D0314E-306D-4D84-ACCE-00B1613BEE51}"/>
    <cellStyle name="SAPBEXexcCritical5 16 2" xfId="31753" xr:uid="{FECE1F58-4F2E-4CFA-8A88-B3C214433DC9}"/>
    <cellStyle name="SAPBEXexcCritical5 17" xfId="16568" xr:uid="{A5D7CEB7-719F-4A62-B332-34297DC559B3}"/>
    <cellStyle name="SAPBEXexcCritical5 17 2" xfId="31754" xr:uid="{A66EA72D-907E-4DCB-8C34-7C2B842A222C}"/>
    <cellStyle name="SAPBEXexcCritical5 18" xfId="16569" xr:uid="{D5E7B2BF-4816-4F9A-8EAB-44992A7A008C}"/>
    <cellStyle name="SAPBEXexcCritical5 18 2" xfId="31755" xr:uid="{00F504CE-9846-4EB0-959D-0A3CC61FC944}"/>
    <cellStyle name="SAPBEXexcCritical5 19" xfId="16570" xr:uid="{B2FCD6A3-65FE-43D1-A252-E685F6DA0568}"/>
    <cellStyle name="SAPBEXexcCritical5 19 2" xfId="31756" xr:uid="{D4AD260B-CD17-4FBC-8056-B6461017911A}"/>
    <cellStyle name="SAPBEXexcCritical5 2" xfId="16571" xr:uid="{65CE60CB-F309-4DF3-8EAB-F99170A54E30}"/>
    <cellStyle name="SAPBEXexcCritical5 2 10" xfId="16572" xr:uid="{480AF8D7-54E6-4D80-87CF-49BD4F336E5E}"/>
    <cellStyle name="SAPBEXexcCritical5 2 10 2" xfId="31758" xr:uid="{7B8BBC3A-C4F3-44DE-9056-0E9812DC8635}"/>
    <cellStyle name="SAPBEXexcCritical5 2 11" xfId="16573" xr:uid="{4DA22CA4-A8C1-4097-AEC5-93026CA1B1BE}"/>
    <cellStyle name="SAPBEXexcCritical5 2 11 2" xfId="31759" xr:uid="{F17FAC39-7DD4-41B9-9568-FE14C1E0116B}"/>
    <cellStyle name="SAPBEXexcCritical5 2 12" xfId="16574" xr:uid="{4A1213BA-9CAD-48E6-AA1C-6C4B5C87D9A7}"/>
    <cellStyle name="SAPBEXexcCritical5 2 12 2" xfId="31760" xr:uid="{CB299529-85D3-48BA-A5E1-11EA9FA8B43E}"/>
    <cellStyle name="SAPBEXexcCritical5 2 13" xfId="16575" xr:uid="{DF06EE9E-3534-4894-81A6-DE545F75FFDD}"/>
    <cellStyle name="SAPBEXexcCritical5 2 13 2" xfId="31761" xr:uid="{E7C14590-1B13-4B99-A905-2572673CB06A}"/>
    <cellStyle name="SAPBEXexcCritical5 2 14" xfId="16576" xr:uid="{91F350EE-6E09-4ADD-848B-1C5C1C8D4EC9}"/>
    <cellStyle name="SAPBEXexcCritical5 2 14 2" xfId="31739" xr:uid="{F339DCDA-61CC-49AE-8F40-0B37DF0A926C}"/>
    <cellStyle name="SAPBEXexcCritical5 2 15" xfId="16577" xr:uid="{C835ADF7-3878-4CFA-8699-099476094DA2}"/>
    <cellStyle name="SAPBEXexcCritical5 2 15 2" xfId="31764" xr:uid="{0ABD7145-E6A2-427F-B57B-F40C39EB4169}"/>
    <cellStyle name="SAPBEXexcCritical5 2 16" xfId="16578" xr:uid="{855E0950-9467-441D-846A-DAA39C6BC36B}"/>
    <cellStyle name="SAPBEXexcCritical5 2 16 2" xfId="31762" xr:uid="{436039B7-2EF3-434C-93BE-3586F392328C}"/>
    <cellStyle name="SAPBEXexcCritical5 2 17" xfId="16579" xr:uid="{1525F4B2-F692-4298-85D3-821EC8EC3540}"/>
    <cellStyle name="SAPBEXexcCritical5 2 17 2" xfId="31765" xr:uid="{223A4010-9089-4049-8459-35167B271682}"/>
    <cellStyle name="SAPBEXexcCritical5 2 18" xfId="16580" xr:uid="{4217D961-1FB7-4027-BD2B-BEBE215495E8}"/>
    <cellStyle name="SAPBEXexcCritical5 2 18 2" xfId="31766" xr:uid="{10061A46-F9FC-4F95-A8E4-9EF8C0E97793}"/>
    <cellStyle name="SAPBEXexcCritical5 2 19" xfId="16581" xr:uid="{F3284E51-0965-4A94-9AB4-7C5EDBB7EE17}"/>
    <cellStyle name="SAPBEXexcCritical5 2 19 2" xfId="31763" xr:uid="{DE95ABD8-D191-4C78-8ECF-297BD58ABA64}"/>
    <cellStyle name="SAPBEXexcCritical5 2 2" xfId="16582" xr:uid="{7DE63EB3-29D8-4F1B-B96B-3A14D6981F51}"/>
    <cellStyle name="SAPBEXexcCritical5 2 2 10" xfId="16583" xr:uid="{33C9623C-75B2-4B46-862F-1568A1A9A6F1}"/>
    <cellStyle name="SAPBEXexcCritical5 2 2 10 2" xfId="31768" xr:uid="{0178C12F-4556-4754-A705-3BB559D4F965}"/>
    <cellStyle name="SAPBEXexcCritical5 2 2 11" xfId="16584" xr:uid="{FF89B19B-E815-4BDB-9D5B-EA0AEB0BF566}"/>
    <cellStyle name="SAPBEXexcCritical5 2 2 11 2" xfId="31784" xr:uid="{CE0481C3-AD11-4A6B-A073-F29935D6484C}"/>
    <cellStyle name="SAPBEXexcCritical5 2 2 12" xfId="16585" xr:uid="{5D4BC94E-D900-4B13-903D-55CC5D12CFF6}"/>
    <cellStyle name="SAPBEXexcCritical5 2 2 12 2" xfId="31785" xr:uid="{36F3397E-9D00-4B6A-9762-74EB4BFB45C5}"/>
    <cellStyle name="SAPBEXexcCritical5 2 2 13" xfId="16586" xr:uid="{B20F1B65-33D0-401A-AD7B-1286935F046F}"/>
    <cellStyle name="SAPBEXexcCritical5 2 2 13 2" xfId="31786" xr:uid="{5FC19867-42AA-49E8-86AE-DF7E8E0AA15B}"/>
    <cellStyle name="SAPBEXexcCritical5 2 2 14" xfId="16587" xr:uid="{5A3EBF34-E5FA-48E8-A524-2C60C909CCCA}"/>
    <cellStyle name="SAPBEXexcCritical5 2 2 14 2" xfId="31787" xr:uid="{74E665C6-62B6-4517-BA96-3FA66DD846EB}"/>
    <cellStyle name="SAPBEXexcCritical5 2 2 15" xfId="16588" xr:uid="{ADED1E26-8BCE-4711-A20B-AD4CCE485347}"/>
    <cellStyle name="SAPBEXexcCritical5 2 2 15 2" xfId="31788" xr:uid="{87813705-6C78-4226-9BB3-4D2BF85C7EB1}"/>
    <cellStyle name="SAPBEXexcCritical5 2 2 16" xfId="16589" xr:uid="{6C39357D-5A23-4763-AA37-82B56E496A89}"/>
    <cellStyle name="SAPBEXexcCritical5 2 2 16 2" xfId="31789" xr:uid="{38F2F012-A343-4DFF-981F-0F27DBF1F13D}"/>
    <cellStyle name="SAPBEXexcCritical5 2 2 17" xfId="16590" xr:uid="{8793592A-3A78-4BF5-9901-971714B72EA5}"/>
    <cellStyle name="SAPBEXexcCritical5 2 2 17 2" xfId="31778" xr:uid="{D9B60607-A522-45A0-A74F-169AE50143FE}"/>
    <cellStyle name="SAPBEXexcCritical5 2 2 18" xfId="16591" xr:uid="{9BA8F1C4-55B7-495A-9ACC-C71D7A08B39C}"/>
    <cellStyle name="SAPBEXexcCritical5 2 2 18 2" xfId="31779" xr:uid="{A86C25CB-1C0A-4F72-8CBC-0CE77236C8C4}"/>
    <cellStyle name="SAPBEXexcCritical5 2 2 19" xfId="31767" xr:uid="{26FAD0B0-2A9A-490C-AECB-3FBE4F367389}"/>
    <cellStyle name="SAPBEXexcCritical5 2 2 2" xfId="16592" xr:uid="{FD7F2835-BACB-4B90-8135-53769D72C9BB}"/>
    <cellStyle name="SAPBEXexcCritical5 2 2 2 10" xfId="16593" xr:uid="{1F08B03A-0FB8-40C7-8621-7AAE34DD4BD6}"/>
    <cellStyle name="SAPBEXexcCritical5 2 2 2 10 2" xfId="31781" xr:uid="{4B122A23-CC82-4AB2-8EB1-5B9CDEAEB4A3}"/>
    <cellStyle name="SAPBEXexcCritical5 2 2 2 11" xfId="16594" xr:uid="{05124278-B375-4817-8B7A-13E66DC96DD6}"/>
    <cellStyle name="SAPBEXexcCritical5 2 2 2 11 2" xfId="31782" xr:uid="{82E4CF49-FB6A-43E4-B321-4771375D017D}"/>
    <cellStyle name="SAPBEXexcCritical5 2 2 2 12" xfId="16595" xr:uid="{881AADA4-226A-4417-8512-401B6590FAA7}"/>
    <cellStyle name="SAPBEXexcCritical5 2 2 2 12 2" xfId="31783" xr:uid="{8C7CB9D2-5088-4B98-BE37-DBD9347F7E3E}"/>
    <cellStyle name="SAPBEXexcCritical5 2 2 2 13" xfId="16596" xr:uid="{DB42053A-BAB8-4A49-8AE1-09B911C4CC19}"/>
    <cellStyle name="SAPBEXexcCritical5 2 2 2 13 2" xfId="31769" xr:uid="{DB0220FB-31BE-4B9E-9326-5A3C5B8BBA75}"/>
    <cellStyle name="SAPBEXexcCritical5 2 2 2 14" xfId="16597" xr:uid="{AE70BD78-644D-4CCD-B0D8-D101BD986DBC}"/>
    <cellStyle name="SAPBEXexcCritical5 2 2 2 14 2" xfId="31770" xr:uid="{200C755E-E391-489C-9CB5-5AF1983149AF}"/>
    <cellStyle name="SAPBEXexcCritical5 2 2 2 15" xfId="31780" xr:uid="{9DA4B785-E310-447D-8651-DE2292A6EA40}"/>
    <cellStyle name="SAPBEXexcCritical5 2 2 2 2" xfId="16598" xr:uid="{C5C07693-8413-4430-B84A-9B746F1BFBA7}"/>
    <cellStyle name="SAPBEXexcCritical5 2 2 2 2 2" xfId="31771" xr:uid="{8ACF1EE2-38FD-4D2E-9ACF-30139280D1E5}"/>
    <cellStyle name="SAPBEXexcCritical5 2 2 2 3" xfId="16599" xr:uid="{316124A7-711E-4467-A74F-950F8D434DCB}"/>
    <cellStyle name="SAPBEXexcCritical5 2 2 2 3 2" xfId="31772" xr:uid="{A32EA489-E47A-4C45-9258-9FD78AC5E552}"/>
    <cellStyle name="SAPBEXexcCritical5 2 2 2 4" xfId="16600" xr:uid="{C8042020-65B6-4000-A51D-5C504B9CCE5B}"/>
    <cellStyle name="SAPBEXexcCritical5 2 2 2 4 2" xfId="31773" xr:uid="{2AC82573-7402-4CE9-A638-EC59001B4C29}"/>
    <cellStyle name="SAPBEXexcCritical5 2 2 2 5" xfId="16601" xr:uid="{58B915DF-BC83-4E04-875A-988AF6A96DF5}"/>
    <cellStyle name="SAPBEXexcCritical5 2 2 2 5 2" xfId="31774" xr:uid="{D12DBB41-0C4D-4F99-BB0D-1401B07A0CEF}"/>
    <cellStyle name="SAPBEXexcCritical5 2 2 2 6" xfId="16602" xr:uid="{57715073-B086-4EB7-884B-6605D6666361}"/>
    <cellStyle name="SAPBEXexcCritical5 2 2 2 6 2" xfId="31775" xr:uid="{04006467-968E-4998-AAD7-2FF43DB65CC8}"/>
    <cellStyle name="SAPBEXexcCritical5 2 2 2 7" xfId="16603" xr:uid="{552B1515-EB4A-4486-A6B0-07B795D07268}"/>
    <cellStyle name="SAPBEXexcCritical5 2 2 2 7 2" xfId="31776" xr:uid="{FA120214-F7A0-4D5B-A135-744CEEEAB4C8}"/>
    <cellStyle name="SAPBEXexcCritical5 2 2 2 8" xfId="16604" xr:uid="{87F86D86-5FD1-4373-B7FC-F1D8C74B93EF}"/>
    <cellStyle name="SAPBEXexcCritical5 2 2 2 8 2" xfId="31777" xr:uid="{80F1404A-E9A7-4E47-BD3C-83BCE620F99A}"/>
    <cellStyle name="SAPBEXexcCritical5 2 2 2 9" xfId="16605" xr:uid="{FE0054D2-9188-492A-BF26-B84D8EBD4E9F}"/>
    <cellStyle name="SAPBEXexcCritical5 2 2 2 9 2" xfId="31790" xr:uid="{4507987F-11B6-4B6C-95F9-FC86AC69DCD6}"/>
    <cellStyle name="SAPBEXexcCritical5 2 2 3" xfId="16606" xr:uid="{33C194BA-5119-46A8-8300-5E075C039C32}"/>
    <cellStyle name="SAPBEXexcCritical5 2 2 3 2" xfId="31791" xr:uid="{0CA01A96-D3E3-432C-BF6E-73DA18DD37A6}"/>
    <cellStyle name="SAPBEXexcCritical5 2 2 4" xfId="16607" xr:uid="{B351E0F5-834B-41AE-B9E1-171F9F28C161}"/>
    <cellStyle name="SAPBEXexcCritical5 2 2 4 2" xfId="31792" xr:uid="{1E8BC152-8BD7-4FF4-A0C2-246346BBA356}"/>
    <cellStyle name="SAPBEXexcCritical5 2 2 5" xfId="16608" xr:uid="{4C54C970-6E34-49CA-B7B0-6AA020028EB5}"/>
    <cellStyle name="SAPBEXexcCritical5 2 2 5 2" xfId="31793" xr:uid="{05045930-7E35-4A46-A180-3F40ADCD7CA8}"/>
    <cellStyle name="SAPBEXexcCritical5 2 2 6" xfId="16609" xr:uid="{870013D3-7BCA-419F-9D4F-69809C3A1871}"/>
    <cellStyle name="SAPBEXexcCritical5 2 2 6 2" xfId="31794" xr:uid="{1EA1818A-CD25-4592-850E-C8BC3AFBAC13}"/>
    <cellStyle name="SAPBEXexcCritical5 2 2 7" xfId="16610" xr:uid="{2EDD2575-7118-4872-AAD6-BA88A049977B}"/>
    <cellStyle name="SAPBEXexcCritical5 2 2 7 2" xfId="31795" xr:uid="{1995845A-7613-42E0-A0DB-40C4E88D3ACB}"/>
    <cellStyle name="SAPBEXexcCritical5 2 2 8" xfId="16611" xr:uid="{3EE66F74-DFC1-4622-9449-D601EFAC5374}"/>
    <cellStyle name="SAPBEXexcCritical5 2 2 8 2" xfId="31796" xr:uid="{CEF07A35-B4E1-4221-9E46-6ED5D30CC574}"/>
    <cellStyle name="SAPBEXexcCritical5 2 2 9" xfId="16612" xr:uid="{DB195BBE-B703-4F51-8B54-1C400F35539A}"/>
    <cellStyle name="SAPBEXexcCritical5 2 2 9 2" xfId="31797" xr:uid="{F8B7B4E3-1852-4C26-957D-0C0B259252E6}"/>
    <cellStyle name="SAPBEXexcCritical5 2 20" xfId="31757" xr:uid="{6A64543E-0333-4AEF-A23F-D86F4DCFD3E0}"/>
    <cellStyle name="SAPBEXexcCritical5 2 3" xfId="16613" xr:uid="{664BC757-0E54-4078-A6E4-6CA014586587}"/>
    <cellStyle name="SAPBEXexcCritical5 2 3 10" xfId="16614" xr:uid="{6D4665B2-4253-4098-97AC-EE3B10DF4FB7}"/>
    <cellStyle name="SAPBEXexcCritical5 2 3 10 2" xfId="31799" xr:uid="{A6DAB5A5-13F2-4B2C-88C0-263F9ED08877}"/>
    <cellStyle name="SAPBEXexcCritical5 2 3 11" xfId="16615" xr:uid="{CEF7B070-E5FA-44DF-BA58-834CE5EDD871}"/>
    <cellStyle name="SAPBEXexcCritical5 2 3 11 2" xfId="31800" xr:uid="{5A2387D3-B482-40A8-99FE-D4F096B4116B}"/>
    <cellStyle name="SAPBEXexcCritical5 2 3 12" xfId="16616" xr:uid="{A7AAB311-A3AA-4197-B53D-95A426F8D5F5}"/>
    <cellStyle name="SAPBEXexcCritical5 2 3 12 2" xfId="31801" xr:uid="{9623131E-82EA-472E-9167-E62762A3D8E5}"/>
    <cellStyle name="SAPBEXexcCritical5 2 3 13" xfId="16617" xr:uid="{6FECE1B5-99C6-4C60-9200-0661C3CA1652}"/>
    <cellStyle name="SAPBEXexcCritical5 2 3 13 2" xfId="31802" xr:uid="{490205A9-5066-4832-9F96-056E9BE81B2E}"/>
    <cellStyle name="SAPBEXexcCritical5 2 3 14" xfId="16618" xr:uid="{47440CF7-68B2-4769-9C08-E2E44CDE7BC7}"/>
    <cellStyle name="SAPBEXexcCritical5 2 3 14 2" xfId="31803" xr:uid="{4F43C236-CF38-45B8-972E-414AFA6BEC9D}"/>
    <cellStyle name="SAPBEXexcCritical5 2 3 15" xfId="31798" xr:uid="{BAB63EAB-43CF-4E82-AA90-7E315A723F25}"/>
    <cellStyle name="SAPBEXexcCritical5 2 3 2" xfId="16619" xr:uid="{39A9B29A-61D7-4C41-9A28-29F3112C5646}"/>
    <cellStyle name="SAPBEXexcCritical5 2 3 2 2" xfId="31804" xr:uid="{D6F237C3-4D1D-477E-99B4-0EB116D35EFE}"/>
    <cellStyle name="SAPBEXexcCritical5 2 3 3" xfId="16620" xr:uid="{5E7B349B-4BC2-4C8E-8DF7-FC84EB0C6600}"/>
    <cellStyle name="SAPBEXexcCritical5 2 3 3 2" xfId="31805" xr:uid="{0B5F1E79-E934-4FD4-BF8B-ABD7F199A14F}"/>
    <cellStyle name="SAPBEXexcCritical5 2 3 4" xfId="16621" xr:uid="{139B3CD6-B05C-42D0-BFB4-FA40244DB92B}"/>
    <cellStyle name="SAPBEXexcCritical5 2 3 4 2" xfId="31806" xr:uid="{13EDF158-A0FC-4FB9-8660-67D9DFBB98AC}"/>
    <cellStyle name="SAPBEXexcCritical5 2 3 5" xfId="16622" xr:uid="{3F07EF78-7394-4A99-8955-7D0CE2562C9C}"/>
    <cellStyle name="SAPBEXexcCritical5 2 3 5 2" xfId="31807" xr:uid="{BA35B1AF-720D-4FA2-A06E-262A4B9A0C7A}"/>
    <cellStyle name="SAPBEXexcCritical5 2 3 6" xfId="16623" xr:uid="{00AF27CE-3EFA-458D-A3EB-386FF5C8E95F}"/>
    <cellStyle name="SAPBEXexcCritical5 2 3 6 2" xfId="31808" xr:uid="{28A1D728-09B7-4A84-BEEE-F89672804ABA}"/>
    <cellStyle name="SAPBEXexcCritical5 2 3 7" xfId="16624" xr:uid="{59B67134-EE4F-4BD8-B5A3-BDA357A4B8E5}"/>
    <cellStyle name="SAPBEXexcCritical5 2 3 7 2" xfId="31809" xr:uid="{9E005488-2838-4A1D-AE8E-F0E187DEC079}"/>
    <cellStyle name="SAPBEXexcCritical5 2 3 8" xfId="16625" xr:uid="{1494F2FD-98EF-47DB-B5EB-5B2760C98BC4}"/>
    <cellStyle name="SAPBEXexcCritical5 2 3 8 2" xfId="31810" xr:uid="{30BED1EE-3081-4F21-ACAB-A3C776BCB494}"/>
    <cellStyle name="SAPBEXexcCritical5 2 3 9" xfId="16626" xr:uid="{20C8973E-4647-4D7B-BC08-B7B9E5705FC2}"/>
    <cellStyle name="SAPBEXexcCritical5 2 3 9 2" xfId="31811" xr:uid="{AE10C41C-A5FB-4886-B8C8-D96056A0560C}"/>
    <cellStyle name="SAPBEXexcCritical5 2 4" xfId="16627" xr:uid="{644D078C-631F-4E0E-A2D0-59174A34CD33}"/>
    <cellStyle name="SAPBEXexcCritical5 2 4 2" xfId="31812" xr:uid="{EED39207-40FF-4B2C-89AD-3A9CFC9752DD}"/>
    <cellStyle name="SAPBEXexcCritical5 2 5" xfId="16628" xr:uid="{D6C937C0-5136-4EDD-8089-AE252C53F623}"/>
    <cellStyle name="SAPBEXexcCritical5 2 5 2" xfId="31813" xr:uid="{DCC213D9-4E8B-4C33-8A0D-628B774A3AAE}"/>
    <cellStyle name="SAPBEXexcCritical5 2 6" xfId="16629" xr:uid="{0A441ADF-E02C-4EE7-B890-4A7C16EF03E4}"/>
    <cellStyle name="SAPBEXexcCritical5 2 6 2" xfId="31814" xr:uid="{BFD685F6-9EFE-466B-8B1D-7391327838FF}"/>
    <cellStyle name="SAPBEXexcCritical5 2 7" xfId="16630" xr:uid="{A116169D-128C-4C5F-B8D0-FE7663EF9487}"/>
    <cellStyle name="SAPBEXexcCritical5 2 7 2" xfId="31815" xr:uid="{393B5309-D749-4D0B-ABBE-4C39BB40AB59}"/>
    <cellStyle name="SAPBEXexcCritical5 2 8" xfId="16631" xr:uid="{F87C42E8-1652-4340-9A53-14489CFE130D}"/>
    <cellStyle name="SAPBEXexcCritical5 2 8 2" xfId="31816" xr:uid="{313D1B89-876B-46F9-84DD-1CA7A5A4EE19}"/>
    <cellStyle name="SAPBEXexcCritical5 2 9" xfId="16632" xr:uid="{516077F8-A91E-458E-86D1-7107B0372BF9}"/>
    <cellStyle name="SAPBEXexcCritical5 2 9 2" xfId="31817" xr:uid="{C277BABD-F770-4EAD-A6D3-C455E7A523FF}"/>
    <cellStyle name="SAPBEXexcCritical5 20" xfId="16633" xr:uid="{C38F4FA3-CEC6-4213-9284-85AAAFB97216}"/>
    <cellStyle name="SAPBEXexcCritical5 20 2" xfId="31818" xr:uid="{9CA2B407-A216-4D5E-9ECC-034C7A55D84E}"/>
    <cellStyle name="SAPBEXexcCritical5 21" xfId="31746" xr:uid="{E1C8D39E-651E-40F6-AF78-50DFB5CD97FF}"/>
    <cellStyle name="SAPBEXexcCritical5 3" xfId="16634" xr:uid="{673203D8-051A-41EB-B1D4-505ED60568BA}"/>
    <cellStyle name="SAPBEXexcCritical5 3 10" xfId="16635" xr:uid="{B217B3A8-9E88-4707-92C1-D7566090241D}"/>
    <cellStyle name="SAPBEXexcCritical5 3 10 2" xfId="31820" xr:uid="{DB0DF7AE-A50C-4870-9007-4F1FA186EDD9}"/>
    <cellStyle name="SAPBEXexcCritical5 3 11" xfId="16636" xr:uid="{A2D8B549-9587-44DA-81D1-4D16B4C29E2F}"/>
    <cellStyle name="SAPBEXexcCritical5 3 11 2" xfId="31821" xr:uid="{2F19E92F-CDF1-4B3E-8493-B4A96B7A67A4}"/>
    <cellStyle name="SAPBEXexcCritical5 3 12" xfId="16637" xr:uid="{C6459EC6-93C2-4959-8F69-573D10FE9697}"/>
    <cellStyle name="SAPBEXexcCritical5 3 12 2" xfId="31822" xr:uid="{CC235F1F-3E9A-4E94-A2E5-A706E85D044F}"/>
    <cellStyle name="SAPBEXexcCritical5 3 13" xfId="16638" xr:uid="{DA13B00F-59B0-4AD8-96AC-D49CD1F05E84}"/>
    <cellStyle name="SAPBEXexcCritical5 3 13 2" xfId="31823" xr:uid="{DE7DEC2D-3582-4C41-87B4-6B6399861236}"/>
    <cellStyle name="SAPBEXexcCritical5 3 14" xfId="16639" xr:uid="{06A872E4-AA01-4619-B706-F8ED5BF45E7E}"/>
    <cellStyle name="SAPBEXexcCritical5 3 14 2" xfId="31824" xr:uid="{58E2D7A0-AF61-4669-BF31-BF064C94EDB9}"/>
    <cellStyle name="SAPBEXexcCritical5 3 15" xfId="16640" xr:uid="{3DDCCB1C-9AEA-4BBB-89A9-8F74AB685C8F}"/>
    <cellStyle name="SAPBEXexcCritical5 3 15 2" xfId="31825" xr:uid="{55A7A7FC-F9D6-43B0-8D79-65A03F9CB54E}"/>
    <cellStyle name="SAPBEXexcCritical5 3 16" xfId="16641" xr:uid="{25C198E1-DF83-4C8E-9A9D-BE4CFF55662E}"/>
    <cellStyle name="SAPBEXexcCritical5 3 16 2" xfId="31826" xr:uid="{4850ADF5-7FE1-4B6F-B7AA-29D7BF8D90ED}"/>
    <cellStyle name="SAPBEXexcCritical5 3 17" xfId="16642" xr:uid="{8FF81951-3A12-4FBF-8518-BB2B6483337C}"/>
    <cellStyle name="SAPBEXexcCritical5 3 17 2" xfId="31827" xr:uid="{648178E6-838C-4506-8E64-ACCB86DC1FD1}"/>
    <cellStyle name="SAPBEXexcCritical5 3 18" xfId="16643" xr:uid="{0F4582AF-AB6D-462E-AE95-60643D7AD792}"/>
    <cellStyle name="SAPBEXexcCritical5 3 18 2" xfId="31828" xr:uid="{F65F3130-63EA-4D08-A90C-97949D407209}"/>
    <cellStyle name="SAPBEXexcCritical5 3 19" xfId="31819" xr:uid="{B754F160-DF1A-430B-B180-2351756EB238}"/>
    <cellStyle name="SAPBEXexcCritical5 3 2" xfId="16644" xr:uid="{E3EAC32B-72ED-429A-8373-56A011A48DEB}"/>
    <cellStyle name="SAPBEXexcCritical5 3 2 10" xfId="16645" xr:uid="{90CF609E-1237-4E1E-AB25-985A153B9DB6}"/>
    <cellStyle name="SAPBEXexcCritical5 3 2 10 2" xfId="31830" xr:uid="{CC40436E-72A4-4284-B518-B7C6FDA9246C}"/>
    <cellStyle name="SAPBEXexcCritical5 3 2 11" xfId="16646" xr:uid="{047CD7BD-A2BD-4F0F-9DE3-A7DFBE54BE80}"/>
    <cellStyle name="SAPBEXexcCritical5 3 2 11 2" xfId="31831" xr:uid="{EA8A7E4D-DDAA-4833-AA9A-32C9603F3FD0}"/>
    <cellStyle name="SAPBEXexcCritical5 3 2 12" xfId="16647" xr:uid="{639DA353-0F12-4C25-8EC3-670DF8E3D2EF}"/>
    <cellStyle name="SAPBEXexcCritical5 3 2 12 2" xfId="31832" xr:uid="{98D5C66C-6D6B-4FF9-A51A-0FE9A1F8A7F8}"/>
    <cellStyle name="SAPBEXexcCritical5 3 2 13" xfId="16648" xr:uid="{30D53F2F-71F5-48A8-A119-DB9D26DEBBC1}"/>
    <cellStyle name="SAPBEXexcCritical5 3 2 13 2" xfId="31833" xr:uid="{83A0059C-2FD5-4F90-9E1A-17BAD21550CB}"/>
    <cellStyle name="SAPBEXexcCritical5 3 2 14" xfId="16649" xr:uid="{7F9602A0-792E-4B41-A55F-703EB0B3CCFB}"/>
    <cellStyle name="SAPBEXexcCritical5 3 2 14 2" xfId="31839" xr:uid="{97F9CBDA-24F1-4582-808B-9F7FCF60C25E}"/>
    <cellStyle name="SAPBEXexcCritical5 3 2 15" xfId="31829" xr:uid="{1BA8CE74-3B35-4160-9D3B-B233A39250A3}"/>
    <cellStyle name="SAPBEXexcCritical5 3 2 2" xfId="16650" xr:uid="{D3081530-9650-4B35-A97A-0391C7B6AD8F}"/>
    <cellStyle name="SAPBEXexcCritical5 3 2 2 2" xfId="31834" xr:uid="{7B28633B-DC29-4572-845C-26A2CD8D7C09}"/>
    <cellStyle name="SAPBEXexcCritical5 3 2 3" xfId="16651" xr:uid="{61EA1DE8-31D6-4E3C-850B-6CF3CF09E4D3}"/>
    <cellStyle name="SAPBEXexcCritical5 3 2 3 2" xfId="31835" xr:uid="{E8A2429D-AECD-4544-9137-9A312129136D}"/>
    <cellStyle name="SAPBEXexcCritical5 3 2 4" xfId="16652" xr:uid="{7176358F-B8CD-4A35-A1FE-6762C3409DFA}"/>
    <cellStyle name="SAPBEXexcCritical5 3 2 4 2" xfId="31836" xr:uid="{C0F69EEA-9274-4FBC-B9A0-D10BE9D95781}"/>
    <cellStyle name="SAPBEXexcCritical5 3 2 5" xfId="16653" xr:uid="{CFE2CE3C-E48F-4A32-B49E-475BDD10E3ED}"/>
    <cellStyle name="SAPBEXexcCritical5 3 2 5 2" xfId="31837" xr:uid="{6D46C2BE-28DD-40DD-99CE-4E7039CD8D0F}"/>
    <cellStyle name="SAPBEXexcCritical5 3 2 6" xfId="16654" xr:uid="{5798D8A9-BC1F-4B5C-AB92-E24D7547042C}"/>
    <cellStyle name="SAPBEXexcCritical5 3 2 6 2" xfId="31838" xr:uid="{231A1701-2DDC-42EC-BFE9-3E33D4A56BFE}"/>
    <cellStyle name="SAPBEXexcCritical5 3 2 7" xfId="16655" xr:uid="{AF2A6A46-FA88-418A-891B-201DCD3D52E0}"/>
    <cellStyle name="SAPBEXexcCritical5 3 2 7 2" xfId="31840" xr:uid="{AF868ACE-6185-4497-AA68-EB5A9F3C3502}"/>
    <cellStyle name="SAPBEXexcCritical5 3 2 8" xfId="16656" xr:uid="{C3A61275-A258-4509-8E23-5C5609D33B9D}"/>
    <cellStyle name="SAPBEXexcCritical5 3 2 8 2" xfId="31841" xr:uid="{3E6046D6-1773-4279-AD67-FC6F77051078}"/>
    <cellStyle name="SAPBEXexcCritical5 3 2 9" xfId="16657" xr:uid="{F67E14B5-E214-452E-9793-D93F7918C368}"/>
    <cellStyle name="SAPBEXexcCritical5 3 2 9 2" xfId="31842" xr:uid="{11445F55-4BE3-4D05-8A93-B4E7DFB00FA9}"/>
    <cellStyle name="SAPBEXexcCritical5 3 3" xfId="16658" xr:uid="{64E56B84-506B-4085-871B-A74A4BA349A5}"/>
    <cellStyle name="SAPBEXexcCritical5 3 3 2" xfId="31843" xr:uid="{B1E695CC-427D-4E6E-969F-D2F3C0F4260F}"/>
    <cellStyle name="SAPBEXexcCritical5 3 4" xfId="16659" xr:uid="{347E4604-F1A0-4A6F-A618-BF5A17BFD951}"/>
    <cellStyle name="SAPBEXexcCritical5 3 4 2" xfId="31844" xr:uid="{2EBF0397-31A0-4D87-95DC-8327952A0F6C}"/>
    <cellStyle name="SAPBEXexcCritical5 3 5" xfId="16660" xr:uid="{2B2A7178-2BCB-460A-BF2D-2CFB45F26D91}"/>
    <cellStyle name="SAPBEXexcCritical5 3 5 2" xfId="31845" xr:uid="{597CDE91-1CC7-4C6A-8551-FEAD06BB94A3}"/>
    <cellStyle name="SAPBEXexcCritical5 3 6" xfId="16661" xr:uid="{FB64CBD0-C7DC-4AA8-8CAA-C0D140925198}"/>
    <cellStyle name="SAPBEXexcCritical5 3 6 2" xfId="31846" xr:uid="{D833C0CC-F5A5-4C1D-8B49-C3C6EADBC13F}"/>
    <cellStyle name="SAPBEXexcCritical5 3 7" xfId="16662" xr:uid="{A60BF1FF-3E15-41BF-805F-3F418DCFF039}"/>
    <cellStyle name="SAPBEXexcCritical5 3 7 2" xfId="31847" xr:uid="{6163FB77-B65D-4C07-8847-792918194F98}"/>
    <cellStyle name="SAPBEXexcCritical5 3 8" xfId="16663" xr:uid="{CB246918-CA5A-4857-8D96-F804B638717B}"/>
    <cellStyle name="SAPBEXexcCritical5 3 8 2" xfId="31848" xr:uid="{FD09713F-91B6-4598-B8B9-8D02C6098B1E}"/>
    <cellStyle name="SAPBEXexcCritical5 3 9" xfId="16664" xr:uid="{FFF9C78F-5605-4921-90E8-C3D63E7A95EA}"/>
    <cellStyle name="SAPBEXexcCritical5 3 9 2" xfId="31849" xr:uid="{C30947F3-DD12-4E85-B4F6-FB5002767AC5}"/>
    <cellStyle name="SAPBEXexcCritical5 4" xfId="16665" xr:uid="{F279B756-932A-47D9-9918-D2D3C320BDED}"/>
    <cellStyle name="SAPBEXexcCritical5 4 10" xfId="16666" xr:uid="{94B1FBAE-F462-46E3-AD67-7321C1854F86}"/>
    <cellStyle name="SAPBEXexcCritical5 4 10 2" xfId="31851" xr:uid="{4DD5B1FF-8068-49B2-B5A9-A34F3B075EEC}"/>
    <cellStyle name="SAPBEXexcCritical5 4 11" xfId="16667" xr:uid="{64B9CC8E-04ED-4063-ACE7-E8D222346B00}"/>
    <cellStyle name="SAPBEXexcCritical5 4 11 2" xfId="31852" xr:uid="{BD3C6F37-1E19-4B09-92CC-A7281B69091D}"/>
    <cellStyle name="SAPBEXexcCritical5 4 12" xfId="16668" xr:uid="{C8E242F6-F0EE-4749-B901-FBAC2AFB15FD}"/>
    <cellStyle name="SAPBEXexcCritical5 4 12 2" xfId="31853" xr:uid="{9201909D-50F5-497A-929F-1FC7301CC5FB}"/>
    <cellStyle name="SAPBEXexcCritical5 4 13" xfId="16669" xr:uid="{7E7DD0EB-EA74-4096-BC5A-A5BAF8BA7791}"/>
    <cellStyle name="SAPBEXexcCritical5 4 13 2" xfId="31854" xr:uid="{4EC4EA04-7AC8-4456-9805-2FA29205ECCB}"/>
    <cellStyle name="SAPBEXexcCritical5 4 14" xfId="16670" xr:uid="{6D46E72C-81A8-48A3-9A2E-D993CDA15C0A}"/>
    <cellStyle name="SAPBEXexcCritical5 4 14 2" xfId="31855" xr:uid="{0D9A4A2C-D0A5-4CEC-8BD0-D4CA78F0AC93}"/>
    <cellStyle name="SAPBEXexcCritical5 4 15" xfId="31850" xr:uid="{02B5DDF0-8138-45E0-AF77-99F00D756277}"/>
    <cellStyle name="SAPBEXexcCritical5 4 2" xfId="16671" xr:uid="{1C0A2B04-DCE7-428F-A782-B6A1BDBA3A3C}"/>
    <cellStyle name="SAPBEXexcCritical5 4 2 2" xfId="27463" xr:uid="{A2C5F2F1-8C76-4DF2-AFF3-CE65C2CF8CCB}"/>
    <cellStyle name="SAPBEXexcCritical5 4 3" xfId="16672" xr:uid="{9D140F78-7DC4-43C9-AA3F-2EED09F427BB}"/>
    <cellStyle name="SAPBEXexcCritical5 4 3 2" xfId="31856" xr:uid="{BAA930A2-8A4F-45B3-9CCB-A69F1D93BBA6}"/>
    <cellStyle name="SAPBEXexcCritical5 4 4" xfId="16673" xr:uid="{C25F8E77-DA70-49A9-BBA0-1B6889A1BDF7}"/>
    <cellStyle name="SAPBEXexcCritical5 4 4 2" xfId="27464" xr:uid="{2498F613-7B7F-4A35-9CFE-9D7B0BC6A0E7}"/>
    <cellStyle name="SAPBEXexcCritical5 4 5" xfId="16674" xr:uid="{D999D386-57ED-4D06-B841-030C65D89E19}"/>
    <cellStyle name="SAPBEXexcCritical5 4 5 2" xfId="31857" xr:uid="{C4F1B99F-4775-406D-8F03-32761E9570E6}"/>
    <cellStyle name="SAPBEXexcCritical5 4 6" xfId="16675" xr:uid="{C582BC1C-6438-4675-9AD3-00BE251B65EA}"/>
    <cellStyle name="SAPBEXexcCritical5 4 6 2" xfId="31858" xr:uid="{C94422FE-007D-40CC-8156-CC81081F656F}"/>
    <cellStyle name="SAPBEXexcCritical5 4 7" xfId="16676" xr:uid="{9B394BFE-3B5B-403A-8C2B-B75018043E66}"/>
    <cellStyle name="SAPBEXexcCritical5 4 7 2" xfId="31859" xr:uid="{B9C694F4-781C-42DF-A86E-5FFF39F00E23}"/>
    <cellStyle name="SAPBEXexcCritical5 4 8" xfId="16677" xr:uid="{8577E23F-A229-42D6-9831-115DC849884C}"/>
    <cellStyle name="SAPBEXexcCritical5 4 8 2" xfId="31860" xr:uid="{A55CBF13-5DC1-4FD1-94BB-E40401FB3BAE}"/>
    <cellStyle name="SAPBEXexcCritical5 4 9" xfId="16678" xr:uid="{76F93A83-CDC6-476F-82AD-913CA1A603BA}"/>
    <cellStyle name="SAPBEXexcCritical5 4 9 2" xfId="31861" xr:uid="{55FB1D8C-03EB-4CDF-8A33-34CEB9AD93EF}"/>
    <cellStyle name="SAPBEXexcCritical5 5" xfId="16679" xr:uid="{CA663372-DFBC-4738-A362-6A3A379AB2AD}"/>
    <cellStyle name="SAPBEXexcCritical5 5 2" xfId="31862" xr:uid="{8765091E-F12F-45FC-BD80-FC457128F2FC}"/>
    <cellStyle name="SAPBEXexcCritical5 6" xfId="16680" xr:uid="{25246A59-0289-479D-87FF-4C230EF2BA47}"/>
    <cellStyle name="SAPBEXexcCritical5 6 2" xfId="31863" xr:uid="{62F665BE-A080-428D-BFC1-C0D877DA0AB6}"/>
    <cellStyle name="SAPBEXexcCritical5 7" xfId="16681" xr:uid="{5C800902-8909-4E7B-9879-4C037C17DAE4}"/>
    <cellStyle name="SAPBEXexcCritical5 7 2" xfId="31864" xr:uid="{70549363-387D-435B-A58B-A52D7C7F31AB}"/>
    <cellStyle name="SAPBEXexcCritical5 8" xfId="16682" xr:uid="{C70A7B72-CA0C-4534-A707-16E227C83E59}"/>
    <cellStyle name="SAPBEXexcCritical5 8 2" xfId="31865" xr:uid="{372F55C0-F6F6-4171-97F5-9028874A7E7E}"/>
    <cellStyle name="SAPBEXexcCritical5 9" xfId="16683" xr:uid="{8E90E264-0CF5-4472-A2C2-D564E0F8C5DB}"/>
    <cellStyle name="SAPBEXexcCritical5 9 2" xfId="31866" xr:uid="{5889C501-1C6D-4ABA-9B0E-53A26DB050DE}"/>
    <cellStyle name="SAPBEXexcCritical6" xfId="16684" xr:uid="{780890A7-68C7-4FB8-9386-AE4C326CBF32}"/>
    <cellStyle name="SAPBEXexcCritical6 10" xfId="16685" xr:uid="{1FFF58C9-7826-479E-B008-7997F78001CA}"/>
    <cellStyle name="SAPBEXexcCritical6 10 2" xfId="31868" xr:uid="{04AEF901-3EBB-4698-B6A4-0231547A9A5A}"/>
    <cellStyle name="SAPBEXexcCritical6 11" xfId="16686" xr:uid="{8EEFAE74-7E17-4820-A979-5361559D8FCC}"/>
    <cellStyle name="SAPBEXexcCritical6 11 2" xfId="31869" xr:uid="{D0EADA5C-81C2-493B-9946-3953B378E4F7}"/>
    <cellStyle name="SAPBEXexcCritical6 12" xfId="16687" xr:uid="{E2114D07-9F16-4A72-B4E7-A8560F0A687A}"/>
    <cellStyle name="SAPBEXexcCritical6 12 2" xfId="31870" xr:uid="{25A1E96A-CF6B-4A26-9301-866CD17C7C48}"/>
    <cellStyle name="SAPBEXexcCritical6 13" xfId="16688" xr:uid="{01B20575-EA8F-4F6D-95C6-AAA6FC2C0525}"/>
    <cellStyle name="SAPBEXexcCritical6 13 2" xfId="31871" xr:uid="{FE78A05A-5B83-426C-B90D-0B8F3DFF9828}"/>
    <cellStyle name="SAPBEXexcCritical6 14" xfId="16689" xr:uid="{6F34E406-5241-42E8-9D2A-6E7E34BC2992}"/>
    <cellStyle name="SAPBEXexcCritical6 14 2" xfId="31872" xr:uid="{F0FABB0D-88EF-4AA9-8519-683C0DC2505E}"/>
    <cellStyle name="SAPBEXexcCritical6 15" xfId="16690" xr:uid="{30A3655B-65D9-4729-B898-D3B3941D6587}"/>
    <cellStyle name="SAPBEXexcCritical6 15 2" xfId="31873" xr:uid="{DC2E2B12-FBCE-40B2-A1C7-3F87B4CB9628}"/>
    <cellStyle name="SAPBEXexcCritical6 16" xfId="16691" xr:uid="{4775CF2E-397B-4622-AED4-B637D8DDC3EF}"/>
    <cellStyle name="SAPBEXexcCritical6 16 2" xfId="31874" xr:uid="{4C1B4099-D34A-46A0-AC81-9D0493B96038}"/>
    <cellStyle name="SAPBEXexcCritical6 17" xfId="16692" xr:uid="{C9FB04C8-7B61-4809-88B9-93483EDE3E5E}"/>
    <cellStyle name="SAPBEXexcCritical6 17 2" xfId="31875" xr:uid="{6A25751D-C907-4DDB-8944-5E64885969E8}"/>
    <cellStyle name="SAPBEXexcCritical6 18" xfId="16693" xr:uid="{1005E382-76EF-4BD7-B438-61AFD8D27753}"/>
    <cellStyle name="SAPBEXexcCritical6 18 2" xfId="31876" xr:uid="{9083C4D3-F839-4506-A170-CC3B5BF34CD4}"/>
    <cellStyle name="SAPBEXexcCritical6 19" xfId="16694" xr:uid="{6E5BEE17-5904-44E1-9960-5EC661539003}"/>
    <cellStyle name="SAPBEXexcCritical6 19 2" xfId="31877" xr:uid="{D809D3F8-8FB3-48D5-8CE5-9C6AB22F85D0}"/>
    <cellStyle name="SAPBEXexcCritical6 2" xfId="16695" xr:uid="{019D9E4C-D30E-4FA6-8BAC-B1DF7078BE2A}"/>
    <cellStyle name="SAPBEXexcCritical6 2 10" xfId="16696" xr:uid="{F785F1FD-749D-43F6-96D0-4277B187DAB5}"/>
    <cellStyle name="SAPBEXexcCritical6 2 10 2" xfId="31879" xr:uid="{A18ED543-838D-45E9-A7DF-C2330B2C8070}"/>
    <cellStyle name="SAPBEXexcCritical6 2 11" xfId="16697" xr:uid="{112C4B21-F549-4531-BDEC-353FB4D2C70C}"/>
    <cellStyle name="SAPBEXexcCritical6 2 11 2" xfId="31880" xr:uid="{FDC337E3-B594-4D8F-A424-3280A1DE0772}"/>
    <cellStyle name="SAPBEXexcCritical6 2 12" xfId="16698" xr:uid="{CBFC5DAE-C421-48BD-9CF7-9DB6E9E96FD8}"/>
    <cellStyle name="SAPBEXexcCritical6 2 12 2" xfId="31881" xr:uid="{F7F1387B-4621-4BA5-AADD-D446B331F0B2}"/>
    <cellStyle name="SAPBEXexcCritical6 2 13" xfId="16699" xr:uid="{99D03A7D-B842-4485-B5E4-EE214DADB34C}"/>
    <cellStyle name="SAPBEXexcCritical6 2 13 2" xfId="31882" xr:uid="{0BC40506-5A59-414D-8805-805B9F2E88E8}"/>
    <cellStyle name="SAPBEXexcCritical6 2 14" xfId="16700" xr:uid="{FAF73C20-B76D-460C-A151-6DA0907C227C}"/>
    <cellStyle name="SAPBEXexcCritical6 2 14 2" xfId="31883" xr:uid="{70CA437C-BBB7-484A-8970-1F025D5E5312}"/>
    <cellStyle name="SAPBEXexcCritical6 2 15" xfId="16701" xr:uid="{07DA0705-0952-4D6B-B5CE-4952C30D0854}"/>
    <cellStyle name="SAPBEXexcCritical6 2 15 2" xfId="31884" xr:uid="{3B173166-9F24-4390-A053-DAC73B3B9AA5}"/>
    <cellStyle name="SAPBEXexcCritical6 2 16" xfId="16702" xr:uid="{596F75F1-71C4-4AD6-8D4A-BEA81298CB20}"/>
    <cellStyle name="SAPBEXexcCritical6 2 16 2" xfId="31885" xr:uid="{DA9B49C2-FB0D-4208-94D1-9D40AB0F8282}"/>
    <cellStyle name="SAPBEXexcCritical6 2 17" xfId="16703" xr:uid="{39B607AC-F488-41B0-B115-1F3BC83F74E4}"/>
    <cellStyle name="SAPBEXexcCritical6 2 17 2" xfId="31886" xr:uid="{E238E9EF-034D-4130-90D3-27D1F63125C5}"/>
    <cellStyle name="SAPBEXexcCritical6 2 18" xfId="16704" xr:uid="{4EA2BCD8-6D37-40E5-8C5B-144584A54B02}"/>
    <cellStyle name="SAPBEXexcCritical6 2 18 2" xfId="31887" xr:uid="{FB4FEEBC-DECE-442E-A9BB-2B552167CCA2}"/>
    <cellStyle name="SAPBEXexcCritical6 2 19" xfId="16705" xr:uid="{5C93047A-D400-4510-8A03-C5EA4192013B}"/>
    <cellStyle name="SAPBEXexcCritical6 2 19 2" xfId="31888" xr:uid="{579AC4F7-6F58-4515-9B66-DB24281CBF0C}"/>
    <cellStyle name="SAPBEXexcCritical6 2 2" xfId="16706" xr:uid="{D65E935C-09AE-4168-A7C7-BC716F463F66}"/>
    <cellStyle name="SAPBEXexcCritical6 2 2 10" xfId="16707" xr:uid="{E0247E9F-57DC-4412-AB34-26DF12C2AD28}"/>
    <cellStyle name="SAPBEXexcCritical6 2 2 10 2" xfId="31890" xr:uid="{A206BC10-F28A-45E7-A9F9-065012B8F70F}"/>
    <cellStyle name="SAPBEXexcCritical6 2 2 11" xfId="16708" xr:uid="{92F6DFB8-E5FE-40F0-82BC-BA9830AE2D51}"/>
    <cellStyle name="SAPBEXexcCritical6 2 2 11 2" xfId="31891" xr:uid="{6AC2F054-5A00-4655-B96E-8C7C76805E2E}"/>
    <cellStyle name="SAPBEXexcCritical6 2 2 12" xfId="16709" xr:uid="{B10F59E8-1FE6-495E-9C6B-8D6AA9EBCC07}"/>
    <cellStyle name="SAPBEXexcCritical6 2 2 12 2" xfId="31892" xr:uid="{51A30E53-E90D-4E24-A599-49D32941F798}"/>
    <cellStyle name="SAPBEXexcCritical6 2 2 13" xfId="16710" xr:uid="{ED27D406-EADA-450F-B7E2-C9AACAB707C1}"/>
    <cellStyle name="SAPBEXexcCritical6 2 2 13 2" xfId="31893" xr:uid="{DCDE10E2-113C-4357-A5FD-D002FC5A9046}"/>
    <cellStyle name="SAPBEXexcCritical6 2 2 14" xfId="16711" xr:uid="{6F12DC4B-D440-4EDF-BC01-3ED9B0E13322}"/>
    <cellStyle name="SAPBEXexcCritical6 2 2 14 2" xfId="31894" xr:uid="{8C3A727C-2ED6-4A77-A3D7-8448D406CD77}"/>
    <cellStyle name="SAPBEXexcCritical6 2 2 15" xfId="16712" xr:uid="{2F5101DA-466E-4681-ACAA-FD31B8BB59CB}"/>
    <cellStyle name="SAPBEXexcCritical6 2 2 15 2" xfId="31895" xr:uid="{9DCCC792-DDFE-48EB-921E-F02FB06443D4}"/>
    <cellStyle name="SAPBEXexcCritical6 2 2 16" xfId="16713" xr:uid="{ADE1AD7F-684A-474C-9C05-3B949E100D8D}"/>
    <cellStyle name="SAPBEXexcCritical6 2 2 16 2" xfId="31896" xr:uid="{FAFEB354-D507-4E04-A018-04F1EA5B22BF}"/>
    <cellStyle name="SAPBEXexcCritical6 2 2 17" xfId="16714" xr:uid="{836571FC-1FA5-49A7-9F83-091173A7DC8E}"/>
    <cellStyle name="SAPBEXexcCritical6 2 2 17 2" xfId="31897" xr:uid="{8A2D199F-FCE5-43AD-A973-89C6B186AAE7}"/>
    <cellStyle name="SAPBEXexcCritical6 2 2 18" xfId="16715" xr:uid="{C1E10CEF-A67F-4519-97D0-023A5E5E364B}"/>
    <cellStyle name="SAPBEXexcCritical6 2 2 18 2" xfId="31898" xr:uid="{51D3199D-7BEC-40F6-B119-A61B15F9C60E}"/>
    <cellStyle name="SAPBEXexcCritical6 2 2 19" xfId="31889" xr:uid="{717030B6-23EA-4447-A936-6DC879C38E50}"/>
    <cellStyle name="SAPBEXexcCritical6 2 2 2" xfId="16716" xr:uid="{940A857F-9AA5-4827-B48C-D8AA39A02064}"/>
    <cellStyle name="SAPBEXexcCritical6 2 2 2 10" xfId="16717" xr:uid="{89F66A1D-0D2F-4164-A216-C0EC2DDB5ED7}"/>
    <cellStyle name="SAPBEXexcCritical6 2 2 2 10 2" xfId="31900" xr:uid="{EF9973AE-3E61-4A3C-B52E-AEE2EC78D788}"/>
    <cellStyle name="SAPBEXexcCritical6 2 2 2 11" xfId="16718" xr:uid="{8197F560-1EB0-4C3D-8594-8A19BA7FA32A}"/>
    <cellStyle name="SAPBEXexcCritical6 2 2 2 11 2" xfId="31903" xr:uid="{95516933-3EDD-4D17-9662-8F6A51006ED8}"/>
    <cellStyle name="SAPBEXexcCritical6 2 2 2 12" xfId="16719" xr:uid="{D6CFE06F-34B8-430D-863B-CB930202EFE7}"/>
    <cellStyle name="SAPBEXexcCritical6 2 2 2 12 2" xfId="31901" xr:uid="{0C9D0D60-1A37-466D-8F5A-AB2E35E270CB}"/>
    <cellStyle name="SAPBEXexcCritical6 2 2 2 13" xfId="16720" xr:uid="{2E3795A1-83EB-4E6B-A69B-B753020C5D05}"/>
    <cellStyle name="SAPBEXexcCritical6 2 2 2 13 2" xfId="31902" xr:uid="{D5FD886C-4CA1-414F-AEA8-BF6D52BB6A38}"/>
    <cellStyle name="SAPBEXexcCritical6 2 2 2 14" xfId="16721" xr:uid="{8EEC5115-B779-4C12-982F-6760AC67E954}"/>
    <cellStyle name="SAPBEXexcCritical6 2 2 2 14 2" xfId="27465" xr:uid="{E912EA8B-1180-4015-A627-9DA2914A3920}"/>
    <cellStyle name="SAPBEXexcCritical6 2 2 2 15" xfId="31899" xr:uid="{B43A3343-4221-4074-BD85-2D5B6DE84EE9}"/>
    <cellStyle name="SAPBEXexcCritical6 2 2 2 2" xfId="16722" xr:uid="{A6EBECF4-0A0F-4924-998E-72CF4D934EDA}"/>
    <cellStyle name="SAPBEXexcCritical6 2 2 2 2 2" xfId="31904" xr:uid="{2577C2ED-9AD3-4843-94B6-B64564FE24F4}"/>
    <cellStyle name="SAPBEXexcCritical6 2 2 2 3" xfId="16723" xr:uid="{5BBF1B39-BF06-4252-954D-C9BFE338C89D}"/>
    <cellStyle name="SAPBEXexcCritical6 2 2 2 3 2" xfId="27466" xr:uid="{CD6FE312-640E-40FF-8345-1FDCA66920F7}"/>
    <cellStyle name="SAPBEXexcCritical6 2 2 2 4" xfId="16724" xr:uid="{2D8C07C1-67F4-4752-9595-865131E0FE24}"/>
    <cellStyle name="SAPBEXexcCritical6 2 2 2 4 2" xfId="31905" xr:uid="{1D9A7125-E1F9-49CD-B836-354C8C012802}"/>
    <cellStyle name="SAPBEXexcCritical6 2 2 2 5" xfId="16725" xr:uid="{89AE1D2F-07D3-465B-ADA9-B95E0FF1B095}"/>
    <cellStyle name="SAPBEXexcCritical6 2 2 2 5 2" xfId="31906" xr:uid="{757B796F-9F48-4E55-BA37-5F2CEE3EE4A7}"/>
    <cellStyle name="SAPBEXexcCritical6 2 2 2 6" xfId="16726" xr:uid="{CA9DC107-39BA-49F1-BEEB-7A81F547B0B3}"/>
    <cellStyle name="SAPBEXexcCritical6 2 2 2 6 2" xfId="31907" xr:uid="{5E985D3B-34B0-421B-92FB-405C5B638256}"/>
    <cellStyle name="SAPBEXexcCritical6 2 2 2 7" xfId="16727" xr:uid="{E29DCDD9-638F-43BD-9250-61A2BE7E85AD}"/>
    <cellStyle name="SAPBEXexcCritical6 2 2 2 7 2" xfId="27467" xr:uid="{560217B8-4E93-4C30-8E73-9CAFE4C188B0}"/>
    <cellStyle name="SAPBEXexcCritical6 2 2 2 8" xfId="16728" xr:uid="{0598F14C-EA84-434A-A942-DB059C1E4D2D}"/>
    <cellStyle name="SAPBEXexcCritical6 2 2 2 8 2" xfId="31908" xr:uid="{C367784C-337A-4257-82D5-A90C9B8BB351}"/>
    <cellStyle name="SAPBEXexcCritical6 2 2 2 9" xfId="16729" xr:uid="{E3EB3C8B-4E33-4384-94D5-6AB19B4D74F4}"/>
    <cellStyle name="SAPBEXexcCritical6 2 2 2 9 2" xfId="27468" xr:uid="{85E7DDBC-6878-4BD1-9A62-F6D9911F6F07}"/>
    <cellStyle name="SAPBEXexcCritical6 2 2 3" xfId="16730" xr:uid="{545791FE-52C0-4EAC-A3AF-05E5D23BEFE2}"/>
    <cellStyle name="SAPBEXexcCritical6 2 2 3 2" xfId="31909" xr:uid="{4061C3B6-E557-4A29-94FB-B24483A9780E}"/>
    <cellStyle name="SAPBEXexcCritical6 2 2 4" xfId="16731" xr:uid="{A55FD3BB-778E-4463-9487-4D15D37BAD36}"/>
    <cellStyle name="SAPBEXexcCritical6 2 2 4 2" xfId="31910" xr:uid="{B19CE968-3115-4061-B4A4-EAC546CAAFB0}"/>
    <cellStyle name="SAPBEXexcCritical6 2 2 5" xfId="16732" xr:uid="{059EABB5-7B32-4684-898B-04010BB79D8C}"/>
    <cellStyle name="SAPBEXexcCritical6 2 2 5 2" xfId="27469" xr:uid="{1635F969-2448-483E-AC30-95C02D59DC40}"/>
    <cellStyle name="SAPBEXexcCritical6 2 2 6" xfId="16733" xr:uid="{F7F48808-4828-4BFA-9449-89FE2D903238}"/>
    <cellStyle name="SAPBEXexcCritical6 2 2 6 2" xfId="31911" xr:uid="{A0B82301-067E-4740-83B1-E764D23DEBC8}"/>
    <cellStyle name="SAPBEXexcCritical6 2 2 7" xfId="16734" xr:uid="{2D102814-32CD-4DF5-8082-96D93F3F6796}"/>
    <cellStyle name="SAPBEXexcCritical6 2 2 7 2" xfId="27470" xr:uid="{4575FFF4-C452-430A-85AF-BD5DB240536A}"/>
    <cellStyle name="SAPBEXexcCritical6 2 2 8" xfId="16735" xr:uid="{F4F39553-32C1-4834-A456-CA0501431D95}"/>
    <cellStyle name="SAPBEXexcCritical6 2 2 8 2" xfId="31912" xr:uid="{75C20356-BCA3-4771-84BF-20CFBD18022B}"/>
    <cellStyle name="SAPBEXexcCritical6 2 2 9" xfId="16736" xr:uid="{9281BA65-E504-4142-80A2-4B5FCB0FD1F1}"/>
    <cellStyle name="SAPBEXexcCritical6 2 2 9 2" xfId="31913" xr:uid="{35807555-877A-4906-BC78-2D9BB0A2AADE}"/>
    <cellStyle name="SAPBEXexcCritical6 2 20" xfId="31878" xr:uid="{453DD0A2-8208-4693-88FA-2931FC8DD0FE}"/>
    <cellStyle name="SAPBEXexcCritical6 2 3" xfId="16737" xr:uid="{FBF06EC1-6274-4592-AFAE-6C6CD5F3E26E}"/>
    <cellStyle name="SAPBEXexcCritical6 2 3 10" xfId="16738" xr:uid="{C7C873B8-0913-4277-9271-334DDA934D67}"/>
    <cellStyle name="SAPBEXexcCritical6 2 3 10 2" xfId="31915" xr:uid="{B3C56BC9-D520-464E-ABF9-4BA134C1A826}"/>
    <cellStyle name="SAPBEXexcCritical6 2 3 11" xfId="16739" xr:uid="{45549168-C1E7-4DF2-BBA6-9D354E44C976}"/>
    <cellStyle name="SAPBEXexcCritical6 2 3 11 2" xfId="31916" xr:uid="{CE351BEB-0475-4144-85AD-04FAB2E245F0}"/>
    <cellStyle name="SAPBEXexcCritical6 2 3 12" xfId="16740" xr:uid="{5DA8C2C5-4CE9-4ED2-A998-D8FCB17F115F}"/>
    <cellStyle name="SAPBEXexcCritical6 2 3 12 2" xfId="31917" xr:uid="{E0214EA5-4595-42AB-B312-82CB28324251}"/>
    <cellStyle name="SAPBEXexcCritical6 2 3 13" xfId="16741" xr:uid="{AFFBB8E9-9552-454A-8E28-3AC7E5A3AA99}"/>
    <cellStyle name="SAPBEXexcCritical6 2 3 13 2" xfId="31918" xr:uid="{5A39B8C9-2BB9-4A85-AA3D-A4C1E0DB2848}"/>
    <cellStyle name="SAPBEXexcCritical6 2 3 14" xfId="16742" xr:uid="{A8430808-4A57-4EC3-82DF-B7E50C2904BA}"/>
    <cellStyle name="SAPBEXexcCritical6 2 3 14 2" xfId="31919" xr:uid="{44FE5E90-543C-4C4C-8D22-E5E93479A3F8}"/>
    <cellStyle name="SAPBEXexcCritical6 2 3 15" xfId="31914" xr:uid="{2174570A-75FF-482D-81C0-854C7D0DBF26}"/>
    <cellStyle name="SAPBEXexcCritical6 2 3 2" xfId="16743" xr:uid="{E351343F-9409-4D78-8B91-6825DC1FF6ED}"/>
    <cellStyle name="SAPBEXexcCritical6 2 3 2 2" xfId="31920" xr:uid="{2BA7BE0A-53FD-4CC6-AEB1-12658E336925}"/>
    <cellStyle name="SAPBEXexcCritical6 2 3 3" xfId="16744" xr:uid="{C482AC06-F9EC-4F28-8DCD-AF64D7B97BE3}"/>
    <cellStyle name="SAPBEXexcCritical6 2 3 3 2" xfId="31921" xr:uid="{04E40B4B-2269-49FA-9051-8CADE5534726}"/>
    <cellStyle name="SAPBEXexcCritical6 2 3 4" xfId="16745" xr:uid="{687484E9-9558-48DE-A04B-2A8D926226DC}"/>
    <cellStyle name="SAPBEXexcCritical6 2 3 4 2" xfId="31922" xr:uid="{A837874F-DEC9-4B0C-8E84-E5DEA150B819}"/>
    <cellStyle name="SAPBEXexcCritical6 2 3 5" xfId="16746" xr:uid="{7854B269-D858-4DB7-8CAC-8D6D2277CFC8}"/>
    <cellStyle name="SAPBEXexcCritical6 2 3 5 2" xfId="31923" xr:uid="{33E9F52C-32D3-487B-929F-12BC097AAE2C}"/>
    <cellStyle name="SAPBEXexcCritical6 2 3 6" xfId="16747" xr:uid="{76A32B14-A883-4912-8FC3-90C112698123}"/>
    <cellStyle name="SAPBEXexcCritical6 2 3 6 2" xfId="31924" xr:uid="{2B093616-7499-4603-B40E-A422DC4F7264}"/>
    <cellStyle name="SAPBEXexcCritical6 2 3 7" xfId="16748" xr:uid="{703CBFB4-1537-46AE-B120-C1D571217630}"/>
    <cellStyle name="SAPBEXexcCritical6 2 3 7 2" xfId="31925" xr:uid="{C5B79D61-D0A9-4498-AED3-F8BE73E6394C}"/>
    <cellStyle name="SAPBEXexcCritical6 2 3 8" xfId="16749" xr:uid="{478EF3E6-0CDE-4EE5-BBA9-4A0C6C0E8B2A}"/>
    <cellStyle name="SAPBEXexcCritical6 2 3 8 2" xfId="31926" xr:uid="{BBF013F7-6073-45D6-AB24-6D8D28A54363}"/>
    <cellStyle name="SAPBEXexcCritical6 2 3 9" xfId="16750" xr:uid="{A3985231-8606-4686-BB95-2B5CA2491362}"/>
    <cellStyle name="SAPBEXexcCritical6 2 3 9 2" xfId="31927" xr:uid="{5DD978CB-9E40-4652-B1CD-876157A47A28}"/>
    <cellStyle name="SAPBEXexcCritical6 2 4" xfId="16751" xr:uid="{E3B1DBCB-0F95-44C6-9152-D9481C5B8762}"/>
    <cellStyle name="SAPBEXexcCritical6 2 4 2" xfId="31928" xr:uid="{686B5145-2041-4A4F-BA98-245F3FB3A50F}"/>
    <cellStyle name="SAPBEXexcCritical6 2 5" xfId="16752" xr:uid="{1D4A5F64-AE36-4312-9210-64EDE0276505}"/>
    <cellStyle name="SAPBEXexcCritical6 2 5 2" xfId="31929" xr:uid="{3F76226A-D3D9-4CCF-87F3-1FA46B5D8DD9}"/>
    <cellStyle name="SAPBEXexcCritical6 2 6" xfId="16753" xr:uid="{21C7C7BC-C04F-4E3F-9882-53AD609F34C9}"/>
    <cellStyle name="SAPBEXexcCritical6 2 6 2" xfId="31930" xr:uid="{88850224-4053-4D6F-8560-CB2C6F1CA79B}"/>
    <cellStyle name="SAPBEXexcCritical6 2 7" xfId="16754" xr:uid="{F40AC93A-5329-45BB-A8B2-7FEAEDFB61AF}"/>
    <cellStyle name="SAPBEXexcCritical6 2 7 2" xfId="31931" xr:uid="{6652C7EE-580D-43FD-A35D-E297732647CF}"/>
    <cellStyle name="SAPBEXexcCritical6 2 8" xfId="16755" xr:uid="{4BEDD1CA-11C3-443F-99E3-0AE1AEFD9268}"/>
    <cellStyle name="SAPBEXexcCritical6 2 8 2" xfId="31932" xr:uid="{A4997B84-8C31-44E7-AAC9-81B495197939}"/>
    <cellStyle name="SAPBEXexcCritical6 2 9" xfId="16756" xr:uid="{7A40AF44-45EC-44C1-8E76-E53F0F1C2FA5}"/>
    <cellStyle name="SAPBEXexcCritical6 2 9 2" xfId="27471" xr:uid="{58CA1E84-0D75-4C71-A471-7348FA2F03EC}"/>
    <cellStyle name="SAPBEXexcCritical6 20" xfId="16757" xr:uid="{3B7F665D-575F-4AA1-A25B-FCB2547DD5D7}"/>
    <cellStyle name="SAPBEXexcCritical6 20 2" xfId="31933" xr:uid="{5D34A170-AAD6-444A-A214-4F42FCEBC9F9}"/>
    <cellStyle name="SAPBEXexcCritical6 21" xfId="31867" xr:uid="{292EE73F-388A-4251-B285-446BB7618706}"/>
    <cellStyle name="SAPBEXexcCritical6 3" xfId="16758" xr:uid="{685CCD74-27C4-46B7-B89D-ABB4E2E69D97}"/>
    <cellStyle name="SAPBEXexcCritical6 3 10" xfId="16759" xr:uid="{2153B4F1-2D7B-4DCE-A812-4B9ACA28BF76}"/>
    <cellStyle name="SAPBEXexcCritical6 3 10 2" xfId="31934" xr:uid="{00CB3042-B834-4919-991F-6161C2724960}"/>
    <cellStyle name="SAPBEXexcCritical6 3 11" xfId="16760" xr:uid="{E1C44A78-444A-4111-9FC8-2E00F3799541}"/>
    <cellStyle name="SAPBEXexcCritical6 3 11 2" xfId="31935" xr:uid="{38A21233-0373-4D09-945A-6523CCD12EFB}"/>
    <cellStyle name="SAPBEXexcCritical6 3 12" xfId="16761" xr:uid="{FF7A3238-3BDF-4F75-92AA-769AAB87798E}"/>
    <cellStyle name="SAPBEXexcCritical6 3 12 2" xfId="27473" xr:uid="{02336216-6CF3-412F-A0C7-5C80D895A3AA}"/>
    <cellStyle name="SAPBEXexcCritical6 3 13" xfId="16762" xr:uid="{33A418F2-9769-490A-A247-03DDFF88470D}"/>
    <cellStyle name="SAPBEXexcCritical6 3 13 2" xfId="31936" xr:uid="{485D3A38-0B4D-43AA-A322-0D6E4DA3AEF6}"/>
    <cellStyle name="SAPBEXexcCritical6 3 14" xfId="16763" xr:uid="{0A9EDC38-50EF-4F2F-9ACC-002CAA3A5517}"/>
    <cellStyle name="SAPBEXexcCritical6 3 14 2" xfId="27474" xr:uid="{6B7847CC-C66A-4C50-8362-E2F58AB8E2D7}"/>
    <cellStyle name="SAPBEXexcCritical6 3 15" xfId="16764" xr:uid="{50F51FF4-0D87-4A1A-9B3F-458E8BA4A476}"/>
    <cellStyle name="SAPBEXexcCritical6 3 15 2" xfId="31937" xr:uid="{F2810DAA-E968-41F6-B372-14195B5B4BC7}"/>
    <cellStyle name="SAPBEXexcCritical6 3 16" xfId="16765" xr:uid="{EE0BB065-611C-4D22-BC2A-CEF982E4DA04}"/>
    <cellStyle name="SAPBEXexcCritical6 3 16 2" xfId="31938" xr:uid="{3CD560E4-7AF2-49F7-8D43-8D8F9D41CA79}"/>
    <cellStyle name="SAPBEXexcCritical6 3 17" xfId="16766" xr:uid="{FC684F5D-D483-45DF-BACF-694A634CE731}"/>
    <cellStyle name="SAPBEXexcCritical6 3 17 2" xfId="31939" xr:uid="{E389DC9A-3B05-4FA6-8918-C5EA0790B709}"/>
    <cellStyle name="SAPBEXexcCritical6 3 18" xfId="16767" xr:uid="{53D73F50-88F9-4928-963A-8428429DB9DE}"/>
    <cellStyle name="SAPBEXexcCritical6 3 18 2" xfId="31940" xr:uid="{AFA83530-F0AE-40BF-BDF3-C1F37CC15393}"/>
    <cellStyle name="SAPBEXexcCritical6 3 19" xfId="27472" xr:uid="{F70A786D-E57C-4E98-BA86-283948934209}"/>
    <cellStyle name="SAPBEXexcCritical6 3 2" xfId="16768" xr:uid="{6B6D6FD7-C8F7-4CD5-B778-74E89AAD32C4}"/>
    <cellStyle name="SAPBEXexcCritical6 3 2 10" xfId="16769" xr:uid="{8C47D35E-D643-4262-8A4A-D7BB2C9798F7}"/>
    <cellStyle name="SAPBEXexcCritical6 3 2 10 2" xfId="31941" xr:uid="{91BBB0D4-B4B3-4C1B-BF7A-CCF30DED80DB}"/>
    <cellStyle name="SAPBEXexcCritical6 3 2 11" xfId="16770" xr:uid="{77F97109-E43D-4967-847F-EC6C910B14E4}"/>
    <cellStyle name="SAPBEXexcCritical6 3 2 11 2" xfId="27476" xr:uid="{402F6E65-6963-400E-9865-7DFEA2E5BC9A}"/>
    <cellStyle name="SAPBEXexcCritical6 3 2 12" xfId="16771" xr:uid="{BAE2925C-8163-4279-A147-A474CB4E0CC6}"/>
    <cellStyle name="SAPBEXexcCritical6 3 2 12 2" xfId="31942" xr:uid="{088E1D22-D583-46B9-B22E-A9523C332FAA}"/>
    <cellStyle name="SAPBEXexcCritical6 3 2 13" xfId="16772" xr:uid="{CE08C615-9C85-4E69-8755-B9C124FB8DD5}"/>
    <cellStyle name="SAPBEXexcCritical6 3 2 13 2" xfId="31943" xr:uid="{AB7C45FB-7013-4F5B-90F3-00C4B3AAA037}"/>
    <cellStyle name="SAPBEXexcCritical6 3 2 14" xfId="16773" xr:uid="{FA130331-474F-4C40-B675-2D4A7F059467}"/>
    <cellStyle name="SAPBEXexcCritical6 3 2 14 2" xfId="27477" xr:uid="{E6D3AF3D-8CF9-42C3-B303-7FD8CE5EDAE9}"/>
    <cellStyle name="SAPBEXexcCritical6 3 2 15" xfId="27475" xr:uid="{78A545CC-3B3F-486D-8B05-2A900267B047}"/>
    <cellStyle name="SAPBEXexcCritical6 3 2 2" xfId="16774" xr:uid="{BB215093-3E1E-4B83-901B-4381775D71C6}"/>
    <cellStyle name="SAPBEXexcCritical6 3 2 2 2" xfId="31944" xr:uid="{5BF3BC6D-CC30-4C23-ACF6-70604D78924D}"/>
    <cellStyle name="SAPBEXexcCritical6 3 2 3" xfId="16775" xr:uid="{F38FC99E-6496-4BC8-A565-E088EAC2BCD6}"/>
    <cellStyle name="SAPBEXexcCritical6 3 2 3 2" xfId="27478" xr:uid="{C44BEAE3-0C42-4EB5-96B6-AFADCF6AD123}"/>
    <cellStyle name="SAPBEXexcCritical6 3 2 4" xfId="16776" xr:uid="{9FB4A0C5-9EBA-4AE8-81E2-7FBCF3F943E6}"/>
    <cellStyle name="SAPBEXexcCritical6 3 2 4 2" xfId="31945" xr:uid="{CD96B374-F236-40D8-9BCF-93374A027E5B}"/>
    <cellStyle name="SAPBEXexcCritical6 3 2 5" xfId="16777" xr:uid="{60665BE3-7CDF-47C8-AC4B-1B88BC2004D0}"/>
    <cellStyle name="SAPBEXexcCritical6 3 2 5 2" xfId="31946" xr:uid="{B6089BE4-0492-4F38-A978-AE325F343860}"/>
    <cellStyle name="SAPBEXexcCritical6 3 2 6" xfId="16778" xr:uid="{DCB827C5-FDAC-4C5F-B103-E61960913771}"/>
    <cellStyle name="SAPBEXexcCritical6 3 2 6 2" xfId="31947" xr:uid="{4DCB9247-ACE0-420D-BDB1-FB2B8D5CD46D}"/>
    <cellStyle name="SAPBEXexcCritical6 3 2 7" xfId="16779" xr:uid="{FB1826D0-FA76-4A21-9247-1066192E9181}"/>
    <cellStyle name="SAPBEXexcCritical6 3 2 7 2" xfId="31948" xr:uid="{0C81082C-F763-4F5F-811F-28868BB4A7C0}"/>
    <cellStyle name="SAPBEXexcCritical6 3 2 8" xfId="16780" xr:uid="{910F5248-73ED-4F83-83C9-D0A039425115}"/>
    <cellStyle name="SAPBEXexcCritical6 3 2 8 2" xfId="31949" xr:uid="{34488C7D-37F6-45EE-B162-4D4240D4A3CD}"/>
    <cellStyle name="SAPBEXexcCritical6 3 2 9" xfId="16781" xr:uid="{A635D51C-ACA0-4013-8380-69C9D84E3577}"/>
    <cellStyle name="SAPBEXexcCritical6 3 2 9 2" xfId="31950" xr:uid="{EC2C8AC5-EEDC-4815-896B-F763CB5EAED6}"/>
    <cellStyle name="SAPBEXexcCritical6 3 3" xfId="16782" xr:uid="{FF2906CD-2521-46E6-B894-962825016BB2}"/>
    <cellStyle name="SAPBEXexcCritical6 3 3 2" xfId="31967" xr:uid="{D02CB65B-CECF-4617-BCB0-48D36103210E}"/>
    <cellStyle name="SAPBEXexcCritical6 3 4" xfId="16783" xr:uid="{F51B9719-5F57-47DB-A875-44CD4B3AA5C4}"/>
    <cellStyle name="SAPBEXexcCritical6 3 4 2" xfId="31968" xr:uid="{C5E27BEE-ECC1-41D2-9416-03C90B63D205}"/>
    <cellStyle name="SAPBEXexcCritical6 3 5" xfId="16784" xr:uid="{11D4C9E1-FCDD-4638-89CE-0BB7DCF61F04}"/>
    <cellStyle name="SAPBEXexcCritical6 3 5 2" xfId="27479" xr:uid="{BABBA058-E7CC-4B76-8A90-E7B2D49C9226}"/>
    <cellStyle name="SAPBEXexcCritical6 3 6" xfId="16785" xr:uid="{FA352CEC-A7FB-41C0-93CF-66704E03C7E8}"/>
    <cellStyle name="SAPBEXexcCritical6 3 6 2" xfId="31951" xr:uid="{02D3F652-428C-4C7D-A400-DF4AFFFC1551}"/>
    <cellStyle name="SAPBEXexcCritical6 3 7" xfId="16786" xr:uid="{DB72D361-E42C-49BE-A126-38E66007D131}"/>
    <cellStyle name="SAPBEXexcCritical6 3 7 2" xfId="27480" xr:uid="{0806A3F9-02C1-436A-A7E2-95AF3D974175}"/>
    <cellStyle name="SAPBEXexcCritical6 3 8" xfId="16787" xr:uid="{5B0A3354-EBDF-4FEF-A25E-1357AFA35087}"/>
    <cellStyle name="SAPBEXexcCritical6 3 8 2" xfId="31952" xr:uid="{B376B9F1-A26B-42B1-86B2-42F1286B598F}"/>
    <cellStyle name="SAPBEXexcCritical6 3 9" xfId="16788" xr:uid="{2ED37C26-E145-4528-AB75-2D2CB71F194F}"/>
    <cellStyle name="SAPBEXexcCritical6 3 9 2" xfId="31953" xr:uid="{1B371FE4-E428-4425-8A76-CC91A45F9273}"/>
    <cellStyle name="SAPBEXexcCritical6 4" xfId="16789" xr:uid="{F0BC360B-6674-4518-8C65-73428A4BC087}"/>
    <cellStyle name="SAPBEXexcCritical6 4 10" xfId="16790" xr:uid="{4AFDBAD0-9FD5-44E9-B3AD-A363354AE0C0}"/>
    <cellStyle name="SAPBEXexcCritical6 4 10 2" xfId="31955" xr:uid="{4AC1FD7D-196D-4C96-BD1F-1AAAD45A80DC}"/>
    <cellStyle name="SAPBEXexcCritical6 4 11" xfId="16791" xr:uid="{E128AE84-06EF-403A-84F2-2A30BF3C9544}"/>
    <cellStyle name="SAPBEXexcCritical6 4 11 2" xfId="31956" xr:uid="{A7117FFB-65A9-471C-9234-CA6B3D354687}"/>
    <cellStyle name="SAPBEXexcCritical6 4 12" xfId="16792" xr:uid="{AEF7B5B5-5360-481B-A08B-2E903C5533B2}"/>
    <cellStyle name="SAPBEXexcCritical6 4 12 2" xfId="31957" xr:uid="{E3BF9730-B967-4E08-A15D-971E2ABA521E}"/>
    <cellStyle name="SAPBEXexcCritical6 4 13" xfId="16793" xr:uid="{9BE95A0A-EC6B-40A0-9E4C-F55D7BF5C1CB}"/>
    <cellStyle name="SAPBEXexcCritical6 4 13 2" xfId="31958" xr:uid="{57A3A073-0D48-464C-B5AE-EC32B54A207C}"/>
    <cellStyle name="SAPBEXexcCritical6 4 14" xfId="16794" xr:uid="{A0AE84E1-7366-4E5E-BF1B-A955CF820857}"/>
    <cellStyle name="SAPBEXexcCritical6 4 14 2" xfId="31959" xr:uid="{09BD3D3C-77F8-4C5A-8768-F8F895CE9E05}"/>
    <cellStyle name="SAPBEXexcCritical6 4 15" xfId="31954" xr:uid="{B88710C2-92DC-4C89-B8B9-0D1C4F86AF12}"/>
    <cellStyle name="SAPBEXexcCritical6 4 2" xfId="16795" xr:uid="{DCBDFBDA-1401-47CC-ADA5-F5F4935299FE}"/>
    <cellStyle name="SAPBEXexcCritical6 4 2 2" xfId="31960" xr:uid="{17291DB9-65EA-4938-B6B1-EA9B56278F81}"/>
    <cellStyle name="SAPBEXexcCritical6 4 3" xfId="16796" xr:uid="{143DE411-0495-4774-8C32-124DC196A878}"/>
    <cellStyle name="SAPBEXexcCritical6 4 3 2" xfId="31961" xr:uid="{01B9362A-ADFA-490C-9596-CF342230B6BD}"/>
    <cellStyle name="SAPBEXexcCritical6 4 4" xfId="16797" xr:uid="{98ABF798-2F9A-44F8-B823-84DAA100468C}"/>
    <cellStyle name="SAPBEXexcCritical6 4 4 2" xfId="31962" xr:uid="{A5C451AA-60A1-4594-8930-1DF2EB62FB07}"/>
    <cellStyle name="SAPBEXexcCritical6 4 5" xfId="16798" xr:uid="{A41C5697-1F1F-44E1-B71B-49F7FE8B09AF}"/>
    <cellStyle name="SAPBEXexcCritical6 4 5 2" xfId="31963" xr:uid="{5244A21B-06C9-4FBC-82F4-D3D715A2FC07}"/>
    <cellStyle name="SAPBEXexcCritical6 4 6" xfId="16799" xr:uid="{A8D03A39-2641-44EA-B2EE-3B4D9A638653}"/>
    <cellStyle name="SAPBEXexcCritical6 4 6 2" xfId="31964" xr:uid="{8431D00D-F652-481D-8BB0-2A25A8B028E4}"/>
    <cellStyle name="SAPBEXexcCritical6 4 7" xfId="16800" xr:uid="{B06F3113-730B-454F-995F-88FFD833C208}"/>
    <cellStyle name="SAPBEXexcCritical6 4 7 2" xfId="31965" xr:uid="{4CA64758-2BDE-43F5-8B08-D04241DADB8B}"/>
    <cellStyle name="SAPBEXexcCritical6 4 8" xfId="16801" xr:uid="{9ECD3221-BCAA-45F0-855F-09DD0F75EFEB}"/>
    <cellStyle name="SAPBEXexcCritical6 4 8 2" xfId="31966" xr:uid="{0A37E314-2533-4780-A5DB-0346E1AF49F0}"/>
    <cellStyle name="SAPBEXexcCritical6 4 9" xfId="16802" xr:uid="{619A13CA-A9D3-4760-B275-02052D5CE8C8}"/>
    <cellStyle name="SAPBEXexcCritical6 4 9 2" xfId="31969" xr:uid="{AB43A1CA-B3F3-4CD0-893C-40A81B250361}"/>
    <cellStyle name="SAPBEXexcCritical6 5" xfId="16803" xr:uid="{0D23A739-F46B-43CC-B5C1-1156C518D229}"/>
    <cellStyle name="SAPBEXexcCritical6 5 2" xfId="31970" xr:uid="{763BC0FF-C1F0-4F78-9F07-675BB1977E57}"/>
    <cellStyle name="SAPBEXexcCritical6 6" xfId="16804" xr:uid="{BA418DE0-9C11-4FDC-AC92-3F7BC3B9F09B}"/>
    <cellStyle name="SAPBEXexcCritical6 6 2" xfId="31971" xr:uid="{713EC72A-11D8-4097-B447-F0B47659EB79}"/>
    <cellStyle name="SAPBEXexcCritical6 7" xfId="16805" xr:uid="{CA0E2BE0-905F-4F71-AA57-D53FE7DF3925}"/>
    <cellStyle name="SAPBEXexcCritical6 7 2" xfId="31972" xr:uid="{5EA539EC-DECB-4DBA-808D-E7D936AC2CF6}"/>
    <cellStyle name="SAPBEXexcCritical6 8" xfId="16806" xr:uid="{B391AAAE-F7A4-4E43-8555-F9B3213E5D22}"/>
    <cellStyle name="SAPBEXexcCritical6 8 2" xfId="31973" xr:uid="{D5CA2019-1E7C-4547-8C73-78D9E56C3C24}"/>
    <cellStyle name="SAPBEXexcCritical6 9" xfId="16807" xr:uid="{718DEE6E-FB00-4BEF-ABF1-0BCFA0576AC1}"/>
    <cellStyle name="SAPBEXexcCritical6 9 2" xfId="31974" xr:uid="{6C89B1F6-7325-49EB-A816-6938DD2643A2}"/>
    <cellStyle name="SAPBEXexcGood" xfId="16808" xr:uid="{46AC5793-9B4E-4C87-9167-2B2DCC6187AD}"/>
    <cellStyle name="SAPBEXexcGood 2" xfId="16809" xr:uid="{E846BEB6-0E8A-4A0F-A9B0-C85BA7342FEB}"/>
    <cellStyle name="SAPBEXexcGood1" xfId="16810" xr:uid="{09992DA2-CF84-4050-8E3E-62AE81A9CE21}"/>
    <cellStyle name="SAPBEXexcGood1 10" xfId="16811" xr:uid="{AD48553F-C78F-415E-B21A-CE3D82EA2941}"/>
    <cellStyle name="SAPBEXexcGood1 10 2" xfId="31976" xr:uid="{178E07E9-5ADC-42C0-9A0B-1D6AB63057FA}"/>
    <cellStyle name="SAPBEXexcGood1 11" xfId="16812" xr:uid="{F66218EE-BD75-4203-BEDC-066EADE0DEF9}"/>
    <cellStyle name="SAPBEXexcGood1 11 2" xfId="31977" xr:uid="{A14AC2DA-C2DD-44CE-9640-3122E699C2A2}"/>
    <cellStyle name="SAPBEXexcGood1 12" xfId="16813" xr:uid="{04DE0326-76DC-4E17-995D-00F801117609}"/>
    <cellStyle name="SAPBEXexcGood1 12 2" xfId="31978" xr:uid="{9C570E53-70D4-421E-83EF-A0647E832666}"/>
    <cellStyle name="SAPBEXexcGood1 13" xfId="16814" xr:uid="{F90D5F90-6630-4DA7-9375-E23A3324B166}"/>
    <cellStyle name="SAPBEXexcGood1 13 2" xfId="31979" xr:uid="{42AED504-E8CE-4AAE-A815-7AFF0A341E78}"/>
    <cellStyle name="SAPBEXexcGood1 14" xfId="16815" xr:uid="{5A0B9D50-E6AB-460F-89B9-52ADB97C0FB8}"/>
    <cellStyle name="SAPBEXexcGood1 14 2" xfId="31980" xr:uid="{1C93C184-F5FE-41E2-81E1-A5E060AB225E}"/>
    <cellStyle name="SAPBEXexcGood1 15" xfId="16816" xr:uid="{F7FFBB2B-4DE5-4638-A3B4-F159616C5684}"/>
    <cellStyle name="SAPBEXexcGood1 15 2" xfId="31981" xr:uid="{FCB01885-1ECE-4307-8BD2-5DCAF7415657}"/>
    <cellStyle name="SAPBEXexcGood1 16" xfId="16817" xr:uid="{D6490601-4133-48D1-A090-4E3A08B1EAA5}"/>
    <cellStyle name="SAPBEXexcGood1 16 2" xfId="31982" xr:uid="{C0E811E5-5A56-4DDE-9FAA-12184A702700}"/>
    <cellStyle name="SAPBEXexcGood1 17" xfId="16818" xr:uid="{909D97E6-4F2E-4CE0-917E-3D3C62582588}"/>
    <cellStyle name="SAPBEXexcGood1 17 2" xfId="31983" xr:uid="{13C4A424-F447-42C6-BF87-5155BB8F395A}"/>
    <cellStyle name="SAPBEXexcGood1 18" xfId="16819" xr:uid="{BDAB46A4-1A9F-4B94-9B8D-81DD99A07E39}"/>
    <cellStyle name="SAPBEXexcGood1 18 2" xfId="31984" xr:uid="{6C2F381F-0D44-44D6-B9D1-CF1186048714}"/>
    <cellStyle name="SAPBEXexcGood1 19" xfId="16820" xr:uid="{43ED73B9-A2B3-4FCB-9764-906338661EBA}"/>
    <cellStyle name="SAPBEXexcGood1 19 2" xfId="31985" xr:uid="{0E1E1805-EEA8-4C4B-B240-D9B84D7A4A3C}"/>
    <cellStyle name="SAPBEXexcGood1 2" xfId="16821" xr:uid="{65B3DCBF-819B-427C-B5EF-6502D833F69E}"/>
    <cellStyle name="SAPBEXexcGood1 2 10" xfId="16822" xr:uid="{E00BFAF6-905F-4DC8-9730-FCC81B06A070}"/>
    <cellStyle name="SAPBEXexcGood1 2 10 2" xfId="31987" xr:uid="{582D4E91-692D-4416-80F7-36179819E889}"/>
    <cellStyle name="SAPBEXexcGood1 2 11" xfId="16823" xr:uid="{F35076F9-FD4A-42BE-84A7-26A8224293BE}"/>
    <cellStyle name="SAPBEXexcGood1 2 11 2" xfId="31988" xr:uid="{E3C2EC5B-0255-434D-983D-2E5E9455CF04}"/>
    <cellStyle name="SAPBEXexcGood1 2 12" xfId="16824" xr:uid="{6A3C7D0C-77FD-473A-A1DC-C119AFF12794}"/>
    <cellStyle name="SAPBEXexcGood1 2 12 2" xfId="31989" xr:uid="{9B852667-5CBC-4663-8D35-A481AC1DF07D}"/>
    <cellStyle name="SAPBEXexcGood1 2 13" xfId="16825" xr:uid="{0D17F765-2D91-427B-9A86-7D7B2D211471}"/>
    <cellStyle name="SAPBEXexcGood1 2 13 2" xfId="31990" xr:uid="{8280827E-3D44-473F-8B9F-B86006B9A67B}"/>
    <cellStyle name="SAPBEXexcGood1 2 14" xfId="16826" xr:uid="{6CD2FCA3-86C7-4D4F-BF49-B424E7E4DC34}"/>
    <cellStyle name="SAPBEXexcGood1 2 14 2" xfId="27481" xr:uid="{FAB615E4-D28F-4062-A91D-F07373D534D0}"/>
    <cellStyle name="SAPBEXexcGood1 2 15" xfId="16827" xr:uid="{F67DAC35-CD49-461E-BB70-B55944BA4B9F}"/>
    <cellStyle name="SAPBEXexcGood1 2 15 2" xfId="31991" xr:uid="{603EC657-0254-4746-A584-EE67C8C288F8}"/>
    <cellStyle name="SAPBEXexcGood1 2 16" xfId="16828" xr:uid="{917683BE-98C2-471D-A061-C100B208F8A7}"/>
    <cellStyle name="SAPBEXexcGood1 2 16 2" xfId="27482" xr:uid="{9D07FDCA-65BE-46C2-9C9D-9B3816F9E8A4}"/>
    <cellStyle name="SAPBEXexcGood1 2 17" xfId="16829" xr:uid="{F471D6C2-28D1-4DF8-B068-4B2C987ECC6D}"/>
    <cellStyle name="SAPBEXexcGood1 2 17 2" xfId="31992" xr:uid="{DEF65463-FA05-4A39-A0C9-C1376A94F7EA}"/>
    <cellStyle name="SAPBEXexcGood1 2 18" xfId="16830" xr:uid="{C8A15D83-7333-4215-8344-2DA319DB68C9}"/>
    <cellStyle name="SAPBEXexcGood1 2 18 2" xfId="31993" xr:uid="{1E18C142-C88D-41A1-8310-588EAB5F2941}"/>
    <cellStyle name="SAPBEXexcGood1 2 19" xfId="16831" xr:uid="{5A6E90F0-6BA7-4A6C-9198-748B288EB29D}"/>
    <cellStyle name="SAPBEXexcGood1 2 19 2" xfId="27483" xr:uid="{F55225DF-B3FF-4209-996C-CBEB61C1FA79}"/>
    <cellStyle name="SAPBEXexcGood1 2 2" xfId="16832" xr:uid="{15848EEE-3819-4F54-B2DE-B1A5AB96A900}"/>
    <cellStyle name="SAPBEXexcGood1 2 2 10" xfId="16833" xr:uid="{ADCC8A4E-3825-4AC0-9C86-492AD31B23D9}"/>
    <cellStyle name="SAPBEXexcGood1 2 2 10 2" xfId="31995" xr:uid="{330CDF2F-5A44-4CCB-B537-15120B101A1F}"/>
    <cellStyle name="SAPBEXexcGood1 2 2 11" xfId="16834" xr:uid="{65C011CF-10C6-4534-AEEC-97BE261302A7}"/>
    <cellStyle name="SAPBEXexcGood1 2 2 11 2" xfId="31996" xr:uid="{FF51B279-B605-43C8-AF0A-6A652C3D0269}"/>
    <cellStyle name="SAPBEXexcGood1 2 2 12" xfId="16835" xr:uid="{2BE601D1-070E-40C5-80BD-30BEF1008A85}"/>
    <cellStyle name="SAPBEXexcGood1 2 2 12 2" xfId="31997" xr:uid="{4D4BC257-5D6C-4FEC-8AF3-1B3892BA9A77}"/>
    <cellStyle name="SAPBEXexcGood1 2 2 13" xfId="16836" xr:uid="{7414D945-F4D5-4BA5-AC70-2A3BD851BFC6}"/>
    <cellStyle name="SAPBEXexcGood1 2 2 13 2" xfId="27484" xr:uid="{2A7289AE-0520-48DA-A1A3-801B41E6DFBC}"/>
    <cellStyle name="SAPBEXexcGood1 2 2 14" xfId="16837" xr:uid="{04049A1B-021C-4629-A0BA-AC29F60B6EAC}"/>
    <cellStyle name="SAPBEXexcGood1 2 2 14 2" xfId="31998" xr:uid="{2327D24C-A49F-4B18-9D94-86414C7FDFDD}"/>
    <cellStyle name="SAPBEXexcGood1 2 2 15" xfId="16838" xr:uid="{272A90CF-FA38-4639-9CE2-F8061595F5C9}"/>
    <cellStyle name="SAPBEXexcGood1 2 2 15 2" xfId="27485" xr:uid="{B552B0A0-520D-4DDE-906B-8AB0ECA256D1}"/>
    <cellStyle name="SAPBEXexcGood1 2 2 16" xfId="16839" xr:uid="{467000C2-9639-45A7-968F-F68B2649C7A6}"/>
    <cellStyle name="SAPBEXexcGood1 2 2 16 2" xfId="31999" xr:uid="{4AEBF564-B808-4B4B-803E-1726FEC4733F}"/>
    <cellStyle name="SAPBEXexcGood1 2 2 17" xfId="16840" xr:uid="{32A0EBA7-90C9-4931-B5F6-58A8DFE0967F}"/>
    <cellStyle name="SAPBEXexcGood1 2 2 17 2" xfId="32000" xr:uid="{995F09B1-CE9C-4EEA-9B78-EA7CB167031D}"/>
    <cellStyle name="SAPBEXexcGood1 2 2 18" xfId="16841" xr:uid="{0B36C99F-044A-40EF-AB06-A783585E8FB5}"/>
    <cellStyle name="SAPBEXexcGood1 2 2 18 2" xfId="27486" xr:uid="{65950910-8457-4594-ACE5-43BEE9C7C1DD}"/>
    <cellStyle name="SAPBEXexcGood1 2 2 19" xfId="31994" xr:uid="{A2AD8DE2-4E29-4286-8F48-34AB42401953}"/>
    <cellStyle name="SAPBEXexcGood1 2 2 2" xfId="16842" xr:uid="{E338BCC1-9E8D-495F-BC4C-C06252551AF9}"/>
    <cellStyle name="SAPBEXexcGood1 2 2 2 10" xfId="16843" xr:uid="{2A59F59B-1BA5-4216-A493-3F0B23E67971}"/>
    <cellStyle name="SAPBEXexcGood1 2 2 2 10 2" xfId="32002" xr:uid="{7BDE1DEF-7DB2-476B-9A08-2AF641F259DF}"/>
    <cellStyle name="SAPBEXexcGood1 2 2 2 11" xfId="16844" xr:uid="{A45E7824-D282-4225-B394-DFCB63874919}"/>
    <cellStyle name="SAPBEXexcGood1 2 2 2 11 2" xfId="32003" xr:uid="{A29AE034-92E8-4C31-B10C-E5632DA7DFFC}"/>
    <cellStyle name="SAPBEXexcGood1 2 2 2 12" xfId="16845" xr:uid="{55562B8A-45C6-4EC2-8293-3ADD6F8F3D6C}"/>
    <cellStyle name="SAPBEXexcGood1 2 2 2 12 2" xfId="32004" xr:uid="{0B931382-7C86-4E8C-A67C-3E37DD0BB608}"/>
    <cellStyle name="SAPBEXexcGood1 2 2 2 13" xfId="16846" xr:uid="{4EB396A3-511A-4CA4-A257-69F969078A34}"/>
    <cellStyle name="SAPBEXexcGood1 2 2 2 13 2" xfId="27487" xr:uid="{22C1DF39-DE06-4F14-BB3A-8FB08B427A89}"/>
    <cellStyle name="SAPBEXexcGood1 2 2 2 14" xfId="16847" xr:uid="{B2B4A3C8-2B4B-4460-A1A3-A4B6DC40F38B}"/>
    <cellStyle name="SAPBEXexcGood1 2 2 2 14 2" xfId="32005" xr:uid="{43F4517F-F124-4E54-BD8B-C81111B5E8A8}"/>
    <cellStyle name="SAPBEXexcGood1 2 2 2 15" xfId="32001" xr:uid="{65CCC234-0E50-4806-897E-84E97515AFE3}"/>
    <cellStyle name="SAPBEXexcGood1 2 2 2 2" xfId="16848" xr:uid="{59D7C041-44FE-4313-A225-77369D16B1F7}"/>
    <cellStyle name="SAPBEXexcGood1 2 2 2 2 2" xfId="27488" xr:uid="{02675B57-6A66-43E3-8682-FD2CB48824E1}"/>
    <cellStyle name="SAPBEXexcGood1 2 2 2 3" xfId="16849" xr:uid="{BEF701E8-239D-48F8-9728-E52288410D94}"/>
    <cellStyle name="SAPBEXexcGood1 2 2 2 3 2" xfId="32006" xr:uid="{545CAC61-7289-4507-ABA7-E9525A816805}"/>
    <cellStyle name="SAPBEXexcGood1 2 2 2 4" xfId="16850" xr:uid="{3150E2A2-3128-4FEB-825F-0493BA83053D}"/>
    <cellStyle name="SAPBEXexcGood1 2 2 2 4 2" xfId="32007" xr:uid="{93ED80A1-8741-479E-82BD-F74930495766}"/>
    <cellStyle name="SAPBEXexcGood1 2 2 2 5" xfId="16851" xr:uid="{3C7CA858-3AE4-4920-88B8-391FC997BEAA}"/>
    <cellStyle name="SAPBEXexcGood1 2 2 2 5 2" xfId="27489" xr:uid="{A2F18AE9-6EA3-419E-993A-426E81655B19}"/>
    <cellStyle name="SAPBEXexcGood1 2 2 2 6" xfId="16852" xr:uid="{5852F2B2-AE90-45FC-BEB4-3A66DBA9BC68}"/>
    <cellStyle name="SAPBEXexcGood1 2 2 2 6 2" xfId="32008" xr:uid="{5652F32E-BD7D-4747-BBA5-F2CD8E3C79DC}"/>
    <cellStyle name="SAPBEXexcGood1 2 2 2 7" xfId="16853" xr:uid="{A998E667-3A33-4D9C-B74C-DF4E99F28A17}"/>
    <cellStyle name="SAPBEXexcGood1 2 2 2 7 2" xfId="32009" xr:uid="{D3ACA6B4-F696-4118-87EC-16EEFC3FEAEC}"/>
    <cellStyle name="SAPBEXexcGood1 2 2 2 8" xfId="16854" xr:uid="{022B4510-7419-443B-8252-CC1656A55847}"/>
    <cellStyle name="SAPBEXexcGood1 2 2 2 8 2" xfId="32010" xr:uid="{3D455E3E-0223-4D13-A576-4E38E1AE23AD}"/>
    <cellStyle name="SAPBEXexcGood1 2 2 2 9" xfId="16855" xr:uid="{66C26D3A-398D-4C1C-B487-E538DE58DCA3}"/>
    <cellStyle name="SAPBEXexcGood1 2 2 2 9 2" xfId="32011" xr:uid="{8B78E163-A435-4403-8673-620D7B96252C}"/>
    <cellStyle name="SAPBEXexcGood1 2 2 3" xfId="16856" xr:uid="{C6212402-0806-473A-8AD9-02EB8768DB3D}"/>
    <cellStyle name="SAPBEXexcGood1 2 2 3 2" xfId="27490" xr:uid="{22FA9F25-3564-469C-A9D3-51692F2FAE73}"/>
    <cellStyle name="SAPBEXexcGood1 2 2 4" xfId="16857" xr:uid="{9FFC8079-22CF-493F-AA95-A0470991BB0C}"/>
    <cellStyle name="SAPBEXexcGood1 2 2 4 2" xfId="32012" xr:uid="{55D73CE5-C721-4076-85FE-734B52A12471}"/>
    <cellStyle name="SAPBEXexcGood1 2 2 5" xfId="16858" xr:uid="{A1D642A6-3098-45E0-AC13-155955D51AE7}"/>
    <cellStyle name="SAPBEXexcGood1 2 2 5 2" xfId="27491" xr:uid="{3F01044E-216B-44DE-99A6-A628705195EF}"/>
    <cellStyle name="SAPBEXexcGood1 2 2 6" xfId="16859" xr:uid="{2A5B6839-CEF8-41AF-9384-EA0EED651134}"/>
    <cellStyle name="SAPBEXexcGood1 2 2 6 2" xfId="32013" xr:uid="{C0381CCB-D197-49F1-B238-675F9A5F772A}"/>
    <cellStyle name="SAPBEXexcGood1 2 2 7" xfId="16860" xr:uid="{B1A671BB-303E-4C7C-80A6-F010BC42BCBC}"/>
    <cellStyle name="SAPBEXexcGood1 2 2 7 2" xfId="32014" xr:uid="{6F4DB157-6E86-42A5-B8E7-95D584B794AD}"/>
    <cellStyle name="SAPBEXexcGood1 2 2 8" xfId="16861" xr:uid="{130B13A6-0641-45FC-B7BE-134C45BAF540}"/>
    <cellStyle name="SAPBEXexcGood1 2 2 8 2" xfId="27492" xr:uid="{9A95D472-0821-44F0-B6E6-A4DB035B6CF4}"/>
    <cellStyle name="SAPBEXexcGood1 2 2 9" xfId="16862" xr:uid="{8208AC83-22CD-4E44-BF63-E37497A6DD13}"/>
    <cellStyle name="SAPBEXexcGood1 2 2 9 2" xfId="32015" xr:uid="{90922451-37E5-4E21-AFD8-6CC22F029544}"/>
    <cellStyle name="SAPBEXexcGood1 2 20" xfId="31986" xr:uid="{1D00EE0D-BC3E-4C48-A2A7-03425FC04450}"/>
    <cellStyle name="SAPBEXexcGood1 2 3" xfId="16863" xr:uid="{03BA52AA-4CCF-45CF-BEA7-E33A425B6CAA}"/>
    <cellStyle name="SAPBEXexcGood1 2 3 10" xfId="16864" xr:uid="{C34425DD-A259-486D-92D0-5FD410F4E145}"/>
    <cellStyle name="SAPBEXexcGood1 2 3 10 2" xfId="32017" xr:uid="{A4CE3605-6D9A-4775-8F28-1FEA7A2C98AE}"/>
    <cellStyle name="SAPBEXexcGood1 2 3 11" xfId="16865" xr:uid="{1785893E-F9A4-44E7-A04B-2AA63BB3706C}"/>
    <cellStyle name="SAPBEXexcGood1 2 3 11 2" xfId="32018" xr:uid="{95D40709-8FC0-40A5-AF34-F9362348A6AF}"/>
    <cellStyle name="SAPBEXexcGood1 2 3 12" xfId="16866" xr:uid="{3EED2EEE-AB75-4691-9DAB-3A30D58E251E}"/>
    <cellStyle name="SAPBEXexcGood1 2 3 12 2" xfId="27493" xr:uid="{98194384-D146-4EB0-89FA-8CC7C6A5B302}"/>
    <cellStyle name="SAPBEXexcGood1 2 3 13" xfId="16867" xr:uid="{9CB38F1D-2852-4AC8-A3AE-A050808CAC83}"/>
    <cellStyle name="SAPBEXexcGood1 2 3 13 2" xfId="32019" xr:uid="{0AF3D600-2E2A-4929-8578-0BE99202ED07}"/>
    <cellStyle name="SAPBEXexcGood1 2 3 14" xfId="16868" xr:uid="{2FE01983-9F0B-4384-B246-D7D056F3EB82}"/>
    <cellStyle name="SAPBEXexcGood1 2 3 14 2" xfId="27494" xr:uid="{273D1017-E725-4A10-836A-966FE587800D}"/>
    <cellStyle name="SAPBEXexcGood1 2 3 15" xfId="32016" xr:uid="{438FBC03-E737-4B0F-BC7D-B77CC9995BA4}"/>
    <cellStyle name="SAPBEXexcGood1 2 3 2" xfId="16869" xr:uid="{43E213FE-1174-4827-88F7-E4186E42357F}"/>
    <cellStyle name="SAPBEXexcGood1 2 3 2 2" xfId="32020" xr:uid="{505C3AB8-E238-4592-B982-039EC348C290}"/>
    <cellStyle name="SAPBEXexcGood1 2 3 3" xfId="16870" xr:uid="{1C967195-4312-4E5F-AC07-1DA6EEDCE40B}"/>
    <cellStyle name="SAPBEXexcGood1 2 3 3 2" xfId="32021" xr:uid="{4F398E2A-B3C7-4FCB-A36B-57E7D31645AF}"/>
    <cellStyle name="SAPBEXexcGood1 2 3 4" xfId="16871" xr:uid="{5E842047-D9DC-4E7B-842A-BE72FCA3364A}"/>
    <cellStyle name="SAPBEXexcGood1 2 3 4 2" xfId="27495" xr:uid="{5696687E-A89E-4582-8CA9-3566C19D4612}"/>
    <cellStyle name="SAPBEXexcGood1 2 3 5" xfId="16872" xr:uid="{29FCE336-09B0-4077-93AD-538E2C765354}"/>
    <cellStyle name="SAPBEXexcGood1 2 3 5 2" xfId="32022" xr:uid="{FC75A7F9-3E88-46AD-A74B-3D27F6FF525B}"/>
    <cellStyle name="SAPBEXexcGood1 2 3 6" xfId="16873" xr:uid="{2292ED9F-1DA9-4117-8A46-830A3233B46F}"/>
    <cellStyle name="SAPBEXexcGood1 2 3 6 2" xfId="32023" xr:uid="{BD446C9E-FFF1-4D66-B318-639FBEC14A95}"/>
    <cellStyle name="SAPBEXexcGood1 2 3 7" xfId="16874" xr:uid="{49A8EEB7-3AE5-4E42-9AF5-ABC86495B3F3}"/>
    <cellStyle name="SAPBEXexcGood1 2 3 7 2" xfId="32024" xr:uid="{5D610995-CE28-4ADB-9C0C-2D7A165872DE}"/>
    <cellStyle name="SAPBEXexcGood1 2 3 8" xfId="16875" xr:uid="{55D98BF3-4F95-4130-9FB5-3FA616DD889D}"/>
    <cellStyle name="SAPBEXexcGood1 2 3 8 2" xfId="32025" xr:uid="{A747251E-A57B-4595-9449-660FAE969D59}"/>
    <cellStyle name="SAPBEXexcGood1 2 3 9" xfId="16876" xr:uid="{C35C8988-97A1-45AF-97A3-9E46AA282C08}"/>
    <cellStyle name="SAPBEXexcGood1 2 3 9 2" xfId="27496" xr:uid="{F7160EBA-9551-42AB-B18F-B609F57440BD}"/>
    <cellStyle name="SAPBEXexcGood1 2 4" xfId="16877" xr:uid="{0B550DE7-230A-4485-83E2-B9B949A90A75}"/>
    <cellStyle name="SAPBEXexcGood1 2 4 2" xfId="32026" xr:uid="{4A4C4886-91CB-4364-BB25-180A5E712CE6}"/>
    <cellStyle name="SAPBEXexcGood1 2 5" xfId="16878" xr:uid="{3CEB1736-F79B-4152-8DB1-A80B388B3C9C}"/>
    <cellStyle name="SAPBEXexcGood1 2 5 2" xfId="27497" xr:uid="{85AB3EB4-85DB-45AD-B4E9-53AEF4F71365}"/>
    <cellStyle name="SAPBEXexcGood1 2 6" xfId="16879" xr:uid="{4AD3BA1F-9B65-443B-8346-536CEE20F15C}"/>
    <cellStyle name="SAPBEXexcGood1 2 6 2" xfId="32027" xr:uid="{A13DD4BE-CB44-4BA4-8E19-16F868DC301A}"/>
    <cellStyle name="SAPBEXexcGood1 2 7" xfId="16880" xr:uid="{D6AC4AF2-9615-427D-B449-161FB358342A}"/>
    <cellStyle name="SAPBEXexcGood1 2 7 2" xfId="32028" xr:uid="{65DC709E-B5F2-4666-9FE3-A21B1AE4EDAE}"/>
    <cellStyle name="SAPBEXexcGood1 2 8" xfId="16881" xr:uid="{6C19A29A-DD4F-4942-8CA5-0BDC3DA6A7A7}"/>
    <cellStyle name="SAPBEXexcGood1 2 8 2" xfId="27498" xr:uid="{94DF7F5A-A9C4-4F34-BF4D-9D0C5140C25B}"/>
    <cellStyle name="SAPBEXexcGood1 2 9" xfId="16882" xr:uid="{50EF6458-C8C9-4787-888D-D254477C7683}"/>
    <cellStyle name="SAPBEXexcGood1 2 9 2" xfId="32029" xr:uid="{DC4CD8F8-E79E-4551-95B1-FE4D087DF8CA}"/>
    <cellStyle name="SAPBEXexcGood1 20" xfId="16883" xr:uid="{17874743-228E-4D08-9DB0-A3BBA5C10C60}"/>
    <cellStyle name="SAPBEXexcGood1 20 2" xfId="32030" xr:uid="{FA5B8FC4-3F24-4DD9-B3F8-470B7A29BA43}"/>
    <cellStyle name="SAPBEXexcGood1 21" xfId="31975" xr:uid="{66C970E0-E2EE-4A13-B2B4-4E699226D844}"/>
    <cellStyle name="SAPBEXexcGood1 3" xfId="16884" xr:uid="{10BBFB98-31B8-486A-AEC1-E860A96666B2}"/>
    <cellStyle name="SAPBEXexcGood1 3 10" xfId="16885" xr:uid="{0B21DA14-A8C4-4EBC-B222-DB9E222AA29F}"/>
    <cellStyle name="SAPBEXexcGood1 3 10 2" xfId="32032" xr:uid="{652992C3-A083-4F0E-8E76-EAD8A028E74F}"/>
    <cellStyle name="SAPBEXexcGood1 3 11" xfId="16886" xr:uid="{AAB0BFC3-94F2-40CC-A8D6-2BF7D51BE071}"/>
    <cellStyle name="SAPBEXexcGood1 3 11 2" xfId="32033" xr:uid="{72A319D6-6977-42AB-A76B-A759249AC7C7}"/>
    <cellStyle name="SAPBEXexcGood1 3 12" xfId="16887" xr:uid="{5B329D89-E758-4218-B14A-E104FAEEC96F}"/>
    <cellStyle name="SAPBEXexcGood1 3 12 2" xfId="32034" xr:uid="{58C4C6B6-D9D6-439C-8056-F78DE6E4A4EE}"/>
    <cellStyle name="SAPBEXexcGood1 3 13" xfId="16888" xr:uid="{77F6F65D-8B4D-453E-A7EE-9BDF6CD50242}"/>
    <cellStyle name="SAPBEXexcGood1 3 13 2" xfId="32035" xr:uid="{1B0B325C-36BA-43A6-8596-3522B8C6636C}"/>
    <cellStyle name="SAPBEXexcGood1 3 14" xfId="16889" xr:uid="{33CC8A53-184E-400B-9098-C36FA55EDC5D}"/>
    <cellStyle name="SAPBEXexcGood1 3 14 2" xfId="32036" xr:uid="{27B9DC2F-DA11-4657-A5BA-C7B3AD9A9366}"/>
    <cellStyle name="SAPBEXexcGood1 3 15" xfId="16890" xr:uid="{5E1301F4-F66E-4CE7-A519-8379A416A33A}"/>
    <cellStyle name="SAPBEXexcGood1 3 15 2" xfId="32037" xr:uid="{CFF53DDC-19D0-4AED-BC69-B326EB340B96}"/>
    <cellStyle name="SAPBEXexcGood1 3 16" xfId="16891" xr:uid="{76173363-A546-4288-AF12-59C80EEA9FD5}"/>
    <cellStyle name="SAPBEXexcGood1 3 16 2" xfId="32038" xr:uid="{5557CD39-961E-4ACD-9D8C-10C01BAFF81C}"/>
    <cellStyle name="SAPBEXexcGood1 3 17" xfId="16892" xr:uid="{FCBBC6CB-A691-412C-85A3-CA2340F4B414}"/>
    <cellStyle name="SAPBEXexcGood1 3 17 2" xfId="32039" xr:uid="{B128E5F1-2E50-40F4-B34D-DF70783C9AF0}"/>
    <cellStyle name="SAPBEXexcGood1 3 18" xfId="16893" xr:uid="{BDF1F5C5-383B-48A0-9305-44CB2910BF11}"/>
    <cellStyle name="SAPBEXexcGood1 3 18 2" xfId="32040" xr:uid="{3FFDBEF4-8957-45B4-B4ED-6AC13C7FCC1D}"/>
    <cellStyle name="SAPBEXexcGood1 3 19" xfId="32031" xr:uid="{26D4A29D-44AD-4486-BDFF-75C7CCA48FFD}"/>
    <cellStyle name="SAPBEXexcGood1 3 2" xfId="16894" xr:uid="{9BF04068-A781-4D2A-B3EC-43BB0395D6EC}"/>
    <cellStyle name="SAPBEXexcGood1 3 2 10" xfId="16895" xr:uid="{EAD4CB41-0863-4AC2-8B96-802547B8443F}"/>
    <cellStyle name="SAPBEXexcGood1 3 2 10 2" xfId="32042" xr:uid="{510A81E8-CB7F-4A95-9901-3F51B38B3256}"/>
    <cellStyle name="SAPBEXexcGood1 3 2 11" xfId="16896" xr:uid="{1A7C1980-BB95-487D-B288-862D334B22D3}"/>
    <cellStyle name="SAPBEXexcGood1 3 2 11 2" xfId="32043" xr:uid="{23AB887E-CDF0-4FC0-B45E-7B62F8FEC985}"/>
    <cellStyle name="SAPBEXexcGood1 3 2 12" xfId="16897" xr:uid="{11BB1FF5-3626-45A2-A66B-AF5408F14A23}"/>
    <cellStyle name="SAPBEXexcGood1 3 2 12 2" xfId="32044" xr:uid="{EB3CF7B0-9F50-4E91-9223-D62C1C9CF640}"/>
    <cellStyle name="SAPBEXexcGood1 3 2 13" xfId="16898" xr:uid="{FDAC5F82-A7C3-4D16-90A1-46730B793A22}"/>
    <cellStyle name="SAPBEXexcGood1 3 2 13 2" xfId="32045" xr:uid="{4159AE5A-C97D-4AF7-9132-B7346EFF25F1}"/>
    <cellStyle name="SAPBEXexcGood1 3 2 14" xfId="16899" xr:uid="{6283D1AF-7958-4A20-93DC-84A079CA77E7}"/>
    <cellStyle name="SAPBEXexcGood1 3 2 14 2" xfId="32046" xr:uid="{38436CE2-8D15-4A67-9343-15CC86D01D26}"/>
    <cellStyle name="SAPBEXexcGood1 3 2 15" xfId="32041" xr:uid="{02E36247-9ED8-4B89-9940-AD1324C30CE2}"/>
    <cellStyle name="SAPBEXexcGood1 3 2 2" xfId="16900" xr:uid="{A0D2D9B0-C0F7-4FCF-8485-18E84954BEF4}"/>
    <cellStyle name="SAPBEXexcGood1 3 2 2 2" xfId="32047" xr:uid="{111BB5BB-39C4-49E0-80D8-E745AE27E987}"/>
    <cellStyle name="SAPBEXexcGood1 3 2 3" xfId="16901" xr:uid="{BAC72134-5B85-4D43-AA2C-E9F7C343C1D6}"/>
    <cellStyle name="SAPBEXexcGood1 3 2 3 2" xfId="32048" xr:uid="{72DFDE8B-1D5A-4A1A-87FA-A3F84DA83A09}"/>
    <cellStyle name="SAPBEXexcGood1 3 2 4" xfId="16902" xr:uid="{2DC753DD-9D0B-470D-8E1D-A1F675D2B9A4}"/>
    <cellStyle name="SAPBEXexcGood1 3 2 4 2" xfId="32049" xr:uid="{C952D05C-BB3A-4CD5-AED0-301B7EF3C9E0}"/>
    <cellStyle name="SAPBEXexcGood1 3 2 5" xfId="16903" xr:uid="{2019A0FD-1D63-4649-9E38-15BA4026511C}"/>
    <cellStyle name="SAPBEXexcGood1 3 2 5 2" xfId="32050" xr:uid="{E556EA5B-0E88-4356-B093-9F89E98E4231}"/>
    <cellStyle name="SAPBEXexcGood1 3 2 6" xfId="16904" xr:uid="{985623F0-8A2C-4D93-B14C-FB24E60AEFAE}"/>
    <cellStyle name="SAPBEXexcGood1 3 2 6 2" xfId="32051" xr:uid="{202BB041-FBC4-4E45-BFF6-A8063A0A5030}"/>
    <cellStyle name="SAPBEXexcGood1 3 2 7" xfId="16905" xr:uid="{6FC29E08-C7F3-454D-BF55-04295EE8726D}"/>
    <cellStyle name="SAPBEXexcGood1 3 2 7 2" xfId="32052" xr:uid="{1B7B49BE-1311-48E1-8FDB-16D3A6439E83}"/>
    <cellStyle name="SAPBEXexcGood1 3 2 8" xfId="16906" xr:uid="{72DBC1FA-DE3C-4A56-8FAB-4419D0FA0A77}"/>
    <cellStyle name="SAPBEXexcGood1 3 2 8 2" xfId="32053" xr:uid="{34884EFA-8174-48D0-9380-BAF0B839E87C}"/>
    <cellStyle name="SAPBEXexcGood1 3 2 9" xfId="16907" xr:uid="{9F090155-E1F4-4720-B9D4-3ADC80F2E7C9}"/>
    <cellStyle name="SAPBEXexcGood1 3 2 9 2" xfId="32054" xr:uid="{17901028-65AC-4397-8E31-5B78EDFD4AB1}"/>
    <cellStyle name="SAPBEXexcGood1 3 3" xfId="16908" xr:uid="{0520B535-4B0A-4C8B-BB75-F6918586CA61}"/>
    <cellStyle name="SAPBEXexcGood1 3 3 2" xfId="32055" xr:uid="{78C3DBA1-088C-41FB-96CF-B2F8235C723B}"/>
    <cellStyle name="SAPBEXexcGood1 3 4" xfId="16909" xr:uid="{AE031A07-022D-4EC1-8CAE-082C97D440A3}"/>
    <cellStyle name="SAPBEXexcGood1 3 4 2" xfId="32056" xr:uid="{3FCD554E-4E8C-4F1D-9749-FB8D93A3258E}"/>
    <cellStyle name="SAPBEXexcGood1 3 5" xfId="16910" xr:uid="{3685FB96-C1BA-4DFC-8FCB-7F50A07EE954}"/>
    <cellStyle name="SAPBEXexcGood1 3 5 2" xfId="32063" xr:uid="{5B2F2A8E-8834-49BF-A41D-5119B67F3004}"/>
    <cellStyle name="SAPBEXexcGood1 3 6" xfId="16911" xr:uid="{B2F77B21-F4BB-4911-B9E3-34CD64530EDE}"/>
    <cellStyle name="SAPBEXexcGood1 3 6 2" xfId="32057" xr:uid="{38F271B2-EF68-42D6-A45E-F51851718BBD}"/>
    <cellStyle name="SAPBEXexcGood1 3 7" xfId="16912" xr:uid="{7CB2468E-91AE-4D6E-9639-ACDF466FC709}"/>
    <cellStyle name="SAPBEXexcGood1 3 7 2" xfId="32058" xr:uid="{D4D7FD80-0FDA-4833-AF66-3769A67ED3FF}"/>
    <cellStyle name="SAPBEXexcGood1 3 8" xfId="16913" xr:uid="{44F6FC53-9AD8-4D01-A6EC-7F5177BA16D9}"/>
    <cellStyle name="SAPBEXexcGood1 3 8 2" xfId="32059" xr:uid="{1EE7888B-57C6-4AB7-9253-9033D6E31CDC}"/>
    <cellStyle name="SAPBEXexcGood1 3 9" xfId="16914" xr:uid="{FA1FE3E5-05BE-430D-A7D7-0FADDB9455B1}"/>
    <cellStyle name="SAPBEXexcGood1 3 9 2" xfId="32060" xr:uid="{BC140EA3-EACE-4A0F-BF82-6B7C1D9A7BF6}"/>
    <cellStyle name="SAPBEXexcGood1 4" xfId="16915" xr:uid="{548E4335-FCFB-4062-A45D-3F855743508B}"/>
    <cellStyle name="SAPBEXexcGood1 4 10" xfId="16916" xr:uid="{69134678-657B-43E4-9C76-CABF01F89837}"/>
    <cellStyle name="SAPBEXexcGood1 4 10 2" xfId="32062" xr:uid="{14DFE9F6-0DF9-46DE-858C-374B29B64DD0}"/>
    <cellStyle name="SAPBEXexcGood1 4 11" xfId="16917" xr:uid="{ABA36D2A-441E-4D5F-97FA-3EEC536BBA12}"/>
    <cellStyle name="SAPBEXexcGood1 4 11 2" xfId="32070" xr:uid="{4FBC4C9B-F156-4FDE-A83E-6CB37D0702FA}"/>
    <cellStyle name="SAPBEXexcGood1 4 12" xfId="16918" xr:uid="{FA606FF9-34D6-41AE-84CF-2F8E42B4605D}"/>
    <cellStyle name="SAPBEXexcGood1 4 12 2" xfId="32064" xr:uid="{6FF2F352-4031-471F-8C3E-32A422C53331}"/>
    <cellStyle name="SAPBEXexcGood1 4 13" xfId="16919" xr:uid="{E8D370AA-2FC5-45B9-941F-CF3635C145FF}"/>
    <cellStyle name="SAPBEXexcGood1 4 13 2" xfId="32065" xr:uid="{67F5F1BC-CE62-475A-896C-FDB2AC919242}"/>
    <cellStyle name="SAPBEXexcGood1 4 14" xfId="16920" xr:uid="{100B27FB-DB5F-4152-8A5A-F2554A9F0E26}"/>
    <cellStyle name="SAPBEXexcGood1 4 14 2" xfId="32066" xr:uid="{7DC85D2C-7694-46E9-BE3D-E5A044B70CC1}"/>
    <cellStyle name="SAPBEXexcGood1 4 15" xfId="32061" xr:uid="{F80C1B65-8C50-46A4-93AD-768B1B109B94}"/>
    <cellStyle name="SAPBEXexcGood1 4 2" xfId="16921" xr:uid="{4C4F5087-0214-41A9-8B0D-5014E4F8745F}"/>
    <cellStyle name="SAPBEXexcGood1 4 2 2" xfId="32067" xr:uid="{B21888C5-F1E6-4CBE-A853-00AFAC12E1AE}"/>
    <cellStyle name="SAPBEXexcGood1 4 3" xfId="16922" xr:uid="{0F855933-7203-4875-A8CF-5CC4D88693E6}"/>
    <cellStyle name="SAPBEXexcGood1 4 3 2" xfId="32068" xr:uid="{D6F690D0-EDEF-4F38-AF4E-EDFD73825787}"/>
    <cellStyle name="SAPBEXexcGood1 4 4" xfId="16923" xr:uid="{69F28A8A-55E6-4C90-9D34-DEECFA0345CD}"/>
    <cellStyle name="SAPBEXexcGood1 4 4 2" xfId="32069" xr:uid="{CD97AB4E-BD87-494A-90C8-39FA44A8B9AC}"/>
    <cellStyle name="SAPBEXexcGood1 4 5" xfId="16924" xr:uid="{563F9635-66D2-4965-8363-6F86A75EB5F9}"/>
    <cellStyle name="SAPBEXexcGood1 4 5 2" xfId="32077" xr:uid="{4DA675E6-799A-4280-BEE7-B77B17A7C913}"/>
    <cellStyle name="SAPBEXexcGood1 4 6" xfId="16925" xr:uid="{C0D963F2-B033-4F8D-AEE4-A0866FE036C9}"/>
    <cellStyle name="SAPBEXexcGood1 4 6 2" xfId="32071" xr:uid="{39C021C1-80CF-41C9-BA5B-C5DA7F05AD6A}"/>
    <cellStyle name="SAPBEXexcGood1 4 7" xfId="16926" xr:uid="{4CFE1636-FBF8-4067-9103-7FC9F63072D9}"/>
    <cellStyle name="SAPBEXexcGood1 4 7 2" xfId="32072" xr:uid="{BD0D56E3-62CE-4B41-8681-D3B9C17D2119}"/>
    <cellStyle name="SAPBEXexcGood1 4 8" xfId="16927" xr:uid="{48BF5DEF-2CC6-4028-95B1-7CC9ECA84953}"/>
    <cellStyle name="SAPBEXexcGood1 4 8 2" xfId="32073" xr:uid="{1DA22473-EA21-4EA3-9645-B8E6B98B13C8}"/>
    <cellStyle name="SAPBEXexcGood1 4 9" xfId="16928" xr:uid="{64DE9F35-9DE9-4C17-A9C6-77D829D8C9C5}"/>
    <cellStyle name="SAPBEXexcGood1 4 9 2" xfId="32074" xr:uid="{BD517419-3408-4794-818D-7F97E6CC1BEE}"/>
    <cellStyle name="SAPBEXexcGood1 5" xfId="16929" xr:uid="{5463A064-5B7A-4680-8819-95575F9EC57E}"/>
    <cellStyle name="SAPBEXexcGood1 5 2" xfId="32075" xr:uid="{95689895-3E45-455C-BEEA-317781320D08}"/>
    <cellStyle name="SAPBEXexcGood1 6" xfId="16930" xr:uid="{FBD7096D-425D-4AB3-87A6-2261041BECA1}"/>
    <cellStyle name="SAPBEXexcGood1 6 2" xfId="32076" xr:uid="{D62538C8-379F-42DC-96AD-7CDC3F11F868}"/>
    <cellStyle name="SAPBEXexcGood1 7" xfId="16931" xr:uid="{A0AAAEE9-62E5-452F-A0A0-8E6FFD6586E8}"/>
    <cellStyle name="SAPBEXexcGood1 7 2" xfId="32084" xr:uid="{C0AC2888-601A-4348-8122-886F15087C4B}"/>
    <cellStyle name="SAPBEXexcGood1 8" xfId="16932" xr:uid="{B46A9531-FB86-4E43-9FD4-ABB92371BB6A}"/>
    <cellStyle name="SAPBEXexcGood1 8 2" xfId="32078" xr:uid="{6DD16E75-EC86-4DB9-A10C-2F45A490F23E}"/>
    <cellStyle name="SAPBEXexcGood1 9" xfId="16933" xr:uid="{A27A06CE-E28D-4392-A6F5-AF5F62619798}"/>
    <cellStyle name="SAPBEXexcGood1 9 2" xfId="32079" xr:uid="{8A011E53-121E-445E-86AC-8DC28BF62E55}"/>
    <cellStyle name="SAPBEXexcGood2" xfId="16934" xr:uid="{17987E6F-8C4E-46B0-ADB3-7A0A75C54EB7}"/>
    <cellStyle name="SAPBEXexcGood2 10" xfId="16935" xr:uid="{37FDCC06-DD6A-4018-B6D6-236FBF33D3CC}"/>
    <cellStyle name="SAPBEXexcGood2 10 2" xfId="32081" xr:uid="{1CDD46F7-F743-4DA3-B0DC-E67174047D95}"/>
    <cellStyle name="SAPBEXexcGood2 11" xfId="16936" xr:uid="{26ABAA45-F8A1-4131-907C-E1CDD6245A41}"/>
    <cellStyle name="SAPBEXexcGood2 11 2" xfId="32082" xr:uid="{5744667D-B7C4-44FB-B28A-B7013AE531FB}"/>
    <cellStyle name="SAPBEXexcGood2 12" xfId="16937" xr:uid="{F759AE79-46E7-417A-8341-10FC6A97F02B}"/>
    <cellStyle name="SAPBEXexcGood2 12 2" xfId="32083" xr:uid="{DF7DC17A-AA5C-4F8E-AF74-CB337D5A313A}"/>
    <cellStyle name="SAPBEXexcGood2 13" xfId="16938" xr:uid="{8C834576-B2B8-44DA-A303-EE6016BA8580}"/>
    <cellStyle name="SAPBEXexcGood2 13 2" xfId="32091" xr:uid="{BF82AF3D-3B48-4E50-A289-D67A5406DE18}"/>
    <cellStyle name="SAPBEXexcGood2 14" xfId="16939" xr:uid="{3729AC22-1C58-442B-ABFC-5EC2FAE022E2}"/>
    <cellStyle name="SAPBEXexcGood2 14 2" xfId="32085" xr:uid="{816B8BD3-3E21-4588-983B-C4B8BBE6C493}"/>
    <cellStyle name="SAPBEXexcGood2 15" xfId="16940" xr:uid="{0AA9EC03-8809-4591-8B0B-337E97F798B9}"/>
    <cellStyle name="SAPBEXexcGood2 15 2" xfId="32086" xr:uid="{B2A7060B-73DA-4F94-A9DE-D7B20A040464}"/>
    <cellStyle name="SAPBEXexcGood2 16" xfId="16941" xr:uid="{7494D8EB-5ACE-4B55-A0BD-A38800F642AD}"/>
    <cellStyle name="SAPBEXexcGood2 16 2" xfId="32087" xr:uid="{EC44B2EF-0C4E-437E-86C4-B6C7FB2FD652}"/>
    <cellStyle name="SAPBEXexcGood2 17" xfId="16942" xr:uid="{AA410C9B-D8EF-4B35-BEDA-AEF788541BDE}"/>
    <cellStyle name="SAPBEXexcGood2 17 2" xfId="32088" xr:uid="{FEA266C9-8C01-428E-86FF-A764636A2A16}"/>
    <cellStyle name="SAPBEXexcGood2 18" xfId="16943" xr:uid="{609A672D-E244-41FC-B033-C374D40C3737}"/>
    <cellStyle name="SAPBEXexcGood2 18 2" xfId="32089" xr:uid="{227607C0-4099-47E7-B928-2F40945DFA90}"/>
    <cellStyle name="SAPBEXexcGood2 19" xfId="16944" xr:uid="{D3C3D528-E47D-4851-9C2F-E8E7129B3A60}"/>
    <cellStyle name="SAPBEXexcGood2 19 2" xfId="32090" xr:uid="{E8776F5D-9D5B-439E-90B0-0FF8BF6145EB}"/>
    <cellStyle name="SAPBEXexcGood2 2" xfId="16945" xr:uid="{60992F65-FC71-49D2-ADF9-61819CC92195}"/>
    <cellStyle name="SAPBEXexcGood2 2 10" xfId="16946" xr:uid="{F976FF7C-5D9A-45DE-8927-AD4B4D9F6AA6}"/>
    <cellStyle name="SAPBEXexcGood2 2 10 2" xfId="32092" xr:uid="{DC48ABFA-8C00-4461-A742-7127158E3E2A}"/>
    <cellStyle name="SAPBEXexcGood2 2 11" xfId="16947" xr:uid="{C3D6E2F1-8871-4411-A689-F4653F0D1EE0}"/>
    <cellStyle name="SAPBEXexcGood2 2 11 2" xfId="32093" xr:uid="{0890510D-D427-4990-BC32-7A96F2A78BFD}"/>
    <cellStyle name="SAPBEXexcGood2 2 12" xfId="16948" xr:uid="{6E57382E-E944-4A0E-9669-2B23032E46FB}"/>
    <cellStyle name="SAPBEXexcGood2 2 12 2" xfId="32094" xr:uid="{2C3433F8-3CF3-429B-9A1C-12A618534CC1}"/>
    <cellStyle name="SAPBEXexcGood2 2 13" xfId="16949" xr:uid="{867D88D2-8B2A-463E-8F3D-994DFB00C1C3}"/>
    <cellStyle name="SAPBEXexcGood2 2 13 2" xfId="32095" xr:uid="{1B320B49-D4B0-481B-AD4E-2248B778C976}"/>
    <cellStyle name="SAPBEXexcGood2 2 14" xfId="16950" xr:uid="{7BFDEF1E-C7AD-429C-B74C-C1190200942C}"/>
    <cellStyle name="SAPBEXexcGood2 2 14 2" xfId="32096" xr:uid="{0D75AEA5-FCAD-4027-A1E1-2AEE90525901}"/>
    <cellStyle name="SAPBEXexcGood2 2 15" xfId="16951" xr:uid="{7EF2DC2C-F19D-4324-BDCD-188757B8260F}"/>
    <cellStyle name="SAPBEXexcGood2 2 15 2" xfId="32097" xr:uid="{34596B62-DC9A-483B-99ED-7797F38BE2B0}"/>
    <cellStyle name="SAPBEXexcGood2 2 16" xfId="16952" xr:uid="{826DCC56-ACFF-4E40-B07D-669C4EA897FA}"/>
    <cellStyle name="SAPBEXexcGood2 2 16 2" xfId="32099" xr:uid="{F5AE270D-0C70-41D4-8A64-F6903CA022EF}"/>
    <cellStyle name="SAPBEXexcGood2 2 17" xfId="16953" xr:uid="{BA6D12D0-C022-4142-911D-0A6E8A888297}"/>
    <cellStyle name="SAPBEXexcGood2 2 17 2" xfId="32100" xr:uid="{BF0293CF-5D5B-4016-B294-8C35909548D0}"/>
    <cellStyle name="SAPBEXexcGood2 2 18" xfId="16954" xr:uid="{046DA9EB-536D-4EA3-9E99-076893A1263D}"/>
    <cellStyle name="SAPBEXexcGood2 2 18 2" xfId="32101" xr:uid="{315757B2-9C0C-4EF8-BE52-EEAD1D0A553F}"/>
    <cellStyle name="SAPBEXexcGood2 2 19" xfId="16955" xr:uid="{29C9865A-17D9-4605-8395-178867130549}"/>
    <cellStyle name="SAPBEXexcGood2 2 19 2" xfId="32102" xr:uid="{0DCAAC11-034C-4C2E-8932-BBBA9719E7AD}"/>
    <cellStyle name="SAPBEXexcGood2 2 2" xfId="16956" xr:uid="{9AD5071E-7F28-403A-8C80-FAC8165E95BD}"/>
    <cellStyle name="SAPBEXexcGood2 2 2 10" xfId="16957" xr:uid="{CCFDFC56-A9CE-4FFB-B0FB-FD095CE029FD}"/>
    <cellStyle name="SAPBEXexcGood2 2 2 10 2" xfId="32104" xr:uid="{8B0048E1-816B-4C08-89F0-CD8EBDCD4255}"/>
    <cellStyle name="SAPBEXexcGood2 2 2 11" xfId="16958" xr:uid="{99F4DE34-8373-4A51-B796-50B868E40DC4}"/>
    <cellStyle name="SAPBEXexcGood2 2 2 11 2" xfId="27499" xr:uid="{16754331-4B77-4311-B0DA-3003FD749B69}"/>
    <cellStyle name="SAPBEXexcGood2 2 2 12" xfId="16959" xr:uid="{DAD673CF-A2EA-4C24-95FD-FAE6A98CAA25}"/>
    <cellStyle name="SAPBEXexcGood2 2 2 12 2" xfId="32105" xr:uid="{7F2D2169-F572-4471-9103-CEBBDA84250B}"/>
    <cellStyle name="SAPBEXexcGood2 2 2 13" xfId="16960" xr:uid="{3EAB4683-656A-45CB-B63E-3ECCE3763F43}"/>
    <cellStyle name="SAPBEXexcGood2 2 2 13 2" xfId="27500" xr:uid="{E69BF91A-0716-4FDD-A424-0B9708B2347D}"/>
    <cellStyle name="SAPBEXexcGood2 2 2 14" xfId="16961" xr:uid="{5B2112AD-7CC2-4AFB-A684-A3FA9038909E}"/>
    <cellStyle name="SAPBEXexcGood2 2 2 14 2" xfId="32106" xr:uid="{335B5FBC-C462-46AB-820C-F35355E6D84B}"/>
    <cellStyle name="SAPBEXexcGood2 2 2 15" xfId="16962" xr:uid="{BDD4C937-5343-4024-A311-4CB28282BF9D}"/>
    <cellStyle name="SAPBEXexcGood2 2 2 15 2" xfId="32107" xr:uid="{CFB7DB11-A4EB-4272-987A-247D7A16A782}"/>
    <cellStyle name="SAPBEXexcGood2 2 2 16" xfId="16963" xr:uid="{4B32F852-EA81-481C-AADB-77EF785C55B3}"/>
    <cellStyle name="SAPBEXexcGood2 2 2 16 2" xfId="27501" xr:uid="{6017AD72-39E1-4391-AC10-922477323F07}"/>
    <cellStyle name="SAPBEXexcGood2 2 2 17" xfId="16964" xr:uid="{27D02141-13B2-4CCB-BF58-95CB0D02407F}"/>
    <cellStyle name="SAPBEXexcGood2 2 2 17 2" xfId="32108" xr:uid="{E32FD549-C9B0-4E94-AAF8-15512CE4972E}"/>
    <cellStyle name="SAPBEXexcGood2 2 2 18" xfId="16965" xr:uid="{AA2DD06E-D9F7-4ED5-92FF-801F709EC706}"/>
    <cellStyle name="SAPBEXexcGood2 2 2 18 2" xfId="32109" xr:uid="{F804363C-9EEF-43F3-BFC2-3D1F9E0874B6}"/>
    <cellStyle name="SAPBEXexcGood2 2 2 19" xfId="32103" xr:uid="{0F690AA5-A728-40E6-9651-822947B7A3A6}"/>
    <cellStyle name="SAPBEXexcGood2 2 2 2" xfId="16966" xr:uid="{B89A4FAA-F63C-463A-9B3C-6B110C5A09F4}"/>
    <cellStyle name="SAPBEXexcGood2 2 2 2 10" xfId="16967" xr:uid="{197DF9B8-4D65-4B31-968A-3455EE1639BB}"/>
    <cellStyle name="SAPBEXexcGood2 2 2 2 10 2" xfId="32111" xr:uid="{A2031255-0451-4E94-A7EC-A23EDCB0258D}"/>
    <cellStyle name="SAPBEXexcGood2 2 2 2 11" xfId="16968" xr:uid="{3E8FEEF9-3AE1-452D-9AEB-2C950E83EBB0}"/>
    <cellStyle name="SAPBEXexcGood2 2 2 2 11 2" xfId="27502" xr:uid="{77CF3BF9-630B-4F73-8FF0-4DF777E19049}"/>
    <cellStyle name="SAPBEXexcGood2 2 2 2 12" xfId="16969" xr:uid="{6F344C52-0888-4AAA-A40C-2F27BB496F9B}"/>
    <cellStyle name="SAPBEXexcGood2 2 2 2 12 2" xfId="32112" xr:uid="{7499F19D-5AB4-47A3-AB09-7BB634BA27E3}"/>
    <cellStyle name="SAPBEXexcGood2 2 2 2 13" xfId="16970" xr:uid="{CFE21B5A-26FD-4A93-9D8F-AC26BCB51016}"/>
    <cellStyle name="SAPBEXexcGood2 2 2 2 13 2" xfId="27503" xr:uid="{FEC63E84-CCC4-4149-A07A-6AFB06DDE94F}"/>
    <cellStyle name="SAPBEXexcGood2 2 2 2 14" xfId="16971" xr:uid="{97A4FE65-1CBD-4E85-B154-FD703035433B}"/>
    <cellStyle name="SAPBEXexcGood2 2 2 2 14 2" xfId="32113" xr:uid="{D78A60BA-B28D-429C-BD30-A7D425CA6C99}"/>
    <cellStyle name="SAPBEXexcGood2 2 2 2 15" xfId="32110" xr:uid="{9CAA6948-CA92-4C6E-90C0-A2038A9A80E3}"/>
    <cellStyle name="SAPBEXexcGood2 2 2 2 2" xfId="16972" xr:uid="{448D3E7E-F0D1-4A67-B609-1427C4291036}"/>
    <cellStyle name="SAPBEXexcGood2 2 2 2 2 2" xfId="32114" xr:uid="{DA9F5873-B72A-4568-99E9-E9B0215DEC8B}"/>
    <cellStyle name="SAPBEXexcGood2 2 2 2 3" xfId="16973" xr:uid="{922890BA-E199-4D96-94D6-CE6E24423E4D}"/>
    <cellStyle name="SAPBEXexcGood2 2 2 2 3 2" xfId="27504" xr:uid="{B5CCD69F-736E-4CB9-B3C9-4EA8AF1FA7E2}"/>
    <cellStyle name="SAPBEXexcGood2 2 2 2 4" xfId="16974" xr:uid="{30BD8256-A6DC-4B27-AB9B-0FCA6A989F02}"/>
    <cellStyle name="SAPBEXexcGood2 2 2 2 4 2" xfId="32115" xr:uid="{A3E69F8C-1842-4F4A-8CD4-FF0A91610AC1}"/>
    <cellStyle name="SAPBEXexcGood2 2 2 2 5" xfId="16975" xr:uid="{45F5DC1D-5F32-42A1-9F20-C261C61F8CC5}"/>
    <cellStyle name="SAPBEXexcGood2 2 2 2 5 2" xfId="32116" xr:uid="{81EB1A24-E8CE-4B8C-A964-1734898B5B55}"/>
    <cellStyle name="SAPBEXexcGood2 2 2 2 6" xfId="16976" xr:uid="{3FFB19E9-21E2-427C-AEF6-3F9A596C9E9F}"/>
    <cellStyle name="SAPBEXexcGood2 2 2 2 6 2" xfId="32117" xr:uid="{B1E8F7BD-AB0D-4299-8972-789FAEC478DB}"/>
    <cellStyle name="SAPBEXexcGood2 2 2 2 7" xfId="16977" xr:uid="{8C1A36FC-20CC-4EB5-8540-F47FD084681F}"/>
    <cellStyle name="SAPBEXexcGood2 2 2 2 7 2" xfId="32118" xr:uid="{15C72C68-883C-4B8B-B2E7-BB9B864E3E12}"/>
    <cellStyle name="SAPBEXexcGood2 2 2 2 8" xfId="16978" xr:uid="{339BD530-80D4-431E-8A9D-1B6E9AD4CEA0}"/>
    <cellStyle name="SAPBEXexcGood2 2 2 2 8 2" xfId="27505" xr:uid="{A5D9A9E4-355E-4BCC-B556-5A7A655FDC79}"/>
    <cellStyle name="SAPBEXexcGood2 2 2 2 9" xfId="16979" xr:uid="{8E554516-141F-481C-87FD-73B50161CEDB}"/>
    <cellStyle name="SAPBEXexcGood2 2 2 2 9 2" xfId="32119" xr:uid="{858F03AB-DF6C-497F-A370-E9052812ACED}"/>
    <cellStyle name="SAPBEXexcGood2 2 2 3" xfId="16980" xr:uid="{773A1020-2823-4C6B-8385-9E0FDD7664AA}"/>
    <cellStyle name="SAPBEXexcGood2 2 2 3 2" xfId="27506" xr:uid="{D121C324-36BF-4E03-9F31-C5805E6ED875}"/>
    <cellStyle name="SAPBEXexcGood2 2 2 4" xfId="16981" xr:uid="{7A347F93-6ED0-4955-B0F0-2F2F9A83946E}"/>
    <cellStyle name="SAPBEXexcGood2 2 2 4 2" xfId="32120" xr:uid="{9B283B7B-F44F-4187-839B-013DFED4633C}"/>
    <cellStyle name="SAPBEXexcGood2 2 2 5" xfId="16982" xr:uid="{FA3B0D69-3D11-4A87-95E9-B86D46750D48}"/>
    <cellStyle name="SAPBEXexcGood2 2 2 5 2" xfId="32121" xr:uid="{F09FFF39-0E4F-4A64-B3C4-BEE094CA2907}"/>
    <cellStyle name="SAPBEXexcGood2 2 2 6" xfId="16983" xr:uid="{032AD293-4917-412E-ABD6-7583983F46A7}"/>
    <cellStyle name="SAPBEXexcGood2 2 2 6 2" xfId="27507" xr:uid="{DFE6573D-5A62-4D13-9858-075F66DE239F}"/>
    <cellStyle name="SAPBEXexcGood2 2 2 7" xfId="16984" xr:uid="{D15D10C7-AA93-4946-BA74-274877F8E94A}"/>
    <cellStyle name="SAPBEXexcGood2 2 2 7 2" xfId="32122" xr:uid="{83DD30E3-338D-4184-8818-D037FC3AE3BA}"/>
    <cellStyle name="SAPBEXexcGood2 2 2 8" xfId="16985" xr:uid="{5E216532-4E6A-4C5E-9D16-CD1886AAB332}"/>
    <cellStyle name="SAPBEXexcGood2 2 2 8 2" xfId="32123" xr:uid="{8D9983DC-875B-4E49-811A-394A62DA8858}"/>
    <cellStyle name="SAPBEXexcGood2 2 2 9" xfId="16986" xr:uid="{4CA80EA7-B309-4F8D-99A6-22E1417CE16C}"/>
    <cellStyle name="SAPBEXexcGood2 2 2 9 2" xfId="32124" xr:uid="{5149DDBE-BB4C-49E9-87E7-D6DEAF2A77D1}"/>
    <cellStyle name="SAPBEXexcGood2 2 20" xfId="32098" xr:uid="{153AE647-0413-4A01-B971-B2AB6A07130B}"/>
    <cellStyle name="SAPBEXexcGood2 2 3" xfId="16987" xr:uid="{60A6C5F7-67D9-4D25-8F5C-E2B62C7E2007}"/>
    <cellStyle name="SAPBEXexcGood2 2 3 10" xfId="16988" xr:uid="{2A0410DF-57BB-46AA-87B0-82189C27FC45}"/>
    <cellStyle name="SAPBEXexcGood2 2 3 10 2" xfId="27508" xr:uid="{02DE1621-482C-47E4-9B87-B684E7A9084B}"/>
    <cellStyle name="SAPBEXexcGood2 2 3 11" xfId="16989" xr:uid="{4FE18365-353D-48B0-9695-C4FE0A4A9B9E}"/>
    <cellStyle name="SAPBEXexcGood2 2 3 11 2" xfId="32126" xr:uid="{F3E7FF85-B149-4320-A718-29A4713E2D31}"/>
    <cellStyle name="SAPBEXexcGood2 2 3 12" xfId="16990" xr:uid="{12C6C398-A379-4FDA-A0EC-B9FADA47915F}"/>
    <cellStyle name="SAPBEXexcGood2 2 3 12 2" xfId="27509" xr:uid="{1FC0DD6A-5B73-4B00-B636-002C1607F87E}"/>
    <cellStyle name="SAPBEXexcGood2 2 3 13" xfId="16991" xr:uid="{73019667-70CC-42DF-8EBF-978B87458442}"/>
    <cellStyle name="SAPBEXexcGood2 2 3 13 2" xfId="32127" xr:uid="{9106C303-82DF-49B0-AA4C-32EDE40CF168}"/>
    <cellStyle name="SAPBEXexcGood2 2 3 14" xfId="16992" xr:uid="{EC9A154E-3AD6-4494-9CF2-510130150B7F}"/>
    <cellStyle name="SAPBEXexcGood2 2 3 14 2" xfId="32128" xr:uid="{EB984586-4984-40EF-B3A0-305C6F766753}"/>
    <cellStyle name="SAPBEXexcGood2 2 3 15" xfId="32125" xr:uid="{7698E9C2-1CE6-4FAB-A752-4EF0D200B36C}"/>
    <cellStyle name="SAPBEXexcGood2 2 3 2" xfId="16993" xr:uid="{64382B9F-BC84-40B1-BDB0-1402D8DA578A}"/>
    <cellStyle name="SAPBEXexcGood2 2 3 2 2" xfId="27510" xr:uid="{63222D54-24E4-45F5-9A94-D082A4C1FC40}"/>
    <cellStyle name="SAPBEXexcGood2 2 3 3" xfId="16994" xr:uid="{7720188E-A55F-431E-9B8B-D2BC89C15BE1}"/>
    <cellStyle name="SAPBEXexcGood2 2 3 3 2" xfId="32129" xr:uid="{4563DF32-8F0F-458F-BFC0-2C4994A049D2}"/>
    <cellStyle name="SAPBEXexcGood2 2 3 4" xfId="16995" xr:uid="{41162C50-3911-463C-B466-3B165A1E9AA7}"/>
    <cellStyle name="SAPBEXexcGood2 2 3 4 2" xfId="32130" xr:uid="{5B50D03A-F447-4ED6-85D5-5016D2537F70}"/>
    <cellStyle name="SAPBEXexcGood2 2 3 5" xfId="16996" xr:uid="{C2768F17-1D28-4CB4-B14B-EAA13096ADCD}"/>
    <cellStyle name="SAPBEXexcGood2 2 3 5 2" xfId="32131" xr:uid="{CF83283A-A27A-4B1E-A615-FF5613377CD9}"/>
    <cellStyle name="SAPBEXexcGood2 2 3 6" xfId="16997" xr:uid="{655BD6A5-33BF-477D-B995-CE14C538786B}"/>
    <cellStyle name="SAPBEXexcGood2 2 3 6 2" xfId="32132" xr:uid="{2F926F60-37D7-4869-A269-79E349487D8B}"/>
    <cellStyle name="SAPBEXexcGood2 2 3 7" xfId="16998" xr:uid="{E26B1137-BA35-4057-838E-F7FC39696A70}"/>
    <cellStyle name="SAPBEXexcGood2 2 3 7 2" xfId="27511" xr:uid="{7E702E51-2158-48E1-B788-3EEFCA093494}"/>
    <cellStyle name="SAPBEXexcGood2 2 3 8" xfId="16999" xr:uid="{A9C4BFA9-AB43-4198-8136-4D35DB63AE1D}"/>
    <cellStyle name="SAPBEXexcGood2 2 3 8 2" xfId="32133" xr:uid="{FCF3B3F8-2FA9-4AC9-98A3-F9660E6B9471}"/>
    <cellStyle name="SAPBEXexcGood2 2 3 9" xfId="17000" xr:uid="{3A94ED62-A464-4735-8591-FEED320683CA}"/>
    <cellStyle name="SAPBEXexcGood2 2 3 9 2" xfId="27512" xr:uid="{ADE70657-BC05-4ACA-BF26-5AC5DEAC0432}"/>
    <cellStyle name="SAPBEXexcGood2 2 4" xfId="17001" xr:uid="{5E0CF6C8-EEB9-43F9-B6D3-EA22016B554F}"/>
    <cellStyle name="SAPBEXexcGood2 2 4 2" xfId="32134" xr:uid="{13FEC655-2FFB-4026-BE94-F82465093268}"/>
    <cellStyle name="SAPBEXexcGood2 2 5" xfId="17002" xr:uid="{C3375542-44BA-4067-9C6F-67412A817C65}"/>
    <cellStyle name="SAPBEXexcGood2 2 5 2" xfId="32135" xr:uid="{E210D76B-D23E-489E-8A45-21AA37BEEB52}"/>
    <cellStyle name="SAPBEXexcGood2 2 6" xfId="17003" xr:uid="{04B16909-81C9-4F7A-91A6-AC19CBD7F789}"/>
    <cellStyle name="SAPBEXexcGood2 2 6 2" xfId="27513" xr:uid="{DF434275-990D-4281-9820-A7ED787D8E1C}"/>
    <cellStyle name="SAPBEXexcGood2 2 7" xfId="17004" xr:uid="{58CBE8B3-D096-4D36-9462-B838F4F2A525}"/>
    <cellStyle name="SAPBEXexcGood2 2 7 2" xfId="32136" xr:uid="{987AD133-2061-40CF-BEF7-44B5748BD680}"/>
    <cellStyle name="SAPBEXexcGood2 2 8" xfId="17005" xr:uid="{80243443-18CB-4CA3-A19A-6AA3AB1507F1}"/>
    <cellStyle name="SAPBEXexcGood2 2 8 2" xfId="32137" xr:uid="{6725B51B-C7DA-4F41-88F6-12700E26E79D}"/>
    <cellStyle name="SAPBEXexcGood2 2 9" xfId="17006" xr:uid="{66FD087D-24C8-4AF1-893C-8023F0860254}"/>
    <cellStyle name="SAPBEXexcGood2 2 9 2" xfId="32138" xr:uid="{D10A66FC-3B1B-41E1-8DDC-7B61F41352E1}"/>
    <cellStyle name="SAPBEXexcGood2 20" xfId="17007" xr:uid="{CD1882F7-0A9F-4F0C-A6C8-A3191507BDAB}"/>
    <cellStyle name="SAPBEXexcGood2 20 2" xfId="32139" xr:uid="{DCA6A895-EF72-431F-94CB-3B8CD44EFA37}"/>
    <cellStyle name="SAPBEXexcGood2 21" xfId="32080" xr:uid="{7A5330BF-12EF-4B1E-9F3F-2A235974F3FA}"/>
    <cellStyle name="SAPBEXexcGood2 3" xfId="17008" xr:uid="{2DB0B72F-8644-4DDC-AB1C-1B5FD677396C}"/>
    <cellStyle name="SAPBEXexcGood2 3 10" xfId="17009" xr:uid="{242FEADA-A052-4A56-BB15-3CFA95DF8E32}"/>
    <cellStyle name="SAPBEXexcGood2 3 10 2" xfId="32140" xr:uid="{911265D6-D4C0-42A7-A21F-2FEADBC902F7}"/>
    <cellStyle name="SAPBEXexcGood2 3 11" xfId="17010" xr:uid="{C3D6D9A0-3A20-468F-A564-9E53D94A6C49}"/>
    <cellStyle name="SAPBEXexcGood2 3 11 2" xfId="27515" xr:uid="{8D14AFFD-CA15-4ACA-960C-5374DB443737}"/>
    <cellStyle name="SAPBEXexcGood2 3 12" xfId="17011" xr:uid="{B0EAA456-CF3C-4EBA-880C-91C95B2F7DF3}"/>
    <cellStyle name="SAPBEXexcGood2 3 12 2" xfId="32141" xr:uid="{DE3F0CC3-A8AC-4738-8366-D5F15B1BE7DB}"/>
    <cellStyle name="SAPBEXexcGood2 3 13" xfId="17012" xr:uid="{A11DE604-4196-4915-A40B-5DF24690E07E}"/>
    <cellStyle name="SAPBEXexcGood2 3 13 2" xfId="32142" xr:uid="{095352C0-68D1-437E-9205-40ADEFA874A1}"/>
    <cellStyle name="SAPBEXexcGood2 3 14" xfId="17013" xr:uid="{0FF05E72-4DDF-4FC1-8B08-BD44FCC9A82B}"/>
    <cellStyle name="SAPBEXexcGood2 3 14 2" xfId="27516" xr:uid="{DF3AA5C2-8D1E-460C-9CFD-CC88E5BD713B}"/>
    <cellStyle name="SAPBEXexcGood2 3 15" xfId="17014" xr:uid="{2A3FE82D-5B00-4ADD-955E-71C23F42E5EC}"/>
    <cellStyle name="SAPBEXexcGood2 3 15 2" xfId="32143" xr:uid="{257820AA-C21A-4645-BEAB-F6781B220FE0}"/>
    <cellStyle name="SAPBEXexcGood2 3 16" xfId="17015" xr:uid="{05D255D8-FB22-41E0-A21C-483B57CD5E60}"/>
    <cellStyle name="SAPBEXexcGood2 3 16 2" xfId="32144" xr:uid="{44C598F0-049A-4F48-B1E3-C69B160CFAA4}"/>
    <cellStyle name="SAPBEXexcGood2 3 17" xfId="17016" xr:uid="{8FCFE77D-A50D-45D9-82AE-AAB13421FB4C}"/>
    <cellStyle name="SAPBEXexcGood2 3 17 2" xfId="32145" xr:uid="{4B12F7A1-8124-4783-BFEC-33BBBDEEF33D}"/>
    <cellStyle name="SAPBEXexcGood2 3 18" xfId="17017" xr:uid="{5236FE1D-CC5B-4FD7-AEB1-35338ED0A713}"/>
    <cellStyle name="SAPBEXexcGood2 3 18 2" xfId="32146" xr:uid="{44D1279C-A571-468D-964B-3764850643CF}"/>
    <cellStyle name="SAPBEXexcGood2 3 19" xfId="27514" xr:uid="{A5D77979-1417-466F-AC53-6495958DEA73}"/>
    <cellStyle name="SAPBEXexcGood2 3 2" xfId="17018" xr:uid="{61A9E35A-1575-4817-9E35-EAF8FBE43C06}"/>
    <cellStyle name="SAPBEXexcGood2 3 2 10" xfId="17019" xr:uid="{79A4DD3A-3945-42C1-8021-CA354B279C0D}"/>
    <cellStyle name="SAPBEXexcGood2 3 2 10 2" xfId="32148" xr:uid="{64FE75E2-1109-4DE7-9276-31E039CD9E42}"/>
    <cellStyle name="SAPBEXexcGood2 3 2 11" xfId="17020" xr:uid="{E6135283-A976-4062-9D6B-0D0D66F8746C}"/>
    <cellStyle name="SAPBEXexcGood2 3 2 11 2" xfId="32149" xr:uid="{EC90D89D-90B9-4FC1-BB7B-0882E26BD8DC}"/>
    <cellStyle name="SAPBEXexcGood2 3 2 12" xfId="17021" xr:uid="{2E1BF52E-55D1-4906-8974-34C601EF70AD}"/>
    <cellStyle name="SAPBEXexcGood2 3 2 12 2" xfId="32150" xr:uid="{37EEE681-7E74-4C2B-92AC-45B3C2FBFA11}"/>
    <cellStyle name="SAPBEXexcGood2 3 2 13" xfId="17022" xr:uid="{8C36AB00-6A2C-472A-896C-553BA9254229}"/>
    <cellStyle name="SAPBEXexcGood2 3 2 13 2" xfId="32151" xr:uid="{029D0A20-B3C6-4D00-A6BD-852E0103C8B4}"/>
    <cellStyle name="SAPBEXexcGood2 3 2 14" xfId="17023" xr:uid="{86FDAE88-A948-4F64-8211-157F19D0B994}"/>
    <cellStyle name="SAPBEXexcGood2 3 2 14 2" xfId="32152" xr:uid="{FF3F1F9F-D955-4B79-BFEE-0C7E8D9556CE}"/>
    <cellStyle name="SAPBEXexcGood2 3 2 15" xfId="32147" xr:uid="{8BA97A0D-1AE9-440B-8879-42C8B7308C88}"/>
    <cellStyle name="SAPBEXexcGood2 3 2 2" xfId="17024" xr:uid="{022BC082-FD29-4837-AAAF-1EAB43FB0604}"/>
    <cellStyle name="SAPBEXexcGood2 3 2 2 2" xfId="32153" xr:uid="{AAA25E57-D57B-4608-950E-0044F3FAB2E1}"/>
    <cellStyle name="SAPBEXexcGood2 3 2 3" xfId="17025" xr:uid="{E7B9DF56-FF20-4B6C-8E8A-9C69A65B2E17}"/>
    <cellStyle name="SAPBEXexcGood2 3 2 3 2" xfId="32154" xr:uid="{83636BEE-99FB-438F-969D-C010E59E6BF7}"/>
    <cellStyle name="SAPBEXexcGood2 3 2 4" xfId="17026" xr:uid="{CF0208DD-AE08-4FDC-8C0C-08804CF00B21}"/>
    <cellStyle name="SAPBEXexcGood2 3 2 4 2" xfId="32155" xr:uid="{B30119D2-4F32-4330-AE3B-A55D4F33B14C}"/>
    <cellStyle name="SAPBEXexcGood2 3 2 5" xfId="17027" xr:uid="{0B9ABF74-DB53-4C99-A95F-B55F23CF6A78}"/>
    <cellStyle name="SAPBEXexcGood2 3 2 5 2" xfId="32156" xr:uid="{FB04AC1C-AE8B-4B62-A0FB-4D2788DB3281}"/>
    <cellStyle name="SAPBEXexcGood2 3 2 6" xfId="17028" xr:uid="{AB0EC88E-FC7A-4BAF-A1DE-E0785FEDE3F5}"/>
    <cellStyle name="SAPBEXexcGood2 3 2 6 2" xfId="32157" xr:uid="{8715C1EC-4A7C-49A3-9532-6E27F7E24177}"/>
    <cellStyle name="SAPBEXexcGood2 3 2 7" xfId="17029" xr:uid="{AD54D36C-652C-4746-8EBC-63D67D43F666}"/>
    <cellStyle name="SAPBEXexcGood2 3 2 7 2" xfId="32158" xr:uid="{A271E34D-9556-473D-99A9-E2AB84E9D517}"/>
    <cellStyle name="SAPBEXexcGood2 3 2 8" xfId="17030" xr:uid="{F6B77D5F-730B-4700-AF07-2C46BF2D8ABC}"/>
    <cellStyle name="SAPBEXexcGood2 3 2 8 2" xfId="32159" xr:uid="{08F3F85E-DA03-412F-8A23-9088C117E3FF}"/>
    <cellStyle name="SAPBEXexcGood2 3 2 9" xfId="17031" xr:uid="{52291935-5709-4B7A-88A1-920565F7807E}"/>
    <cellStyle name="SAPBEXexcGood2 3 2 9 2" xfId="32160" xr:uid="{9D144D38-9730-4E3B-A441-4881FEAC2295}"/>
    <cellStyle name="SAPBEXexcGood2 3 3" xfId="17032" xr:uid="{A547D37C-9D52-4A37-A8E6-C2560B575FC5}"/>
    <cellStyle name="SAPBEXexcGood2 3 3 2" xfId="32161" xr:uid="{34006F83-6A0B-4CFB-9C12-85855EBEDAF2}"/>
    <cellStyle name="SAPBEXexcGood2 3 4" xfId="17033" xr:uid="{44DF7BB9-686D-461F-8B52-B9E443F2EC27}"/>
    <cellStyle name="SAPBEXexcGood2 3 4 2" xfId="32162" xr:uid="{1AF6DAF2-197D-444E-9A6C-2B2D58D12653}"/>
    <cellStyle name="SAPBEXexcGood2 3 5" xfId="17034" xr:uid="{2725E6A6-B39D-4336-BF22-F982C97BEC13}"/>
    <cellStyle name="SAPBEXexcGood2 3 5 2" xfId="32163" xr:uid="{46DE0FF4-206D-4BCF-BF25-5321650818F7}"/>
    <cellStyle name="SAPBEXexcGood2 3 6" xfId="17035" xr:uid="{52B6B60F-CFE2-4E62-90D9-244661CFA4D7}"/>
    <cellStyle name="SAPBEXexcGood2 3 6 2" xfId="32164" xr:uid="{7B665182-6F14-434C-BA11-634F64BC4AD3}"/>
    <cellStyle name="SAPBEXexcGood2 3 7" xfId="17036" xr:uid="{BAE791DA-2030-412E-B283-83BC41724075}"/>
    <cellStyle name="SAPBEXexcGood2 3 7 2" xfId="32165" xr:uid="{A253CC2D-8207-4B0E-B5DD-5EE466B367ED}"/>
    <cellStyle name="SAPBEXexcGood2 3 8" xfId="17037" xr:uid="{BD2FB3B3-D95D-481F-BE4F-92F4503E4356}"/>
    <cellStyle name="SAPBEXexcGood2 3 8 2" xfId="32166" xr:uid="{FA7E7612-3D22-488A-AAF4-B02C1DF47CCA}"/>
    <cellStyle name="SAPBEXexcGood2 3 9" xfId="17038" xr:uid="{AAEECB86-7926-465B-8DEB-2B23EDF1E1BD}"/>
    <cellStyle name="SAPBEXexcGood2 3 9 2" xfId="32167" xr:uid="{73C79870-B054-4DBF-A2F0-D649D44A41D7}"/>
    <cellStyle name="SAPBEXexcGood2 4" xfId="17039" xr:uid="{8E4BC2DF-6C51-4D6D-A228-9DEAD1DEC0EF}"/>
    <cellStyle name="SAPBEXexcGood2 4 10" xfId="17040" xr:uid="{9729DD5B-B88F-420B-B533-7024CE0EBDC9}"/>
    <cellStyle name="SAPBEXexcGood2 4 10 2" xfId="32169" xr:uid="{35737390-8D01-4DB0-8774-A3BF8D603311}"/>
    <cellStyle name="SAPBEXexcGood2 4 11" xfId="17041" xr:uid="{0E0E52B9-A8E2-4608-BD0D-822800E795FC}"/>
    <cellStyle name="SAPBEXexcGood2 4 11 2" xfId="32170" xr:uid="{B2D186CF-B859-4D67-B9CE-2E5F57EF34D9}"/>
    <cellStyle name="SAPBEXexcGood2 4 12" xfId="17042" xr:uid="{065F2980-6624-4804-BD59-929250814102}"/>
    <cellStyle name="SAPBEXexcGood2 4 12 2" xfId="32171" xr:uid="{364A33E0-C6A9-48C7-A026-39D23D78F27D}"/>
    <cellStyle name="SAPBEXexcGood2 4 13" xfId="17043" xr:uid="{06905413-4375-4CA6-8121-1B61D4A0460C}"/>
    <cellStyle name="SAPBEXexcGood2 4 13 2" xfId="32172" xr:uid="{42596899-4168-41FE-ACD5-8456A9AAB1FF}"/>
    <cellStyle name="SAPBEXexcGood2 4 14" xfId="17044" xr:uid="{F2BDB2F8-141E-4A91-9330-89ABD16F5A9A}"/>
    <cellStyle name="SAPBEXexcGood2 4 14 2" xfId="32173" xr:uid="{032E9374-79AB-492D-A656-7BD73017AB0C}"/>
    <cellStyle name="SAPBEXexcGood2 4 15" xfId="32168" xr:uid="{C5A25DA5-2748-4666-B9EF-CDB3251BB531}"/>
    <cellStyle name="SAPBEXexcGood2 4 2" xfId="17045" xr:uid="{CB336DC9-033F-44F5-A24F-529E5131669E}"/>
    <cellStyle name="SAPBEXexcGood2 4 2 2" xfId="32174" xr:uid="{C0E23954-4A21-4313-BE3B-F23481A2CB47}"/>
    <cellStyle name="SAPBEXexcGood2 4 3" xfId="17046" xr:uid="{0F8B8FB8-3DDC-456E-BCF4-57ABBF37C645}"/>
    <cellStyle name="SAPBEXexcGood2 4 3 2" xfId="32175" xr:uid="{7DE33E78-35CE-46EC-AFB6-E83F504A2AAF}"/>
    <cellStyle name="SAPBEXexcGood2 4 4" xfId="17047" xr:uid="{27783018-DB1C-4427-AFD2-C8C95B2DC78E}"/>
    <cellStyle name="SAPBEXexcGood2 4 4 2" xfId="32176" xr:uid="{9890B006-D3EF-45A1-9EA4-55163AD86279}"/>
    <cellStyle name="SAPBEXexcGood2 4 5" xfId="17048" xr:uid="{997E2777-AECB-4FE4-BCE7-7AC9A43AC751}"/>
    <cellStyle name="SAPBEXexcGood2 4 5 2" xfId="32177" xr:uid="{D57FFC2A-3497-4BD5-8901-883108520022}"/>
    <cellStyle name="SAPBEXexcGood2 4 6" xfId="17049" xr:uid="{88023246-477D-4F32-8AB9-D1805789A3EF}"/>
    <cellStyle name="SAPBEXexcGood2 4 6 2" xfId="32178" xr:uid="{746627CC-F9C4-441D-97BE-5B4BB5E4757F}"/>
    <cellStyle name="SAPBEXexcGood2 4 7" xfId="17050" xr:uid="{C6E80100-16C8-4BE2-BF6C-140D2C2C74D0}"/>
    <cellStyle name="SAPBEXexcGood2 4 7 2" xfId="32179" xr:uid="{A2D670B0-28FB-4D4A-B30C-E7A11365A13E}"/>
    <cellStyle name="SAPBEXexcGood2 4 8" xfId="17051" xr:uid="{2BBA9EE5-40FB-40B9-9D6E-35CAC33AE2B8}"/>
    <cellStyle name="SAPBEXexcGood2 4 8 2" xfId="32180" xr:uid="{4FEB50AE-BBE1-48AE-8845-ECFD20CE12F3}"/>
    <cellStyle name="SAPBEXexcGood2 4 9" xfId="17052" xr:uid="{FAC8DBBC-4B53-40AD-B39B-F14FC0932E8E}"/>
    <cellStyle name="SAPBEXexcGood2 4 9 2" xfId="32181" xr:uid="{E2910691-EA9D-4785-A1D5-F6F602FF3154}"/>
    <cellStyle name="SAPBEXexcGood2 5" xfId="17053" xr:uid="{ADCEFA81-0D13-451E-97AC-6C330A182F57}"/>
    <cellStyle name="SAPBEXexcGood2 5 2" xfId="32182" xr:uid="{6FD6F01A-B54B-4510-BCDA-FAEDDE3EC14B}"/>
    <cellStyle name="SAPBEXexcGood2 6" xfId="17054" xr:uid="{9EA8E1AB-1127-4A20-898F-970792E4360E}"/>
    <cellStyle name="SAPBEXexcGood2 6 2" xfId="32183" xr:uid="{A12D5C7D-DFF0-475B-BA4F-95B9BA0AF2F3}"/>
    <cellStyle name="SAPBEXexcGood2 7" xfId="17055" xr:uid="{F2916E0C-5140-46FC-AB35-1AC90A4B0D19}"/>
    <cellStyle name="SAPBEXexcGood2 7 2" xfId="32184" xr:uid="{76E5DC47-5EF6-4522-ADB5-9F6DCBA6CB93}"/>
    <cellStyle name="SAPBEXexcGood2 8" xfId="17056" xr:uid="{6BA4883D-39F1-44C9-BD2F-77BF271805B0}"/>
    <cellStyle name="SAPBEXexcGood2 8 2" xfId="32185" xr:uid="{E3433275-DF2D-4D6A-A09A-A2EA77B29DC3}"/>
    <cellStyle name="SAPBEXexcGood2 9" xfId="17057" xr:uid="{EA16FB2B-9638-4BA2-9F79-B57A6F72D001}"/>
    <cellStyle name="SAPBEXexcGood2 9 2" xfId="32186" xr:uid="{DE7AFAB8-19C6-421E-9F4A-D025393DD258}"/>
    <cellStyle name="SAPBEXexcGood3" xfId="17058" xr:uid="{AADC3B80-471D-4D6D-A46D-79638E6A16B9}"/>
    <cellStyle name="SAPBEXexcGood3 10" xfId="17059" xr:uid="{257B5C85-A400-4BE3-81BA-77AA57BCA510}"/>
    <cellStyle name="SAPBEXexcGood3 10 2" xfId="32188" xr:uid="{F170097B-48E4-42AB-B0B8-73CC1249BA96}"/>
    <cellStyle name="SAPBEXexcGood3 11" xfId="17060" xr:uid="{C4D10C17-380B-490D-BCB3-F09F0A67ECAA}"/>
    <cellStyle name="SAPBEXexcGood3 11 2" xfId="32189" xr:uid="{38F179D3-B942-4483-B07A-6FC16C81EEB2}"/>
    <cellStyle name="SAPBEXexcGood3 12" xfId="17061" xr:uid="{B236A7A6-6CC4-41EF-90FD-8583D6270B7A}"/>
    <cellStyle name="SAPBEXexcGood3 12 2" xfId="32190" xr:uid="{4DBABADB-33DA-43DA-9AFC-4033724CC047}"/>
    <cellStyle name="SAPBEXexcGood3 13" xfId="17062" xr:uid="{BF5C3D4B-5CA1-48FC-9A2C-3A49DE537E31}"/>
    <cellStyle name="SAPBEXexcGood3 13 2" xfId="32191" xr:uid="{58452989-F601-4D4A-B084-EDB33C3C8FD8}"/>
    <cellStyle name="SAPBEXexcGood3 14" xfId="17063" xr:uid="{DB325CD1-3B40-4802-BC53-8CB8F380F426}"/>
    <cellStyle name="SAPBEXexcGood3 14 2" xfId="32192" xr:uid="{847474C2-CBEC-4317-9D26-CCD9B7EDBE00}"/>
    <cellStyle name="SAPBEXexcGood3 15" xfId="17064" xr:uid="{BC00CD78-1755-4395-8D91-E9C0DE0AAAEC}"/>
    <cellStyle name="SAPBEXexcGood3 15 2" xfId="32193" xr:uid="{24F219C9-6F3F-45AC-83CD-906200F024E6}"/>
    <cellStyle name="SAPBEXexcGood3 16" xfId="17065" xr:uid="{016E6D55-C901-4579-B79E-160803D7A6EC}"/>
    <cellStyle name="SAPBEXexcGood3 16 2" xfId="32194" xr:uid="{64D37D33-33BB-4275-86C9-C41917F608B3}"/>
    <cellStyle name="SAPBEXexcGood3 17" xfId="17066" xr:uid="{849F308D-00A9-4D72-B21E-46D5FDF47527}"/>
    <cellStyle name="SAPBEXexcGood3 17 2" xfId="32195" xr:uid="{B877DE5B-7472-4847-8316-61460E0B6588}"/>
    <cellStyle name="SAPBEXexcGood3 18" xfId="17067" xr:uid="{64405728-923F-4C69-AEEB-4B82193A59F5}"/>
    <cellStyle name="SAPBEXexcGood3 18 2" xfId="32196" xr:uid="{1E58F4DA-AF4C-4FBD-9E86-DE83BAA7DE41}"/>
    <cellStyle name="SAPBEXexcGood3 19" xfId="17068" xr:uid="{A5EB7206-B2BE-48BF-AF7D-D8E4702D88D0}"/>
    <cellStyle name="SAPBEXexcGood3 19 2" xfId="32197" xr:uid="{C6A65404-419F-4EC4-B7B8-CE840942C8CF}"/>
    <cellStyle name="SAPBEXexcGood3 2" xfId="17069" xr:uid="{D3244711-060A-468F-93A9-5509E82E290D}"/>
    <cellStyle name="SAPBEXexcGood3 2 10" xfId="17070" xr:uid="{9155DFC6-5B14-47E2-A836-59CA383E984D}"/>
    <cellStyle name="SAPBEXexcGood3 2 10 2" xfId="32199" xr:uid="{04E63412-472D-4621-A3A7-6DCBCA04FDD7}"/>
    <cellStyle name="SAPBEXexcGood3 2 11" xfId="17071" xr:uid="{AE6A7134-A7C5-4296-ACF1-C0ADA95385BF}"/>
    <cellStyle name="SAPBEXexcGood3 2 11 2" xfId="32200" xr:uid="{54DAFDB0-DCFB-48CF-8215-8AC118B22A99}"/>
    <cellStyle name="SAPBEXexcGood3 2 12" xfId="17072" xr:uid="{3E0A5679-EBEE-41AB-B6F3-E82ACDC6AB3B}"/>
    <cellStyle name="SAPBEXexcGood3 2 12 2" xfId="32201" xr:uid="{A472EDCB-4753-47E1-8C07-B146CE9A51C8}"/>
    <cellStyle name="SAPBEXexcGood3 2 13" xfId="17073" xr:uid="{A240C802-939D-4E76-9D42-09B3D7CC765E}"/>
    <cellStyle name="SAPBEXexcGood3 2 13 2" xfId="32202" xr:uid="{17501EF3-20CF-418E-A497-3ACE9680419A}"/>
    <cellStyle name="SAPBEXexcGood3 2 14" xfId="17074" xr:uid="{345C8012-1361-403C-9D84-1357C85E3C75}"/>
    <cellStyle name="SAPBEXexcGood3 2 14 2" xfId="32203" xr:uid="{6FEE6D63-E5D0-4D3E-AA3D-CFBDBFFA7B61}"/>
    <cellStyle name="SAPBEXexcGood3 2 15" xfId="17075" xr:uid="{232893A5-073A-4880-9225-CA6568E7116A}"/>
    <cellStyle name="SAPBEXexcGood3 2 15 2" xfId="32204" xr:uid="{5356086F-3C27-413C-A4B0-201A1CDC8265}"/>
    <cellStyle name="SAPBEXexcGood3 2 16" xfId="17076" xr:uid="{93FE2C1A-C108-40AF-9AE2-4D140E9A75B5}"/>
    <cellStyle name="SAPBEXexcGood3 2 16 2" xfId="32205" xr:uid="{8D1B2BDE-947A-43D8-AA0B-8A2FF0624CCA}"/>
    <cellStyle name="SAPBEXexcGood3 2 17" xfId="17077" xr:uid="{1F57DB0E-6C5F-43A0-AAD2-3802852AABBA}"/>
    <cellStyle name="SAPBEXexcGood3 2 17 2" xfId="32206" xr:uid="{EC837824-6F22-4F86-8FB5-B11746193282}"/>
    <cellStyle name="SAPBEXexcGood3 2 18" xfId="17078" xr:uid="{302902CB-C29B-4894-9A73-4631400899D1}"/>
    <cellStyle name="SAPBEXexcGood3 2 18 2" xfId="32207" xr:uid="{1C767895-B974-416F-9814-365E16455FF9}"/>
    <cellStyle name="SAPBEXexcGood3 2 19" xfId="17079" xr:uid="{52FB86C1-4E05-4B82-B35A-B252286E23B6}"/>
    <cellStyle name="SAPBEXexcGood3 2 19 2" xfId="32208" xr:uid="{4DDE521C-D7C5-4754-ACD5-CD8ED2DC3FAA}"/>
    <cellStyle name="SAPBEXexcGood3 2 2" xfId="17080" xr:uid="{43C81DC7-4E9A-47EA-97BB-67973EE2683E}"/>
    <cellStyle name="SAPBEXexcGood3 2 2 10" xfId="17081" xr:uid="{3609371A-2363-45A9-81AA-64D3EDABF0EE}"/>
    <cellStyle name="SAPBEXexcGood3 2 2 10 2" xfId="32210" xr:uid="{C000F796-A5C8-42C6-8426-CCC7B25745B4}"/>
    <cellStyle name="SAPBEXexcGood3 2 2 11" xfId="17082" xr:uid="{45272AAE-8436-4E7F-B13D-5947DE54F034}"/>
    <cellStyle name="SAPBEXexcGood3 2 2 11 2" xfId="32211" xr:uid="{B7F1AE95-CAE2-4668-BCE9-7B1A8A5A6377}"/>
    <cellStyle name="SAPBEXexcGood3 2 2 12" xfId="17083" xr:uid="{CA8BA7DE-2625-4FB0-98DB-61403FE2CBE6}"/>
    <cellStyle name="SAPBEXexcGood3 2 2 12 2" xfId="32212" xr:uid="{49821237-372F-44D7-8977-D698265C0B77}"/>
    <cellStyle name="SAPBEXexcGood3 2 2 13" xfId="17084" xr:uid="{96EB9B02-DD0A-4778-8F49-6431FC15A273}"/>
    <cellStyle name="SAPBEXexcGood3 2 2 13 2" xfId="32228" xr:uid="{BD00D7CE-C774-4F6F-997F-FDEEFFE2DA7D}"/>
    <cellStyle name="SAPBEXexcGood3 2 2 14" xfId="17085" xr:uid="{11B8BB97-8BB3-4119-8265-8A1742555C82}"/>
    <cellStyle name="SAPBEXexcGood3 2 2 14 2" xfId="32213" xr:uid="{12B4B550-A2E8-4B98-B7F7-56F0AAFCFE96}"/>
    <cellStyle name="SAPBEXexcGood3 2 2 15" xfId="17086" xr:uid="{97FA90E0-F5B8-40D7-8F82-D27F932D3518}"/>
    <cellStyle name="SAPBEXexcGood3 2 2 15 2" xfId="32214" xr:uid="{99E7A61A-F72D-4414-8BC6-F0F604E86467}"/>
    <cellStyle name="SAPBEXexcGood3 2 2 16" xfId="17087" xr:uid="{88DD2D1E-94DD-40BF-901E-24C7A7C4ADFD}"/>
    <cellStyle name="SAPBEXexcGood3 2 2 16 2" xfId="32215" xr:uid="{D8B366D9-58BA-4C92-97F3-5FD5AB42B9E9}"/>
    <cellStyle name="SAPBEXexcGood3 2 2 17" xfId="17088" xr:uid="{6CE553D8-1655-4452-8870-2B0F32A0F41C}"/>
    <cellStyle name="SAPBEXexcGood3 2 2 17 2" xfId="32216" xr:uid="{EE795AF9-1460-440E-9CFF-2B9A0D83FF7E}"/>
    <cellStyle name="SAPBEXexcGood3 2 2 18" xfId="17089" xr:uid="{F40B2FBD-55AD-4F2E-B8ED-B3E3754DCBEF}"/>
    <cellStyle name="SAPBEXexcGood3 2 2 18 2" xfId="32217" xr:uid="{F3C040BF-5BF6-40CC-A4F8-664DDDC3FE2F}"/>
    <cellStyle name="SAPBEXexcGood3 2 2 19" xfId="32209" xr:uid="{42AEAC6E-CE6E-44F8-A5AD-2C68CE66373E}"/>
    <cellStyle name="SAPBEXexcGood3 2 2 2" xfId="17090" xr:uid="{E331224A-3DF5-4574-865D-323499605052}"/>
    <cellStyle name="SAPBEXexcGood3 2 2 2 10" xfId="17091" xr:uid="{B3F8B6E9-56E0-42A1-953F-37D1332B86B1}"/>
    <cellStyle name="SAPBEXexcGood3 2 2 2 10 2" xfId="32219" xr:uid="{0E404C52-989C-425A-9F11-A988017CF317}"/>
    <cellStyle name="SAPBEXexcGood3 2 2 2 11" xfId="17092" xr:uid="{71282970-99ED-4659-BA77-A39A1F3C603D}"/>
    <cellStyle name="SAPBEXexcGood3 2 2 2 11 2" xfId="32220" xr:uid="{DF782D4A-1A44-47D5-9907-3EA32E2A43B4}"/>
    <cellStyle name="SAPBEXexcGood3 2 2 2 12" xfId="17093" xr:uid="{321FE601-1D7A-45B4-9002-4B425E535C3B}"/>
    <cellStyle name="SAPBEXexcGood3 2 2 2 12 2" xfId="32221" xr:uid="{B4896BB3-DD72-4887-BCA1-4C543B870FD1}"/>
    <cellStyle name="SAPBEXexcGood3 2 2 2 13" xfId="17094" xr:uid="{C78291A3-90DC-4F44-8BE4-25CFBBE012D6}"/>
    <cellStyle name="SAPBEXexcGood3 2 2 2 13 2" xfId="32222" xr:uid="{BE399362-995F-4732-9B00-8FBF8AF1AB95}"/>
    <cellStyle name="SAPBEXexcGood3 2 2 2 14" xfId="17095" xr:uid="{3ED34BAB-D6BE-4C74-BD5E-E0B778DCA944}"/>
    <cellStyle name="SAPBEXexcGood3 2 2 2 14 2" xfId="32223" xr:uid="{78968C91-81C9-48E2-A286-718FDF52E291}"/>
    <cellStyle name="SAPBEXexcGood3 2 2 2 15" xfId="32218" xr:uid="{32933760-9558-4A9C-9EE0-A02CA840F21E}"/>
    <cellStyle name="SAPBEXexcGood3 2 2 2 2" xfId="17096" xr:uid="{1D29EDC4-32D8-4B52-9CF3-B32875575DBB}"/>
    <cellStyle name="SAPBEXexcGood3 2 2 2 2 2" xfId="32224" xr:uid="{13296538-A3E9-4C88-8199-1B356F915AAD}"/>
    <cellStyle name="SAPBEXexcGood3 2 2 2 3" xfId="17097" xr:uid="{85C22D9C-8FA9-48F9-911F-FCCA29D14301}"/>
    <cellStyle name="SAPBEXexcGood3 2 2 2 3 2" xfId="32225" xr:uid="{D0FA7D62-8561-4051-9B87-F2AF7FC1775C}"/>
    <cellStyle name="SAPBEXexcGood3 2 2 2 4" xfId="17098" xr:uid="{07663CFB-37E5-4E19-856F-674FC7516273}"/>
    <cellStyle name="SAPBEXexcGood3 2 2 2 4 2" xfId="32226" xr:uid="{AB3A9302-1D95-42EC-80F5-520DD03E46F3}"/>
    <cellStyle name="SAPBEXexcGood3 2 2 2 5" xfId="17099" xr:uid="{DFFF26A6-272B-4CBB-AFBD-340CDA44FECE}"/>
    <cellStyle name="SAPBEXexcGood3 2 2 2 5 2" xfId="32227" xr:uid="{1F0FCE7B-803E-4A2B-B559-3F91FC314291}"/>
    <cellStyle name="SAPBEXexcGood3 2 2 2 6" xfId="17100" xr:uid="{67E0EC3F-C913-452D-AA6C-B6AB26A05776}"/>
    <cellStyle name="SAPBEXexcGood3 2 2 2 6 2" xfId="32243" xr:uid="{89ACCE56-0883-461F-98CB-E529AF96218E}"/>
    <cellStyle name="SAPBEXexcGood3 2 2 2 7" xfId="17101" xr:uid="{0A9A2472-0CF8-4210-87D2-F22979441C74}"/>
    <cellStyle name="SAPBEXexcGood3 2 2 2 7 2" xfId="32229" xr:uid="{E6EB09C6-5D7D-479C-A454-121DFBFED678}"/>
    <cellStyle name="SAPBEXexcGood3 2 2 2 8" xfId="17102" xr:uid="{3D8DFD9B-7745-4C61-B6FC-DCCE73004BDE}"/>
    <cellStyle name="SAPBEXexcGood3 2 2 2 8 2" xfId="32230" xr:uid="{7BB6A7BE-889A-49B4-8584-59CA77A3DD5B}"/>
    <cellStyle name="SAPBEXexcGood3 2 2 2 9" xfId="17103" xr:uid="{8EC4DD0F-A27F-4737-9848-28A225B408DA}"/>
    <cellStyle name="SAPBEXexcGood3 2 2 2 9 2" xfId="32231" xr:uid="{2464E8AF-1933-42F4-8D49-70D5874EF15F}"/>
    <cellStyle name="SAPBEXexcGood3 2 2 3" xfId="17104" xr:uid="{878CDA5E-D9A8-468D-A6C8-F207D6255838}"/>
    <cellStyle name="SAPBEXexcGood3 2 2 3 2" xfId="32232" xr:uid="{5B4B3A45-B568-4844-B747-0FE72C0E65B3}"/>
    <cellStyle name="SAPBEXexcGood3 2 2 4" xfId="17105" xr:uid="{A8E3D71B-69A8-4BEF-883D-D8CF54047B01}"/>
    <cellStyle name="SAPBEXexcGood3 2 2 4 2" xfId="32233" xr:uid="{3ECD67EE-3B0E-4751-947A-909EB2A826BB}"/>
    <cellStyle name="SAPBEXexcGood3 2 2 5" xfId="17106" xr:uid="{ED1C6ACC-8448-4580-B00F-7B0AB7336D36}"/>
    <cellStyle name="SAPBEXexcGood3 2 2 5 2" xfId="32234" xr:uid="{A1908B1D-4C51-4CDF-BCC2-CE8D47811CDB}"/>
    <cellStyle name="SAPBEXexcGood3 2 2 6" xfId="17107" xr:uid="{A57AD1C5-DD6D-46C7-BD25-491445BCA79E}"/>
    <cellStyle name="SAPBEXexcGood3 2 2 6 2" xfId="32235" xr:uid="{0BBC511D-6025-426E-8DB8-55F518925C22}"/>
    <cellStyle name="SAPBEXexcGood3 2 2 7" xfId="17108" xr:uid="{B3D310E4-0C1A-4141-99E6-D57B6A8EA34A}"/>
    <cellStyle name="SAPBEXexcGood3 2 2 7 2" xfId="32236" xr:uid="{1AFCF42B-F74E-41F7-ABDC-FF8809CA438E}"/>
    <cellStyle name="SAPBEXexcGood3 2 2 8" xfId="17109" xr:uid="{DE995D76-7CBE-441C-9E1B-8ECDEA93CA12}"/>
    <cellStyle name="SAPBEXexcGood3 2 2 8 2" xfId="32237" xr:uid="{A6BC81C7-697E-4BFB-893E-1B30541BB8C5}"/>
    <cellStyle name="SAPBEXexcGood3 2 2 9" xfId="17110" xr:uid="{8C7AED31-3BBA-428F-832A-65C7B47AF7E7}"/>
    <cellStyle name="SAPBEXexcGood3 2 2 9 2" xfId="32238" xr:uid="{17053C81-4C60-4973-985F-8755B490B3FD}"/>
    <cellStyle name="SAPBEXexcGood3 2 20" xfId="32198" xr:uid="{B77D72F3-E746-4206-B6E9-DB246F1FA250}"/>
    <cellStyle name="SAPBEXexcGood3 2 3" xfId="17111" xr:uid="{4C70880E-2B5C-45ED-8FEB-EACF0ECAD839}"/>
    <cellStyle name="SAPBEXexcGood3 2 3 10" xfId="17112" xr:uid="{2AD53C50-1737-4F63-9EE0-4F1AA488AB43}"/>
    <cellStyle name="SAPBEXexcGood3 2 3 10 2" xfId="32240" xr:uid="{0F0CE192-2029-4D9F-B2CC-5E8E863BC76F}"/>
    <cellStyle name="SAPBEXexcGood3 2 3 11" xfId="17113" xr:uid="{91A07CE9-1FC6-4E01-8C67-F7506C98426A}"/>
    <cellStyle name="SAPBEXexcGood3 2 3 11 2" xfId="32241" xr:uid="{BB1B560F-57F6-46FE-846F-2FC6AE80C2CA}"/>
    <cellStyle name="SAPBEXexcGood3 2 3 12" xfId="17114" xr:uid="{411EC386-912C-44CF-B15E-9DC1A5CFE19B}"/>
    <cellStyle name="SAPBEXexcGood3 2 3 12 2" xfId="32242" xr:uid="{979F6AA6-351B-42EA-BF76-C5D33F498EB5}"/>
    <cellStyle name="SAPBEXexcGood3 2 3 13" xfId="17115" xr:uid="{201EC09F-DA56-475B-B186-7917C02A2F58}"/>
    <cellStyle name="SAPBEXexcGood3 2 3 13 2" xfId="32259" xr:uid="{8C07CD72-F28D-489B-A232-721D768FC7C5}"/>
    <cellStyle name="SAPBEXexcGood3 2 3 14" xfId="17116" xr:uid="{3AEC11FE-65B2-42A9-AD5E-F08600F60418}"/>
    <cellStyle name="SAPBEXexcGood3 2 3 14 2" xfId="32244" xr:uid="{A338A4EB-585D-402B-AF82-D9843EA4F236}"/>
    <cellStyle name="SAPBEXexcGood3 2 3 15" xfId="32239" xr:uid="{564DCB26-64FB-4D2E-B7E0-47D7C9A814E6}"/>
    <cellStyle name="SAPBEXexcGood3 2 3 2" xfId="17117" xr:uid="{27C823B6-ED9E-4C6B-BB31-9DE92DD66279}"/>
    <cellStyle name="SAPBEXexcGood3 2 3 2 2" xfId="32245" xr:uid="{E2521736-A773-46A7-8C43-BAC4F3D6C558}"/>
    <cellStyle name="SAPBEXexcGood3 2 3 3" xfId="17118" xr:uid="{1A76F28A-8349-4337-B926-A90FC909722A}"/>
    <cellStyle name="SAPBEXexcGood3 2 3 3 2" xfId="32246" xr:uid="{9840A5AE-80FB-453B-BFD3-0A9EE4A061D9}"/>
    <cellStyle name="SAPBEXexcGood3 2 3 4" xfId="17119" xr:uid="{3567AA8E-07EF-44BD-B87E-0960577E8C5A}"/>
    <cellStyle name="SAPBEXexcGood3 2 3 4 2" xfId="32247" xr:uid="{53E46FE6-86A9-4833-9E8A-B51F2579163C}"/>
    <cellStyle name="SAPBEXexcGood3 2 3 5" xfId="17120" xr:uid="{517624DC-EE3F-4F05-8853-6872E25C9B2E}"/>
    <cellStyle name="SAPBEXexcGood3 2 3 5 2" xfId="32248" xr:uid="{2C712154-8B43-4177-9619-3497E1F41025}"/>
    <cellStyle name="SAPBEXexcGood3 2 3 6" xfId="17121" xr:uid="{882E8487-9761-458F-941A-312596BA1BD6}"/>
    <cellStyle name="SAPBEXexcGood3 2 3 6 2" xfId="32249" xr:uid="{A133FC87-70FC-40D1-81C5-0AD2A1C68A54}"/>
    <cellStyle name="SAPBEXexcGood3 2 3 7" xfId="17122" xr:uid="{81AC7B54-E573-4F9A-BBA3-96356765669A}"/>
    <cellStyle name="SAPBEXexcGood3 2 3 7 2" xfId="32250" xr:uid="{164AC09D-AF1B-402A-A4E9-7F39D869A216}"/>
    <cellStyle name="SAPBEXexcGood3 2 3 8" xfId="17123" xr:uid="{060E8C70-C1D5-4F2D-B744-AF12600247CE}"/>
    <cellStyle name="SAPBEXexcGood3 2 3 8 2" xfId="32251" xr:uid="{856CE05C-2C20-4E69-B909-AC6436944FB6}"/>
    <cellStyle name="SAPBEXexcGood3 2 3 9" xfId="17124" xr:uid="{86B49EDC-20C0-49C3-A1A3-49F3460D7687}"/>
    <cellStyle name="SAPBEXexcGood3 2 3 9 2" xfId="32252" xr:uid="{32F2F009-FD65-400F-A8C0-88A7DC62FC26}"/>
    <cellStyle name="SAPBEXexcGood3 2 4" xfId="17125" xr:uid="{AE5E3BEF-0A36-461E-B562-FE9FEF08C536}"/>
    <cellStyle name="SAPBEXexcGood3 2 4 2" xfId="32253" xr:uid="{D2B198ED-ED03-49CE-9986-0570C59F1A7D}"/>
    <cellStyle name="SAPBEXexcGood3 2 5" xfId="17126" xr:uid="{7DECC8D6-504C-45E8-8724-B97C96496016}"/>
    <cellStyle name="SAPBEXexcGood3 2 5 2" xfId="32254" xr:uid="{45B50066-A949-487A-9085-5C9EB60B0470}"/>
    <cellStyle name="SAPBEXexcGood3 2 6" xfId="17127" xr:uid="{61C0DA64-46D6-43E7-BD12-333EB7327864}"/>
    <cellStyle name="SAPBEXexcGood3 2 6 2" xfId="32255" xr:uid="{0ACFC994-E637-47C0-A615-66D86433C3CC}"/>
    <cellStyle name="SAPBEXexcGood3 2 7" xfId="17128" xr:uid="{F751B7BB-AD39-4325-87C2-096465C44D62}"/>
    <cellStyle name="SAPBEXexcGood3 2 7 2" xfId="32256" xr:uid="{C5E523B8-7A6D-42C7-946B-5BB4E95DE6B8}"/>
    <cellStyle name="SAPBEXexcGood3 2 8" xfId="17129" xr:uid="{3C0E97F1-AAA2-492D-8EEB-E4D8BC49E011}"/>
    <cellStyle name="SAPBEXexcGood3 2 8 2" xfId="32257" xr:uid="{3446E620-E8D7-46F6-9158-E28149995787}"/>
    <cellStyle name="SAPBEXexcGood3 2 9" xfId="17130" xr:uid="{CEE4F054-C554-47DE-97B1-F2056AB3C771}"/>
    <cellStyle name="SAPBEXexcGood3 2 9 2" xfId="32258" xr:uid="{62A2570D-36F6-4EFE-B387-F47B572E4A7B}"/>
    <cellStyle name="SAPBEXexcGood3 20" xfId="17131" xr:uid="{78C8BF09-8ABA-4B41-83E8-EF686F30F5B0}"/>
    <cellStyle name="SAPBEXexcGood3 20 2" xfId="32275" xr:uid="{0CF79E6F-1DA2-4626-92A8-CB23957AA101}"/>
    <cellStyle name="SAPBEXexcGood3 21" xfId="32187" xr:uid="{74A6EF6B-585E-4F5E-8428-7186C92FC9D7}"/>
    <cellStyle name="SAPBEXexcGood3 3" xfId="17132" xr:uid="{BF721AC9-732A-47CB-92CD-E09E3F580821}"/>
    <cellStyle name="SAPBEXexcGood3 3 10" xfId="17133" xr:uid="{4FFDD31E-1BB3-4A30-9383-5C5C6F018652}"/>
    <cellStyle name="SAPBEXexcGood3 3 10 2" xfId="32261" xr:uid="{F8699D39-6437-4AAC-B512-C7A4036929B1}"/>
    <cellStyle name="SAPBEXexcGood3 3 11" xfId="17134" xr:uid="{00C98014-E89C-48AE-8F6E-6582F8C7B986}"/>
    <cellStyle name="SAPBEXexcGood3 3 11 2" xfId="32262" xr:uid="{048A9953-7322-4616-A76C-CBBBF65B7DC4}"/>
    <cellStyle name="SAPBEXexcGood3 3 12" xfId="17135" xr:uid="{06C78EA4-813C-4B46-A0DE-506764A50620}"/>
    <cellStyle name="SAPBEXexcGood3 3 12 2" xfId="32263" xr:uid="{CD414BAA-93C2-41BF-962B-0C0724286FA2}"/>
    <cellStyle name="SAPBEXexcGood3 3 13" xfId="17136" xr:uid="{393484F3-8975-4262-A7C2-13B76012BC34}"/>
    <cellStyle name="SAPBEXexcGood3 3 13 2" xfId="32264" xr:uid="{46409185-9FCE-4237-99CE-939095CFE0B2}"/>
    <cellStyle name="SAPBEXexcGood3 3 14" xfId="17137" xr:uid="{742B2645-80B7-4FAF-94FE-34B8FD300149}"/>
    <cellStyle name="SAPBEXexcGood3 3 14 2" xfId="32265" xr:uid="{8D23C93A-C032-441F-99CB-C8B06EAEA796}"/>
    <cellStyle name="SAPBEXexcGood3 3 15" xfId="17138" xr:uid="{CBC4996F-872A-4E58-8CDA-B006E2F39771}"/>
    <cellStyle name="SAPBEXexcGood3 3 15 2" xfId="32266" xr:uid="{EA107D9E-4E6F-435A-93BB-E687CDAAA5B7}"/>
    <cellStyle name="SAPBEXexcGood3 3 16" xfId="17139" xr:uid="{19388BE2-E9AF-4072-BE53-2DCE6A2DB5C4}"/>
    <cellStyle name="SAPBEXexcGood3 3 16 2" xfId="32267" xr:uid="{25EBE199-5EC8-42B7-B5C1-1874F0013877}"/>
    <cellStyle name="SAPBEXexcGood3 3 17" xfId="17140" xr:uid="{3DC90CEC-8B65-4EB8-A072-B47A66606726}"/>
    <cellStyle name="SAPBEXexcGood3 3 17 2" xfId="32268" xr:uid="{6FA048AE-C35A-442E-9725-435CCE8B8A11}"/>
    <cellStyle name="SAPBEXexcGood3 3 18" xfId="17141" xr:uid="{E92D55E4-2098-4BEA-BEBB-0ED6108580C4}"/>
    <cellStyle name="SAPBEXexcGood3 3 18 2" xfId="32269" xr:uid="{D701E829-C056-43C5-8125-66D9665D4087}"/>
    <cellStyle name="SAPBEXexcGood3 3 19" xfId="32260" xr:uid="{2C1525F4-8E72-4E27-995D-4AAF51895204}"/>
    <cellStyle name="SAPBEXexcGood3 3 2" xfId="17142" xr:uid="{7AB08CDD-CBB0-42ED-8B41-F112B9479223}"/>
    <cellStyle name="SAPBEXexcGood3 3 2 10" xfId="17143" xr:uid="{E458A84D-E284-4D59-8766-92E3D967BB5F}"/>
    <cellStyle name="SAPBEXexcGood3 3 2 10 2" xfId="32271" xr:uid="{A9838BB9-DB4E-4BB6-BED0-D4EBCEB96566}"/>
    <cellStyle name="SAPBEXexcGood3 3 2 11" xfId="17144" xr:uid="{E26EA6CA-1039-42D8-86ED-1ADDF25E56D8}"/>
    <cellStyle name="SAPBEXexcGood3 3 2 11 2" xfId="32272" xr:uid="{B00F61AD-F7C4-4571-8A60-D1F9311BC4D6}"/>
    <cellStyle name="SAPBEXexcGood3 3 2 12" xfId="17145" xr:uid="{8BBEB0B5-F664-4B21-AD15-F5019CD8E7BD}"/>
    <cellStyle name="SAPBEXexcGood3 3 2 12 2" xfId="32273" xr:uid="{35D63CE6-C48C-4DA6-BDFF-FFE427FADA74}"/>
    <cellStyle name="SAPBEXexcGood3 3 2 13" xfId="17146" xr:uid="{0938CFD1-0DBB-49F8-9079-7B39BDC829F1}"/>
    <cellStyle name="SAPBEXexcGood3 3 2 13 2" xfId="32274" xr:uid="{83C80142-BD22-4B26-9437-AE51AD07C80E}"/>
    <cellStyle name="SAPBEXexcGood3 3 2 14" xfId="17147" xr:uid="{DC40D6C6-A5E7-423B-8523-738C3406AAE3}"/>
    <cellStyle name="SAPBEXexcGood3 3 2 14 2" xfId="32289" xr:uid="{680EAB94-6902-4661-9ECA-4341CD6EDF1B}"/>
    <cellStyle name="SAPBEXexcGood3 3 2 15" xfId="32270" xr:uid="{6D0E886C-15E1-472E-881B-221906CF15A8}"/>
    <cellStyle name="SAPBEXexcGood3 3 2 2" xfId="17148" xr:uid="{ECBB0C5C-583A-40FE-9B1F-BEF0CF25D963}"/>
    <cellStyle name="SAPBEXexcGood3 3 2 2 2" xfId="32276" xr:uid="{0A9068C4-0B65-484A-9435-BEA80D53DF20}"/>
    <cellStyle name="SAPBEXexcGood3 3 2 3" xfId="17149" xr:uid="{5A6AACC8-EC66-4835-90DA-63614684C963}"/>
    <cellStyle name="SAPBEXexcGood3 3 2 3 2" xfId="32277" xr:uid="{4C7D6CFA-0AD6-42B1-B7AF-47ED697B199F}"/>
    <cellStyle name="SAPBEXexcGood3 3 2 4" xfId="17150" xr:uid="{478F1B8A-445E-4C55-9733-22A92EA2368C}"/>
    <cellStyle name="SAPBEXexcGood3 3 2 4 2" xfId="32278" xr:uid="{731A1BDE-AC2C-451F-8F9A-1013D669F4B5}"/>
    <cellStyle name="SAPBEXexcGood3 3 2 5" xfId="17151" xr:uid="{6133BEDB-706E-48E3-BDB0-A4B701739B87}"/>
    <cellStyle name="SAPBEXexcGood3 3 2 5 2" xfId="32279" xr:uid="{C72F4FC7-E2FF-42F2-852A-D214F1CB4635}"/>
    <cellStyle name="SAPBEXexcGood3 3 2 6" xfId="17152" xr:uid="{F5639EDB-5AEF-4867-BD7F-D2D6D9A5F86D}"/>
    <cellStyle name="SAPBEXexcGood3 3 2 6 2" xfId="32280" xr:uid="{19DB5A90-F4C2-4C7D-B2A4-DFE8C4403E74}"/>
    <cellStyle name="SAPBEXexcGood3 3 2 7" xfId="17153" xr:uid="{7E76F5F6-BDE7-482D-BF00-8D3B6CCE6793}"/>
    <cellStyle name="SAPBEXexcGood3 3 2 7 2" xfId="32281" xr:uid="{F7AC0FD7-DC0D-457E-BE43-C708618AE126}"/>
    <cellStyle name="SAPBEXexcGood3 3 2 8" xfId="17154" xr:uid="{4CB138DB-CD17-417B-B01F-183DAC41B477}"/>
    <cellStyle name="SAPBEXexcGood3 3 2 8 2" xfId="32282" xr:uid="{0494F314-4D28-4F6F-8251-5C991B561DEF}"/>
    <cellStyle name="SAPBEXexcGood3 3 2 9" xfId="17155" xr:uid="{1B42C676-C24D-410C-9724-C2BE5362DE52}"/>
    <cellStyle name="SAPBEXexcGood3 3 2 9 2" xfId="32283" xr:uid="{BC2AB868-DEA8-4E11-81BA-F889825603DA}"/>
    <cellStyle name="SAPBEXexcGood3 3 3" xfId="17156" xr:uid="{23D5B689-3D2D-4DD4-B773-CF63131C1FF3}"/>
    <cellStyle name="SAPBEXexcGood3 3 3 2" xfId="32284" xr:uid="{B7518184-8CCB-447C-8FB5-FDA1113EDABE}"/>
    <cellStyle name="SAPBEXexcGood3 3 4" xfId="17157" xr:uid="{BABD46E6-D216-4F97-9EAA-0435651B93F7}"/>
    <cellStyle name="SAPBEXexcGood3 3 4 2" xfId="32285" xr:uid="{8C404A8F-9079-4320-96D1-F1A0E07FEC27}"/>
    <cellStyle name="SAPBEXexcGood3 3 5" xfId="17158" xr:uid="{62E88735-DCC9-4C8D-B99F-6161B50B919F}"/>
    <cellStyle name="SAPBEXexcGood3 3 5 2" xfId="32286" xr:uid="{527E6067-B736-4CE7-9518-7FFC25E229D8}"/>
    <cellStyle name="SAPBEXexcGood3 3 6" xfId="17159" xr:uid="{CE07ED10-EA52-4483-92B9-233126590488}"/>
    <cellStyle name="SAPBEXexcGood3 3 6 2" xfId="32287" xr:uid="{91CF38A9-EBB1-42BD-A8D5-554BD61966B2}"/>
    <cellStyle name="SAPBEXexcGood3 3 7" xfId="17160" xr:uid="{0F76D0E2-A3AF-48EC-8667-18D27E52F85C}"/>
    <cellStyle name="SAPBEXexcGood3 3 7 2" xfId="32288" xr:uid="{8E680B23-C505-4261-A5E0-61D3479B0DF8}"/>
    <cellStyle name="SAPBEXexcGood3 3 8" xfId="17161" xr:uid="{FA66A685-560E-48E6-A078-E3372978E65B}"/>
    <cellStyle name="SAPBEXexcGood3 3 8 2" xfId="32305" xr:uid="{53B11401-6F0C-47D2-AF9A-5A45598122F0}"/>
    <cellStyle name="SAPBEXexcGood3 3 9" xfId="17162" xr:uid="{123DF04F-DBA1-4EBD-9231-4958A4C59639}"/>
    <cellStyle name="SAPBEXexcGood3 3 9 2" xfId="32290" xr:uid="{B5D53729-E8AF-49BD-B238-D0390489C006}"/>
    <cellStyle name="SAPBEXexcGood3 4" xfId="17163" xr:uid="{E042D915-302A-4BE2-AF5D-A052F45D20FF}"/>
    <cellStyle name="SAPBEXexcGood3 4 10" xfId="17164" xr:uid="{FBCF9507-18A1-4D6C-B163-CD73C6896EC6}"/>
    <cellStyle name="SAPBEXexcGood3 4 10 2" xfId="32292" xr:uid="{BE1A6B31-089B-4526-9EBB-ED79F6EF59FD}"/>
    <cellStyle name="SAPBEXexcGood3 4 11" xfId="17165" xr:uid="{3A54C262-83E3-4930-8197-1576EFE2883D}"/>
    <cellStyle name="SAPBEXexcGood3 4 11 2" xfId="32293" xr:uid="{6911B651-0F28-402D-A202-E6856FDB1A1B}"/>
    <cellStyle name="SAPBEXexcGood3 4 12" xfId="17166" xr:uid="{6B53814C-8327-415C-9B2D-923F2205B295}"/>
    <cellStyle name="SAPBEXexcGood3 4 12 2" xfId="32294" xr:uid="{2BA76322-13B3-4A58-A09A-E859FE6BDD47}"/>
    <cellStyle name="SAPBEXexcGood3 4 13" xfId="17167" xr:uid="{63D60B8C-9B0B-4EB3-89AB-C5687DF53618}"/>
    <cellStyle name="SAPBEXexcGood3 4 13 2" xfId="32295" xr:uid="{C87158B7-B85C-4DAA-9B1F-2F7AE5B858E2}"/>
    <cellStyle name="SAPBEXexcGood3 4 14" xfId="17168" xr:uid="{D954E939-99BE-43D3-89BA-483771888C80}"/>
    <cellStyle name="SAPBEXexcGood3 4 14 2" xfId="32296" xr:uid="{D2D47A4B-3B8D-4CA9-991C-24B494BA4A31}"/>
    <cellStyle name="SAPBEXexcGood3 4 15" xfId="32291" xr:uid="{466041D8-ADDE-4386-BD0F-58ED36E8260F}"/>
    <cellStyle name="SAPBEXexcGood3 4 2" xfId="17169" xr:uid="{ABE3D6C0-31DA-45E2-ACA4-E52417CCE9DF}"/>
    <cellStyle name="SAPBEXexcGood3 4 2 2" xfId="32297" xr:uid="{808299F8-07E3-4D2B-9F1D-ADE5371FBEE6}"/>
    <cellStyle name="SAPBEXexcGood3 4 3" xfId="17170" xr:uid="{019A165A-C027-415D-8E47-341528C526D0}"/>
    <cellStyle name="SAPBEXexcGood3 4 3 2" xfId="32298" xr:uid="{9BDE98A3-AAEA-412D-9673-15B4D82E7032}"/>
    <cellStyle name="SAPBEXexcGood3 4 4" xfId="17171" xr:uid="{160A1D0E-1FB9-4FC5-A544-943BD7C91550}"/>
    <cellStyle name="SAPBEXexcGood3 4 4 2" xfId="32299" xr:uid="{CACB2F00-B635-41F7-B82C-7B0894BE5627}"/>
    <cellStyle name="SAPBEXexcGood3 4 5" xfId="17172" xr:uid="{F29F1914-55AF-4934-BA67-6EE4026CF434}"/>
    <cellStyle name="SAPBEXexcGood3 4 5 2" xfId="32300" xr:uid="{6DD54A58-C5D4-424E-935F-E7AEF5F10914}"/>
    <cellStyle name="SAPBEXexcGood3 4 6" xfId="17173" xr:uid="{8C009296-7C9C-450D-948C-FD85376F4C1B}"/>
    <cellStyle name="SAPBEXexcGood3 4 6 2" xfId="32301" xr:uid="{C3FA0814-26F3-420F-94D8-4432E58C4307}"/>
    <cellStyle name="SAPBEXexcGood3 4 7" xfId="17174" xr:uid="{F5A1E4F7-256F-44B0-A016-65D29ED9585A}"/>
    <cellStyle name="SAPBEXexcGood3 4 7 2" xfId="32302" xr:uid="{DF043131-2052-4041-8E3D-212018E233A5}"/>
    <cellStyle name="SAPBEXexcGood3 4 8" xfId="17175" xr:uid="{045F76F9-C1F1-481F-B80C-3D68D139D144}"/>
    <cellStyle name="SAPBEXexcGood3 4 8 2" xfId="32303" xr:uid="{6F6507C0-C008-421D-A02D-AD4C74FFA6D9}"/>
    <cellStyle name="SAPBEXexcGood3 4 9" xfId="17176" xr:uid="{B1FAF4EC-AFEE-436C-9FD4-4200544380E3}"/>
    <cellStyle name="SAPBEXexcGood3 4 9 2" xfId="32304" xr:uid="{795A8BD4-1301-47D0-8521-800F3CB44555}"/>
    <cellStyle name="SAPBEXexcGood3 5" xfId="17177" xr:uid="{04BB5CF6-CEA3-4AF7-A1F4-014BC3641C61}"/>
    <cellStyle name="SAPBEXexcGood3 5 2" xfId="32306" xr:uid="{5DD7780C-C85B-49B7-AF4D-D576597FC06E}"/>
    <cellStyle name="SAPBEXexcGood3 6" xfId="17178" xr:uid="{46043759-38C2-4573-843E-098A297CED55}"/>
    <cellStyle name="SAPBEXexcGood3 6 2" xfId="32307" xr:uid="{9BAB7008-F388-4B38-A42B-634F588F14CB}"/>
    <cellStyle name="SAPBEXexcGood3 7" xfId="17179" xr:uid="{E962B576-E704-477D-8FD8-2A11E1DB6BB2}"/>
    <cellStyle name="SAPBEXexcGood3 7 2" xfId="32308" xr:uid="{568DA59C-EB55-45E9-8012-74B9E686FF25}"/>
    <cellStyle name="SAPBEXexcGood3 8" xfId="17180" xr:uid="{B033987F-653C-4E15-8F41-5B03D0F30C8B}"/>
    <cellStyle name="SAPBEXexcGood3 8 2" xfId="32309" xr:uid="{BA17EBC8-73D5-4F90-98FD-03A48BAA2058}"/>
    <cellStyle name="SAPBEXexcGood3 9" xfId="17181" xr:uid="{3F6A9C79-A161-451A-A63E-E4F979A07842}"/>
    <cellStyle name="SAPBEXexcGood3 9 2" xfId="32310" xr:uid="{E1A2D298-5A1C-4D24-AF58-175D8671704D}"/>
    <cellStyle name="SAPBEXexcVeryBad" xfId="17182" xr:uid="{E9D28B9A-63FC-4AF2-BE7A-5F52F3A47238}"/>
    <cellStyle name="SAPBEXexcVeryBad 2" xfId="17183" xr:uid="{BCE9E8FB-EF3D-48C2-84A7-80584D8A2192}"/>
    <cellStyle name="SAPBEXfilterDrill" xfId="17184" xr:uid="{AAA5FA4F-213B-4394-9A23-4ACCDEC30E31}"/>
    <cellStyle name="SAPBEXfilterDrill 2" xfId="17185" xr:uid="{47BDB360-D2F1-4DE3-BCFE-B771D682F364}"/>
    <cellStyle name="SAPBEXfilterItem" xfId="17186" xr:uid="{D6848FB9-3F1A-450B-9F2A-55E01D09FFE6}"/>
    <cellStyle name="SAPBEXfilterItem 2" xfId="17187" xr:uid="{18ADFB3B-E433-40BC-804F-1157254B86F1}"/>
    <cellStyle name="SAPBEXfilterText" xfId="17188" xr:uid="{CC1EA81B-8C1D-454E-8A6A-06C9A2E3C138}"/>
    <cellStyle name="SAPBEXfilterText 2" xfId="17189" xr:uid="{ADEBD53B-0B55-4B7B-98C1-76D84ED90714}"/>
    <cellStyle name="SAPBEXfilterText 2 2" xfId="17190" xr:uid="{4AC7041C-F57F-4ABC-A488-555402083022}"/>
    <cellStyle name="SAPBEXfilterText 2 3" xfId="17191" xr:uid="{349E2807-C79C-4D3D-A10D-744B4E52B7A3}"/>
    <cellStyle name="SAPBEXfilterText 3" xfId="17192" xr:uid="{7CB37996-413E-4103-ACC2-468D39DDDAE4}"/>
    <cellStyle name="SAPBEXfilterText 4" xfId="17193" xr:uid="{29BA699F-868B-473A-B0F8-BFDD11C404AF}"/>
    <cellStyle name="SAPBEXformats" xfId="17194" xr:uid="{472CF0A0-1478-4542-8EB6-EAD29E68341E}"/>
    <cellStyle name="SAPBEXformats 10" xfId="17195" xr:uid="{138A4F91-6E37-4822-A5AF-327837ED8509}"/>
    <cellStyle name="SAPBEXformats 10 2" xfId="32311" xr:uid="{44EB5368-FB21-40C2-9BAD-C6A0878AF50C}"/>
    <cellStyle name="SAPBEXformats 11" xfId="17196" xr:uid="{1DD09BC3-90AA-4375-B896-15830FD83E56}"/>
    <cellStyle name="SAPBEXformats 11 2" xfId="27517" xr:uid="{0F827F9B-704F-478D-8C9E-ED0BB97758FD}"/>
    <cellStyle name="SAPBEXformats 12" xfId="17197" xr:uid="{B9DD8EAC-864E-4B37-8DC9-429EAF7F94C7}"/>
    <cellStyle name="SAPBEXformats 12 2" xfId="32312" xr:uid="{72265E78-6D05-4E6D-93B6-74805B517258}"/>
    <cellStyle name="SAPBEXformats 13" xfId="17198" xr:uid="{AB51C3DC-0E72-4D74-9D1C-7D9F78108355}"/>
    <cellStyle name="SAPBEXformats 13 2" xfId="32313" xr:uid="{894D683C-36AF-41C1-AC49-7BDD293AE0AE}"/>
    <cellStyle name="SAPBEXformats 14" xfId="17199" xr:uid="{4A0A3211-C00B-40AF-A1D9-A918069BBE6C}"/>
    <cellStyle name="SAPBEXformats 14 2" xfId="27518" xr:uid="{E8CAF941-497E-42B2-8139-9307FBFED5F9}"/>
    <cellStyle name="SAPBEXformats 15" xfId="17200" xr:uid="{5FFBCE08-39B7-4355-B581-1C1E988A9A3B}"/>
    <cellStyle name="SAPBEXformats 15 2" xfId="32314" xr:uid="{46611E71-030D-43B4-803F-7E031CDDD245}"/>
    <cellStyle name="SAPBEXformats 16" xfId="17201" xr:uid="{C4A671F2-7711-40FD-AD57-9F2C05291AE8}"/>
    <cellStyle name="SAPBEXformats 16 2" xfId="32315" xr:uid="{F0B1D3BC-EE74-4CA8-8DE4-F512181B3104}"/>
    <cellStyle name="SAPBEXformats 17" xfId="17202" xr:uid="{6655F859-3FEC-482F-A415-6125D2AFC6BB}"/>
    <cellStyle name="SAPBEXformats 17 2" xfId="32316" xr:uid="{60D78A3B-7F63-4C55-BBE3-35B31AD6D89F}"/>
    <cellStyle name="SAPBEXformats 18" xfId="17203" xr:uid="{B114B3BB-A917-4FAC-B018-ECE59D1A7A6E}"/>
    <cellStyle name="SAPBEXformats 18 2" xfId="32317" xr:uid="{B97806A7-D1B6-4876-AC72-78EF7F871B3D}"/>
    <cellStyle name="SAPBEXformats 19" xfId="17204" xr:uid="{73887572-1FE5-4D46-BDD8-DC7DC8D0F567}"/>
    <cellStyle name="SAPBEXformats 19 2" xfId="27519" xr:uid="{192868F6-2205-42B9-B042-1A127D7B4D0A}"/>
    <cellStyle name="SAPBEXformats 2" xfId="17205" xr:uid="{A5A75AEE-52CA-44FE-BBA5-5F3DE7443878}"/>
    <cellStyle name="SAPBEXformats 2 10" xfId="17206" xr:uid="{B3E68F41-DEB4-40F7-89D3-E0F429046280}"/>
    <cellStyle name="SAPBEXformats 2 10 2" xfId="27520" xr:uid="{CC34A9A1-3726-49A2-828A-19A3E655C9BA}"/>
    <cellStyle name="SAPBEXformats 2 11" xfId="17207" xr:uid="{E8FEF533-6546-4229-AA1C-9291134C83DA}"/>
    <cellStyle name="SAPBEXformats 2 11 2" xfId="32319" xr:uid="{9BBF396C-5346-4C0D-91D5-789667D3C5EB}"/>
    <cellStyle name="SAPBEXformats 2 12" xfId="17208" xr:uid="{C66B1186-9807-4EF4-A992-23A0757D64B2}"/>
    <cellStyle name="SAPBEXformats 2 12 2" xfId="32320" xr:uid="{F970713D-872A-4992-8FE0-7EB87C919B94}"/>
    <cellStyle name="SAPBEXformats 2 13" xfId="17209" xr:uid="{4AE2112B-917C-4E00-A70B-4EA22E282AFE}"/>
    <cellStyle name="SAPBEXformats 2 13 2" xfId="27521" xr:uid="{ACB4E5AA-0D74-4EC3-9CFC-886097B91B12}"/>
    <cellStyle name="SAPBEXformats 2 14" xfId="17210" xr:uid="{88781AE0-A153-4400-A94E-A84BE1D7CB89}"/>
    <cellStyle name="SAPBEXformats 2 14 2" xfId="32321" xr:uid="{B392FD35-6660-49FE-A31C-72DF2F1B7846}"/>
    <cellStyle name="SAPBEXformats 2 15" xfId="17211" xr:uid="{C290CB72-B4D8-48A8-80AF-2E2D6B8D6296}"/>
    <cellStyle name="SAPBEXformats 2 15 2" xfId="32322" xr:uid="{281CD629-3E17-48F2-98B5-A6806EAE7C39}"/>
    <cellStyle name="SAPBEXformats 2 16" xfId="17212" xr:uid="{28126509-8AF7-455E-B821-33F4C4C029F3}"/>
    <cellStyle name="SAPBEXformats 2 16 2" xfId="32323" xr:uid="{7F869E42-80E0-4C52-9903-88337A9EE8EE}"/>
    <cellStyle name="SAPBEXformats 2 17" xfId="17213" xr:uid="{4F37BC9E-61DA-4574-B489-B79283D64309}"/>
    <cellStyle name="SAPBEXformats 2 17 2" xfId="32324" xr:uid="{84624D56-2518-4C60-8702-8733A479270D}"/>
    <cellStyle name="SAPBEXformats 2 18" xfId="17214" xr:uid="{22CEB681-46E4-4750-810F-AD3CD1739B83}"/>
    <cellStyle name="SAPBEXformats 2 18 2" xfId="27522" xr:uid="{F85C87BE-6FE7-4CF6-AC1D-0EF9A540BEC8}"/>
    <cellStyle name="SAPBEXformats 2 19" xfId="17215" xr:uid="{C167ABC8-A9DE-44F1-AECD-60B5C6805E91}"/>
    <cellStyle name="SAPBEXformats 2 19 2" xfId="32325" xr:uid="{41BB688C-B3DC-482D-876A-F95FCD914749}"/>
    <cellStyle name="SAPBEXformats 2 2" xfId="17216" xr:uid="{16940884-1E9E-471E-BF54-D484AD6D49E6}"/>
    <cellStyle name="SAPBEXformats 2 2 10" xfId="17217" xr:uid="{BAF0A871-A94B-4DD0-B73A-EC1C627849E2}"/>
    <cellStyle name="SAPBEXformats 2 2 10 2" xfId="32326" xr:uid="{A024B8A4-2231-4F77-8AA0-C40D059FC90B}"/>
    <cellStyle name="SAPBEXformats 2 2 11" xfId="17218" xr:uid="{E9DD45AD-8D96-4C35-B7B4-856376B394D2}"/>
    <cellStyle name="SAPBEXformats 2 2 11 2" xfId="32327" xr:uid="{079BF04E-4882-4AEA-8556-AE76B9A61CF4}"/>
    <cellStyle name="SAPBEXformats 2 2 12" xfId="17219" xr:uid="{8909A2A1-0A84-42E0-8DA0-4C0142373FD9}"/>
    <cellStyle name="SAPBEXformats 2 2 12 2" xfId="27524" xr:uid="{5CB71351-D2FB-4AEA-983F-9973E727E77A}"/>
    <cellStyle name="SAPBEXformats 2 2 13" xfId="17220" xr:uid="{DA1AAC20-4621-4AAE-8AB4-D267F7435CDA}"/>
    <cellStyle name="SAPBEXformats 2 2 13 2" xfId="32328" xr:uid="{E2361DF9-4C02-493C-8655-B602F8C547AF}"/>
    <cellStyle name="SAPBEXformats 2 2 14" xfId="17221" xr:uid="{A9AF3B60-CFBB-4649-B37F-1E0C5EA2D72D}"/>
    <cellStyle name="SAPBEXformats 2 2 14 2" xfId="32329" xr:uid="{F4853D18-BECC-4305-A802-44B5F28CE29E}"/>
    <cellStyle name="SAPBEXformats 2 2 15" xfId="17222" xr:uid="{FAE5FBDE-ADD8-4496-A6DC-477CFDE1E7B8}"/>
    <cellStyle name="SAPBEXformats 2 2 15 2" xfId="32330" xr:uid="{4EBC9DD4-5F08-4D9E-BB68-66EE3D4D2701}"/>
    <cellStyle name="SAPBEXformats 2 2 16" xfId="17223" xr:uid="{0C44B1F9-6DF0-4CD1-ABCF-693FB460F74E}"/>
    <cellStyle name="SAPBEXformats 2 2 16 2" xfId="32331" xr:uid="{3B1E2318-9AA2-4E08-92CB-14FE2E6572F2}"/>
    <cellStyle name="SAPBEXformats 2 2 17" xfId="17224" xr:uid="{DF41BAE9-7AD0-4D9C-8CE6-94A2ACCFBE75}"/>
    <cellStyle name="SAPBEXformats 2 2 17 2" xfId="27525" xr:uid="{3CD81E2C-0BAF-4985-8A16-8D8A5E9CF513}"/>
    <cellStyle name="SAPBEXformats 2 2 18" xfId="17225" xr:uid="{4B8B56E8-919A-4FED-B2A4-ACEAF4EDDD1D}"/>
    <cellStyle name="SAPBEXformats 2 2 18 2" xfId="32332" xr:uid="{E42019E0-2452-4F29-A91E-1752B1415EC1}"/>
    <cellStyle name="SAPBEXformats 2 2 19" xfId="27523" xr:uid="{27752658-39DF-4883-AD6A-7167C42B0751}"/>
    <cellStyle name="SAPBEXformats 2 2 2" xfId="17226" xr:uid="{0BF97718-BF49-42EE-9E87-731AE3A951CE}"/>
    <cellStyle name="SAPBEXformats 2 2 2 10" xfId="17227" xr:uid="{5B55F604-B7E6-465E-AB72-710A866EC9EE}"/>
    <cellStyle name="SAPBEXformats 2 2 2 10 2" xfId="32333" xr:uid="{71E56A4C-B06B-4F22-8B14-54536F09BAC3}"/>
    <cellStyle name="SAPBEXformats 2 2 2 11" xfId="17228" xr:uid="{76878302-1ECE-4541-94BC-52F29F0E8AA3}"/>
    <cellStyle name="SAPBEXformats 2 2 2 11 2" xfId="32334" xr:uid="{D3406BE5-6990-416D-AB6E-E90DD204DC5D}"/>
    <cellStyle name="SAPBEXformats 2 2 2 12" xfId="17229" xr:uid="{FE9FA0E2-E3F3-4D7F-AFE0-4C05ABD4322C}"/>
    <cellStyle name="SAPBEXformats 2 2 2 12 2" xfId="27527" xr:uid="{A13F8539-6E9E-4FBA-8CA0-60B74A8A74C6}"/>
    <cellStyle name="SAPBEXformats 2 2 2 13" xfId="17230" xr:uid="{A635BA23-0E00-4CDC-A1FD-3E9A69096117}"/>
    <cellStyle name="SAPBEXformats 2 2 2 13 2" xfId="32335" xr:uid="{608DD07F-BF0C-40C2-826E-C953F9E92175}"/>
    <cellStyle name="SAPBEXformats 2 2 2 14" xfId="17231" xr:uid="{A79D3225-9AB9-460F-8823-F3201DEF1F4E}"/>
    <cellStyle name="SAPBEXformats 2 2 2 14 2" xfId="32336" xr:uid="{1FA345FF-EF53-4D3A-8EEA-550BD7A01029}"/>
    <cellStyle name="SAPBEXformats 2 2 2 15" xfId="27526" xr:uid="{705722A2-4B12-4075-9C96-384E4D9985C8}"/>
    <cellStyle name="SAPBEXformats 2 2 2 2" xfId="17232" xr:uid="{99B59E3B-155C-4893-B82B-282672D5DCE2}"/>
    <cellStyle name="SAPBEXformats 2 2 2 2 2" xfId="32337" xr:uid="{EAA6468F-201B-42D7-B6CB-D74731707F53}"/>
    <cellStyle name="SAPBEXformats 2 2 2 3" xfId="17233" xr:uid="{A36D165F-0776-4A65-B6BF-F3F4AB69C1DA}"/>
    <cellStyle name="SAPBEXformats 2 2 2 3 2" xfId="32338" xr:uid="{97ACE7B0-D890-46E4-8D0C-71F60E6D6895}"/>
    <cellStyle name="SAPBEXformats 2 2 2 4" xfId="17234" xr:uid="{C56D9CD2-C63D-48FD-B100-A9C7AFAFFB3F}"/>
    <cellStyle name="SAPBEXformats 2 2 2 4 2" xfId="27528" xr:uid="{36E85D35-CEAA-4189-B460-BBEB2DDC9BED}"/>
    <cellStyle name="SAPBEXformats 2 2 2 5" xfId="17235" xr:uid="{095CC57C-58D7-4530-9774-487E23CEBAB4}"/>
    <cellStyle name="SAPBEXformats 2 2 2 5 2" xfId="32339" xr:uid="{03EEBBC7-1054-4A0E-97A2-FD2585A87B99}"/>
    <cellStyle name="SAPBEXformats 2 2 2 6" xfId="17236" xr:uid="{AC7DF34B-CA95-4CFB-AD95-D1774695116A}"/>
    <cellStyle name="SAPBEXformats 2 2 2 6 2" xfId="27529" xr:uid="{F5F0A27E-04A1-4CE4-B83F-489ABB9FCC8D}"/>
    <cellStyle name="SAPBEXformats 2 2 2 7" xfId="17237" xr:uid="{57C691EA-70C3-4B92-8BCA-0F17430E34A1}"/>
    <cellStyle name="SAPBEXformats 2 2 2 7 2" xfId="32340" xr:uid="{B817EF39-5106-4FDF-8313-2510F79718FE}"/>
    <cellStyle name="SAPBEXformats 2 2 2 8" xfId="17238" xr:uid="{D99D0702-7153-4CAE-BDAE-5BA8C8F68030}"/>
    <cellStyle name="SAPBEXformats 2 2 2 8 2" xfId="32341" xr:uid="{B6062DA9-ABEF-418C-BC54-F032F46C6C29}"/>
    <cellStyle name="SAPBEXformats 2 2 2 9" xfId="17239" xr:uid="{5F4C5D3E-9CB8-4F60-87DA-3476E621123D}"/>
    <cellStyle name="SAPBEXformats 2 2 2 9 2" xfId="27530" xr:uid="{F8660630-AC7D-4F6F-B31A-4182DA40DEFF}"/>
    <cellStyle name="SAPBEXformats 2 2 3" xfId="17240" xr:uid="{30CE63B7-FC42-4D6E-AD92-149CA42D0A68}"/>
    <cellStyle name="SAPBEXformats 2 2 3 2" xfId="32342" xr:uid="{8A3A98D3-687A-490B-9F03-5D2A2624998D}"/>
    <cellStyle name="SAPBEXformats 2 2 4" xfId="17241" xr:uid="{A29898EF-B902-4553-8CDB-07359A317068}"/>
    <cellStyle name="SAPBEXformats 2 2 4 2" xfId="32343" xr:uid="{949B86EE-1259-4F58-9857-EC47A5CAE20E}"/>
    <cellStyle name="SAPBEXformats 2 2 5" xfId="17242" xr:uid="{64CDE722-8114-479D-B23F-751586F5EE35}"/>
    <cellStyle name="SAPBEXformats 2 2 5 2" xfId="32344" xr:uid="{4D108827-E86D-4465-BC98-E5117988C950}"/>
    <cellStyle name="SAPBEXformats 2 2 6" xfId="17243" xr:uid="{F7ED9754-B94A-47F0-8545-30F277342103}"/>
    <cellStyle name="SAPBEXformats 2 2 6 2" xfId="32345" xr:uid="{E20536CD-13BC-4BBC-96EC-F7CF55EDA12D}"/>
    <cellStyle name="SAPBEXformats 2 2 7" xfId="17244" xr:uid="{ED74A5FE-D29E-4E45-9BF1-336FBE1C146A}"/>
    <cellStyle name="SAPBEXformats 2 2 7 2" xfId="27531" xr:uid="{09BACBA1-3975-43CB-99C0-1A53424792A1}"/>
    <cellStyle name="SAPBEXformats 2 2 8" xfId="17245" xr:uid="{1AD7F28E-C875-49D1-B150-4F48E4733D73}"/>
    <cellStyle name="SAPBEXformats 2 2 8 2" xfId="32346" xr:uid="{CD57CB88-130F-432B-808C-15E2207DAA6E}"/>
    <cellStyle name="SAPBEXformats 2 2 9" xfId="17246" xr:uid="{2C44AABF-BE4D-4556-8B0E-CF5021F5CB6D}"/>
    <cellStyle name="SAPBEXformats 2 2 9 2" xfId="27532" xr:uid="{11A95745-1919-43CF-8B52-58DD1E4261BB}"/>
    <cellStyle name="SAPBEXformats 2 20" xfId="32318" xr:uid="{834C7273-C01C-417A-B7A5-6816D39DDA7D}"/>
    <cellStyle name="SAPBEXformats 2 3" xfId="17247" xr:uid="{7F290F98-AAA3-4453-BE33-EEB244659308}"/>
    <cellStyle name="SAPBEXformats 2 3 10" xfId="17248" xr:uid="{505AF5DF-C7EA-41E9-B841-E8D973A6B855}"/>
    <cellStyle name="SAPBEXformats 2 3 10 2" xfId="32348" xr:uid="{46D3A98B-1AE0-4D2C-A300-62AA4D02252D}"/>
    <cellStyle name="SAPBEXformats 2 3 11" xfId="17249" xr:uid="{8E9BA9D8-4A41-41E7-B7AB-2DA2F232F7ED}"/>
    <cellStyle name="SAPBEXformats 2 3 11 2" xfId="27533" xr:uid="{FDD948D0-4E32-4153-A460-BCFF7DA76564}"/>
    <cellStyle name="SAPBEXformats 2 3 12" xfId="17250" xr:uid="{4EC879BC-E2D2-4D24-8AB0-0DE5B68B4EF5}"/>
    <cellStyle name="SAPBEXformats 2 3 12 2" xfId="32349" xr:uid="{AD3452CC-23EA-4FB8-8BC4-2827CAB72197}"/>
    <cellStyle name="SAPBEXformats 2 3 13" xfId="17251" xr:uid="{4D9BFF43-4551-4478-80B7-236781DC3762}"/>
    <cellStyle name="SAPBEXformats 2 3 13 2" xfId="32350" xr:uid="{5FB9989B-FF23-4916-BD36-95DAE6955FAC}"/>
    <cellStyle name="SAPBEXformats 2 3 14" xfId="17252" xr:uid="{57007AB8-467D-40F5-A89F-D0B80B7DDBFD}"/>
    <cellStyle name="SAPBEXformats 2 3 14 2" xfId="32351" xr:uid="{32FEB1D2-407D-4D47-A973-957C93C629BD}"/>
    <cellStyle name="SAPBEXformats 2 3 15" xfId="32347" xr:uid="{8B8C43DA-36D7-423D-A472-6AAF3C5D24E0}"/>
    <cellStyle name="SAPBEXformats 2 3 2" xfId="17253" xr:uid="{45B7832B-4FB5-4D73-A0C9-A8BB8DA5C0E4}"/>
    <cellStyle name="SAPBEXformats 2 3 2 2" xfId="32352" xr:uid="{EC81AC97-2D98-4FE0-8D0B-0E16301DC6E8}"/>
    <cellStyle name="SAPBEXformats 2 3 3" xfId="17254" xr:uid="{75D85064-C229-4CF9-8488-95418F48BDA0}"/>
    <cellStyle name="SAPBEXformats 2 3 3 2" xfId="32353" xr:uid="{93C0E1F0-16FB-4D28-BB70-C156E5EF4DA1}"/>
    <cellStyle name="SAPBEXformats 2 3 4" xfId="17255" xr:uid="{432716FA-5DA0-4D9B-8C83-8BAC0682EC16}"/>
    <cellStyle name="SAPBEXformats 2 3 4 2" xfId="32354" xr:uid="{D7AE8B7E-BB6D-458F-B4DB-95F27D56B561}"/>
    <cellStyle name="SAPBEXformats 2 3 5" xfId="17256" xr:uid="{476E94D2-7D8F-445D-8146-10E53914FE17}"/>
    <cellStyle name="SAPBEXformats 2 3 5 2" xfId="32355" xr:uid="{3EEBBEEC-AA75-4439-B03F-E084D5630912}"/>
    <cellStyle name="SAPBEXformats 2 3 6" xfId="17257" xr:uid="{CD09BE9F-7F6F-4FC2-B99E-7543557C99D6}"/>
    <cellStyle name="SAPBEXformats 2 3 6 2" xfId="32356" xr:uid="{5AA346EE-5BEF-45FF-9454-5D6E3F8F179F}"/>
    <cellStyle name="SAPBEXformats 2 3 7" xfId="17258" xr:uid="{D8E51F53-D348-4B97-A1AD-429B7919EC8D}"/>
    <cellStyle name="SAPBEXformats 2 3 7 2" xfId="32357" xr:uid="{95EE1E2B-BB21-4E89-B65F-6F1D334D8A0F}"/>
    <cellStyle name="SAPBEXformats 2 3 8" xfId="17259" xr:uid="{97025C5E-FDC7-428F-912E-EEB6C69AD1AD}"/>
    <cellStyle name="SAPBEXformats 2 3 8 2" xfId="32358" xr:uid="{A069AB22-1E55-4889-8143-B06F0CE5F732}"/>
    <cellStyle name="SAPBEXformats 2 3 9" xfId="17260" xr:uid="{0D38E5CB-0A27-4317-B4A3-6478524A8E29}"/>
    <cellStyle name="SAPBEXformats 2 3 9 2" xfId="32359" xr:uid="{7139D99E-4B85-4040-A08E-040FB49E38AC}"/>
    <cellStyle name="SAPBEXformats 2 4" xfId="17261" xr:uid="{5D7C64C4-0BD5-4501-A9FD-AD28E7C70F33}"/>
    <cellStyle name="SAPBEXformats 2 4 2" xfId="32360" xr:uid="{84C2428B-F784-456B-8CA9-053B01BF921C}"/>
    <cellStyle name="SAPBEXformats 2 5" xfId="17262" xr:uid="{1AAB3183-FE3D-406D-9722-019216E969A2}"/>
    <cellStyle name="SAPBEXformats 2 5 2" xfId="32361" xr:uid="{15D85EF6-AB25-4EE7-862E-B1D6B8954F04}"/>
    <cellStyle name="SAPBEXformats 2 6" xfId="17263" xr:uid="{89C938DA-EC95-44AE-B298-165BE51E520F}"/>
    <cellStyle name="SAPBEXformats 2 6 2" xfId="32362" xr:uid="{32565BAF-3059-45DF-A46B-876DD74E4919}"/>
    <cellStyle name="SAPBEXformats 2 7" xfId="17264" xr:uid="{5C59FA49-01B5-49F4-937C-DC0C445091AB}"/>
    <cellStyle name="SAPBEXformats 2 7 2" xfId="32363" xr:uid="{9B66D0E5-8CCF-4C7D-A502-DBB8010E032D}"/>
    <cellStyle name="SAPBEXformats 2 8" xfId="17265" xr:uid="{FAE3F767-86BA-48B2-84FB-A6C44E6312C0}"/>
    <cellStyle name="SAPBEXformats 2 8 2" xfId="32364" xr:uid="{BB457B9E-D748-49E7-8D22-ADD60C93D6FE}"/>
    <cellStyle name="SAPBEXformats 2 9" xfId="17266" xr:uid="{4EC841F4-633F-45E7-8704-E4E4FB2D694A}"/>
    <cellStyle name="SAPBEXformats 2 9 2" xfId="32365" xr:uid="{507A5918-F7FD-418F-B35A-FC920080ED4C}"/>
    <cellStyle name="SAPBEXformats 20" xfId="17267" xr:uid="{332B8E9D-F20E-4A0E-BE01-0F3608E21A4A}"/>
    <cellStyle name="SAPBEXformats 20 2" xfId="32366" xr:uid="{82BC2EA0-E6F8-4B62-9FDB-9E5BEB06CC8F}"/>
    <cellStyle name="SAPBEXformats 21" xfId="17268" xr:uid="{4340B3C5-9206-4CB9-AE54-3DBDD6ACD0EE}"/>
    <cellStyle name="SAPBEXformats 21 2" xfId="32367" xr:uid="{07B62203-E5F9-45EC-B64F-E3F9CC7D4F76}"/>
    <cellStyle name="SAPBEXformats 3" xfId="17269" xr:uid="{A37790D3-7E40-4839-B27C-3A466A860AF9}"/>
    <cellStyle name="SAPBEXformats 3 2" xfId="17270" xr:uid="{2B19AB13-D46F-482F-8768-DC935F019364}"/>
    <cellStyle name="SAPBEXformats 3 2 10" xfId="17271" xr:uid="{14F96F9F-29F3-44A7-8745-301313DD3BDA}"/>
    <cellStyle name="SAPBEXformats 3 2 10 2" xfId="32370" xr:uid="{7A90C41B-6DCF-4D68-BB44-82EE4C8572D4}"/>
    <cellStyle name="SAPBEXformats 3 2 11" xfId="17272" xr:uid="{CF59FA01-182D-4992-99B8-BB70A17FE6A6}"/>
    <cellStyle name="SAPBEXformats 3 2 11 2" xfId="32371" xr:uid="{C21FF995-DF46-4971-8AD3-9E15FF253F23}"/>
    <cellStyle name="SAPBEXformats 3 2 12" xfId="17273" xr:uid="{7CF79A1A-E007-486D-8D6E-9D921AAF45B5}"/>
    <cellStyle name="SAPBEXformats 3 2 12 2" xfId="32372" xr:uid="{FB70933A-CE0C-4BD2-A26A-93BEBC30C8BE}"/>
    <cellStyle name="SAPBEXformats 3 2 13" xfId="17274" xr:uid="{5C252141-3386-4551-83DA-EFB46E31D9D2}"/>
    <cellStyle name="SAPBEXformats 3 2 13 2" xfId="32373" xr:uid="{975ADE9E-9B95-456E-BECD-0563F982A212}"/>
    <cellStyle name="SAPBEXformats 3 2 14" xfId="17275" xr:uid="{5E4D9811-7F74-4848-8072-684415FDA846}"/>
    <cellStyle name="SAPBEXformats 3 2 14 2" xfId="32374" xr:uid="{2B990D45-022B-4C02-A998-99441CB9B1AA}"/>
    <cellStyle name="SAPBEXformats 3 2 15" xfId="32369" xr:uid="{0DA00B5E-A8B6-41CE-8931-DC5CA5CC040C}"/>
    <cellStyle name="SAPBEXformats 3 2 2" xfId="17276" xr:uid="{95E709ED-936A-4864-A09C-D6B51DEB6B4C}"/>
    <cellStyle name="SAPBEXformats 3 2 2 2" xfId="32375" xr:uid="{406978B9-042E-42FC-A7FD-781B1236F04E}"/>
    <cellStyle name="SAPBEXformats 3 2 3" xfId="17277" xr:uid="{D9E0649C-4F28-4BAC-97DF-011E2524C7C7}"/>
    <cellStyle name="SAPBEXformats 3 2 3 2" xfId="32376" xr:uid="{2F3EA988-43C2-4379-92A7-787369DF595E}"/>
    <cellStyle name="SAPBEXformats 3 2 4" xfId="17278" xr:uid="{2A531E3C-CCB5-4A8B-B031-C8C42B2EC5F1}"/>
    <cellStyle name="SAPBEXformats 3 2 4 2" xfId="32377" xr:uid="{5744A9A9-E456-43A7-BA57-F13ED34375D0}"/>
    <cellStyle name="SAPBEXformats 3 2 5" xfId="17279" xr:uid="{6D1A2D9B-6968-48FB-9742-B9BD11E100A6}"/>
    <cellStyle name="SAPBEXformats 3 2 5 2" xfId="32378" xr:uid="{D1E3C5E0-A686-4BEF-B60D-91981D74544F}"/>
    <cellStyle name="SAPBEXformats 3 2 6" xfId="17280" xr:uid="{1D0137E2-2AA0-4E54-BCD0-472C928D58FE}"/>
    <cellStyle name="SAPBEXformats 3 2 6 2" xfId="32379" xr:uid="{504E4B89-D6C9-46F8-9B11-7B8893DA23DD}"/>
    <cellStyle name="SAPBEXformats 3 2 7" xfId="17281" xr:uid="{7F829104-99D2-4F67-BB7B-FE920AE41262}"/>
    <cellStyle name="SAPBEXformats 3 2 7 2" xfId="32380" xr:uid="{ABA6B4B4-7A5F-4170-995F-D2715312ABE8}"/>
    <cellStyle name="SAPBEXformats 3 2 8" xfId="17282" xr:uid="{3352BEFA-B5D1-4F3C-885E-2CE3B7E459C5}"/>
    <cellStyle name="SAPBEXformats 3 2 8 2" xfId="32381" xr:uid="{CC06463E-4C2B-4491-BB61-FF543B03CC21}"/>
    <cellStyle name="SAPBEXformats 3 2 9" xfId="17283" xr:uid="{A484C26C-30B4-4E5B-91A1-390291048E5A}"/>
    <cellStyle name="SAPBEXformats 3 2 9 2" xfId="32382" xr:uid="{1EBAB999-5EF0-4634-AA77-EA9906B08082}"/>
    <cellStyle name="SAPBEXformats 3 3" xfId="17284" xr:uid="{5DA3A864-1012-4897-B965-B2B3D2A3400F}"/>
    <cellStyle name="SAPBEXformats 3 4" xfId="32368" xr:uid="{D6F9A590-A3E5-4F83-935A-0CAAFD7E10C9}"/>
    <cellStyle name="SAPBEXformats 4" xfId="17285" xr:uid="{0BFD0DAF-A78D-47C7-873B-C847D8A6236D}"/>
    <cellStyle name="SAPBEXformats 5" xfId="17286" xr:uid="{64C52C5C-FE96-4803-A8D1-8F3D664E3F53}"/>
    <cellStyle name="SAPBEXformats 5 10" xfId="17287" xr:uid="{CB980DCA-EA93-4FC0-ACDD-412E778A3989}"/>
    <cellStyle name="SAPBEXformats 5 10 2" xfId="32384" xr:uid="{721F49F6-E191-42A5-B992-1B7AE81BE22B}"/>
    <cellStyle name="SAPBEXformats 5 11" xfId="17288" xr:uid="{B5B730BC-6CC1-43E2-A09C-A57E7AC6AC89}"/>
    <cellStyle name="SAPBEXformats 5 11 2" xfId="32385" xr:uid="{A0D305E1-6620-4049-A81B-BAC6010A28ED}"/>
    <cellStyle name="SAPBEXformats 5 12" xfId="17289" xr:uid="{8D452ED0-72C8-4F0D-A35B-A8EB39B8E3D4}"/>
    <cellStyle name="SAPBEXformats 5 12 2" xfId="32386" xr:uid="{A1E56EDD-096C-4988-BD83-7800976BE1AC}"/>
    <cellStyle name="SAPBEXformats 5 13" xfId="17290" xr:uid="{CDED80E1-D5BB-41EF-9BA9-862D3A977BE3}"/>
    <cellStyle name="SAPBEXformats 5 13 2" xfId="32387" xr:uid="{72F66568-4A4E-48DE-87D7-9AED76DF3F7A}"/>
    <cellStyle name="SAPBEXformats 5 14" xfId="17291" xr:uid="{E0500BAE-F783-4B2D-8DF5-FBA4411E9701}"/>
    <cellStyle name="SAPBEXformats 5 14 2" xfId="32388" xr:uid="{03641FB2-E793-4A88-A9B9-47B5CE1703DC}"/>
    <cellStyle name="SAPBEXformats 5 15" xfId="32383" xr:uid="{E1CB69F7-B60F-4FB7-AD2F-1509469CBA7E}"/>
    <cellStyle name="SAPBEXformats 5 2" xfId="17292" xr:uid="{D54C922F-AE1F-4FF1-AAB7-D5F9EBC8E0C7}"/>
    <cellStyle name="SAPBEXformats 5 2 2" xfId="32389" xr:uid="{E2DDBA67-386E-4474-8539-BD3659D17E33}"/>
    <cellStyle name="SAPBEXformats 5 3" xfId="17293" xr:uid="{33FF3B7A-E4F9-4391-9FD4-D894945E4859}"/>
    <cellStyle name="SAPBEXformats 5 3 2" xfId="32390" xr:uid="{BDE0EF61-785F-4B05-8403-8618F0C83C00}"/>
    <cellStyle name="SAPBEXformats 5 4" xfId="17294" xr:uid="{4BDD69C6-BDD0-487E-ADF1-49463E3802A8}"/>
    <cellStyle name="SAPBEXformats 5 4 2" xfId="32391" xr:uid="{CF991193-B87C-44F6-B956-73CF146FDF72}"/>
    <cellStyle name="SAPBEXformats 5 5" xfId="17295" xr:uid="{527BE78A-4E66-4161-AF6E-7D45653EF943}"/>
    <cellStyle name="SAPBEXformats 5 5 2" xfId="32392" xr:uid="{BFB026A9-9A9A-441B-A4E3-CA4E44F9D2DD}"/>
    <cellStyle name="SAPBEXformats 5 6" xfId="17296" xr:uid="{68F7AE51-9797-4F3D-81DC-48B4389430B1}"/>
    <cellStyle name="SAPBEXformats 5 6 2" xfId="32393" xr:uid="{A8AD62C4-43CF-468C-8959-DC456E90A69A}"/>
    <cellStyle name="SAPBEXformats 5 7" xfId="17297" xr:uid="{01692ACF-E5E2-4182-BC6B-3CF7BC8AFF2D}"/>
    <cellStyle name="SAPBEXformats 5 7 2" xfId="32394" xr:uid="{41D216A3-6484-4F62-A9F1-972559234C5A}"/>
    <cellStyle name="SAPBEXformats 5 8" xfId="17298" xr:uid="{8833BEF4-A6B4-4289-901F-42DEF8512702}"/>
    <cellStyle name="SAPBEXformats 5 8 2" xfId="32395" xr:uid="{52512CCC-EB66-4C8D-B541-FDEE2E23B525}"/>
    <cellStyle name="SAPBEXformats 5 9" xfId="17299" xr:uid="{AB98A97F-491D-495E-845F-71E2F6756B31}"/>
    <cellStyle name="SAPBEXformats 5 9 2" xfId="32396" xr:uid="{18C1FB79-DD47-47A3-9D74-17AA38EB1B43}"/>
    <cellStyle name="SAPBEXformats 6" xfId="17300" xr:uid="{57079BD8-85C2-4DBA-87ED-65FC7F51EE1C}"/>
    <cellStyle name="SAPBEXformats 6 2" xfId="32397" xr:uid="{4DF555F9-B716-4B45-B757-E7E650D6DD62}"/>
    <cellStyle name="SAPBEXformats 7" xfId="17301" xr:uid="{BE458FD2-C3CC-4292-B5A0-3979BD5AE625}"/>
    <cellStyle name="SAPBEXformats 7 2" xfId="32398" xr:uid="{B0DD17F6-0AF5-4AEE-9187-85FF3F9F278C}"/>
    <cellStyle name="SAPBEXformats 8" xfId="17302" xr:uid="{F136BC1E-C088-499D-B0D9-202BADE6EAAC}"/>
    <cellStyle name="SAPBEXformats 8 2" xfId="32399" xr:uid="{97B626B7-35A9-47FE-B8E6-EA4B21BD7F1A}"/>
    <cellStyle name="SAPBEXformats 9" xfId="17303" xr:uid="{862A1248-D5EF-42F0-AFBC-FF547DF2A86D}"/>
    <cellStyle name="SAPBEXformats 9 2" xfId="32400" xr:uid="{252E0D38-BA9C-4E99-8160-8206A583C153}"/>
    <cellStyle name="SAPBEXheaderData" xfId="17304" xr:uid="{999DCCE7-6FA1-40EA-AF9C-6B469A4CFB1A}"/>
    <cellStyle name="SAPBEXheaderData 2" xfId="17305" xr:uid="{8D86B2FC-3AF9-4703-8150-980A644AC9F4}"/>
    <cellStyle name="SAPBEXheaderItem" xfId="17306" xr:uid="{DF5A756F-8A6E-4CE4-A0BE-BE95C9458FC3}"/>
    <cellStyle name="SAPBEXheaderItem 2" xfId="17307" xr:uid="{01751606-DD1C-43AC-87F3-F5736091759B}"/>
    <cellStyle name="SAPBEXheaderText" xfId="17308" xr:uid="{1CC1B187-78EC-49DD-870F-426EF8DE0F8C}"/>
    <cellStyle name="SAPBEXheaderText 2" xfId="17309" xr:uid="{3E862D8B-CA33-4647-A3AD-F1A397BC66AC}"/>
    <cellStyle name="SAPBEXheaderText 2 2" xfId="17310" xr:uid="{5E9AB9D5-193D-438E-AA02-C3C77BAA3068}"/>
    <cellStyle name="SAPBEXheaderText 2 3" xfId="17311" xr:uid="{2B888D05-ECC7-427A-AD33-B3AB8EBE8F46}"/>
    <cellStyle name="SAPBEXheaderText 3" xfId="17312" xr:uid="{277CA16B-5419-49FF-9E6F-D2CFDEAEC149}"/>
    <cellStyle name="SAPBEXheaderText 4" xfId="17313" xr:uid="{1A9913B2-9D80-4B01-B672-E629B9CE152F}"/>
    <cellStyle name="SAPBEXHLevel0" xfId="17314" xr:uid="{69A9A6BC-0B6D-4892-BE1E-1422B6F1C11C}"/>
    <cellStyle name="SAPBEXHLevel0 10" xfId="17315" xr:uid="{8AF9F6D6-1984-470C-A74E-274224507AD1}"/>
    <cellStyle name="SAPBEXHLevel0 10 2" xfId="32402" xr:uid="{DB549D0B-8A47-4431-BD3D-383ED4A86029}"/>
    <cellStyle name="SAPBEXHLevel0 11" xfId="17316" xr:uid="{BE285753-12C9-413A-A748-C9AA3542342B}"/>
    <cellStyle name="SAPBEXHLevel0 11 2" xfId="32403" xr:uid="{BAD0746B-FC7B-4406-8591-C0F8FA730D2D}"/>
    <cellStyle name="SAPBEXHLevel0 12" xfId="17317" xr:uid="{DE0AD7B7-0498-4B82-9C11-A3116998E777}"/>
    <cellStyle name="SAPBEXHLevel0 12 2" xfId="32404" xr:uid="{E2934F82-E712-432E-9F95-54824DD9F15F}"/>
    <cellStyle name="SAPBEXHLevel0 13" xfId="17318" xr:uid="{B8DBA6BE-08EB-452F-9879-FB19C52F018C}"/>
    <cellStyle name="SAPBEXHLevel0 13 2" xfId="32405" xr:uid="{44EC618B-E401-4682-AC29-24EEDEBB0EB1}"/>
    <cellStyle name="SAPBEXHLevel0 14" xfId="17319" xr:uid="{7805D569-84FC-4932-89DB-E309DD8CA50D}"/>
    <cellStyle name="SAPBEXHLevel0 14 2" xfId="32406" xr:uid="{3BB5B8CD-5104-4939-90A2-0C60C7514D95}"/>
    <cellStyle name="SAPBEXHLevel0 15" xfId="17320" xr:uid="{A36E2F95-D8D2-46D0-A483-135A3E828AE5}"/>
    <cellStyle name="SAPBEXHLevel0 15 2" xfId="32422" xr:uid="{19C289AC-3D0A-4096-A757-22A40AEAEB11}"/>
    <cellStyle name="SAPBEXHLevel0 16" xfId="17321" xr:uid="{2DD27C82-799A-4B7C-9027-06479BA65364}"/>
    <cellStyle name="SAPBEXHLevel0 16 2" xfId="32407" xr:uid="{3016E2CD-A90E-4FF8-B994-0AE266DB57A4}"/>
    <cellStyle name="SAPBEXHLevel0 17" xfId="17322" xr:uid="{3BC2707D-F55B-4EAF-AC5D-5679577E8BA5}"/>
    <cellStyle name="SAPBEXHLevel0 17 2" xfId="32408" xr:uid="{DBA46F2B-D89B-4D71-8DB0-14DFE73E1127}"/>
    <cellStyle name="SAPBEXHLevel0 18" xfId="17323" xr:uid="{ABCEE855-CC9C-4B13-9C2E-4880506218DD}"/>
    <cellStyle name="SAPBEXHLevel0 18 2" xfId="32409" xr:uid="{C41500A0-901D-4940-B59E-8AC3CDC34F03}"/>
    <cellStyle name="SAPBEXHLevel0 19" xfId="17324" xr:uid="{B282C0A8-B833-4A69-B926-C4646F4D73F8}"/>
    <cellStyle name="SAPBEXHLevel0 19 2" xfId="32410" xr:uid="{7320F13E-912D-4DF0-9757-31A5FA32796F}"/>
    <cellStyle name="SAPBEXHLevel0 2" xfId="17325" xr:uid="{CCF8F062-BD42-4831-9BE5-076563121DAE}"/>
    <cellStyle name="SAPBEXHLevel0 2 10" xfId="17326" xr:uid="{1765AB7F-729C-492C-875C-06CD6347BF99}"/>
    <cellStyle name="SAPBEXHLevel0 2 10 2" xfId="32412" xr:uid="{434DD270-930D-49EB-AA9E-C04EC498A469}"/>
    <cellStyle name="SAPBEXHLevel0 2 11" xfId="17327" xr:uid="{21A75675-A1E7-4C97-8805-AD10901489A6}"/>
    <cellStyle name="SAPBEXHLevel0 2 11 2" xfId="32413" xr:uid="{AEFFD6C3-B55E-4BA9-A101-DC180C064E32}"/>
    <cellStyle name="SAPBEXHLevel0 2 12" xfId="17328" xr:uid="{40374A0F-D291-44F2-B75F-394D4933B773}"/>
    <cellStyle name="SAPBEXHLevel0 2 12 2" xfId="32414" xr:uid="{242AF7BF-0B0A-45D4-B861-BE5D156DBD9D}"/>
    <cellStyle name="SAPBEXHLevel0 2 13" xfId="17329" xr:uid="{132E8BF0-330A-48B3-B5D9-E630AEBAE664}"/>
    <cellStyle name="SAPBEXHLevel0 2 13 2" xfId="32415" xr:uid="{11A64A6C-6730-4167-B5A0-F0405BA4AF0B}"/>
    <cellStyle name="SAPBEXHLevel0 2 14" xfId="17330" xr:uid="{39AFB257-F50F-40A7-8FEC-AC3523ED58F7}"/>
    <cellStyle name="SAPBEXHLevel0 2 14 2" xfId="32416" xr:uid="{35ED504A-5FA0-41D0-9FE3-A2EBB50D4530}"/>
    <cellStyle name="SAPBEXHLevel0 2 15" xfId="17331" xr:uid="{72D35797-B2B2-4D1A-AB45-8C28E60DD439}"/>
    <cellStyle name="SAPBEXHLevel0 2 15 2" xfId="32417" xr:uid="{107DB517-24F2-4437-BB75-D5B592BE5EA9}"/>
    <cellStyle name="SAPBEXHLevel0 2 16" xfId="17332" xr:uid="{FB41B187-4F6B-499B-81AD-A1790D504D9C}"/>
    <cellStyle name="SAPBEXHLevel0 2 16 2" xfId="32418" xr:uid="{020CF775-2A2B-4E26-8160-36EB3112429B}"/>
    <cellStyle name="SAPBEXHLevel0 2 17" xfId="17333" xr:uid="{1334B140-2433-43A8-A7DE-BFD804EF326F}"/>
    <cellStyle name="SAPBEXHLevel0 2 17 2" xfId="32419" xr:uid="{65AFC3FF-6DA2-46B6-81D4-7FDAB4E33958}"/>
    <cellStyle name="SAPBEXHLevel0 2 18" xfId="17334" xr:uid="{E5294B6F-5EC1-49C1-B2F1-16F8CF83ACBD}"/>
    <cellStyle name="SAPBEXHLevel0 2 18 2" xfId="32420" xr:uid="{12BC79B8-58D8-4D36-A9DA-BB0BD01C1218}"/>
    <cellStyle name="SAPBEXHLevel0 2 19" xfId="17335" xr:uid="{9C579303-ED7D-429B-AA9C-24CC2E2496D4}"/>
    <cellStyle name="SAPBEXHLevel0 2 19 2" xfId="32421" xr:uid="{395FA0F9-D9DD-406E-B923-D6CB0B92B131}"/>
    <cellStyle name="SAPBEXHLevel0 2 2" xfId="17336" xr:uid="{A11096EC-41F7-40A4-9C57-6A37350E573D}"/>
    <cellStyle name="SAPBEXHLevel0 2 2 10" xfId="17337" xr:uid="{9C70F6A2-ED23-40B2-8C16-9C4C58D341CB}"/>
    <cellStyle name="SAPBEXHLevel0 2 2 10 2" xfId="32423" xr:uid="{1D3D7DBF-9A8B-45C1-9A3A-AF8D9244803E}"/>
    <cellStyle name="SAPBEXHLevel0 2 2 11" xfId="17338" xr:uid="{2F8B0701-2892-4701-81EB-E6EEBB894C07}"/>
    <cellStyle name="SAPBEXHLevel0 2 2 11 2" xfId="32424" xr:uid="{85D9AF13-2F0D-43FA-9EE8-7B57A1AF0984}"/>
    <cellStyle name="SAPBEXHLevel0 2 2 12" xfId="17339" xr:uid="{7FFFF742-E9A7-4ECB-8652-32BD435ED4AE}"/>
    <cellStyle name="SAPBEXHLevel0 2 2 12 2" xfId="32425" xr:uid="{D42DB685-D9D9-4C81-A32A-2DE092092661}"/>
    <cellStyle name="SAPBEXHLevel0 2 2 13" xfId="17340" xr:uid="{7036FEAD-C339-45C9-A1FC-31BB2927C434}"/>
    <cellStyle name="SAPBEXHLevel0 2 2 13 2" xfId="32426" xr:uid="{01A728D4-53F9-4D7C-A310-31543C5945BF}"/>
    <cellStyle name="SAPBEXHLevel0 2 2 14" xfId="17341" xr:uid="{51091E72-4ADC-457F-82A8-470944A3C693}"/>
    <cellStyle name="SAPBEXHLevel0 2 2 14 2" xfId="32427" xr:uid="{54418FF2-9EA9-4482-B1BE-39EC332519E9}"/>
    <cellStyle name="SAPBEXHLevel0 2 2 15" xfId="17342" xr:uid="{18F9CBC2-84E9-42D5-884E-FD96D0C9AA20}"/>
    <cellStyle name="SAPBEXHLevel0 2 2 15 2" xfId="32428" xr:uid="{E74B05D1-A8B7-4541-91E3-B19ECEA40BD3}"/>
    <cellStyle name="SAPBEXHLevel0 2 2 16" xfId="17343" xr:uid="{01574593-2618-4EA4-9918-656BDC63E564}"/>
    <cellStyle name="SAPBEXHLevel0 2 2 16 2" xfId="32429" xr:uid="{830443AB-D5B7-4D7A-8152-89050A62C75A}"/>
    <cellStyle name="SAPBEXHLevel0 2 2 17" xfId="17344" xr:uid="{D4A197EE-F625-4E61-AC87-9A74DF3663F3}"/>
    <cellStyle name="SAPBEXHLevel0 2 2 17 2" xfId="32430" xr:uid="{7A16F97A-95E6-415C-B110-2C255292116C}"/>
    <cellStyle name="SAPBEXHLevel0 2 2 18" xfId="17345" xr:uid="{20D12520-06CB-44A5-8FF5-5E83E36A90BB}"/>
    <cellStyle name="SAPBEXHLevel0 2 2 18 2" xfId="32431" xr:uid="{37EFCA5A-D6B5-4452-AA78-9203ADCBF302}"/>
    <cellStyle name="SAPBEXHLevel0 2 2 19" xfId="32436" xr:uid="{0971CDD5-36C0-443B-861D-C1C19526AC40}"/>
    <cellStyle name="SAPBEXHLevel0 2 2 2" xfId="17346" xr:uid="{738964AB-9AAB-4B35-B13B-BC62F4686668}"/>
    <cellStyle name="SAPBEXHLevel0 2 2 2 10" xfId="17347" xr:uid="{49D69038-3C8A-425C-8115-0F0DEC182940}"/>
    <cellStyle name="SAPBEXHLevel0 2 2 2 10 2" xfId="32433" xr:uid="{20B63F4C-6962-42EB-9298-E6E7D6B76C6D}"/>
    <cellStyle name="SAPBEXHLevel0 2 2 2 11" xfId="17348" xr:uid="{375F3FEA-481A-4380-AE0D-2FD146A32C86}"/>
    <cellStyle name="SAPBEXHLevel0 2 2 2 11 2" xfId="32434" xr:uid="{9DBF2689-3E95-4E79-B4A1-8CB8772C6950}"/>
    <cellStyle name="SAPBEXHLevel0 2 2 2 12" xfId="17349" xr:uid="{AA4630A4-E5F8-447D-8045-A88C31553247}"/>
    <cellStyle name="SAPBEXHLevel0 2 2 2 12 2" xfId="32435" xr:uid="{B8094EB4-7596-48D6-B986-3AB642EC0A07}"/>
    <cellStyle name="SAPBEXHLevel0 2 2 2 13" xfId="17350" xr:uid="{E93F5C43-969E-4122-A7E4-FB3F0FB66332}"/>
    <cellStyle name="SAPBEXHLevel0 2 2 2 13 2" xfId="32452" xr:uid="{DEE06B6C-0875-48B1-9FAD-C7E3F9F17E8B}"/>
    <cellStyle name="SAPBEXHLevel0 2 2 2 14" xfId="17351" xr:uid="{D63E651F-D099-42EF-97C0-CBB5E5D7B55E}"/>
    <cellStyle name="SAPBEXHLevel0 2 2 2 14 2" xfId="32437" xr:uid="{5C3A2D60-F945-4D90-8755-6C94FABF6701}"/>
    <cellStyle name="SAPBEXHLevel0 2 2 2 15" xfId="32432" xr:uid="{7019AD93-3A96-4FC9-A6FF-EFF7B3F3EC4E}"/>
    <cellStyle name="SAPBEXHLevel0 2 2 2 2" xfId="17352" xr:uid="{978FF62E-0A61-4BC0-BA00-B7C3509FF4D0}"/>
    <cellStyle name="SAPBEXHLevel0 2 2 2 2 2" xfId="32438" xr:uid="{D8F8E503-8D85-4CFB-A95C-315F9238B399}"/>
    <cellStyle name="SAPBEXHLevel0 2 2 2 3" xfId="17353" xr:uid="{AE7BD5AB-624B-4E99-A8F9-9FEA949C9BE2}"/>
    <cellStyle name="SAPBEXHLevel0 2 2 2 3 2" xfId="32439" xr:uid="{0F8BE1B9-64BF-4E29-B889-34C5782312EE}"/>
    <cellStyle name="SAPBEXHLevel0 2 2 2 4" xfId="17354" xr:uid="{2E58E452-ADC7-4A9A-A7F8-8D89D57FAA33}"/>
    <cellStyle name="SAPBEXHLevel0 2 2 2 4 2" xfId="32440" xr:uid="{B420BC9F-E71F-4B12-9BC9-7D47F8D473E8}"/>
    <cellStyle name="SAPBEXHLevel0 2 2 2 5" xfId="17355" xr:uid="{9DA73BF4-86A9-41FC-AE68-51D31F67C0F0}"/>
    <cellStyle name="SAPBEXHLevel0 2 2 2 5 2" xfId="32441" xr:uid="{D62B81AE-E070-4B6A-9562-8A18C40852C4}"/>
    <cellStyle name="SAPBEXHLevel0 2 2 2 6" xfId="17356" xr:uid="{F411AF27-1937-4A15-BABF-838BF3EBF8D9}"/>
    <cellStyle name="SAPBEXHLevel0 2 2 2 6 2" xfId="32442" xr:uid="{8FC7C1FE-F245-42C5-9D87-500B01F867EB}"/>
    <cellStyle name="SAPBEXHLevel0 2 2 2 7" xfId="17357" xr:uid="{E0CF7826-EB96-4FAE-8490-A47B285F903B}"/>
    <cellStyle name="SAPBEXHLevel0 2 2 2 7 2" xfId="32443" xr:uid="{28723265-559D-48EF-81CD-B563211378A9}"/>
    <cellStyle name="SAPBEXHLevel0 2 2 2 8" xfId="17358" xr:uid="{CDB45944-8802-40D2-93C3-607C63C83D5E}"/>
    <cellStyle name="SAPBEXHLevel0 2 2 2 8 2" xfId="32444" xr:uid="{300ABA8C-7226-4F89-A707-EC0167651EC7}"/>
    <cellStyle name="SAPBEXHLevel0 2 2 2 9" xfId="17359" xr:uid="{0DA41154-6AD0-44EF-9924-0561B9ED9611}"/>
    <cellStyle name="SAPBEXHLevel0 2 2 2 9 2" xfId="32445" xr:uid="{75989ACA-FB8E-464A-9681-5A38D4286110}"/>
    <cellStyle name="SAPBEXHLevel0 2 2 3" xfId="17360" xr:uid="{A8C73960-4A48-452E-AE53-EAECA386BCEA}"/>
    <cellStyle name="SAPBEXHLevel0 2 2 3 2" xfId="32446" xr:uid="{C61DC144-F97B-4996-A573-8937637452F2}"/>
    <cellStyle name="SAPBEXHLevel0 2 2 4" xfId="17361" xr:uid="{B93F7205-BB3C-4ED5-AD2A-A1EF552AD0AB}"/>
    <cellStyle name="SAPBEXHLevel0 2 2 4 2" xfId="32447" xr:uid="{E91D6CD3-BEC1-4BE0-A8E9-8243A3C8F5BF}"/>
    <cellStyle name="SAPBEXHLevel0 2 2 5" xfId="17362" xr:uid="{D696E625-91EC-43F9-B019-0B68A6FF2EB9}"/>
    <cellStyle name="SAPBEXHLevel0 2 2 5 2" xfId="32448" xr:uid="{2095EF7B-E655-4DE9-9E1B-E297F91A3446}"/>
    <cellStyle name="SAPBEXHLevel0 2 2 6" xfId="17363" xr:uid="{CF1E5A4E-6E88-4901-B481-B8CD22A8E7D9}"/>
    <cellStyle name="SAPBEXHLevel0 2 2 6 2" xfId="32449" xr:uid="{BCC5CBA2-DC40-433C-96F3-24627BDCC75C}"/>
    <cellStyle name="SAPBEXHLevel0 2 2 7" xfId="17364" xr:uid="{93426593-76CC-4513-9EE7-C9FA2665612E}"/>
    <cellStyle name="SAPBEXHLevel0 2 2 7 2" xfId="32450" xr:uid="{2BA005DB-30E7-427A-AA41-0871CC5E4FF4}"/>
    <cellStyle name="SAPBEXHLevel0 2 2 8" xfId="17365" xr:uid="{EDF612CF-60F8-418F-BE4A-BD947CE5D82A}"/>
    <cellStyle name="SAPBEXHLevel0 2 2 8 2" xfId="32451" xr:uid="{D7CE7F20-2D0B-4681-9704-8B08B13D02F3}"/>
    <cellStyle name="SAPBEXHLevel0 2 2 9" xfId="17366" xr:uid="{F93C8A00-058B-4202-987A-55E494947A2F}"/>
    <cellStyle name="SAPBEXHLevel0 2 2 9 2" xfId="32468" xr:uid="{4649DC0E-BDC6-49C4-84AA-141BB0C36DCB}"/>
    <cellStyle name="SAPBEXHLevel0 2 20" xfId="32411" xr:uid="{1702EFF8-1159-49FB-AC6B-A109512D54CB}"/>
    <cellStyle name="SAPBEXHLevel0 2 3" xfId="17367" xr:uid="{3844CAF4-D4D5-4E43-805A-609C03650B39}"/>
    <cellStyle name="SAPBEXHLevel0 2 3 10" xfId="17368" xr:uid="{060DB832-A2B2-4533-AB0E-F90DE91F7153}"/>
    <cellStyle name="SAPBEXHLevel0 2 3 10 2" xfId="32454" xr:uid="{F53E2C4F-8B11-4170-B54F-D97147ACD300}"/>
    <cellStyle name="SAPBEXHLevel0 2 3 11" xfId="17369" xr:uid="{DA6E5C1D-EEF8-45F2-903C-FC35142E43F7}"/>
    <cellStyle name="SAPBEXHLevel0 2 3 11 2" xfId="32455" xr:uid="{F6A0DCF1-4FBA-40C3-9A48-730FEF444D08}"/>
    <cellStyle name="SAPBEXHLevel0 2 3 12" xfId="17370" xr:uid="{ABAED6D4-7AF1-4415-B780-26B26DE0BE51}"/>
    <cellStyle name="SAPBEXHLevel0 2 3 12 2" xfId="32456" xr:uid="{5D838F11-960F-49DE-90DE-B0A16314DDEE}"/>
    <cellStyle name="SAPBEXHLevel0 2 3 13" xfId="17371" xr:uid="{1D51A917-E7E2-48E9-9B1D-62627C5B13C0}"/>
    <cellStyle name="SAPBEXHLevel0 2 3 13 2" xfId="32457" xr:uid="{540AF406-C866-4C59-B521-9D3C604C0380}"/>
    <cellStyle name="SAPBEXHLevel0 2 3 14" xfId="17372" xr:uid="{ADEE4A1B-DC76-48F9-83F2-B21B0E4A440F}"/>
    <cellStyle name="SAPBEXHLevel0 2 3 14 2" xfId="32458" xr:uid="{EFD1FC48-4233-48BA-90F2-FB7F90F2F39C}"/>
    <cellStyle name="SAPBEXHLevel0 2 3 15" xfId="32453" xr:uid="{8404BDF9-5055-4FE7-B304-327F3EFDACB4}"/>
    <cellStyle name="SAPBEXHLevel0 2 3 2" xfId="17373" xr:uid="{218882A6-0AFF-48E3-8670-71EB676FC612}"/>
    <cellStyle name="SAPBEXHLevel0 2 3 2 2" xfId="32459" xr:uid="{938D6E18-51BB-470F-B6D4-1428550F6BB4}"/>
    <cellStyle name="SAPBEXHLevel0 2 3 3" xfId="17374" xr:uid="{E9D68CD8-4A95-49D5-B5DA-A516E89F64E6}"/>
    <cellStyle name="SAPBEXHLevel0 2 3 3 2" xfId="32460" xr:uid="{49C6C406-9BC7-4CB6-8BFC-9FE98E646B71}"/>
    <cellStyle name="SAPBEXHLevel0 2 3 4" xfId="17375" xr:uid="{9CAE4AFD-846B-4078-B07A-B2208B8A871B}"/>
    <cellStyle name="SAPBEXHLevel0 2 3 4 2" xfId="32461" xr:uid="{6012911F-7293-465D-B268-843DFE9C1D2E}"/>
    <cellStyle name="SAPBEXHLevel0 2 3 5" xfId="17376" xr:uid="{07AF49B3-75BC-491F-A8D3-B08442DE9768}"/>
    <cellStyle name="SAPBEXHLevel0 2 3 5 2" xfId="32462" xr:uid="{F1989BC5-A7B9-418C-9E17-2404EB48D673}"/>
    <cellStyle name="SAPBEXHLevel0 2 3 6" xfId="17377" xr:uid="{BE711992-91DA-48CF-9740-715C8ECC647B}"/>
    <cellStyle name="SAPBEXHLevel0 2 3 6 2" xfId="32463" xr:uid="{25CF50AE-DAE4-4B1A-AF4D-1B1465041200}"/>
    <cellStyle name="SAPBEXHLevel0 2 3 7" xfId="17378" xr:uid="{5636169A-13F4-4224-B573-061C0BE25697}"/>
    <cellStyle name="SAPBEXHLevel0 2 3 7 2" xfId="32464" xr:uid="{4733C6EA-5D9F-4D43-B695-9EB87F8574CE}"/>
    <cellStyle name="SAPBEXHLevel0 2 3 8" xfId="17379" xr:uid="{83A4B64C-4CAA-4857-8B09-C91B909B7022}"/>
    <cellStyle name="SAPBEXHLevel0 2 3 8 2" xfId="32465" xr:uid="{DF14BE08-A3E5-4D7A-886F-8038E8C135F8}"/>
    <cellStyle name="SAPBEXHLevel0 2 3 9" xfId="17380" xr:uid="{877A0CD2-C0AA-4313-8528-4438F1A976C9}"/>
    <cellStyle name="SAPBEXHLevel0 2 3 9 2" xfId="32466" xr:uid="{492D3D46-C64C-4E33-B94D-7790646B84F6}"/>
    <cellStyle name="SAPBEXHLevel0 2 4" xfId="17381" xr:uid="{D52D59C5-A25B-4AF8-AA84-2F87D26B8ED8}"/>
    <cellStyle name="SAPBEXHLevel0 2 4 2" xfId="32467" xr:uid="{87166DE4-CD5C-4F86-A518-7E1E8375E904}"/>
    <cellStyle name="SAPBEXHLevel0 2 5" xfId="17382" xr:uid="{900CEF3B-754D-4FBE-8346-358037C46C64}"/>
    <cellStyle name="SAPBEXHLevel0 2 5 2" xfId="32484" xr:uid="{E54F9330-37C8-4607-A59A-74A7AE342D01}"/>
    <cellStyle name="SAPBEXHLevel0 2 6" xfId="17383" xr:uid="{1D4E983D-3FC9-46A5-BA0F-DEA7398A7A9C}"/>
    <cellStyle name="SAPBEXHLevel0 2 6 2" xfId="32469" xr:uid="{313EA870-C768-4734-B3C0-E8B18FCA5D56}"/>
    <cellStyle name="SAPBEXHLevel0 2 7" xfId="17384" xr:uid="{7DAD87DB-9EC2-4598-8541-A5245C30AEAA}"/>
    <cellStyle name="SAPBEXHLevel0 2 7 2" xfId="32470" xr:uid="{ECE36F30-0724-42BB-8581-1A940A36F3E2}"/>
    <cellStyle name="SAPBEXHLevel0 2 8" xfId="17385" xr:uid="{9473E74B-C2E9-4F45-9CA8-7165237BCC71}"/>
    <cellStyle name="SAPBEXHLevel0 2 8 2" xfId="32471" xr:uid="{6C82EA9E-A72F-4407-ABFC-429FA8C9EDA0}"/>
    <cellStyle name="SAPBEXHLevel0 2 9" xfId="17386" xr:uid="{54950BB1-34B1-4FE5-80EE-05BCBF2F9209}"/>
    <cellStyle name="SAPBEXHLevel0 2 9 2" xfId="32472" xr:uid="{F2A47765-4208-42FF-9AA7-FEBC1AF5787E}"/>
    <cellStyle name="SAPBEXHLevel0 20" xfId="17387" xr:uid="{207332F0-1A39-4EE5-AF5B-866F721B1498}"/>
    <cellStyle name="SAPBEXHLevel0 20 2" xfId="32473" xr:uid="{A52011CA-C2B1-4682-B2C2-12F27A282B99}"/>
    <cellStyle name="SAPBEXHLevel0 21" xfId="17388" xr:uid="{6F5DC405-3B96-48DB-983D-4325B8B202EC}"/>
    <cellStyle name="SAPBEXHLevel0 21 2" xfId="32474" xr:uid="{E7D3FF5C-D187-4910-8636-1915E5562EF3}"/>
    <cellStyle name="SAPBEXHLevel0 22" xfId="32401" xr:uid="{A881F0E8-7009-452B-92D1-1C0F03FE0F20}"/>
    <cellStyle name="SAPBEXHLevel0 3" xfId="17389" xr:uid="{F646C10F-B62F-470E-B808-2F0325BBE7B4}"/>
    <cellStyle name="SAPBEXHLevel0 3 10" xfId="17390" xr:uid="{DBBD04DC-55C5-46F1-8B5A-1411CDC38940}"/>
    <cellStyle name="SAPBEXHLevel0 3 10 2" xfId="32476" xr:uid="{B0FA5C8F-986A-46B4-8BAE-5D601D2485A9}"/>
    <cellStyle name="SAPBEXHLevel0 3 11" xfId="17391" xr:uid="{73CDB9DF-DF6C-424B-8D60-29124B6956FD}"/>
    <cellStyle name="SAPBEXHLevel0 3 11 2" xfId="32477" xr:uid="{FE4C49F8-8E8F-424D-8214-1FA738DB9825}"/>
    <cellStyle name="SAPBEXHLevel0 3 12" xfId="17392" xr:uid="{5A41F21E-0BB9-4E8B-9901-4C3187CB317E}"/>
    <cellStyle name="SAPBEXHLevel0 3 12 2" xfId="32478" xr:uid="{8C41ECBD-7AB4-4779-989E-EC3105F06A09}"/>
    <cellStyle name="SAPBEXHLevel0 3 13" xfId="17393" xr:uid="{F8F76D54-0B9D-40FA-9F11-D54D72DB23CE}"/>
    <cellStyle name="SAPBEXHLevel0 3 13 2" xfId="32479" xr:uid="{1C803455-F13D-4517-B0EF-D5271434B2EA}"/>
    <cellStyle name="SAPBEXHLevel0 3 14" xfId="17394" xr:uid="{C9198196-76D9-4091-9080-9B4C51FE221F}"/>
    <cellStyle name="SAPBEXHLevel0 3 14 2" xfId="32480" xr:uid="{6C377CA1-315E-4713-869E-69EA10152F85}"/>
    <cellStyle name="SAPBEXHLevel0 3 15" xfId="17395" xr:uid="{9D35079E-1CAC-4816-B756-2B1F29E42117}"/>
    <cellStyle name="SAPBEXHLevel0 3 15 2" xfId="32481" xr:uid="{B7009A76-6707-4B4E-9D7D-9098F32F7427}"/>
    <cellStyle name="SAPBEXHLevel0 3 16" xfId="17396" xr:uid="{E9643B97-888E-4929-AE89-CF0FE55FDFC4}"/>
    <cellStyle name="SAPBEXHLevel0 3 16 2" xfId="32482" xr:uid="{36606F83-8291-4824-811D-57B9F3F6F10D}"/>
    <cellStyle name="SAPBEXHLevel0 3 17" xfId="17397" xr:uid="{835F847E-B51C-4A25-BC52-ECDB0F3B06CD}"/>
    <cellStyle name="SAPBEXHLevel0 3 17 2" xfId="32483" xr:uid="{8C4E559D-D662-423B-B956-B6435EA36FD9}"/>
    <cellStyle name="SAPBEXHLevel0 3 18" xfId="17398" xr:uid="{46DD8DCA-546B-4868-BAC2-7D7A6766C657}"/>
    <cellStyle name="SAPBEXHLevel0 3 18 2" xfId="32500" xr:uid="{66DB7928-B8A9-4EDC-8EB0-69D5962896CA}"/>
    <cellStyle name="SAPBEXHLevel0 3 19" xfId="17399" xr:uid="{ECEA1BEF-EC29-4102-990F-F1C64C3CBB8C}"/>
    <cellStyle name="SAPBEXHLevel0 3 19 2" xfId="32485" xr:uid="{BC1010F5-1448-4999-8A5B-55AE6579ADD7}"/>
    <cellStyle name="SAPBEXHLevel0 3 2" xfId="17400" xr:uid="{F80B3338-9D8C-4B72-A5A0-B5FCE17691FC}"/>
    <cellStyle name="SAPBEXHLevel0 3 2 10" xfId="17401" xr:uid="{8FAF5536-7E2C-449C-98A9-796B54B1FCBF}"/>
    <cellStyle name="SAPBEXHLevel0 3 2 10 2" xfId="32487" xr:uid="{A337516E-D117-45C6-9254-B654A8843BD2}"/>
    <cellStyle name="SAPBEXHLevel0 3 2 11" xfId="17402" xr:uid="{1193A86C-F183-4DA6-BA15-D5463D0A96D2}"/>
    <cellStyle name="SAPBEXHLevel0 3 2 11 2" xfId="32488" xr:uid="{D925FDBE-E0B2-4F7E-97C8-A988051F4768}"/>
    <cellStyle name="SAPBEXHLevel0 3 2 12" xfId="17403" xr:uid="{A0DFBEE2-4CC0-4A68-95D6-4250FF61A738}"/>
    <cellStyle name="SAPBEXHLevel0 3 2 12 2" xfId="32489" xr:uid="{19B59976-F05B-4ADD-A93D-AB4C1FA9BE2C}"/>
    <cellStyle name="SAPBEXHLevel0 3 2 13" xfId="17404" xr:uid="{F1E5616F-AFFC-40BA-9E76-640AF654F92D}"/>
    <cellStyle name="SAPBEXHLevel0 3 2 13 2" xfId="32490" xr:uid="{0CBFEEE3-DD27-42F4-AE2A-6499F2043C53}"/>
    <cellStyle name="SAPBEXHLevel0 3 2 14" xfId="17405" xr:uid="{9F50B03A-BC83-40BD-8C5D-60CFA49D3A32}"/>
    <cellStyle name="SAPBEXHLevel0 3 2 14 2" xfId="32491" xr:uid="{E46F084E-35EE-427A-85D0-90B187282872}"/>
    <cellStyle name="SAPBEXHLevel0 3 2 15" xfId="17406" xr:uid="{03393340-658B-4CB2-8102-09B149929168}"/>
    <cellStyle name="SAPBEXHLevel0 3 2 15 2" xfId="32492" xr:uid="{A4F97273-02FD-4FE3-BE31-1DC4701102E2}"/>
    <cellStyle name="SAPBEXHLevel0 3 2 16" xfId="17407" xr:uid="{1102ECA5-C502-4B39-9839-E8B3F0E423DE}"/>
    <cellStyle name="SAPBEXHLevel0 3 2 16 2" xfId="32493" xr:uid="{B8FCBFFB-9FB4-4E72-B305-BBA6935B0202}"/>
    <cellStyle name="SAPBEXHLevel0 3 2 17" xfId="17408" xr:uid="{49CD5A03-DE47-4CE5-A841-6DACBBF2A6F6}"/>
    <cellStyle name="SAPBEXHLevel0 3 2 17 2" xfId="32494" xr:uid="{B8C0C33C-534E-46D0-BFD9-80D548F939F2}"/>
    <cellStyle name="SAPBEXHLevel0 3 2 18" xfId="17409" xr:uid="{0DF55799-B80E-459C-8BAB-6EBCAE01A76C}"/>
    <cellStyle name="SAPBEXHLevel0 3 2 18 2" xfId="32495" xr:uid="{5B07459C-3E98-49A9-9B9E-4026CDCA3F5B}"/>
    <cellStyle name="SAPBEXHLevel0 3 2 19" xfId="32486" xr:uid="{B5CDCE48-5D16-4773-BAD6-6E65F9D72DC1}"/>
    <cellStyle name="SAPBEXHLevel0 3 2 2" xfId="17410" xr:uid="{C7418629-E700-457F-BDAE-CE87093E7A8E}"/>
    <cellStyle name="SAPBEXHLevel0 3 2 2 10" xfId="17411" xr:uid="{02015D10-335E-4C42-95FA-87C154EEEF6A}"/>
    <cellStyle name="SAPBEXHLevel0 3 2 2 10 2" xfId="32497" xr:uid="{81F1A720-3572-42B0-9F86-EA20F4E64AED}"/>
    <cellStyle name="SAPBEXHLevel0 3 2 2 11" xfId="17412" xr:uid="{99795B69-D8EA-4388-985D-DB944F35E08C}"/>
    <cellStyle name="SAPBEXHLevel0 3 2 2 11 2" xfId="32498" xr:uid="{1FC8350A-8FAE-460E-BD7A-3797076A14B3}"/>
    <cellStyle name="SAPBEXHLevel0 3 2 2 12" xfId="17413" xr:uid="{55088A3B-C008-48E3-AD1F-4A5FA4602446}"/>
    <cellStyle name="SAPBEXHLevel0 3 2 2 12 2" xfId="32499" xr:uid="{19CD5701-4516-4D19-8B97-6166DA614E2B}"/>
    <cellStyle name="SAPBEXHLevel0 3 2 2 13" xfId="17414" xr:uid="{A9002C57-0A9C-4EFB-B7E9-B1C94B19F175}"/>
    <cellStyle name="SAPBEXHLevel0 3 2 2 13 2" xfId="32501" xr:uid="{9CB7DA2C-D6C7-4DA3-9CE2-196831237D76}"/>
    <cellStyle name="SAPBEXHLevel0 3 2 2 14" xfId="17415" xr:uid="{4B42B39F-344D-46EF-B26C-7A47E756F92A}"/>
    <cellStyle name="SAPBEXHLevel0 3 2 2 14 2" xfId="32502" xr:uid="{BBC480AD-CE7F-4084-966C-FE5215C1DF58}"/>
    <cellStyle name="SAPBEXHLevel0 3 2 2 15" xfId="32496" xr:uid="{88FE78CE-921F-4291-91D9-79817182E0DC}"/>
    <cellStyle name="SAPBEXHLevel0 3 2 2 2" xfId="17416" xr:uid="{CF6230CF-EEFA-466E-83D3-6ED12535D5AC}"/>
    <cellStyle name="SAPBEXHLevel0 3 2 2 2 2" xfId="32503" xr:uid="{B51D605E-D7C2-4858-897E-3E08441427F5}"/>
    <cellStyle name="SAPBEXHLevel0 3 2 2 3" xfId="17417" xr:uid="{99AB041F-72EB-47D9-A5AB-B64C136B19D9}"/>
    <cellStyle name="SAPBEXHLevel0 3 2 2 3 2" xfId="32504" xr:uid="{B8DF4B39-1E49-44D4-8AFE-B8A0AE0FE860}"/>
    <cellStyle name="SAPBEXHLevel0 3 2 2 4" xfId="17418" xr:uid="{A9BDD7A8-3B77-4334-B07E-B529E2553058}"/>
    <cellStyle name="SAPBEXHLevel0 3 2 2 4 2" xfId="32505" xr:uid="{0F1DA48A-B192-4E0B-B564-ED4F77389FA2}"/>
    <cellStyle name="SAPBEXHLevel0 3 2 2 5" xfId="17419" xr:uid="{B834F8A1-8446-4DCD-8721-F7E1C11D96A8}"/>
    <cellStyle name="SAPBEXHLevel0 3 2 2 5 2" xfId="32506" xr:uid="{6E8568A5-D8EE-4DED-BA36-EE3D31DD5C6A}"/>
    <cellStyle name="SAPBEXHLevel0 3 2 2 6" xfId="17420" xr:uid="{4194D0FF-69B5-476E-9874-26B449283A03}"/>
    <cellStyle name="SAPBEXHLevel0 3 2 2 6 2" xfId="32507" xr:uid="{09025A3F-4C4E-48E8-BFDB-A5937957EB5C}"/>
    <cellStyle name="SAPBEXHLevel0 3 2 2 7" xfId="17421" xr:uid="{1CED0B7B-EFBE-4A57-97A1-6539C0B7522F}"/>
    <cellStyle name="SAPBEXHLevel0 3 2 2 7 2" xfId="32508" xr:uid="{F446878D-82CC-4354-9615-D8067FC7608D}"/>
    <cellStyle name="SAPBEXHLevel0 3 2 2 8" xfId="17422" xr:uid="{FD08C67E-FF7E-434E-A15A-D2542C086005}"/>
    <cellStyle name="SAPBEXHLevel0 3 2 2 8 2" xfId="32509" xr:uid="{EF92A515-CBF1-42B0-845D-D74A3C9AE990}"/>
    <cellStyle name="SAPBEXHLevel0 3 2 2 9" xfId="17423" xr:uid="{5D29334C-7AEA-4A68-BB4A-D5964DA77E2F}"/>
    <cellStyle name="SAPBEXHLevel0 3 2 2 9 2" xfId="32510" xr:uid="{8EF8A9A7-8D1E-44D2-B41C-ABC7F397F706}"/>
    <cellStyle name="SAPBEXHLevel0 3 2 3" xfId="17424" xr:uid="{1769A585-E184-48AE-A8C8-398617AB683F}"/>
    <cellStyle name="SAPBEXHLevel0 3 2 3 2" xfId="32511" xr:uid="{20707D50-39D8-42E6-902E-7C18EFE8E15D}"/>
    <cellStyle name="SAPBEXHLevel0 3 2 4" xfId="17425" xr:uid="{19B3CA38-A6F8-4605-86C6-195F71B2C9E1}"/>
    <cellStyle name="SAPBEXHLevel0 3 2 4 2" xfId="32512" xr:uid="{281FC9E6-F08B-47D6-BD0D-730AA2D26AA2}"/>
    <cellStyle name="SAPBEXHLevel0 3 2 5" xfId="17426" xr:uid="{CDCBF087-9E62-4DBD-8562-D12487F93191}"/>
    <cellStyle name="SAPBEXHLevel0 3 2 5 2" xfId="32513" xr:uid="{CE1C2B2D-11D4-4F31-AA5A-CC303080F93E}"/>
    <cellStyle name="SAPBEXHLevel0 3 2 6" xfId="17427" xr:uid="{E702F171-C2F4-425D-93DE-078AC31C8C2B}"/>
    <cellStyle name="SAPBEXHLevel0 3 2 6 2" xfId="32514" xr:uid="{60E3F4C3-65B8-4B1E-BCE0-798FC173D052}"/>
    <cellStyle name="SAPBEXHLevel0 3 2 7" xfId="17428" xr:uid="{36B1ECF8-8DCE-4B63-9E98-5E35943FD446}"/>
    <cellStyle name="SAPBEXHLevel0 3 2 7 2" xfId="32515" xr:uid="{FB10808A-815D-4402-9F73-A7D460C116EC}"/>
    <cellStyle name="SAPBEXHLevel0 3 2 8" xfId="17429" xr:uid="{09CC07CD-8751-4646-9F0A-4489E3274EC0}"/>
    <cellStyle name="SAPBEXHLevel0 3 2 8 2" xfId="32516" xr:uid="{B48FFBBF-1BB0-4FAE-8A63-6FB61EDFD0DE}"/>
    <cellStyle name="SAPBEXHLevel0 3 2 9" xfId="17430" xr:uid="{42C8F526-A0C8-4652-BDE0-5578272C77A2}"/>
    <cellStyle name="SAPBEXHLevel0 3 2 9 2" xfId="32517" xr:uid="{18CF856B-0085-438D-B30A-8E6923491749}"/>
    <cellStyle name="SAPBEXHLevel0 3 20" xfId="32475" xr:uid="{74197EFE-73AB-4582-88D8-6390770020A3}"/>
    <cellStyle name="SAPBEXHLevel0 3 3" xfId="17431" xr:uid="{5732C4D6-209A-4D42-A624-6632EF6425EA}"/>
    <cellStyle name="SAPBEXHLevel0 3 3 10" xfId="17432" xr:uid="{9CBDF710-8CFD-4FF8-8F3B-E66E3E0BD77D}"/>
    <cellStyle name="SAPBEXHLevel0 3 3 10 2" xfId="32519" xr:uid="{55D9A40F-E204-4E7A-9DB7-1D7D0CB94ADA}"/>
    <cellStyle name="SAPBEXHLevel0 3 3 11" xfId="17433" xr:uid="{A25032E2-1D6F-49EB-8170-924859CF63A3}"/>
    <cellStyle name="SAPBEXHLevel0 3 3 11 2" xfId="32520" xr:uid="{DFB78FEC-BFD0-4FD4-84D2-7774E21DF7A1}"/>
    <cellStyle name="SAPBEXHLevel0 3 3 12" xfId="17434" xr:uid="{DD31C1ED-0ACD-4754-B97D-427DE73E2B0F}"/>
    <cellStyle name="SAPBEXHLevel0 3 3 12 2" xfId="32521" xr:uid="{0F2E97B7-E822-4757-9D77-3CF545DFCE11}"/>
    <cellStyle name="SAPBEXHLevel0 3 3 13" xfId="17435" xr:uid="{7953123B-780E-4D91-8B51-3F41A44306E5}"/>
    <cellStyle name="SAPBEXHLevel0 3 3 13 2" xfId="32522" xr:uid="{73BD6CBE-2BEA-4ED0-BE8C-98E42BCE1002}"/>
    <cellStyle name="SAPBEXHLevel0 3 3 14" xfId="17436" xr:uid="{CD19497B-4C65-4A96-9E91-E78EC73F915D}"/>
    <cellStyle name="SAPBEXHLevel0 3 3 14 2" xfId="32523" xr:uid="{76EFFF73-CAE1-49BD-B622-892792B26942}"/>
    <cellStyle name="SAPBEXHLevel0 3 3 15" xfId="32518" xr:uid="{FAC55562-980D-4098-B739-980967070C49}"/>
    <cellStyle name="SAPBEXHLevel0 3 3 2" xfId="17437" xr:uid="{2D1B825C-D71D-4F37-9267-69CDDAA1C56B}"/>
    <cellStyle name="SAPBEXHLevel0 3 3 2 2" xfId="32524" xr:uid="{46EA876B-8F98-489E-A0E9-7D9E54CC6064}"/>
    <cellStyle name="SAPBEXHLevel0 3 3 3" xfId="17438" xr:uid="{1D7E2EBA-B945-4571-BD55-3161C38693C7}"/>
    <cellStyle name="SAPBEXHLevel0 3 3 3 2" xfId="27534" xr:uid="{2A176179-6F37-4238-A40B-0AA23B1C1F88}"/>
    <cellStyle name="SAPBEXHLevel0 3 3 4" xfId="17439" xr:uid="{BF94EA09-FAD0-4EED-B826-658B9AD4A403}"/>
    <cellStyle name="SAPBEXHLevel0 3 3 4 2" xfId="32525" xr:uid="{40613791-87EF-42D9-BC13-60ED5C117761}"/>
    <cellStyle name="SAPBEXHLevel0 3 3 5" xfId="17440" xr:uid="{784149BA-4CCE-4F88-AC5B-C76C1D9ED033}"/>
    <cellStyle name="SAPBEXHLevel0 3 3 5 2" xfId="27535" xr:uid="{3DC6D954-C0FB-42AC-B6DC-A3F8E7626B2E}"/>
    <cellStyle name="SAPBEXHLevel0 3 3 6" xfId="17441" xr:uid="{993B1C71-1909-425E-B8FD-7A377E57948D}"/>
    <cellStyle name="SAPBEXHLevel0 3 3 6 2" xfId="32526" xr:uid="{6AD40B27-65B3-447E-8A9C-4F78BB7F5923}"/>
    <cellStyle name="SAPBEXHLevel0 3 3 7" xfId="17442" xr:uid="{9ED82AF1-0E5C-41A8-9866-08E913C6C809}"/>
    <cellStyle name="SAPBEXHLevel0 3 3 7 2" xfId="27536" xr:uid="{7D96EA37-DF2B-4350-8735-E9FB57FAF2B4}"/>
    <cellStyle name="SAPBEXHLevel0 3 3 8" xfId="17443" xr:uid="{A902C204-4287-4CF0-ADDE-34E13E4A2CF4}"/>
    <cellStyle name="SAPBEXHLevel0 3 3 8 2" xfId="32527" xr:uid="{FD59BCA2-0327-402C-88D1-FE7DC0018926}"/>
    <cellStyle name="SAPBEXHLevel0 3 3 9" xfId="17444" xr:uid="{A89E9F82-96A8-42DA-8C1D-A363E804A675}"/>
    <cellStyle name="SAPBEXHLevel0 3 3 9 2" xfId="27537" xr:uid="{7F4E6CFE-0462-4C5E-8941-60CE8619F435}"/>
    <cellStyle name="SAPBEXHLevel0 3 4" xfId="17445" xr:uid="{95E0A200-6610-42ED-9AAC-D10363BEAB7B}"/>
    <cellStyle name="SAPBEXHLevel0 3 4 2" xfId="32528" xr:uid="{FC6EE636-87B6-4F12-A20D-E5D6B602EE38}"/>
    <cellStyle name="SAPBEXHLevel0 3 5" xfId="17446" xr:uid="{95C390EA-4742-46A3-BEC1-0F5F2984FC51}"/>
    <cellStyle name="SAPBEXHLevel0 3 5 2" xfId="27538" xr:uid="{8570BB4A-531D-451D-834A-8DF22B347607}"/>
    <cellStyle name="SAPBEXHLevel0 3 6" xfId="17447" xr:uid="{FFD3E545-2152-4B66-8DD2-1E66C8498873}"/>
    <cellStyle name="SAPBEXHLevel0 3 6 2" xfId="32529" xr:uid="{5CF6B15B-65D8-4A88-BB1B-689F360CB96D}"/>
    <cellStyle name="SAPBEXHLevel0 3 7" xfId="17448" xr:uid="{A13B2295-6933-4E0B-B322-BF28AA55D60D}"/>
    <cellStyle name="SAPBEXHLevel0 3 7 2" xfId="27539" xr:uid="{3C031D67-EA52-4C33-809C-AE5F72BA895E}"/>
    <cellStyle name="SAPBEXHLevel0 3 8" xfId="17449" xr:uid="{B9D030D1-1F95-4902-B0EB-18DB12AD0DBC}"/>
    <cellStyle name="SAPBEXHLevel0 3 8 2" xfId="32530" xr:uid="{65BD47ED-3B0E-4825-BD7D-B7BB97F48549}"/>
    <cellStyle name="SAPBEXHLevel0 3 9" xfId="17450" xr:uid="{6AB6F4F7-F379-4838-ADFD-2C91A9D5F5C7}"/>
    <cellStyle name="SAPBEXHLevel0 3 9 2" xfId="27540" xr:uid="{8A4747C1-C046-49AC-8166-B2457122632E}"/>
    <cellStyle name="SAPBEXHLevel0 4" xfId="17451" xr:uid="{AC47516C-E96F-452A-9AE3-E36FDB622820}"/>
    <cellStyle name="SAPBEXHLevel0 4 10" xfId="17452" xr:uid="{EE1A357E-A2AD-4247-9C6A-6298966B26C6}"/>
    <cellStyle name="SAPBEXHLevel0 4 10 2" xfId="27541" xr:uid="{0E49FF86-984E-4D42-8B6E-08E08A93716E}"/>
    <cellStyle name="SAPBEXHLevel0 4 11" xfId="17453" xr:uid="{77DE21A7-1DAB-47A2-AF1C-8AC558EB0907}"/>
    <cellStyle name="SAPBEXHLevel0 4 11 2" xfId="32532" xr:uid="{A08F55FD-A8BB-4DD6-A5ED-A0D6F192CAB9}"/>
    <cellStyle name="SAPBEXHLevel0 4 12" xfId="17454" xr:uid="{A2152E91-02D0-49E2-BF4A-BB66C52882A1}"/>
    <cellStyle name="SAPBEXHLevel0 4 12 2" xfId="27542" xr:uid="{01947188-5C31-4665-B110-A607671FBFA8}"/>
    <cellStyle name="SAPBEXHLevel0 4 13" xfId="17455" xr:uid="{78DC739A-B31F-44B0-B629-88536EB115E5}"/>
    <cellStyle name="SAPBEXHLevel0 4 13 2" xfId="32533" xr:uid="{E1108326-9EF5-4A4A-9620-ACBF7BC7BD21}"/>
    <cellStyle name="SAPBEXHLevel0 4 14" xfId="17456" xr:uid="{4748158B-9A2A-41D0-9B1A-EB9AF919B527}"/>
    <cellStyle name="SAPBEXHLevel0 4 14 2" xfId="27543" xr:uid="{5FD74AA4-D812-4B22-B594-CABEC377AA9E}"/>
    <cellStyle name="SAPBEXHLevel0 4 15" xfId="17457" xr:uid="{27756692-FE01-4892-9338-5BD2BDA86ED0}"/>
    <cellStyle name="SAPBEXHLevel0 4 15 2" xfId="32534" xr:uid="{3E5279C0-7DAC-4317-B28C-8ADAC3B0E247}"/>
    <cellStyle name="SAPBEXHLevel0 4 16" xfId="17458" xr:uid="{324E3711-EE7C-4265-A3C7-CAD12558DFEF}"/>
    <cellStyle name="SAPBEXHLevel0 4 16 2" xfId="27544" xr:uid="{B6B3AEF6-9042-4431-BEBF-747A8709A7BB}"/>
    <cellStyle name="SAPBEXHLevel0 4 17" xfId="17459" xr:uid="{AD54D1A6-015A-4F54-BA0F-05597EA20854}"/>
    <cellStyle name="SAPBEXHLevel0 4 17 2" xfId="32535" xr:uid="{E3E0D0B2-03C9-4B9A-B5B5-04EBB5B1F34F}"/>
    <cellStyle name="SAPBEXHLevel0 4 18" xfId="17460" xr:uid="{A0A05C3D-62BD-4794-B40B-CAF480617EC4}"/>
    <cellStyle name="SAPBEXHLevel0 4 18 2" xfId="27545" xr:uid="{68ECB5E6-4203-4FD9-99B8-0FEA0B804238}"/>
    <cellStyle name="SAPBEXHLevel0 4 19" xfId="32531" xr:uid="{DCCD8211-17EC-491E-A9F3-6F77C58C31BB}"/>
    <cellStyle name="SAPBEXHLevel0 4 2" xfId="17461" xr:uid="{56BB5B89-9863-42C8-8A6C-C78C3D7C3655}"/>
    <cellStyle name="SAPBEXHLevel0 4 2 10" xfId="17462" xr:uid="{F9B56F4A-F4E3-4792-9BDA-11E7B49A945A}"/>
    <cellStyle name="SAPBEXHLevel0 4 2 10 2" xfId="27553" xr:uid="{612FA8D8-09E4-4F30-9758-126859210F78}"/>
    <cellStyle name="SAPBEXHLevel0 4 2 11" xfId="17463" xr:uid="{CBD4F6F9-90A4-4EEC-894C-E5BA8986669A}"/>
    <cellStyle name="SAPBEXHLevel0 4 2 11 2" xfId="27546" xr:uid="{239DCA18-7319-455C-8D37-D2FE61EE372A}"/>
    <cellStyle name="SAPBEXHLevel0 4 2 12" xfId="17464" xr:uid="{F17EC472-F818-46A2-BE09-7F1F074E2834}"/>
    <cellStyle name="SAPBEXHLevel0 4 2 12 2" xfId="32537" xr:uid="{AF66D118-A14C-483A-887F-47179D2FCA2B}"/>
    <cellStyle name="SAPBEXHLevel0 4 2 13" xfId="17465" xr:uid="{42939D56-479D-4573-8EBD-C8CD33BDFBFA}"/>
    <cellStyle name="SAPBEXHLevel0 4 2 13 2" xfId="27547" xr:uid="{DD8CACF9-D159-4DBE-A872-A32AB527353D}"/>
    <cellStyle name="SAPBEXHLevel0 4 2 14" xfId="17466" xr:uid="{522BEBD2-6E22-4BE2-9196-6D870BF654E8}"/>
    <cellStyle name="SAPBEXHLevel0 4 2 14 2" xfId="32538" xr:uid="{13C3A496-B1B8-49AB-9BF0-E98630E58032}"/>
    <cellStyle name="SAPBEXHLevel0 4 2 15" xfId="32536" xr:uid="{6E074BD1-BDE3-4157-A8BC-9EDBBC4B171C}"/>
    <cellStyle name="SAPBEXHLevel0 4 2 2" xfId="17467" xr:uid="{54F9DC40-8D63-465F-9C17-DACBE9D2243E}"/>
    <cellStyle name="SAPBEXHLevel0 4 2 2 2" xfId="27548" xr:uid="{D0759F1E-F880-4773-9786-6581C8B1BA91}"/>
    <cellStyle name="SAPBEXHLevel0 4 2 3" xfId="17468" xr:uid="{4EFB4F7E-6C36-4070-8AFC-DBA4761984E2}"/>
    <cellStyle name="SAPBEXHLevel0 4 2 3 2" xfId="32539" xr:uid="{F9602E08-A1E6-4021-8B82-06B7BF8A8A1A}"/>
    <cellStyle name="SAPBEXHLevel0 4 2 4" xfId="17469" xr:uid="{2826BE29-9DD6-4E91-973E-93CF6FF56316}"/>
    <cellStyle name="SAPBEXHLevel0 4 2 4 2" xfId="27549" xr:uid="{643E86C3-495A-4B3C-B7ED-21A151A98F5B}"/>
    <cellStyle name="SAPBEXHLevel0 4 2 5" xfId="17470" xr:uid="{00FACCBD-3FFC-4540-904F-380DA3D32675}"/>
    <cellStyle name="SAPBEXHLevel0 4 2 5 2" xfId="32540" xr:uid="{D318DE31-3271-437C-ACC4-9BBC15433646}"/>
    <cellStyle name="SAPBEXHLevel0 4 2 6" xfId="17471" xr:uid="{4EB76251-0DA2-4394-B4B5-0D0C57C0EB62}"/>
    <cellStyle name="SAPBEXHLevel0 4 2 6 2" xfId="27550" xr:uid="{9C65FD7B-0BB0-400B-B1AF-8B9509E2DBEB}"/>
    <cellStyle name="SAPBEXHLevel0 4 2 7" xfId="17472" xr:uid="{4D9E7669-4B03-4FCC-AB2C-1D4ECC71855A}"/>
    <cellStyle name="SAPBEXHLevel0 4 2 7 2" xfId="32541" xr:uid="{2687402A-A654-4EED-B8E5-75DDB44CBE2A}"/>
    <cellStyle name="SAPBEXHLevel0 4 2 8" xfId="17473" xr:uid="{13D03C6C-7117-42D6-99EB-28BB6B16033D}"/>
    <cellStyle name="SAPBEXHLevel0 4 2 8 2" xfId="27551" xr:uid="{8E75A335-3F7C-4998-B783-10E094FCF615}"/>
    <cellStyle name="SAPBEXHLevel0 4 2 9" xfId="17474" xr:uid="{960B6077-8EBF-46EA-8134-6D5748F15C3F}"/>
    <cellStyle name="SAPBEXHLevel0 4 2 9 2" xfId="32542" xr:uid="{849841D7-748D-47C7-A986-555C4195C0A9}"/>
    <cellStyle name="SAPBEXHLevel0 4 3" xfId="17475" xr:uid="{CA7E722E-2F90-453F-868C-DD51FC6E9950}"/>
    <cellStyle name="SAPBEXHLevel0 4 3 2" xfId="27552" xr:uid="{89855828-F52F-4935-85FC-21AC3FE16576}"/>
    <cellStyle name="SAPBEXHLevel0 4 4" xfId="17476" xr:uid="{3F5E76D3-EF96-40ED-89E2-E4AB26747275}"/>
    <cellStyle name="SAPBEXHLevel0 4 4 2" xfId="32543" xr:uid="{F78EF224-9E95-4DF0-8EA0-A091C0C37D4D}"/>
    <cellStyle name="SAPBEXHLevel0 4 5" xfId="17477" xr:uid="{66AAD159-6372-4532-9955-0DE9A83E1D28}"/>
    <cellStyle name="SAPBEXHLevel0 4 5 2" xfId="32544" xr:uid="{1832301E-2DA1-4500-8687-FD1542E585B5}"/>
    <cellStyle name="SAPBEXHLevel0 4 6" xfId="17478" xr:uid="{E79CFD88-EFD8-4655-99DD-358AD06BAC94}"/>
    <cellStyle name="SAPBEXHLevel0 4 6 2" xfId="27577" xr:uid="{3B6406EC-AC17-4437-983E-E01DD784F62B}"/>
    <cellStyle name="SAPBEXHLevel0 4 7" xfId="17479" xr:uid="{20ECDBB9-C171-4E8B-B6FF-9DCCAF8629B5}"/>
    <cellStyle name="SAPBEXHLevel0 4 7 2" xfId="27554" xr:uid="{A15D4C13-617D-4F3A-9C8C-28A0E1172B6C}"/>
    <cellStyle name="SAPBEXHLevel0 4 8" xfId="17480" xr:uid="{81E02FC0-2D30-40E7-8211-A52AE79E6E21}"/>
    <cellStyle name="SAPBEXHLevel0 4 8 2" xfId="32545" xr:uid="{A4BF2F3F-3692-492D-9AC2-43EDFB2C5AC9}"/>
    <cellStyle name="SAPBEXHLevel0 4 9" xfId="17481" xr:uid="{6E2A4667-B3A5-4971-9D0A-6DD701377D99}"/>
    <cellStyle name="SAPBEXHLevel0 4 9 2" xfId="27555" xr:uid="{11CB72F3-2A3D-4DC4-9EBE-A8CE52269867}"/>
    <cellStyle name="SAPBEXHLevel0 5" xfId="17482" xr:uid="{2560E46A-35B0-44CC-A34B-F0A1A25BD072}"/>
    <cellStyle name="SAPBEXHLevel0 5 10" xfId="17483" xr:uid="{B3291060-AE75-4F1C-A93E-D4C8F97F56A9}"/>
    <cellStyle name="SAPBEXHLevel0 5 10 2" xfId="27556" xr:uid="{EA107331-7356-48BC-B792-2B0403068A7B}"/>
    <cellStyle name="SAPBEXHLevel0 5 11" xfId="17484" xr:uid="{2F397C15-8A83-46D6-8389-44058891B3A7}"/>
    <cellStyle name="SAPBEXHLevel0 5 11 2" xfId="32547" xr:uid="{FE1BFF45-6205-41F0-B5B0-3CDAFA08F35C}"/>
    <cellStyle name="SAPBEXHLevel0 5 12" xfId="17485" xr:uid="{01E7963A-B314-4ACA-9F75-154A8EC78C20}"/>
    <cellStyle name="SAPBEXHLevel0 5 12 2" xfId="27557" xr:uid="{C3EDB4AC-01DA-43D1-9584-CABD195358DD}"/>
    <cellStyle name="SAPBEXHLevel0 5 13" xfId="17486" xr:uid="{AC497216-BBD0-48BB-9483-7F370663C6CC}"/>
    <cellStyle name="SAPBEXHLevel0 5 13 2" xfId="32548" xr:uid="{B04B83C2-5CB5-49AE-9F54-F6369B6FD148}"/>
    <cellStyle name="SAPBEXHLevel0 5 14" xfId="17487" xr:uid="{42EFAB18-0DAB-4B40-BE6C-3E4EB93A0B75}"/>
    <cellStyle name="SAPBEXHLevel0 5 14 2" xfId="27558" xr:uid="{53BE392E-768C-4511-9D47-683917D4E698}"/>
    <cellStyle name="SAPBEXHLevel0 5 15" xfId="32546" xr:uid="{5245B2CE-D2ED-4746-9A17-72348B614ABF}"/>
    <cellStyle name="SAPBEXHLevel0 5 2" xfId="17488" xr:uid="{D8568F32-49C1-4505-8988-EC6FF1D3906D}"/>
    <cellStyle name="SAPBEXHLevel0 5 2 2" xfId="32549" xr:uid="{BFF077A1-9646-44DC-8A0E-E4AA72BAC73E}"/>
    <cellStyle name="SAPBEXHLevel0 5 3" xfId="17489" xr:uid="{271BE490-7522-4EE8-9907-B2B60334453A}"/>
    <cellStyle name="SAPBEXHLevel0 5 3 2" xfId="27559" xr:uid="{84B076C1-8FCD-4E81-A26C-1DE03088B2E8}"/>
    <cellStyle name="SAPBEXHLevel0 5 4" xfId="17490" xr:uid="{19F2F151-CF52-466C-A5EE-170844B68B87}"/>
    <cellStyle name="SAPBEXHLevel0 5 4 2" xfId="32550" xr:uid="{A0739B3A-365F-4875-945B-64081679E9CE}"/>
    <cellStyle name="SAPBEXHLevel0 5 5" xfId="17491" xr:uid="{85F56E72-54DA-4414-86D7-24A8FEEFADC4}"/>
    <cellStyle name="SAPBEXHLevel0 5 5 2" xfId="27560" xr:uid="{B654267E-A5D2-48E7-A61C-568AD394C722}"/>
    <cellStyle name="SAPBEXHLevel0 5 6" xfId="17492" xr:uid="{A9711991-1E8C-4E23-ABEF-0EF15B616DA1}"/>
    <cellStyle name="SAPBEXHLevel0 5 6 2" xfId="32551" xr:uid="{6C4B34AE-6258-4116-8281-D9AB863D692B}"/>
    <cellStyle name="SAPBEXHLevel0 5 7" xfId="17493" xr:uid="{03572947-3669-4DC5-97A7-194EDC603D14}"/>
    <cellStyle name="SAPBEXHLevel0 5 7 2" xfId="27563" xr:uid="{9E7A06AE-872A-40AD-8E1A-4BFE64F991B3}"/>
    <cellStyle name="SAPBEXHLevel0 5 8" xfId="17494" xr:uid="{B8E64561-B061-4ED7-B69B-48C2E3D06BA3}"/>
    <cellStyle name="SAPBEXHLevel0 5 8 2" xfId="32552" xr:uid="{29B4161F-F1AD-45A0-BD3E-6C7CE94E1399}"/>
    <cellStyle name="SAPBEXHLevel0 5 9" xfId="17495" xr:uid="{5102F026-71E8-4623-A46B-5B232D4F019E}"/>
    <cellStyle name="SAPBEXHLevel0 5 9 2" xfId="27564" xr:uid="{0BA40E60-04BA-4CE1-AEEC-75C76CF08127}"/>
    <cellStyle name="SAPBEXHLevel0 6" xfId="17496" xr:uid="{39845F54-9CF3-48DE-B913-BF551ECB78F6}"/>
    <cellStyle name="SAPBEXHLevel0 6 2" xfId="32553" xr:uid="{84E3923A-1980-44A8-B6A4-BD7A420CE513}"/>
    <cellStyle name="SAPBEXHLevel0 7" xfId="17497" xr:uid="{7BBDCC0E-33D0-4EAE-B7EF-A2F647A7D365}"/>
    <cellStyle name="SAPBEXHLevel0 7 2" xfId="27565" xr:uid="{085BA801-814E-41DC-B32A-FFC8B43CA38F}"/>
    <cellStyle name="SAPBEXHLevel0 8" xfId="17498" xr:uid="{B76C5104-C844-4B41-B0E4-EF1CF0DAF385}"/>
    <cellStyle name="SAPBEXHLevel0 8 2" xfId="32554" xr:uid="{A6ACD938-97BD-481C-A37F-92DA89434544}"/>
    <cellStyle name="SAPBEXHLevel0 9" xfId="17499" xr:uid="{47F0793C-4333-4E8B-B030-EB97204F1AEE}"/>
    <cellStyle name="SAPBEXHLevel0 9 2" xfId="27566" xr:uid="{D03276FC-9ABE-4E08-AAA2-5ABA72AF6876}"/>
    <cellStyle name="SAPBEXHLevel0X" xfId="17500" xr:uid="{B1DD6158-1569-4D43-AB17-0E666E84C7FE}"/>
    <cellStyle name="SAPBEXHLevel0X 10" xfId="17501" xr:uid="{83E89B00-783A-488F-8077-35807E020FA2}"/>
    <cellStyle name="SAPBEXHLevel0X 10 2" xfId="27567" xr:uid="{18F62251-039A-428B-B2D9-40F410BFED1C}"/>
    <cellStyle name="SAPBEXHLevel0X 11" xfId="17502" xr:uid="{4E2A6E37-7CC1-4847-8E81-C143142F744F}"/>
    <cellStyle name="SAPBEXHLevel0X 11 2" xfId="32556" xr:uid="{DB663F9F-7E39-4863-8CFB-2A1B466A969B}"/>
    <cellStyle name="SAPBEXHLevel0X 12" xfId="17503" xr:uid="{67C200B0-0F0F-4D17-A36E-6C04B7D0E821}"/>
    <cellStyle name="SAPBEXHLevel0X 12 2" xfId="27568" xr:uid="{ECD5554B-8B72-468F-8ECB-62BCF6289D6E}"/>
    <cellStyle name="SAPBEXHLevel0X 13" xfId="17504" xr:uid="{FE88CD33-2B10-4B9C-8114-9F649305480D}"/>
    <cellStyle name="SAPBEXHLevel0X 13 2" xfId="32557" xr:uid="{F23FD51A-1BD5-4C11-8F4E-CBE6242AF55C}"/>
    <cellStyle name="SAPBEXHLevel0X 14" xfId="17505" xr:uid="{C7575E55-ACCA-42F3-BC1D-96C80EDBAE26}"/>
    <cellStyle name="SAPBEXHLevel0X 14 2" xfId="27576" xr:uid="{7AC2419E-B6A0-4655-AC2D-6AF36B438421}"/>
    <cellStyle name="SAPBEXHLevel0X 15" xfId="17506" xr:uid="{E9C1B919-B53E-4513-9A41-A2F5BF84AB03}"/>
    <cellStyle name="SAPBEXHLevel0X 15 2" xfId="27569" xr:uid="{087717B9-66D6-4F1E-9FFC-B7F9BE2AAC70}"/>
    <cellStyle name="SAPBEXHLevel0X 16" xfId="17507" xr:uid="{F9BB4593-8F82-4668-ABFF-FD97B3F6B26B}"/>
    <cellStyle name="SAPBEXHLevel0X 16 2" xfId="32558" xr:uid="{E65C4B80-0679-4D16-9275-EFFCDE9EA69F}"/>
    <cellStyle name="SAPBEXHLevel0X 17" xfId="17508" xr:uid="{FB6E07DE-3A20-4D33-A2EC-5C6261387B76}"/>
    <cellStyle name="SAPBEXHLevel0X 17 2" xfId="27570" xr:uid="{7068C680-24E3-487B-A1B3-1149C1DAC8E4}"/>
    <cellStyle name="SAPBEXHLevel0X 18" xfId="17509" xr:uid="{75744F5D-D6EC-4040-B8BA-EDB185CDEFDA}"/>
    <cellStyle name="SAPBEXHLevel0X 18 2" xfId="32559" xr:uid="{1A99BE39-0104-4E44-946F-92F46B8C6F12}"/>
    <cellStyle name="SAPBEXHLevel0X 19" xfId="17510" xr:uid="{D58D6ED0-C77B-49FE-9F31-3349D2756922}"/>
    <cellStyle name="SAPBEXHLevel0X 19 2" xfId="27571" xr:uid="{144EAD32-B357-45E3-A1E7-F377DAB7BCF8}"/>
    <cellStyle name="SAPBEXHLevel0X 2" xfId="17511" xr:uid="{32E650FA-7BD4-42DB-9669-7FA7BCD867F9}"/>
    <cellStyle name="SAPBEXHLevel0X 2 10" xfId="17512" xr:uid="{403F6143-203E-49C3-B795-62D9A874ECCB}"/>
    <cellStyle name="SAPBEXHLevel0X 2 10 2" xfId="27572" xr:uid="{129BF8E7-43E2-4199-A134-08B7D11A53B9}"/>
    <cellStyle name="SAPBEXHLevel0X 2 11" xfId="17513" xr:uid="{133578AE-F5EF-4EB6-8DA9-7A21968CCB86}"/>
    <cellStyle name="SAPBEXHLevel0X 2 11 2" xfId="32561" xr:uid="{54987C32-5B5F-4FF2-9417-187ED1559E33}"/>
    <cellStyle name="SAPBEXHLevel0X 2 12" xfId="17514" xr:uid="{247D59FE-0143-44DC-A970-AC7E29915E48}"/>
    <cellStyle name="SAPBEXHLevel0X 2 12 2" xfId="27573" xr:uid="{17EF4C3D-5642-4FE1-8019-B21DD4687FB1}"/>
    <cellStyle name="SAPBEXHLevel0X 2 13" xfId="17515" xr:uid="{98CDED4F-87FA-4201-A6BC-3B91808C1E16}"/>
    <cellStyle name="SAPBEXHLevel0X 2 13 2" xfId="32562" xr:uid="{720B0415-664B-4B8F-AB81-85E90D5B4B8A}"/>
    <cellStyle name="SAPBEXHLevel0X 2 14" xfId="17516" xr:uid="{5FD9E986-EC29-44AC-A1BF-64C846E34CD4}"/>
    <cellStyle name="SAPBEXHLevel0X 2 14 2" xfId="27574" xr:uid="{4D1B376E-BA69-4BE2-B43A-DAF3AE4760B6}"/>
    <cellStyle name="SAPBEXHLevel0X 2 15" xfId="17517" xr:uid="{B1991BEE-BF27-440B-A5FD-AC4822E752AE}"/>
    <cellStyle name="SAPBEXHLevel0X 2 15 2" xfId="32563" xr:uid="{66861227-7ED9-4A9A-BD27-ECA83DEE1E22}"/>
    <cellStyle name="SAPBEXHLevel0X 2 16" xfId="17518" xr:uid="{4CD2842F-B0BC-4050-BEB8-B86F346E132B}"/>
    <cellStyle name="SAPBEXHLevel0X 2 16 2" xfId="27575" xr:uid="{904A3394-0C01-45DF-BD86-D2C04AB782CF}"/>
    <cellStyle name="SAPBEXHLevel0X 2 17" xfId="17519" xr:uid="{302F2CD2-5B62-4BCE-9C14-3E7F0935BF91}"/>
    <cellStyle name="SAPBEXHLevel0X 2 17 2" xfId="32564" xr:uid="{DB42D3D4-BC12-4467-A2E0-CAD83C719FCC}"/>
    <cellStyle name="SAPBEXHLevel0X 2 18" xfId="17520" xr:uid="{8657A569-0497-4380-BB42-CA9404D5BFD6}"/>
    <cellStyle name="SAPBEXHLevel0X 2 18 2" xfId="32565" xr:uid="{8C69CF71-3984-4B9D-BD9A-8F8EA7C69EAD}"/>
    <cellStyle name="SAPBEXHLevel0X 2 19" xfId="17521" xr:uid="{E770166B-7187-4088-A075-8E57F9DD0D75}"/>
    <cellStyle name="SAPBEXHLevel0X 2 19 2" xfId="32566" xr:uid="{B3EEB468-A7F9-4169-9EA1-BDF1A517B6F3}"/>
    <cellStyle name="SAPBEXHLevel0X 2 2" xfId="17522" xr:uid="{19F46597-601C-4E6D-A4F6-A5350D945EBA}"/>
    <cellStyle name="SAPBEXHLevel0X 2 2 10" xfId="17523" xr:uid="{EFBCCC0A-E7A3-4C28-8100-746F19E4A8BB}"/>
    <cellStyle name="SAPBEXHLevel0X 2 2 10 2" xfId="27578" xr:uid="{4382C355-D354-4E66-9482-B024C35F6DD3}"/>
    <cellStyle name="SAPBEXHLevel0X 2 2 11" xfId="17524" xr:uid="{5F14B9B7-D066-4C03-B406-DFDC569E7812}"/>
    <cellStyle name="SAPBEXHLevel0X 2 2 11 2" xfId="32567" xr:uid="{9321D130-8D36-4C46-A56B-54F76F75B06E}"/>
    <cellStyle name="SAPBEXHLevel0X 2 2 12" xfId="17525" xr:uid="{B9CE15E8-9177-44B2-B074-595973D39B5D}"/>
    <cellStyle name="SAPBEXHLevel0X 2 2 12 2" xfId="27579" xr:uid="{3B55C5B5-6644-4FCC-81E1-BE7595BC5AD2}"/>
    <cellStyle name="SAPBEXHLevel0X 2 2 13" xfId="17526" xr:uid="{3B6A14D8-3FFD-4A1A-8BA1-C4DF1CB40ECD}"/>
    <cellStyle name="SAPBEXHLevel0X 2 2 13 2" xfId="32568" xr:uid="{4B7F2D43-DA4D-4B6F-AA0C-6DF5B7210F73}"/>
    <cellStyle name="SAPBEXHLevel0X 2 2 14" xfId="17527" xr:uid="{DE72300B-9E01-40B5-AC6B-E307E51984D6}"/>
    <cellStyle name="SAPBEXHLevel0X 2 2 14 2" xfId="27580" xr:uid="{626B58FB-B55F-4D6E-8242-E3768E95C5CC}"/>
    <cellStyle name="SAPBEXHLevel0X 2 2 15" xfId="17528" xr:uid="{D7A909F3-DE18-4E19-A7D1-45C4681642BF}"/>
    <cellStyle name="SAPBEXHLevel0X 2 2 15 2" xfId="32569" xr:uid="{AE6D0B12-CFB6-4450-AAE5-52DD3CF083AE}"/>
    <cellStyle name="SAPBEXHLevel0X 2 2 16" xfId="17529" xr:uid="{2493829C-B6CB-4CFE-BF24-BE472B8B0074}"/>
    <cellStyle name="SAPBEXHLevel0X 2 2 16 2" xfId="27561" xr:uid="{93F01794-19F0-417C-B930-44B535B1B824}"/>
    <cellStyle name="SAPBEXHLevel0X 2 2 17" xfId="17530" xr:uid="{3D01E4BE-4CF1-4218-A4BD-7ADC214CE763}"/>
    <cellStyle name="SAPBEXHLevel0X 2 2 17 2" xfId="32570" xr:uid="{3E6FD61C-595A-4D3D-96B9-0E89911B5FB7}"/>
    <cellStyle name="SAPBEXHLevel0X 2 2 18" xfId="17531" xr:uid="{1A163E0E-0462-46A9-9496-1E81593FB10A}"/>
    <cellStyle name="SAPBEXHLevel0X 2 2 18 2" xfId="27562" xr:uid="{1CAC6316-70A3-4D06-B0CD-9809C617FE10}"/>
    <cellStyle name="SAPBEXHLevel0X 2 2 19" xfId="27597" xr:uid="{786B84A3-8A3F-49D3-8DA2-BB3C75949A5D}"/>
    <cellStyle name="SAPBEXHLevel0X 2 2 2" xfId="17532" xr:uid="{470B0F45-C0BB-44AA-B048-3C1FB59991F4}"/>
    <cellStyle name="SAPBEXHLevel0X 2 2 2 10" xfId="17533" xr:uid="{1D5393D3-0F52-4A31-B8DD-8BDA5F0637F5}"/>
    <cellStyle name="SAPBEXHLevel0X 2 2 2 10 2" xfId="27581" xr:uid="{8EE55860-C9C9-4F7B-839C-EE3BB22783E0}"/>
    <cellStyle name="SAPBEXHLevel0X 2 2 2 11" xfId="17534" xr:uid="{88D8AF7A-7FF0-4707-B935-13BBE3293C2B}"/>
    <cellStyle name="SAPBEXHLevel0X 2 2 2 11 2" xfId="32572" xr:uid="{D5CC79EC-B45B-4098-9CEA-7446C2525F4E}"/>
    <cellStyle name="SAPBEXHLevel0X 2 2 2 12" xfId="17535" xr:uid="{6BF21075-A16E-4D74-8130-F6AAE4E57F8D}"/>
    <cellStyle name="SAPBEXHLevel0X 2 2 2 12 2" xfId="27582" xr:uid="{30E43882-F552-41D1-9BDA-24DBFC16FA6C}"/>
    <cellStyle name="SAPBEXHLevel0X 2 2 2 13" xfId="17536" xr:uid="{62D912FE-4479-4001-AA5C-A82B823C813B}"/>
    <cellStyle name="SAPBEXHLevel0X 2 2 2 13 2" xfId="32573" xr:uid="{74614D89-84CB-42A5-AF23-340B65D56444}"/>
    <cellStyle name="SAPBEXHLevel0X 2 2 2 14" xfId="17537" xr:uid="{3FF8DA78-DC5A-4675-B03F-F7AD3248CEA0}"/>
    <cellStyle name="SAPBEXHLevel0X 2 2 2 14 2" xfId="27583" xr:uid="{6189270A-0FE2-4E05-8650-E169D79B2561}"/>
    <cellStyle name="SAPBEXHLevel0X 2 2 2 15" xfId="32571" xr:uid="{0C8E0D9B-3F33-4A95-9E14-07E534C1D814}"/>
    <cellStyle name="SAPBEXHLevel0X 2 2 2 2" xfId="17538" xr:uid="{C4431CA3-CF9E-4BA4-8D16-CD09D0B4D4C2}"/>
    <cellStyle name="SAPBEXHLevel0X 2 2 2 2 2" xfId="32574" xr:uid="{12989DFA-3AB3-4D3A-83AD-A8874A0722CE}"/>
    <cellStyle name="SAPBEXHLevel0X 2 2 2 3" xfId="17539" xr:uid="{5B12CC22-628D-4E0C-87B7-3A7B3AA3B3EC}"/>
    <cellStyle name="SAPBEXHLevel0X 2 2 2 3 2" xfId="27584" xr:uid="{6FE9F4F9-E9E2-45FC-AB9D-CD9E2CCD3716}"/>
    <cellStyle name="SAPBEXHLevel0X 2 2 2 4" xfId="17540" xr:uid="{6FEFC586-5B7E-4FF0-B88B-8EDEE7048CA8}"/>
    <cellStyle name="SAPBEXHLevel0X 2 2 2 4 2" xfId="32575" xr:uid="{5ADF3D3F-C394-497F-904B-D81F4CC42500}"/>
    <cellStyle name="SAPBEXHLevel0X 2 2 2 5" xfId="17541" xr:uid="{DEBC25B8-62EB-4840-B46F-C6C9EBDC37B4}"/>
    <cellStyle name="SAPBEXHLevel0X 2 2 2 5 2" xfId="27585" xr:uid="{AF8A1A55-ED51-4E95-B85D-1BF2317F2175}"/>
    <cellStyle name="SAPBEXHLevel0X 2 2 2 6" xfId="17542" xr:uid="{068E5D22-2182-488D-9001-86DDAAF3FF0B}"/>
    <cellStyle name="SAPBEXHLevel0X 2 2 2 6 2" xfId="32576" xr:uid="{9D512A5C-F409-4805-B0AC-D137D08FF68D}"/>
    <cellStyle name="SAPBEXHLevel0X 2 2 2 7" xfId="17543" xr:uid="{24589A5D-1C99-4E6F-A4ED-0D0981D40E37}"/>
    <cellStyle name="SAPBEXHLevel0X 2 2 2 7 2" xfId="27586" xr:uid="{531E1217-C2AF-4FA7-95E4-3D6B9CB22901}"/>
    <cellStyle name="SAPBEXHLevel0X 2 2 2 8" xfId="17544" xr:uid="{C9784D10-1E16-4525-874F-1FFC6A9DBE71}"/>
    <cellStyle name="SAPBEXHLevel0X 2 2 2 8 2" xfId="32577" xr:uid="{E07F43D4-21B4-4C6F-AAE5-2DCB4DAD202E}"/>
    <cellStyle name="SAPBEXHLevel0X 2 2 2 9" xfId="17545" xr:uid="{CC3ED685-ABAF-4E3C-A059-69010D87453E}"/>
    <cellStyle name="SAPBEXHLevel0X 2 2 2 9 2" xfId="27587" xr:uid="{84373066-9007-4EDB-BB77-EEF8DF235047}"/>
    <cellStyle name="SAPBEXHLevel0X 2 2 3" xfId="17546" xr:uid="{18D53495-1145-48BC-80E6-31DC52C26BFE}"/>
    <cellStyle name="SAPBEXHLevel0X 2 2 3 2" xfId="32578" xr:uid="{3BACED97-F5CE-4B79-868D-FC8DF1F5133B}"/>
    <cellStyle name="SAPBEXHLevel0X 2 2 4" xfId="17547" xr:uid="{6776F332-1FA9-43EC-9980-E342B5018354}"/>
    <cellStyle name="SAPBEXHLevel0X 2 2 4 2" xfId="27588" xr:uid="{31A62617-BC99-4CD8-BA5C-B0142292DF94}"/>
    <cellStyle name="SAPBEXHLevel0X 2 2 5" xfId="17548" xr:uid="{8F3BF260-B029-4720-A952-DEB8B943DAE3}"/>
    <cellStyle name="SAPBEXHLevel0X 2 2 5 2" xfId="32579" xr:uid="{ABB18F8C-DF8A-4897-B3F0-C46494930D13}"/>
    <cellStyle name="SAPBEXHLevel0X 2 2 6" xfId="17549" xr:uid="{E90461C2-E840-4245-BEEC-55FF59AD1834}"/>
    <cellStyle name="SAPBEXHLevel0X 2 2 6 2" xfId="27596" xr:uid="{7DA705D7-BB60-4B2A-B239-2684D63F9800}"/>
    <cellStyle name="SAPBEXHLevel0X 2 2 7" xfId="17550" xr:uid="{EB2BFE2D-966A-4AED-A47A-F9D7A8F5A9F2}"/>
    <cellStyle name="SAPBEXHLevel0X 2 2 7 2" xfId="27589" xr:uid="{75D0F14C-3131-4482-A8A7-D62B4A83B95A}"/>
    <cellStyle name="SAPBEXHLevel0X 2 2 8" xfId="17551" xr:uid="{943493D5-DED8-4149-922B-DFE5028DB8B2}"/>
    <cellStyle name="SAPBEXHLevel0X 2 2 8 2" xfId="32580" xr:uid="{C852E472-B50E-4BE1-BFE2-3A80FD6ED1EA}"/>
    <cellStyle name="SAPBEXHLevel0X 2 2 9" xfId="17552" xr:uid="{ABE0CEFD-3661-4358-8955-9CE256EF6801}"/>
    <cellStyle name="SAPBEXHLevel0X 2 2 9 2" xfId="27590" xr:uid="{9A45CEB2-3330-40E0-96E2-7A02EBE6A3FA}"/>
    <cellStyle name="SAPBEXHLevel0X 2 20" xfId="32560" xr:uid="{B8F95139-BEBE-40A1-A885-D60921790EB9}"/>
    <cellStyle name="SAPBEXHLevel0X 2 3" xfId="17553" xr:uid="{9D8EF9B5-BC6D-4AB3-BF97-134D236E57E3}"/>
    <cellStyle name="SAPBEXHLevel0X 2 3 10" xfId="17554" xr:uid="{86360B31-2B72-40CA-B065-790CF1F78DE9}"/>
    <cellStyle name="SAPBEXHLevel0X 2 3 10 2" xfId="27591" xr:uid="{C5EEBF25-96DB-4BC9-9EA1-7CAFA4015C5F}"/>
    <cellStyle name="SAPBEXHLevel0X 2 3 11" xfId="17555" xr:uid="{EAD704B0-F278-482F-AA7B-C062B34054BD}"/>
    <cellStyle name="SAPBEXHLevel0X 2 3 11 2" xfId="32582" xr:uid="{1D1B1650-BAC1-4FDC-B202-6DB3F2456DD2}"/>
    <cellStyle name="SAPBEXHLevel0X 2 3 12" xfId="17556" xr:uid="{3B0C7CA5-849D-4D11-9EC5-86BA4AE0AD30}"/>
    <cellStyle name="SAPBEXHLevel0X 2 3 12 2" xfId="27592" xr:uid="{C2906F7E-7DF6-4179-BF85-A37757DE8DD1}"/>
    <cellStyle name="SAPBEXHLevel0X 2 3 13" xfId="17557" xr:uid="{F0A0DFC3-CE49-4E9F-9717-21189E9F1138}"/>
    <cellStyle name="SAPBEXHLevel0X 2 3 13 2" xfId="32583" xr:uid="{DF9F5D0C-7DED-4A01-8F10-EB5305DD1FC2}"/>
    <cellStyle name="SAPBEXHLevel0X 2 3 14" xfId="17558" xr:uid="{F5786436-1B95-4F86-8F69-4417CEB5F717}"/>
    <cellStyle name="SAPBEXHLevel0X 2 3 14 2" xfId="27593" xr:uid="{20CFEE75-3A46-43A0-869B-817689023D5C}"/>
    <cellStyle name="SAPBEXHLevel0X 2 3 15" xfId="32581" xr:uid="{6A28E2DA-191C-419A-B488-4B55524CC935}"/>
    <cellStyle name="SAPBEXHLevel0X 2 3 2" xfId="17559" xr:uid="{1B1297A1-2F6C-4B1A-B219-0F0FC9324694}"/>
    <cellStyle name="SAPBEXHLevel0X 2 3 2 2" xfId="32584" xr:uid="{07CE8E39-2B43-4FA2-AC72-8C2226CF82BF}"/>
    <cellStyle name="SAPBEXHLevel0X 2 3 3" xfId="17560" xr:uid="{9D031ABD-70AF-452A-B7F8-054AE2942C0F}"/>
    <cellStyle name="SAPBEXHLevel0X 2 3 3 2" xfId="27594" xr:uid="{0A968B51-0ED6-42AC-9682-5F334BBBE767}"/>
    <cellStyle name="SAPBEXHLevel0X 2 3 4" xfId="17561" xr:uid="{6A80AB2C-701C-4C88-8F3D-0ECC06F0F2A7}"/>
    <cellStyle name="SAPBEXHLevel0X 2 3 4 2" xfId="32585" xr:uid="{F5173D9E-D03E-4399-A847-1083C0D12AF1}"/>
    <cellStyle name="SAPBEXHLevel0X 2 3 5" xfId="17562" xr:uid="{B681B15A-8CAA-43DB-A7E3-EBBD54FB8BF8}"/>
    <cellStyle name="SAPBEXHLevel0X 2 3 5 2" xfId="27595" xr:uid="{2431CA2C-92E9-4429-A428-1ADE4059C236}"/>
    <cellStyle name="SAPBEXHLevel0X 2 3 6" xfId="17563" xr:uid="{4EDD7434-A8E4-4402-A470-4307B38CA991}"/>
    <cellStyle name="SAPBEXHLevel0X 2 3 6 2" xfId="32586" xr:uid="{3C24FDF9-C5A2-4506-AF0F-FEAF57592392}"/>
    <cellStyle name="SAPBEXHLevel0X 2 3 7" xfId="17564" xr:uid="{A6F400B4-0FEC-4514-A0D6-2038AFBFC9DB}"/>
    <cellStyle name="SAPBEXHLevel0X 2 3 7 2" xfId="32587" xr:uid="{EA81E7F7-19EB-4B09-8880-FDD8630EAF5A}"/>
    <cellStyle name="SAPBEXHLevel0X 2 3 8" xfId="17565" xr:uid="{99AA1D53-4EC4-4EC1-BC33-1EDA0F1BC234}"/>
    <cellStyle name="SAPBEXHLevel0X 2 3 8 2" xfId="32588" xr:uid="{25DD80A2-67AF-4C74-BAA0-7E1669009B70}"/>
    <cellStyle name="SAPBEXHLevel0X 2 3 9" xfId="17566" xr:uid="{35E818E7-533D-4FF6-96D4-D646C19CDFCA}"/>
    <cellStyle name="SAPBEXHLevel0X 2 3 9 2" xfId="27637" xr:uid="{5D7DCDF0-5B22-44CD-A4B1-1ECDE2BCD59C}"/>
    <cellStyle name="SAPBEXHLevel0X 2 4" xfId="17567" xr:uid="{682DFB0F-2AD8-43FB-A73F-B9FBE22549B4}"/>
    <cellStyle name="SAPBEXHLevel0X 2 4 2" xfId="27598" xr:uid="{CAA2EC9C-97E3-402C-92DD-15386127721A}"/>
    <cellStyle name="SAPBEXHLevel0X 2 5" xfId="17568" xr:uid="{B016CDCE-2037-409F-9EE6-D12BC84FE148}"/>
    <cellStyle name="SAPBEXHLevel0X 2 5 2" xfId="32589" xr:uid="{85DFC5AE-9AF1-48C3-B220-18EF422B6360}"/>
    <cellStyle name="SAPBEXHLevel0X 2 6" xfId="17569" xr:uid="{26111DC3-D6E7-42DD-8B14-6E91592ACDF6}"/>
    <cellStyle name="SAPBEXHLevel0X 2 6 2" xfId="27599" xr:uid="{3947CA26-6050-4AC3-9FB1-5FE006402289}"/>
    <cellStyle name="SAPBEXHLevel0X 2 7" xfId="17570" xr:uid="{19A07D84-49AF-4095-9A7A-F2443EF21081}"/>
    <cellStyle name="SAPBEXHLevel0X 2 7 2" xfId="32590" xr:uid="{87E3D1B1-9754-49CB-A4F9-D02F09209C12}"/>
    <cellStyle name="SAPBEXHLevel0X 2 8" xfId="17571" xr:uid="{44101B35-EE2A-4596-BA6E-B64774960164}"/>
    <cellStyle name="SAPBEXHLevel0X 2 8 2" xfId="27600" xr:uid="{677219D1-25C2-4A51-8219-18686DFE8D41}"/>
    <cellStyle name="SAPBEXHLevel0X 2 9" xfId="17572" xr:uid="{8E5A4F8B-7D40-4A54-8473-38EA0595012B}"/>
    <cellStyle name="SAPBEXHLevel0X 2 9 2" xfId="32591" xr:uid="{BF0955EB-31A6-437D-A457-B18F76EEB8BF}"/>
    <cellStyle name="SAPBEXHLevel0X 20" xfId="17573" xr:uid="{A50BB4CA-8249-4D1A-8757-579289936C7F}"/>
    <cellStyle name="SAPBEXHLevel0X 20 2" xfId="27601" xr:uid="{60CE2AE7-9851-43C4-B06B-59E1697AE93A}"/>
    <cellStyle name="SAPBEXHLevel0X 21" xfId="17574" xr:uid="{4D65C584-604F-4BA7-913D-3C5542442EAB}"/>
    <cellStyle name="SAPBEXHLevel0X 21 2" xfId="32592" xr:uid="{FB18C8E3-084A-4FA2-A516-86BAE3ABD0BC}"/>
    <cellStyle name="SAPBEXHLevel0X 22" xfId="32555" xr:uid="{7A0A3900-CE14-4A54-BAE5-6E6DDD1D38EB}"/>
    <cellStyle name="SAPBEXHLevel0X 3" xfId="17575" xr:uid="{303D9B53-CF39-45F8-856E-B56EC07F33A7}"/>
    <cellStyle name="SAPBEXHLevel0X 3 10" xfId="17576" xr:uid="{938C16F0-2A85-4941-A76F-7BB80DF36C05}"/>
    <cellStyle name="SAPBEXHLevel0X 3 10 2" xfId="32593" xr:uid="{3EE33922-6D6B-4D67-A090-E37D2926ADF9}"/>
    <cellStyle name="SAPBEXHLevel0X 3 11" xfId="17577" xr:uid="{DD313A63-7DD3-40E5-A62A-5DA5FEECF7B5}"/>
    <cellStyle name="SAPBEXHLevel0X 3 11 2" xfId="27603" xr:uid="{7BAB7DA5-5E12-4246-B032-0C9ADF94A3A8}"/>
    <cellStyle name="SAPBEXHLevel0X 3 12" xfId="17578" xr:uid="{B1C84B92-298B-4D59-A2DB-940A3622FA17}"/>
    <cellStyle name="SAPBEXHLevel0X 3 12 2" xfId="32594" xr:uid="{82916055-B141-40EB-8935-5BFD2D928970}"/>
    <cellStyle name="SAPBEXHLevel0X 3 13" xfId="17579" xr:uid="{618C9903-96B0-4FF8-BFA0-781C2DDBB43A}"/>
    <cellStyle name="SAPBEXHLevel0X 3 13 2" xfId="27604" xr:uid="{ED25F515-BB6D-482A-A638-E2958D98B5AE}"/>
    <cellStyle name="SAPBEXHLevel0X 3 14" xfId="17580" xr:uid="{FBC102C1-5105-4B38-B2AE-D0C986E8D36B}"/>
    <cellStyle name="SAPBEXHLevel0X 3 14 2" xfId="32595" xr:uid="{CDD5E56B-D11F-4AC0-BCCA-5ECD82ADC64A}"/>
    <cellStyle name="SAPBEXHLevel0X 3 15" xfId="17581" xr:uid="{DAF33437-148B-4D60-88B4-69E03E229925}"/>
    <cellStyle name="SAPBEXHLevel0X 3 15 2" xfId="27605" xr:uid="{80719C99-BEB3-416F-81E8-43F5AE4A3939}"/>
    <cellStyle name="SAPBEXHLevel0X 3 16" xfId="17582" xr:uid="{14752928-B52D-4748-8D28-64EC47761979}"/>
    <cellStyle name="SAPBEXHLevel0X 3 16 2" xfId="32596" xr:uid="{88A2C431-3570-41C0-981D-3BC9585659F2}"/>
    <cellStyle name="SAPBEXHLevel0X 3 17" xfId="17583" xr:uid="{0D0167B2-833B-4DDB-A860-241DE081F4E8}"/>
    <cellStyle name="SAPBEXHLevel0X 3 17 2" xfId="27606" xr:uid="{75D3EE28-BF77-4CE1-BBE6-8BE499A7820F}"/>
    <cellStyle name="SAPBEXHLevel0X 3 18" xfId="17584" xr:uid="{B9859C89-897A-426B-80D0-F3986F49778A}"/>
    <cellStyle name="SAPBEXHLevel0X 3 18 2" xfId="32597" xr:uid="{E5A76A2B-BF1F-4AF7-889B-D76BFB768A69}"/>
    <cellStyle name="SAPBEXHLevel0X 3 19" xfId="17585" xr:uid="{8BC39AFF-2641-4F2C-9D55-E5C9177C3712}"/>
    <cellStyle name="SAPBEXHLevel0X 3 19 2" xfId="27607" xr:uid="{BC0E8431-D803-43FC-83A1-5CE01CB149A2}"/>
    <cellStyle name="SAPBEXHLevel0X 3 2" xfId="17586" xr:uid="{5380FFA8-3B35-4E4A-9065-387CF9743AF2}"/>
    <cellStyle name="SAPBEXHLevel0X 3 2 10" xfId="17587" xr:uid="{CC9F5321-1CCB-4B33-940C-DCC23C11EF7D}"/>
    <cellStyle name="SAPBEXHLevel0X 3 2 10 2" xfId="27608" xr:uid="{9D051B86-F57D-43D1-983F-1688E1AC1949}"/>
    <cellStyle name="SAPBEXHLevel0X 3 2 11" xfId="17588" xr:uid="{F6429A07-1EFA-409F-A3D6-689428E19732}"/>
    <cellStyle name="SAPBEXHLevel0X 3 2 11 2" xfId="32599" xr:uid="{ABBD6943-AF0E-41A9-952E-5DA75CF836B4}"/>
    <cellStyle name="SAPBEXHLevel0X 3 2 12" xfId="17589" xr:uid="{B94F3279-0EC2-4BD7-B541-04460266828B}"/>
    <cellStyle name="SAPBEXHLevel0X 3 2 12 2" xfId="27609" xr:uid="{147A7029-DF3C-4757-BC1F-D320B945FF43}"/>
    <cellStyle name="SAPBEXHLevel0X 3 2 13" xfId="17590" xr:uid="{FDF0E18E-5A20-43DF-A6D1-99FB0D0D2D16}"/>
    <cellStyle name="SAPBEXHLevel0X 3 2 13 2" xfId="32600" xr:uid="{645EBBDB-4477-4B8C-A98D-133E46A8220F}"/>
    <cellStyle name="SAPBEXHLevel0X 3 2 14" xfId="17591" xr:uid="{F544238D-5D9B-4C16-B522-B4EB6C10E070}"/>
    <cellStyle name="SAPBEXHLevel0X 3 2 14 2" xfId="27610" xr:uid="{2AEDBBF0-65F9-41DE-954D-4ED0D97677B8}"/>
    <cellStyle name="SAPBEXHLevel0X 3 2 15" xfId="17592" xr:uid="{960BC6D2-D87C-47FE-9B33-C8666A77881D}"/>
    <cellStyle name="SAPBEXHLevel0X 3 2 15 2" xfId="32601" xr:uid="{E3F844EC-0791-4A6A-B6B4-E1D6499C26C8}"/>
    <cellStyle name="SAPBEXHLevel0X 3 2 16" xfId="17593" xr:uid="{84D49C04-4C61-473E-BD92-4D29A7C728D2}"/>
    <cellStyle name="SAPBEXHLevel0X 3 2 16 2" xfId="27618" xr:uid="{4965B91F-3B41-4673-BD63-449D6CDA5DCB}"/>
    <cellStyle name="SAPBEXHLevel0X 3 2 17" xfId="17594" xr:uid="{DCCA8501-7576-4C76-AD24-627A9463206C}"/>
    <cellStyle name="SAPBEXHLevel0X 3 2 17 2" xfId="27611" xr:uid="{2B5B0057-59B7-4FB4-B067-67725FB7BDA2}"/>
    <cellStyle name="SAPBEXHLevel0X 3 2 18" xfId="17595" xr:uid="{048D6432-40EE-406E-945E-2A9AC262C92E}"/>
    <cellStyle name="SAPBEXHLevel0X 3 2 18 2" xfId="32602" xr:uid="{F77E5138-D869-4DDA-84DE-83B46A9F5387}"/>
    <cellStyle name="SAPBEXHLevel0X 3 2 19" xfId="32598" xr:uid="{C2FCDD5A-0583-44F2-A104-7FF6ED7BDCD8}"/>
    <cellStyle name="SAPBEXHLevel0X 3 2 2" xfId="17596" xr:uid="{B33E808F-C39E-4004-82C4-9EE483F74AB4}"/>
    <cellStyle name="SAPBEXHLevel0X 3 2 2 10" xfId="17597" xr:uid="{12889569-A298-4A34-AD89-9C12FBEBC3C5}"/>
    <cellStyle name="SAPBEXHLevel0X 3 2 2 10 2" xfId="32603" xr:uid="{7D3CECD0-F343-4FAD-827B-8143B7BB06EF}"/>
    <cellStyle name="SAPBEXHLevel0X 3 2 2 11" xfId="17598" xr:uid="{E2DE0520-C98A-4293-A6BE-156B2EC05519}"/>
    <cellStyle name="SAPBEXHLevel0X 3 2 2 11 2" xfId="27613" xr:uid="{3CC2A609-FF48-4115-8675-3AE39D413099}"/>
    <cellStyle name="SAPBEXHLevel0X 3 2 2 12" xfId="17599" xr:uid="{E03A0D04-97E6-4AA7-8825-87A4986566D6}"/>
    <cellStyle name="SAPBEXHLevel0X 3 2 2 12 2" xfId="32604" xr:uid="{283781E8-1080-4B97-BCA4-77EC7881ED9F}"/>
    <cellStyle name="SAPBEXHLevel0X 3 2 2 13" xfId="17600" xr:uid="{089BB4F9-91D7-41D5-B7A7-FA1C89976819}"/>
    <cellStyle name="SAPBEXHLevel0X 3 2 2 13 2" xfId="27614" xr:uid="{C4A722A3-4DBF-407E-9D18-BD00938C921C}"/>
    <cellStyle name="SAPBEXHLevel0X 3 2 2 14" xfId="17601" xr:uid="{AF34B308-EB56-47B9-A932-C1B7C2E6A223}"/>
    <cellStyle name="SAPBEXHLevel0X 3 2 2 14 2" xfId="32605" xr:uid="{5436531D-C3E6-4234-80AD-487550BE8C01}"/>
    <cellStyle name="SAPBEXHLevel0X 3 2 2 15" xfId="27612" xr:uid="{1949A447-8AA2-4C44-B3DA-B40A01307412}"/>
    <cellStyle name="SAPBEXHLevel0X 3 2 2 2" xfId="17602" xr:uid="{CCD99C41-3745-4AAE-BB65-B7C3FFB9A302}"/>
    <cellStyle name="SAPBEXHLevel0X 3 2 2 2 2" xfId="27615" xr:uid="{D92FA0E1-8CAE-4F48-9473-E6007AFB6FDB}"/>
    <cellStyle name="SAPBEXHLevel0X 3 2 2 3" xfId="17603" xr:uid="{0586DC91-12BC-48FA-9E96-625366FDE030}"/>
    <cellStyle name="SAPBEXHLevel0X 3 2 2 3 2" xfId="32606" xr:uid="{99877805-6EA3-4EB9-B74B-1B10B187D934}"/>
    <cellStyle name="SAPBEXHLevel0X 3 2 2 4" xfId="17604" xr:uid="{FC0A4975-5A57-4225-9AD5-69AA31D8839D}"/>
    <cellStyle name="SAPBEXHLevel0X 3 2 2 4 2" xfId="27616" xr:uid="{BA8D562A-B0ED-49D7-8997-5885E368C31E}"/>
    <cellStyle name="SAPBEXHLevel0X 3 2 2 5" xfId="17605" xr:uid="{6FCFD917-B7D8-4E20-B09A-7C00958DCCA1}"/>
    <cellStyle name="SAPBEXHLevel0X 3 2 2 5 2" xfId="32607" xr:uid="{1B3301F5-14C2-49E7-B75A-43A4B0CF2615}"/>
    <cellStyle name="SAPBEXHLevel0X 3 2 2 6" xfId="17606" xr:uid="{75EDDE48-0A73-4379-A3BF-D399E632957E}"/>
    <cellStyle name="SAPBEXHLevel0X 3 2 2 6 2" xfId="27617" xr:uid="{1D7413BD-137E-47F9-86AB-3156683920F0}"/>
    <cellStyle name="SAPBEXHLevel0X 3 2 2 7" xfId="17607" xr:uid="{1BE36BF1-1135-450D-B03C-BC5BBB00B489}"/>
    <cellStyle name="SAPBEXHLevel0X 3 2 2 7 2" xfId="32608" xr:uid="{2C670D15-6A4F-4C6E-8F4A-020F7FCCD610}"/>
    <cellStyle name="SAPBEXHLevel0X 3 2 2 8" xfId="17608" xr:uid="{CC41D242-1D8D-4EB5-A364-D86F466F3D08}"/>
    <cellStyle name="SAPBEXHLevel0X 3 2 2 8 2" xfId="32609" xr:uid="{9DDC0DA8-14D4-46E3-8845-708D46C2D32F}"/>
    <cellStyle name="SAPBEXHLevel0X 3 2 2 9" xfId="17609" xr:uid="{3E9B4EDC-DAF3-402D-B683-585231D3C113}"/>
    <cellStyle name="SAPBEXHLevel0X 3 2 2 9 2" xfId="37766" xr:uid="{A5EBED5D-CC39-492D-B69F-64B356961B11}"/>
    <cellStyle name="SAPBEXHLevel0X 3 2 3" xfId="17610" xr:uid="{FBDABBD6-58FF-4B39-A1A5-E163F2E3975A}"/>
    <cellStyle name="SAPBEXHLevel0X 3 2 3 2" xfId="27619" xr:uid="{68811F63-B343-460B-B02B-85FB339E4E57}"/>
    <cellStyle name="SAPBEXHLevel0X 3 2 4" xfId="17611" xr:uid="{89995001-A6D8-4A42-A358-5FFE92D71C33}"/>
    <cellStyle name="SAPBEXHLevel0X 3 2 4 2" xfId="32610" xr:uid="{A47A4E98-EC9E-4630-84F8-2603FAB4ADA7}"/>
    <cellStyle name="SAPBEXHLevel0X 3 2 5" xfId="17612" xr:uid="{1EEE088E-AFBF-45B9-A2FA-BDF69D16E630}"/>
    <cellStyle name="SAPBEXHLevel0X 3 2 5 2" xfId="27620" xr:uid="{A939BE56-D361-4105-83B3-AFDFB709E4BD}"/>
    <cellStyle name="SAPBEXHLevel0X 3 2 6" xfId="17613" xr:uid="{C2483E96-CFD9-49DC-9421-7BD588D9053A}"/>
    <cellStyle name="SAPBEXHLevel0X 3 2 6 2" xfId="32611" xr:uid="{BFE0CB2A-87C1-4DB8-BADC-4E8FA1EB1892}"/>
    <cellStyle name="SAPBEXHLevel0X 3 2 7" xfId="17614" xr:uid="{835CFDEF-68B2-4735-A124-23FCBEB82BA1}"/>
    <cellStyle name="SAPBEXHLevel0X 3 2 7 2" xfId="27621" xr:uid="{EAA52D52-1198-4FCB-9608-9C9523317EEB}"/>
    <cellStyle name="SAPBEXHLevel0X 3 2 8" xfId="17615" xr:uid="{79FB48CE-920C-4EC4-94EB-387DCA3EB409}"/>
    <cellStyle name="SAPBEXHLevel0X 3 2 8 2" xfId="32612" xr:uid="{CFD8FF34-37A5-4B52-8CAF-25EF1CB99A98}"/>
    <cellStyle name="SAPBEXHLevel0X 3 2 9" xfId="17616" xr:uid="{33CBDDE2-513D-4F4F-8983-E131A16EF5A7}"/>
    <cellStyle name="SAPBEXHLevel0X 3 2 9 2" xfId="27622" xr:uid="{BA3850C3-BCF5-4D22-941A-EB2926FF8150}"/>
    <cellStyle name="SAPBEXHLevel0X 3 20" xfId="27602" xr:uid="{DFE0D166-6F8D-4BE2-92D7-98D42B89C30F}"/>
    <cellStyle name="SAPBEXHLevel0X 3 3" xfId="17617" xr:uid="{E17E7DA4-095D-4C58-BD98-EF58C0219CD9}"/>
    <cellStyle name="SAPBEXHLevel0X 3 3 10" xfId="17618" xr:uid="{C2FB0158-6830-4018-957B-8107ED5F7FA8}"/>
    <cellStyle name="SAPBEXHLevel0X 3 3 10 2" xfId="27623" xr:uid="{739655C3-0211-437F-82D4-9C304B235E24}"/>
    <cellStyle name="SAPBEXHLevel0X 3 3 11" xfId="17619" xr:uid="{1186BF06-3F28-45EB-BF94-0E4889C959F2}"/>
    <cellStyle name="SAPBEXHLevel0X 3 3 11 2" xfId="32614" xr:uid="{265041FD-5263-4D08-A96F-09AE5369C786}"/>
    <cellStyle name="SAPBEXHLevel0X 3 3 12" xfId="17620" xr:uid="{1E363F62-94EC-48AC-81AC-051662CCE213}"/>
    <cellStyle name="SAPBEXHLevel0X 3 3 12 2" xfId="27624" xr:uid="{F83F49E0-3FE6-4A95-8A9D-46A35E8FC476}"/>
    <cellStyle name="SAPBEXHLevel0X 3 3 13" xfId="17621" xr:uid="{0039A18F-3FE7-42EC-BCC7-CC0ACE743B5C}"/>
    <cellStyle name="SAPBEXHLevel0X 3 3 13 2" xfId="32615" xr:uid="{B7E9AA07-EBDB-4041-88F9-DB81A94652FD}"/>
    <cellStyle name="SAPBEXHLevel0X 3 3 14" xfId="17622" xr:uid="{BB73FE13-39DC-4C4F-8C3A-A37EF1C1F247}"/>
    <cellStyle name="SAPBEXHLevel0X 3 3 14 2" xfId="27625" xr:uid="{F52AE82A-F1E2-43E4-84A5-B54A4075134D}"/>
    <cellStyle name="SAPBEXHLevel0X 3 3 15" xfId="32613" xr:uid="{D091336E-298A-4AF5-B24E-25408B13910B}"/>
    <cellStyle name="SAPBEXHLevel0X 3 3 2" xfId="17623" xr:uid="{0183665E-E30D-45F9-B119-0D66DA686F3D}"/>
    <cellStyle name="SAPBEXHLevel0X 3 3 2 2" xfId="32616" xr:uid="{F8103830-209E-4811-B693-5A0D86C51D35}"/>
    <cellStyle name="SAPBEXHLevel0X 3 3 3" xfId="17624" xr:uid="{570723D7-8FD3-406B-9209-274C485C61E1}"/>
    <cellStyle name="SAPBEXHLevel0X 3 3 3 2" xfId="27626" xr:uid="{5940784F-D3C4-4829-9629-0F361888F685}"/>
    <cellStyle name="SAPBEXHLevel0X 3 3 4" xfId="17625" xr:uid="{20A00A19-78C6-4A53-980F-5BE1E9B1CB5C}"/>
    <cellStyle name="SAPBEXHLevel0X 3 3 4 2" xfId="32617" xr:uid="{C3807AA9-E51A-458F-89F1-CDE027ADE740}"/>
    <cellStyle name="SAPBEXHLevel0X 3 3 5" xfId="17626" xr:uid="{9E1AEEA6-5B0A-449D-AA95-7E1B144D2319}"/>
    <cellStyle name="SAPBEXHLevel0X 3 3 5 2" xfId="27627" xr:uid="{D0A8D881-5154-47D5-AB6D-1A2895C806B6}"/>
    <cellStyle name="SAPBEXHLevel0X 3 3 6" xfId="17627" xr:uid="{FCE161AC-BB5D-4074-940F-E4277E557413}"/>
    <cellStyle name="SAPBEXHLevel0X 3 3 6 2" xfId="32618" xr:uid="{7F9A47C2-B27C-43ED-9A41-FB7D43878ABB}"/>
    <cellStyle name="SAPBEXHLevel0X 3 3 7" xfId="17628" xr:uid="{53DE8F38-7FC8-41CB-AA6A-53290D40085B}"/>
    <cellStyle name="SAPBEXHLevel0X 3 3 7 2" xfId="27628" xr:uid="{8EB0BA02-A262-43C4-BD3A-7C732E0C3B5B}"/>
    <cellStyle name="SAPBEXHLevel0X 3 3 8" xfId="17629" xr:uid="{AC14FEC3-4497-44DC-A393-28E83A02D25C}"/>
    <cellStyle name="SAPBEXHLevel0X 3 3 8 2" xfId="32619" xr:uid="{FF337916-FBC5-483D-8C3C-8DD6ED39BA4E}"/>
    <cellStyle name="SAPBEXHLevel0X 3 3 9" xfId="17630" xr:uid="{63EAA379-DE39-4408-9F62-0E68AB73280F}"/>
    <cellStyle name="SAPBEXHLevel0X 3 3 9 2" xfId="27629" xr:uid="{50E156EA-2228-41B7-9445-5297F67F223F}"/>
    <cellStyle name="SAPBEXHLevel0X 3 4" xfId="17631" xr:uid="{4494CE40-D59C-4907-B229-B0A11AD15A82}"/>
    <cellStyle name="SAPBEXHLevel0X 3 4 2" xfId="32620" xr:uid="{A60F495C-0AD3-47B6-8046-539BE5C16CC0}"/>
    <cellStyle name="SAPBEXHLevel0X 3 5" xfId="17632" xr:uid="{CF1F8ADB-5D6C-4167-BF4F-57C9C66927DA}"/>
    <cellStyle name="SAPBEXHLevel0X 3 5 2" xfId="27630" xr:uid="{56A1CCBE-1D8D-4879-BB5E-372D55221814}"/>
    <cellStyle name="SAPBEXHLevel0X 3 6" xfId="17633" xr:uid="{BF64E903-8364-49A8-BAB6-BDE01F89E7AE}"/>
    <cellStyle name="SAPBEXHLevel0X 3 6 2" xfId="32621" xr:uid="{3D71A5D5-39A7-4830-B3DD-B570CF9B9068}"/>
    <cellStyle name="SAPBEXHLevel0X 3 7" xfId="17634" xr:uid="{90B25D10-ABE6-4539-BEDD-A45F138712FB}"/>
    <cellStyle name="SAPBEXHLevel0X 3 7 2" xfId="27631" xr:uid="{A2F0A77B-189A-4E32-BC00-01241820A434}"/>
    <cellStyle name="SAPBEXHLevel0X 3 8" xfId="17635" xr:uid="{A3086561-281C-42D5-AAEE-2B1EDB7C5C79}"/>
    <cellStyle name="SAPBEXHLevel0X 3 8 2" xfId="32622" xr:uid="{1BA7A999-2978-47FF-A773-AE1E09CF47C2}"/>
    <cellStyle name="SAPBEXHLevel0X 3 9" xfId="17636" xr:uid="{F897D4FF-9DA2-43C8-9091-BB4706F028E2}"/>
    <cellStyle name="SAPBEXHLevel0X 3 9 2" xfId="27636" xr:uid="{E4BD537C-85D4-4964-8418-56FBE3E09135}"/>
    <cellStyle name="SAPBEXHLevel0X 4" xfId="17637" xr:uid="{9AC06950-71A5-43D9-8B59-2009E5783BB4}"/>
    <cellStyle name="SAPBEXHLevel0X 4 10" xfId="17638" xr:uid="{59736903-9AD5-43BA-A6ED-5BE4DCCC399B}"/>
    <cellStyle name="SAPBEXHLevel0X 4 10 2" xfId="32623" xr:uid="{78FF78B6-F7E4-41B8-93EB-C66068E32439}"/>
    <cellStyle name="SAPBEXHLevel0X 4 11" xfId="17639" xr:uid="{3A44A276-ABD1-4553-8597-77D8F5B44733}"/>
    <cellStyle name="SAPBEXHLevel0X 4 11 2" xfId="27633" xr:uid="{C14E40BF-F752-4FBA-B44B-F5A7F5CFE323}"/>
    <cellStyle name="SAPBEXHLevel0X 4 12" xfId="17640" xr:uid="{2813E8A0-A7C8-46FD-9519-7869A725FB3C}"/>
    <cellStyle name="SAPBEXHLevel0X 4 12 2" xfId="32624" xr:uid="{5B885D5C-5C19-4F85-90C7-0F1D785590DB}"/>
    <cellStyle name="SAPBEXHLevel0X 4 13" xfId="17641" xr:uid="{0041679E-58E0-4704-A666-FD2BA156AE69}"/>
    <cellStyle name="SAPBEXHLevel0X 4 13 2" xfId="27634" xr:uid="{F5FA0DA4-0EF0-4627-B266-838E28DD6C4A}"/>
    <cellStyle name="SAPBEXHLevel0X 4 14" xfId="17642" xr:uid="{547AC13A-4EB1-419B-99A8-66A9173CD2E3}"/>
    <cellStyle name="SAPBEXHLevel0X 4 14 2" xfId="32625" xr:uid="{3A59A5B4-163D-421A-85A7-37D44B2B11CF}"/>
    <cellStyle name="SAPBEXHLevel0X 4 15" xfId="17643" xr:uid="{22773D58-28F7-4C0C-8D0C-0FC4FB497D74}"/>
    <cellStyle name="SAPBEXHLevel0X 4 15 2" xfId="37764" xr:uid="{EEDDB58A-EAAB-4C02-9B22-8B7BDBC86B59}"/>
    <cellStyle name="SAPBEXHLevel0X 4 16" xfId="17644" xr:uid="{3C6813B1-A24A-45E2-87EE-E41BB0F26929}"/>
    <cellStyle name="SAPBEXHLevel0X 4 16 2" xfId="32626" xr:uid="{769C18DC-4305-41C4-8EE3-0ABDB10FBE6F}"/>
    <cellStyle name="SAPBEXHLevel0X 4 17" xfId="17645" xr:uid="{4015E0A3-5C30-46CA-801F-B31C373B2F35}"/>
    <cellStyle name="SAPBEXHLevel0X 4 17 2" xfId="27635" xr:uid="{129912A5-AB7D-4966-BD7B-C1DD869D16E5}"/>
    <cellStyle name="SAPBEXHLevel0X 4 18" xfId="17646" xr:uid="{2332FA93-FC54-472D-8498-13CD010F6988}"/>
    <cellStyle name="SAPBEXHLevel0X 4 18 2" xfId="32627" xr:uid="{4A344632-AFF2-4E2D-8876-5DB8FABA83DB}"/>
    <cellStyle name="SAPBEXHLevel0X 4 19" xfId="27632" xr:uid="{2DC1A5B4-2EC9-41D3-8D5E-C02468BC160D}"/>
    <cellStyle name="SAPBEXHLevel0X 4 2" xfId="17647" xr:uid="{2B5C9FC8-EF50-49FE-99A7-3F325A5D5292}"/>
    <cellStyle name="SAPBEXHLevel0X 4 2 10" xfId="17648" xr:uid="{DC21CFE3-813D-40C5-A44E-A795ECB803DE}"/>
    <cellStyle name="SAPBEXHLevel0X 4 2 10 2" xfId="32628" xr:uid="{D25737EF-7961-43AE-A2AC-F1E6E6BA735B}"/>
    <cellStyle name="SAPBEXHLevel0X 4 2 11" xfId="17649" xr:uid="{607947D3-97AE-4437-A96D-DC6334155AA4}"/>
    <cellStyle name="SAPBEXHLevel0X 4 2 11 2" xfId="37763" xr:uid="{BBAC23EC-1EFD-4C97-A86D-D7864ED8BF5A}"/>
    <cellStyle name="SAPBEXHLevel0X 4 2 12" xfId="17650" xr:uid="{6B3D6848-D7B5-4C00-A9FF-72DB0C29768B}"/>
    <cellStyle name="SAPBEXHLevel0X 4 2 12 2" xfId="32629" xr:uid="{19CBCCDA-B733-47D7-85F1-988545553C67}"/>
    <cellStyle name="SAPBEXHLevel0X 4 2 13" xfId="17651" xr:uid="{4CB36876-2E94-4007-A816-02C0DB4AC7D3}"/>
    <cellStyle name="SAPBEXHLevel0X 4 2 13 2" xfId="32630" xr:uid="{5FC342E0-DC60-4352-82D6-81BFF0DD4964}"/>
    <cellStyle name="SAPBEXHLevel0X 4 2 14" xfId="17652" xr:uid="{3A6523D4-1730-48DA-B2F5-2B672DC93053}"/>
    <cellStyle name="SAPBEXHLevel0X 4 2 14 2" xfId="32631" xr:uid="{8EA0D042-A8EE-4368-80FF-B2EF5B9B4E6D}"/>
    <cellStyle name="SAPBEXHLevel0X 4 2 15" xfId="37765" xr:uid="{65873684-9E51-4DDD-9A5C-7DD40486806D}"/>
    <cellStyle name="SAPBEXHLevel0X 4 2 2" xfId="17653" xr:uid="{994F9AA6-DFDA-446B-AF30-2D78C0123F74}"/>
    <cellStyle name="SAPBEXHLevel0X 4 2 2 2" xfId="32632" xr:uid="{D4BB855A-B628-4897-8227-0F653959491A}"/>
    <cellStyle name="SAPBEXHLevel0X 4 2 3" xfId="17654" xr:uid="{02DD5DB7-B9AE-47D3-8FE9-A693BF484F54}"/>
    <cellStyle name="SAPBEXHLevel0X 4 2 3 2" xfId="27638" xr:uid="{09B31CFD-9190-439C-9FBC-B5CDD178AEE0}"/>
    <cellStyle name="SAPBEXHLevel0X 4 2 4" xfId="17655" xr:uid="{3CB31280-0F32-40A9-B30D-328D925E025F}"/>
    <cellStyle name="SAPBEXHLevel0X 4 2 4 2" xfId="32633" xr:uid="{899A04BA-3236-4407-A95D-311D709C4B4A}"/>
    <cellStyle name="SAPBEXHLevel0X 4 2 5" xfId="17656" xr:uid="{AB7A555D-18C7-4A24-A84E-FF3A58B36F03}"/>
    <cellStyle name="SAPBEXHLevel0X 4 2 5 2" xfId="27639" xr:uid="{473330C2-42E6-48B6-BD7D-46366B5D85AD}"/>
    <cellStyle name="SAPBEXHLevel0X 4 2 6" xfId="17657" xr:uid="{1D634645-C8C0-41C6-B61C-BA8901997C8F}"/>
    <cellStyle name="SAPBEXHLevel0X 4 2 6 2" xfId="32634" xr:uid="{6882B1E9-6A45-4BF7-AEC1-11D3A2BA254D}"/>
    <cellStyle name="SAPBEXHLevel0X 4 2 7" xfId="17658" xr:uid="{13966968-AE9B-4D72-A461-E3A9B47C8E7A}"/>
    <cellStyle name="SAPBEXHLevel0X 4 2 7 2" xfId="27640" xr:uid="{05C690EC-D226-493D-A422-453F7CDA450F}"/>
    <cellStyle name="SAPBEXHLevel0X 4 2 8" xfId="17659" xr:uid="{A4DF192F-9F55-4D47-A658-4D0131ABC7A1}"/>
    <cellStyle name="SAPBEXHLevel0X 4 2 8 2" xfId="32635" xr:uid="{61B53AA7-4F8E-413E-8784-C434B2A0A960}"/>
    <cellStyle name="SAPBEXHLevel0X 4 2 9" xfId="17660" xr:uid="{B4C8E5F5-0F60-42D8-A666-471D372B7160}"/>
    <cellStyle name="SAPBEXHLevel0X 4 2 9 2" xfId="27641" xr:uid="{8FB4D7C4-5051-425D-AF3C-D78B8A1E956B}"/>
    <cellStyle name="SAPBEXHLevel0X 4 3" xfId="17661" xr:uid="{887E58F9-B5F8-4680-BBE7-061D19F6C49F}"/>
    <cellStyle name="SAPBEXHLevel0X 4 3 2" xfId="32636" xr:uid="{49B1CE7B-3AC1-4A3E-86D6-59E982D00267}"/>
    <cellStyle name="SAPBEXHLevel0X 4 4" xfId="17662" xr:uid="{703A64DA-F27C-4924-8327-0C3DBA776FEF}"/>
    <cellStyle name="SAPBEXHLevel0X 4 4 2" xfId="27642" xr:uid="{25DE7664-2361-41FA-B4CD-E38ECD477D04}"/>
    <cellStyle name="SAPBEXHLevel0X 4 5" xfId="17663" xr:uid="{219D4417-63E6-4293-849D-552092DFBA8E}"/>
    <cellStyle name="SAPBEXHLevel0X 4 5 2" xfId="32637" xr:uid="{E5191475-E3E4-4FE2-BD9C-61F13A28A3F3}"/>
    <cellStyle name="SAPBEXHLevel0X 4 6" xfId="17664" xr:uid="{596ACD4F-C0A0-4FD3-AF35-CC5E12CC1DBE}"/>
    <cellStyle name="SAPBEXHLevel0X 4 6 2" xfId="27643" xr:uid="{CC0E4519-F4DC-48AB-8FF7-9DF1D431D4E2}"/>
    <cellStyle name="SAPBEXHLevel0X 4 7" xfId="17665" xr:uid="{32F7ED8C-E5FD-4604-B82D-3283B86808C9}"/>
    <cellStyle name="SAPBEXHLevel0X 4 7 2" xfId="32638" xr:uid="{C1DC3495-373C-47C4-910A-3800D9426719}"/>
    <cellStyle name="SAPBEXHLevel0X 4 8" xfId="17666" xr:uid="{69918988-E4CD-43A3-B359-0AD24882BA34}"/>
    <cellStyle name="SAPBEXHLevel0X 4 8 2" xfId="27644" xr:uid="{45673C92-79C4-4B59-933B-0ECB8928480A}"/>
    <cellStyle name="SAPBEXHLevel0X 4 9" xfId="17667" xr:uid="{56AC43C8-01ED-4B26-B4DF-086699E447F2}"/>
    <cellStyle name="SAPBEXHLevel0X 4 9 2" xfId="32639" xr:uid="{2EA06C9B-DD37-48E8-B532-2BE719A3A338}"/>
    <cellStyle name="SAPBEXHLevel0X 5" xfId="17668" xr:uid="{70E17567-C790-4AC9-A28B-5A1E56A7E721}"/>
    <cellStyle name="SAPBEXHLevel0X 5 10" xfId="17669" xr:uid="{12E7890A-02CE-4899-AEDE-3B54179259F5}"/>
    <cellStyle name="SAPBEXHLevel0X 5 10 2" xfId="32640" xr:uid="{72E724F8-264A-44B8-A912-2F4AE543BC2A}"/>
    <cellStyle name="SAPBEXHLevel0X 5 11" xfId="17670" xr:uid="{924EECDF-CB2F-4270-9AE9-3C648E78B1DB}"/>
    <cellStyle name="SAPBEXHLevel0X 5 11 2" xfId="27646" xr:uid="{E746E18E-E019-4838-83E7-D1D724D880DC}"/>
    <cellStyle name="SAPBEXHLevel0X 5 12" xfId="17671" xr:uid="{879A1E8D-E628-4480-9323-536411B078E9}"/>
    <cellStyle name="SAPBEXHLevel0X 5 12 2" xfId="32641" xr:uid="{F8AC562F-B6D5-487D-89FF-7ED997CCD1C1}"/>
    <cellStyle name="SAPBEXHLevel0X 5 13" xfId="17672" xr:uid="{6A6FF773-1A30-40E6-9B77-0B3A2CE2619A}"/>
    <cellStyle name="SAPBEXHLevel0X 5 13 2" xfId="27647" xr:uid="{42D59280-D538-4CA2-B2C0-07A03E5613B3}"/>
    <cellStyle name="SAPBEXHLevel0X 5 14" xfId="17673" xr:uid="{0214B48C-3533-4E7F-9B0B-1A1ED260FA59}"/>
    <cellStyle name="SAPBEXHLevel0X 5 14 2" xfId="32642" xr:uid="{D76AECBD-97D6-4486-A550-AEA30A0CB65B}"/>
    <cellStyle name="SAPBEXHLevel0X 5 15" xfId="27645" xr:uid="{D2FF8DF0-BE71-4B19-8EF5-53B82BDEE298}"/>
    <cellStyle name="SAPBEXHLevel0X 5 2" xfId="17674" xr:uid="{67A56AE2-D1D7-4CFC-A89D-C0EDA21E7DFA}"/>
    <cellStyle name="SAPBEXHLevel0X 5 2 2" xfId="27648" xr:uid="{B50F00E1-06BF-4275-BC03-DCA9A4C871DF}"/>
    <cellStyle name="SAPBEXHLevel0X 5 3" xfId="17675" xr:uid="{A342E4EE-459B-4E91-90C3-79436B123A0A}"/>
    <cellStyle name="SAPBEXHLevel0X 5 3 2" xfId="32643" xr:uid="{9E5BEA4E-AB5C-4575-B06B-FDFB5DB83074}"/>
    <cellStyle name="SAPBEXHLevel0X 5 4" xfId="17676" xr:uid="{F39DA38D-51B6-46FB-8F87-6DA839DB9D52}"/>
    <cellStyle name="SAPBEXHLevel0X 5 4 2" xfId="27649" xr:uid="{BDC87B8B-441C-445A-9F98-454722D1FCFA}"/>
    <cellStyle name="SAPBEXHLevel0X 5 5" xfId="17677" xr:uid="{F06C455F-D888-4DB4-AD30-4826D84125F4}"/>
    <cellStyle name="SAPBEXHLevel0X 5 5 2" xfId="32644" xr:uid="{2AF8B07F-D4C9-4CE9-98D2-B50A2D1FAA5C}"/>
    <cellStyle name="SAPBEXHLevel0X 5 6" xfId="17678" xr:uid="{E8B27E96-45EC-448A-B28D-65203CE446D8}"/>
    <cellStyle name="SAPBEXHLevel0X 5 6 2" xfId="27650" xr:uid="{675F95EC-2522-41B5-96DE-1842EA32B2B6}"/>
    <cellStyle name="SAPBEXHLevel0X 5 7" xfId="17679" xr:uid="{48B933F7-1A86-4E1D-895A-F8B31F64075B}"/>
    <cellStyle name="SAPBEXHLevel0X 5 7 2" xfId="32645" xr:uid="{AB5F81E7-4877-4C17-B937-F3D26D75F7B2}"/>
    <cellStyle name="SAPBEXHLevel0X 5 8" xfId="17680" xr:uid="{E967F5E4-5C17-4A90-B15F-3D54F40AB668}"/>
    <cellStyle name="SAPBEXHLevel0X 5 8 2" xfId="27658" xr:uid="{3D3140CB-44E9-4509-88FA-D6C905071601}"/>
    <cellStyle name="SAPBEXHLevel0X 5 9" xfId="17681" xr:uid="{31AE73E7-BDAD-4F90-99E8-C2AF27B35129}"/>
    <cellStyle name="SAPBEXHLevel0X 5 9 2" xfId="27651" xr:uid="{2DBDB80A-95C4-4E98-954C-699CDF5C59FB}"/>
    <cellStyle name="SAPBEXHLevel0X 6" xfId="17682" xr:uid="{CA0DD896-D7E3-49FA-B71D-293ED50CC809}"/>
    <cellStyle name="SAPBEXHLevel0X 6 2" xfId="32646" xr:uid="{B79EB0A5-F19E-4DC2-98B8-11E6B868DF5C}"/>
    <cellStyle name="SAPBEXHLevel0X 7" xfId="17683" xr:uid="{2CA299E4-008B-4A97-ADFE-EAFC57B98D40}"/>
    <cellStyle name="SAPBEXHLevel0X 7 2" xfId="27652" xr:uid="{4CEAB587-EA63-46C9-957D-D2F3A2E24A51}"/>
    <cellStyle name="SAPBEXHLevel0X 8" xfId="17684" xr:uid="{4445D3B3-47AB-4273-AEF4-AE17A452C2AE}"/>
    <cellStyle name="SAPBEXHLevel0X 8 2" xfId="32647" xr:uid="{8B640477-0D53-4204-8498-72C0FE619230}"/>
    <cellStyle name="SAPBEXHLevel0X 9" xfId="17685" xr:uid="{EE9D2F1C-7836-4476-8D5D-7C62152F3214}"/>
    <cellStyle name="SAPBEXHLevel0X 9 2" xfId="27653" xr:uid="{062051DE-2D2E-4F18-94DD-260AA088FD2C}"/>
    <cellStyle name="SAPBEXHLevel1" xfId="17686" xr:uid="{0385A5C9-F585-44A3-A2F1-892611942F6E}"/>
    <cellStyle name="SAPBEXHLevel1 10" xfId="17687" xr:uid="{AEFB2334-31BB-4FA5-A5FB-98EC91C8CDC8}"/>
    <cellStyle name="SAPBEXHLevel1 10 2" xfId="27654" xr:uid="{AA92ED09-E777-44DD-A917-F847EB06A957}"/>
    <cellStyle name="SAPBEXHLevel1 11" xfId="17688" xr:uid="{3FF31A9A-9B37-4CAF-82EF-5DFF56F3F88C}"/>
    <cellStyle name="SAPBEXHLevel1 11 2" xfId="32649" xr:uid="{6ECBC7CF-5097-4E29-BD27-49BE58B5DA9F}"/>
    <cellStyle name="SAPBEXHLevel1 12" xfId="17689" xr:uid="{B7E816B5-C8F8-439C-9FCF-7652A8BFBC83}"/>
    <cellStyle name="SAPBEXHLevel1 12 2" xfId="27655" xr:uid="{EA805311-314A-43CA-AE4C-36A469564B0F}"/>
    <cellStyle name="SAPBEXHLevel1 13" xfId="17690" xr:uid="{92D06808-1BF5-483E-ADE3-53E6F15681D1}"/>
    <cellStyle name="SAPBEXHLevel1 13 2" xfId="32650" xr:uid="{BF232BB7-6DC6-4456-BFF0-80C9000A7674}"/>
    <cellStyle name="SAPBEXHLevel1 14" xfId="17691" xr:uid="{10BDA333-CECE-4CBD-A963-02BAE4002F23}"/>
    <cellStyle name="SAPBEXHLevel1 14 2" xfId="27656" xr:uid="{9E047E27-023B-4A79-A59D-C1BA04E1EBA2}"/>
    <cellStyle name="SAPBEXHLevel1 15" xfId="17692" xr:uid="{9D0ACE70-6880-4619-9980-0098A761F6A2}"/>
    <cellStyle name="SAPBEXHLevel1 15 2" xfId="32651" xr:uid="{272E6730-B3F1-48DE-9055-3FC2006EC5AD}"/>
    <cellStyle name="SAPBEXHLevel1 16" xfId="17693" xr:uid="{A22C875E-2B83-40A3-8852-DA63459E267D}"/>
    <cellStyle name="SAPBEXHLevel1 16 2" xfId="27657" xr:uid="{B02C859F-639C-4782-99D1-C40BA1DD2528}"/>
    <cellStyle name="SAPBEXHLevel1 17" xfId="17694" xr:uid="{61E0A363-D7EB-43F6-B665-E0FB9C885336}"/>
    <cellStyle name="SAPBEXHLevel1 17 2" xfId="32652" xr:uid="{09B014EE-B32C-4EB9-9252-A466CABDC556}"/>
    <cellStyle name="SAPBEXHLevel1 18" xfId="17695" xr:uid="{0D4F5CB1-06D9-4E6D-8CE4-648276C258F5}"/>
    <cellStyle name="SAPBEXHLevel1 18 2" xfId="32653" xr:uid="{390432C1-298E-418D-8A4C-A384715562A9}"/>
    <cellStyle name="SAPBEXHLevel1 19" xfId="17696" xr:uid="{F5BE1115-8257-44D4-B454-DF2690D91086}"/>
    <cellStyle name="SAPBEXHLevel1 19 2" xfId="27680" xr:uid="{4E40089C-A6EA-4552-929B-BB63402C3246}"/>
    <cellStyle name="SAPBEXHLevel1 2" xfId="17697" xr:uid="{988C40BC-9DA1-45AC-8B1A-4464B432B509}"/>
    <cellStyle name="SAPBEXHLevel1 2 10" xfId="17698" xr:uid="{801827A3-FB50-4769-8A58-D98BF2714A5D}"/>
    <cellStyle name="SAPBEXHLevel1 2 10 2" xfId="32654" xr:uid="{82A53A82-017E-4107-9E5F-1E05C8EAFBCD}"/>
    <cellStyle name="SAPBEXHLevel1 2 11" xfId="17699" xr:uid="{946CED85-CC63-414B-8ECE-F9EB784E4A8A}"/>
    <cellStyle name="SAPBEXHLevel1 2 11 2" xfId="27660" xr:uid="{3C11782B-B5B3-4202-9C8F-5E877903581B}"/>
    <cellStyle name="SAPBEXHLevel1 2 12" xfId="17700" xr:uid="{6666FFC7-BE2A-4A1B-AB76-5D5A5262548F}"/>
    <cellStyle name="SAPBEXHLevel1 2 12 2" xfId="32655" xr:uid="{618F3394-642C-4AF9-9EA5-14A8DD6D29C6}"/>
    <cellStyle name="SAPBEXHLevel1 2 13" xfId="17701" xr:uid="{9A72B619-E62A-4B6A-977D-E42D893C8407}"/>
    <cellStyle name="SAPBEXHLevel1 2 13 2" xfId="27661" xr:uid="{478D685D-894A-42F3-815F-8866AAC1B6CD}"/>
    <cellStyle name="SAPBEXHLevel1 2 14" xfId="17702" xr:uid="{78E1B063-7372-4E2F-B500-B852F8E0202B}"/>
    <cellStyle name="SAPBEXHLevel1 2 14 2" xfId="32656" xr:uid="{46F36797-979E-428F-B8C0-D4A866048397}"/>
    <cellStyle name="SAPBEXHLevel1 2 15" xfId="17703" xr:uid="{1BB3C9EE-1782-4C3F-9AD4-3773DDC5FA7B}"/>
    <cellStyle name="SAPBEXHLevel1 2 15 2" xfId="27662" xr:uid="{73755864-2C75-4894-B3E7-1A8059619DEC}"/>
    <cellStyle name="SAPBEXHLevel1 2 16" xfId="17704" xr:uid="{AC57B943-0B87-476D-987A-0FB85FCE66C4}"/>
    <cellStyle name="SAPBEXHLevel1 2 16 2" xfId="32657" xr:uid="{2C9FD845-870F-47A5-9D41-E7222D569C15}"/>
    <cellStyle name="SAPBEXHLevel1 2 17" xfId="17705" xr:uid="{33FEB522-45E4-408E-A001-934455D40784}"/>
    <cellStyle name="SAPBEXHLevel1 2 17 2" xfId="27663" xr:uid="{A3916EEF-BF6F-432C-A4DA-24D1D5A46B5C}"/>
    <cellStyle name="SAPBEXHLevel1 2 18" xfId="17706" xr:uid="{AA853985-8CFE-4F94-87AD-8F89FFEBFA9D}"/>
    <cellStyle name="SAPBEXHLevel1 2 18 2" xfId="32658" xr:uid="{11BE8D8D-F82A-4A6A-A4E7-C61722A794AF}"/>
    <cellStyle name="SAPBEXHLevel1 2 19" xfId="17707" xr:uid="{4A500FA4-AC58-4DE5-870B-727FEB5FED50}"/>
    <cellStyle name="SAPBEXHLevel1 2 19 2" xfId="27664" xr:uid="{E58B4B7A-CBE3-4FC8-9691-E1D99623E858}"/>
    <cellStyle name="SAPBEXHLevel1 2 2" xfId="17708" xr:uid="{BB42348D-D449-48E9-871E-8D291E23FB9B}"/>
    <cellStyle name="SAPBEXHLevel1 2 2 10" xfId="17709" xr:uid="{48FD6B50-170A-4690-B30D-C26A1D666EB6}"/>
    <cellStyle name="SAPBEXHLevel1 2 2 10 2" xfId="27665" xr:uid="{601AB084-9376-4DEA-9BE2-24588EB2C9AB}"/>
    <cellStyle name="SAPBEXHLevel1 2 2 11" xfId="17710" xr:uid="{140132C6-ED32-4DA4-BBC3-618BA6B26946}"/>
    <cellStyle name="SAPBEXHLevel1 2 2 11 2" xfId="32660" xr:uid="{A672BA3B-6F96-47DA-8553-C02D69584840}"/>
    <cellStyle name="SAPBEXHLevel1 2 2 12" xfId="17711" xr:uid="{7712B043-9560-41C7-A354-57F5A1471EDA}"/>
    <cellStyle name="SAPBEXHLevel1 2 2 12 2" xfId="27666" xr:uid="{4DAADB50-C8CB-457B-9DA6-92663FC82689}"/>
    <cellStyle name="SAPBEXHLevel1 2 2 13" xfId="17712" xr:uid="{3BBBBA0C-1CE8-4323-9C4A-F422B98F3C5C}"/>
    <cellStyle name="SAPBEXHLevel1 2 2 13 2" xfId="32661" xr:uid="{C543A0AE-1A24-4238-8956-0344F5A7FB53}"/>
    <cellStyle name="SAPBEXHLevel1 2 2 14" xfId="17713" xr:uid="{54C243D2-F222-439C-A959-232FB7185B8B}"/>
    <cellStyle name="SAPBEXHLevel1 2 2 14 2" xfId="27667" xr:uid="{81BB8875-98AB-40CA-A2C0-462CA2048D8E}"/>
    <cellStyle name="SAPBEXHLevel1 2 2 15" xfId="17714" xr:uid="{2BE5BE33-2D96-4299-BFC0-17A7F232AAF2}"/>
    <cellStyle name="SAPBEXHLevel1 2 2 15 2" xfId="32662" xr:uid="{7DC56116-B8F9-46A8-8963-184D11657F04}"/>
    <cellStyle name="SAPBEXHLevel1 2 2 16" xfId="17715" xr:uid="{598646DD-9A7C-45C2-AC92-4F01487118BD}"/>
    <cellStyle name="SAPBEXHLevel1 2 2 16 2" xfId="27668" xr:uid="{80844F7F-51AD-4284-BB42-BED38FDD8A42}"/>
    <cellStyle name="SAPBEXHLevel1 2 2 17" xfId="17716" xr:uid="{42C1D2D0-5033-4CFE-923C-EA5AA9393402}"/>
    <cellStyle name="SAPBEXHLevel1 2 2 17 2" xfId="32663" xr:uid="{23CD54BE-FA1B-4BA4-8AE2-2671F48F8E6B}"/>
    <cellStyle name="SAPBEXHLevel1 2 2 18" xfId="17717" xr:uid="{4D9C9FEC-DB9A-44E7-B67D-56287D2E55A9}"/>
    <cellStyle name="SAPBEXHLevel1 2 2 18 2" xfId="27669" xr:uid="{94733AFC-9FAE-49BB-8A40-0C1EDC11605C}"/>
    <cellStyle name="SAPBEXHLevel1 2 2 19" xfId="32659" xr:uid="{E91B7A0F-0B82-4EFB-B1AF-BF8B4C75367E}"/>
    <cellStyle name="SAPBEXHLevel1 2 2 2" xfId="17718" xr:uid="{89D8C2DB-6440-47C2-8F53-82BE271B7482}"/>
    <cellStyle name="SAPBEXHLevel1 2 2 2 10" xfId="17719" xr:uid="{B88A9D52-43BF-4749-82BD-FF830FFB6AEB}"/>
    <cellStyle name="SAPBEXHLevel1 2 2 2 10 2" xfId="27670" xr:uid="{7E4F3EC2-6037-4A1A-9B8E-89EAD1AEE13D}"/>
    <cellStyle name="SAPBEXHLevel1 2 2 2 11" xfId="17720" xr:uid="{5969A0A1-C85C-4820-8860-E0393CAB1909}"/>
    <cellStyle name="SAPBEXHLevel1 2 2 2 11 2" xfId="32665" xr:uid="{249F27FD-9D82-446A-8130-7AEFE77A8C3A}"/>
    <cellStyle name="SAPBEXHLevel1 2 2 2 12" xfId="17721" xr:uid="{8E1A8880-2D70-4005-8CAE-ACC22ADEC33A}"/>
    <cellStyle name="SAPBEXHLevel1 2 2 2 12 2" xfId="27671" xr:uid="{FDF64237-FA0A-49A5-AC0A-4B129A5349DF}"/>
    <cellStyle name="SAPBEXHLevel1 2 2 2 13" xfId="17722" xr:uid="{74160151-966F-4729-B522-4A5C0EBB79C4}"/>
    <cellStyle name="SAPBEXHLevel1 2 2 2 13 2" xfId="32666" xr:uid="{3D9EF9C3-158D-4338-AD5E-CC8712EEA3C7}"/>
    <cellStyle name="SAPBEXHLevel1 2 2 2 14" xfId="17723" xr:uid="{3D898A22-7920-490E-AF1C-4EFCA004C81D}"/>
    <cellStyle name="SAPBEXHLevel1 2 2 2 14 2" xfId="27679" xr:uid="{E360C482-0D23-48D9-9ADE-5409CFFCA8BE}"/>
    <cellStyle name="SAPBEXHLevel1 2 2 2 15" xfId="32664" xr:uid="{7AF3730A-7F3B-4F56-89F1-FD6983ED7311}"/>
    <cellStyle name="SAPBEXHLevel1 2 2 2 2" xfId="17724" xr:uid="{D4D6EA00-B5B9-4CC4-9C1C-88497C2A14F0}"/>
    <cellStyle name="SAPBEXHLevel1 2 2 2 2 2" xfId="27672" xr:uid="{BAD561D8-F421-4787-B6DC-3381109D168E}"/>
    <cellStyle name="SAPBEXHLevel1 2 2 2 3" xfId="17725" xr:uid="{BAECCF28-BFBA-4F37-BC74-2E6B2C077E2F}"/>
    <cellStyle name="SAPBEXHLevel1 2 2 2 3 2" xfId="32667" xr:uid="{35762E2C-A49F-42D6-A4BD-20EA72331ABF}"/>
    <cellStyle name="SAPBEXHLevel1 2 2 2 4" xfId="17726" xr:uid="{01CCDA60-F7F9-4D14-A060-D8D4A8E8D46C}"/>
    <cellStyle name="SAPBEXHLevel1 2 2 2 4 2" xfId="27673" xr:uid="{9694AFCD-A1A0-489D-9E1D-DD79C2A9508E}"/>
    <cellStyle name="SAPBEXHLevel1 2 2 2 5" xfId="17727" xr:uid="{ED704D33-0C24-4B92-82BB-2417E2962F33}"/>
    <cellStyle name="SAPBEXHLevel1 2 2 2 5 2" xfId="32668" xr:uid="{85AE9528-CB93-4C8F-B7B7-0D2D5D8AB7A2}"/>
    <cellStyle name="SAPBEXHLevel1 2 2 2 6" xfId="17728" xr:uid="{35BD5427-19B1-464C-8540-7CA603D13142}"/>
    <cellStyle name="SAPBEXHLevel1 2 2 2 6 2" xfId="27674" xr:uid="{FD18F80C-AF53-424E-874C-96AAA914A88D}"/>
    <cellStyle name="SAPBEXHLevel1 2 2 2 7" xfId="17729" xr:uid="{0C3E12EA-FBAF-4F1C-B474-8061E35058C9}"/>
    <cellStyle name="SAPBEXHLevel1 2 2 2 7 2" xfId="32669" xr:uid="{4FB03AC8-DF15-45A5-A71D-B443270877C2}"/>
    <cellStyle name="SAPBEXHLevel1 2 2 2 8" xfId="17730" xr:uid="{D2C8DAA7-537D-4FF9-83A1-3D32D77DBC0B}"/>
    <cellStyle name="SAPBEXHLevel1 2 2 2 8 2" xfId="27675" xr:uid="{70DB632E-8D07-4163-B032-F04059C4D6C8}"/>
    <cellStyle name="SAPBEXHLevel1 2 2 2 9" xfId="17731" xr:uid="{9A060D4C-BD0E-40EC-A8AA-0721EE453AA7}"/>
    <cellStyle name="SAPBEXHLevel1 2 2 2 9 2" xfId="32670" xr:uid="{90E5E643-38E3-435C-9621-0811D0442F0F}"/>
    <cellStyle name="SAPBEXHLevel1 2 2 3" xfId="17732" xr:uid="{133B5AED-3BAD-468D-9921-A882187F371C}"/>
    <cellStyle name="SAPBEXHLevel1 2 2 3 2" xfId="27676" xr:uid="{514EE8A6-EDEF-474B-BD63-0FA6CD713296}"/>
    <cellStyle name="SAPBEXHLevel1 2 2 4" xfId="17733" xr:uid="{E6E852DD-592E-4724-85F2-917C79CFD372}"/>
    <cellStyle name="SAPBEXHLevel1 2 2 4 2" xfId="32671" xr:uid="{B63CB871-E9A5-4178-BD59-F3BBF1F25B48}"/>
    <cellStyle name="SAPBEXHLevel1 2 2 5" xfId="17734" xr:uid="{7DDF10F8-2638-4EDC-B028-C9C16B22595B}"/>
    <cellStyle name="SAPBEXHLevel1 2 2 5 2" xfId="27677" xr:uid="{22C965C1-7F9D-4641-85E2-1F676827FC7C}"/>
    <cellStyle name="SAPBEXHLevel1 2 2 6" xfId="17735" xr:uid="{30759DFB-2470-437A-9961-E4A5DB5E6D99}"/>
    <cellStyle name="SAPBEXHLevel1 2 2 6 2" xfId="32672" xr:uid="{020E0D40-57A3-4712-B923-A8FCCFA06602}"/>
    <cellStyle name="SAPBEXHLevel1 2 2 7" xfId="17736" xr:uid="{FDAB6933-BF31-4AE1-88A8-41159E50505F}"/>
    <cellStyle name="SAPBEXHLevel1 2 2 7 2" xfId="27678" xr:uid="{3868F657-ACF3-4192-9A01-86944B7358AA}"/>
    <cellStyle name="SAPBEXHLevel1 2 2 8" xfId="17737" xr:uid="{989F15B9-284B-4323-B871-6C627B93F085}"/>
    <cellStyle name="SAPBEXHLevel1 2 2 8 2" xfId="32673" xr:uid="{0E7CB968-EB6A-4FF2-A9C0-F4E54A4A581C}"/>
    <cellStyle name="SAPBEXHLevel1 2 2 9" xfId="17738" xr:uid="{09E44D81-5FFA-475E-A1BE-E6AED8F89D65}"/>
    <cellStyle name="SAPBEXHLevel1 2 2 9 2" xfId="32674" xr:uid="{0134E41C-379E-48AC-8969-DEE9A089E0F1}"/>
    <cellStyle name="SAPBEXHLevel1 2 20" xfId="27659" xr:uid="{62AC09C8-6010-4F2E-BFA9-1FFF214BF9AE}"/>
    <cellStyle name="SAPBEXHLevel1 2 3" xfId="17739" xr:uid="{0BA62206-B39D-4696-A94C-0D7CE176F744}"/>
    <cellStyle name="SAPBEXHLevel1 2 3 10" xfId="17740" xr:uid="{AAB2987A-CD33-4A89-8CA1-B6CA02DC4EB0}"/>
    <cellStyle name="SAPBEXHLevel1 2 3 10 2" xfId="27702" xr:uid="{2F1491C9-2FA0-4EC3-88F8-C138758771A4}"/>
    <cellStyle name="SAPBEXHLevel1 2 3 11" xfId="17741" xr:uid="{F6258ADB-CECF-4829-9023-13A03B2CBDDA}"/>
    <cellStyle name="SAPBEXHLevel1 2 3 11 2" xfId="27681" xr:uid="{0F9F22C2-A8E1-4E6E-9BFE-198AD51EC466}"/>
    <cellStyle name="SAPBEXHLevel1 2 3 12" xfId="17742" xr:uid="{81EE202C-9D6E-4577-ADD9-AEC1EADA3C01}"/>
    <cellStyle name="SAPBEXHLevel1 2 3 12 2" xfId="32676" xr:uid="{6C6E7BEF-FFE1-4AE5-A05C-03D4768D2258}"/>
    <cellStyle name="SAPBEXHLevel1 2 3 13" xfId="17743" xr:uid="{8BF15E15-3570-4C33-B0C4-D63272497235}"/>
    <cellStyle name="SAPBEXHLevel1 2 3 13 2" xfId="27682" xr:uid="{0D717BAE-7D28-4740-9A57-D44DD7786881}"/>
    <cellStyle name="SAPBEXHLevel1 2 3 14" xfId="17744" xr:uid="{B2B82B32-6791-4623-B1D5-2D15EEDDF989}"/>
    <cellStyle name="SAPBEXHLevel1 2 3 14 2" xfId="32677" xr:uid="{1ABB5348-F399-48EF-A7E0-E640B0F4BFD3}"/>
    <cellStyle name="SAPBEXHLevel1 2 3 15" xfId="32675" xr:uid="{DCE026BB-4049-43CB-9311-ACCF86C9FCF1}"/>
    <cellStyle name="SAPBEXHLevel1 2 3 2" xfId="17745" xr:uid="{CA0A29D8-F6D8-4CC0-A674-1F55C7E1D4A7}"/>
    <cellStyle name="SAPBEXHLevel1 2 3 2 2" xfId="27683" xr:uid="{01142943-5F34-4B10-BA16-140EA352ABF9}"/>
    <cellStyle name="SAPBEXHLevel1 2 3 3" xfId="17746" xr:uid="{15106D4D-6B2E-43F1-A24A-9DDE150CDA81}"/>
    <cellStyle name="SAPBEXHLevel1 2 3 3 2" xfId="32678" xr:uid="{FA9FB7F1-54D3-4B9F-AB54-ABEB041CAC06}"/>
    <cellStyle name="SAPBEXHLevel1 2 3 4" xfId="17747" xr:uid="{9431EA9F-D78F-4CD2-8908-81460758989F}"/>
    <cellStyle name="SAPBEXHLevel1 2 3 4 2" xfId="27684" xr:uid="{66FD7E6C-B5A2-4BCB-81B3-E0D3DA701B21}"/>
    <cellStyle name="SAPBEXHLevel1 2 3 5" xfId="17748" xr:uid="{4BF91CE9-441D-4E20-8B0A-F8547BD197A0}"/>
    <cellStyle name="SAPBEXHLevel1 2 3 5 2" xfId="32679" xr:uid="{D352C8EF-E7B1-4510-BC00-740C30E952AE}"/>
    <cellStyle name="SAPBEXHLevel1 2 3 6" xfId="17749" xr:uid="{20C24EDC-B89D-460F-89BB-A9861A90295D}"/>
    <cellStyle name="SAPBEXHLevel1 2 3 6 2" xfId="27685" xr:uid="{97156C4E-8A4E-437A-B4A0-DD332B927BEC}"/>
    <cellStyle name="SAPBEXHLevel1 2 3 7" xfId="17750" xr:uid="{D575D95F-077C-42D3-9EA4-0E40C51FB1E9}"/>
    <cellStyle name="SAPBEXHLevel1 2 3 7 2" xfId="32680" xr:uid="{43D40321-9B0D-426B-BE80-CF4976FF189A}"/>
    <cellStyle name="SAPBEXHLevel1 2 3 8" xfId="17751" xr:uid="{8FDB3476-5801-439E-90A6-2BB39544E38C}"/>
    <cellStyle name="SAPBEXHLevel1 2 3 8 2" xfId="27686" xr:uid="{46E178AE-6BB3-4AFC-8ED9-22BE6B087517}"/>
    <cellStyle name="SAPBEXHLevel1 2 3 9" xfId="17752" xr:uid="{6A4A0031-8528-449F-BCA7-9E0EF410AE17}"/>
    <cellStyle name="SAPBEXHLevel1 2 3 9 2" xfId="32681" xr:uid="{4F5C8A50-88C2-4060-B6F9-59BF1A9E1B12}"/>
    <cellStyle name="SAPBEXHLevel1 2 4" xfId="17753" xr:uid="{09D28A6A-6468-427D-8168-C31D5554A30A}"/>
    <cellStyle name="SAPBEXHLevel1 2 4 2" xfId="27687" xr:uid="{4C812032-6C85-4EDB-90EC-7A1D7196B7FB}"/>
    <cellStyle name="SAPBEXHLevel1 2 5" xfId="17754" xr:uid="{D5C12D8A-B72A-4B97-814D-5B763E23BABC}"/>
    <cellStyle name="SAPBEXHLevel1 2 5 2" xfId="32682" xr:uid="{A55BD4C8-F355-4896-84B5-E07F5688287D}"/>
    <cellStyle name="SAPBEXHLevel1 2 6" xfId="17755" xr:uid="{7D9F4959-8E30-4020-9173-E61D7330D8DA}"/>
    <cellStyle name="SAPBEXHLevel1 2 6 2" xfId="27688" xr:uid="{9E16CFE6-8ACA-4A00-A711-60417DF51072}"/>
    <cellStyle name="SAPBEXHLevel1 2 7" xfId="17756" xr:uid="{7A797787-CD6E-4C5A-9193-55618CD5FC00}"/>
    <cellStyle name="SAPBEXHLevel1 2 7 2" xfId="32683" xr:uid="{15BDA49F-CA36-493F-8F15-E2653ED55196}"/>
    <cellStyle name="SAPBEXHLevel1 2 8" xfId="17757" xr:uid="{4AFCCF88-C6A9-435E-B44E-35E385E36F11}"/>
    <cellStyle name="SAPBEXHLevel1 2 8 2" xfId="27689" xr:uid="{16215BD4-2096-4F01-8B94-A77EEF3E6255}"/>
    <cellStyle name="SAPBEXHLevel1 2 9" xfId="17758" xr:uid="{403D71F8-0407-4F6A-ACD6-881C9FAE78A6}"/>
    <cellStyle name="SAPBEXHLevel1 2 9 2" xfId="32684" xr:uid="{C58FC5CF-58CC-4EA4-8932-C4A6A4EC1FE0}"/>
    <cellStyle name="SAPBEXHLevel1 20" xfId="17759" xr:uid="{7390C984-967B-4CC4-B880-4BA44E5F9A54}"/>
    <cellStyle name="SAPBEXHLevel1 20 2" xfId="27690" xr:uid="{76A34B80-5AC7-4B29-AF24-564EBC7932C4}"/>
    <cellStyle name="SAPBEXHLevel1 21" xfId="17760" xr:uid="{2AFF0C8D-167D-41FB-AC1C-A0CC55603BA8}"/>
    <cellStyle name="SAPBEXHLevel1 21 2" xfId="32685" xr:uid="{FFB2E43C-4C88-4388-BA2F-6D690B19D866}"/>
    <cellStyle name="SAPBEXHLevel1 22" xfId="32648" xr:uid="{283C045C-C98A-400C-83C4-460248055127}"/>
    <cellStyle name="SAPBEXHLevel1 3" xfId="17761" xr:uid="{A9E4C6D0-F09D-4430-80DD-E51A16C1BF5B}"/>
    <cellStyle name="SAPBEXHLevel1 3 10" xfId="17762" xr:uid="{B7075103-515E-475C-8FAD-24E17665B5CF}"/>
    <cellStyle name="SAPBEXHLevel1 3 10 2" xfId="32686" xr:uid="{6031508D-D656-4F25-8214-F66027BCB162}"/>
    <cellStyle name="SAPBEXHLevel1 3 11" xfId="17763" xr:uid="{19876D1F-2389-48DB-9B20-1F2642C493B5}"/>
    <cellStyle name="SAPBEXHLevel1 3 11 2" xfId="27692" xr:uid="{2DEB9B0C-06D0-49D1-B547-50267598D53C}"/>
    <cellStyle name="SAPBEXHLevel1 3 12" xfId="17764" xr:uid="{73A58D4B-67DB-42ED-BF2B-188CD7A5E92F}"/>
    <cellStyle name="SAPBEXHLevel1 3 12 2" xfId="32687" xr:uid="{5B2F6070-6EBB-4D62-B7B0-09E0F3BC4765}"/>
    <cellStyle name="SAPBEXHLevel1 3 13" xfId="17765" xr:uid="{FDBE1E7C-08D4-4492-AF29-4B77D8FDE1C4}"/>
    <cellStyle name="SAPBEXHLevel1 3 13 2" xfId="27693" xr:uid="{FDBA1B3C-42AE-4902-848B-F7F0E1773FE9}"/>
    <cellStyle name="SAPBEXHLevel1 3 14" xfId="17766" xr:uid="{436B9190-AFD5-46DF-9218-FE8BECDA5A6F}"/>
    <cellStyle name="SAPBEXHLevel1 3 14 2" xfId="32688" xr:uid="{64E0B372-33FF-4301-B7F0-484B011C9878}"/>
    <cellStyle name="SAPBEXHLevel1 3 15" xfId="17767" xr:uid="{3E87082E-B7CA-469A-9F41-8714E24DF89E}"/>
    <cellStyle name="SAPBEXHLevel1 3 15 2" xfId="27697" xr:uid="{A3ADD128-CE9F-4212-AFEF-212DE915FDA7}"/>
    <cellStyle name="SAPBEXHLevel1 3 16" xfId="17768" xr:uid="{31A1972A-9539-48C2-8932-EA4758068789}"/>
    <cellStyle name="SAPBEXHLevel1 3 16 2" xfId="27696" xr:uid="{123E1944-3B7D-4AE2-8F91-EF6DDC2BE908}"/>
    <cellStyle name="SAPBEXHLevel1 3 17" xfId="17769" xr:uid="{E423C319-A97B-4FAB-97FC-05227ADE1C31}"/>
    <cellStyle name="SAPBEXHLevel1 3 17 2" xfId="32689" xr:uid="{FB938D73-C180-4099-81F1-2A53EC20E860}"/>
    <cellStyle name="SAPBEXHLevel1 3 18" xfId="17770" xr:uid="{06846135-8151-4454-823F-A6128FFE1B51}"/>
    <cellStyle name="SAPBEXHLevel1 3 18 2" xfId="27698" xr:uid="{A096CE01-E1EC-4AD0-AD47-F23939EB3C75}"/>
    <cellStyle name="SAPBEXHLevel1 3 19" xfId="17771" xr:uid="{9FD36F66-8015-4C8C-80DE-9B5480A17204}"/>
    <cellStyle name="SAPBEXHLevel1 3 19 2" xfId="32690" xr:uid="{C3E25487-CAC3-403A-9C8C-E139839E78A9}"/>
    <cellStyle name="SAPBEXHLevel1 3 2" xfId="17772" xr:uid="{599DBB4E-F9FB-44BC-B3A7-C741C28247F9}"/>
    <cellStyle name="SAPBEXHLevel1 3 2 10" xfId="17773" xr:uid="{8281F6D5-9BD5-4918-ABA7-3871E43AD327}"/>
    <cellStyle name="SAPBEXHLevel1 3 2 10 2" xfId="32691" xr:uid="{953B4E7B-1870-4855-9E73-795151B1D441}"/>
    <cellStyle name="SAPBEXHLevel1 3 2 11" xfId="17774" xr:uid="{CDFDBD75-4F4A-457D-BF65-C7D3ADBB1953}"/>
    <cellStyle name="SAPBEXHLevel1 3 2 11 2" xfId="27694" xr:uid="{CE1CE187-2346-4B25-BB0A-65BAAE3C21EF}"/>
    <cellStyle name="SAPBEXHLevel1 3 2 12" xfId="17775" xr:uid="{0127141E-368C-4D9A-968E-BC81D31BC06C}"/>
    <cellStyle name="SAPBEXHLevel1 3 2 12 2" xfId="32692" xr:uid="{958DCA26-B68A-4FAD-B26B-ECA74947CE96}"/>
    <cellStyle name="SAPBEXHLevel1 3 2 13" xfId="17776" xr:uid="{EA8A5990-C394-4049-9ABC-529E64BBE7E0}"/>
    <cellStyle name="SAPBEXHLevel1 3 2 13 2" xfId="27695" xr:uid="{088D0488-14BE-4085-90DE-BB4600714FDA}"/>
    <cellStyle name="SAPBEXHLevel1 3 2 14" xfId="17777" xr:uid="{993CAA2E-2D0D-47E5-AD56-AE645991E081}"/>
    <cellStyle name="SAPBEXHLevel1 3 2 14 2" xfId="32693" xr:uid="{9C8BC33C-CEB8-4C1C-9C4A-63EC79D9AC6E}"/>
    <cellStyle name="SAPBEXHLevel1 3 2 15" xfId="17778" xr:uid="{E3CC4034-8F63-45FA-9786-1E3A9A9E4787}"/>
    <cellStyle name="SAPBEXHLevel1 3 2 15 2" xfId="27700" xr:uid="{91B7DEA8-FA03-435C-8B5C-52B22E80DB92}"/>
    <cellStyle name="SAPBEXHLevel1 3 2 16" xfId="17779" xr:uid="{C02A51A5-7527-4D90-B857-DE25CD8D842F}"/>
    <cellStyle name="SAPBEXHLevel1 3 2 16 2" xfId="32694" xr:uid="{6A99D5EE-91D4-4066-BA75-ABB38CDB679C}"/>
    <cellStyle name="SAPBEXHLevel1 3 2 17" xfId="17780" xr:uid="{07CF7E6A-BD7B-4CF7-BF31-30828CDAA5FE}"/>
    <cellStyle name="SAPBEXHLevel1 3 2 17 2" xfId="27701" xr:uid="{49D1D9FA-5C11-43CD-83E3-D81077F74031}"/>
    <cellStyle name="SAPBEXHLevel1 3 2 18" xfId="17781" xr:uid="{8D95978B-2866-43E5-8C15-061077223E98}"/>
    <cellStyle name="SAPBEXHLevel1 3 2 18 2" xfId="32695" xr:uid="{4F652BC7-2167-45A4-823B-A9D70484E731}"/>
    <cellStyle name="SAPBEXHLevel1 3 2 19" xfId="27699" xr:uid="{BD1F7853-A27A-414E-A36B-E11C12172896}"/>
    <cellStyle name="SAPBEXHLevel1 3 2 2" xfId="17782" xr:uid="{BA85AC97-85B0-4039-B36B-FFC0EDEBD860}"/>
    <cellStyle name="SAPBEXHLevel1 3 2 2 10" xfId="17783" xr:uid="{737738D6-CDBB-42CF-B143-998D4246BBEF}"/>
    <cellStyle name="SAPBEXHLevel1 3 2 2 10 2" xfId="32697" xr:uid="{D2552F2D-10E3-49CA-B36A-B5F32DA2FF31}"/>
    <cellStyle name="SAPBEXHLevel1 3 2 2 11" xfId="17784" xr:uid="{5CB39E9B-9BCE-4AF7-9BAA-5656C9FBC987}"/>
    <cellStyle name="SAPBEXHLevel1 3 2 2 11 2" xfId="27741" xr:uid="{A8D8050D-4694-4B4F-A99E-0F76E446D2D3}"/>
    <cellStyle name="SAPBEXHLevel1 3 2 2 12" xfId="17785" xr:uid="{4C1BBA7B-A65B-4950-9486-81E2A9883E4D}"/>
    <cellStyle name="SAPBEXHLevel1 3 2 2 12 2" xfId="27703" xr:uid="{39642705-5E6F-43FA-9F67-5691B7D10905}"/>
    <cellStyle name="SAPBEXHLevel1 3 2 2 13" xfId="17786" xr:uid="{9BD1973B-15C5-4F81-97B2-5851A3AE8FFB}"/>
    <cellStyle name="SAPBEXHLevel1 3 2 2 13 2" xfId="32698" xr:uid="{E661C90C-0EE5-4F0F-9093-7A75A39A326F}"/>
    <cellStyle name="SAPBEXHLevel1 3 2 2 14" xfId="17787" xr:uid="{1F9D670A-0ABD-4D85-96ED-03C8854ABE6B}"/>
    <cellStyle name="SAPBEXHLevel1 3 2 2 14 2" xfId="27704" xr:uid="{E8E19A31-D28C-4366-A9CB-0840568B4A20}"/>
    <cellStyle name="SAPBEXHLevel1 3 2 2 15" xfId="32696" xr:uid="{207249F9-E5B0-4415-A04F-71DA41D57918}"/>
    <cellStyle name="SAPBEXHLevel1 3 2 2 2" xfId="17788" xr:uid="{7ADB3898-4906-49F9-80CB-22410FFD1D65}"/>
    <cellStyle name="SAPBEXHLevel1 3 2 2 2 2" xfId="32699" xr:uid="{F799D40E-CD38-42BE-A345-6DA0EE4CBF24}"/>
    <cellStyle name="SAPBEXHLevel1 3 2 2 3" xfId="17789" xr:uid="{7AFFA686-07AB-4FF5-8793-6C4433DF1EE3}"/>
    <cellStyle name="SAPBEXHLevel1 3 2 2 3 2" xfId="27705" xr:uid="{FFE5F693-7977-4765-B0DF-1C2CCF87BB4C}"/>
    <cellStyle name="SAPBEXHLevel1 3 2 2 4" xfId="17790" xr:uid="{74CFD0DC-6228-4617-8599-B07B7957A99B}"/>
    <cellStyle name="SAPBEXHLevel1 3 2 2 4 2" xfId="32700" xr:uid="{86F19593-DA29-4F7C-9AA9-7EBF2357A502}"/>
    <cellStyle name="SAPBEXHLevel1 3 2 2 5" xfId="17791" xr:uid="{9074C107-3505-46A4-AAC6-F90251712998}"/>
    <cellStyle name="SAPBEXHLevel1 3 2 2 5 2" xfId="27706" xr:uid="{17A15B26-EBD2-4187-896B-680A8F8B3A8B}"/>
    <cellStyle name="SAPBEXHLevel1 3 2 2 6" xfId="17792" xr:uid="{C3264227-926E-4796-B567-2F7832B7D058}"/>
    <cellStyle name="SAPBEXHLevel1 3 2 2 6 2" xfId="32701" xr:uid="{51A16D94-BAF8-4F61-91B9-C11C12249582}"/>
    <cellStyle name="SAPBEXHLevel1 3 2 2 7" xfId="17793" xr:uid="{C7DB597A-B709-45E7-873B-F45ABE1EED6B}"/>
    <cellStyle name="SAPBEXHLevel1 3 2 2 7 2" xfId="27707" xr:uid="{CE21C83F-F322-4BFB-AB18-C2F5E95D6F6A}"/>
    <cellStyle name="SAPBEXHLevel1 3 2 2 8" xfId="17794" xr:uid="{8652831B-1A3F-46CD-9A05-9CDE0A92BE22}"/>
    <cellStyle name="SAPBEXHLevel1 3 2 2 8 2" xfId="32702" xr:uid="{A9E91FB6-38F5-4B7B-93C1-A788B96C3413}"/>
    <cellStyle name="SAPBEXHLevel1 3 2 2 9" xfId="17795" xr:uid="{61AC50E5-0F5F-4876-8403-483CAE0493FB}"/>
    <cellStyle name="SAPBEXHLevel1 3 2 2 9 2" xfId="27708" xr:uid="{76210A1C-B20F-44E7-875B-50C7DF906CB1}"/>
    <cellStyle name="SAPBEXHLevel1 3 2 3" xfId="17796" xr:uid="{5B287FB9-BA12-4F25-9742-2D68E4504E93}"/>
    <cellStyle name="SAPBEXHLevel1 3 2 3 2" xfId="32703" xr:uid="{B19BA848-45D4-44EF-93F6-BA04064DB360}"/>
    <cellStyle name="SAPBEXHLevel1 3 2 4" xfId="17797" xr:uid="{9D7B48A2-437E-4AF9-97E5-764B9D37D4BB}"/>
    <cellStyle name="SAPBEXHLevel1 3 2 4 2" xfId="27709" xr:uid="{B89FC4AD-6EA4-47BB-9A80-3968B8BF485C}"/>
    <cellStyle name="SAPBEXHLevel1 3 2 5" xfId="17798" xr:uid="{E3EB5D79-3C45-442C-98DB-51F7CAC12A6E}"/>
    <cellStyle name="SAPBEXHLevel1 3 2 5 2" xfId="32704" xr:uid="{9329550F-1ED8-4B36-97C6-C915F42E763B}"/>
    <cellStyle name="SAPBEXHLevel1 3 2 6" xfId="17799" xr:uid="{330E3371-B601-43A6-910E-7FD3F746518B}"/>
    <cellStyle name="SAPBEXHLevel1 3 2 6 2" xfId="27710" xr:uid="{C7D80F06-AF30-4F80-8A8C-823EA0BFB065}"/>
    <cellStyle name="SAPBEXHLevel1 3 2 7" xfId="17800" xr:uid="{2406FA89-8258-442E-854D-8B0FE55B43FB}"/>
    <cellStyle name="SAPBEXHLevel1 3 2 7 2" xfId="32705" xr:uid="{6CCFD342-F690-4A4E-B4D8-EC176534C530}"/>
    <cellStyle name="SAPBEXHLevel1 3 2 8" xfId="17801" xr:uid="{20C2BB59-866B-4FE3-900D-45BCA969099E}"/>
    <cellStyle name="SAPBEXHLevel1 3 2 8 2" xfId="27711" xr:uid="{2790A363-1DC0-4E87-A13B-CE1A81C00F40}"/>
    <cellStyle name="SAPBEXHLevel1 3 2 9" xfId="17802" xr:uid="{0D650C51-C698-4DC5-A954-6AB45CD9A2C8}"/>
    <cellStyle name="SAPBEXHLevel1 3 2 9 2" xfId="32706" xr:uid="{4A17D191-975B-4DFA-BC8B-9C9585C26F84}"/>
    <cellStyle name="SAPBEXHLevel1 3 20" xfId="27691" xr:uid="{0848CBF7-C2F7-4CA9-BA1F-4A8B013C3196}"/>
    <cellStyle name="SAPBEXHLevel1 3 3" xfId="17803" xr:uid="{A20DE5BE-C196-411E-81C4-C061DE3210AA}"/>
    <cellStyle name="SAPBEXHLevel1 3 3 10" xfId="17804" xr:uid="{A3261B77-343B-4377-97DD-76FC36E4F0E8}"/>
    <cellStyle name="SAPBEXHLevel1 3 3 10 2" xfId="32707" xr:uid="{FEB6D0BF-BE18-4E0F-B525-8B2CF52F1874}"/>
    <cellStyle name="SAPBEXHLevel1 3 3 11" xfId="17805" xr:uid="{06FFF722-836E-48FE-8C76-58127C4487BD}"/>
    <cellStyle name="SAPBEXHLevel1 3 3 11 2" xfId="27713" xr:uid="{42902AEE-804C-4E55-A098-AE3AAC4EDC72}"/>
    <cellStyle name="SAPBEXHLevel1 3 3 12" xfId="17806" xr:uid="{6E605A33-52CD-4925-9805-4A068B958122}"/>
    <cellStyle name="SAPBEXHLevel1 3 3 12 2" xfId="32708" xr:uid="{621853DB-8054-4F0B-9201-61BC3EDCFE6B}"/>
    <cellStyle name="SAPBEXHLevel1 3 3 13" xfId="17807" xr:uid="{75BBD075-2C71-435C-B8CF-0A39F3EA9B51}"/>
    <cellStyle name="SAPBEXHLevel1 3 3 13 2" xfId="27714" xr:uid="{9DC9958C-02CA-47EF-A4BA-08D3B47D6F0B}"/>
    <cellStyle name="SAPBEXHLevel1 3 3 14" xfId="17808" xr:uid="{087C3BAE-E305-4186-8C5E-12B1B11B349E}"/>
    <cellStyle name="SAPBEXHLevel1 3 3 14 2" xfId="32709" xr:uid="{F96798AF-0293-48B5-B25E-10A3F0378782}"/>
    <cellStyle name="SAPBEXHLevel1 3 3 15" xfId="27712" xr:uid="{0FB513FB-60FD-4BFF-AF84-F9B465A866C0}"/>
    <cellStyle name="SAPBEXHLevel1 3 3 2" xfId="17809" xr:uid="{322857E2-49A2-49D4-B8AC-27717A529AC2}"/>
    <cellStyle name="SAPBEXHLevel1 3 3 2 2" xfId="27715" xr:uid="{9BBC61D2-66E0-4235-BDA1-A134B7DA4F6F}"/>
    <cellStyle name="SAPBEXHLevel1 3 3 3" xfId="17810" xr:uid="{5830C2CF-33FD-4176-9E74-25304389ADC9}"/>
    <cellStyle name="SAPBEXHLevel1 3 3 3 2" xfId="32710" xr:uid="{4CC8A758-D103-49D0-9A1E-9500C05E8AED}"/>
    <cellStyle name="SAPBEXHLevel1 3 3 4" xfId="17811" xr:uid="{9341589F-006F-4A76-BCEF-F820EEF9998A}"/>
    <cellStyle name="SAPBEXHLevel1 3 3 4 2" xfId="27723" xr:uid="{F22CFAF7-ABF8-4964-B31C-91D39A145657}"/>
    <cellStyle name="SAPBEXHLevel1 3 3 5" xfId="17812" xr:uid="{18E0BDAA-C7FA-46D8-A040-698A6FF437CD}"/>
    <cellStyle name="SAPBEXHLevel1 3 3 5 2" xfId="27716" xr:uid="{A235E485-F15E-4D7E-A01A-BAA443C4275F}"/>
    <cellStyle name="SAPBEXHLevel1 3 3 6" xfId="17813" xr:uid="{A687B0FA-2C2E-405C-9F80-106E2190A6BC}"/>
    <cellStyle name="SAPBEXHLevel1 3 3 6 2" xfId="32711" xr:uid="{9DE70490-3E76-49B7-B187-11BF9E276BDD}"/>
    <cellStyle name="SAPBEXHLevel1 3 3 7" xfId="17814" xr:uid="{EB0AB448-5341-47FA-9F81-AE07BC50C7ED}"/>
    <cellStyle name="SAPBEXHLevel1 3 3 7 2" xfId="27717" xr:uid="{99A1CD41-4607-4B5A-B352-E3E176AD328A}"/>
    <cellStyle name="SAPBEXHLevel1 3 3 8" xfId="17815" xr:uid="{8CCCAD78-6827-49AE-8352-96D325C48748}"/>
    <cellStyle name="SAPBEXHLevel1 3 3 8 2" xfId="32712" xr:uid="{BAA0F46F-0692-4C7A-B0EF-4D54C0B08456}"/>
    <cellStyle name="SAPBEXHLevel1 3 3 9" xfId="17816" xr:uid="{8A649EA1-F348-4CBB-B2DD-313F02E81EC1}"/>
    <cellStyle name="SAPBEXHLevel1 3 3 9 2" xfId="27718" xr:uid="{C32B88A0-DF81-4A88-9367-2394900E7E93}"/>
    <cellStyle name="SAPBEXHLevel1 3 4" xfId="17817" xr:uid="{418ADFE4-FEF1-40F4-9399-7F701B95A104}"/>
    <cellStyle name="SAPBEXHLevel1 3 4 2" xfId="32713" xr:uid="{F34601FF-4A9F-4272-9A96-94F12135329D}"/>
    <cellStyle name="SAPBEXHLevel1 3 5" xfId="17818" xr:uid="{45D40F07-D118-47A9-81DD-242D0FE2CC66}"/>
    <cellStyle name="SAPBEXHLevel1 3 5 2" xfId="27719" xr:uid="{1AC5DF56-1EB5-46C3-BD07-C3E7FC5C82D1}"/>
    <cellStyle name="SAPBEXHLevel1 3 6" xfId="17819" xr:uid="{CBDE6CAF-3068-4ECB-A90C-A59C76D4BA86}"/>
    <cellStyle name="SAPBEXHLevel1 3 6 2" xfId="32714" xr:uid="{23CB50FE-6607-437A-9024-AF3B3ADB7EC6}"/>
    <cellStyle name="SAPBEXHLevel1 3 7" xfId="17820" xr:uid="{DCE4D5A8-3DEC-411F-9906-3D56AF282FEC}"/>
    <cellStyle name="SAPBEXHLevel1 3 7 2" xfId="27720" xr:uid="{9C208512-622A-4764-905F-6C9610C52D35}"/>
    <cellStyle name="SAPBEXHLevel1 3 8" xfId="17821" xr:uid="{93E747C8-8033-458F-A3A1-87E993D5A648}"/>
    <cellStyle name="SAPBEXHLevel1 3 8 2" xfId="32715" xr:uid="{DEB3912C-E9D8-44E5-ADEC-BCE0F4CDEDE5}"/>
    <cellStyle name="SAPBEXHLevel1 3 9" xfId="17822" xr:uid="{46AA0DEB-F6DD-4DDA-83CC-C0C108C9B5FE}"/>
    <cellStyle name="SAPBEXHLevel1 3 9 2" xfId="27721" xr:uid="{9BDE3452-1651-4961-897E-FB888FE307DE}"/>
    <cellStyle name="SAPBEXHLevel1 4" xfId="17823" xr:uid="{A287A4BC-86A0-4385-85F3-224F7E28B47D}"/>
    <cellStyle name="SAPBEXHLevel1 4 10" xfId="17824" xr:uid="{13A0E878-9546-4935-9A27-5BA6294ED336}"/>
    <cellStyle name="SAPBEXHLevel1 4 10 2" xfId="27722" xr:uid="{AA4027D4-589B-4031-AE23-D54F225BD694}"/>
    <cellStyle name="SAPBEXHLevel1 4 11" xfId="17825" xr:uid="{0A95AE87-1675-41B1-A469-19A914688A02}"/>
    <cellStyle name="SAPBEXHLevel1 4 11 2" xfId="32717" xr:uid="{FEE12C96-89FA-4C40-9F59-2F7160497E98}"/>
    <cellStyle name="SAPBEXHLevel1 4 12" xfId="17826" xr:uid="{37821417-7476-478E-9B6F-50204B48C360}"/>
    <cellStyle name="SAPBEXHLevel1 4 12 2" xfId="32718" xr:uid="{28DBBBD0-1729-4E9E-8538-A74AEF3AD4F8}"/>
    <cellStyle name="SAPBEXHLevel1 4 13" xfId="17827" xr:uid="{4806C559-CBA2-4D4A-8386-D35338E8679C}"/>
    <cellStyle name="SAPBEXHLevel1 4 13 2" xfId="27740" xr:uid="{445528E9-7EA9-481D-AAB6-CFA7455F13D1}"/>
    <cellStyle name="SAPBEXHLevel1 4 14" xfId="17828" xr:uid="{95ACE34C-0A0F-4BDC-8D99-F824ABEA0052}"/>
    <cellStyle name="SAPBEXHLevel1 4 14 2" xfId="27724" xr:uid="{02C54E89-494A-4ADF-9AD8-8F08701F7957}"/>
    <cellStyle name="SAPBEXHLevel1 4 15" xfId="17829" xr:uid="{290600C7-5B55-4B69-9D3C-42F49438D987}"/>
    <cellStyle name="SAPBEXHLevel1 4 15 2" xfId="32719" xr:uid="{972681CE-3585-4027-BB12-61E7031F82B4}"/>
    <cellStyle name="SAPBEXHLevel1 4 16" xfId="17830" xr:uid="{AB2BFB0F-8EDB-4F60-B809-2BD04534CD22}"/>
    <cellStyle name="SAPBEXHLevel1 4 16 2" xfId="27725" xr:uid="{526CCD3C-DDCC-4BDE-B7FC-D2A9AA212934}"/>
    <cellStyle name="SAPBEXHLevel1 4 17" xfId="17831" xr:uid="{302EA521-F5BD-4B48-B14F-47EB90CC8DB2}"/>
    <cellStyle name="SAPBEXHLevel1 4 17 2" xfId="32720" xr:uid="{55DEF68F-2CE5-4A93-AD2B-0C3C8DA72033}"/>
    <cellStyle name="SAPBEXHLevel1 4 18" xfId="17832" xr:uid="{3711ECF3-8965-4905-8BA8-E378BD49BB4D}"/>
    <cellStyle name="SAPBEXHLevel1 4 18 2" xfId="27726" xr:uid="{A602C460-0A93-45AC-AB2E-F5D16217E750}"/>
    <cellStyle name="SAPBEXHLevel1 4 19" xfId="32716" xr:uid="{E947394F-2EE5-4B53-88FF-D5820DF02B17}"/>
    <cellStyle name="SAPBEXHLevel1 4 2" xfId="17833" xr:uid="{FDA5884E-9988-43E0-B3FE-F5830FB82A0D}"/>
    <cellStyle name="SAPBEXHLevel1 4 2 10" xfId="17834" xr:uid="{285A788D-E52D-438F-8732-38DB0F73C9C2}"/>
    <cellStyle name="SAPBEXHLevel1 4 2 10 2" xfId="27727" xr:uid="{FB66E361-995D-48E2-90A8-925C8136567A}"/>
    <cellStyle name="SAPBEXHLevel1 4 2 11" xfId="17835" xr:uid="{3199D303-26EC-4743-AF01-1B50F41578DB}"/>
    <cellStyle name="SAPBEXHLevel1 4 2 11 2" xfId="32722" xr:uid="{F9556597-1677-4F82-B5E3-7A6845CAD6A1}"/>
    <cellStyle name="SAPBEXHLevel1 4 2 12" xfId="17836" xr:uid="{36C1D6CA-873B-4414-845E-2941C169F99E}"/>
    <cellStyle name="SAPBEXHLevel1 4 2 12 2" xfId="27728" xr:uid="{80F55842-2146-433F-80FE-7123391B14DE}"/>
    <cellStyle name="SAPBEXHLevel1 4 2 13" xfId="17837" xr:uid="{31130995-162D-4C62-9DF9-F28FB8C3E333}"/>
    <cellStyle name="SAPBEXHLevel1 4 2 13 2" xfId="32723" xr:uid="{9F9812DF-D30F-4E4A-9CBD-5FEC0827A345}"/>
    <cellStyle name="SAPBEXHLevel1 4 2 14" xfId="17838" xr:uid="{F8DE6AE1-E54D-47C3-BFDB-0A03051EAF84}"/>
    <cellStyle name="SAPBEXHLevel1 4 2 14 2" xfId="27729" xr:uid="{7B0C0EA1-669E-46EC-B909-BFEABB344597}"/>
    <cellStyle name="SAPBEXHLevel1 4 2 15" xfId="32721" xr:uid="{86D88CAF-8623-4BEB-B45A-3DB027CEDCA4}"/>
    <cellStyle name="SAPBEXHLevel1 4 2 2" xfId="17839" xr:uid="{314220F9-ABE7-4839-9E69-802AF8923E15}"/>
    <cellStyle name="SAPBEXHLevel1 4 2 2 2" xfId="32724" xr:uid="{FC9ED751-2ADB-49B6-AA64-2EC09E7E9C38}"/>
    <cellStyle name="SAPBEXHLevel1 4 2 3" xfId="17840" xr:uid="{9868095C-B7FB-4C5C-8EEF-95CE4356B083}"/>
    <cellStyle name="SAPBEXHLevel1 4 2 3 2" xfId="37767" xr:uid="{4B36C7E1-2756-496C-B8C3-D8439F8878B6}"/>
    <cellStyle name="SAPBEXHLevel1 4 2 4" xfId="17841" xr:uid="{89B35900-C23B-41F5-9B5A-5B12F2A92E13}"/>
    <cellStyle name="SAPBEXHLevel1 4 2 4 2" xfId="32725" xr:uid="{4777E9BA-689D-4CE1-8F17-74263C453EB1}"/>
    <cellStyle name="SAPBEXHLevel1 4 2 5" xfId="17842" xr:uid="{6095363E-B8E0-4671-9FE5-2832252A0A48}"/>
    <cellStyle name="SAPBEXHLevel1 4 2 5 2" xfId="27730" xr:uid="{ECE09848-9BC5-4BEE-833C-895BD57928C6}"/>
    <cellStyle name="SAPBEXHLevel1 4 2 6" xfId="17843" xr:uid="{72F392D2-F490-438C-BB21-434151282941}"/>
    <cellStyle name="SAPBEXHLevel1 4 2 6 2" xfId="32726" xr:uid="{850CAAE9-A4BD-4A91-B8C1-879FC94E5834}"/>
    <cellStyle name="SAPBEXHLevel1 4 2 7" xfId="17844" xr:uid="{63BD9794-05B7-4CE0-92D1-6389E8A2C074}"/>
    <cellStyle name="SAPBEXHLevel1 4 2 7 2" xfId="37768" xr:uid="{8A896723-97D0-4923-91DA-659437CC9931}"/>
    <cellStyle name="SAPBEXHLevel1 4 2 8" xfId="17845" xr:uid="{F18D2566-47DF-4E10-8074-857B02C65662}"/>
    <cellStyle name="SAPBEXHLevel1 4 2 8 2" xfId="32727" xr:uid="{97F521ED-CF23-4DEC-96EB-BC4E50368B98}"/>
    <cellStyle name="SAPBEXHLevel1 4 2 9" xfId="17846" xr:uid="{539BD73C-EE75-4713-A325-FA93B6632F11}"/>
    <cellStyle name="SAPBEXHLevel1 4 2 9 2" xfId="27731" xr:uid="{87CA41E8-8375-4183-BED7-1DDFD6726903}"/>
    <cellStyle name="SAPBEXHLevel1 4 3" xfId="17847" xr:uid="{36A06BBF-1FB2-4F73-A539-3ED04441773C}"/>
    <cellStyle name="SAPBEXHLevel1 4 3 2" xfId="32728" xr:uid="{E470562C-F046-47A7-9AAB-B1B1C850879C}"/>
    <cellStyle name="SAPBEXHLevel1 4 4" xfId="17848" xr:uid="{757A6D21-73DC-4967-B185-4211FD969EC1}"/>
    <cellStyle name="SAPBEXHLevel1 4 4 2" xfId="27732" xr:uid="{C0D53CD0-F614-447B-860E-26F51EE47636}"/>
    <cellStyle name="SAPBEXHLevel1 4 5" xfId="17849" xr:uid="{C0C906D2-178E-486E-A811-B64ACB33E274}"/>
    <cellStyle name="SAPBEXHLevel1 4 5 2" xfId="32729" xr:uid="{AD8D744D-98AB-454E-BAFF-EAAA005E8FF2}"/>
    <cellStyle name="SAPBEXHLevel1 4 6" xfId="17850" xr:uid="{2A0B9B2D-0F79-4D30-A42B-47FF165C55CA}"/>
    <cellStyle name="SAPBEXHLevel1 4 6 2" xfId="37769" xr:uid="{49D7CAE2-A69C-4DC5-82C5-85B6EF15D14E}"/>
    <cellStyle name="SAPBEXHLevel1 4 7" xfId="17851" xr:uid="{C2DACD07-A43E-4307-A2B6-C349761C9C11}"/>
    <cellStyle name="SAPBEXHLevel1 4 7 2" xfId="32730" xr:uid="{81B80EBD-A6B4-4D5D-91B1-9C560B7535C6}"/>
    <cellStyle name="SAPBEXHLevel1 4 8" xfId="17852" xr:uid="{A10CC4FD-AC3C-412A-B1A0-5A2CBCF5DC93}"/>
    <cellStyle name="SAPBEXHLevel1 4 8 2" xfId="27733" xr:uid="{A002CA29-FCB7-406A-8378-C310F5C4DCA2}"/>
    <cellStyle name="SAPBEXHLevel1 4 9" xfId="17853" xr:uid="{69DC3850-6AE4-416C-8CB5-C1E523383FD5}"/>
    <cellStyle name="SAPBEXHLevel1 4 9 2" xfId="32731" xr:uid="{96F0DA42-B3CD-4303-9C22-6E1AD6A70BEB}"/>
    <cellStyle name="SAPBEXHLevel1 5" xfId="17854" xr:uid="{A3EAC6C1-7575-41CF-810B-81EB3E4D0880}"/>
    <cellStyle name="SAPBEXHLevel1 5 10" xfId="17855" xr:uid="{8D6FC72A-D429-442C-BA64-889CFCB95C25}"/>
    <cellStyle name="SAPBEXHLevel1 5 10 2" xfId="27734" xr:uid="{310BF70B-440C-4C0E-8473-E07C5669C912}"/>
    <cellStyle name="SAPBEXHLevel1 5 11" xfId="17856" xr:uid="{413AAE6A-F0F9-4CCD-B971-DB3F03F50DA7}"/>
    <cellStyle name="SAPBEXHLevel1 5 11 2" xfId="32732" xr:uid="{EDEB9B51-831A-4108-814C-5F9410EEF004}"/>
    <cellStyle name="SAPBEXHLevel1 5 12" xfId="17857" xr:uid="{5022E7EB-9F13-4DDB-B41D-0CDCFF2AC070}"/>
    <cellStyle name="SAPBEXHLevel1 5 12 2" xfId="27735" xr:uid="{DF538DE1-5685-4A00-86D8-4EBFE9DDD45A}"/>
    <cellStyle name="SAPBEXHLevel1 5 13" xfId="17858" xr:uid="{18F4736D-8B27-4242-A419-8D660505093C}"/>
    <cellStyle name="SAPBEXHLevel1 5 13 2" xfId="32733" xr:uid="{22F6D1C6-0B2E-4E1A-85D2-F69F97E2F2E4}"/>
    <cellStyle name="SAPBEXHLevel1 5 14" xfId="17859" xr:uid="{24759A29-12D4-4AFB-BBEA-4867DA231C44}"/>
    <cellStyle name="SAPBEXHLevel1 5 14 2" xfId="37770" xr:uid="{DAE1D48C-36CD-44EC-8D2C-BD3EB07E540D}"/>
    <cellStyle name="SAPBEXHLevel1 5 15" xfId="27739" xr:uid="{DFC665F5-F891-4A23-8317-4CC84809D745}"/>
    <cellStyle name="SAPBEXHLevel1 5 2" xfId="17860" xr:uid="{4C2D99EE-EB01-4116-A6C0-1647BA7C6EE4}"/>
    <cellStyle name="SAPBEXHLevel1 5 2 2" xfId="32734" xr:uid="{5870F654-E295-4164-A8F6-7A6B6A61923E}"/>
    <cellStyle name="SAPBEXHLevel1 5 3" xfId="17861" xr:uid="{41C8D00A-2D4E-4D19-86E9-5D886B02A017}"/>
    <cellStyle name="SAPBEXHLevel1 5 3 2" xfId="27736" xr:uid="{2111C361-4235-4CF6-849B-C1CADDA614DA}"/>
    <cellStyle name="SAPBEXHLevel1 5 4" xfId="17862" xr:uid="{C05CDFC2-EBE4-4E2A-9F8E-280F37AE9BC9}"/>
    <cellStyle name="SAPBEXHLevel1 5 4 2" xfId="32735" xr:uid="{C45DB2D6-644C-4C5A-98BF-0F42A5162AF8}"/>
    <cellStyle name="SAPBEXHLevel1 5 5" xfId="17863" xr:uid="{969843DE-E7A2-499D-A494-6D892D16DCA3}"/>
    <cellStyle name="SAPBEXHLevel1 5 5 2" xfId="27737" xr:uid="{FBAE5CCA-5774-4F47-815E-9D258FA63117}"/>
    <cellStyle name="SAPBEXHLevel1 5 6" xfId="17864" xr:uid="{F09C1917-C42E-452D-BD13-EF7BF55709C1}"/>
    <cellStyle name="SAPBEXHLevel1 5 6 2" xfId="32736" xr:uid="{92C134DA-DD5E-4A40-B77E-E776B99921F6}"/>
    <cellStyle name="SAPBEXHLevel1 5 7" xfId="17865" xr:uid="{618778F7-609F-4989-B349-CB23D9AFA930}"/>
    <cellStyle name="SAPBEXHLevel1 5 7 2" xfId="27738" xr:uid="{0FD18211-EDE1-4606-AAA6-4391E0FDC08F}"/>
    <cellStyle name="SAPBEXHLevel1 5 8" xfId="17866" xr:uid="{4111B998-DA03-46B5-B929-512715A746EA}"/>
    <cellStyle name="SAPBEXHLevel1 5 8 2" xfId="32737" xr:uid="{37ACE74E-A50D-4592-972D-0B5F5467883E}"/>
    <cellStyle name="SAPBEXHLevel1 5 9" xfId="17867" xr:uid="{CF5B1F9F-9575-4CC1-9C07-6AB01FCE652D}"/>
    <cellStyle name="SAPBEXHLevel1 5 9 2" xfId="37771" xr:uid="{BEF9086E-F09A-4C56-B515-AAB548B516F9}"/>
    <cellStyle name="SAPBEXHLevel1 6" xfId="17868" xr:uid="{43274FE8-3603-404A-84B5-2CBD4568D640}"/>
    <cellStyle name="SAPBEXHLevel1 6 2" xfId="32738" xr:uid="{97E9EF81-268C-4FF9-8419-2445B2B77654}"/>
    <cellStyle name="SAPBEXHLevel1 7" xfId="17869" xr:uid="{4F6B5391-2CD2-4F39-9B3D-CB9BA046849B}"/>
    <cellStyle name="SAPBEXHLevel1 7 2" xfId="32739" xr:uid="{99E6D8DA-108A-48C3-B282-459BA980E414}"/>
    <cellStyle name="SAPBEXHLevel1 8" xfId="17870" xr:uid="{E58B0EAC-C659-4433-A529-541678963E43}"/>
    <cellStyle name="SAPBEXHLevel1 8 2" xfId="32740" xr:uid="{E0740779-59C3-402E-A450-70E4C4FF1E67}"/>
    <cellStyle name="SAPBEXHLevel1 9" xfId="17871" xr:uid="{A7B37E5C-6789-46A9-BF16-64F692DDA4C7}"/>
    <cellStyle name="SAPBEXHLevel1 9 2" xfId="32741" xr:uid="{F105E962-C25E-477E-937E-0BC7ABED9A69}"/>
    <cellStyle name="SAPBEXHLevel1X" xfId="17872" xr:uid="{E6F62007-1C37-4FB8-BB40-09A964C48D11}"/>
    <cellStyle name="SAPBEXHLevel1X 10" xfId="17873" xr:uid="{4F3CAF3A-BB68-4794-979F-D119F55A60FD}"/>
    <cellStyle name="SAPBEXHLevel1X 10 2" xfId="32742" xr:uid="{61AD0308-3FC3-499C-B33E-D7B8CA91602B}"/>
    <cellStyle name="SAPBEXHLevel1X 11" xfId="17874" xr:uid="{68DFE834-69C1-4B66-AD40-1A52A7424C08}"/>
    <cellStyle name="SAPBEXHLevel1X 11 2" xfId="32743" xr:uid="{530EDBFD-56F7-480E-9776-6CC26F845388}"/>
    <cellStyle name="SAPBEXHLevel1X 12" xfId="17875" xr:uid="{FC4AFD76-CCCF-434C-B839-9CEBDAD6E27C}"/>
    <cellStyle name="SAPBEXHLevel1X 12 2" xfId="32744" xr:uid="{E08FBDD6-3F65-4285-B45B-6D205C6B3344}"/>
    <cellStyle name="SAPBEXHLevel1X 13" xfId="17876" xr:uid="{85FB1F61-A4DE-433E-982B-3BD9EC2727E6}"/>
    <cellStyle name="SAPBEXHLevel1X 13 2" xfId="32745" xr:uid="{6B8545E6-3F45-4232-A90F-781C616D956D}"/>
    <cellStyle name="SAPBEXHLevel1X 14" xfId="17877" xr:uid="{D7902483-160F-40EA-8945-0C0EC1B16D48}"/>
    <cellStyle name="SAPBEXHLevel1X 14 2" xfId="32746" xr:uid="{F1DFC57C-4C3B-495A-8EBD-005B8597FA10}"/>
    <cellStyle name="SAPBEXHLevel1X 15" xfId="17878" xr:uid="{77EB956A-23EA-49CE-B884-4441399C6B0D}"/>
    <cellStyle name="SAPBEXHLevel1X 15 2" xfId="32747" xr:uid="{3F01946E-2301-476C-96A4-D21FC72228C3}"/>
    <cellStyle name="SAPBEXHLevel1X 16" xfId="17879" xr:uid="{663441C2-C126-4EAF-BC4A-77BF6CB2CFF1}"/>
    <cellStyle name="SAPBEXHLevel1X 16 2" xfId="32748" xr:uid="{FB62FF48-018F-4835-B684-E897FA0C755A}"/>
    <cellStyle name="SAPBEXHLevel1X 17" xfId="17880" xr:uid="{BE355E54-17FE-452B-A160-E34C6875D621}"/>
    <cellStyle name="SAPBEXHLevel1X 17 2" xfId="32749" xr:uid="{4D61F430-D0BB-4FDE-B074-703CDDAD4987}"/>
    <cellStyle name="SAPBEXHLevel1X 18" xfId="17881" xr:uid="{D3468395-4F21-4F83-8EE3-892C2A705386}"/>
    <cellStyle name="SAPBEXHLevel1X 18 2" xfId="32750" xr:uid="{7ABF1363-AF86-4AFD-B23D-3ACC93781F03}"/>
    <cellStyle name="SAPBEXHLevel1X 19" xfId="17882" xr:uid="{073B8DC7-A150-4C3D-AB26-52CF24B6E35B}"/>
    <cellStyle name="SAPBEXHLevel1X 19 2" xfId="32751" xr:uid="{DE9449B1-09D7-4348-BB21-E20CA579C733}"/>
    <cellStyle name="SAPBEXHLevel1X 2" xfId="17883" xr:uid="{A6F66A7A-6FDD-4803-9D7C-76246601100A}"/>
    <cellStyle name="SAPBEXHLevel1X 2 10" xfId="17884" xr:uid="{5949712B-6594-43F9-B3A6-0B43B7285972}"/>
    <cellStyle name="SAPBEXHLevel1X 2 10 2" xfId="32753" xr:uid="{B76E7517-A933-4A32-85BD-14FAF12D3F7A}"/>
    <cellStyle name="SAPBEXHLevel1X 2 11" xfId="17885" xr:uid="{467A6C95-60ED-4D40-BF53-FE738559DC52}"/>
    <cellStyle name="SAPBEXHLevel1X 2 11 2" xfId="32754" xr:uid="{382C36AD-D6A3-4E19-BB87-8B9E8C1BD1B5}"/>
    <cellStyle name="SAPBEXHLevel1X 2 12" xfId="17886" xr:uid="{5DFA5375-21C1-4E7A-836F-494896B79144}"/>
    <cellStyle name="SAPBEXHLevel1X 2 12 2" xfId="32755" xr:uid="{BDEF478E-DB97-486C-B7C9-9C3F2529BB8B}"/>
    <cellStyle name="SAPBEXHLevel1X 2 13" xfId="17887" xr:uid="{33D9B21D-F5E4-42C7-BBF3-C94ABC0C3E99}"/>
    <cellStyle name="SAPBEXHLevel1X 2 13 2" xfId="32756" xr:uid="{59652E35-187E-48F5-AF8B-368F5B3BD8A9}"/>
    <cellStyle name="SAPBEXHLevel1X 2 14" xfId="17888" xr:uid="{5130C35F-15BA-451D-A5E0-3AC8DDFE6DEB}"/>
    <cellStyle name="SAPBEXHLevel1X 2 14 2" xfId="32757" xr:uid="{7789F582-339C-4099-BECD-2B49A1289F1F}"/>
    <cellStyle name="SAPBEXHLevel1X 2 15" xfId="17889" xr:uid="{6ABD024A-7A08-4193-B72C-BF7C8FBF25F1}"/>
    <cellStyle name="SAPBEXHLevel1X 2 15 2" xfId="32758" xr:uid="{1D603CA3-FF01-4518-B440-D5EC4ED45ACE}"/>
    <cellStyle name="SAPBEXHLevel1X 2 16" xfId="17890" xr:uid="{B1D1E338-1C68-4ED6-8B94-FF868DD2EA48}"/>
    <cellStyle name="SAPBEXHLevel1X 2 16 2" xfId="32759" xr:uid="{430F8AA2-7D76-47D8-BDE2-9314061AADBB}"/>
    <cellStyle name="SAPBEXHLevel1X 2 17" xfId="17891" xr:uid="{5C322C38-0BED-4A88-B081-ED2261EA5FD1}"/>
    <cellStyle name="SAPBEXHLevel1X 2 17 2" xfId="32760" xr:uid="{90BB404B-2230-4D91-A680-0A3829426FDF}"/>
    <cellStyle name="SAPBEXHLevel1X 2 18" xfId="17892" xr:uid="{397BB38A-293D-4023-8212-560995E62613}"/>
    <cellStyle name="SAPBEXHLevel1X 2 18 2" xfId="32761" xr:uid="{A4A9BFAF-D357-455E-9D1B-4A63D488C90D}"/>
    <cellStyle name="SAPBEXHLevel1X 2 19" xfId="17893" xr:uid="{63E4E9A7-CCB9-4381-A5AA-E12522F262F7}"/>
    <cellStyle name="SAPBEXHLevel1X 2 19 2" xfId="32762" xr:uid="{CB4B1599-7050-43DA-BD9A-3E1AE075B7E7}"/>
    <cellStyle name="SAPBEXHLevel1X 2 2" xfId="17894" xr:uid="{F00CAC26-AADE-4759-8B17-8D7F7CE5E98B}"/>
    <cellStyle name="SAPBEXHLevel1X 2 2 10" xfId="17895" xr:uid="{91C3D835-05FF-4B08-9EA4-E1C2644460FB}"/>
    <cellStyle name="SAPBEXHLevel1X 2 2 10 2" xfId="32764" xr:uid="{D1CB35AD-66D3-498D-AD12-4BB292C96A7D}"/>
    <cellStyle name="SAPBEXHLevel1X 2 2 11" xfId="17896" xr:uid="{E652B1A9-5CAC-45AD-86AE-2595563E0BD6}"/>
    <cellStyle name="SAPBEXHLevel1X 2 2 11 2" xfId="32765" xr:uid="{C4B5E5DC-6A3A-4BF8-AA3A-4E115E7F4B58}"/>
    <cellStyle name="SAPBEXHLevel1X 2 2 12" xfId="17897" xr:uid="{554B949A-B52F-4B4A-B50C-0E199205CC2C}"/>
    <cellStyle name="SAPBEXHLevel1X 2 2 12 2" xfId="32766" xr:uid="{6042C5B7-5E92-4F91-9C03-9EE1A73833E5}"/>
    <cellStyle name="SAPBEXHLevel1X 2 2 13" xfId="17898" xr:uid="{2FB495A3-BE2B-4165-87DE-9BCE71925B69}"/>
    <cellStyle name="SAPBEXHLevel1X 2 2 13 2" xfId="32767" xr:uid="{AB735629-7626-4C24-B56E-895B0A6DA1A8}"/>
    <cellStyle name="SAPBEXHLevel1X 2 2 14" xfId="17899" xr:uid="{EF9936DE-CB89-40F2-8388-4459DDD5216E}"/>
    <cellStyle name="SAPBEXHLevel1X 2 2 14 2" xfId="32768" xr:uid="{BA8D64C8-8E6E-4346-93FB-2422DFC5DFFA}"/>
    <cellStyle name="SAPBEXHLevel1X 2 2 15" xfId="17900" xr:uid="{202E0C8C-E1AC-4374-B5DC-114CE617A6E3}"/>
    <cellStyle name="SAPBEXHLevel1X 2 2 15 2" xfId="32769" xr:uid="{C6C8BAF4-4CAC-4D65-A556-C1EE4D7D1CF0}"/>
    <cellStyle name="SAPBEXHLevel1X 2 2 16" xfId="17901" xr:uid="{14602135-5DD8-43F6-AAF9-83E9B06FB358}"/>
    <cellStyle name="SAPBEXHLevel1X 2 2 16 2" xfId="32770" xr:uid="{672B23E3-DFCA-4F26-BFAB-A63F0B2A3235}"/>
    <cellStyle name="SAPBEXHLevel1X 2 2 17" xfId="17902" xr:uid="{0CD8FCF4-52EF-4E32-B49E-BFFA23CBE6BF}"/>
    <cellStyle name="SAPBEXHLevel1X 2 2 17 2" xfId="32771" xr:uid="{F90B1726-C4B8-4609-B79A-5980CAB7DF04}"/>
    <cellStyle name="SAPBEXHLevel1X 2 2 18" xfId="17903" xr:uid="{C6C0FF2A-36ED-474D-BD6F-30800ECC4944}"/>
    <cellStyle name="SAPBEXHLevel1X 2 2 18 2" xfId="32772" xr:uid="{1D2BB039-0E42-43D6-84AB-8DF1C0D4E4AE}"/>
    <cellStyle name="SAPBEXHLevel1X 2 2 19" xfId="32763" xr:uid="{C3FB3B0F-2167-47C3-BA93-62537DA7CF1E}"/>
    <cellStyle name="SAPBEXHLevel1X 2 2 2" xfId="17904" xr:uid="{7D7E590D-3FF8-455D-A946-7E2A2F02E2BE}"/>
    <cellStyle name="SAPBEXHLevel1X 2 2 2 10" xfId="17905" xr:uid="{927674CA-7C6A-4E2A-912F-D47A47A13737}"/>
    <cellStyle name="SAPBEXHLevel1X 2 2 2 10 2" xfId="32774" xr:uid="{6A7252BB-A30D-44B3-9B8B-B921DC9C34B6}"/>
    <cellStyle name="SAPBEXHLevel1X 2 2 2 11" xfId="17906" xr:uid="{487AFCB3-B786-4F82-AD57-D34149E3AE47}"/>
    <cellStyle name="SAPBEXHLevel1X 2 2 2 11 2" xfId="32775" xr:uid="{4485F0AD-4E34-4808-84C0-6F98561F49EE}"/>
    <cellStyle name="SAPBEXHLevel1X 2 2 2 12" xfId="17907" xr:uid="{2F6C1323-95E9-414B-8E64-F5515146A501}"/>
    <cellStyle name="SAPBEXHLevel1X 2 2 2 12 2" xfId="32776" xr:uid="{9EC408BC-88DC-4935-A842-0BF097D75737}"/>
    <cellStyle name="SAPBEXHLevel1X 2 2 2 13" xfId="17908" xr:uid="{D8F9BB75-059F-447A-ACFF-09855F6D5CB1}"/>
    <cellStyle name="SAPBEXHLevel1X 2 2 2 13 2" xfId="32777" xr:uid="{87A01923-BEF0-4476-9D63-3B62A6063FCF}"/>
    <cellStyle name="SAPBEXHLevel1X 2 2 2 14" xfId="17909" xr:uid="{E43EAD15-60BE-4BEE-968F-275D1EC058F2}"/>
    <cellStyle name="SAPBEXHLevel1X 2 2 2 14 2" xfId="32778" xr:uid="{7BFC08B9-6DD0-4F42-9DB1-9C2866BAB1F7}"/>
    <cellStyle name="SAPBEXHLevel1X 2 2 2 15" xfId="32773" xr:uid="{8444A6DF-A366-446F-BFD3-1EAB64E3CFD7}"/>
    <cellStyle name="SAPBEXHLevel1X 2 2 2 2" xfId="17910" xr:uid="{4F3ADF2D-518A-4062-9DCB-59A622C60AC7}"/>
    <cellStyle name="SAPBEXHLevel1X 2 2 2 2 2" xfId="32779" xr:uid="{2C8A4D88-23C0-46CA-BFC1-80562C56B6F1}"/>
    <cellStyle name="SAPBEXHLevel1X 2 2 2 3" xfId="17911" xr:uid="{FBC11FCD-6F9A-4251-AF64-7605EDC8E516}"/>
    <cellStyle name="SAPBEXHLevel1X 2 2 2 3 2" xfId="32780" xr:uid="{32D28E68-01B9-4640-B434-13B6D8A94DCC}"/>
    <cellStyle name="SAPBEXHLevel1X 2 2 2 4" xfId="17912" xr:uid="{5C2DCECC-CFDC-458F-8278-34A585A166B2}"/>
    <cellStyle name="SAPBEXHLevel1X 2 2 2 4 2" xfId="32781" xr:uid="{50DB1AF9-CF4A-472B-BDB7-9A050A97588E}"/>
    <cellStyle name="SAPBEXHLevel1X 2 2 2 5" xfId="17913" xr:uid="{D383A4F8-6B43-4AA4-91AB-352C088104BC}"/>
    <cellStyle name="SAPBEXHLevel1X 2 2 2 5 2" xfId="32782" xr:uid="{9D96B472-8181-4221-BF53-6DC6FC473476}"/>
    <cellStyle name="SAPBEXHLevel1X 2 2 2 6" xfId="17914" xr:uid="{CABD967F-BCBD-4B75-A534-00B32FE0BA88}"/>
    <cellStyle name="SAPBEXHLevel1X 2 2 2 6 2" xfId="32783" xr:uid="{644FB5F7-0B43-44E7-BB7F-7ABB0B60D2C1}"/>
    <cellStyle name="SAPBEXHLevel1X 2 2 2 7" xfId="17915" xr:uid="{2D10C6AA-926C-4D90-B698-29CD7CC0B233}"/>
    <cellStyle name="SAPBEXHLevel1X 2 2 2 7 2" xfId="32784" xr:uid="{B9701228-CDD0-47CD-9B7E-6F79196000E1}"/>
    <cellStyle name="SAPBEXHLevel1X 2 2 2 8" xfId="17916" xr:uid="{C52A70E2-4A43-4490-BCE3-94F6635EBFEC}"/>
    <cellStyle name="SAPBEXHLevel1X 2 2 2 8 2" xfId="32785" xr:uid="{4C999341-CB13-4AF7-8578-20C595721C6C}"/>
    <cellStyle name="SAPBEXHLevel1X 2 2 2 9" xfId="17917" xr:uid="{11E5E522-1AB6-46EB-8FEC-99EECAFBF044}"/>
    <cellStyle name="SAPBEXHLevel1X 2 2 2 9 2" xfId="32786" xr:uid="{8C9FB88B-D77B-415B-BC0E-DD1DBBB688A7}"/>
    <cellStyle name="SAPBEXHLevel1X 2 2 3" xfId="17918" xr:uid="{157C0D58-9CB6-4C3A-8311-FC4AC01E195C}"/>
    <cellStyle name="SAPBEXHLevel1X 2 2 3 2" xfId="32787" xr:uid="{97951173-BCF1-47FD-869F-F979B915986C}"/>
    <cellStyle name="SAPBEXHLevel1X 2 2 4" xfId="17919" xr:uid="{B8B71E86-38BE-40A7-B0A2-BE8377A059F1}"/>
    <cellStyle name="SAPBEXHLevel1X 2 2 4 2" xfId="32788" xr:uid="{6EB6E2E6-E706-48B2-9B5D-1CE59128A3FD}"/>
    <cellStyle name="SAPBEXHLevel1X 2 2 5" xfId="17920" xr:uid="{D51BCABC-B61D-47E9-9B39-E9741D46CBE2}"/>
    <cellStyle name="SAPBEXHLevel1X 2 2 5 2" xfId="32789" xr:uid="{B259ED0B-378B-4950-A57A-D26F33FF3CBF}"/>
    <cellStyle name="SAPBEXHLevel1X 2 2 6" xfId="17921" xr:uid="{C460C143-A6C6-4555-A53A-14669EA06184}"/>
    <cellStyle name="SAPBEXHLevel1X 2 2 6 2" xfId="32790" xr:uid="{6B6B23FD-84AC-4DBB-AC37-970D3A9EF2A3}"/>
    <cellStyle name="SAPBEXHLevel1X 2 2 7" xfId="17922" xr:uid="{2FFE01BF-3CBD-4707-A96E-B1057CEA74B3}"/>
    <cellStyle name="SAPBEXHLevel1X 2 2 7 2" xfId="32791" xr:uid="{B7501109-B03C-4B81-8C4E-ADDD0DC8A26F}"/>
    <cellStyle name="SAPBEXHLevel1X 2 2 8" xfId="17923" xr:uid="{D695CD36-7752-41AF-9D08-A606EB9411DB}"/>
    <cellStyle name="SAPBEXHLevel1X 2 2 8 2" xfId="32792" xr:uid="{92597A0D-1E3D-4781-989A-B17C2771B042}"/>
    <cellStyle name="SAPBEXHLevel1X 2 2 9" xfId="17924" xr:uid="{F840BE90-37E3-4E9C-8A24-AE28E5D26F61}"/>
    <cellStyle name="SAPBEXHLevel1X 2 2 9 2" xfId="32793" xr:uid="{0BA69378-7B0C-45EE-8A93-CC494A1F8754}"/>
    <cellStyle name="SAPBEXHLevel1X 2 20" xfId="32752" xr:uid="{36144CD7-64FA-4D24-82E1-03E600E6E482}"/>
    <cellStyle name="SAPBEXHLevel1X 2 3" xfId="17925" xr:uid="{4EA75B49-03C6-4D2F-A427-7C8269C09F29}"/>
    <cellStyle name="SAPBEXHLevel1X 2 3 10" xfId="17926" xr:uid="{8E82541F-FFE5-46A0-B0B1-FA7F3F92F116}"/>
    <cellStyle name="SAPBEXHLevel1X 2 3 10 2" xfId="32805" xr:uid="{7DAEEB09-F40A-450C-B3F7-30E74DDC71D3}"/>
    <cellStyle name="SAPBEXHLevel1X 2 3 11" xfId="17927" xr:uid="{D2025CFB-5B95-4C9E-A888-B2D7CF3EF7FE}"/>
    <cellStyle name="SAPBEXHLevel1X 2 3 11 2" xfId="32795" xr:uid="{A906BC1C-64D1-4031-A302-A6E5F54FA1C2}"/>
    <cellStyle name="SAPBEXHLevel1X 2 3 12" xfId="17928" xr:uid="{9B1BDF51-4B28-4FD4-AF7A-6A1DED60452E}"/>
    <cellStyle name="SAPBEXHLevel1X 2 3 12 2" xfId="32796" xr:uid="{27CDA4AA-8E98-4203-9221-B8B2910A6420}"/>
    <cellStyle name="SAPBEXHLevel1X 2 3 13" xfId="17929" xr:uid="{DD3F9680-C5F0-47B2-A760-AA78B9904364}"/>
    <cellStyle name="SAPBEXHLevel1X 2 3 13 2" xfId="32797" xr:uid="{0DF34A7F-46E7-478E-BD6A-DE195C279866}"/>
    <cellStyle name="SAPBEXHLevel1X 2 3 14" xfId="17930" xr:uid="{DB0BD946-2645-4A6E-9240-0A9313C091E7}"/>
    <cellStyle name="SAPBEXHLevel1X 2 3 14 2" xfId="32798" xr:uid="{D6F8C208-B6D8-4118-AA92-A88B2D05EB71}"/>
    <cellStyle name="SAPBEXHLevel1X 2 3 15" xfId="32794" xr:uid="{4CEF9F97-496E-4602-95FD-CE987B8FC01F}"/>
    <cellStyle name="SAPBEXHLevel1X 2 3 2" xfId="17931" xr:uid="{DC84BD52-622A-4022-AC68-DD164DF89C3A}"/>
    <cellStyle name="SAPBEXHLevel1X 2 3 2 2" xfId="32799" xr:uid="{30642C65-D4A3-45C1-8C35-880CFDB0A845}"/>
    <cellStyle name="SAPBEXHLevel1X 2 3 3" xfId="17932" xr:uid="{5AF60A97-2557-47BC-AF61-20157EBF1A58}"/>
    <cellStyle name="SAPBEXHLevel1X 2 3 3 2" xfId="32800" xr:uid="{5D51D952-98AA-4C25-AB67-FDF3D549F400}"/>
    <cellStyle name="SAPBEXHLevel1X 2 3 4" xfId="17933" xr:uid="{72CDF605-AFDC-47B9-8ED0-2E41C7D301B8}"/>
    <cellStyle name="SAPBEXHLevel1X 2 3 4 2" xfId="32801" xr:uid="{8548ADD2-1267-4FF7-9D38-C7D9C1407004}"/>
    <cellStyle name="SAPBEXHLevel1X 2 3 5" xfId="17934" xr:uid="{BC672F63-D640-479E-9F70-05976842C5E5}"/>
    <cellStyle name="SAPBEXHLevel1X 2 3 5 2" xfId="32802" xr:uid="{FDEED1AC-03AA-49C8-85D9-9BF8AF1EF3EC}"/>
    <cellStyle name="SAPBEXHLevel1X 2 3 6" xfId="17935" xr:uid="{640B7927-822E-489E-B56A-D93B40564826}"/>
    <cellStyle name="SAPBEXHLevel1X 2 3 6 2" xfId="32803" xr:uid="{97675A3F-C2A3-4709-8211-3B3B9B71D400}"/>
    <cellStyle name="SAPBEXHLevel1X 2 3 7" xfId="17936" xr:uid="{DB7E6DA1-D3EE-481B-8959-881926EFDA1A}"/>
    <cellStyle name="SAPBEXHLevel1X 2 3 7 2" xfId="32804" xr:uid="{5EA0E456-5435-4127-A564-B298261D3F43}"/>
    <cellStyle name="SAPBEXHLevel1X 2 3 8" xfId="17937" xr:uid="{039CD4AB-93DD-4869-9CAC-0E4B51B5656E}"/>
    <cellStyle name="SAPBEXHLevel1X 2 3 8 2" xfId="32806" xr:uid="{1392790A-33AA-4244-97B2-155E7734B33B}"/>
    <cellStyle name="SAPBEXHLevel1X 2 3 9" xfId="17938" xr:uid="{BD2AAC92-E64B-4756-8A03-0D3A02499CAF}"/>
    <cellStyle name="SAPBEXHLevel1X 2 3 9 2" xfId="32807" xr:uid="{527F6271-898A-413D-A97B-805942EE6638}"/>
    <cellStyle name="SAPBEXHLevel1X 2 4" xfId="17939" xr:uid="{71C8ECA0-94D6-4E6D-AE01-5E18F5DE1FD0}"/>
    <cellStyle name="SAPBEXHLevel1X 2 4 2" xfId="32808" xr:uid="{D294D0CB-6BF1-4648-A3F4-D310735DCCFA}"/>
    <cellStyle name="SAPBEXHLevel1X 2 5" xfId="17940" xr:uid="{8429F14C-6102-40ED-A9AE-798528FE37A1}"/>
    <cellStyle name="SAPBEXHLevel1X 2 5 2" xfId="32809" xr:uid="{E8F165FA-500C-4B0C-B433-80032596ACEE}"/>
    <cellStyle name="SAPBEXHLevel1X 2 6" xfId="17941" xr:uid="{67B34740-7DA9-4787-9D32-8129955D3369}"/>
    <cellStyle name="SAPBEXHLevel1X 2 6 2" xfId="32810" xr:uid="{DBE11D11-B22A-4705-A510-510296FDF5B1}"/>
    <cellStyle name="SAPBEXHLevel1X 2 7" xfId="17942" xr:uid="{DD3CA78B-D107-42FA-BAA9-943BAF6FCC7F}"/>
    <cellStyle name="SAPBEXHLevel1X 2 7 2" xfId="32811" xr:uid="{FDC9AC25-59E8-4DB1-8CFB-B7E208F3403B}"/>
    <cellStyle name="SAPBEXHLevel1X 2 8" xfId="17943" xr:uid="{320B317E-6CBE-4661-AF79-89B62825A9A9}"/>
    <cellStyle name="SAPBEXHLevel1X 2 8 2" xfId="32812" xr:uid="{7283B996-430A-48E6-AF62-D10F5FEBF4DC}"/>
    <cellStyle name="SAPBEXHLevel1X 2 9" xfId="17944" xr:uid="{B421ECA5-5DC0-4A88-9DD8-D7B3507EF8A0}"/>
    <cellStyle name="SAPBEXHLevel1X 2 9 2" xfId="32813" xr:uid="{0131F38F-7D1D-4CA9-81A0-E206DB9153ED}"/>
    <cellStyle name="SAPBEXHLevel1X 20" xfId="17945" xr:uid="{308DC16F-E466-4BE4-9393-51D20542DFAE}"/>
    <cellStyle name="SAPBEXHLevel1X 20 2" xfId="32814" xr:uid="{C39E615A-0C3E-4DF5-B8E6-D7FF52E4058D}"/>
    <cellStyle name="SAPBEXHLevel1X 21" xfId="17946" xr:uid="{566E9682-F0F1-4EC5-911C-04DC8A8AFD2B}"/>
    <cellStyle name="SAPBEXHLevel1X 21 2" xfId="32815" xr:uid="{E8CD9AC5-A9D8-41F9-9452-BB39147DCDDD}"/>
    <cellStyle name="SAPBEXHLevel1X 22" xfId="37772" xr:uid="{9C222961-D64F-4142-BB1B-14B4FE5EBD95}"/>
    <cellStyle name="SAPBEXHLevel1X 3" xfId="17947" xr:uid="{13C618CB-7857-460B-BF8E-933D069954E3}"/>
    <cellStyle name="SAPBEXHLevel1X 3 10" xfId="17948" xr:uid="{300BAFC4-2B66-48C8-A562-2DF395100F08}"/>
    <cellStyle name="SAPBEXHLevel1X 3 10 2" xfId="32817" xr:uid="{7C0A9ECA-09F3-4F27-A9DD-AC8A57ADEB00}"/>
    <cellStyle name="SAPBEXHLevel1X 3 11" xfId="17949" xr:uid="{EF570CAF-B7C8-4AA8-816F-540C18ADA5ED}"/>
    <cellStyle name="SAPBEXHLevel1X 3 11 2" xfId="32818" xr:uid="{D26FB99B-5C40-4C52-91CA-53F3FEE58512}"/>
    <cellStyle name="SAPBEXHLevel1X 3 12" xfId="17950" xr:uid="{E32D9337-CC26-403B-BCDF-C9A16B58D819}"/>
    <cellStyle name="SAPBEXHLevel1X 3 12 2" xfId="32819" xr:uid="{AB050634-B351-43F3-980A-C845018E4A55}"/>
    <cellStyle name="SAPBEXHLevel1X 3 13" xfId="17951" xr:uid="{768983E2-034C-4333-B7AE-5EBE70825556}"/>
    <cellStyle name="SAPBEXHLevel1X 3 13 2" xfId="32820" xr:uid="{B64D7E4D-D760-437A-9168-BD216D59DC95}"/>
    <cellStyle name="SAPBEXHLevel1X 3 14" xfId="17952" xr:uid="{3DEA9744-DFC7-4581-9928-D3595CD8C714}"/>
    <cellStyle name="SAPBEXHLevel1X 3 14 2" xfId="32821" xr:uid="{EDE107FC-5618-49B7-8AA5-203158A2BDE2}"/>
    <cellStyle name="SAPBEXHLevel1X 3 15" xfId="17953" xr:uid="{2F542E36-3206-4721-B6CF-1069FAA8F11D}"/>
    <cellStyle name="SAPBEXHLevel1X 3 15 2" xfId="32822" xr:uid="{8F5FEDF0-865D-42FF-ABDE-F1BE0CF3704D}"/>
    <cellStyle name="SAPBEXHLevel1X 3 16" xfId="17954" xr:uid="{EDF0F9DE-6306-4D6E-BE0D-CB1A7E9E5E25}"/>
    <cellStyle name="SAPBEXHLevel1X 3 16 2" xfId="32823" xr:uid="{99C49EC9-8580-440B-B997-6FB783699175}"/>
    <cellStyle name="SAPBEXHLevel1X 3 17" xfId="17955" xr:uid="{5B89E341-FD31-4AD7-AC39-858C53B4E5BE}"/>
    <cellStyle name="SAPBEXHLevel1X 3 17 2" xfId="32824" xr:uid="{DD433E31-40DF-4737-B74A-CD2D08A29B59}"/>
    <cellStyle name="SAPBEXHLevel1X 3 18" xfId="17956" xr:uid="{E25CAD27-918C-4C31-BF9E-31A6E27101E0}"/>
    <cellStyle name="SAPBEXHLevel1X 3 18 2" xfId="32825" xr:uid="{8792E7AC-3886-4E2D-A40B-A444E37AABFA}"/>
    <cellStyle name="SAPBEXHLevel1X 3 19" xfId="17957" xr:uid="{FAB3776C-D18A-4E51-9423-BA36DEC836A4}"/>
    <cellStyle name="SAPBEXHLevel1X 3 19 2" xfId="32826" xr:uid="{E7C1A0FC-03D6-4E3A-B077-F249639F2446}"/>
    <cellStyle name="SAPBEXHLevel1X 3 2" xfId="17958" xr:uid="{B2A1C546-5773-402D-98FB-04E37252FD29}"/>
    <cellStyle name="SAPBEXHLevel1X 3 2 10" xfId="17959" xr:uid="{A71DC4CD-6ECA-4FD1-B0D3-00E45CD1B9D5}"/>
    <cellStyle name="SAPBEXHLevel1X 3 2 10 2" xfId="32828" xr:uid="{31CD19E4-4B73-4D63-AB26-5C4372B29B69}"/>
    <cellStyle name="SAPBEXHLevel1X 3 2 11" xfId="17960" xr:uid="{B73D9352-6AB5-46EF-887A-CDEF67CD6670}"/>
    <cellStyle name="SAPBEXHLevel1X 3 2 11 2" xfId="32829" xr:uid="{B1CA1876-A497-4FC3-AF89-A15CEAED6410}"/>
    <cellStyle name="SAPBEXHLevel1X 3 2 12" xfId="17961" xr:uid="{E7797BE3-7586-4C7F-8738-1EF6A34A7F88}"/>
    <cellStyle name="SAPBEXHLevel1X 3 2 12 2" xfId="32830" xr:uid="{3413879C-099D-4F5A-BD90-C5474B346EEF}"/>
    <cellStyle name="SAPBEXHLevel1X 3 2 13" xfId="17962" xr:uid="{40D38D6B-7B94-4B29-B364-C54699BB40AC}"/>
    <cellStyle name="SAPBEXHLevel1X 3 2 13 2" xfId="32831" xr:uid="{479047A2-00D4-4DBA-A5A4-195629D44586}"/>
    <cellStyle name="SAPBEXHLevel1X 3 2 14" xfId="17963" xr:uid="{7931D678-0D3A-4EC2-B526-2738F14344F2}"/>
    <cellStyle name="SAPBEXHLevel1X 3 2 14 2" xfId="32832" xr:uid="{7D266ABE-EBF1-441C-8F79-1B01602EA42E}"/>
    <cellStyle name="SAPBEXHLevel1X 3 2 15" xfId="17964" xr:uid="{F82FB33F-EC2C-481E-8EC9-DC2C200DDC70}"/>
    <cellStyle name="SAPBEXHLevel1X 3 2 15 2" xfId="32833" xr:uid="{FE6E7A3D-4676-4A54-BE8A-3CAA6459EA8F}"/>
    <cellStyle name="SAPBEXHLevel1X 3 2 16" xfId="17965" xr:uid="{139F8810-2751-4427-AFCC-2944425350EF}"/>
    <cellStyle name="SAPBEXHLevel1X 3 2 16 2" xfId="32834" xr:uid="{E7CECAD4-B7F9-4C0F-8309-B7E0CCEFE6C8}"/>
    <cellStyle name="SAPBEXHLevel1X 3 2 17" xfId="17966" xr:uid="{1723F318-1345-46E4-A0D1-4BCAF4F90FA9}"/>
    <cellStyle name="SAPBEXHLevel1X 3 2 17 2" xfId="32835" xr:uid="{04ACB027-B6D5-47E4-9055-BC40BAF77982}"/>
    <cellStyle name="SAPBEXHLevel1X 3 2 18" xfId="17967" xr:uid="{A953D0D5-C91B-49A8-BE14-314B117CECE6}"/>
    <cellStyle name="SAPBEXHLevel1X 3 2 18 2" xfId="32836" xr:uid="{B3A4F5CF-990F-4AFD-A369-8E835F104B9D}"/>
    <cellStyle name="SAPBEXHLevel1X 3 2 19" xfId="32827" xr:uid="{CD40477D-B52F-421F-A4EF-4CB1339E348E}"/>
    <cellStyle name="SAPBEXHLevel1X 3 2 2" xfId="17968" xr:uid="{6C855D50-0D4C-419A-A2BE-85D4F42400B4}"/>
    <cellStyle name="SAPBEXHLevel1X 3 2 2 10" xfId="17969" xr:uid="{34A8F814-ED67-4701-AA45-FDA4B25861FC}"/>
    <cellStyle name="SAPBEXHLevel1X 3 2 2 10 2" xfId="32838" xr:uid="{BE9A2230-79BF-4D0A-AB37-25D3BE4C312E}"/>
    <cellStyle name="SAPBEXHLevel1X 3 2 2 11" xfId="17970" xr:uid="{5977D466-AA86-4B81-94B0-2D5B4D2776D2}"/>
    <cellStyle name="SAPBEXHLevel1X 3 2 2 11 2" xfId="32839" xr:uid="{197CD061-4FDA-4FF5-B4D6-3CE95F2083A9}"/>
    <cellStyle name="SAPBEXHLevel1X 3 2 2 12" xfId="17971" xr:uid="{6CB469CA-DDBE-4E27-A9C7-598EE5A46A3F}"/>
    <cellStyle name="SAPBEXHLevel1X 3 2 2 12 2" xfId="32840" xr:uid="{745DA364-1AEE-4687-9A0C-79C5401E7642}"/>
    <cellStyle name="SAPBEXHLevel1X 3 2 2 13" xfId="17972" xr:uid="{F37349A6-30A5-4656-B95E-EE8AB5D26928}"/>
    <cellStyle name="SAPBEXHLevel1X 3 2 2 13 2" xfId="32841" xr:uid="{DBBD306E-930F-46D0-979D-DDE4EC84A9B0}"/>
    <cellStyle name="SAPBEXHLevel1X 3 2 2 14" xfId="17973" xr:uid="{74CBEBA4-3C14-4CBB-812F-C886DCDBDCF8}"/>
    <cellStyle name="SAPBEXHLevel1X 3 2 2 14 2" xfId="32842" xr:uid="{3C1BBF95-A701-4B45-8B80-290CA731B420}"/>
    <cellStyle name="SAPBEXHLevel1X 3 2 2 15" xfId="32837" xr:uid="{8F1BEE5A-9FEA-4177-AC6D-DFE4B8CA843E}"/>
    <cellStyle name="SAPBEXHLevel1X 3 2 2 2" xfId="17974" xr:uid="{2BF11A96-8EC9-42F2-A22C-B8D1DE92BA6C}"/>
    <cellStyle name="SAPBEXHLevel1X 3 2 2 2 2" xfId="32843" xr:uid="{2FB2C90E-B94E-465A-914D-D7F84933497A}"/>
    <cellStyle name="SAPBEXHLevel1X 3 2 2 3" xfId="17975" xr:uid="{39F1D3D6-DB00-4633-AB58-1E00D0403D0E}"/>
    <cellStyle name="SAPBEXHLevel1X 3 2 2 3 2" xfId="32844" xr:uid="{E543154A-E3AF-488B-AF52-0FDE135E6652}"/>
    <cellStyle name="SAPBEXHLevel1X 3 2 2 4" xfId="17976" xr:uid="{344185F8-8DA4-4230-A76E-F572C6A8DF76}"/>
    <cellStyle name="SAPBEXHLevel1X 3 2 2 4 2" xfId="32845" xr:uid="{BA114E11-5A03-4BC9-87D7-367934D9B4F4}"/>
    <cellStyle name="SAPBEXHLevel1X 3 2 2 5" xfId="17977" xr:uid="{A2D03DB0-D435-43A8-845D-F5FE540E9FED}"/>
    <cellStyle name="SAPBEXHLevel1X 3 2 2 5 2" xfId="32846" xr:uid="{658DF319-8E90-427D-B098-9C858225A238}"/>
    <cellStyle name="SAPBEXHLevel1X 3 2 2 6" xfId="17978" xr:uid="{DD1CE8C7-B859-4AB6-AB94-F41DBDCDF465}"/>
    <cellStyle name="SAPBEXHLevel1X 3 2 2 6 2" xfId="32847" xr:uid="{1DC13C07-2D1B-4D71-8AE0-F0507081E566}"/>
    <cellStyle name="SAPBEXHLevel1X 3 2 2 7" xfId="17979" xr:uid="{8F3A83EB-D7B4-4213-959C-9AA7B35634D9}"/>
    <cellStyle name="SAPBEXHLevel1X 3 2 2 7 2" xfId="32848" xr:uid="{3C9542C7-BD07-4666-8423-D50D0CDE8835}"/>
    <cellStyle name="SAPBEXHLevel1X 3 2 2 8" xfId="17980" xr:uid="{0D4E995E-85DE-47D5-AF06-11B7E57BB32A}"/>
    <cellStyle name="SAPBEXHLevel1X 3 2 2 8 2" xfId="32849" xr:uid="{EA0DA427-AC4D-486F-BAD9-03233051B9E6}"/>
    <cellStyle name="SAPBEXHLevel1X 3 2 2 9" xfId="17981" xr:uid="{1B9DCBCD-F171-44A2-A752-D3EBA0E7872B}"/>
    <cellStyle name="SAPBEXHLevel1X 3 2 2 9 2" xfId="32850" xr:uid="{979B5BDA-A1D8-400E-9054-51639CDF01FF}"/>
    <cellStyle name="SAPBEXHLevel1X 3 2 3" xfId="17982" xr:uid="{672309EB-0855-416B-A700-C054054DA6BC}"/>
    <cellStyle name="SAPBEXHLevel1X 3 2 3 2" xfId="32851" xr:uid="{23A10525-B1E6-4BD1-81D3-72988257724A}"/>
    <cellStyle name="SAPBEXHLevel1X 3 2 4" xfId="17983" xr:uid="{5642610D-4548-4288-B42E-4043C652E37A}"/>
    <cellStyle name="SAPBEXHLevel1X 3 2 4 2" xfId="32852" xr:uid="{E6C49E94-5E90-40CC-8ED7-3F24DAE6A390}"/>
    <cellStyle name="SAPBEXHLevel1X 3 2 5" xfId="17984" xr:uid="{5FF0FCE8-9C30-45B3-8938-E270E493B400}"/>
    <cellStyle name="SAPBEXHLevel1X 3 2 5 2" xfId="32853" xr:uid="{3465E233-6170-4F94-BD85-4E778A8AA946}"/>
    <cellStyle name="SAPBEXHLevel1X 3 2 6" xfId="17985" xr:uid="{3A682C30-25F3-479F-8540-EAF74660E7D3}"/>
    <cellStyle name="SAPBEXHLevel1X 3 2 6 2" xfId="32854" xr:uid="{2B616833-93F9-49C6-924A-2C4786B82D88}"/>
    <cellStyle name="SAPBEXHLevel1X 3 2 7" xfId="17986" xr:uid="{5AC74C14-5F65-491A-809A-CB5ED4855B41}"/>
    <cellStyle name="SAPBEXHLevel1X 3 2 7 2" xfId="32855" xr:uid="{170EAC06-D8CE-47BB-A07C-34870C5D6394}"/>
    <cellStyle name="SAPBEXHLevel1X 3 2 8" xfId="17987" xr:uid="{120D7A21-7F2C-47D3-9E71-084FE2B304E9}"/>
    <cellStyle name="SAPBEXHLevel1X 3 2 8 2" xfId="32856" xr:uid="{C6332AC8-44C3-416E-943E-53FA8D73CB5D}"/>
    <cellStyle name="SAPBEXHLevel1X 3 2 9" xfId="17988" xr:uid="{ED4F2CA5-1EF7-4403-8885-C2E356D3A83C}"/>
    <cellStyle name="SAPBEXHLevel1X 3 2 9 2" xfId="32857" xr:uid="{33005043-FF9B-490E-93DA-F71A7C60E597}"/>
    <cellStyle name="SAPBEXHLevel1X 3 20" xfId="32816" xr:uid="{21A68E9F-4352-4114-A7BD-54DC89FE97CD}"/>
    <cellStyle name="SAPBEXHLevel1X 3 3" xfId="17989" xr:uid="{F3AED106-8716-4159-922F-8321109CE1B7}"/>
    <cellStyle name="SAPBEXHLevel1X 3 3 10" xfId="17990" xr:uid="{72CD37D4-6601-4E89-B70C-18B454E6560E}"/>
    <cellStyle name="SAPBEXHLevel1X 3 3 10 2" xfId="32859" xr:uid="{80852C00-F0C9-4A93-8DA1-E2CC2A81B503}"/>
    <cellStyle name="SAPBEXHLevel1X 3 3 11" xfId="17991" xr:uid="{4A6FC5F2-F61C-4C14-8667-425A9767BC54}"/>
    <cellStyle name="SAPBEXHLevel1X 3 3 11 2" xfId="32860" xr:uid="{5229A99E-D47F-4654-843C-E2C4C4F493B3}"/>
    <cellStyle name="SAPBEXHLevel1X 3 3 12" xfId="17992" xr:uid="{67E3BFB0-805F-4B25-BA5A-261240AEB732}"/>
    <cellStyle name="SAPBEXHLevel1X 3 3 12 2" xfId="32861" xr:uid="{4EB32FC0-FE46-4BA8-A248-8A8C7DF8F6D0}"/>
    <cellStyle name="SAPBEXHLevel1X 3 3 13" xfId="17993" xr:uid="{F7FA2E5F-8A9E-4D8E-B8E0-7D4893109C78}"/>
    <cellStyle name="SAPBEXHLevel1X 3 3 13 2" xfId="32862" xr:uid="{979B262C-2FDB-433B-8084-B1406442B67B}"/>
    <cellStyle name="SAPBEXHLevel1X 3 3 14" xfId="17994" xr:uid="{C9BC3F2B-4F36-4DD2-94DC-335E3EE13CB9}"/>
    <cellStyle name="SAPBEXHLevel1X 3 3 14 2" xfId="32863" xr:uid="{DD83B6A6-12E1-4A8D-AF39-D63496081DD3}"/>
    <cellStyle name="SAPBEXHLevel1X 3 3 15" xfId="32858" xr:uid="{19077BE4-250F-4450-9488-65A26692FD5A}"/>
    <cellStyle name="SAPBEXHLevel1X 3 3 2" xfId="17995" xr:uid="{F8EB59F2-A718-474E-AF63-125FD8DF831E}"/>
    <cellStyle name="SAPBEXHLevel1X 3 3 2 2" xfId="32864" xr:uid="{0A63146D-17E3-4DFF-815B-B5708759C525}"/>
    <cellStyle name="SAPBEXHLevel1X 3 3 3" xfId="17996" xr:uid="{D3F1A34F-03B4-4782-AC7E-20A4F2D378AC}"/>
    <cellStyle name="SAPBEXHLevel1X 3 3 3 2" xfId="32865" xr:uid="{7ED1574F-AC3C-4219-BB95-73E56B8336F8}"/>
    <cellStyle name="SAPBEXHLevel1X 3 3 4" xfId="17997" xr:uid="{C5CE856C-F1BB-4CE9-BEB8-E0709419D7B4}"/>
    <cellStyle name="SAPBEXHLevel1X 3 3 4 2" xfId="32866" xr:uid="{440ED958-96A0-495D-B206-D35C7F251AB0}"/>
    <cellStyle name="SAPBEXHLevel1X 3 3 5" xfId="17998" xr:uid="{99D2DCA9-ED98-452D-9AA7-1EF04CB26E69}"/>
    <cellStyle name="SAPBEXHLevel1X 3 3 5 2" xfId="32867" xr:uid="{A2378042-9DCA-492B-95E1-42298D661794}"/>
    <cellStyle name="SAPBEXHLevel1X 3 3 6" xfId="17999" xr:uid="{DFE5393B-620D-4895-BE1C-ED0AEB7CF220}"/>
    <cellStyle name="SAPBEXHLevel1X 3 3 6 2" xfId="32868" xr:uid="{43459E43-FA78-4EFA-8C4C-036A3F076B14}"/>
    <cellStyle name="SAPBEXHLevel1X 3 3 7" xfId="18000" xr:uid="{F31F6FE6-7FE3-423F-AEB3-6755066DAE7B}"/>
    <cellStyle name="SAPBEXHLevel1X 3 3 7 2" xfId="32869" xr:uid="{06334ADB-F230-47FF-895D-D6197A166D76}"/>
    <cellStyle name="SAPBEXHLevel1X 3 3 8" xfId="18001" xr:uid="{94F9CA8F-1754-4F07-AEF6-5801D501B945}"/>
    <cellStyle name="SAPBEXHLevel1X 3 3 8 2" xfId="32870" xr:uid="{65F1B533-F6F9-4C2A-8CB2-5FEF90AB369E}"/>
    <cellStyle name="SAPBEXHLevel1X 3 3 9" xfId="18002" xr:uid="{C89C5AE6-9AD2-4FC8-81ED-3910F07C2178}"/>
    <cellStyle name="SAPBEXHLevel1X 3 3 9 2" xfId="32871" xr:uid="{510B44D8-21D7-42DE-ABDF-7A3A893886C0}"/>
    <cellStyle name="SAPBEXHLevel1X 3 4" xfId="18003" xr:uid="{597E401F-3A90-4791-8EED-316044E82A5B}"/>
    <cellStyle name="SAPBEXHLevel1X 3 4 2" xfId="32872" xr:uid="{513358A3-E30C-4AB7-8404-628C2D299A90}"/>
    <cellStyle name="SAPBEXHLevel1X 3 5" xfId="18004" xr:uid="{82316FCC-5FFC-4DF5-916D-408EF313957C}"/>
    <cellStyle name="SAPBEXHLevel1X 3 5 2" xfId="32873" xr:uid="{C4DB53B7-4ABD-4160-83BB-2DCEC0D3185E}"/>
    <cellStyle name="SAPBEXHLevel1X 3 6" xfId="18005" xr:uid="{A4CECB88-93C0-464B-B862-658762E74A8C}"/>
    <cellStyle name="SAPBEXHLevel1X 3 6 2" xfId="32874" xr:uid="{9E8B1D98-2439-4E73-A3EC-719FE4333EAC}"/>
    <cellStyle name="SAPBEXHLevel1X 3 7" xfId="18006" xr:uid="{F4AA9C3A-61AF-409B-80B9-96D78184A32E}"/>
    <cellStyle name="SAPBEXHLevel1X 3 7 2" xfId="32875" xr:uid="{995A1C97-A328-431D-96A0-B67CBD86254E}"/>
    <cellStyle name="SAPBEXHLevel1X 3 8" xfId="18007" xr:uid="{9FBF05A2-587B-4DEE-95E0-0D94AF423E20}"/>
    <cellStyle name="SAPBEXHLevel1X 3 8 2" xfId="32876" xr:uid="{784F634D-0B38-4693-81BC-6D3EDCC867C5}"/>
    <cellStyle name="SAPBEXHLevel1X 3 9" xfId="18008" xr:uid="{5D594EFE-C15C-45E1-923C-1A8422028692}"/>
    <cellStyle name="SAPBEXHLevel1X 3 9 2" xfId="32877" xr:uid="{CB298566-2432-4CA8-AC58-9392A63EA24B}"/>
    <cellStyle name="SAPBEXHLevel1X 4" xfId="18009" xr:uid="{3D48FDBA-1DD5-44D1-ADB7-8266DE1AFACB}"/>
    <cellStyle name="SAPBEXHLevel1X 4 10" xfId="18010" xr:uid="{C86002EC-87A2-449C-A645-2B96DF17559C}"/>
    <cellStyle name="SAPBEXHLevel1X 4 10 2" xfId="32879" xr:uid="{EB8CA202-2660-401F-9CEE-CBBBC77C5CD5}"/>
    <cellStyle name="SAPBEXHLevel1X 4 11" xfId="18011" xr:uid="{49717B0A-8EC7-4C13-917E-54C20D497627}"/>
    <cellStyle name="SAPBEXHLevel1X 4 11 2" xfId="32880" xr:uid="{E94D12E5-EDAE-4F58-9A54-8F4D6BC6FF53}"/>
    <cellStyle name="SAPBEXHLevel1X 4 12" xfId="18012" xr:uid="{7D201C7F-CF86-484E-BAC1-7273388AE760}"/>
    <cellStyle name="SAPBEXHLevel1X 4 12 2" xfId="32881" xr:uid="{24E9F8F6-EF5C-46F2-92E8-1880A44262F1}"/>
    <cellStyle name="SAPBEXHLevel1X 4 13" xfId="18013" xr:uid="{97B9C2F4-BE82-4547-983A-6A278ECC5CDA}"/>
    <cellStyle name="SAPBEXHLevel1X 4 13 2" xfId="32882" xr:uid="{B1C8BD87-8DD7-4393-8277-D8AE05F075CE}"/>
    <cellStyle name="SAPBEXHLevel1X 4 14" xfId="18014" xr:uid="{6A730465-7443-4259-A13F-3970FC7D007B}"/>
    <cellStyle name="SAPBEXHLevel1X 4 14 2" xfId="32883" xr:uid="{79E5F764-240C-41C0-9DE1-7AE8429B0D95}"/>
    <cellStyle name="SAPBEXHLevel1X 4 15" xfId="18015" xr:uid="{9649D187-9F59-4EF0-AEDF-3270486B053A}"/>
    <cellStyle name="SAPBEXHLevel1X 4 15 2" xfId="32884" xr:uid="{F3CCACDA-EFF0-4880-AE7A-CF8C1CE0FEAA}"/>
    <cellStyle name="SAPBEXHLevel1X 4 16" xfId="18016" xr:uid="{ECBD9D53-F1E8-4ACE-B954-4FA22CA22240}"/>
    <cellStyle name="SAPBEXHLevel1X 4 16 2" xfId="32885" xr:uid="{D9C80B14-7081-41E1-8D1C-1811359BC56C}"/>
    <cellStyle name="SAPBEXHLevel1X 4 17" xfId="18017" xr:uid="{45B51044-2932-4F88-BAB2-0A6A79D8226B}"/>
    <cellStyle name="SAPBEXHLevel1X 4 17 2" xfId="32886" xr:uid="{BC3B6B45-BFD2-4D8D-926F-0B2872890F14}"/>
    <cellStyle name="SAPBEXHLevel1X 4 18" xfId="18018" xr:uid="{0AD025EF-EA72-4813-BC15-41A5FCB150A5}"/>
    <cellStyle name="SAPBEXHLevel1X 4 18 2" xfId="32887" xr:uid="{EF5010B8-CEA8-4070-8601-FFBF87217BFB}"/>
    <cellStyle name="SAPBEXHLevel1X 4 19" xfId="32878" xr:uid="{606A1D8B-9502-4148-A505-2FC195BCF1FE}"/>
    <cellStyle name="SAPBEXHLevel1X 4 2" xfId="18019" xr:uid="{3CC57B29-40F5-4B3A-AD06-C12DA41CE582}"/>
    <cellStyle name="SAPBEXHLevel1X 4 2 10" xfId="18020" xr:uid="{AAFE3C2A-A31C-4269-8229-DD9B1BDD0801}"/>
    <cellStyle name="SAPBEXHLevel1X 4 2 10 2" xfId="32889" xr:uid="{48234561-B98A-4D85-B8FF-5FF495915113}"/>
    <cellStyle name="SAPBEXHLevel1X 4 2 11" xfId="18021" xr:uid="{4D01578B-6733-40F2-A1C7-7516FAF53F62}"/>
    <cellStyle name="SAPBEXHLevel1X 4 2 11 2" xfId="32890" xr:uid="{21CD17CE-2235-4B70-8DCF-9AA71CA047F6}"/>
    <cellStyle name="SAPBEXHLevel1X 4 2 12" xfId="18022" xr:uid="{ED607288-57ED-40BC-8AD3-D6EC7985CB86}"/>
    <cellStyle name="SAPBEXHLevel1X 4 2 12 2" xfId="32891" xr:uid="{D53BC950-FD6A-416B-B6AF-32297311EA07}"/>
    <cellStyle name="SAPBEXHLevel1X 4 2 13" xfId="18023" xr:uid="{88C73CD8-1423-488D-AE22-7C6B421147C0}"/>
    <cellStyle name="SAPBEXHLevel1X 4 2 13 2" xfId="32892" xr:uid="{57823200-4932-4993-A82B-42426A10EEB5}"/>
    <cellStyle name="SAPBEXHLevel1X 4 2 14" xfId="18024" xr:uid="{86546090-60A6-44E1-BD5F-D891B4DC33E8}"/>
    <cellStyle name="SAPBEXHLevel1X 4 2 14 2" xfId="32893" xr:uid="{4C407F5D-1F6C-4941-9D98-735AE00C2CCB}"/>
    <cellStyle name="SAPBEXHLevel1X 4 2 15" xfId="32888" xr:uid="{08E92151-8F93-4AB5-81F8-AFB1CFFE528F}"/>
    <cellStyle name="SAPBEXHLevel1X 4 2 2" xfId="18025" xr:uid="{9573EC41-3AF8-4BC6-AEB3-B42347C74E74}"/>
    <cellStyle name="SAPBEXHLevel1X 4 2 2 2" xfId="32894" xr:uid="{5CBA8ACE-F8AB-4943-8941-DCD9FF5EE08F}"/>
    <cellStyle name="SAPBEXHLevel1X 4 2 3" xfId="18026" xr:uid="{2C6845B5-5C61-4701-8A2E-AE1009D27012}"/>
    <cellStyle name="SAPBEXHLevel1X 4 2 3 2" xfId="32895" xr:uid="{A5FE968B-5821-4E19-8733-73006B3C54B2}"/>
    <cellStyle name="SAPBEXHLevel1X 4 2 4" xfId="18027" xr:uid="{D5E82322-950D-4F72-AC5F-917F36653C1B}"/>
    <cellStyle name="SAPBEXHLevel1X 4 2 4 2" xfId="32896" xr:uid="{E23BF490-88BA-4400-8522-65EAA419C7A9}"/>
    <cellStyle name="SAPBEXHLevel1X 4 2 5" xfId="18028" xr:uid="{35289E13-5F7A-410F-BAB1-C629A706B321}"/>
    <cellStyle name="SAPBEXHLevel1X 4 2 5 2" xfId="32898" xr:uid="{24A54CC9-23AE-4B56-BD87-475AAB3EBA6D}"/>
    <cellStyle name="SAPBEXHLevel1X 4 2 6" xfId="18029" xr:uid="{6A759711-76DD-4D41-9999-1A21FB85DD9F}"/>
    <cellStyle name="SAPBEXHLevel1X 4 2 6 2" xfId="32897" xr:uid="{5D604171-B9A3-4EF4-A50D-32081BA57C5E}"/>
    <cellStyle name="SAPBEXHLevel1X 4 2 7" xfId="18030" xr:uid="{89054239-2AFF-4930-A152-96AF934E447F}"/>
    <cellStyle name="SAPBEXHLevel1X 4 2 7 2" xfId="33204" xr:uid="{D37D188C-3739-42F8-AC04-C37BA5E4982A}"/>
    <cellStyle name="SAPBEXHLevel1X 4 2 8" xfId="18031" xr:uid="{AD9B8838-3B04-4E98-9997-E6998BEFBC27}"/>
    <cellStyle name="SAPBEXHLevel1X 4 2 8 2" xfId="33205" xr:uid="{E452DA3D-5E95-4B5E-959E-0A2CB50A6B80}"/>
    <cellStyle name="SAPBEXHLevel1X 4 2 9" xfId="18032" xr:uid="{161D918A-ADF9-4430-B268-8CCEEC24C50A}"/>
    <cellStyle name="SAPBEXHLevel1X 4 2 9 2" xfId="33206" xr:uid="{5C15E588-167C-4459-A8CF-A3CFE4256D0D}"/>
    <cellStyle name="SAPBEXHLevel1X 4 3" xfId="18033" xr:uid="{C974AA33-D242-4E46-9AB9-10011F34B5E2}"/>
    <cellStyle name="SAPBEXHLevel1X 4 3 2" xfId="33207" xr:uid="{ECE233C8-26CF-4710-8DF2-F2E37FB9D206}"/>
    <cellStyle name="SAPBEXHLevel1X 4 4" xfId="18034" xr:uid="{5CD04E09-6FB4-48CA-AD78-1667AE1B41BB}"/>
    <cellStyle name="SAPBEXHLevel1X 4 4 2" xfId="33208" xr:uid="{E6610223-A364-4115-8B22-58DC27D5AC48}"/>
    <cellStyle name="SAPBEXHLevel1X 4 5" xfId="18035" xr:uid="{D00B995C-96C3-4F03-B94B-71C8CCDEA4C1}"/>
    <cellStyle name="SAPBEXHLevel1X 4 5 2" xfId="27747" xr:uid="{1AC04E70-9EDB-4999-B7AE-34A99C2B8983}"/>
    <cellStyle name="SAPBEXHLevel1X 4 6" xfId="18036" xr:uid="{9E26172C-2969-4899-81A4-7DC6F5F75D0A}"/>
    <cellStyle name="SAPBEXHLevel1X 4 6 2" xfId="33209" xr:uid="{EE8731DD-3B12-4946-A11C-9273F6FFAB95}"/>
    <cellStyle name="SAPBEXHLevel1X 4 7" xfId="18037" xr:uid="{58B43306-94CE-4800-8F96-FB47128F7D56}"/>
    <cellStyle name="SAPBEXHLevel1X 4 7 2" xfId="37774" xr:uid="{65B60ED5-DD01-49F9-BCA5-78B566579F5E}"/>
    <cellStyle name="SAPBEXHLevel1X 4 8" xfId="18038" xr:uid="{50DBA968-ECC9-49B4-BADC-01AF548E60D0}"/>
    <cellStyle name="SAPBEXHLevel1X 4 8 2" xfId="33210" xr:uid="{4C94B4A7-B9D6-40CD-96DC-BF1790043218}"/>
    <cellStyle name="SAPBEXHLevel1X 4 9" xfId="18039" xr:uid="{9634FD89-09EB-4B4F-9DBB-FF8E7EBEFE2F}"/>
    <cellStyle name="SAPBEXHLevel1X 4 9 2" xfId="33211" xr:uid="{4D0F88D7-BC8B-4545-98EA-B45D08C295E8}"/>
    <cellStyle name="SAPBEXHLevel1X 5" xfId="18040" xr:uid="{817FB6EF-AA14-4BAF-BBE1-9C59E3C3414F}"/>
    <cellStyle name="SAPBEXHLevel1X 5 10" xfId="18041" xr:uid="{3C49117F-F72E-4DFB-938D-4F241E57DF81}"/>
    <cellStyle name="SAPBEXHLevel1X 5 10 2" xfId="32899" xr:uid="{E2D3DD4F-77CE-4BFC-B2D4-1F08E227FD88}"/>
    <cellStyle name="SAPBEXHLevel1X 5 11" xfId="18042" xr:uid="{A6121A09-BCED-4DF3-9561-F0CE54A9D1AA}"/>
    <cellStyle name="SAPBEXHLevel1X 5 11 2" xfId="32900" xr:uid="{940CD200-E5EA-4AA0-84D9-286A92CBFA40}"/>
    <cellStyle name="SAPBEXHLevel1X 5 12" xfId="18043" xr:uid="{6745D617-49F1-4E35-B43F-98C8D2F0F631}"/>
    <cellStyle name="SAPBEXHLevel1X 5 12 2" xfId="32901" xr:uid="{27E15493-9ED7-45C5-B466-D5B524DBC7BE}"/>
    <cellStyle name="SAPBEXHLevel1X 5 13" xfId="18044" xr:uid="{77710C48-8036-4460-9FB6-8CD0C314A896}"/>
    <cellStyle name="SAPBEXHLevel1X 5 13 2" xfId="32902" xr:uid="{6003A942-B018-4982-8C4A-C3D4C768B09B}"/>
    <cellStyle name="SAPBEXHLevel1X 5 14" xfId="18045" xr:uid="{005BBD7C-4C95-4A68-8548-D76FAD7D11D6}"/>
    <cellStyle name="SAPBEXHLevel1X 5 14 2" xfId="32903" xr:uid="{4FAA1B98-51DF-4DC3-B449-4D47AAB93A32}"/>
    <cellStyle name="SAPBEXHLevel1X 5 15" xfId="33212" xr:uid="{014A6A7E-93CD-43AA-A6B9-2C89A81D5CC1}"/>
    <cellStyle name="SAPBEXHLevel1X 5 2" xfId="18046" xr:uid="{8821F254-90E4-43A3-9364-F13CEB288DF7}"/>
    <cellStyle name="SAPBEXHLevel1X 5 2 2" xfId="32904" xr:uid="{F813857C-A46E-402C-BAD2-913DDC135DB0}"/>
    <cellStyle name="SAPBEXHLevel1X 5 3" xfId="18047" xr:uid="{1CFDA25A-A801-4576-A406-030FFF3311D5}"/>
    <cellStyle name="SAPBEXHLevel1X 5 3 2" xfId="32905" xr:uid="{55EF7DAA-C94A-4CC4-AF8D-95071C3650AC}"/>
    <cellStyle name="SAPBEXHLevel1X 5 4" xfId="18048" xr:uid="{CD530B1F-E6D1-4572-85E0-D105413791A8}"/>
    <cellStyle name="SAPBEXHLevel1X 5 4 2" xfId="32906" xr:uid="{F5B2C704-AF20-4F25-A58A-311FB5CE0983}"/>
    <cellStyle name="SAPBEXHLevel1X 5 5" xfId="18049" xr:uid="{236F2F34-4E87-4CBA-8879-B570CF03EACF}"/>
    <cellStyle name="SAPBEXHLevel1X 5 5 2" xfId="32907" xr:uid="{47D81211-1EF8-4942-A725-E96B5BFB2659}"/>
    <cellStyle name="SAPBEXHLevel1X 5 6" xfId="18050" xr:uid="{C3B848B9-0FB6-4AAC-9C01-01ACD001C0B6}"/>
    <cellStyle name="SAPBEXHLevel1X 5 6 2" xfId="32908" xr:uid="{2B196949-9DA6-41FD-9339-A160D21FCE9E}"/>
    <cellStyle name="SAPBEXHLevel1X 5 7" xfId="18051" xr:uid="{4FB84D47-21C1-4420-8C99-4B3213F71DF9}"/>
    <cellStyle name="SAPBEXHLevel1X 5 7 2" xfId="32909" xr:uid="{08A4896A-DFEF-448F-94B7-31B8FF6F40FE}"/>
    <cellStyle name="SAPBEXHLevel1X 5 8" xfId="18052" xr:uid="{B56D3E86-78A4-4AD4-A751-1BA7538975AE}"/>
    <cellStyle name="SAPBEXHLevel1X 5 8 2" xfId="32910" xr:uid="{3AD0BCDE-DB20-417F-9C16-2771A9074E6C}"/>
    <cellStyle name="SAPBEXHLevel1X 5 9" xfId="18053" xr:uid="{0AF91FEE-2FE3-455B-ACD9-5BBD20296496}"/>
    <cellStyle name="SAPBEXHLevel1X 5 9 2" xfId="32911" xr:uid="{F03500F7-588C-4059-A8DD-92306264BEE5}"/>
    <cellStyle name="SAPBEXHLevel1X 6" xfId="18054" xr:uid="{5AACAF27-3AFB-4F49-B0CF-589FB0180154}"/>
    <cellStyle name="SAPBEXHLevel1X 6 2" xfId="32912" xr:uid="{1AF59647-1B57-442E-B932-C6BA49917A4D}"/>
    <cellStyle name="SAPBEXHLevel1X 7" xfId="18055" xr:uid="{AE1DD432-5510-4DE0-BC07-C1F5206F2C87}"/>
    <cellStyle name="SAPBEXHLevel1X 7 2" xfId="32913" xr:uid="{2CDA7AA1-1C87-4B14-86F8-48659E082DCB}"/>
    <cellStyle name="SAPBEXHLevel1X 8" xfId="18056" xr:uid="{42155C4C-4E09-4708-BA5D-98F7187B7A55}"/>
    <cellStyle name="SAPBEXHLevel1X 8 2" xfId="32914" xr:uid="{F88AFC78-11EF-424A-921F-B152827400DB}"/>
    <cellStyle name="SAPBEXHLevel1X 9" xfId="18057" xr:uid="{56EBCC44-BAA9-4413-AF15-04F9DD4810A8}"/>
    <cellStyle name="SAPBEXHLevel1X 9 2" xfId="32915" xr:uid="{EBF73523-19D1-4669-B8AA-FFB257437408}"/>
    <cellStyle name="SAPBEXHLevel2" xfId="18058" xr:uid="{FFDEDF21-8271-41BE-BBC7-EEA2940DFE68}"/>
    <cellStyle name="SAPBEXHLevel2 10" xfId="18059" xr:uid="{2796FDED-4F70-4E0A-8363-04371AF71732}"/>
    <cellStyle name="SAPBEXHLevel2 10 2" xfId="32917" xr:uid="{BACC1D04-0D95-4868-A443-133088B5CDE9}"/>
    <cellStyle name="SAPBEXHLevel2 11" xfId="18060" xr:uid="{27E2DABB-BCD0-4D2E-9D62-947D33F64F83}"/>
    <cellStyle name="SAPBEXHLevel2 11 2" xfId="32918" xr:uid="{D0C44313-3C39-4BAE-ACF5-C16888B90FE2}"/>
    <cellStyle name="SAPBEXHLevel2 12" xfId="18061" xr:uid="{B4CE772E-237F-4840-A493-B85B483FF790}"/>
    <cellStyle name="SAPBEXHLevel2 12 2" xfId="32919" xr:uid="{174D29DF-1FD4-4D09-8DBB-F5154C56A46F}"/>
    <cellStyle name="SAPBEXHLevel2 13" xfId="18062" xr:uid="{872AF702-DE35-44B0-8CD3-F73467B3886C}"/>
    <cellStyle name="SAPBEXHLevel2 13 2" xfId="32920" xr:uid="{03C01794-3628-46BA-85D9-459EC270D537}"/>
    <cellStyle name="SAPBEXHLevel2 14" xfId="18063" xr:uid="{43E7A8E9-BE42-4BC2-B477-040882CE16F5}"/>
    <cellStyle name="SAPBEXHLevel2 14 2" xfId="32921" xr:uid="{11F25981-4E20-481E-84D2-569561C3517E}"/>
    <cellStyle name="SAPBEXHLevel2 15" xfId="18064" xr:uid="{8E3F1455-5E1E-47C4-AB03-65AC41E469C5}"/>
    <cellStyle name="SAPBEXHLevel2 15 2" xfId="32922" xr:uid="{E62EC393-3BB4-4BC3-8D8A-9040CCE5ADA6}"/>
    <cellStyle name="SAPBEXHLevel2 16" xfId="18065" xr:uid="{DD1D14EF-9081-468E-8BF0-E825B550C802}"/>
    <cellStyle name="SAPBEXHLevel2 16 2" xfId="32923" xr:uid="{7763B55E-3FC8-4CB5-A611-0EA3D9AFF156}"/>
    <cellStyle name="SAPBEXHLevel2 17" xfId="18066" xr:uid="{8362B53A-3B7F-411B-B5EF-FE883A1B335A}"/>
    <cellStyle name="SAPBEXHLevel2 17 2" xfId="32924" xr:uid="{8D681035-8AC1-4028-940D-D8341752B339}"/>
    <cellStyle name="SAPBEXHLevel2 18" xfId="18067" xr:uid="{BE8673F0-4A13-48C3-9AD4-C3B4047642F8}"/>
    <cellStyle name="SAPBEXHLevel2 18 2" xfId="32925" xr:uid="{08F53DDE-3A7E-4EE3-BD14-A55069783770}"/>
    <cellStyle name="SAPBEXHLevel2 19" xfId="18068" xr:uid="{EFD67EFB-9A17-49E4-A514-D597E130EBAD}"/>
    <cellStyle name="SAPBEXHLevel2 19 2" xfId="33198" xr:uid="{31D97607-EA45-41F2-9971-C5FA3483AFF3}"/>
    <cellStyle name="SAPBEXHLevel2 2" xfId="18069" xr:uid="{8C98E2DA-032C-46D2-A4B1-FBC26A92360E}"/>
    <cellStyle name="SAPBEXHLevel2 2 10" xfId="18070" xr:uid="{C83FC748-979D-4656-A572-182813204C75}"/>
    <cellStyle name="SAPBEXHLevel2 2 10 2" xfId="32926" xr:uid="{2392D7B2-64B0-42BB-A2F1-F20F3C3685F9}"/>
    <cellStyle name="SAPBEXHLevel2 2 11" xfId="18071" xr:uid="{55DFD079-4F94-46FE-A412-B0611B5B919B}"/>
    <cellStyle name="SAPBEXHLevel2 2 11 2" xfId="32927" xr:uid="{1C5D6B04-5398-4DC4-8A23-BFAF53B66318}"/>
    <cellStyle name="SAPBEXHLevel2 2 12" xfId="18072" xr:uid="{6ACC68C9-9C87-43C3-A5D2-82347C2687C0}"/>
    <cellStyle name="SAPBEXHLevel2 2 12 2" xfId="32928" xr:uid="{48F3F68D-A0A1-4205-87BD-20F672E41599}"/>
    <cellStyle name="SAPBEXHLevel2 2 13" xfId="18073" xr:uid="{DB396D52-59BB-45CB-ACE4-2410953564C7}"/>
    <cellStyle name="SAPBEXHLevel2 2 13 2" xfId="32929" xr:uid="{20AB6981-D257-4F99-BEFB-3FF1FCFF4386}"/>
    <cellStyle name="SAPBEXHLevel2 2 14" xfId="18074" xr:uid="{FD1329A9-1543-4B34-A2FC-222DD0456A82}"/>
    <cellStyle name="SAPBEXHLevel2 2 14 2" xfId="32930" xr:uid="{FF8F7EAA-6E01-42CD-B1EF-C7EE81BBB5C5}"/>
    <cellStyle name="SAPBEXHLevel2 2 15" xfId="18075" xr:uid="{E30EA4C7-C66E-4268-9685-E5501D137C41}"/>
    <cellStyle name="SAPBEXHLevel2 2 15 2" xfId="32931" xr:uid="{28844C2E-0508-49E3-B176-59F44D80E792}"/>
    <cellStyle name="SAPBEXHLevel2 2 16" xfId="18076" xr:uid="{CE73E1FF-D93A-41D6-9A6E-7621D017AC92}"/>
    <cellStyle name="SAPBEXHLevel2 2 16 2" xfId="32932" xr:uid="{45D6C085-3C13-4AA1-BA4F-6DE1BA55B756}"/>
    <cellStyle name="SAPBEXHLevel2 2 17" xfId="18077" xr:uid="{D78DF934-C29C-43BB-B458-E0B4C02B3795}"/>
    <cellStyle name="SAPBEXHLevel2 2 17 2" xfId="32933" xr:uid="{7CAEE041-2B4D-4C0F-8681-131D1787B957}"/>
    <cellStyle name="SAPBEXHLevel2 2 18" xfId="18078" xr:uid="{01148655-93B8-4042-91A9-F0CF1DF66535}"/>
    <cellStyle name="SAPBEXHLevel2 2 18 2" xfId="32934" xr:uid="{0FB744F1-3D2C-496D-B669-A58C2A4D6EAF}"/>
    <cellStyle name="SAPBEXHLevel2 2 19" xfId="18079" xr:uid="{09129039-50F9-4483-9FDA-2D5BA158C04F}"/>
    <cellStyle name="SAPBEXHLevel2 2 19 2" xfId="32935" xr:uid="{BDA1D8BF-8B16-4201-A836-B3611FD26A84}"/>
    <cellStyle name="SAPBEXHLevel2 2 2" xfId="18080" xr:uid="{3004381F-64CE-4D84-AE7E-7BEB399FFC63}"/>
    <cellStyle name="SAPBEXHLevel2 2 2 10" xfId="18081" xr:uid="{5A8D31B4-0BBD-4AE1-8B5D-DF34866F5974}"/>
    <cellStyle name="SAPBEXHLevel2 2 2 10 2" xfId="32937" xr:uid="{740345E2-237F-445E-BDC1-A69036146D6A}"/>
    <cellStyle name="SAPBEXHLevel2 2 2 11" xfId="18082" xr:uid="{13B9BB5E-C28E-45DB-99DD-09C2EF8A2602}"/>
    <cellStyle name="SAPBEXHLevel2 2 2 11 2" xfId="32938" xr:uid="{F6CCAD7D-7938-4DEF-8E3D-0F73B5AE690D}"/>
    <cellStyle name="SAPBEXHLevel2 2 2 12" xfId="18083" xr:uid="{0926F37E-A0C8-46AF-96D5-45AC68347AC4}"/>
    <cellStyle name="SAPBEXHLevel2 2 2 12 2" xfId="32939" xr:uid="{D7906E2D-1637-4F11-B5FA-7740C1E120B5}"/>
    <cellStyle name="SAPBEXHLevel2 2 2 13" xfId="18084" xr:uid="{D1C49390-1F26-478F-9985-130580008937}"/>
    <cellStyle name="SAPBEXHLevel2 2 2 13 2" xfId="32940" xr:uid="{FF5C5617-0C4C-4746-922C-9EB4875D3FD1}"/>
    <cellStyle name="SAPBEXHLevel2 2 2 14" xfId="18085" xr:uid="{F8FFB71A-F051-45B0-8B80-1D2DA56B3B0F}"/>
    <cellStyle name="SAPBEXHLevel2 2 2 14 2" xfId="32941" xr:uid="{A838F7BC-5B61-4636-AC29-111A29B5879B}"/>
    <cellStyle name="SAPBEXHLevel2 2 2 15" xfId="18086" xr:uid="{8B8ED044-9154-48F4-A6D1-99F519AF6740}"/>
    <cellStyle name="SAPBEXHLevel2 2 2 15 2" xfId="32942" xr:uid="{F2770794-C087-4BC5-9948-E6DEFC347CD1}"/>
    <cellStyle name="SAPBEXHLevel2 2 2 16" xfId="18087" xr:uid="{C2D7D179-EC60-4536-8672-BCDC749CDD3A}"/>
    <cellStyle name="SAPBEXHLevel2 2 2 16 2" xfId="32943" xr:uid="{48C13A41-010F-4CEC-98A7-14AAE30ABBF1}"/>
    <cellStyle name="SAPBEXHLevel2 2 2 17" xfId="18088" xr:uid="{A61FC126-B314-49D4-82E2-6B419BAB4E27}"/>
    <cellStyle name="SAPBEXHLevel2 2 2 17 2" xfId="32944" xr:uid="{9C840057-6394-4713-9D89-A54AE5EA7F57}"/>
    <cellStyle name="SAPBEXHLevel2 2 2 18" xfId="18089" xr:uid="{0216FA8C-B17A-41AE-9319-DE4EE227C9DA}"/>
    <cellStyle name="SAPBEXHLevel2 2 2 18 2" xfId="32945" xr:uid="{821DE045-DAE9-4BDE-A117-1FC22FF8441E}"/>
    <cellStyle name="SAPBEXHLevel2 2 2 19" xfId="32936" xr:uid="{0FCC360A-2946-4E43-A7A4-420530E84AD9}"/>
    <cellStyle name="SAPBEXHLevel2 2 2 2" xfId="18090" xr:uid="{BEFBBD29-B64B-4785-865E-C5E2A6B04A2F}"/>
    <cellStyle name="SAPBEXHLevel2 2 2 2 10" xfId="18091" xr:uid="{CA2B31E5-93CF-461F-9AA2-73A45C3BED27}"/>
    <cellStyle name="SAPBEXHLevel2 2 2 2 10 2" xfId="32947" xr:uid="{A6CBE947-E1F6-4B17-ADA7-81EDB0E2FA88}"/>
    <cellStyle name="SAPBEXHLevel2 2 2 2 11" xfId="18092" xr:uid="{F2528966-69C1-4702-B7EF-66DCF829AE10}"/>
    <cellStyle name="SAPBEXHLevel2 2 2 2 11 2" xfId="32948" xr:uid="{EBD5B85B-45FD-453D-8B24-F945D58D2F85}"/>
    <cellStyle name="SAPBEXHLevel2 2 2 2 12" xfId="18093" xr:uid="{510C2ECA-E223-4082-B93D-A30A064EC8FD}"/>
    <cellStyle name="SAPBEXHLevel2 2 2 2 12 2" xfId="32949" xr:uid="{0BB35E21-81FC-4515-A89A-93C261A8BBC3}"/>
    <cellStyle name="SAPBEXHLevel2 2 2 2 13" xfId="18094" xr:uid="{DF6B7BBE-1E05-4978-B066-2A044E8DF5FE}"/>
    <cellStyle name="SAPBEXHLevel2 2 2 2 13 2" xfId="32950" xr:uid="{0AB4B760-7797-4EA2-9415-86E53094F951}"/>
    <cellStyle name="SAPBEXHLevel2 2 2 2 14" xfId="18095" xr:uid="{E383E91B-AE13-4E3B-AEE4-2B0C12486385}"/>
    <cellStyle name="SAPBEXHLevel2 2 2 2 14 2" xfId="32951" xr:uid="{0D6294F5-91A2-46DA-8A92-AC609E3E9561}"/>
    <cellStyle name="SAPBEXHLevel2 2 2 2 15" xfId="32946" xr:uid="{0D156BB7-65DD-4232-8CEE-303606A251EE}"/>
    <cellStyle name="SAPBEXHLevel2 2 2 2 2" xfId="18096" xr:uid="{1E409C34-693D-4B15-A220-DE3C96E272BD}"/>
    <cellStyle name="SAPBEXHLevel2 2 2 2 2 2" xfId="32952" xr:uid="{A61AB0C7-B5B0-40DC-914D-C58FF25C6497}"/>
    <cellStyle name="SAPBEXHLevel2 2 2 2 3" xfId="18097" xr:uid="{31ED4FCC-A166-4576-A4E4-5669E558610B}"/>
    <cellStyle name="SAPBEXHLevel2 2 2 2 3 2" xfId="32953" xr:uid="{DD5C8ABE-7699-4262-B3C1-4A8C4F4E495D}"/>
    <cellStyle name="SAPBEXHLevel2 2 2 2 4" xfId="18098" xr:uid="{F23B633D-DCA2-4885-9FAF-1104D8C7316A}"/>
    <cellStyle name="SAPBEXHLevel2 2 2 2 4 2" xfId="33107" xr:uid="{B567C460-62FE-4612-8366-DC8CD84CD23A}"/>
    <cellStyle name="SAPBEXHLevel2 2 2 2 5" xfId="18099" xr:uid="{5939316A-5749-4E6C-A9D6-239C92140386}"/>
    <cellStyle name="SAPBEXHLevel2 2 2 2 5 2" xfId="33269" xr:uid="{98074DBE-D3E3-4C4A-9378-CE25A49F038A}"/>
    <cellStyle name="SAPBEXHLevel2 2 2 2 6" xfId="18100" xr:uid="{DC7A372E-94FF-46DE-8A10-2FF2D983079E}"/>
    <cellStyle name="SAPBEXHLevel2 2 2 2 6 2" xfId="33262" xr:uid="{3F750ED8-E40F-44DC-88A6-CBD70D1BBC51}"/>
    <cellStyle name="SAPBEXHLevel2 2 2 2 7" xfId="18101" xr:uid="{05F67AC1-2B4A-4D70-BDAE-CF1EC6EA274D}"/>
    <cellStyle name="SAPBEXHLevel2 2 2 2 7 2" xfId="33085" xr:uid="{FDAA67A8-82AA-41D6-8CA3-B527BA8D9FE0}"/>
    <cellStyle name="SAPBEXHLevel2 2 2 2 8" xfId="18102" xr:uid="{11F9E480-53D1-49C6-9F61-02C3ED08DE12}"/>
    <cellStyle name="SAPBEXHLevel2 2 2 2 8 2" xfId="33116" xr:uid="{1552724B-0287-49E3-A6B0-E6AAD87DF7AE}"/>
    <cellStyle name="SAPBEXHLevel2 2 2 2 9" xfId="18103" xr:uid="{06478F67-15D5-428A-BDA5-3430E05D9C4F}"/>
    <cellStyle name="SAPBEXHLevel2 2 2 2 9 2" xfId="33103" xr:uid="{A209A8DD-FDD2-49EE-8B79-21515EF0AC44}"/>
    <cellStyle name="SAPBEXHLevel2 2 2 3" xfId="18104" xr:uid="{D0D767DE-6BD3-4E67-B374-6EC115A2C4E7}"/>
    <cellStyle name="SAPBEXHLevel2 2 2 3 2" xfId="32954" xr:uid="{B059C2A2-BD18-41A7-AEEA-059F7D1290E3}"/>
    <cellStyle name="SAPBEXHLevel2 2 2 4" xfId="18105" xr:uid="{2FBBFE7E-58B4-410D-8EEE-D8BFF9549C82}"/>
    <cellStyle name="SAPBEXHLevel2 2 2 4 2" xfId="32955" xr:uid="{7B55BAD4-8D2B-4020-8B40-6D0CD1A765FF}"/>
    <cellStyle name="SAPBEXHLevel2 2 2 5" xfId="18106" xr:uid="{CE4DFCB0-C87E-4548-B499-5CAC6F5DF3B2}"/>
    <cellStyle name="SAPBEXHLevel2 2 2 5 2" xfId="32956" xr:uid="{BA6351F0-990C-411C-A77A-1723912F798C}"/>
    <cellStyle name="SAPBEXHLevel2 2 2 6" xfId="18107" xr:uid="{61300AEA-314F-42C6-8750-CB69176ACB1F}"/>
    <cellStyle name="SAPBEXHLevel2 2 2 6 2" xfId="32957" xr:uid="{E7E472CD-E700-4E54-B4DF-FCE51E1220D6}"/>
    <cellStyle name="SAPBEXHLevel2 2 2 7" xfId="18108" xr:uid="{16234F26-3AC9-4E50-9AB3-E31783CCE897}"/>
    <cellStyle name="SAPBEXHLevel2 2 2 7 2" xfId="32958" xr:uid="{090FAB14-FF76-4F7F-83F8-9B052D141116}"/>
    <cellStyle name="SAPBEXHLevel2 2 2 8" xfId="18109" xr:uid="{DDE426CF-C205-4344-8296-B54830FCA6B0}"/>
    <cellStyle name="SAPBEXHLevel2 2 2 8 2" xfId="32959" xr:uid="{DD06B022-4CA0-4010-9C56-0AD8ED23B453}"/>
    <cellStyle name="SAPBEXHLevel2 2 2 9" xfId="18110" xr:uid="{46E884F8-1544-4879-B890-CAE5EA538AF6}"/>
    <cellStyle name="SAPBEXHLevel2 2 2 9 2" xfId="32960" xr:uid="{9C8832AB-7FDE-4222-B0F6-A55B00B867AB}"/>
    <cellStyle name="SAPBEXHLevel2 2 20" xfId="33088" xr:uid="{8B128D1C-DCF9-4C7E-B70E-3711E65B7FE5}"/>
    <cellStyle name="SAPBEXHLevel2 2 3" xfId="18111" xr:uid="{53E84380-892D-47B5-8160-8890EAF7C61A}"/>
    <cellStyle name="SAPBEXHLevel2 2 3 10" xfId="18112" xr:uid="{613DB693-F591-45A5-8676-D08465633B79}"/>
    <cellStyle name="SAPBEXHLevel2 2 3 10 2" xfId="32962" xr:uid="{BBF8E95B-7369-431D-84B1-B19DAE4D009E}"/>
    <cellStyle name="SAPBEXHLevel2 2 3 11" xfId="18113" xr:uid="{67301558-7A9C-4CE9-AFE9-93B4E83C1134}"/>
    <cellStyle name="SAPBEXHLevel2 2 3 11 2" xfId="32963" xr:uid="{F62B0029-8BBE-4EC3-9EEB-5E55B6802C69}"/>
    <cellStyle name="SAPBEXHLevel2 2 3 12" xfId="18114" xr:uid="{F35FF12D-9CFB-4DFF-801C-F7B051B513C2}"/>
    <cellStyle name="SAPBEXHLevel2 2 3 12 2" xfId="32964" xr:uid="{A4FDBE15-5A1C-468E-97D3-17A8670DC5A8}"/>
    <cellStyle name="SAPBEXHLevel2 2 3 13" xfId="18115" xr:uid="{BBAA6A89-CAAF-4763-8353-11EA7FF57385}"/>
    <cellStyle name="SAPBEXHLevel2 2 3 13 2" xfId="32965" xr:uid="{5E75BFEC-69A3-46C3-93A8-E06FABE70BC3}"/>
    <cellStyle name="SAPBEXHLevel2 2 3 14" xfId="18116" xr:uid="{10E9DB4E-C4D5-4EFB-8124-C5ED447555D7}"/>
    <cellStyle name="SAPBEXHLevel2 2 3 14 2" xfId="32966" xr:uid="{CDCBF0DC-E08B-4EA9-B5BC-8896AB85A860}"/>
    <cellStyle name="SAPBEXHLevel2 2 3 15" xfId="32961" xr:uid="{9E20EF63-3BF9-46BC-B9CB-A7A5A874D16F}"/>
    <cellStyle name="SAPBEXHLevel2 2 3 2" xfId="18117" xr:uid="{B99E6EAC-B192-4A05-8456-07BA5BC59E3F}"/>
    <cellStyle name="SAPBEXHLevel2 2 3 2 2" xfId="32967" xr:uid="{B9D74F9C-9300-4168-8C1D-8656BBA4AC2A}"/>
    <cellStyle name="SAPBEXHLevel2 2 3 3" xfId="18118" xr:uid="{F86C0717-891F-47A8-84CB-41A428E49FD9}"/>
    <cellStyle name="SAPBEXHLevel2 2 3 3 2" xfId="32968" xr:uid="{55DDCF3B-60E9-4C50-99B1-77CA0104C35A}"/>
    <cellStyle name="SAPBEXHLevel2 2 3 4" xfId="18119" xr:uid="{39FB3A58-09F6-4731-9687-BE4B1DBB1D44}"/>
    <cellStyle name="SAPBEXHLevel2 2 3 4 2" xfId="32969" xr:uid="{E0360FF6-4E11-4A9F-96F5-E54AF4FC18D9}"/>
    <cellStyle name="SAPBEXHLevel2 2 3 5" xfId="18120" xr:uid="{14179E7B-016F-4D0C-8B05-E555BAA5962C}"/>
    <cellStyle name="SAPBEXHLevel2 2 3 5 2" xfId="32970" xr:uid="{8607918F-4441-4AF6-96E4-F0A9D7A82DD6}"/>
    <cellStyle name="SAPBEXHLevel2 2 3 6" xfId="18121" xr:uid="{FD7ECC2C-A46D-4785-971D-A14EC943EDF8}"/>
    <cellStyle name="SAPBEXHLevel2 2 3 6 2" xfId="32971" xr:uid="{645F1E50-096C-407B-B4B2-8A53DB703C47}"/>
    <cellStyle name="SAPBEXHLevel2 2 3 7" xfId="18122" xr:uid="{E4E673A3-E6C6-481C-A2DA-EC45FD90A54F}"/>
    <cellStyle name="SAPBEXHLevel2 2 3 7 2" xfId="32972" xr:uid="{3254A8B1-B124-4AE9-9FFE-AC91F08E2B14}"/>
    <cellStyle name="SAPBEXHLevel2 2 3 8" xfId="18123" xr:uid="{7560D760-407D-41B3-BD2E-AC2C7F23B5BA}"/>
    <cellStyle name="SAPBEXHLevel2 2 3 8 2" xfId="32973" xr:uid="{8385F82F-AB05-4800-9869-2F7ACBAAF584}"/>
    <cellStyle name="SAPBEXHLevel2 2 3 9" xfId="18124" xr:uid="{B6357F3D-BF97-4D3D-BD90-ED159D01F4E8}"/>
    <cellStyle name="SAPBEXHLevel2 2 3 9 2" xfId="32974" xr:uid="{A951408B-100B-4A9D-822E-8CD86AD2A05C}"/>
    <cellStyle name="SAPBEXHLevel2 2 4" xfId="18125" xr:uid="{F1847B19-F5CA-4B4C-BF11-C3CE570A056F}"/>
    <cellStyle name="SAPBEXHLevel2 2 4 2" xfId="32975" xr:uid="{0390BB93-A77C-43E4-BAB5-E4D29875B85E}"/>
    <cellStyle name="SAPBEXHLevel2 2 5" xfId="18126" xr:uid="{44394D5E-D1F3-4CDA-B7CA-439B8E6B5BA9}"/>
    <cellStyle name="SAPBEXHLevel2 2 5 2" xfId="32976" xr:uid="{4E5630E9-AD27-4863-8E95-382C532343DC}"/>
    <cellStyle name="SAPBEXHLevel2 2 6" xfId="18127" xr:uid="{F1191434-CB7D-4ABB-BD63-3644C975E1C4}"/>
    <cellStyle name="SAPBEXHLevel2 2 6 2" xfId="32977" xr:uid="{C5BBFC79-F0B0-4F81-8D67-4B012E7D55C4}"/>
    <cellStyle name="SAPBEXHLevel2 2 7" xfId="18128" xr:uid="{A05618D8-88D4-47A9-96AA-1FB001AAE8F6}"/>
    <cellStyle name="SAPBEXHLevel2 2 7 2" xfId="32978" xr:uid="{FC2BE154-D110-4D0C-B7C3-07B0E6C9C1DF}"/>
    <cellStyle name="SAPBEXHLevel2 2 8" xfId="18129" xr:uid="{50F4ED28-D0C6-459B-981A-FDAEAE6CC369}"/>
    <cellStyle name="SAPBEXHLevel2 2 8 2" xfId="32979" xr:uid="{6BDBE0EE-59AF-4876-8E75-EA6CCDB877CE}"/>
    <cellStyle name="SAPBEXHLevel2 2 9" xfId="18130" xr:uid="{EC2A2300-257E-4A39-B105-D5C27B262A82}"/>
    <cellStyle name="SAPBEXHLevel2 2 9 2" xfId="32980" xr:uid="{182BE374-07AC-42DC-9F7D-CED962916C19}"/>
    <cellStyle name="SAPBEXHLevel2 20" xfId="18131" xr:uid="{C5E26ED6-B6DB-4B61-926D-D86A3B98A431}"/>
    <cellStyle name="SAPBEXHLevel2 20 2" xfId="33102" xr:uid="{39AB78B3-3C6F-4CC4-94B6-79FFD3790AD5}"/>
    <cellStyle name="SAPBEXHLevel2 21" xfId="18132" xr:uid="{499A3296-FAA2-45BD-96AE-24A33C9DE918}"/>
    <cellStyle name="SAPBEXHLevel2 21 2" xfId="32981" xr:uid="{7B6475AC-A634-4445-B169-790A5AB744B8}"/>
    <cellStyle name="SAPBEXHLevel2 22" xfId="32916" xr:uid="{0CF88764-1F0D-4872-9BB5-336BCE4C7035}"/>
    <cellStyle name="SAPBEXHLevel2 3" xfId="18133" xr:uid="{B5613F3A-3346-464C-BACB-3FAD3F143A66}"/>
    <cellStyle name="SAPBEXHLevel2 3 10" xfId="18134" xr:uid="{F3042BF5-E914-4EDB-AE6B-69E51A0BAD5F}"/>
    <cellStyle name="SAPBEXHLevel2 3 10 2" xfId="32983" xr:uid="{02BE33D5-BC96-47C4-B149-3A597725D753}"/>
    <cellStyle name="SAPBEXHLevel2 3 11" xfId="18135" xr:uid="{469AD6BE-0758-4138-8E83-45394E8D1E39}"/>
    <cellStyle name="SAPBEXHLevel2 3 11 2" xfId="33089" xr:uid="{EC726B59-6A1C-4190-BB0E-28BEFAC0D1C8}"/>
    <cellStyle name="SAPBEXHLevel2 3 12" xfId="18136" xr:uid="{3C18CD90-34E2-4FC2-8DB7-8B4F39C534F8}"/>
    <cellStyle name="SAPBEXHLevel2 3 12 2" xfId="33263" xr:uid="{503D4CF0-3E13-4005-B01C-896C652E1562}"/>
    <cellStyle name="SAPBEXHLevel2 3 13" xfId="18137" xr:uid="{8578A2E4-36AD-440E-8D8C-E42DBA3D94FB}"/>
    <cellStyle name="SAPBEXHLevel2 3 13 2" xfId="27760" xr:uid="{09BF2213-67B3-40B8-8C7A-A323B6263C2A}"/>
    <cellStyle name="SAPBEXHLevel2 3 14" xfId="18138" xr:uid="{C96807C4-7168-4F56-8734-EDB7E9AACB23}"/>
    <cellStyle name="SAPBEXHLevel2 3 14 2" xfId="33264" xr:uid="{FD7F6D3A-D02F-479B-B744-8A99D52307E5}"/>
    <cellStyle name="SAPBEXHLevel2 3 15" xfId="18139" xr:uid="{207D1E55-73E8-41E3-963E-F04B11453969}"/>
    <cellStyle name="SAPBEXHLevel2 3 15 2" xfId="33265" xr:uid="{56306F4D-BAE3-4CD5-9F11-0FDCADD77058}"/>
    <cellStyle name="SAPBEXHLevel2 3 16" xfId="18140" xr:uid="{6E3887C3-79B3-4790-AAEC-835212162FDB}"/>
    <cellStyle name="SAPBEXHLevel2 3 16 2" xfId="33266" xr:uid="{4257E364-0AD8-4D07-9D72-471BB404C041}"/>
    <cellStyle name="SAPBEXHLevel2 3 17" xfId="18141" xr:uid="{A1591BC9-8509-44C4-BEB6-9CD470F0549E}"/>
    <cellStyle name="SAPBEXHLevel2 3 17 2" xfId="33267" xr:uid="{FD7840E6-A507-499D-B898-504E4B2AE3BC}"/>
    <cellStyle name="SAPBEXHLevel2 3 18" xfId="18142" xr:uid="{FD82ADE0-DFFF-4362-98B5-DA85540BC0D8}"/>
    <cellStyle name="SAPBEXHLevel2 3 18 2" xfId="33170" xr:uid="{7FA343F0-CFD0-4D29-B4D1-0DE5E76832FA}"/>
    <cellStyle name="SAPBEXHLevel2 3 19" xfId="18143" xr:uid="{0D94A843-3AB6-4D31-B259-5CA7769AEC33}"/>
    <cellStyle name="SAPBEXHLevel2 3 19 2" xfId="33171" xr:uid="{E235FAD3-2CA7-45CA-9481-7962DA95B6EC}"/>
    <cellStyle name="SAPBEXHLevel2 3 2" xfId="18144" xr:uid="{D2C00D63-9A6A-4FAB-BE3F-335146E1F4E2}"/>
    <cellStyle name="SAPBEXHLevel2 3 2 10" xfId="18145" xr:uid="{7994D748-FEC8-40B2-BB89-78877E6537F6}"/>
    <cellStyle name="SAPBEXHLevel2 3 2 10 2" xfId="33143" xr:uid="{120B0089-4A33-4410-A459-B92F6C75B3E5}"/>
    <cellStyle name="SAPBEXHLevel2 3 2 11" xfId="18146" xr:uid="{42045791-4CCB-41D6-86E5-1087F63EA8F8}"/>
    <cellStyle name="SAPBEXHLevel2 3 2 11 2" xfId="33144" xr:uid="{2ADBA30D-9551-4C47-843D-588894C39982}"/>
    <cellStyle name="SAPBEXHLevel2 3 2 12" xfId="18147" xr:uid="{C5C21DDE-7BAA-4A19-9580-01ACC73A4E9D}"/>
    <cellStyle name="SAPBEXHLevel2 3 2 12 2" xfId="33145" xr:uid="{50A56DA2-B626-4D8A-B978-3B6349B36790}"/>
    <cellStyle name="SAPBEXHLevel2 3 2 13" xfId="18148" xr:uid="{A07ABFA5-A514-4073-89DE-3EAFB8945A3D}"/>
    <cellStyle name="SAPBEXHLevel2 3 2 13 2" xfId="33146" xr:uid="{20D03556-1A54-40EB-8935-E8EC12803B44}"/>
    <cellStyle name="SAPBEXHLevel2 3 2 14" xfId="18149" xr:uid="{12E4ACFD-65CC-4FA0-8E5C-052AE7D47614}"/>
    <cellStyle name="SAPBEXHLevel2 3 2 14 2" xfId="33147" xr:uid="{C6759DA1-9A10-4A31-95E3-08572D07CC64}"/>
    <cellStyle name="SAPBEXHLevel2 3 2 15" xfId="18150" xr:uid="{30B6C446-405D-4423-A34E-2CE8E2B16E39}"/>
    <cellStyle name="SAPBEXHLevel2 3 2 15 2" xfId="33148" xr:uid="{9C163EBD-0F95-4CCD-900D-DFAE1E374500}"/>
    <cellStyle name="SAPBEXHLevel2 3 2 16" xfId="18151" xr:uid="{E9980FE6-1E81-48D9-B064-5F1DEC22B00A}"/>
    <cellStyle name="SAPBEXHLevel2 3 2 16 2" xfId="33149" xr:uid="{0BB3096A-0B0F-45FB-9E56-401BB8EE122E}"/>
    <cellStyle name="SAPBEXHLevel2 3 2 17" xfId="18152" xr:uid="{D948F67F-F9C0-4CFE-AB57-AD4CBC00D9CD}"/>
    <cellStyle name="SAPBEXHLevel2 3 2 17 2" xfId="33150" xr:uid="{6F59F02F-2B55-461D-86DC-1F9BA5C9EE79}"/>
    <cellStyle name="SAPBEXHLevel2 3 2 18" xfId="18153" xr:uid="{25502DE6-E6F3-4BB4-89EB-9438FFD7F8D2}"/>
    <cellStyle name="SAPBEXHLevel2 3 2 18 2" xfId="33151" xr:uid="{F9157AD1-7D44-43FC-967B-D9ED1E9B747D}"/>
    <cellStyle name="SAPBEXHLevel2 3 2 19" xfId="33172" xr:uid="{0625BDDC-49E7-4843-BD77-D64107CC215C}"/>
    <cellStyle name="SAPBEXHLevel2 3 2 2" xfId="18154" xr:uid="{D7222801-FCD9-4006-88F8-486E0A634B83}"/>
    <cellStyle name="SAPBEXHLevel2 3 2 2 10" xfId="18155" xr:uid="{07B8CDE5-D7F2-4A12-8491-522DB08B73C5}"/>
    <cellStyle name="SAPBEXHLevel2 3 2 2 10 2" xfId="33153" xr:uid="{4F89FB73-538D-4ADC-84D6-7603CB07B2C1}"/>
    <cellStyle name="SAPBEXHLevel2 3 2 2 11" xfId="18156" xr:uid="{E4FC7364-D0E1-4D38-875F-C2B87E3603C1}"/>
    <cellStyle name="SAPBEXHLevel2 3 2 2 11 2" xfId="33154" xr:uid="{87AB0187-085A-4726-9705-1B3D3B67FD0E}"/>
    <cellStyle name="SAPBEXHLevel2 3 2 2 12" xfId="18157" xr:uid="{0337CA28-987B-4A87-BA48-8E2BA199E3D7}"/>
    <cellStyle name="SAPBEXHLevel2 3 2 2 12 2" xfId="33155" xr:uid="{E69248A9-37E6-4DC9-922F-03666311BA02}"/>
    <cellStyle name="SAPBEXHLevel2 3 2 2 13" xfId="18158" xr:uid="{9FE24C49-F11F-46BA-A046-36712402D8D3}"/>
    <cellStyle name="SAPBEXHLevel2 3 2 2 13 2" xfId="33156" xr:uid="{DA00B7E5-4187-40FD-ADD4-5F826EC908DA}"/>
    <cellStyle name="SAPBEXHLevel2 3 2 2 14" xfId="18159" xr:uid="{4A599DA3-ADE7-42A8-A63D-50BF9287939E}"/>
    <cellStyle name="SAPBEXHLevel2 3 2 2 14 2" xfId="33157" xr:uid="{D7123A4B-11D6-4698-A552-7B27AA0582FA}"/>
    <cellStyle name="SAPBEXHLevel2 3 2 2 15" xfId="33152" xr:uid="{194FF275-82E2-4DB2-8936-13ABA5A6C45C}"/>
    <cellStyle name="SAPBEXHLevel2 3 2 2 2" xfId="18160" xr:uid="{7581E182-4367-4A56-8A17-0F3E1824810D}"/>
    <cellStyle name="SAPBEXHLevel2 3 2 2 2 2" xfId="33158" xr:uid="{D310219B-582F-4C39-A106-CB6B22DE234C}"/>
    <cellStyle name="SAPBEXHLevel2 3 2 2 3" xfId="18161" xr:uid="{9F7C9AF2-00E1-43A5-82FE-44F629F93F5C}"/>
    <cellStyle name="SAPBEXHLevel2 3 2 2 3 2" xfId="33159" xr:uid="{DCEF7140-6566-4E87-9168-FB791592ACEC}"/>
    <cellStyle name="SAPBEXHLevel2 3 2 2 4" xfId="18162" xr:uid="{86437D0D-562C-43AB-A571-4D2BD01C4EE0}"/>
    <cellStyle name="SAPBEXHLevel2 3 2 2 4 2" xfId="33160" xr:uid="{64116032-BE69-4319-B12F-888F39E1FD97}"/>
    <cellStyle name="SAPBEXHLevel2 3 2 2 5" xfId="18163" xr:uid="{3FE79F96-60AB-4996-9647-B63E4713B543}"/>
    <cellStyle name="SAPBEXHLevel2 3 2 2 5 2" xfId="33161" xr:uid="{6D085B12-3460-46C1-B198-5A6F63681C72}"/>
    <cellStyle name="SAPBEXHLevel2 3 2 2 6" xfId="18164" xr:uid="{7F3982FD-472B-46E1-9ED9-BDF0F04198C6}"/>
    <cellStyle name="SAPBEXHLevel2 3 2 2 6 2" xfId="33162" xr:uid="{5DCD593A-19C8-42B8-8701-D12212C3227A}"/>
    <cellStyle name="SAPBEXHLevel2 3 2 2 7" xfId="18165" xr:uid="{9EF72617-41DE-4BC3-9E25-91C3F3DDCC2E}"/>
    <cellStyle name="SAPBEXHLevel2 3 2 2 7 2" xfId="33163" xr:uid="{2C97D20C-8578-49EA-842F-64724114780F}"/>
    <cellStyle name="SAPBEXHLevel2 3 2 2 8" xfId="18166" xr:uid="{A894FD4D-B378-4B37-B24A-46DFD39FDE69}"/>
    <cellStyle name="SAPBEXHLevel2 3 2 2 8 2" xfId="33164" xr:uid="{03359715-48BB-40D6-99F3-B46A5D013145}"/>
    <cellStyle name="SAPBEXHLevel2 3 2 2 9" xfId="18167" xr:uid="{FB8A6566-E5B2-42B3-8E11-34ADE2125265}"/>
    <cellStyle name="SAPBEXHLevel2 3 2 2 9 2" xfId="33165" xr:uid="{0FA60662-945D-488A-8EEB-B9BFF65C4AC5}"/>
    <cellStyle name="SAPBEXHLevel2 3 2 3" xfId="18168" xr:uid="{09E6A387-9225-4382-AC3F-9989DAD123B1}"/>
    <cellStyle name="SAPBEXHLevel2 3 2 3 2" xfId="33166" xr:uid="{DAC94472-611E-4F83-BB3E-EC9BC22DBD52}"/>
    <cellStyle name="SAPBEXHLevel2 3 2 4" xfId="18169" xr:uid="{BE2FEEBC-5C5F-47FB-93E8-071929745C41}"/>
    <cellStyle name="SAPBEXHLevel2 3 2 4 2" xfId="33167" xr:uid="{863EC781-408A-4A60-9D75-09786885B1B5}"/>
    <cellStyle name="SAPBEXHLevel2 3 2 5" xfId="18170" xr:uid="{1A83C8C3-661A-4765-81F5-AE3F85CFFBC1}"/>
    <cellStyle name="SAPBEXHLevel2 3 2 5 2" xfId="33168" xr:uid="{F3CD14E5-A538-4640-AB1D-246FAA243BCB}"/>
    <cellStyle name="SAPBEXHLevel2 3 2 6" xfId="18171" xr:uid="{4F38EB75-5A3C-4507-9262-95B2C5F46EE7}"/>
    <cellStyle name="SAPBEXHLevel2 3 2 6 2" xfId="33169" xr:uid="{B8BE4D1B-2F44-4DFF-B43C-C1E5F9FDAD22}"/>
    <cellStyle name="SAPBEXHLevel2 3 2 7" xfId="18172" xr:uid="{ABF54C86-7393-4EC6-8E09-EE3A8F7653DE}"/>
    <cellStyle name="SAPBEXHLevel2 3 2 7 2" xfId="33142" xr:uid="{13D84413-43A4-4B72-AF65-04D808838C43}"/>
    <cellStyle name="SAPBEXHLevel2 3 2 8" xfId="18173" xr:uid="{C1DF3FDD-16A6-4101-94D2-C5C233961E57}"/>
    <cellStyle name="SAPBEXHLevel2 3 2 8 2" xfId="33141" xr:uid="{25E4FB90-A38A-4F27-B3D9-3D245D74ECE9}"/>
    <cellStyle name="SAPBEXHLevel2 3 2 9" xfId="18174" xr:uid="{ACC6C39C-5DE9-4F45-967A-47ED8DB967A6}"/>
    <cellStyle name="SAPBEXHLevel2 3 2 9 2" xfId="33083" xr:uid="{E459CFC1-873D-469A-953D-C76923C569D0}"/>
    <cellStyle name="SAPBEXHLevel2 3 20" xfId="32982" xr:uid="{6FF57207-6A30-4251-A150-F26A70B8E3A9}"/>
    <cellStyle name="SAPBEXHLevel2 3 3" xfId="18175" xr:uid="{36CC3590-3A8D-460E-9406-D9E62B637B38}"/>
    <cellStyle name="SAPBEXHLevel2 3 3 10" xfId="18176" xr:uid="{79BDCCAC-05B1-4C96-8747-78FD100EA072}"/>
    <cellStyle name="SAPBEXHLevel2 3 3 10 2" xfId="33115" xr:uid="{9FB9CD62-828C-4E88-9957-CE852C77706E}"/>
    <cellStyle name="SAPBEXHLevel2 3 3 11" xfId="18177" xr:uid="{5F2A822E-D217-4BAA-98C1-72A276FF27B0}"/>
    <cellStyle name="SAPBEXHLevel2 3 3 11 2" xfId="32984" xr:uid="{7B456A78-584E-442C-801A-BC312E890078}"/>
    <cellStyle name="SAPBEXHLevel2 3 3 12" xfId="18178" xr:uid="{E6C3633C-CAAF-4F2F-B08C-1296AD38432E}"/>
    <cellStyle name="SAPBEXHLevel2 3 3 12 2" xfId="33054" xr:uid="{ED26835B-404A-465F-8008-DB38D2122F13}"/>
    <cellStyle name="SAPBEXHLevel2 3 3 13" xfId="18179" xr:uid="{FA94C650-952A-4A01-99CB-A485081C3433}"/>
    <cellStyle name="SAPBEXHLevel2 3 3 13 2" xfId="33055" xr:uid="{8883FA78-8020-4B0E-9220-5D82C30D2627}"/>
    <cellStyle name="SAPBEXHLevel2 3 3 14" xfId="18180" xr:uid="{A4F2F1E7-130E-4E56-9525-18372A751402}"/>
    <cellStyle name="SAPBEXHLevel2 3 3 14 2" xfId="33104" xr:uid="{FEDA811A-33DA-428C-AB6C-207514A22533}"/>
    <cellStyle name="SAPBEXHLevel2 3 3 15" xfId="33268" xr:uid="{5D02A991-438F-47A7-B422-208C37DFE1AF}"/>
    <cellStyle name="SAPBEXHLevel2 3 3 2" xfId="18181" xr:uid="{561DA238-D56D-429F-B786-3B437B7EE160}"/>
    <cellStyle name="SAPBEXHLevel2 3 3 2 2" xfId="33105" xr:uid="{FF98ADD3-8418-4926-BF79-C06228A3A932}"/>
    <cellStyle name="SAPBEXHLevel2 3 3 3" xfId="18182" xr:uid="{9D7FEE13-B87A-4D92-84D3-E99D156D97F3}"/>
    <cellStyle name="SAPBEXHLevel2 3 3 3 2" xfId="33196" xr:uid="{619BE16D-8586-4F39-8987-550A84675AAE}"/>
    <cellStyle name="SAPBEXHLevel2 3 3 4" xfId="18183" xr:uid="{6965A4A3-2E48-40C7-BCB8-ABD8CAAF9EC6}"/>
    <cellStyle name="SAPBEXHLevel2 3 3 4 2" xfId="33197" xr:uid="{B620CFE3-3A37-4089-B7D9-C95406EB5F6F}"/>
    <cellStyle name="SAPBEXHLevel2 3 3 5" xfId="18184" xr:uid="{0857ECFC-C501-42EE-BDAC-C459F45B158E}"/>
    <cellStyle name="SAPBEXHLevel2 3 3 5 2" xfId="33199" xr:uid="{70C2A4EA-1E07-4B97-9867-AF7E5AAE0CB0}"/>
    <cellStyle name="SAPBEXHLevel2 3 3 6" xfId="18185" xr:uid="{75F67F5C-72DA-4345-8A3D-AA6DF3D66E6E}"/>
    <cellStyle name="SAPBEXHLevel2 3 3 6 2" xfId="33084" xr:uid="{06DD28CD-A5E2-40DA-AD65-30F6B9E0B1EB}"/>
    <cellStyle name="SAPBEXHLevel2 3 3 7" xfId="18186" xr:uid="{99A59D61-45C4-41F0-AE94-23A3361E3ABC}"/>
    <cellStyle name="SAPBEXHLevel2 3 3 7 2" xfId="32985" xr:uid="{621011F8-D883-4259-8F47-BE8EA8667B3E}"/>
    <cellStyle name="SAPBEXHLevel2 3 3 8" xfId="18187" xr:uid="{AC920D19-FFD9-4023-8DA0-15090D7A1A9C}"/>
    <cellStyle name="SAPBEXHLevel2 3 3 8 2" xfId="32986" xr:uid="{B8D42447-E898-471A-A82C-BA0ACB7514ED}"/>
    <cellStyle name="SAPBEXHLevel2 3 3 9" xfId="18188" xr:uid="{0DB763C0-7CB3-47AD-885F-148701FEB31D}"/>
    <cellStyle name="SAPBEXHLevel2 3 3 9 2" xfId="32987" xr:uid="{D9A5E3EA-D576-4268-A5C5-3924A2B5A9EB}"/>
    <cellStyle name="SAPBEXHLevel2 3 4" xfId="18189" xr:uid="{684837AF-3BF6-4E2D-82F4-F8D70D6CC51C}"/>
    <cellStyle name="SAPBEXHLevel2 3 4 2" xfId="32988" xr:uid="{BB8EADE0-4088-4BAC-A806-0085FF5FC84C}"/>
    <cellStyle name="SAPBEXHLevel2 3 5" xfId="18190" xr:uid="{A6AA92B9-7474-4306-B49B-062C7DC7F629}"/>
    <cellStyle name="SAPBEXHLevel2 3 5 2" xfId="32989" xr:uid="{EE074E55-5DC1-4B94-91D2-B61C2C7DA0FA}"/>
    <cellStyle name="SAPBEXHLevel2 3 6" xfId="18191" xr:uid="{03055939-B624-45CF-A02C-D085BFB612B2}"/>
    <cellStyle name="SAPBEXHLevel2 3 6 2" xfId="32990" xr:uid="{54893B4B-BB8E-4BA8-BECB-51EEF9D3373C}"/>
    <cellStyle name="SAPBEXHLevel2 3 7" xfId="18192" xr:uid="{2F2C0D04-1BF2-44D3-8439-01C5F31EC55E}"/>
    <cellStyle name="SAPBEXHLevel2 3 7 2" xfId="32991" xr:uid="{79BA378D-FE67-49E8-BB8A-B9C60F1E3C01}"/>
    <cellStyle name="SAPBEXHLevel2 3 8" xfId="18193" xr:uid="{9728FF4B-C2AA-408C-9818-898FD2D70A42}"/>
    <cellStyle name="SAPBEXHLevel2 3 8 2" xfId="32992" xr:uid="{6733C738-DCA0-4E61-A11F-871341EFB5BF}"/>
    <cellStyle name="SAPBEXHLevel2 3 9" xfId="18194" xr:uid="{8BFC2D89-E693-4467-B39E-066DBA8FD804}"/>
    <cellStyle name="SAPBEXHLevel2 3 9 2" xfId="32993" xr:uid="{98C13727-6DC6-4C61-94E7-F42346A97B4D}"/>
    <cellStyle name="SAPBEXHLevel2 4" xfId="18195" xr:uid="{04004BD1-213C-4C6B-AED8-7E38C8D22360}"/>
    <cellStyle name="SAPBEXHLevel2 4 10" xfId="18196" xr:uid="{1CF398C5-90A3-4A4F-8EB2-17F59290F04A}"/>
    <cellStyle name="SAPBEXHLevel2 4 10 2" xfId="32995" xr:uid="{A59967B0-546E-4C38-B9EE-10E5C9244ED5}"/>
    <cellStyle name="SAPBEXHLevel2 4 11" xfId="18197" xr:uid="{5F2481D2-1016-4FAE-9DF4-689841F29E22}"/>
    <cellStyle name="SAPBEXHLevel2 4 11 2" xfId="32996" xr:uid="{E231E751-F17B-4207-8050-CD6CFB7F147A}"/>
    <cellStyle name="SAPBEXHLevel2 4 12" xfId="18198" xr:uid="{AEF6EA99-BE26-4755-9DC4-0FFBA18028CE}"/>
    <cellStyle name="SAPBEXHLevel2 4 12 2" xfId="32997" xr:uid="{DD254B84-7930-446B-B058-39F5D3D7E7D4}"/>
    <cellStyle name="SAPBEXHLevel2 4 13" xfId="18199" xr:uid="{F83C2CE5-A32D-4030-B84D-7B7192879230}"/>
    <cellStyle name="SAPBEXHLevel2 4 13 2" xfId="32998" xr:uid="{85E7D16A-4BD5-4C2F-8D13-EB515B4CFB69}"/>
    <cellStyle name="SAPBEXHLevel2 4 14" xfId="18200" xr:uid="{F31D6F10-73AC-4B2E-A901-96EF77DE5253}"/>
    <cellStyle name="SAPBEXHLevel2 4 14 2" xfId="32999" xr:uid="{B0AC973D-42F5-4218-B591-1CBCBAA066C9}"/>
    <cellStyle name="SAPBEXHLevel2 4 15" xfId="18201" xr:uid="{9F4E9D73-90C8-48A9-8E64-74A80749ED71}"/>
    <cellStyle name="SAPBEXHLevel2 4 15 2" xfId="33000" xr:uid="{39359CA9-FEE8-48E5-8F85-357E61B2C45A}"/>
    <cellStyle name="SAPBEXHLevel2 4 16" xfId="18202" xr:uid="{D62CAAB5-86C2-42DA-8B75-5942CA8DA373}"/>
    <cellStyle name="SAPBEXHLevel2 4 16 2" xfId="33001" xr:uid="{01B7B9D8-44EE-4EAE-9A64-D8C21B9C38A7}"/>
    <cellStyle name="SAPBEXHLevel2 4 17" xfId="18203" xr:uid="{406005B4-B452-440E-94B6-13DEF032AA57}"/>
    <cellStyle name="SAPBEXHLevel2 4 17 2" xfId="33002" xr:uid="{4C7245DE-DC74-4951-97C3-4DB99B3A4185}"/>
    <cellStyle name="SAPBEXHLevel2 4 18" xfId="18204" xr:uid="{8048F4C1-11E5-4C41-B992-7FD605CDBF65}"/>
    <cellStyle name="SAPBEXHLevel2 4 18 2" xfId="33003" xr:uid="{D2A6B774-DB9A-47EE-9826-04B73E3EC4AC}"/>
    <cellStyle name="SAPBEXHLevel2 4 19" xfId="32994" xr:uid="{6250AC6B-F7F7-4EEF-97F7-143EEA67FF84}"/>
    <cellStyle name="SAPBEXHLevel2 4 2" xfId="18205" xr:uid="{CFC80BE2-B7A5-4202-88AA-5AE0A3C57B22}"/>
    <cellStyle name="SAPBEXHLevel2 4 2 10" xfId="18206" xr:uid="{5738CCAD-B930-40DA-AC64-21D350B185E4}"/>
    <cellStyle name="SAPBEXHLevel2 4 2 10 2" xfId="33005" xr:uid="{D32EDD49-1CA6-4696-9F77-FABEB5CFC641}"/>
    <cellStyle name="SAPBEXHLevel2 4 2 11" xfId="18207" xr:uid="{20F4A239-0363-4D4F-8A75-21614B00AF06}"/>
    <cellStyle name="SAPBEXHLevel2 4 2 11 2" xfId="33006" xr:uid="{D2ECC722-FEE9-461B-81DF-26EC7D9C8A98}"/>
    <cellStyle name="SAPBEXHLevel2 4 2 12" xfId="18208" xr:uid="{5569A34C-24DC-4FE2-92FC-DEB044A0B9DE}"/>
    <cellStyle name="SAPBEXHLevel2 4 2 12 2" xfId="33007" xr:uid="{12A31F52-0D85-4448-A5E5-27728AAEA1F3}"/>
    <cellStyle name="SAPBEXHLevel2 4 2 13" xfId="18209" xr:uid="{9FEAFAF2-E6B3-4EDD-880D-261D52632396}"/>
    <cellStyle name="SAPBEXHLevel2 4 2 13 2" xfId="33008" xr:uid="{3272D126-BF5B-4B7D-A695-796BFA189D47}"/>
    <cellStyle name="SAPBEXHLevel2 4 2 14" xfId="18210" xr:uid="{A63E2D7D-C607-4E3A-A229-CB1ADC063C26}"/>
    <cellStyle name="SAPBEXHLevel2 4 2 14 2" xfId="33009" xr:uid="{1C795075-A82F-46E2-BFFE-7207AF875221}"/>
    <cellStyle name="SAPBEXHLevel2 4 2 15" xfId="33004" xr:uid="{6A5E031F-248E-43FA-9D6B-3A3C1FBC8195}"/>
    <cellStyle name="SAPBEXHLevel2 4 2 2" xfId="18211" xr:uid="{04234D2D-85DC-4D78-A696-E2B509F0A230}"/>
    <cellStyle name="SAPBEXHLevel2 4 2 2 2" xfId="33010" xr:uid="{25264D03-111A-4D82-8DDB-A747DDE6CB5D}"/>
    <cellStyle name="SAPBEXHLevel2 4 2 3" xfId="18212" xr:uid="{9CDC95BF-5699-4DBC-B1A7-57478E7B9276}"/>
    <cellStyle name="SAPBEXHLevel2 4 2 3 2" xfId="33011" xr:uid="{39BE5832-8AD9-47A1-BEA2-1553ED65431B}"/>
    <cellStyle name="SAPBEXHLevel2 4 2 4" xfId="18213" xr:uid="{331B30DE-9ED5-4015-A7D2-75EBF1E05BE5}"/>
    <cellStyle name="SAPBEXHLevel2 4 2 4 2" xfId="33012" xr:uid="{21BE6170-56BD-4C2E-ACB4-31E057D7E530}"/>
    <cellStyle name="SAPBEXHLevel2 4 2 5" xfId="18214" xr:uid="{20A12B95-E833-49BB-BD9A-A7A35889E248}"/>
    <cellStyle name="SAPBEXHLevel2 4 2 5 2" xfId="33013" xr:uid="{2899D327-8984-41A9-AF56-32FE897CC2D0}"/>
    <cellStyle name="SAPBEXHLevel2 4 2 6" xfId="18215" xr:uid="{90A6C2F5-6D48-492C-8DF1-37C45BF80B09}"/>
    <cellStyle name="SAPBEXHLevel2 4 2 6 2" xfId="33014" xr:uid="{6757811B-A73A-4DC6-B146-24FDD1D16017}"/>
    <cellStyle name="SAPBEXHLevel2 4 2 7" xfId="18216" xr:uid="{40AA8A45-2C2B-4B2F-A8BE-706E2C7E54E3}"/>
    <cellStyle name="SAPBEXHLevel2 4 2 7 2" xfId="33015" xr:uid="{B710C2D8-B544-480A-A4A0-03DB59AAD8ED}"/>
    <cellStyle name="SAPBEXHLevel2 4 2 8" xfId="18217" xr:uid="{D4B83BFF-6A22-49B9-97DA-A0449475CD48}"/>
    <cellStyle name="SAPBEXHLevel2 4 2 8 2" xfId="33016" xr:uid="{EE6F1125-213C-4F26-91DA-41CE8410FDD1}"/>
    <cellStyle name="SAPBEXHLevel2 4 2 9" xfId="18218" xr:uid="{E57D10B3-E104-4D42-A08B-681DCBC362D7}"/>
    <cellStyle name="SAPBEXHLevel2 4 2 9 2" xfId="33017" xr:uid="{35CEAD1B-576E-4BAF-B933-3D56E4081698}"/>
    <cellStyle name="SAPBEXHLevel2 4 3" xfId="18219" xr:uid="{1B1BF46A-64F5-414E-AE60-3DAC547AD874}"/>
    <cellStyle name="SAPBEXHLevel2 4 3 2" xfId="33018" xr:uid="{88EF1C76-4CD4-4055-885A-32CF79BA7238}"/>
    <cellStyle name="SAPBEXHLevel2 4 4" xfId="18220" xr:uid="{CC33FAEA-C54E-4494-BD6E-D8124152EBDB}"/>
    <cellStyle name="SAPBEXHLevel2 4 4 2" xfId="33019" xr:uid="{20129F5C-EF63-4E38-9393-ED45B131CC2A}"/>
    <cellStyle name="SAPBEXHLevel2 4 5" xfId="18221" xr:uid="{4A913518-441C-4E1A-BF46-931C75478CC2}"/>
    <cellStyle name="SAPBEXHLevel2 4 5 2" xfId="33020" xr:uid="{47FB69C9-D531-4EE8-A907-DEC1092C742C}"/>
    <cellStyle name="SAPBEXHLevel2 4 6" xfId="18222" xr:uid="{002CF0E5-CDA4-4519-91BA-F26D85F1574A}"/>
    <cellStyle name="SAPBEXHLevel2 4 6 2" xfId="33021" xr:uid="{23A39C83-D5E0-4035-8265-015FB39B293A}"/>
    <cellStyle name="SAPBEXHLevel2 4 7" xfId="18223" xr:uid="{F56CB35C-6F22-4EB3-8D53-5F6B603FEBE5}"/>
    <cellStyle name="SAPBEXHLevel2 4 7 2" xfId="33022" xr:uid="{03F27D1C-18D9-44CE-B940-6398BB6C2FEF}"/>
    <cellStyle name="SAPBEXHLevel2 4 8" xfId="18224" xr:uid="{46AD9ECA-302E-4F4D-8B1D-D6A30A447A1E}"/>
    <cellStyle name="SAPBEXHLevel2 4 8 2" xfId="33023" xr:uid="{994405E0-FD85-4FB4-848A-865641D0F48B}"/>
    <cellStyle name="SAPBEXHLevel2 4 9" xfId="18225" xr:uid="{4F33CB9D-7B02-41D4-B9FF-AFC1FD7A5A60}"/>
    <cellStyle name="SAPBEXHLevel2 4 9 2" xfId="33024" xr:uid="{AA63C327-7BBA-4A8D-9E37-F7EF9171AF15}"/>
    <cellStyle name="SAPBEXHLevel2 5" xfId="18226" xr:uid="{F8CA647B-3BFF-462F-A461-0ECA1160E615}"/>
    <cellStyle name="SAPBEXHLevel2 5 10" xfId="18227" xr:uid="{61843AE7-8B72-4A2F-8063-C9545BC2EFFA}"/>
    <cellStyle name="SAPBEXHLevel2 5 10 2" xfId="33026" xr:uid="{E031EE23-0DF4-4B27-9609-B66F18E4C2D6}"/>
    <cellStyle name="SAPBEXHLevel2 5 11" xfId="18228" xr:uid="{0909BDAB-6D29-4078-B042-941026761ED9}"/>
    <cellStyle name="SAPBEXHLevel2 5 11 2" xfId="33027" xr:uid="{DA56BAD4-8B68-4E54-9240-60A4D5377F64}"/>
    <cellStyle name="SAPBEXHLevel2 5 12" xfId="18229" xr:uid="{C11E692E-3C58-4E7B-9790-911A6709EC60}"/>
    <cellStyle name="SAPBEXHLevel2 5 12 2" xfId="33028" xr:uid="{4E006740-4692-4E1E-A2F9-F503F814CAB9}"/>
    <cellStyle name="SAPBEXHLevel2 5 13" xfId="18230" xr:uid="{0F5DA259-3E6C-468A-AD03-F05D165A0AF1}"/>
    <cellStyle name="SAPBEXHLevel2 5 13 2" xfId="33029" xr:uid="{6627F93A-B6E0-446C-83BE-5B180F6CD684}"/>
    <cellStyle name="SAPBEXHLevel2 5 14" xfId="18231" xr:uid="{2486EEAF-D996-45DB-908C-E94A2F0A8FD9}"/>
    <cellStyle name="SAPBEXHLevel2 5 14 2" xfId="33030" xr:uid="{650CC638-B29D-4005-A547-24065A0C9169}"/>
    <cellStyle name="SAPBEXHLevel2 5 15" xfId="33025" xr:uid="{D05D2589-979C-4AAE-9E16-8C2F9004DF3D}"/>
    <cellStyle name="SAPBEXHLevel2 5 2" xfId="18232" xr:uid="{80272B56-31F4-4EA0-A0BF-0D0AD6B213B5}"/>
    <cellStyle name="SAPBEXHLevel2 5 2 2" xfId="33031" xr:uid="{73BCB088-35DD-4849-9C95-4262687437B6}"/>
    <cellStyle name="SAPBEXHLevel2 5 3" xfId="18233" xr:uid="{524705DE-4D70-4601-95C3-9C7E3FA84FA1}"/>
    <cellStyle name="SAPBEXHLevel2 5 3 2" xfId="33032" xr:uid="{0B655A7E-848D-4D91-B5CD-5785C030AD8F}"/>
    <cellStyle name="SAPBEXHLevel2 5 4" xfId="18234" xr:uid="{BB20E8A2-A0AF-45C5-B03D-1BE4E6C52293}"/>
    <cellStyle name="SAPBEXHLevel2 5 4 2" xfId="33033" xr:uid="{4B7B0D17-3130-45E6-999E-ACC7A17FE1AB}"/>
    <cellStyle name="SAPBEXHLevel2 5 5" xfId="18235" xr:uid="{67E9A8B4-4452-4DC3-9F35-8A6844151CF6}"/>
    <cellStyle name="SAPBEXHLevel2 5 5 2" xfId="33034" xr:uid="{C6C77D41-B711-4C27-BB5C-13FBEB0DD7EF}"/>
    <cellStyle name="SAPBEXHLevel2 5 6" xfId="18236" xr:uid="{D37457F4-229F-4D3C-8DAD-4B1FF03BF171}"/>
    <cellStyle name="SAPBEXHLevel2 5 6 2" xfId="33035" xr:uid="{B4567B60-285B-43DF-9E5C-FA2EBF0B0629}"/>
    <cellStyle name="SAPBEXHLevel2 5 7" xfId="18237" xr:uid="{8112169B-7BBA-42DD-BFA7-4E1DDD510E56}"/>
    <cellStyle name="SAPBEXHLevel2 5 7 2" xfId="33036" xr:uid="{C2A7CCE8-3688-4190-80EB-70FE2CE28BA3}"/>
    <cellStyle name="SAPBEXHLevel2 5 8" xfId="18238" xr:uid="{112FF1E8-6A94-40FE-A458-45BF38ABCDC6}"/>
    <cellStyle name="SAPBEXHLevel2 5 8 2" xfId="33037" xr:uid="{0C1AF0C0-FA70-4DB0-AB5D-09A0440ABE45}"/>
    <cellStyle name="SAPBEXHLevel2 5 9" xfId="18239" xr:uid="{B4540E43-3065-4B72-A9DB-F28751D749EC}"/>
    <cellStyle name="SAPBEXHLevel2 5 9 2" xfId="33038" xr:uid="{3B50550B-E37C-4936-BD42-1A79E14ED520}"/>
    <cellStyle name="SAPBEXHLevel2 6" xfId="18240" xr:uid="{7E7C99E5-86E1-43F5-8CCC-4931EDF9415D}"/>
    <cellStyle name="SAPBEXHLevel2 6 2" xfId="33039" xr:uid="{7072B762-512D-4B02-8C74-42041E3EA9C4}"/>
    <cellStyle name="SAPBEXHLevel2 7" xfId="18241" xr:uid="{2F8FE188-B4BC-4F67-A505-2A7747FC717E}"/>
    <cellStyle name="SAPBEXHLevel2 7 2" xfId="33040" xr:uid="{9FFD670F-186F-4385-8282-346FC3A86370}"/>
    <cellStyle name="SAPBEXHLevel2 8" xfId="18242" xr:uid="{22BF68F8-C753-42AD-91D2-304FED080342}"/>
    <cellStyle name="SAPBEXHLevel2 8 2" xfId="33041" xr:uid="{1CF8FD63-ED20-4E90-ABB2-0176B88B2335}"/>
    <cellStyle name="SAPBEXHLevel2 9" xfId="18243" xr:uid="{D88B47BF-279A-4923-A76F-FB1A8F475E81}"/>
    <cellStyle name="SAPBEXHLevel2 9 2" xfId="33042" xr:uid="{E8F9B578-D4FF-4EDB-A44D-D1FA2B05294E}"/>
    <cellStyle name="SAPBEXHLevel2X" xfId="18244" xr:uid="{87B4B159-0351-45C5-A911-163C41CF910F}"/>
    <cellStyle name="SAPBEXHLevel2X 10" xfId="18245" xr:uid="{6E81C76F-A28C-4F9D-B659-E2B69BB5C070}"/>
    <cellStyle name="SAPBEXHLevel2X 10 2" xfId="33043" xr:uid="{D3D9C837-A6D0-4D9D-95A6-8F4C99D0DFAC}"/>
    <cellStyle name="SAPBEXHLevel2X 11" xfId="18246" xr:uid="{9596DCF8-DCFB-4184-86A2-CECF1320191E}"/>
    <cellStyle name="SAPBEXHLevel2X 11 2" xfId="33044" xr:uid="{1546D1F2-2479-4B7A-8326-84422EDA58C2}"/>
    <cellStyle name="SAPBEXHLevel2X 12" xfId="18247" xr:uid="{EEA62906-3EBE-468C-9A4D-08724465280D}"/>
    <cellStyle name="SAPBEXHLevel2X 12 2" xfId="27742" xr:uid="{2C959B47-2EE1-46E5-B069-623D6173CF1D}"/>
    <cellStyle name="SAPBEXHLevel2X 13" xfId="18248" xr:uid="{E86F24B8-524D-4171-B3F2-B447FEB7E691}"/>
    <cellStyle name="SAPBEXHLevel2X 13 2" xfId="33045" xr:uid="{39417E4E-7E6D-4E4E-A31F-47BE20812B60}"/>
    <cellStyle name="SAPBEXHLevel2X 14" xfId="18249" xr:uid="{DB1D9E56-27BD-4421-8BF0-82DF3BC42AD4}"/>
    <cellStyle name="SAPBEXHLevel2X 14 2" xfId="33046" xr:uid="{78D34417-2A3D-49E1-B3F1-A038B7853EDA}"/>
    <cellStyle name="SAPBEXHLevel2X 15" xfId="18250" xr:uid="{B4956866-66E0-4AF6-9463-1CBE524B931F}"/>
    <cellStyle name="SAPBEXHLevel2X 15 2" xfId="33047" xr:uid="{8DEC5120-DCBE-427A-A92C-F6523A826CA2}"/>
    <cellStyle name="SAPBEXHLevel2X 16" xfId="18251" xr:uid="{2091B30C-4FE9-44F5-B3BD-797C498CCA39}"/>
    <cellStyle name="SAPBEXHLevel2X 16 2" xfId="33048" xr:uid="{5DB1EB13-C29E-4C08-86AF-7F3D0389F79E}"/>
    <cellStyle name="SAPBEXHLevel2X 17" xfId="18252" xr:uid="{1A4BAD84-7F0A-4C72-8987-8D188E895372}"/>
    <cellStyle name="SAPBEXHLevel2X 17 2" xfId="33049" xr:uid="{4AE395A1-670C-4C79-A122-D2354BB77B12}"/>
    <cellStyle name="SAPBEXHLevel2X 18" xfId="18253" xr:uid="{EC8EB9E9-176B-4D80-A188-0DA4B1607E53}"/>
    <cellStyle name="SAPBEXHLevel2X 18 2" xfId="33203" xr:uid="{2BCAE02E-3953-4BD7-99E0-21A2654CEA0A}"/>
    <cellStyle name="SAPBEXHLevel2X 19" xfId="18254" xr:uid="{7E2479F2-63A6-45E5-9BDB-E3AE162877AE}"/>
    <cellStyle name="SAPBEXHLevel2X 19 2" xfId="33191" xr:uid="{90DB5505-B241-4C69-8A8E-6521B9CD92A4}"/>
    <cellStyle name="SAPBEXHLevel2X 2" xfId="18255" xr:uid="{F89FEBB9-EBB6-4A8F-969F-8AA8231F22AD}"/>
    <cellStyle name="SAPBEXHLevel2X 2 10" xfId="18256" xr:uid="{38BE7D0E-8AD8-43B1-8092-F3A25DAE436F}"/>
    <cellStyle name="SAPBEXHLevel2X 2 10 2" xfId="33093" xr:uid="{230CA7C9-E26F-4829-B974-CBD23AFCCFC7}"/>
    <cellStyle name="SAPBEXHLevel2X 2 11" xfId="18257" xr:uid="{871CE1DF-BC43-453E-8A2A-E5DEB6BB4152}"/>
    <cellStyle name="SAPBEXHLevel2X 2 11 2" xfId="33094" xr:uid="{D3E3D446-1872-47BB-B542-2F649568325D}"/>
    <cellStyle name="SAPBEXHLevel2X 2 12" xfId="18258" xr:uid="{29FF32C4-DAC7-4A90-9990-A8329996A9C9}"/>
    <cellStyle name="SAPBEXHLevel2X 2 12 2" xfId="33095" xr:uid="{DE61A92A-074A-4A60-92B3-DE2795BF94BB}"/>
    <cellStyle name="SAPBEXHLevel2X 2 13" xfId="18259" xr:uid="{7FE12009-C696-444D-8192-298F08AAF800}"/>
    <cellStyle name="SAPBEXHLevel2X 2 13 2" xfId="33096" xr:uid="{3EA8A2F1-24B0-4D17-8D69-AA85B2638BBD}"/>
    <cellStyle name="SAPBEXHLevel2X 2 14" xfId="18260" xr:uid="{39375E0A-5D10-4B2D-8B44-61F2584BA8D4}"/>
    <cellStyle name="SAPBEXHLevel2X 2 14 2" xfId="33097" xr:uid="{7D2925DA-5A83-4FF3-B5C4-977285796CB7}"/>
    <cellStyle name="SAPBEXHLevel2X 2 15" xfId="18261" xr:uid="{42943C3A-C6B7-4C13-B682-9A73294A058E}"/>
    <cellStyle name="SAPBEXHLevel2X 2 15 2" xfId="27745" xr:uid="{1FCEBC89-97AF-46A1-8A8D-2AB6CAE4402E}"/>
    <cellStyle name="SAPBEXHLevel2X 2 16" xfId="18262" xr:uid="{ADDBC712-CA23-45F6-A0E6-12CE919BECBA}"/>
    <cellStyle name="SAPBEXHLevel2X 2 16 2" xfId="33098" xr:uid="{618BC2F6-F3FB-4B8E-B6C3-81C31A828A8F}"/>
    <cellStyle name="SAPBEXHLevel2X 2 17" xfId="18263" xr:uid="{434DEF18-FF9B-4F1E-BEC6-A13BF2AE1D6C}"/>
    <cellStyle name="SAPBEXHLevel2X 2 17 2" xfId="27746" xr:uid="{59E8D525-61D7-47BF-8217-B162391D383E}"/>
    <cellStyle name="SAPBEXHLevel2X 2 18" xfId="18264" xr:uid="{6133F443-3C48-4383-8091-629616D293F9}"/>
    <cellStyle name="SAPBEXHLevel2X 2 18 2" xfId="33099" xr:uid="{2063A816-60A5-458A-B206-534BA0132170}"/>
    <cellStyle name="SAPBEXHLevel2X 2 19" xfId="18265" xr:uid="{E53EC55F-2E52-463C-BF42-03F538E35D2D}"/>
    <cellStyle name="SAPBEXHLevel2X 2 19 2" xfId="33100" xr:uid="{47D9D2FE-45D6-4B8A-AB5A-CC5EC6841D66}"/>
    <cellStyle name="SAPBEXHLevel2X 2 2" xfId="18266" xr:uid="{7E3CB59D-F064-4E98-819A-E934A74A5A94}"/>
    <cellStyle name="SAPBEXHLevel2X 2 2 10" xfId="18267" xr:uid="{E7D7651D-C2ED-4AF9-B1AB-DF8D50D81D00}"/>
    <cellStyle name="SAPBEXHLevel2X 2 2 10 2" xfId="33200" xr:uid="{15D35E51-BD71-4406-AC31-170D5FA2E4F6}"/>
    <cellStyle name="SAPBEXHLevel2X 2 2 11" xfId="18268" xr:uid="{9D6909AF-BA03-4F35-BC62-CE34D55A6FBF}"/>
    <cellStyle name="SAPBEXHLevel2X 2 2 11 2" xfId="33201" xr:uid="{F9C0561B-9E2C-4EFA-98D8-66AF8E29ACD7}"/>
    <cellStyle name="SAPBEXHLevel2X 2 2 12" xfId="18269" xr:uid="{5DD3E486-C061-4D42-A8A9-03E8D4E6E455}"/>
    <cellStyle name="SAPBEXHLevel2X 2 2 12 2" xfId="33202" xr:uid="{F47022BE-7FA4-47E3-8E33-A9DDA585665B}"/>
    <cellStyle name="SAPBEXHLevel2X 2 2 13" xfId="18270" xr:uid="{136C1F12-299E-453E-803C-DD4CA23D2CD5}"/>
    <cellStyle name="SAPBEXHLevel2X 2 2 13 2" xfId="33270" xr:uid="{EA7B94F5-54A6-4204-BE38-A9F01768EF74}"/>
    <cellStyle name="SAPBEXHLevel2X 2 2 14" xfId="18271" xr:uid="{4F95780D-C595-4A75-B8A5-2D76F17D2E13}"/>
    <cellStyle name="SAPBEXHLevel2X 2 2 14 2" xfId="33108" xr:uid="{F6175F01-4911-42C4-88EB-B7F480DC3953}"/>
    <cellStyle name="SAPBEXHLevel2X 2 2 15" xfId="18272" xr:uid="{9C971745-0651-461E-908F-3A7DC76ABD06}"/>
    <cellStyle name="SAPBEXHLevel2X 2 2 15 2" xfId="33213" xr:uid="{131396C4-738D-4A72-B956-0625E44FA890}"/>
    <cellStyle name="SAPBEXHLevel2X 2 2 16" xfId="18273" xr:uid="{5B09324F-C904-44BA-8D57-4BA22CFEEF9B}"/>
    <cellStyle name="SAPBEXHLevel2X 2 2 16 2" xfId="33214" xr:uid="{0F33D982-8E9D-4089-A9AF-81A8698EDC62}"/>
    <cellStyle name="SAPBEXHLevel2X 2 2 17" xfId="18274" xr:uid="{65A80DEF-358F-4D2C-91CD-312BA3CD20E6}"/>
    <cellStyle name="SAPBEXHLevel2X 2 2 17 2" xfId="27748" xr:uid="{F8D13576-7EEC-4A88-8D66-571DC58BEA83}"/>
    <cellStyle name="SAPBEXHLevel2X 2 2 18" xfId="18275" xr:uid="{1A30A28F-81D9-47DB-B928-B4869BF5E343}"/>
    <cellStyle name="SAPBEXHLevel2X 2 2 18 2" xfId="33215" xr:uid="{5F4D9596-458A-48E6-B4F3-7823CC003A23}"/>
    <cellStyle name="SAPBEXHLevel2X 2 2 19" xfId="33101" xr:uid="{DE722EEA-EEF1-49E5-9133-F55C7365E292}"/>
    <cellStyle name="SAPBEXHLevel2X 2 2 2" xfId="18276" xr:uid="{A4FC2493-09BC-4799-BD6C-1D49BE382FAB}"/>
    <cellStyle name="SAPBEXHLevel2X 2 2 2 10" xfId="18277" xr:uid="{3CE2D377-7141-48DE-B25F-CE4BAD6AAC63}"/>
    <cellStyle name="SAPBEXHLevel2X 2 2 2 10 2" xfId="33216" xr:uid="{D33C0841-1450-46A6-9577-165F1B6B5AB5}"/>
    <cellStyle name="SAPBEXHLevel2X 2 2 2 11" xfId="18278" xr:uid="{5DF4E74E-F101-4BEC-BE64-30A95FABC070}"/>
    <cellStyle name="SAPBEXHLevel2X 2 2 2 11 2" xfId="33217" xr:uid="{62EBB99A-05C8-474A-B090-DF18084743FC}"/>
    <cellStyle name="SAPBEXHLevel2X 2 2 2 12" xfId="18279" xr:uid="{C95A9528-1CA4-421D-90B4-23B32D02A488}"/>
    <cellStyle name="SAPBEXHLevel2X 2 2 2 12 2" xfId="27750" xr:uid="{36404035-DAD9-45A8-A0F6-87D1BA7EACE0}"/>
    <cellStyle name="SAPBEXHLevel2X 2 2 2 13" xfId="18280" xr:uid="{48E0A22B-20B6-4702-A605-1B11E0E2299C}"/>
    <cellStyle name="SAPBEXHLevel2X 2 2 2 13 2" xfId="33218" xr:uid="{49D7201C-ADF5-47AB-B2D4-DD1B07F2A894}"/>
    <cellStyle name="SAPBEXHLevel2X 2 2 2 14" xfId="18281" xr:uid="{C76D155C-9A13-49B7-9AFF-8F4533F8EDB6}"/>
    <cellStyle name="SAPBEXHLevel2X 2 2 2 14 2" xfId="33219" xr:uid="{B27E95F2-54EA-48B6-B798-054D64DD49FA}"/>
    <cellStyle name="SAPBEXHLevel2X 2 2 2 15" xfId="27749" xr:uid="{52D8C89A-9F11-4710-993E-B733CCA1E4B4}"/>
    <cellStyle name="SAPBEXHLevel2X 2 2 2 2" xfId="18282" xr:uid="{B746519E-F866-4211-9E61-D91244615C57}"/>
    <cellStyle name="SAPBEXHLevel2X 2 2 2 2 2" xfId="33220" xr:uid="{8BBB70B1-33DC-4861-B0CD-70119C6910F9}"/>
    <cellStyle name="SAPBEXHLevel2X 2 2 2 3" xfId="18283" xr:uid="{70960F31-8384-4C00-A13D-D96DA611E039}"/>
    <cellStyle name="SAPBEXHLevel2X 2 2 2 3 2" xfId="33221" xr:uid="{D70A0F58-DEDC-4AC7-96FA-F997EF4C2FA4}"/>
    <cellStyle name="SAPBEXHLevel2X 2 2 2 4" xfId="18284" xr:uid="{8D27FE79-3183-4FDE-9C32-90C07681F2D1}"/>
    <cellStyle name="SAPBEXHLevel2X 2 2 2 4 2" xfId="37775" xr:uid="{754583EF-1549-43D4-B09A-34CCF9F3B353}"/>
    <cellStyle name="SAPBEXHLevel2X 2 2 2 5" xfId="18285" xr:uid="{F2052E9E-8AEB-4BE7-82C3-3F60C32856CB}"/>
    <cellStyle name="SAPBEXHLevel2X 2 2 2 5 2" xfId="33222" xr:uid="{E086FEBA-E1FA-4C53-AFF5-3C49F6DC5730}"/>
    <cellStyle name="SAPBEXHLevel2X 2 2 2 6" xfId="18286" xr:uid="{8B832289-2A66-4BD0-B60B-7ABB36CAAC2D}"/>
    <cellStyle name="SAPBEXHLevel2X 2 2 2 6 2" xfId="33223" xr:uid="{5E5DDECE-E2C4-4B90-848F-E1E83985532C}"/>
    <cellStyle name="SAPBEXHLevel2X 2 2 2 7" xfId="18287" xr:uid="{335E7020-81B1-4210-8282-82FB0FF5CFAB}"/>
    <cellStyle name="SAPBEXHLevel2X 2 2 2 7 2" xfId="33224" xr:uid="{69891655-18B2-46D1-9682-1202645E2903}"/>
    <cellStyle name="SAPBEXHLevel2X 2 2 2 8" xfId="18288" xr:uid="{419F493E-2A86-4C45-82C2-1DBE3E24ED6E}"/>
    <cellStyle name="SAPBEXHLevel2X 2 2 2 8 2" xfId="27751" xr:uid="{CB0B9941-88EE-4288-AB08-9975C56AF800}"/>
    <cellStyle name="SAPBEXHLevel2X 2 2 2 9" xfId="18289" xr:uid="{545B8F01-D59E-4C0F-A6D4-49B7B915C5E8}"/>
    <cellStyle name="SAPBEXHLevel2X 2 2 2 9 2" xfId="33225" xr:uid="{27F2BB2F-B676-4835-8885-C1ED66AA5A9D}"/>
    <cellStyle name="SAPBEXHLevel2X 2 2 3" xfId="18290" xr:uid="{5A8717A6-68B8-4A0B-9422-2D01DEEFE358}"/>
    <cellStyle name="SAPBEXHLevel2X 2 2 3 2" xfId="27752" xr:uid="{4347B98D-9F29-45BD-929C-3F7CFC0F8EF4}"/>
    <cellStyle name="SAPBEXHLevel2X 2 2 4" xfId="18291" xr:uid="{7AD61522-C6CA-413E-88AF-DFF7421F67B7}"/>
    <cellStyle name="SAPBEXHLevel2X 2 2 4 2" xfId="33226" xr:uid="{0AD3D6F3-56ED-427B-9720-C123B4EB36E7}"/>
    <cellStyle name="SAPBEXHLevel2X 2 2 5" xfId="18292" xr:uid="{53B99B1E-51E9-4F22-BCD9-4E66EF4AB307}"/>
    <cellStyle name="SAPBEXHLevel2X 2 2 5 2" xfId="33227" xr:uid="{368A52FC-595B-4F5C-8831-231762F6D42C}"/>
    <cellStyle name="SAPBEXHLevel2X 2 2 6" xfId="18293" xr:uid="{349ED2B2-FD3E-4978-9BDE-927E6D80F76F}"/>
    <cellStyle name="SAPBEXHLevel2X 2 2 6 2" xfId="27753" xr:uid="{6CCCC712-079E-423F-91D4-718ECE0BB0EF}"/>
    <cellStyle name="SAPBEXHLevel2X 2 2 7" xfId="18294" xr:uid="{173BB524-337F-446C-AF89-DFFDC43DA74C}"/>
    <cellStyle name="SAPBEXHLevel2X 2 2 7 2" xfId="33228" xr:uid="{F9425487-8980-41CD-9ED4-E47CDD20D536}"/>
    <cellStyle name="SAPBEXHLevel2X 2 2 8" xfId="18295" xr:uid="{920B2941-8FB0-476D-BF1F-08F502CA327F}"/>
    <cellStyle name="SAPBEXHLevel2X 2 2 8 2" xfId="33229" xr:uid="{FAD412D2-00BE-4959-ACAF-F5EF482C87C9}"/>
    <cellStyle name="SAPBEXHLevel2X 2 2 9" xfId="18296" xr:uid="{DF8F2BBA-0079-43AF-AECB-FB4AEED77EA3}"/>
    <cellStyle name="SAPBEXHLevel2X 2 2 9 2" xfId="33230" xr:uid="{28DF4336-5B01-4DB0-8CEE-3BDBD0B8E30F}"/>
    <cellStyle name="SAPBEXHLevel2X 2 20" xfId="33192" xr:uid="{C32F1B65-AF35-4ADF-A758-45446F280B59}"/>
    <cellStyle name="SAPBEXHLevel2X 2 3" xfId="18297" xr:uid="{28006112-8BC6-4EF9-B996-1C69B955DA18}"/>
    <cellStyle name="SAPBEXHLevel2X 2 3 10" xfId="18298" xr:uid="{9D2CAC81-DC53-4786-BA50-B9600D1C6248}"/>
    <cellStyle name="SAPBEXHLevel2X 2 3 10 2" xfId="33232" xr:uid="{E60E58D6-5EDC-4820-9AAE-E407A0008DC3}"/>
    <cellStyle name="SAPBEXHLevel2X 2 3 11" xfId="18299" xr:uid="{CA49076E-5B76-4E0A-B07D-776C40636C7F}"/>
    <cellStyle name="SAPBEXHLevel2X 2 3 11 2" xfId="33233" xr:uid="{1E54FA85-DF44-4F43-B2DF-B42DDD1A7C14}"/>
    <cellStyle name="SAPBEXHLevel2X 2 3 12" xfId="18300" xr:uid="{28E145F2-9477-4D5C-B5CD-E41C09EE48EB}"/>
    <cellStyle name="SAPBEXHLevel2X 2 3 12 2" xfId="33234" xr:uid="{6E3449E9-C1B6-453F-8A79-80C2A9E007C5}"/>
    <cellStyle name="SAPBEXHLevel2X 2 3 13" xfId="18301" xr:uid="{3300E91D-C22F-4A80-B6A5-BD5436DD27A1}"/>
    <cellStyle name="SAPBEXHLevel2X 2 3 13 2" xfId="37776" xr:uid="{76179DD3-BE51-4853-83E2-CB5C1280C0AD}"/>
    <cellStyle name="SAPBEXHLevel2X 2 3 14" xfId="18302" xr:uid="{B39939DD-6EE5-4C2B-A8B8-FEDD3B5C7BEB}"/>
    <cellStyle name="SAPBEXHLevel2X 2 3 14 2" xfId="33235" xr:uid="{DE5FC75F-985A-4D47-A0A6-9B5C13BECA83}"/>
    <cellStyle name="SAPBEXHLevel2X 2 3 15" xfId="33231" xr:uid="{9C8709AC-799C-41BE-B7BE-59B8D4C2B481}"/>
    <cellStyle name="SAPBEXHLevel2X 2 3 2" xfId="18303" xr:uid="{7CA183B2-A194-4EDC-81DC-A2A552730379}"/>
    <cellStyle name="SAPBEXHLevel2X 2 3 2 2" xfId="27754" xr:uid="{E0A59638-28E8-46D6-BFCD-44809EBE7B10}"/>
    <cellStyle name="SAPBEXHLevel2X 2 3 3" xfId="18304" xr:uid="{3BE992F8-2672-4F9F-9FAE-F847BE5FF56C}"/>
    <cellStyle name="SAPBEXHLevel2X 2 3 3 2" xfId="33236" xr:uid="{307B0608-5D88-4482-998D-494B2DAAADAB}"/>
    <cellStyle name="SAPBEXHLevel2X 2 3 4" xfId="18305" xr:uid="{E02572D4-5691-4B83-9C52-9671C49D71F7}"/>
    <cellStyle name="SAPBEXHLevel2X 2 3 4 2" xfId="33237" xr:uid="{AC6048E7-26D9-4241-8EF3-C2BF722D412A}"/>
    <cellStyle name="SAPBEXHLevel2X 2 3 5" xfId="18306" xr:uid="{F7C50276-0F9A-42F3-B6EF-CD7D5058E3BD}"/>
    <cellStyle name="SAPBEXHLevel2X 2 3 5 2" xfId="27755" xr:uid="{65A67DDA-377C-4BA1-8101-D4CF02E32E87}"/>
    <cellStyle name="SAPBEXHLevel2X 2 3 6" xfId="18307" xr:uid="{D050061F-0E37-43DB-B659-EFABFA4AAE57}"/>
    <cellStyle name="SAPBEXHLevel2X 2 3 6 2" xfId="33238" xr:uid="{179629FB-C39E-4CF5-A292-DC31BB2CB366}"/>
    <cellStyle name="SAPBEXHLevel2X 2 3 7" xfId="18308" xr:uid="{80EC42C8-CBA6-47BD-BAE4-10C8CCD83BBF}"/>
    <cellStyle name="SAPBEXHLevel2X 2 3 7 2" xfId="33239" xr:uid="{1AA9C677-318F-4769-8611-C96393CE0F43}"/>
    <cellStyle name="SAPBEXHLevel2X 2 3 8" xfId="18309" xr:uid="{AB931C99-7CEE-4D10-89F0-B8C747154DDF}"/>
    <cellStyle name="SAPBEXHLevel2X 2 3 8 2" xfId="33240" xr:uid="{B146E1C3-3E16-40FF-BE27-1A54E6D9BD80}"/>
    <cellStyle name="SAPBEXHLevel2X 2 3 9" xfId="18310" xr:uid="{3A737314-8F10-4BBC-B119-CA8119A36991}"/>
    <cellStyle name="SAPBEXHLevel2X 2 3 9 2" xfId="33241" xr:uid="{F7B33B67-EE4F-4F61-A7AA-4116FF9C8A05}"/>
    <cellStyle name="SAPBEXHLevel2X 2 4" xfId="18311" xr:uid="{DE3351EC-8044-4F96-8A8A-2D739B269BDF}"/>
    <cellStyle name="SAPBEXHLevel2X 2 4 2" xfId="27756" xr:uid="{0A6E9D5C-A7B6-4B3D-A4BC-3BCEB51BFCD3}"/>
    <cellStyle name="SAPBEXHLevel2X 2 5" xfId="18312" xr:uid="{208B0874-B27D-4D5E-BFF7-4347EC92395F}"/>
    <cellStyle name="SAPBEXHLevel2X 2 5 2" xfId="33242" xr:uid="{219EB5E1-9B1A-4EF1-898A-520E1C04284B}"/>
    <cellStyle name="SAPBEXHLevel2X 2 6" xfId="18313" xr:uid="{2CE55C3C-F90F-418F-A57C-06B90A5D5039}"/>
    <cellStyle name="SAPBEXHLevel2X 2 6 2" xfId="33243" xr:uid="{D5F3BD18-F488-4F4D-A532-14BF9E4824CD}"/>
    <cellStyle name="SAPBEXHLevel2X 2 7" xfId="18314" xr:uid="{4DC54831-6DEE-4596-A87C-AC6B6F3F84D9}"/>
    <cellStyle name="SAPBEXHLevel2X 2 7 2" xfId="33244" xr:uid="{25987CC0-7215-4F17-A088-686D00171E59}"/>
    <cellStyle name="SAPBEXHLevel2X 2 8" xfId="18315" xr:uid="{3DE838D8-C681-4EF1-A2D0-42657A827519}"/>
    <cellStyle name="SAPBEXHLevel2X 2 8 2" xfId="37777" xr:uid="{A9E2D0F4-AABD-476B-AB31-46D0023DE864}"/>
    <cellStyle name="SAPBEXHLevel2X 2 9" xfId="18316" xr:uid="{F9B81D8B-E22D-4EE1-924F-C613D1A8302A}"/>
    <cellStyle name="SAPBEXHLevel2X 2 9 2" xfId="33245" xr:uid="{D65895F5-8BD7-4885-B9DF-B286C6FE34AF}"/>
    <cellStyle name="SAPBEXHLevel2X 20" xfId="18317" xr:uid="{BFE4FEBE-B477-4172-B521-D44CBF10C003}"/>
    <cellStyle name="SAPBEXHLevel2X 20 2" xfId="27757" xr:uid="{58FB8385-7626-4E0D-99EA-F36FEF362296}"/>
    <cellStyle name="SAPBEXHLevel2X 21" xfId="18318" xr:uid="{268FB816-1954-4CC7-941A-EF63BC75C6EC}"/>
    <cellStyle name="SAPBEXHLevel2X 21 2" xfId="33246" xr:uid="{AAF4D91E-1DBE-479B-9D72-CD46A237E8B4}"/>
    <cellStyle name="SAPBEXHLevel2X 22" xfId="33194" xr:uid="{60F06B16-A014-460D-A0E0-FD037E11CE73}"/>
    <cellStyle name="SAPBEXHLevel2X 3" xfId="18319" xr:uid="{059FA992-0FA1-469C-85FD-F3F620EAA627}"/>
    <cellStyle name="SAPBEXHLevel2X 3 10" xfId="18320" xr:uid="{403AD9D7-4BB4-4DCF-904A-3CFD37944A1E}"/>
    <cellStyle name="SAPBEXHLevel2X 3 10 2" xfId="27758" xr:uid="{DC4010CC-C137-4019-AAC2-DCB8EB48FB91}"/>
    <cellStyle name="SAPBEXHLevel2X 3 11" xfId="18321" xr:uid="{E80B7A06-571D-49F7-96DC-1349B785C572}"/>
    <cellStyle name="SAPBEXHLevel2X 3 11 2" xfId="33248" xr:uid="{ABFE3C2E-C7C0-439F-A0E2-29E99C764AE3}"/>
    <cellStyle name="SAPBEXHLevel2X 3 12" xfId="18322" xr:uid="{78FB99D8-E388-4C59-8D81-1643971D75E5}"/>
    <cellStyle name="SAPBEXHLevel2X 3 12 2" xfId="33249" xr:uid="{F201D962-4418-4567-8A5A-D87588838D97}"/>
    <cellStyle name="SAPBEXHLevel2X 3 13" xfId="18323" xr:uid="{240C0A95-9254-487F-BABA-620640F2A2ED}"/>
    <cellStyle name="SAPBEXHLevel2X 3 13 2" xfId="33250" xr:uid="{42B41E82-8F43-49FD-8AFB-EAE956A97334}"/>
    <cellStyle name="SAPBEXHLevel2X 3 14" xfId="18324" xr:uid="{E8C8F05D-8055-4F4F-BEF7-DAB509407F5B}"/>
    <cellStyle name="SAPBEXHLevel2X 3 14 2" xfId="33251" xr:uid="{03DAC398-EAF8-4AA7-BA3D-7FC9D8649B0D}"/>
    <cellStyle name="SAPBEXHLevel2X 3 15" xfId="18325" xr:uid="{333C16B2-3722-4979-AE73-928D46BB37A8}"/>
    <cellStyle name="SAPBEXHLevel2X 3 15 2" xfId="33252" xr:uid="{722768C3-2FFC-42CB-A25C-2EE468E580E2}"/>
    <cellStyle name="SAPBEXHLevel2X 3 16" xfId="18326" xr:uid="{C2FD043C-1EB6-4E1B-83C5-944E9AB345CA}"/>
    <cellStyle name="SAPBEXHLevel2X 3 16 2" xfId="33050" xr:uid="{C43A16F8-0ADA-467D-AE12-1DC092D4BAB8}"/>
    <cellStyle name="SAPBEXHLevel2X 3 17" xfId="18327" xr:uid="{D8B7D17D-CEB4-4134-92E8-1BDAA8B9F8A5}"/>
    <cellStyle name="SAPBEXHLevel2X 3 17 2" xfId="33090" xr:uid="{D51733FD-03F2-44A1-A167-1B914AA5D091}"/>
    <cellStyle name="SAPBEXHLevel2X 3 18" xfId="18328" xr:uid="{ECDCFC7B-ABE9-458D-A70B-94ED6DA856B2}"/>
    <cellStyle name="SAPBEXHLevel2X 3 18 2" xfId="33091" xr:uid="{74B9BDD3-510B-4BF5-BFB1-A7FF3ABD64BD}"/>
    <cellStyle name="SAPBEXHLevel2X 3 19" xfId="18329" xr:uid="{62752E7C-49F2-4A2E-86A3-85478591BD60}"/>
    <cellStyle name="SAPBEXHLevel2X 3 19 2" xfId="33092" xr:uid="{D3F72A6E-3EEE-4206-A5D0-25BB47943332}"/>
    <cellStyle name="SAPBEXHLevel2X 3 2" xfId="18330" xr:uid="{2D58B567-9818-474A-B425-5736CC954193}"/>
    <cellStyle name="SAPBEXHLevel2X 3 2 10" xfId="18331" xr:uid="{C4D54D79-F20D-44A9-AD53-5B2696427489}"/>
    <cellStyle name="SAPBEXHLevel2X 3 2 10 2" xfId="33110" xr:uid="{9BA1AC8C-A7E0-4EAC-9CF1-142D3C8E3491}"/>
    <cellStyle name="SAPBEXHLevel2X 3 2 11" xfId="18332" xr:uid="{CD2C2E3A-C33B-4FF4-85B9-862CB265C1EA}"/>
    <cellStyle name="SAPBEXHLevel2X 3 2 11 2" xfId="33111" xr:uid="{C33C0F5D-38D9-4E97-B37F-3CB627AAD117}"/>
    <cellStyle name="SAPBEXHLevel2X 3 2 12" xfId="18333" xr:uid="{7AA93AF9-0EC5-4782-9A4A-724612106498}"/>
    <cellStyle name="SAPBEXHLevel2X 3 2 12 2" xfId="33112" xr:uid="{51CDEAE4-BE9D-482B-BE64-A714E685AF74}"/>
    <cellStyle name="SAPBEXHLevel2X 3 2 13" xfId="18334" xr:uid="{04F35901-7032-42D6-BC10-25C970DB2627}"/>
    <cellStyle name="SAPBEXHLevel2X 3 2 13 2" xfId="33113" xr:uid="{889F3A57-0237-4E02-911C-5BDC195B26CC}"/>
    <cellStyle name="SAPBEXHLevel2X 3 2 14" xfId="18335" xr:uid="{A335BB7B-0D26-4073-8CC2-6A7FF0032E37}"/>
    <cellStyle name="SAPBEXHLevel2X 3 2 14 2" xfId="33114" xr:uid="{BEF2315A-0617-49F4-BE19-A75B5039A2E1}"/>
    <cellStyle name="SAPBEXHLevel2X 3 2 15" xfId="18336" xr:uid="{E4901261-35F8-4EB8-A2CE-8801E3C21F32}"/>
    <cellStyle name="SAPBEXHLevel2X 3 2 15 2" xfId="33106" xr:uid="{4658CE4D-035E-408C-86B2-7989E41B5449}"/>
    <cellStyle name="SAPBEXHLevel2X 3 2 16" xfId="18337" xr:uid="{40CF96C6-2E4F-4C70-9193-CE752ECCA88E}"/>
    <cellStyle name="SAPBEXHLevel2X 3 2 16 2" xfId="33253" xr:uid="{0743C391-9240-4E62-A1BD-9FA92575F826}"/>
    <cellStyle name="SAPBEXHLevel2X 3 2 17" xfId="18338" xr:uid="{E1E6B72C-FDF4-4A3A-B7B7-99085DB7BF5A}"/>
    <cellStyle name="SAPBEXHLevel2X 3 2 17 2" xfId="33254" xr:uid="{8236D0C2-85FB-4677-901A-87DC88582096}"/>
    <cellStyle name="SAPBEXHLevel2X 3 2 18" xfId="18339" xr:uid="{4FE39EBB-0ED7-4961-8244-588A6D5D9CE2}"/>
    <cellStyle name="SAPBEXHLevel2X 3 2 18 2" xfId="33255" xr:uid="{169FD1DD-1374-4AC1-8703-FE541A36BC35}"/>
    <cellStyle name="SAPBEXHLevel2X 3 2 19" xfId="33109" xr:uid="{F1D839AA-2A41-4798-8ADA-7F55136A90E2}"/>
    <cellStyle name="SAPBEXHLevel2X 3 2 2" xfId="18340" xr:uid="{87BBB0D7-8F55-43A8-A646-89C7803C90C2}"/>
    <cellStyle name="SAPBEXHLevel2X 3 2 2 10" xfId="18341" xr:uid="{32F2D63D-9476-4743-9D35-294291C24D3D}"/>
    <cellStyle name="SAPBEXHLevel2X 3 2 2 10 2" xfId="33257" xr:uid="{68A7AB5C-4234-4D39-B491-3AA456D2B664}"/>
    <cellStyle name="SAPBEXHLevel2X 3 2 2 11" xfId="18342" xr:uid="{FDB8A5BD-9498-432D-BA9D-D8296A429867}"/>
    <cellStyle name="SAPBEXHLevel2X 3 2 2 11 2" xfId="27759" xr:uid="{CDDA8BC8-9DD5-40A7-9A1A-0BF45ED9FF3A}"/>
    <cellStyle name="SAPBEXHLevel2X 3 2 2 12" xfId="18343" xr:uid="{E2B087CF-6C89-4DD6-91F6-1B39D588ACEA}"/>
    <cellStyle name="SAPBEXHLevel2X 3 2 2 12 2" xfId="33258" xr:uid="{ECA291BB-59ED-4F99-ACD7-592E33ACD9FA}"/>
    <cellStyle name="SAPBEXHLevel2X 3 2 2 13" xfId="18344" xr:uid="{5E2AF7DC-1236-4F99-B4E3-D04E768E961E}"/>
    <cellStyle name="SAPBEXHLevel2X 3 2 2 13 2" xfId="37778" xr:uid="{26754B86-E3B6-4832-9F7E-3D7716818F60}"/>
    <cellStyle name="SAPBEXHLevel2X 3 2 2 14" xfId="18345" xr:uid="{B138811F-6072-4AE3-A942-DB2532DF7265}"/>
    <cellStyle name="SAPBEXHLevel2X 3 2 2 14 2" xfId="33259" xr:uid="{03AA0227-ACEE-4AFE-A65B-1EA392F02E00}"/>
    <cellStyle name="SAPBEXHLevel2X 3 2 2 15" xfId="33256" xr:uid="{356159F9-9BDB-487B-B443-6688DC033C30}"/>
    <cellStyle name="SAPBEXHLevel2X 3 2 2 2" xfId="18346" xr:uid="{7F6D4DCC-186A-40B3-92B9-5F8A872CEC1C}"/>
    <cellStyle name="SAPBEXHLevel2X 3 2 2 2 2" xfId="33260" xr:uid="{FAE0DCDC-C5E1-40F2-92FD-90A6D2DFAB0D}"/>
    <cellStyle name="SAPBEXHLevel2X 3 2 2 3" xfId="18347" xr:uid="{70B1A318-8ACE-4A25-B11D-7CA9E05BC42A}"/>
    <cellStyle name="SAPBEXHLevel2X 3 2 2 3 2" xfId="33261" xr:uid="{D2EB96A8-156F-4678-A992-0B8F51B69A6C}"/>
    <cellStyle name="SAPBEXHLevel2X 3 2 2 4" xfId="18348" xr:uid="{8012AB30-3174-407A-BAB9-657AD106F33E}"/>
    <cellStyle name="SAPBEXHLevel2X 3 2 2 4 2" xfId="33056" xr:uid="{D8564652-270F-474F-A68F-CBF1195A50FC}"/>
    <cellStyle name="SAPBEXHLevel2X 3 2 2 5" xfId="18349" xr:uid="{3A3A1342-B1B1-40F6-BD4E-B5A2F6FB832C}"/>
    <cellStyle name="SAPBEXHLevel2X 3 2 2 5 2" xfId="33057" xr:uid="{722A3FD4-FE0A-41E5-87B9-47F7CC90EBC0}"/>
    <cellStyle name="SAPBEXHLevel2X 3 2 2 6" xfId="18350" xr:uid="{B78D5782-F634-458C-82FC-632DB91AA3CD}"/>
    <cellStyle name="SAPBEXHLevel2X 3 2 2 6 2" xfId="33058" xr:uid="{E48820EB-ECDE-417E-91A6-6094E2BF35E6}"/>
    <cellStyle name="SAPBEXHLevel2X 3 2 2 7" xfId="18351" xr:uid="{0CEF51A4-D15F-47DE-9738-90C4BD458D0B}"/>
    <cellStyle name="SAPBEXHLevel2X 3 2 2 7 2" xfId="33059" xr:uid="{6A4FB18E-BDAD-4F91-B61F-BB286BC8BA97}"/>
    <cellStyle name="SAPBEXHLevel2X 3 2 2 8" xfId="18352" xr:uid="{16C15A25-52B3-4125-B30E-BDD4AE95884A}"/>
    <cellStyle name="SAPBEXHLevel2X 3 2 2 8 2" xfId="33060" xr:uid="{CB60330E-1EEB-48BA-AA56-FF778E6BDE9D}"/>
    <cellStyle name="SAPBEXHLevel2X 3 2 2 9" xfId="18353" xr:uid="{95D96B1B-C097-4B9F-A8E1-DF99576D4134}"/>
    <cellStyle name="SAPBEXHLevel2X 3 2 2 9 2" xfId="33061" xr:uid="{F8872A7F-B43C-403D-8EF0-3E51FD6778E1}"/>
    <cellStyle name="SAPBEXHLevel2X 3 2 3" xfId="18354" xr:uid="{74993105-0337-4F00-9AEB-EB441EB0E885}"/>
    <cellStyle name="SAPBEXHLevel2X 3 2 3 2" xfId="33062" xr:uid="{E0480F5C-1B73-4B79-A7DA-022F30B607F3}"/>
    <cellStyle name="SAPBEXHLevel2X 3 2 4" xfId="18355" xr:uid="{0D2ADC8F-C7A2-41FB-A98D-2793C96835D3}"/>
    <cellStyle name="SAPBEXHLevel2X 3 2 4 2" xfId="33063" xr:uid="{8DFEE4FB-CF79-4289-93D2-71EAB05EA7CA}"/>
    <cellStyle name="SAPBEXHLevel2X 3 2 5" xfId="18356" xr:uid="{1F135B89-32E9-411F-B54A-7C183504D5EA}"/>
    <cellStyle name="SAPBEXHLevel2X 3 2 5 2" xfId="33064" xr:uid="{438619D2-E3B5-4142-A4E2-A4D32A05B696}"/>
    <cellStyle name="SAPBEXHLevel2X 3 2 6" xfId="18357" xr:uid="{C8697942-9E02-47F5-AB33-1E65CE0C5EE7}"/>
    <cellStyle name="SAPBEXHLevel2X 3 2 6 2" xfId="33065" xr:uid="{E945A5EB-D501-4C71-BADB-8A3A1ECBC836}"/>
    <cellStyle name="SAPBEXHLevel2X 3 2 7" xfId="18358" xr:uid="{C44D8459-BCD2-4CB6-8F22-EEB545FDC619}"/>
    <cellStyle name="SAPBEXHLevel2X 3 2 7 2" xfId="33066" xr:uid="{33EBAED2-C40F-4F2F-8B9A-D4F468E13CA2}"/>
    <cellStyle name="SAPBEXHLevel2X 3 2 8" xfId="18359" xr:uid="{007EE67E-DA7F-4AEF-81F6-48BAFCC5F5CC}"/>
    <cellStyle name="SAPBEXHLevel2X 3 2 8 2" xfId="33067" xr:uid="{D9C55830-04C6-4083-8049-AFA6B0C3DB2F}"/>
    <cellStyle name="SAPBEXHLevel2X 3 2 9" xfId="18360" xr:uid="{3D8FA1A5-99B1-4DB4-A4B3-327D084870D3}"/>
    <cellStyle name="SAPBEXHLevel2X 3 2 9 2" xfId="33068" xr:uid="{D82FA341-7B2D-4D63-99E9-E089262FB0D8}"/>
    <cellStyle name="SAPBEXHLevel2X 3 20" xfId="33247" xr:uid="{31F5094B-92B5-47D3-BC82-D98E7B2D165F}"/>
    <cellStyle name="SAPBEXHLevel2X 3 3" xfId="18361" xr:uid="{E5518B83-34D7-48C4-B3D6-461801C999EE}"/>
    <cellStyle name="SAPBEXHLevel2X 3 3 10" xfId="18362" xr:uid="{0749CA6F-7472-41B8-91F3-E4AB0979E9E4}"/>
    <cellStyle name="SAPBEXHLevel2X 3 3 10 2" xfId="33070" xr:uid="{A13EF3D8-7A4A-4092-B6B3-80F7F41FD628}"/>
    <cellStyle name="SAPBEXHLevel2X 3 3 11" xfId="18363" xr:uid="{67158008-F0F2-4321-928D-BD874C927D4D}"/>
    <cellStyle name="SAPBEXHLevel2X 3 3 11 2" xfId="33071" xr:uid="{8952B1B3-0C61-4FB2-86EE-BE6D1A389FAA}"/>
    <cellStyle name="SAPBEXHLevel2X 3 3 12" xfId="18364" xr:uid="{17898688-0844-41A1-9B92-6024477F8DAB}"/>
    <cellStyle name="SAPBEXHLevel2X 3 3 12 2" xfId="33072" xr:uid="{B2699A3E-8A42-45A4-A8FE-B1341078EAA2}"/>
    <cellStyle name="SAPBEXHLevel2X 3 3 13" xfId="18365" xr:uid="{41C525FE-D137-4705-811A-CAE8EC01C2A0}"/>
    <cellStyle name="SAPBEXHLevel2X 3 3 13 2" xfId="33073" xr:uid="{618F4ED8-9C83-4C3D-8D4F-7314CD56470C}"/>
    <cellStyle name="SAPBEXHLevel2X 3 3 14" xfId="18366" xr:uid="{F9B71A2C-009F-44F9-BC4A-065C776FB4BB}"/>
    <cellStyle name="SAPBEXHLevel2X 3 3 14 2" xfId="33074" xr:uid="{71E44958-EB73-4CBB-AB11-2D6E29FF0465}"/>
    <cellStyle name="SAPBEXHLevel2X 3 3 15" xfId="33069" xr:uid="{E589CB74-2FA6-41B7-A59B-EC4339111B09}"/>
    <cellStyle name="SAPBEXHLevel2X 3 3 2" xfId="18367" xr:uid="{B7694015-2256-4555-9668-8EBFBDC2D167}"/>
    <cellStyle name="SAPBEXHLevel2X 3 3 2 2" xfId="33075" xr:uid="{1755492D-0678-4B91-B002-48FE1E698D24}"/>
    <cellStyle name="SAPBEXHLevel2X 3 3 3" xfId="18368" xr:uid="{EFE3B90E-5EAE-45FA-A99A-BBE15E1EA03F}"/>
    <cellStyle name="SAPBEXHLevel2X 3 3 3 2" xfId="33076" xr:uid="{518A8BBD-6046-4954-8E45-92345269F82C}"/>
    <cellStyle name="SAPBEXHLevel2X 3 3 4" xfId="18369" xr:uid="{3B3E31A3-2A91-4C74-ABA4-E471EB8C0840}"/>
    <cellStyle name="SAPBEXHLevel2X 3 3 4 2" xfId="33077" xr:uid="{10194A14-5B6A-4F65-8E31-01803F4AF291}"/>
    <cellStyle name="SAPBEXHLevel2X 3 3 5" xfId="18370" xr:uid="{0191A4C9-D2A1-4627-8F4A-33EBA68B9ECC}"/>
    <cellStyle name="SAPBEXHLevel2X 3 3 5 2" xfId="33078" xr:uid="{B2A1335D-8104-48BC-ADFB-FCB666F84B44}"/>
    <cellStyle name="SAPBEXHLevel2X 3 3 6" xfId="18371" xr:uid="{445179B6-A22A-422C-918B-091CF8918215}"/>
    <cellStyle name="SAPBEXHLevel2X 3 3 6 2" xfId="33079" xr:uid="{01F16921-FDA1-486F-8ECF-097972D325DB}"/>
    <cellStyle name="SAPBEXHLevel2X 3 3 7" xfId="18372" xr:uid="{57CF4D9F-358D-4D45-BC1D-2D9A56AC0B9E}"/>
    <cellStyle name="SAPBEXHLevel2X 3 3 7 2" xfId="33080" xr:uid="{C453C2E4-36C5-428E-A844-D8330077E7B9}"/>
    <cellStyle name="SAPBEXHLevel2X 3 3 8" xfId="18373" xr:uid="{3CB2907D-E9DA-4F15-8BAB-3D8BE557182B}"/>
    <cellStyle name="SAPBEXHLevel2X 3 3 8 2" xfId="33081" xr:uid="{B35E4CA8-8708-4331-8466-2F84C202AFB0}"/>
    <cellStyle name="SAPBEXHLevel2X 3 3 9" xfId="18374" xr:uid="{00982E62-DB5E-498A-9AE7-D2D6810D7C4D}"/>
    <cellStyle name="SAPBEXHLevel2X 3 3 9 2" xfId="33082" xr:uid="{2CEB86C6-2209-4B82-9237-B0810EECA9DF}"/>
    <cellStyle name="SAPBEXHLevel2X 3 4" xfId="18375" xr:uid="{474F4D83-D60D-4194-AB6E-88A708079EE6}"/>
    <cellStyle name="SAPBEXHLevel2X 3 4 2" xfId="33193" xr:uid="{53BABC86-9EFF-405A-8B54-6EDF944AC1F8}"/>
    <cellStyle name="SAPBEXHLevel2X 3 5" xfId="18376" xr:uid="{5FF395D1-43A7-463B-8A63-D0F953FEB564}"/>
    <cellStyle name="SAPBEXHLevel2X 3 5 2" xfId="33121" xr:uid="{5B4A4092-5C34-46C2-9943-204E6EFD381B}"/>
    <cellStyle name="SAPBEXHLevel2X 3 6" xfId="18377" xr:uid="{D6650DFF-677A-4297-810D-1963C05F36E8}"/>
    <cellStyle name="SAPBEXHLevel2X 3 6 2" xfId="33122" xr:uid="{4D7341F9-802F-471A-A223-DDB0EB3F5CEB}"/>
    <cellStyle name="SAPBEXHLevel2X 3 7" xfId="18378" xr:uid="{EAB0F26E-211D-4B5B-ADB9-80604CC07130}"/>
    <cellStyle name="SAPBEXHLevel2X 3 7 2" xfId="33123" xr:uid="{5E496A17-19C0-489B-A9D0-DC09C9ECBD3B}"/>
    <cellStyle name="SAPBEXHLevel2X 3 8" xfId="18379" xr:uid="{A6FE18D8-8FC7-4923-B906-520ABDC5FF25}"/>
    <cellStyle name="SAPBEXHLevel2X 3 8 2" xfId="33124" xr:uid="{5D2A1921-B386-469C-929D-3DC7CFA1968A}"/>
    <cellStyle name="SAPBEXHLevel2X 3 9" xfId="18380" xr:uid="{559E6FDD-FB7F-411B-92E0-272659A2A93B}"/>
    <cellStyle name="SAPBEXHLevel2X 3 9 2" xfId="33125" xr:uid="{09421DA9-F71D-4F4F-8B4D-10C7D2A29781}"/>
    <cellStyle name="SAPBEXHLevel2X 4" xfId="18381" xr:uid="{54D43CDA-DCC8-480A-870D-E160F6F779E6}"/>
    <cellStyle name="SAPBEXHLevel2X 4 10" xfId="18382" xr:uid="{6DDDDEF9-6EBA-4AA0-98DC-A8E7AA96565D}"/>
    <cellStyle name="SAPBEXHLevel2X 4 10 2" xfId="33127" xr:uid="{88AFB21B-F516-4168-BF34-58D4E404417E}"/>
    <cellStyle name="SAPBEXHLevel2X 4 11" xfId="18383" xr:uid="{43CA4E11-2827-40FE-8DC7-42C988E2880C}"/>
    <cellStyle name="SAPBEXHLevel2X 4 11 2" xfId="33128" xr:uid="{24D2ECB5-92B2-4C6E-940F-38DC8EE6E4C4}"/>
    <cellStyle name="SAPBEXHLevel2X 4 12" xfId="18384" xr:uid="{CABA1A66-4BC8-4728-86E3-CE3965B699FE}"/>
    <cellStyle name="SAPBEXHLevel2X 4 12 2" xfId="33129" xr:uid="{60F85543-32BD-4A75-BB9E-770131BC0E6F}"/>
    <cellStyle name="SAPBEXHLevel2X 4 13" xfId="18385" xr:uid="{8049D7E3-A141-4513-A328-F5957DC5C3A6}"/>
    <cellStyle name="SAPBEXHLevel2X 4 13 2" xfId="33130" xr:uid="{8FC6A465-0DD5-43F9-9647-396B04B173BB}"/>
    <cellStyle name="SAPBEXHLevel2X 4 14" xfId="18386" xr:uid="{C511486C-83B7-4F36-8C1D-5B7CEA6BE3BC}"/>
    <cellStyle name="SAPBEXHLevel2X 4 14 2" xfId="33131" xr:uid="{9E6E1683-72BF-499F-AABE-692C55DADE14}"/>
    <cellStyle name="SAPBEXHLevel2X 4 15" xfId="18387" xr:uid="{B4771449-2424-4C1A-BC10-47B0642EB1EC}"/>
    <cellStyle name="SAPBEXHLevel2X 4 15 2" xfId="33132" xr:uid="{6216D886-3DB6-4838-A826-EBA3FBB94470}"/>
    <cellStyle name="SAPBEXHLevel2X 4 16" xfId="18388" xr:uid="{CDB3ADD5-BD91-4A08-A3EC-2E0158A4A6A4}"/>
    <cellStyle name="SAPBEXHLevel2X 4 16 2" xfId="33133" xr:uid="{350145A0-5EF8-4760-A81A-F52B5D4B8666}"/>
    <cellStyle name="SAPBEXHLevel2X 4 17" xfId="18389" xr:uid="{671419AF-2EDA-44F6-8564-E4D4E9E72F81}"/>
    <cellStyle name="SAPBEXHLevel2X 4 17 2" xfId="33134" xr:uid="{BD4306C2-82E7-44F1-B2D4-9B12D2E69DC6}"/>
    <cellStyle name="SAPBEXHLevel2X 4 18" xfId="18390" xr:uid="{58060B11-396E-4328-80FE-7BA1C851C27B}"/>
    <cellStyle name="SAPBEXHLevel2X 4 18 2" xfId="33135" xr:uid="{EE5C2580-0901-445C-9B9D-C4A97769F1D3}"/>
    <cellStyle name="SAPBEXHLevel2X 4 19" xfId="33126" xr:uid="{969021B7-1C3D-43EA-B512-73AB0B8327EC}"/>
    <cellStyle name="SAPBEXHLevel2X 4 2" xfId="18391" xr:uid="{D10B4CA9-DBD3-421F-9D15-AC7D2ED4DECA}"/>
    <cellStyle name="SAPBEXHLevel2X 4 2 10" xfId="18392" xr:uid="{238F5172-8F6C-4A39-ABF4-EC41FDEF21A4}"/>
    <cellStyle name="SAPBEXHLevel2X 4 2 10 2" xfId="33137" xr:uid="{4E03A370-C568-49DA-B715-B0481D8E1465}"/>
    <cellStyle name="SAPBEXHLevel2X 4 2 11" xfId="18393" xr:uid="{F6E32606-6578-4C65-9646-A9A26A47982E}"/>
    <cellStyle name="SAPBEXHLevel2X 4 2 11 2" xfId="33138" xr:uid="{12D84912-9253-45C2-8B2D-4217F616417B}"/>
    <cellStyle name="SAPBEXHLevel2X 4 2 12" xfId="18394" xr:uid="{4DD91E24-5BB1-44A4-91A2-254FEE0C0680}"/>
    <cellStyle name="SAPBEXHLevel2X 4 2 12 2" xfId="33139" xr:uid="{F1FC84E3-19D2-4637-9426-3AD43459C04F}"/>
    <cellStyle name="SAPBEXHLevel2X 4 2 13" xfId="18395" xr:uid="{9845DDE7-A592-4402-B0F7-D7A3FE632105}"/>
    <cellStyle name="SAPBEXHLevel2X 4 2 13 2" xfId="33140" xr:uid="{F09CCAE8-0A47-476F-A864-90072F0189E1}"/>
    <cellStyle name="SAPBEXHLevel2X 4 2 14" xfId="18396" xr:uid="{63330C94-BE32-41D9-B277-7A72002BA16D}"/>
    <cellStyle name="SAPBEXHLevel2X 4 2 14 2" xfId="33117" xr:uid="{83A20857-5E28-4304-B5A8-22FFEEBFD8AE}"/>
    <cellStyle name="SAPBEXHLevel2X 4 2 15" xfId="33136" xr:uid="{85E51007-8BD7-4932-82C7-6BCDE1803058}"/>
    <cellStyle name="SAPBEXHLevel2X 4 2 2" xfId="18397" xr:uid="{B9AE3CF7-CE79-4EE6-8CF3-C732086EA0C8}"/>
    <cellStyle name="SAPBEXHLevel2X 4 2 2 2" xfId="33118" xr:uid="{68B21533-9159-46D5-A7B9-842804AE9927}"/>
    <cellStyle name="SAPBEXHLevel2X 4 2 3" xfId="18398" xr:uid="{9DFF1E9C-FA36-4CDC-8C17-6F40988D302F}"/>
    <cellStyle name="SAPBEXHLevel2X 4 2 3 2" xfId="33120" xr:uid="{70E7A0F7-5220-436E-A31D-37393A1A80C5}"/>
    <cellStyle name="SAPBEXHLevel2X 4 2 4" xfId="18399" xr:uid="{7F07633A-8CBD-4212-92EC-1EF8BC9E2F30}"/>
    <cellStyle name="SAPBEXHLevel2X 4 2 4 2" xfId="33119" xr:uid="{92B94AB1-5853-426C-886F-504ED4B97C56}"/>
    <cellStyle name="SAPBEXHLevel2X 4 2 5" xfId="18400" xr:uid="{11E2DFDF-74F8-4AF5-A639-882E5181ADA0}"/>
    <cellStyle name="SAPBEXHLevel2X 4 2 5 2" xfId="33195" xr:uid="{08A923F8-79C0-4591-A828-2EE6B614F565}"/>
    <cellStyle name="SAPBEXHLevel2X 4 2 6" xfId="18401" xr:uid="{36B18A56-5C87-4678-86B6-5FA5EB9569B5}"/>
    <cellStyle name="SAPBEXHLevel2X 4 2 6 2" xfId="33051" xr:uid="{1B62162B-327C-4EEF-A990-A09D5C6F22D3}"/>
    <cellStyle name="SAPBEXHLevel2X 4 2 7" xfId="18402" xr:uid="{6B60ACB6-04E0-4707-9E65-76C9D67E22CE}"/>
    <cellStyle name="SAPBEXHLevel2X 4 2 7 2" xfId="33173" xr:uid="{4C1D88F6-0882-43FE-B14D-0ED204BB03BC}"/>
    <cellStyle name="SAPBEXHLevel2X 4 2 8" xfId="18403" xr:uid="{5A5A4EB9-0731-401A-B93F-C5C3B18F6711}"/>
    <cellStyle name="SAPBEXHLevel2X 4 2 8 2" xfId="33174" xr:uid="{01C178A9-ADD9-440D-8C04-91E0629246DB}"/>
    <cellStyle name="SAPBEXHLevel2X 4 2 9" xfId="18404" xr:uid="{88033DCF-5AD5-4549-AFBC-46C64D14E425}"/>
    <cellStyle name="SAPBEXHLevel2X 4 2 9 2" xfId="33175" xr:uid="{E241D749-7DBC-4A6C-AFE7-7CCDCAA4AF86}"/>
    <cellStyle name="SAPBEXHLevel2X 4 3" xfId="18405" xr:uid="{42C9DE75-54B1-482C-9705-AEEC48820FB8}"/>
    <cellStyle name="SAPBEXHLevel2X 4 3 2" xfId="33176" xr:uid="{4881EA4E-1245-415B-A573-63F02A9A4929}"/>
    <cellStyle name="SAPBEXHLevel2X 4 4" xfId="18406" xr:uid="{9874EF5A-684E-416C-BE7E-EBBBEC8CAD03}"/>
    <cellStyle name="SAPBEXHLevel2X 4 4 2" xfId="33177" xr:uid="{F665D744-C00E-4CEB-BDB9-2D204EC0F586}"/>
    <cellStyle name="SAPBEXHLevel2X 4 5" xfId="18407" xr:uid="{1E5C6A2D-E26B-49B4-AEF8-10402E5A304A}"/>
    <cellStyle name="SAPBEXHLevel2X 4 5 2" xfId="33178" xr:uid="{292480BD-DDC0-45D9-BB9A-FA1808C41F73}"/>
    <cellStyle name="SAPBEXHLevel2X 4 6" xfId="18408" xr:uid="{4041E82F-577A-45EF-8F15-EF4449AD120A}"/>
    <cellStyle name="SAPBEXHLevel2X 4 6 2" xfId="33179" xr:uid="{970FE784-CA5D-48CA-B649-4CE9A5A3D84D}"/>
    <cellStyle name="SAPBEXHLevel2X 4 7" xfId="18409" xr:uid="{B4ADA6B2-0E3E-419A-B0C5-DDBF02D95CBF}"/>
    <cellStyle name="SAPBEXHLevel2X 4 7 2" xfId="33180" xr:uid="{46E0EA7A-FC12-4381-B4F8-42C0C91A7FE1}"/>
    <cellStyle name="SAPBEXHLevel2X 4 8" xfId="18410" xr:uid="{B0CCD82D-F5AC-4916-B140-A029A7E293AD}"/>
    <cellStyle name="SAPBEXHLevel2X 4 8 2" xfId="33181" xr:uid="{A7A36795-5D6F-4679-8AC3-214382B4293D}"/>
    <cellStyle name="SAPBEXHLevel2X 4 9" xfId="18411" xr:uid="{3E0BA8E7-0C3A-44E0-B78A-FE226FCC6B9C}"/>
    <cellStyle name="SAPBEXHLevel2X 4 9 2" xfId="33182" xr:uid="{7B3AF92A-4856-4450-AB96-00EC90DC5317}"/>
    <cellStyle name="SAPBEXHLevel2X 5" xfId="18412" xr:uid="{64EBAF5C-41B5-4049-8D97-CDF7B89BDECD}"/>
    <cellStyle name="SAPBEXHLevel2X 5 10" xfId="18413" xr:uid="{845415F1-B377-443B-8B41-DA3525BDEEBE}"/>
    <cellStyle name="SAPBEXHLevel2X 5 10 2" xfId="33184" xr:uid="{8373F432-1F9E-49C6-8466-29C08B9EB19A}"/>
    <cellStyle name="SAPBEXHLevel2X 5 11" xfId="18414" xr:uid="{F237EDEE-BEF4-49EC-A8F3-01D0464E8073}"/>
    <cellStyle name="SAPBEXHLevel2X 5 11 2" xfId="33185" xr:uid="{05BA617D-DE8D-4639-989A-7775C86AF142}"/>
    <cellStyle name="SAPBEXHLevel2X 5 12" xfId="18415" xr:uid="{BFC20746-02DA-4938-A0E0-7A583BF5C976}"/>
    <cellStyle name="SAPBEXHLevel2X 5 12 2" xfId="33186" xr:uid="{B36D968C-E65E-4041-A67A-465BC7B3FE08}"/>
    <cellStyle name="SAPBEXHLevel2X 5 13" xfId="18416" xr:uid="{6E9D9F39-A8AC-4D86-B432-630FCACFFE35}"/>
    <cellStyle name="SAPBEXHLevel2X 5 13 2" xfId="33187" xr:uid="{C7D399E5-5ADA-4142-AD4E-9C0268CA08E5}"/>
    <cellStyle name="SAPBEXHLevel2X 5 14" xfId="18417" xr:uid="{3114284D-6EBB-4761-B87C-B0A289F3B3EC}"/>
    <cellStyle name="SAPBEXHLevel2X 5 14 2" xfId="33188" xr:uid="{E6C87D4E-5CB9-4B67-9162-831DEC64391A}"/>
    <cellStyle name="SAPBEXHLevel2X 5 15" xfId="33183" xr:uid="{9139E36B-E779-48C1-B047-4FFE299B5883}"/>
    <cellStyle name="SAPBEXHLevel2X 5 2" xfId="18418" xr:uid="{702BD616-334D-4F14-8093-4A361EB11B63}"/>
    <cellStyle name="SAPBEXHLevel2X 5 2 2" xfId="33189" xr:uid="{49255006-DE17-4D27-B313-0495305E539B}"/>
    <cellStyle name="SAPBEXHLevel2X 5 3" xfId="18419" xr:uid="{D8F8221B-B0DB-45B9-9E5E-B969335190CC}"/>
    <cellStyle name="SAPBEXHLevel2X 5 3 2" xfId="33190" xr:uid="{B6E97947-4763-4421-AED1-C69245854536}"/>
    <cellStyle name="SAPBEXHLevel2X 5 4" xfId="18420" xr:uid="{E20EBAB7-69CC-4DEE-95C6-3BA4AD159022}"/>
    <cellStyle name="SAPBEXHLevel2X 5 4 2" xfId="37773" xr:uid="{EB488F6F-EF4D-410E-9AFB-1228426941D8}"/>
    <cellStyle name="SAPBEXHLevel2X 5 5" xfId="18421" xr:uid="{F4176375-75E8-4D1D-B753-46C31CFAA5C8}"/>
    <cellStyle name="SAPBEXHLevel2X 5 5 2" xfId="33086" xr:uid="{8F0E1FF0-C108-4EE9-BE73-B5D6D05A07F1}"/>
    <cellStyle name="SAPBEXHLevel2X 5 6" xfId="18422" xr:uid="{D7E05425-D39A-487C-AFF7-4830CA982E11}"/>
    <cellStyle name="SAPBEXHLevel2X 5 6 2" xfId="33087" xr:uid="{623D0110-9E2B-462F-9E23-41A1A96C21BC}"/>
    <cellStyle name="SAPBEXHLevel2X 5 7" xfId="18423" xr:uid="{E63D48A0-0F35-47B6-8B94-1FF1D27D026C}"/>
    <cellStyle name="SAPBEXHLevel2X 5 7 2" xfId="27743" xr:uid="{7AA02007-47B4-4C6B-B9DE-C7F62A759B3B}"/>
    <cellStyle name="SAPBEXHLevel2X 5 8" xfId="18424" xr:uid="{908E5E16-1784-4DA8-B7BF-23B9B010725C}"/>
    <cellStyle name="SAPBEXHLevel2X 5 8 2" xfId="33052" xr:uid="{1C662A61-D1B6-4FE3-9CA9-6AF5C11A5AFA}"/>
    <cellStyle name="SAPBEXHLevel2X 5 9" xfId="18425" xr:uid="{4883B23F-524D-4774-9F92-53FDC1838494}"/>
    <cellStyle name="SAPBEXHLevel2X 5 9 2" xfId="27744" xr:uid="{660D3165-99F0-4AEE-AC15-F45F1AB81627}"/>
    <cellStyle name="SAPBEXHLevel2X 6" xfId="18426" xr:uid="{AAE89D16-1DA8-4CEA-A3AC-8217FAB4F0A5}"/>
    <cellStyle name="SAPBEXHLevel2X 6 2" xfId="33053" xr:uid="{AAF9BF66-0FCE-4215-8DFE-9C5FCBA4190C}"/>
    <cellStyle name="SAPBEXHLevel2X 7" xfId="18427" xr:uid="{53E1BF32-81B0-47B3-8FE2-89403C5A14E8}"/>
    <cellStyle name="SAPBEXHLevel2X 7 2" xfId="33271" xr:uid="{73E19F11-11EB-4CD5-9AB7-4F385E27DE5A}"/>
    <cellStyle name="SAPBEXHLevel2X 8" xfId="18428" xr:uid="{CB6091C7-B454-428E-831A-CE4A5BFFDC58}"/>
    <cellStyle name="SAPBEXHLevel2X 8 2" xfId="33272" xr:uid="{34AC7AC0-75E1-4F13-91E2-B1DAED25B5A0}"/>
    <cellStyle name="SAPBEXHLevel2X 9" xfId="18429" xr:uid="{DBBDDB47-E1DC-429C-AFC2-226A2C425CE1}"/>
    <cellStyle name="SAPBEXHLevel2X 9 2" xfId="27761" xr:uid="{FC84BCEF-16C7-4781-BAF4-A1903EC5EF32}"/>
    <cellStyle name="SAPBEXHLevel3" xfId="18430" xr:uid="{7177A205-5390-474C-A8B8-D713A035A747}"/>
    <cellStyle name="SAPBEXHLevel3 10" xfId="18431" xr:uid="{3AB4D787-342C-479E-BE76-126E8A53F8BA}"/>
    <cellStyle name="SAPBEXHLevel3 10 2" xfId="27762" xr:uid="{5B5C2C8D-53C9-4FF7-B6E0-C63BBDC76309}"/>
    <cellStyle name="SAPBEXHLevel3 11" xfId="18432" xr:uid="{71C24789-E125-47E9-9074-736D455E74D9}"/>
    <cellStyle name="SAPBEXHLevel3 11 2" xfId="33274" xr:uid="{E6062DB7-2876-4C66-BC66-F1CE28AB0324}"/>
    <cellStyle name="SAPBEXHLevel3 12" xfId="18433" xr:uid="{62332097-37FA-4FC1-A244-2DCCD0BDB476}"/>
    <cellStyle name="SAPBEXHLevel3 12 2" xfId="33275" xr:uid="{05A3EBF9-60B6-40A8-A4E5-12B1F4D13C1D}"/>
    <cellStyle name="SAPBEXHLevel3 13" xfId="18434" xr:uid="{7B71D488-E47D-49BA-96CF-97730846A0CE}"/>
    <cellStyle name="SAPBEXHLevel3 13 2" xfId="37779" xr:uid="{CDEC6B82-8B30-4AC2-82E3-6DF44A75CEB8}"/>
    <cellStyle name="SAPBEXHLevel3 14" xfId="18435" xr:uid="{9D219189-7F70-426D-BB9F-74514458121F}"/>
    <cellStyle name="SAPBEXHLevel3 14 2" xfId="33276" xr:uid="{EAF6043F-52DA-4902-8783-D60E0E1F77D2}"/>
    <cellStyle name="SAPBEXHLevel3 15" xfId="18436" xr:uid="{C770B5A8-15E2-4EBB-BFD2-A1358C334264}"/>
    <cellStyle name="SAPBEXHLevel3 15 2" xfId="33277" xr:uid="{F08707B6-A00C-4035-8F7B-FCA525723D25}"/>
    <cellStyle name="SAPBEXHLevel3 16" xfId="18437" xr:uid="{1C28BA71-E7A3-4848-82C8-6A58103CD4EA}"/>
    <cellStyle name="SAPBEXHLevel3 16 2" xfId="33278" xr:uid="{E78C3F88-6E39-47B7-98AE-05EA5199BE47}"/>
    <cellStyle name="SAPBEXHLevel3 17" xfId="18438" xr:uid="{A8409B3B-12ED-4E90-BE4B-1C89030FDFE8}"/>
    <cellStyle name="SAPBEXHLevel3 17 2" xfId="33279" xr:uid="{63F85F01-91B5-4402-A469-1AA32901EE51}"/>
    <cellStyle name="SAPBEXHLevel3 18" xfId="18439" xr:uid="{570CA0F8-856E-4630-BBDD-60AA81E48289}"/>
    <cellStyle name="SAPBEXHLevel3 18 2" xfId="27763" xr:uid="{FA96F3C0-27A9-446A-888D-07510D0FF158}"/>
    <cellStyle name="SAPBEXHLevel3 19" xfId="18440" xr:uid="{8CFCE5FB-83A0-4EC9-811C-07EFB043F029}"/>
    <cellStyle name="SAPBEXHLevel3 19 2" xfId="33280" xr:uid="{61957AA6-0944-4329-9F93-D983EBFA6043}"/>
    <cellStyle name="SAPBEXHLevel3 2" xfId="18441" xr:uid="{E13D0C58-CD59-46C9-A77E-D2CFEBCEEB14}"/>
    <cellStyle name="SAPBEXHLevel3 2 10" xfId="18442" xr:uid="{25A6E36C-5E14-4E3C-842C-72C790F6D933}"/>
    <cellStyle name="SAPBEXHLevel3 2 10 2" xfId="33282" xr:uid="{1ABB48BF-AF12-4A46-81C7-0B540E9F6A89}"/>
    <cellStyle name="SAPBEXHLevel3 2 11" xfId="18443" xr:uid="{6DD8A062-1CB2-40B8-B9B8-04C7F2BEDC29}"/>
    <cellStyle name="SAPBEXHLevel3 2 11 2" xfId="27764" xr:uid="{78DCC9CD-AA34-4563-B718-F6890D97AFD4}"/>
    <cellStyle name="SAPBEXHLevel3 2 12" xfId="18444" xr:uid="{24C6DF65-36FB-4D11-A657-C231F732273F}"/>
    <cellStyle name="SAPBEXHLevel3 2 12 2" xfId="33283" xr:uid="{3B80452F-60C5-45CE-A69E-C17AD83DE76E}"/>
    <cellStyle name="SAPBEXHLevel3 2 13" xfId="18445" xr:uid="{8A2F64D4-829F-4D32-9657-2BD2A8EE72DE}"/>
    <cellStyle name="SAPBEXHLevel3 2 13 2" xfId="27765" xr:uid="{DEF9E314-A2FB-49FF-B0CB-3B3ABB021778}"/>
    <cellStyle name="SAPBEXHLevel3 2 14" xfId="18446" xr:uid="{064609D1-C78B-40E8-921D-BF552C7914A4}"/>
    <cellStyle name="SAPBEXHLevel3 2 14 2" xfId="33284" xr:uid="{933EF3E3-02F8-4258-901B-8CEBD63A75C6}"/>
    <cellStyle name="SAPBEXHLevel3 2 15" xfId="18447" xr:uid="{59B87D29-0710-4890-AF26-E784767CDC94}"/>
    <cellStyle name="SAPBEXHLevel3 2 15 2" xfId="33285" xr:uid="{18ED76DC-7703-4EA8-84DB-F75868266FCB}"/>
    <cellStyle name="SAPBEXHLevel3 2 16" xfId="18448" xr:uid="{B0D5CC15-B5B1-4B82-8833-36E9A93F63E9}"/>
    <cellStyle name="SAPBEXHLevel3 2 16 2" xfId="27766" xr:uid="{84968D8E-44EF-4751-9FF4-25B092F281B4}"/>
    <cellStyle name="SAPBEXHLevel3 2 17" xfId="18449" xr:uid="{61F1D051-6D75-4C44-8D2E-B5ACD7546FFC}"/>
    <cellStyle name="SAPBEXHLevel3 2 17 2" xfId="33286" xr:uid="{652F668B-2E8A-47CA-B73D-A241717667F0}"/>
    <cellStyle name="SAPBEXHLevel3 2 18" xfId="18450" xr:uid="{D3DA729A-1D27-413D-AB34-56727EA9C8B6}"/>
    <cellStyle name="SAPBEXHLevel3 2 18 2" xfId="33287" xr:uid="{D305A470-F124-4780-A47A-80F7FC47ACE6}"/>
    <cellStyle name="SAPBEXHLevel3 2 19" xfId="18451" xr:uid="{A9D58AAC-13BF-4D64-99BA-A0510ECD4477}"/>
    <cellStyle name="SAPBEXHLevel3 2 19 2" xfId="33288" xr:uid="{34CBDCC2-5004-4A6A-AAA0-8CD47CD86DFC}"/>
    <cellStyle name="SAPBEXHLevel3 2 2" xfId="18452" xr:uid="{711EAE13-8B24-4E5A-85AC-54DB77AA35E1}"/>
    <cellStyle name="SAPBEXHLevel3 2 2 10" xfId="18453" xr:uid="{D793B0F0-92DF-430E-BD7E-827D13A7B71A}"/>
    <cellStyle name="SAPBEXHLevel3 2 2 10 2" xfId="33290" xr:uid="{5E1FF49E-7063-4478-B145-E38FCFE5B8D2}"/>
    <cellStyle name="SAPBEXHLevel3 2 2 11" xfId="18454" xr:uid="{DF9BDA8C-E932-4250-8F04-3F58C99567D2}"/>
    <cellStyle name="SAPBEXHLevel3 2 2 11 2" xfId="33291" xr:uid="{64666870-574F-4B96-B692-8E89A08E0EEF}"/>
    <cellStyle name="SAPBEXHLevel3 2 2 12" xfId="18455" xr:uid="{83FF0CEE-62CE-4736-869A-227BEB093422}"/>
    <cellStyle name="SAPBEXHLevel3 2 2 12 2" xfId="33292" xr:uid="{19CA073D-DFAC-4CC4-BD94-58E0594CFC94}"/>
    <cellStyle name="SAPBEXHLevel3 2 2 13" xfId="18456" xr:uid="{2856EDC3-60C2-4F86-89B7-C6BD000FBE46}"/>
    <cellStyle name="SAPBEXHLevel3 2 2 13 2" xfId="37780" xr:uid="{CB1FCCC5-FC9D-48E4-8BA8-1AB461D489CC}"/>
    <cellStyle name="SAPBEXHLevel3 2 2 14" xfId="18457" xr:uid="{03307C3A-26AA-448F-A869-E7023279A154}"/>
    <cellStyle name="SAPBEXHLevel3 2 2 14 2" xfId="33293" xr:uid="{BA07A612-C641-4800-9BE2-E6DFA2F28760}"/>
    <cellStyle name="SAPBEXHLevel3 2 2 15" xfId="18458" xr:uid="{0AD3B173-C77A-4633-A68E-8876779698E7}"/>
    <cellStyle name="SAPBEXHLevel3 2 2 15 2" xfId="27767" xr:uid="{54D8839D-FA3E-4028-BA1E-7685EC6C5AD5}"/>
    <cellStyle name="SAPBEXHLevel3 2 2 16" xfId="18459" xr:uid="{D4034105-97F7-4F02-8D17-61C49EFA2C39}"/>
    <cellStyle name="SAPBEXHLevel3 2 2 16 2" xfId="33294" xr:uid="{AF980CC9-967D-4A65-B83A-B1EF8CE317FB}"/>
    <cellStyle name="SAPBEXHLevel3 2 2 17" xfId="18460" xr:uid="{DC878F4F-61B2-4890-B3B3-5521F64EDBE8}"/>
    <cellStyle name="SAPBEXHLevel3 2 2 17 2" xfId="33295" xr:uid="{3BFCC0F2-807D-419B-BFAB-DE07059FEB46}"/>
    <cellStyle name="SAPBEXHLevel3 2 2 18" xfId="18461" xr:uid="{C7C0AF0A-DE58-4FE5-9468-AA3B8D215601}"/>
    <cellStyle name="SAPBEXHLevel3 2 2 18 2" xfId="27768" xr:uid="{83FD6663-5C46-44CA-8836-76438F3D197F}"/>
    <cellStyle name="SAPBEXHLevel3 2 2 19" xfId="33289" xr:uid="{499A4CA6-0A77-42C4-A18E-6F544F684C09}"/>
    <cellStyle name="SAPBEXHLevel3 2 2 2" xfId="18462" xr:uid="{FFBEEA71-2A32-4413-84F6-26C2677CAB69}"/>
    <cellStyle name="SAPBEXHLevel3 2 2 2 10" xfId="18463" xr:uid="{0BAE06E3-9353-4895-B835-2550C0537856}"/>
    <cellStyle name="SAPBEXHLevel3 2 2 2 10 2" xfId="33297" xr:uid="{E7C92B00-389E-4878-AF28-D00B16339C31}"/>
    <cellStyle name="SAPBEXHLevel3 2 2 2 11" xfId="18464" xr:uid="{21B2ABA5-9054-4A47-A91A-4581EB632C3D}"/>
    <cellStyle name="SAPBEXHLevel3 2 2 2 11 2" xfId="33298" xr:uid="{7D71020F-DFDD-4C0A-81D8-5CA198A6718B}"/>
    <cellStyle name="SAPBEXHLevel3 2 2 2 12" xfId="18465" xr:uid="{E1C2749E-8729-4704-B518-601A11E2172E}"/>
    <cellStyle name="SAPBEXHLevel3 2 2 2 12 2" xfId="33299" xr:uid="{C5E3C99F-EBAC-4FD0-9621-CC0E63EEE241}"/>
    <cellStyle name="SAPBEXHLevel3 2 2 2 13" xfId="18466" xr:uid="{9FA1880B-624F-4B7D-ACB4-99093BC00A2C}"/>
    <cellStyle name="SAPBEXHLevel3 2 2 2 13 2" xfId="27769" xr:uid="{32B96B3E-7897-43DD-A497-07055F289BCB}"/>
    <cellStyle name="SAPBEXHLevel3 2 2 2 14" xfId="18467" xr:uid="{012C6E90-3775-4B6B-87E9-B73ADD5B96D1}"/>
    <cellStyle name="SAPBEXHLevel3 2 2 2 14 2" xfId="33300" xr:uid="{9CB12378-6BF0-4C9C-94E7-943499B6D5EE}"/>
    <cellStyle name="SAPBEXHLevel3 2 2 2 15" xfId="33296" xr:uid="{F1EE74BA-5FF1-476E-8994-991F291377AF}"/>
    <cellStyle name="SAPBEXHLevel3 2 2 2 2" xfId="18468" xr:uid="{25BEFD14-38C1-4D6A-83C0-85FF4887DCCD}"/>
    <cellStyle name="SAPBEXHLevel3 2 2 2 2 2" xfId="33301" xr:uid="{60BF1751-F1CF-4229-81B7-02C3ECB87899}"/>
    <cellStyle name="SAPBEXHLevel3 2 2 2 3" xfId="18469" xr:uid="{5D2CF40D-AD98-4BF0-A657-2C7A96FF0525}"/>
    <cellStyle name="SAPBEXHLevel3 2 2 2 3 2" xfId="33302" xr:uid="{193DEC25-1ACE-4155-96E9-A27135287406}"/>
    <cellStyle name="SAPBEXHLevel3 2 2 2 4" xfId="18470" xr:uid="{10158F57-F93A-4402-B902-2FA7DFB06243}"/>
    <cellStyle name="SAPBEXHLevel3 2 2 2 4 2" xfId="27770" xr:uid="{C120FE0F-10C2-4533-837E-A2962C0F1D82}"/>
    <cellStyle name="SAPBEXHLevel3 2 2 2 5" xfId="18471" xr:uid="{5643208A-3F12-45EE-AFDD-8E26A9ED16FD}"/>
    <cellStyle name="SAPBEXHLevel3 2 2 2 5 2" xfId="33303" xr:uid="{1D9A3B90-4DA4-428D-A9EA-0644C34BFED5}"/>
    <cellStyle name="SAPBEXHLevel3 2 2 2 6" xfId="18472" xr:uid="{546DED2C-710C-4F30-9A5B-A81FB2A848FA}"/>
    <cellStyle name="SAPBEXHLevel3 2 2 2 6 2" xfId="27771" xr:uid="{05EC6765-ED2F-433B-8E5A-973446C25323}"/>
    <cellStyle name="SAPBEXHLevel3 2 2 2 7" xfId="18473" xr:uid="{D18F7384-FD90-4B18-B62B-E5D0CDDE0F70}"/>
    <cellStyle name="SAPBEXHLevel3 2 2 2 7 2" xfId="33304" xr:uid="{502D4081-4488-4D69-BFEC-5821084D904E}"/>
    <cellStyle name="SAPBEXHLevel3 2 2 2 8" xfId="18474" xr:uid="{AD4FD04E-389A-4762-A384-86F2045B717A}"/>
    <cellStyle name="SAPBEXHLevel3 2 2 2 8 2" xfId="33305" xr:uid="{1FD523E7-60CB-47CC-9C36-0A1F21180D43}"/>
    <cellStyle name="SAPBEXHLevel3 2 2 2 9" xfId="18475" xr:uid="{5C186DE5-6D1B-4B44-83FE-87A70E2725EE}"/>
    <cellStyle name="SAPBEXHLevel3 2 2 2 9 2" xfId="37781" xr:uid="{817D5D77-39E7-440D-91BE-AAC527EC50F5}"/>
    <cellStyle name="SAPBEXHLevel3 2 2 3" xfId="18476" xr:uid="{49057407-BAF2-46D1-996B-C4867966434C}"/>
    <cellStyle name="SAPBEXHLevel3 2 2 3 2" xfId="33306" xr:uid="{BD20108D-B34F-4E5B-9E5C-BC1E673E6254}"/>
    <cellStyle name="SAPBEXHLevel3 2 2 4" xfId="18477" xr:uid="{9D31FA40-F7A4-4E4C-929F-8ECCFD4FA4B3}"/>
    <cellStyle name="SAPBEXHLevel3 2 2 4 2" xfId="33307" xr:uid="{CF7EB0D1-4190-4292-878C-0A9A1620F1EF}"/>
    <cellStyle name="SAPBEXHLevel3 2 2 5" xfId="18478" xr:uid="{BEA343BF-E7D5-466F-845A-874A6FF6D97F}"/>
    <cellStyle name="SAPBEXHLevel3 2 2 5 2" xfId="33308" xr:uid="{44892FE5-A73D-40C2-B873-F9BC8D89354F}"/>
    <cellStyle name="SAPBEXHLevel3 2 2 6" xfId="18479" xr:uid="{4AE8DD05-B00A-46A2-AF04-9905AF57FBB3}"/>
    <cellStyle name="SAPBEXHLevel3 2 2 6 2" xfId="33309" xr:uid="{26C4D0DF-1E3E-4587-9B6C-16234036E10B}"/>
    <cellStyle name="SAPBEXHLevel3 2 2 7" xfId="18480" xr:uid="{E16CCB22-C85F-49DC-8781-F3921BB77586}"/>
    <cellStyle name="SAPBEXHLevel3 2 2 7 2" xfId="33310" xr:uid="{2DB4C51B-BAF8-4070-9AE9-8130F19831A6}"/>
    <cellStyle name="SAPBEXHLevel3 2 2 8" xfId="18481" xr:uid="{C70A6A93-A169-4D80-BC52-3670CA7309BF}"/>
    <cellStyle name="SAPBEXHLevel3 2 2 8 2" xfId="33311" xr:uid="{34D90452-25D1-4E49-80C6-1BFCFEE7A800}"/>
    <cellStyle name="SAPBEXHLevel3 2 2 9" xfId="18482" xr:uid="{96C48DB3-E05B-46F2-9FD9-2B8772681784}"/>
    <cellStyle name="SAPBEXHLevel3 2 2 9 2" xfId="33312" xr:uid="{23BDE5EC-ABBB-44EB-828C-87754D1D231B}"/>
    <cellStyle name="SAPBEXHLevel3 2 20" xfId="33281" xr:uid="{A9BF9EC1-9825-473C-9D37-575546469904}"/>
    <cellStyle name="SAPBEXHLevel3 2 3" xfId="18483" xr:uid="{EE9B228F-EAB9-4085-AB28-75D6051A7A47}"/>
    <cellStyle name="SAPBEXHLevel3 2 3 10" xfId="18484" xr:uid="{A8739324-4D5D-4D1E-B1E1-F1A2BCA748A1}"/>
    <cellStyle name="SAPBEXHLevel3 2 3 10 2" xfId="27772" xr:uid="{1F2AE487-E03A-4F54-9B6D-95BBF7D87390}"/>
    <cellStyle name="SAPBEXHLevel3 2 3 11" xfId="18485" xr:uid="{6694981A-B1A1-4377-A0CD-626418CBB352}"/>
    <cellStyle name="SAPBEXHLevel3 2 3 11 2" xfId="33314" xr:uid="{079F97B6-9B31-4B9A-8EBB-56F496945ABE}"/>
    <cellStyle name="SAPBEXHLevel3 2 3 12" xfId="18486" xr:uid="{5AF87F74-2F38-4C69-BB25-A0EA677A14C3}"/>
    <cellStyle name="SAPBEXHLevel3 2 3 12 2" xfId="33315" xr:uid="{72112C32-F427-4156-A91C-765799A495B3}"/>
    <cellStyle name="SAPBEXHLevel3 2 3 13" xfId="18487" xr:uid="{26E12104-923B-4C3B-B95D-41E91F87F911}"/>
    <cellStyle name="SAPBEXHLevel3 2 3 13 2" xfId="33316" xr:uid="{4E01EECD-9952-40AD-97F7-1F87ECBE415A}"/>
    <cellStyle name="SAPBEXHLevel3 2 3 14" xfId="18488" xr:uid="{F669E7ED-225F-4DD2-934A-C63325A33F71}"/>
    <cellStyle name="SAPBEXHLevel3 2 3 14 2" xfId="33317" xr:uid="{AAA767AE-272B-4C7F-BF0B-84C6A8E2BA64}"/>
    <cellStyle name="SAPBEXHLevel3 2 3 15" xfId="33313" xr:uid="{80CABE0A-2E9C-49AA-84C4-736C58E0D223}"/>
    <cellStyle name="SAPBEXHLevel3 2 3 2" xfId="18489" xr:uid="{6E110BD5-28A1-4F49-BC70-26579D5CD701}"/>
    <cellStyle name="SAPBEXHLevel3 2 3 2 2" xfId="33318" xr:uid="{227F92F5-84B0-4863-867A-C2273982C5AB}"/>
    <cellStyle name="SAPBEXHLevel3 2 3 3" xfId="18490" xr:uid="{91403E30-DD04-4667-B832-1B72EC03D061}"/>
    <cellStyle name="SAPBEXHLevel3 2 3 3 2" xfId="33319" xr:uid="{E6D5AB78-364D-42B5-8942-BB516E19F343}"/>
    <cellStyle name="SAPBEXHLevel3 2 3 4" xfId="18491" xr:uid="{72C9F20E-0DD0-494C-AE9C-9F8FC8E63891}"/>
    <cellStyle name="SAPBEXHLevel3 2 3 4 2" xfId="33320" xr:uid="{C047C134-A703-4BB5-98B8-57FD9AD1EBCB}"/>
    <cellStyle name="SAPBEXHLevel3 2 3 5" xfId="18492" xr:uid="{B19FCDEA-832F-4BCD-895D-6C05BA85C6E4}"/>
    <cellStyle name="SAPBEXHLevel3 2 3 5 2" xfId="33321" xr:uid="{F3DE25F4-6C8E-437C-8595-ED57A78039B4}"/>
    <cellStyle name="SAPBEXHLevel3 2 3 6" xfId="18493" xr:uid="{5C5DA4F4-00E9-49DC-98D3-23FAF2BD9A13}"/>
    <cellStyle name="SAPBEXHLevel3 2 3 6 2" xfId="33322" xr:uid="{9D1C8319-CBD4-4E87-AE49-6333570103A8}"/>
    <cellStyle name="SAPBEXHLevel3 2 3 7" xfId="18494" xr:uid="{54017D4C-5F53-49F9-820C-CD2D722ACF89}"/>
    <cellStyle name="SAPBEXHLevel3 2 3 7 2" xfId="33323" xr:uid="{A7550834-DEB2-414F-AA07-C568EBFD931A}"/>
    <cellStyle name="SAPBEXHLevel3 2 3 8" xfId="18495" xr:uid="{518B2AAC-5A58-4D64-B75A-78A5B5E8A685}"/>
    <cellStyle name="SAPBEXHLevel3 2 3 8 2" xfId="33324" xr:uid="{BC77770D-2959-4BFD-A99A-E59290931FA0}"/>
    <cellStyle name="SAPBEXHLevel3 2 3 9" xfId="18496" xr:uid="{556EAF9D-F2A5-4EAD-BDE5-B0A23C4DBFE3}"/>
    <cellStyle name="SAPBEXHLevel3 2 3 9 2" xfId="33325" xr:uid="{37FC6571-D167-4A3A-832F-ECA94B586A61}"/>
    <cellStyle name="SAPBEXHLevel3 2 4" xfId="18497" xr:uid="{0A238A60-7671-4E85-9126-A45CE1933D0D}"/>
    <cellStyle name="SAPBEXHLevel3 2 4 2" xfId="33326" xr:uid="{933A09F1-8230-45A2-94E6-D84D01FDC44C}"/>
    <cellStyle name="SAPBEXHLevel3 2 5" xfId="18498" xr:uid="{E7B40F58-201A-48CF-989E-5D3BCC63684D}"/>
    <cellStyle name="SAPBEXHLevel3 2 5 2" xfId="33327" xr:uid="{AAD8BA37-6FFC-4067-9705-446CA7AABB15}"/>
    <cellStyle name="SAPBEXHLevel3 2 6" xfId="18499" xr:uid="{FCD8D083-A7BF-44FB-BC1E-6EDC6118E123}"/>
    <cellStyle name="SAPBEXHLevel3 2 6 2" xfId="33328" xr:uid="{3011D63F-FD3F-45A4-8C53-3E4217A3A507}"/>
    <cellStyle name="SAPBEXHLevel3 2 7" xfId="18500" xr:uid="{F4D48CA2-7CA2-44DE-8E18-5AB2ECFBA316}"/>
    <cellStyle name="SAPBEXHLevel3 2 7 2" xfId="33329" xr:uid="{4F715F73-0073-4E80-97AC-EDB654C825D7}"/>
    <cellStyle name="SAPBEXHLevel3 2 8" xfId="18501" xr:uid="{CE2BD3AD-D3B9-4C66-87F9-0940184D9C0E}"/>
    <cellStyle name="SAPBEXHLevel3 2 8 2" xfId="33330" xr:uid="{91A423EA-AF05-47B1-BEF1-D7047C392384}"/>
    <cellStyle name="SAPBEXHLevel3 2 9" xfId="18502" xr:uid="{165ECBE9-948E-42ED-AC2D-AAC882132FD6}"/>
    <cellStyle name="SAPBEXHLevel3 2 9 2" xfId="33331" xr:uid="{77A58F92-37DC-4727-96AB-C41F2819C340}"/>
    <cellStyle name="SAPBEXHLevel3 20" xfId="18503" xr:uid="{AD4100BA-1E36-4072-8661-59CEA732A567}"/>
    <cellStyle name="SAPBEXHLevel3 20 2" xfId="33332" xr:uid="{E086654E-98C9-430A-B50E-5AC6E55B4AEF}"/>
    <cellStyle name="SAPBEXHLevel3 21" xfId="18504" xr:uid="{7040E93B-7C3E-47EE-A22E-EB7F274E4BFF}"/>
    <cellStyle name="SAPBEXHLevel3 21 2" xfId="33333" xr:uid="{CDB88C68-B7C2-458B-988C-32E27F923692}"/>
    <cellStyle name="SAPBEXHLevel3 22" xfId="33273" xr:uid="{7B82849F-C6CF-4974-A67C-10FA2A11846E}"/>
    <cellStyle name="SAPBEXHLevel3 3" xfId="18505" xr:uid="{F3277C50-3629-4FAB-8385-FD84F59056CC}"/>
    <cellStyle name="SAPBEXHLevel3 3 10" xfId="18506" xr:uid="{6BA29209-BC52-4BF7-9D10-BCE0CA765810}"/>
    <cellStyle name="SAPBEXHLevel3 3 10 2" xfId="33335" xr:uid="{2A2B7E53-D33C-4732-8F4A-3EC80734A443}"/>
    <cellStyle name="SAPBEXHLevel3 3 11" xfId="18507" xr:uid="{61F4F44D-933C-4C47-A6F9-33D55D4220FD}"/>
    <cellStyle name="SAPBEXHLevel3 3 11 2" xfId="33336" xr:uid="{C2D91CCA-A6C2-4FA1-B9AA-EAE585525716}"/>
    <cellStyle name="SAPBEXHLevel3 3 12" xfId="18508" xr:uid="{5FAD1AC1-F957-4DE5-A48A-116CD6F8AFB4}"/>
    <cellStyle name="SAPBEXHLevel3 3 12 2" xfId="33337" xr:uid="{F45FCD3A-3852-45DA-987D-C70D15B6ED05}"/>
    <cellStyle name="SAPBEXHLevel3 3 13" xfId="18509" xr:uid="{3DF6C778-9A98-4B0C-A701-924A41738C7F}"/>
    <cellStyle name="SAPBEXHLevel3 3 13 2" xfId="33338" xr:uid="{E39A395D-601A-4272-9516-521C11F38BE5}"/>
    <cellStyle name="SAPBEXHLevel3 3 14" xfId="18510" xr:uid="{C793245F-2739-4851-AA37-ED5B869CEE65}"/>
    <cellStyle name="SAPBEXHLevel3 3 14 2" xfId="33339" xr:uid="{5D4488C5-C4F5-4408-A2A2-23FE1904A155}"/>
    <cellStyle name="SAPBEXHLevel3 3 15" xfId="18511" xr:uid="{2E665BD5-0B45-4E08-9BD9-4F2BA30581C0}"/>
    <cellStyle name="SAPBEXHLevel3 3 15 2" xfId="33340" xr:uid="{26E2E370-16AB-41FC-998C-5AA658D8CB4D}"/>
    <cellStyle name="SAPBEXHLevel3 3 16" xfId="18512" xr:uid="{47F0D9CD-D665-41E7-9B79-40A79B6FA6F5}"/>
    <cellStyle name="SAPBEXHLevel3 3 16 2" xfId="33341" xr:uid="{17D4A1F6-EF22-44D0-93A4-CCFD657DEE5D}"/>
    <cellStyle name="SAPBEXHLevel3 3 17" xfId="18513" xr:uid="{AF59CF53-F7C3-4419-A54B-CE311F8970DC}"/>
    <cellStyle name="SAPBEXHLevel3 3 17 2" xfId="33342" xr:uid="{02A843BA-0EB2-4F37-9422-B5843AED19FB}"/>
    <cellStyle name="SAPBEXHLevel3 3 18" xfId="18514" xr:uid="{F51FC36A-6D47-428D-B845-B90D39E12159}"/>
    <cellStyle name="SAPBEXHLevel3 3 18 2" xfId="33343" xr:uid="{296856FF-7675-407D-8EE1-CE2024A83A96}"/>
    <cellStyle name="SAPBEXHLevel3 3 19" xfId="18515" xr:uid="{08AC058E-8A61-45D0-85F9-94BADBE474F3}"/>
    <cellStyle name="SAPBEXHLevel3 3 19 2" xfId="33344" xr:uid="{6E21D20B-5FE9-4192-B9FA-22813ABE5221}"/>
    <cellStyle name="SAPBEXHLevel3 3 2" xfId="18516" xr:uid="{9C6F6FF8-8498-43AD-A723-611E6A0354AE}"/>
    <cellStyle name="SAPBEXHLevel3 3 2 10" xfId="18517" xr:uid="{C5BC1C3E-367F-4D27-9A2A-5DC22E63A00B}"/>
    <cellStyle name="SAPBEXHLevel3 3 2 10 2" xfId="33346" xr:uid="{C250CAB9-2379-42B5-AD8E-70E5D1EE9276}"/>
    <cellStyle name="SAPBEXHLevel3 3 2 11" xfId="18518" xr:uid="{9947AFE5-49E5-4977-8B80-D8C7AC7EDABB}"/>
    <cellStyle name="SAPBEXHLevel3 3 2 11 2" xfId="33347" xr:uid="{8AC377A1-ACE5-4979-875A-9807768892F4}"/>
    <cellStyle name="SAPBEXHLevel3 3 2 12" xfId="18519" xr:uid="{46087795-4C3F-4D50-A4BC-88062703ABDB}"/>
    <cellStyle name="SAPBEXHLevel3 3 2 12 2" xfId="33348" xr:uid="{2D7E534A-ADE2-46DB-A8EF-DC5D43A5052E}"/>
    <cellStyle name="SAPBEXHLevel3 3 2 13" xfId="18520" xr:uid="{24DB39CD-3BAB-4885-A9F0-13D421DF0E55}"/>
    <cellStyle name="SAPBEXHLevel3 3 2 13 2" xfId="33349" xr:uid="{AD24A2D1-E74B-47C6-B469-DBCE6067FFDB}"/>
    <cellStyle name="SAPBEXHLevel3 3 2 14" xfId="18521" xr:uid="{17F3D214-EC1F-4B97-96D7-81B8A7376506}"/>
    <cellStyle name="SAPBEXHLevel3 3 2 14 2" xfId="33350" xr:uid="{8B5614F7-5277-455B-8467-65418CDCEDB9}"/>
    <cellStyle name="SAPBEXHLevel3 3 2 15" xfId="18522" xr:uid="{90D82065-4AD1-4912-832D-C831CB5F27B5}"/>
    <cellStyle name="SAPBEXHLevel3 3 2 15 2" xfId="33351" xr:uid="{94850553-01B8-4A0C-B445-A699A580976E}"/>
    <cellStyle name="SAPBEXHLevel3 3 2 16" xfId="18523" xr:uid="{20115425-64B8-466B-B6A7-D581B252FEA4}"/>
    <cellStyle name="SAPBEXHLevel3 3 2 16 2" xfId="33352" xr:uid="{B1DD8994-419C-40C7-AD1D-6A9B24C4AB0B}"/>
    <cellStyle name="SAPBEXHLevel3 3 2 17" xfId="18524" xr:uid="{C3171F28-7BA0-47FB-BE91-85602CA30EEE}"/>
    <cellStyle name="SAPBEXHLevel3 3 2 17 2" xfId="33353" xr:uid="{850FB30A-9E32-4F3A-B757-67D18B211639}"/>
    <cellStyle name="SAPBEXHLevel3 3 2 18" xfId="18525" xr:uid="{E7E2F3F1-C1CC-43F8-BA60-3B162C3E27C1}"/>
    <cellStyle name="SAPBEXHLevel3 3 2 18 2" xfId="33354" xr:uid="{A318DF88-74AF-4BC2-A66E-4E1FBF8F6385}"/>
    <cellStyle name="SAPBEXHLevel3 3 2 19" xfId="33345" xr:uid="{17F7D955-88A3-4A17-9E81-4B602878B757}"/>
    <cellStyle name="SAPBEXHLevel3 3 2 2" xfId="18526" xr:uid="{A37DD624-5C4A-44A3-8D6E-DE5CE9CEFF93}"/>
    <cellStyle name="SAPBEXHLevel3 3 2 2 10" xfId="18527" xr:uid="{E1012660-7DC2-4A34-8E21-13D76CEFDF14}"/>
    <cellStyle name="SAPBEXHLevel3 3 2 2 10 2" xfId="33356" xr:uid="{A1E91178-1A87-41CF-98D1-56EBE92835E0}"/>
    <cellStyle name="SAPBEXHLevel3 3 2 2 11" xfId="18528" xr:uid="{D373805F-52EA-4283-8310-F484102AE54D}"/>
    <cellStyle name="SAPBEXHLevel3 3 2 2 11 2" xfId="33357" xr:uid="{5276380C-0531-48B5-B448-80A225ED1BD1}"/>
    <cellStyle name="SAPBEXHLevel3 3 2 2 12" xfId="18529" xr:uid="{421F03D7-1E2C-41F4-91E8-882D01756804}"/>
    <cellStyle name="SAPBEXHLevel3 3 2 2 12 2" xfId="33358" xr:uid="{A0F32A01-92E3-4F5F-9C52-F90B7E1C37C1}"/>
    <cellStyle name="SAPBEXHLevel3 3 2 2 13" xfId="18530" xr:uid="{1B30C213-6D28-41DC-B880-245A9CE617F0}"/>
    <cellStyle name="SAPBEXHLevel3 3 2 2 13 2" xfId="33359" xr:uid="{5FF3312E-3290-48E9-8461-43671AB0D0DE}"/>
    <cellStyle name="SAPBEXHLevel3 3 2 2 14" xfId="18531" xr:uid="{5F33784A-CD3C-4F7D-B75F-21E5536B8155}"/>
    <cellStyle name="SAPBEXHLevel3 3 2 2 14 2" xfId="33360" xr:uid="{CF780E65-742A-43ED-AA2E-6264A8B68AA3}"/>
    <cellStyle name="SAPBEXHLevel3 3 2 2 15" xfId="33355" xr:uid="{A1AB7485-33DA-449A-8E2F-01BEA28A3F25}"/>
    <cellStyle name="SAPBEXHLevel3 3 2 2 2" xfId="18532" xr:uid="{F5D99953-912D-4AFB-9392-A6ECF1CBEE69}"/>
    <cellStyle name="SAPBEXHLevel3 3 2 2 2 2" xfId="33361" xr:uid="{30232A82-C371-4C4E-8647-BB04C9C00DB4}"/>
    <cellStyle name="SAPBEXHLevel3 3 2 2 3" xfId="18533" xr:uid="{7F51F6EF-420F-4742-8EC9-FF6E38FBADCC}"/>
    <cellStyle name="SAPBEXHLevel3 3 2 2 3 2" xfId="33362" xr:uid="{2E3524E8-489C-45E3-A6B6-F7A0EA83FB0D}"/>
    <cellStyle name="SAPBEXHLevel3 3 2 2 4" xfId="18534" xr:uid="{6C7660D3-6EEC-4C27-94EC-DBCE2C92C28C}"/>
    <cellStyle name="SAPBEXHLevel3 3 2 2 4 2" xfId="33363" xr:uid="{70DD2B29-533D-4434-8B5A-399CBDF8273F}"/>
    <cellStyle name="SAPBEXHLevel3 3 2 2 5" xfId="18535" xr:uid="{789BF0AD-FDF8-462C-ACA9-9A82F8DF8069}"/>
    <cellStyle name="SAPBEXHLevel3 3 2 2 5 2" xfId="33364" xr:uid="{7C68AA7A-6B6E-41F7-906C-0E2447869723}"/>
    <cellStyle name="SAPBEXHLevel3 3 2 2 6" xfId="18536" xr:uid="{1477056A-37CF-47C5-8A25-ACF5716E748C}"/>
    <cellStyle name="SAPBEXHLevel3 3 2 2 6 2" xfId="33365" xr:uid="{66A556A7-27AC-41F3-AB55-1E3294001014}"/>
    <cellStyle name="SAPBEXHLevel3 3 2 2 7" xfId="18537" xr:uid="{7A7A3F7C-ED12-4CAC-9A55-8A904016935A}"/>
    <cellStyle name="SAPBEXHLevel3 3 2 2 7 2" xfId="33366" xr:uid="{932A99E4-A741-4FD6-9808-05B0CE56ED31}"/>
    <cellStyle name="SAPBEXHLevel3 3 2 2 8" xfId="18538" xr:uid="{53F461FE-7E0A-4CC1-944C-3BC76F58F004}"/>
    <cellStyle name="SAPBEXHLevel3 3 2 2 8 2" xfId="33367" xr:uid="{31DDD3F8-70E1-4140-9488-19283DA3941F}"/>
    <cellStyle name="SAPBEXHLevel3 3 2 2 9" xfId="18539" xr:uid="{C00D5AD8-0AED-4DB2-A3CD-314BD560CD6B}"/>
    <cellStyle name="SAPBEXHLevel3 3 2 2 9 2" xfId="33368" xr:uid="{D8E8FB01-C829-4192-B296-8F5243490446}"/>
    <cellStyle name="SAPBEXHLevel3 3 2 3" xfId="18540" xr:uid="{1F477F09-E5EA-4CD8-A836-50725D0C21A4}"/>
    <cellStyle name="SAPBEXHLevel3 3 2 3 2" xfId="33369" xr:uid="{19DBCD1A-D655-4AED-B8FA-DE4800ADE01C}"/>
    <cellStyle name="SAPBEXHLevel3 3 2 4" xfId="18541" xr:uid="{67D4F2B5-A6FB-4EC9-B6FA-CE2D64E71BA2}"/>
    <cellStyle name="SAPBEXHLevel3 3 2 4 2" xfId="33370" xr:uid="{EA99E2D7-3C36-4E8D-8E3D-FA1946052ECA}"/>
    <cellStyle name="SAPBEXHLevel3 3 2 5" xfId="18542" xr:uid="{011754E4-D560-40D8-8289-E5837EFD1AC4}"/>
    <cellStyle name="SAPBEXHLevel3 3 2 5 2" xfId="33371" xr:uid="{2E56E428-6D76-4145-A265-435C08C68FB3}"/>
    <cellStyle name="SAPBEXHLevel3 3 2 6" xfId="18543" xr:uid="{47322FFA-9F1E-4C91-9533-AB8F42A06DB0}"/>
    <cellStyle name="SAPBEXHLevel3 3 2 6 2" xfId="33372" xr:uid="{AE4B7E7E-4314-4E70-B8CD-8A49D7EC16E7}"/>
    <cellStyle name="SAPBEXHLevel3 3 2 7" xfId="18544" xr:uid="{1C7CD80B-7DB9-41F5-A9C6-1AEAA7B3875E}"/>
    <cellStyle name="SAPBEXHLevel3 3 2 7 2" xfId="33373" xr:uid="{020FE0A5-E5EB-49E9-B2F5-34ADBF49C2CC}"/>
    <cellStyle name="SAPBEXHLevel3 3 2 8" xfId="18545" xr:uid="{25BE0DE6-6C16-424C-9FD3-5B7CC11651C1}"/>
    <cellStyle name="SAPBEXHLevel3 3 2 8 2" xfId="33374" xr:uid="{69901E6B-9069-4335-B6F9-EE8C26CFBBF9}"/>
    <cellStyle name="SAPBEXHLevel3 3 2 9" xfId="18546" xr:uid="{C5A2C952-EA51-45ED-955F-6A4515E48D36}"/>
    <cellStyle name="SAPBEXHLevel3 3 2 9 2" xfId="33375" xr:uid="{774B6039-5BC5-4E59-A328-2A38CC1C4FE2}"/>
    <cellStyle name="SAPBEXHLevel3 3 20" xfId="33334" xr:uid="{E72834D2-3796-4B20-97B7-28B02872E8DB}"/>
    <cellStyle name="SAPBEXHLevel3 3 3" xfId="18547" xr:uid="{80D97790-1E66-4DF4-B441-8FDC09EF5386}"/>
    <cellStyle name="SAPBEXHLevel3 3 3 10" xfId="18548" xr:uid="{8A04D87F-B854-4E78-BC71-8E552C75B474}"/>
    <cellStyle name="SAPBEXHLevel3 3 3 10 2" xfId="33376" xr:uid="{28E144D6-6C89-4541-945A-5758942EE054}"/>
    <cellStyle name="SAPBEXHLevel3 3 3 11" xfId="18549" xr:uid="{4BFDDBE3-B1AA-4E1E-B1AE-66B424AD29F0}"/>
    <cellStyle name="SAPBEXHLevel3 3 3 11 2" xfId="33377" xr:uid="{B21F8F3F-2BB7-4B51-B2FC-C9431C685B77}"/>
    <cellStyle name="SAPBEXHLevel3 3 3 12" xfId="18550" xr:uid="{23382100-229A-4BF1-980D-478946FB0097}"/>
    <cellStyle name="SAPBEXHLevel3 3 3 12 2" xfId="33379" xr:uid="{3E17862B-BBBE-4BF4-B5FA-058F9383AC70}"/>
    <cellStyle name="SAPBEXHLevel3 3 3 13" xfId="18551" xr:uid="{2528A7BC-919F-4269-A3A9-EEC6815195F8}"/>
    <cellStyle name="SAPBEXHLevel3 3 3 13 2" xfId="33380" xr:uid="{F371391E-212D-453D-BDFF-794058AAE3DE}"/>
    <cellStyle name="SAPBEXHLevel3 3 3 14" xfId="18552" xr:uid="{6ABE781E-58C8-4E63-8DB1-1B7389800C5A}"/>
    <cellStyle name="SAPBEXHLevel3 3 3 14 2" xfId="33381" xr:uid="{87DE11FD-B5F9-4B41-B90E-1EE270CE1257}"/>
    <cellStyle name="SAPBEXHLevel3 3 3 15" xfId="33378" xr:uid="{E3672D14-442E-42BE-9888-EF932A5AF42E}"/>
    <cellStyle name="SAPBEXHLevel3 3 3 2" xfId="18553" xr:uid="{3D352D5C-224D-4B79-ACBC-71DC5E3E0F9B}"/>
    <cellStyle name="SAPBEXHLevel3 3 3 2 2" xfId="33382" xr:uid="{82D1EE12-0BCE-4F1B-B702-65081966EA16}"/>
    <cellStyle name="SAPBEXHLevel3 3 3 3" xfId="18554" xr:uid="{2A2D2273-D2E2-4975-B98D-6DD9398FA72B}"/>
    <cellStyle name="SAPBEXHLevel3 3 3 3 2" xfId="33383" xr:uid="{D002AB61-4D8D-447D-B086-A4D840436666}"/>
    <cellStyle name="SAPBEXHLevel3 3 3 4" xfId="18555" xr:uid="{FE13E424-695A-4853-9A73-C702ACBB60DD}"/>
    <cellStyle name="SAPBEXHLevel3 3 3 4 2" xfId="33384" xr:uid="{905D41A9-DF59-463D-95EE-29CB38AF3F4F}"/>
    <cellStyle name="SAPBEXHLevel3 3 3 5" xfId="18556" xr:uid="{D18084A5-B9E9-411D-AABA-B3C630B04069}"/>
    <cellStyle name="SAPBEXHLevel3 3 3 5 2" xfId="33385" xr:uid="{76C35C53-BB8B-475C-8509-05B433D7FCD7}"/>
    <cellStyle name="SAPBEXHLevel3 3 3 6" xfId="18557" xr:uid="{FE13363B-C5A3-4EAF-A5FE-3436850422D6}"/>
    <cellStyle name="SAPBEXHLevel3 3 3 6 2" xfId="33386" xr:uid="{7CE9A503-AB8D-450E-BB5B-5425C7D821DA}"/>
    <cellStyle name="SAPBEXHLevel3 3 3 7" xfId="18558" xr:uid="{1980576B-8079-4486-B9C6-6A0660FB8021}"/>
    <cellStyle name="SAPBEXHLevel3 3 3 7 2" xfId="33387" xr:uid="{C44C9CD3-6B85-485A-BC56-1E73239409FA}"/>
    <cellStyle name="SAPBEXHLevel3 3 3 8" xfId="18559" xr:uid="{5047C2B3-75C1-4452-B7A0-4294855D9630}"/>
    <cellStyle name="SAPBEXHLevel3 3 3 8 2" xfId="33388" xr:uid="{8BCE134F-27AB-432D-94BD-26CCE13167CC}"/>
    <cellStyle name="SAPBEXHLevel3 3 3 9" xfId="18560" xr:uid="{C84BD026-BC5A-4E35-BC63-041900921994}"/>
    <cellStyle name="SAPBEXHLevel3 3 3 9 2" xfId="33389" xr:uid="{40018E96-6B3C-4A90-B99E-0C080A0049CC}"/>
    <cellStyle name="SAPBEXHLevel3 3 4" xfId="18561" xr:uid="{E73C0375-9D68-4FF9-9FB8-6EFABF6ECB6F}"/>
    <cellStyle name="SAPBEXHLevel3 3 4 2" xfId="33390" xr:uid="{64486345-2439-466A-8E06-4F07422F94D3}"/>
    <cellStyle name="SAPBEXHLevel3 3 5" xfId="18562" xr:uid="{EED7CCF5-1A35-469F-A9F6-CFE4F1CF8A0A}"/>
    <cellStyle name="SAPBEXHLevel3 3 5 2" xfId="33391" xr:uid="{66D1DD41-BBA2-4D5C-8A77-59CD469E6811}"/>
    <cellStyle name="SAPBEXHLevel3 3 6" xfId="18563" xr:uid="{05E54327-D1CC-44FC-BFE2-794C9661169D}"/>
    <cellStyle name="SAPBEXHLevel3 3 6 2" xfId="33392" xr:uid="{B05EAE03-AB94-400F-8993-98F4B1B3C7FA}"/>
    <cellStyle name="SAPBEXHLevel3 3 7" xfId="18564" xr:uid="{AED2C1F9-6015-4352-993A-A823E8740A90}"/>
    <cellStyle name="SAPBEXHLevel3 3 7 2" xfId="33393" xr:uid="{997A27FB-7339-4F68-9A3A-DB41B4E98FB4}"/>
    <cellStyle name="SAPBEXHLevel3 3 8" xfId="18565" xr:uid="{3316F2A2-982E-4A3C-8CCF-77AB8905FD72}"/>
    <cellStyle name="SAPBEXHLevel3 3 8 2" xfId="33394" xr:uid="{6F55156B-BE0D-4E8A-AA34-2D1AE289E498}"/>
    <cellStyle name="SAPBEXHLevel3 3 9" xfId="18566" xr:uid="{8C8B16CD-7B0C-42C1-8725-14B4D01C1732}"/>
    <cellStyle name="SAPBEXHLevel3 3 9 2" xfId="33395" xr:uid="{70FD2EEA-D84D-4D89-B5D6-C29D79D71580}"/>
    <cellStyle name="SAPBEXHLevel3 4" xfId="18567" xr:uid="{B7B47B06-6407-493A-B2FC-2F47963DC59A}"/>
    <cellStyle name="SAPBEXHLevel3 4 10" xfId="18568" xr:uid="{AA390E02-5BCD-4AEA-B512-BD712CC29E69}"/>
    <cellStyle name="SAPBEXHLevel3 4 10 2" xfId="33397" xr:uid="{BFC24BE8-C623-4CC1-A1EA-635F59AB8390}"/>
    <cellStyle name="SAPBEXHLevel3 4 11" xfId="18569" xr:uid="{CDBD6D87-1C84-4459-B8BA-0D22D6E367DA}"/>
    <cellStyle name="SAPBEXHLevel3 4 11 2" xfId="33398" xr:uid="{B4B9637F-04A4-473E-B816-5A7EDEE1EE1C}"/>
    <cellStyle name="SAPBEXHLevel3 4 12" xfId="18570" xr:uid="{28353858-4AF1-4B52-8B53-D16A0D2D7D34}"/>
    <cellStyle name="SAPBEXHLevel3 4 12 2" xfId="33399" xr:uid="{AF63682F-C719-464B-B9CC-06F6FEA270A6}"/>
    <cellStyle name="SAPBEXHLevel3 4 13" xfId="18571" xr:uid="{BD56DE2B-A518-4376-8D09-97FE789051CD}"/>
    <cellStyle name="SAPBEXHLevel3 4 13 2" xfId="33400" xr:uid="{02453A3C-08F1-4336-A18A-19C9AB753293}"/>
    <cellStyle name="SAPBEXHLevel3 4 14" xfId="18572" xr:uid="{AEA2E57E-D1FD-4593-B501-D2841696C14F}"/>
    <cellStyle name="SAPBEXHLevel3 4 14 2" xfId="33401" xr:uid="{0F274C7A-6114-4E23-BFC3-A1158EC8C57F}"/>
    <cellStyle name="SAPBEXHLevel3 4 15" xfId="18573" xr:uid="{46EAE073-855A-437E-B03C-8BE23084A3E6}"/>
    <cellStyle name="SAPBEXHLevel3 4 15 2" xfId="33402" xr:uid="{06F94704-4EB5-46E8-B81C-932315B915B4}"/>
    <cellStyle name="SAPBEXHLevel3 4 16" xfId="18574" xr:uid="{7485CEE5-1587-44A2-9E5B-91605C8DA272}"/>
    <cellStyle name="SAPBEXHLevel3 4 16 2" xfId="33403" xr:uid="{AC0993F7-BF10-4ECD-B298-60FD55C58A79}"/>
    <cellStyle name="SAPBEXHLevel3 4 17" xfId="18575" xr:uid="{5299B409-7C85-4D28-B34F-4DFB01BF5BA0}"/>
    <cellStyle name="SAPBEXHLevel3 4 17 2" xfId="33404" xr:uid="{590196C3-4078-4666-AEF5-ED3C729B0DF8}"/>
    <cellStyle name="SAPBEXHLevel3 4 18" xfId="18576" xr:uid="{520C3125-8E47-432D-9D85-3C837084EB35}"/>
    <cellStyle name="SAPBEXHLevel3 4 18 2" xfId="33405" xr:uid="{72579334-4A4A-47E7-8935-FF7863A7269B}"/>
    <cellStyle name="SAPBEXHLevel3 4 19" xfId="33396" xr:uid="{0A234C8B-F3BF-4BC0-A07A-37EC04F828F3}"/>
    <cellStyle name="SAPBEXHLevel3 4 2" xfId="18577" xr:uid="{7EAA2234-781A-4772-A262-3125596195C5}"/>
    <cellStyle name="SAPBEXHLevel3 4 2 10" xfId="18578" xr:uid="{3C67B631-B1E1-451A-B6B2-F29822682F52}"/>
    <cellStyle name="SAPBEXHLevel3 4 2 10 2" xfId="33407" xr:uid="{41C30F54-1BB1-4013-9B5B-331CCCBE52B0}"/>
    <cellStyle name="SAPBEXHLevel3 4 2 11" xfId="18579" xr:uid="{44A2405A-13DC-4001-A59E-D2C77E5E6F8C}"/>
    <cellStyle name="SAPBEXHLevel3 4 2 11 2" xfId="33408" xr:uid="{08B91684-6246-4A3D-9135-65D50C2B250C}"/>
    <cellStyle name="SAPBEXHLevel3 4 2 12" xfId="18580" xr:uid="{7607E458-C9E3-447B-84D2-E8D424C24806}"/>
    <cellStyle name="SAPBEXHLevel3 4 2 12 2" xfId="33409" xr:uid="{B1E20CAF-10D3-4F8F-9B81-374F2409B3D9}"/>
    <cellStyle name="SAPBEXHLevel3 4 2 13" xfId="18581" xr:uid="{A604C41E-0BB7-4A15-96D4-6B455E4594A4}"/>
    <cellStyle name="SAPBEXHLevel3 4 2 13 2" xfId="33410" xr:uid="{E5135D54-1CA7-42C8-83C0-823462C76E43}"/>
    <cellStyle name="SAPBEXHLevel3 4 2 14" xfId="18582" xr:uid="{F75768A9-A8CF-4A7F-BFB0-9A238393521D}"/>
    <cellStyle name="SAPBEXHLevel3 4 2 14 2" xfId="33411" xr:uid="{2FD3451E-7384-484B-B297-DC0C8416FA7D}"/>
    <cellStyle name="SAPBEXHLevel3 4 2 15" xfId="33406" xr:uid="{410B9DAA-4DE9-415F-A3EB-DD963F1D0809}"/>
    <cellStyle name="SAPBEXHLevel3 4 2 2" xfId="18583" xr:uid="{4D5148CE-0368-4FC8-BB43-4B401525BAE8}"/>
    <cellStyle name="SAPBEXHLevel3 4 2 2 2" xfId="33412" xr:uid="{CF1D3918-3951-4ADE-A192-9787D7126217}"/>
    <cellStyle name="SAPBEXHLevel3 4 2 3" xfId="18584" xr:uid="{5B34E5A5-3188-404A-934A-2B307CA4446F}"/>
    <cellStyle name="SAPBEXHLevel3 4 2 3 2" xfId="33413" xr:uid="{A5370DC2-42FE-4DCF-98F9-12A859CEEE3A}"/>
    <cellStyle name="SAPBEXHLevel3 4 2 4" xfId="18585" xr:uid="{8CD64B18-903F-43A4-B651-E4764D484514}"/>
    <cellStyle name="SAPBEXHLevel3 4 2 4 2" xfId="33414" xr:uid="{ECC4CBB0-2D44-45C4-81E1-A70B987F5414}"/>
    <cellStyle name="SAPBEXHLevel3 4 2 5" xfId="18586" xr:uid="{7A253679-F586-4E17-9BA6-A6568868B073}"/>
    <cellStyle name="SAPBEXHLevel3 4 2 5 2" xfId="33415" xr:uid="{926A8B56-47C2-47C2-BE73-D1C9D3DB08BE}"/>
    <cellStyle name="SAPBEXHLevel3 4 2 6" xfId="18587" xr:uid="{18184644-63C2-4007-9F16-18D555146FDE}"/>
    <cellStyle name="SAPBEXHLevel3 4 2 6 2" xfId="33416" xr:uid="{353B2DA3-D342-4F36-80EC-7FBAD6D9DF52}"/>
    <cellStyle name="SAPBEXHLevel3 4 2 7" xfId="18588" xr:uid="{8A56771A-67AB-4523-93CC-7CF34AFAD44F}"/>
    <cellStyle name="SAPBEXHLevel3 4 2 7 2" xfId="33417" xr:uid="{1DF1A9C5-AC09-4D25-8DDE-731A723C7B6F}"/>
    <cellStyle name="SAPBEXHLevel3 4 2 8" xfId="18589" xr:uid="{92BEB482-732F-430B-BD0E-907E7AB5A8B5}"/>
    <cellStyle name="SAPBEXHLevel3 4 2 8 2" xfId="33418" xr:uid="{10F0E144-2968-4CC3-95ED-F962FC1C5967}"/>
    <cellStyle name="SAPBEXHLevel3 4 2 9" xfId="18590" xr:uid="{C0DA6529-79CE-49AF-8584-4B5F90B2164F}"/>
    <cellStyle name="SAPBEXHLevel3 4 2 9 2" xfId="33419" xr:uid="{8AAA5E0E-4541-4EA1-9F30-F36B4676C82B}"/>
    <cellStyle name="SAPBEXHLevel3 4 3" xfId="18591" xr:uid="{1BB852E4-15C8-441E-B20E-6FA979072FBE}"/>
    <cellStyle name="SAPBEXHLevel3 4 3 2" xfId="33420" xr:uid="{FF791C3F-2C3D-43F8-99A5-E033401EA0DC}"/>
    <cellStyle name="SAPBEXHLevel3 4 4" xfId="18592" xr:uid="{137DF484-BB42-4FB0-8CD2-ECD68D2182F9}"/>
    <cellStyle name="SAPBEXHLevel3 4 4 2" xfId="33421" xr:uid="{F73D4931-0A5C-4E9E-9F60-115B5E8A5C38}"/>
    <cellStyle name="SAPBEXHLevel3 4 5" xfId="18593" xr:uid="{960D29AE-83F7-408E-9B93-F9F372EEE3EB}"/>
    <cellStyle name="SAPBEXHLevel3 4 5 2" xfId="33422" xr:uid="{F6CA2AD1-D459-4598-8512-CC35CFDCA98B}"/>
    <cellStyle name="SAPBEXHLevel3 4 6" xfId="18594" xr:uid="{BAC734C9-A829-4158-9B0B-EAEC7427E048}"/>
    <cellStyle name="SAPBEXHLevel3 4 6 2" xfId="33423" xr:uid="{33695367-EF39-4CE9-B34F-C455A8CD36F3}"/>
    <cellStyle name="SAPBEXHLevel3 4 7" xfId="18595" xr:uid="{5D51BF69-B223-4095-8217-46DE32F07AE1}"/>
    <cellStyle name="SAPBEXHLevel3 4 7 2" xfId="33424" xr:uid="{609AE6D9-78D4-4D46-92DB-426EF9A9D707}"/>
    <cellStyle name="SAPBEXHLevel3 4 8" xfId="18596" xr:uid="{43558705-C898-4AEC-8A39-DB064B268CD1}"/>
    <cellStyle name="SAPBEXHLevel3 4 8 2" xfId="33425" xr:uid="{15C02F0D-42AB-49A2-B1DE-AD28FC86C71A}"/>
    <cellStyle name="SAPBEXHLevel3 4 9" xfId="18597" xr:uid="{A8CD0854-AC2A-442B-B0B1-7B1781F066E8}"/>
    <cellStyle name="SAPBEXHLevel3 4 9 2" xfId="33426" xr:uid="{11C7C631-DF75-44B6-A3A3-80D0B657940A}"/>
    <cellStyle name="SAPBEXHLevel3 5" xfId="18598" xr:uid="{E3EEFEAA-CAE9-4A6D-A555-42452F3C630D}"/>
    <cellStyle name="SAPBEXHLevel3 5 10" xfId="18599" xr:uid="{FC282931-5F15-441D-AD31-F68D3B2F0BF1}"/>
    <cellStyle name="SAPBEXHLevel3 5 10 2" xfId="33428" xr:uid="{B07B7FA6-1C1C-49E4-A71E-FE6001808011}"/>
    <cellStyle name="SAPBEXHLevel3 5 11" xfId="18600" xr:uid="{E946CE5A-6835-4BB9-9F4D-7F9533172662}"/>
    <cellStyle name="SAPBEXHLevel3 5 11 2" xfId="33429" xr:uid="{33366E5E-F808-4D6F-A266-18B57C02E1E1}"/>
    <cellStyle name="SAPBEXHLevel3 5 12" xfId="18601" xr:uid="{25BB5052-9CB5-43BC-9165-8CC6790985EA}"/>
    <cellStyle name="SAPBEXHLevel3 5 12 2" xfId="33430" xr:uid="{79707766-F2BE-4CC3-84B0-0A75D7081570}"/>
    <cellStyle name="SAPBEXHLevel3 5 13" xfId="18602" xr:uid="{093508A7-BF90-467C-9B88-19CEB438172D}"/>
    <cellStyle name="SAPBEXHLevel3 5 13 2" xfId="33431" xr:uid="{7C36C8EB-F309-4F55-8EED-A21F491FE1F0}"/>
    <cellStyle name="SAPBEXHLevel3 5 14" xfId="18603" xr:uid="{2A634302-9D2B-41FF-951C-3A87CE3BF5A1}"/>
    <cellStyle name="SAPBEXHLevel3 5 14 2" xfId="33432" xr:uid="{BDE3131A-96F9-42E1-BF55-2431C1A273F5}"/>
    <cellStyle name="SAPBEXHLevel3 5 15" xfId="33427" xr:uid="{AFC7559A-75A2-482D-A22F-B68103E2B853}"/>
    <cellStyle name="SAPBEXHLevel3 5 2" xfId="18604" xr:uid="{3D49BA91-A1C4-4FD2-9AC9-99076E6B4802}"/>
    <cellStyle name="SAPBEXHLevel3 5 2 2" xfId="33433" xr:uid="{ECB11B69-7859-45A9-B665-10FDB4E89A79}"/>
    <cellStyle name="SAPBEXHLevel3 5 3" xfId="18605" xr:uid="{254161F3-0041-4CE8-9FE5-8D994E603630}"/>
    <cellStyle name="SAPBEXHLevel3 5 3 2" xfId="33434" xr:uid="{C47DDEB9-6A39-43C8-8C26-9C547EC690E3}"/>
    <cellStyle name="SAPBEXHLevel3 5 4" xfId="18606" xr:uid="{3E68C5F2-CD6B-4E33-BAED-BFB0615B029B}"/>
    <cellStyle name="SAPBEXHLevel3 5 4 2" xfId="33435" xr:uid="{8C4A0579-16A4-4045-B862-5D6E8179E7B6}"/>
    <cellStyle name="SAPBEXHLevel3 5 5" xfId="18607" xr:uid="{65530745-F6EC-4FB5-AA5F-D506F245C375}"/>
    <cellStyle name="SAPBEXHLevel3 5 5 2" xfId="33436" xr:uid="{20B60FB3-A775-4689-AF60-FCE89A3DBFEC}"/>
    <cellStyle name="SAPBEXHLevel3 5 6" xfId="18608" xr:uid="{D2CBC38D-50AF-4AE8-95B4-2C920220889A}"/>
    <cellStyle name="SAPBEXHLevel3 5 6 2" xfId="33437" xr:uid="{751814FC-8204-409E-BC21-F6F94C93C277}"/>
    <cellStyle name="SAPBEXHLevel3 5 7" xfId="18609" xr:uid="{B9F91FBC-EB2A-4711-B19B-C8052093ACF5}"/>
    <cellStyle name="SAPBEXHLevel3 5 7 2" xfId="33438" xr:uid="{4516A31C-0732-430F-9769-992C11043625}"/>
    <cellStyle name="SAPBEXHLevel3 5 8" xfId="18610" xr:uid="{A11371DD-DC8E-488C-97CE-F017C72C3015}"/>
    <cellStyle name="SAPBEXHLevel3 5 8 2" xfId="33439" xr:uid="{697D61D9-5D08-4E7D-8232-51DFFD3387C2}"/>
    <cellStyle name="SAPBEXHLevel3 5 9" xfId="18611" xr:uid="{32F1F6D0-B22C-41A0-A458-6C5807CABA23}"/>
    <cellStyle name="SAPBEXHLevel3 5 9 2" xfId="33440" xr:uid="{92CCE232-2373-49A5-A6F9-6086BC561B3A}"/>
    <cellStyle name="SAPBEXHLevel3 6" xfId="18612" xr:uid="{DBB52FB6-5405-4416-9CB9-983B7F15D9A7}"/>
    <cellStyle name="SAPBEXHLevel3 6 2" xfId="33441" xr:uid="{0F0600E0-DB8C-4964-94DE-F77A4813684D}"/>
    <cellStyle name="SAPBEXHLevel3 7" xfId="18613" xr:uid="{3916D23B-0C15-424A-B134-D15C078D0B86}"/>
    <cellStyle name="SAPBEXHLevel3 7 2" xfId="33442" xr:uid="{A4B82F1B-5A76-432F-91E8-1E3155F2F32C}"/>
    <cellStyle name="SAPBEXHLevel3 8" xfId="18614" xr:uid="{C405BCEA-AC92-4165-AE4B-24422C02F19F}"/>
    <cellStyle name="SAPBEXHLevel3 8 2" xfId="33443" xr:uid="{EEC70229-3F59-4949-AC9B-812132140A13}"/>
    <cellStyle name="SAPBEXHLevel3 9" xfId="18615" xr:uid="{35C2E3C0-FE5E-4B50-9D00-137A259C5090}"/>
    <cellStyle name="SAPBEXHLevel3 9 2" xfId="33444" xr:uid="{45A07B0F-340F-4D7A-9BE7-23255954CA85}"/>
    <cellStyle name="SAPBEXHLevel3X" xfId="18616" xr:uid="{88B9991B-CE8C-473F-9EF9-EBD221247EF4}"/>
    <cellStyle name="SAPBEXHLevel3X 10" xfId="18617" xr:uid="{9417F347-F6C7-4C24-AB8E-7C1239C31D01}"/>
    <cellStyle name="SAPBEXHLevel3X 10 2" xfId="33446" xr:uid="{C0AA78A7-A6BA-4385-A6A9-46E6C74AF061}"/>
    <cellStyle name="SAPBEXHLevel3X 11" xfId="18618" xr:uid="{36C40D5F-01DD-40BE-8D64-65DA4EEFD82C}"/>
    <cellStyle name="SAPBEXHLevel3X 11 2" xfId="33447" xr:uid="{ECFEA110-D0AA-409B-8E9F-D185541A447D}"/>
    <cellStyle name="SAPBEXHLevel3X 12" xfId="18619" xr:uid="{9D2BF63F-23FF-48E6-AE8D-559C7ACFB7E9}"/>
    <cellStyle name="SAPBEXHLevel3X 12 2" xfId="33448" xr:uid="{AFF067D5-EF2E-45D1-AE2A-EE7325DDFF3E}"/>
    <cellStyle name="SAPBEXHLevel3X 13" xfId="18620" xr:uid="{9B3DBBA9-56E0-497E-B8D6-AD7F08BC27E9}"/>
    <cellStyle name="SAPBEXHLevel3X 13 2" xfId="33449" xr:uid="{BCA41721-3DED-4CAE-8714-65263C95DAE1}"/>
    <cellStyle name="SAPBEXHLevel3X 14" xfId="18621" xr:uid="{F21C5FC3-A37D-4C1B-AA14-71DFD9D7465D}"/>
    <cellStyle name="SAPBEXHLevel3X 14 2" xfId="33450" xr:uid="{D9074E66-2AD5-41C6-BF85-C236E2E72340}"/>
    <cellStyle name="SAPBEXHLevel3X 15" xfId="18622" xr:uid="{AF53EC5D-0C42-498A-8548-C26E08305E21}"/>
    <cellStyle name="SAPBEXHLevel3X 15 2" xfId="33451" xr:uid="{A6422D9D-C449-4ABF-88F0-8913D8349208}"/>
    <cellStyle name="SAPBEXHLevel3X 16" xfId="18623" xr:uid="{E4BBB04C-16BB-4331-BEB0-097BC0239C67}"/>
    <cellStyle name="SAPBEXHLevel3X 16 2" xfId="33452" xr:uid="{57B22640-4D5A-43DA-8804-32FFA01BE559}"/>
    <cellStyle name="SAPBEXHLevel3X 17" xfId="18624" xr:uid="{6AA157FF-9D94-486B-AF61-D61C7BB7269A}"/>
    <cellStyle name="SAPBEXHLevel3X 17 2" xfId="33453" xr:uid="{5980ED89-9BBC-422D-B9A4-9F74013FEA2E}"/>
    <cellStyle name="SAPBEXHLevel3X 18" xfId="18625" xr:uid="{E27B4B68-296B-45C9-B088-3FD6C8A6DEAD}"/>
    <cellStyle name="SAPBEXHLevel3X 18 2" xfId="33454" xr:uid="{51A7AA9D-BC4F-447D-AE09-4F6EC3E2453F}"/>
    <cellStyle name="SAPBEXHLevel3X 19" xfId="18626" xr:uid="{F5989E91-89CD-4D2A-9405-AC240A2B49D4}"/>
    <cellStyle name="SAPBEXHLevel3X 19 2" xfId="33455" xr:uid="{C7DA2AFA-10EE-4B3E-A376-91E206BE1701}"/>
    <cellStyle name="SAPBEXHLevel3X 2" xfId="18627" xr:uid="{F29484B3-0D89-4CE9-85C0-433791B312B2}"/>
    <cellStyle name="SAPBEXHLevel3X 2 10" xfId="18628" xr:uid="{4E1304F0-5AC8-4BAA-9C4F-9B3DE0DD5B4A}"/>
    <cellStyle name="SAPBEXHLevel3X 2 10 2" xfId="33457" xr:uid="{153F6893-143C-4DF0-959F-6CF9F8D06D1D}"/>
    <cellStyle name="SAPBEXHLevel3X 2 11" xfId="18629" xr:uid="{81607D94-7052-4B70-A3F9-86DF5A9E7270}"/>
    <cellStyle name="SAPBEXHLevel3X 2 11 2" xfId="33458" xr:uid="{DE2A0222-4858-42D7-940B-6E9A3CA76418}"/>
    <cellStyle name="SAPBEXHLevel3X 2 12" xfId="18630" xr:uid="{87F8D850-A495-4E4A-8600-21497A158B04}"/>
    <cellStyle name="SAPBEXHLevel3X 2 12 2" xfId="33459" xr:uid="{A9B86F7C-E5EB-416B-8A3A-C04D3E03EFA0}"/>
    <cellStyle name="SAPBEXHLevel3X 2 13" xfId="18631" xr:uid="{674D5637-3DAB-4EBE-9CE7-7DEA8211CA1F}"/>
    <cellStyle name="SAPBEXHLevel3X 2 13 2" xfId="33460" xr:uid="{BCC07AB6-0687-4CC1-8A87-BDF4DBAEBEE7}"/>
    <cellStyle name="SAPBEXHLevel3X 2 14" xfId="18632" xr:uid="{BACB2AC2-BC13-4348-A594-87D3A71C3BA8}"/>
    <cellStyle name="SAPBEXHLevel3X 2 14 2" xfId="33461" xr:uid="{496A1676-1C52-4046-B53F-419C359D9D64}"/>
    <cellStyle name="SAPBEXHLevel3X 2 15" xfId="18633" xr:uid="{6886EE5A-C7A1-4F0E-9B82-619451571A67}"/>
    <cellStyle name="SAPBEXHLevel3X 2 15 2" xfId="33462" xr:uid="{AE3A5120-794E-4E66-BD63-73222F706C93}"/>
    <cellStyle name="SAPBEXHLevel3X 2 16" xfId="18634" xr:uid="{306D5349-A3A5-45E4-856A-A029CA9EE1B1}"/>
    <cellStyle name="SAPBEXHLevel3X 2 16 2" xfId="33463" xr:uid="{E1EA9A46-01A3-486B-966A-CF8FB9172FDA}"/>
    <cellStyle name="SAPBEXHLevel3X 2 17" xfId="18635" xr:uid="{07BBCA4F-269A-4D76-A544-4C1CA7D973C2}"/>
    <cellStyle name="SAPBEXHLevel3X 2 17 2" xfId="33464" xr:uid="{13B745E8-565B-4235-80EB-3186551F8025}"/>
    <cellStyle name="SAPBEXHLevel3X 2 18" xfId="18636" xr:uid="{DE312ED0-BC18-47B9-A3B8-AAC7E6C3DABC}"/>
    <cellStyle name="SAPBEXHLevel3X 2 18 2" xfId="33465" xr:uid="{0A53DF17-907A-487F-90D7-FF917C3FDC32}"/>
    <cellStyle name="SAPBEXHLevel3X 2 19" xfId="18637" xr:uid="{351E8B5B-147C-48E2-A05F-DE66F8DC6740}"/>
    <cellStyle name="SAPBEXHLevel3X 2 19 2" xfId="33466" xr:uid="{B3F00808-80C9-4415-ADF9-7B1AA2A97CF5}"/>
    <cellStyle name="SAPBEXHLevel3X 2 2" xfId="18638" xr:uid="{48A51DF6-98AF-4793-96F6-1EABFB4EAF2B}"/>
    <cellStyle name="SAPBEXHLevel3X 2 2 10" xfId="18639" xr:uid="{BB6C3B4C-93A5-4E41-9BAB-EC0E1C41379D}"/>
    <cellStyle name="SAPBEXHLevel3X 2 2 10 2" xfId="33468" xr:uid="{999B91E7-6319-4850-89ED-EBEC9028C356}"/>
    <cellStyle name="SAPBEXHLevel3X 2 2 11" xfId="18640" xr:uid="{215B76CB-1A89-4B63-89C5-E314EB068544}"/>
    <cellStyle name="SAPBEXHLevel3X 2 2 11 2" xfId="33469" xr:uid="{F8598426-072E-4C08-9B48-AC697C9B8791}"/>
    <cellStyle name="SAPBEXHLevel3X 2 2 12" xfId="18641" xr:uid="{131F184B-5820-41FE-BA59-00E40A339225}"/>
    <cellStyle name="SAPBEXHLevel3X 2 2 12 2" xfId="33470" xr:uid="{127D0C10-0AC2-4FB4-B2E3-9D19DEABA3AA}"/>
    <cellStyle name="SAPBEXHLevel3X 2 2 13" xfId="18642" xr:uid="{82FD6C84-F06E-4E87-9A4E-60465917F953}"/>
    <cellStyle name="SAPBEXHLevel3X 2 2 13 2" xfId="33471" xr:uid="{44930450-20E2-4F26-8D9B-ABB7857333BD}"/>
    <cellStyle name="SAPBEXHLevel3X 2 2 14" xfId="18643" xr:uid="{CF725F3A-11F7-4F94-99DB-0245E8BC6D85}"/>
    <cellStyle name="SAPBEXHLevel3X 2 2 14 2" xfId="33472" xr:uid="{F6EEFF0B-A7D0-46F7-B107-EA79711C5002}"/>
    <cellStyle name="SAPBEXHLevel3X 2 2 15" xfId="18644" xr:uid="{D9578766-B104-4923-A6D0-C509FE928669}"/>
    <cellStyle name="SAPBEXHLevel3X 2 2 15 2" xfId="33473" xr:uid="{99088201-F382-450F-9632-49B34E59FCA5}"/>
    <cellStyle name="SAPBEXHLevel3X 2 2 16" xfId="18645" xr:uid="{6987F7E9-3328-4DBB-A6A4-956640694326}"/>
    <cellStyle name="SAPBEXHLevel3X 2 2 16 2" xfId="33474" xr:uid="{EF023B0B-A012-4BAF-A17F-E57AE0905F10}"/>
    <cellStyle name="SAPBEXHLevel3X 2 2 17" xfId="18646" xr:uid="{324DAFEC-6074-42B3-85F5-530D48FC36F1}"/>
    <cellStyle name="SAPBEXHLevel3X 2 2 17 2" xfId="33475" xr:uid="{D036E233-EF1F-4F4B-91C5-6792C4E8249B}"/>
    <cellStyle name="SAPBEXHLevel3X 2 2 18" xfId="18647" xr:uid="{8D3AF95E-750F-41F9-B066-B21AAACE08F8}"/>
    <cellStyle name="SAPBEXHLevel3X 2 2 18 2" xfId="33476" xr:uid="{D8958518-563C-492F-99F2-E096B09FF431}"/>
    <cellStyle name="SAPBEXHLevel3X 2 2 19" xfId="33467" xr:uid="{4CB3D6BB-5DD8-4ABF-B0C6-DF1E7B317835}"/>
    <cellStyle name="SAPBEXHLevel3X 2 2 2" xfId="18648" xr:uid="{C8E1E59F-DE87-4C03-874E-D074EF6FAFC3}"/>
    <cellStyle name="SAPBEXHLevel3X 2 2 2 10" xfId="18649" xr:uid="{DE4F429B-D6DB-4627-A4D2-A1DE6F5DFD29}"/>
    <cellStyle name="SAPBEXHLevel3X 2 2 2 10 2" xfId="33478" xr:uid="{432F6FD6-2D3B-46C7-9375-F746FE0D449F}"/>
    <cellStyle name="SAPBEXHLevel3X 2 2 2 11" xfId="18650" xr:uid="{C8D2AC39-E4E1-463E-A2B5-5C6ED8244B0F}"/>
    <cellStyle name="SAPBEXHLevel3X 2 2 2 11 2" xfId="33479" xr:uid="{58D799A5-7372-4681-94A0-29D05294CE1A}"/>
    <cellStyle name="SAPBEXHLevel3X 2 2 2 12" xfId="18651" xr:uid="{801DF3B6-34F2-4524-BB9F-0A22DEB11019}"/>
    <cellStyle name="SAPBEXHLevel3X 2 2 2 12 2" xfId="33480" xr:uid="{8D217F45-AB95-4B1E-BF2E-2ABE79BED474}"/>
    <cellStyle name="SAPBEXHLevel3X 2 2 2 13" xfId="18652" xr:uid="{470E8420-43E9-4B25-AA8A-064D6CBD543F}"/>
    <cellStyle name="SAPBEXHLevel3X 2 2 2 13 2" xfId="33481" xr:uid="{AA74FE76-5C41-4694-B2AA-A36D86457838}"/>
    <cellStyle name="SAPBEXHLevel3X 2 2 2 14" xfId="18653" xr:uid="{53A50F9E-38F3-4251-AF22-9B8283411AAC}"/>
    <cellStyle name="SAPBEXHLevel3X 2 2 2 14 2" xfId="33482" xr:uid="{A61F1AEE-0D91-4709-882B-D5F4F22C6781}"/>
    <cellStyle name="SAPBEXHLevel3X 2 2 2 15" xfId="33477" xr:uid="{8CC9B130-9567-4674-895C-4BC5DA459051}"/>
    <cellStyle name="SAPBEXHLevel3X 2 2 2 2" xfId="18654" xr:uid="{4ED33C36-0350-49A9-80AE-7971A5E17B46}"/>
    <cellStyle name="SAPBEXHLevel3X 2 2 2 2 2" xfId="33483" xr:uid="{2E93D6AB-E3DA-4F7E-B250-B995F5519E44}"/>
    <cellStyle name="SAPBEXHLevel3X 2 2 2 3" xfId="18655" xr:uid="{C761E2CF-60E0-4068-AD32-44252B71DEDF}"/>
    <cellStyle name="SAPBEXHLevel3X 2 2 2 3 2" xfId="33484" xr:uid="{92629856-1D07-4BF8-B35E-B8645D2BE506}"/>
    <cellStyle name="SAPBEXHLevel3X 2 2 2 4" xfId="18656" xr:uid="{D9427D24-9A2A-44D8-87B8-C524BEC14228}"/>
    <cellStyle name="SAPBEXHLevel3X 2 2 2 4 2" xfId="33485" xr:uid="{730F8499-AE89-48F7-9F10-CECB35CAC9BB}"/>
    <cellStyle name="SAPBEXHLevel3X 2 2 2 5" xfId="18657" xr:uid="{3E231F1E-3987-4BEF-B75D-CFD6E7C4A476}"/>
    <cellStyle name="SAPBEXHLevel3X 2 2 2 5 2" xfId="33486" xr:uid="{D683A8E8-C2AA-4D31-BF55-525BB26F2039}"/>
    <cellStyle name="SAPBEXHLevel3X 2 2 2 6" xfId="18658" xr:uid="{9C76B93A-D16C-40CB-9EB2-89178289DA0F}"/>
    <cellStyle name="SAPBEXHLevel3X 2 2 2 6 2" xfId="33487" xr:uid="{48497AFF-671B-427A-B708-8B2EA7893871}"/>
    <cellStyle name="SAPBEXHLevel3X 2 2 2 7" xfId="18659" xr:uid="{1E4C6829-A277-4CE3-95EE-133839FBE607}"/>
    <cellStyle name="SAPBEXHLevel3X 2 2 2 7 2" xfId="33488" xr:uid="{8B49DAAC-A985-4D35-8442-20AB3F7DB9E6}"/>
    <cellStyle name="SAPBEXHLevel3X 2 2 2 8" xfId="18660" xr:uid="{3C62FB87-69EA-461A-8AA3-B0B540EE9C71}"/>
    <cellStyle name="SAPBEXHLevel3X 2 2 2 8 2" xfId="33489" xr:uid="{081C2223-0D5A-4CAD-B187-0AAEB09B7656}"/>
    <cellStyle name="SAPBEXHLevel3X 2 2 2 9" xfId="18661" xr:uid="{DD1D6F33-BC1D-4253-946F-D729A46AF4CA}"/>
    <cellStyle name="SAPBEXHLevel3X 2 2 2 9 2" xfId="33490" xr:uid="{8C8CC485-861B-4BE3-B08D-6280CB33E3DF}"/>
    <cellStyle name="SAPBEXHLevel3X 2 2 3" xfId="18662" xr:uid="{B9906C63-DB1F-4DA1-BB50-6D927A1092F9}"/>
    <cellStyle name="SAPBEXHLevel3X 2 2 3 2" xfId="33491" xr:uid="{73C71049-6D14-4AC6-888C-22D5315CF875}"/>
    <cellStyle name="SAPBEXHLevel3X 2 2 4" xfId="18663" xr:uid="{1823427A-81F5-4A72-BBA8-A77A2213E6E4}"/>
    <cellStyle name="SAPBEXHLevel3X 2 2 4 2" xfId="33492" xr:uid="{C2015EEB-A3E8-4AAF-86B7-367AEF810C23}"/>
    <cellStyle name="SAPBEXHLevel3X 2 2 5" xfId="18664" xr:uid="{2C71BB81-DADC-4914-9AF4-5E39F6BC48A6}"/>
    <cellStyle name="SAPBEXHLevel3X 2 2 5 2" xfId="33493" xr:uid="{73C1E552-1C27-4B7E-AF12-36B8B97EF16B}"/>
    <cellStyle name="SAPBEXHLevel3X 2 2 6" xfId="18665" xr:uid="{CF2DEC0E-6D43-4F98-9C4E-7C8508E535FA}"/>
    <cellStyle name="SAPBEXHLevel3X 2 2 6 2" xfId="33494" xr:uid="{6A485D60-038C-4FB3-AB41-69652068A422}"/>
    <cellStyle name="SAPBEXHLevel3X 2 2 7" xfId="18666" xr:uid="{CD77FCB3-4D31-4260-9380-D656B2420645}"/>
    <cellStyle name="SAPBEXHLevel3X 2 2 7 2" xfId="33495" xr:uid="{9FD48177-2406-4660-80FC-78429CCD768A}"/>
    <cellStyle name="SAPBEXHLevel3X 2 2 8" xfId="18667" xr:uid="{CF35ECB5-4E62-411D-A346-C0C7316C23BB}"/>
    <cellStyle name="SAPBEXHLevel3X 2 2 8 2" xfId="33496" xr:uid="{AD5340CD-03F2-48D7-B2EF-FB24F6B22CD2}"/>
    <cellStyle name="SAPBEXHLevel3X 2 2 9" xfId="18668" xr:uid="{A5CF31D0-2C8B-426A-B114-C53AE2B35FFD}"/>
    <cellStyle name="SAPBEXHLevel3X 2 2 9 2" xfId="33497" xr:uid="{C1AB2C9E-E46F-401D-8BFF-FC85EEA29720}"/>
    <cellStyle name="SAPBEXHLevel3X 2 20" xfId="33456" xr:uid="{818F9DE5-FDF0-49C4-995F-4578F1377A32}"/>
    <cellStyle name="SAPBEXHLevel3X 2 3" xfId="18669" xr:uid="{05825A8C-ECF9-4247-9FF4-D1A79045A246}"/>
    <cellStyle name="SAPBEXHLevel3X 2 3 10" xfId="18670" xr:uid="{7F1A9EA9-1186-4CDF-A2D7-61443BE124AC}"/>
    <cellStyle name="SAPBEXHLevel3X 2 3 10 2" xfId="33499" xr:uid="{4D35AABF-5460-481B-903F-6095EC9D08D1}"/>
    <cellStyle name="SAPBEXHLevel3X 2 3 11" xfId="18671" xr:uid="{4EE20B1C-1F67-42C0-9868-0EE6282774DC}"/>
    <cellStyle name="SAPBEXHLevel3X 2 3 11 2" xfId="33500" xr:uid="{3C1E91BC-F62E-4E91-875B-D32C0C8FF449}"/>
    <cellStyle name="SAPBEXHLevel3X 2 3 12" xfId="18672" xr:uid="{BB13F3C9-54D5-4513-B28C-966BF6614547}"/>
    <cellStyle name="SAPBEXHLevel3X 2 3 12 2" xfId="33501" xr:uid="{E35AA532-466F-44E3-83D9-B8D222216F9D}"/>
    <cellStyle name="SAPBEXHLevel3X 2 3 13" xfId="18673" xr:uid="{FF6A309A-15CE-4FCC-977F-07D290E0ECD4}"/>
    <cellStyle name="SAPBEXHLevel3X 2 3 13 2" xfId="33502" xr:uid="{1045FCB0-C958-430E-B4A3-68AE8B9E4A20}"/>
    <cellStyle name="SAPBEXHLevel3X 2 3 14" xfId="18674" xr:uid="{AB844C9E-47DF-40A4-82BB-69E6488FE2FC}"/>
    <cellStyle name="SAPBEXHLevel3X 2 3 14 2" xfId="33503" xr:uid="{305ECDC4-E5FC-4790-90DA-F2B443CC83CF}"/>
    <cellStyle name="SAPBEXHLevel3X 2 3 15" xfId="33498" xr:uid="{5A921BAA-2A2F-4995-879A-440511D31B99}"/>
    <cellStyle name="SAPBEXHLevel3X 2 3 2" xfId="18675" xr:uid="{25039A4C-3E17-48EA-AAA1-F777046CAF4E}"/>
    <cellStyle name="SAPBEXHLevel3X 2 3 2 2" xfId="33504" xr:uid="{EF21CDA4-0366-4ED6-8008-428AA81C2347}"/>
    <cellStyle name="SAPBEXHLevel3X 2 3 3" xfId="18676" xr:uid="{5B3FC16B-4FB4-4251-87B6-BC88B4E40102}"/>
    <cellStyle name="SAPBEXHLevel3X 2 3 3 2" xfId="33505" xr:uid="{47387113-2982-432B-9A9A-2CC348C818AD}"/>
    <cellStyle name="SAPBEXHLevel3X 2 3 4" xfId="18677" xr:uid="{AB564F33-B2C3-408E-B00F-A83EA1AB3910}"/>
    <cellStyle name="SAPBEXHLevel3X 2 3 4 2" xfId="33506" xr:uid="{B87CB6DE-471F-4DFC-A5B5-AA71DE6D3A0F}"/>
    <cellStyle name="SAPBEXHLevel3X 2 3 5" xfId="18678" xr:uid="{DC7DDA33-3496-4AE0-AEB3-250FBB52F12A}"/>
    <cellStyle name="SAPBEXHLevel3X 2 3 5 2" xfId="33507" xr:uid="{F091A639-3E84-4B1F-8219-20C58C0F9E5D}"/>
    <cellStyle name="SAPBEXHLevel3X 2 3 6" xfId="18679" xr:uid="{295E8AD6-716F-4315-8EC9-4B3482708896}"/>
    <cellStyle name="SAPBEXHLevel3X 2 3 6 2" xfId="33508" xr:uid="{128F55F0-965C-4B82-B8BE-D803C05729FE}"/>
    <cellStyle name="SAPBEXHLevel3X 2 3 7" xfId="18680" xr:uid="{B1D83114-9C39-40F6-A860-C946C8C80FB2}"/>
    <cellStyle name="SAPBEXHLevel3X 2 3 7 2" xfId="33509" xr:uid="{36483B75-D91F-433D-B306-24E3D779B6CC}"/>
    <cellStyle name="SAPBEXHLevel3X 2 3 8" xfId="18681" xr:uid="{CBE66B5F-13A2-48C9-8EF3-37F48B3CD7BB}"/>
    <cellStyle name="SAPBEXHLevel3X 2 3 8 2" xfId="33510" xr:uid="{C6920CD4-B539-4A88-BAD3-BB51B5A74DB9}"/>
    <cellStyle name="SAPBEXHLevel3X 2 3 9" xfId="18682" xr:uid="{720BEEE1-838D-463C-9775-0DB7DEEFA825}"/>
    <cellStyle name="SAPBEXHLevel3X 2 3 9 2" xfId="33511" xr:uid="{5B499C5D-E7BF-4F5D-BFDB-6CD8D2A97ED6}"/>
    <cellStyle name="SAPBEXHLevel3X 2 4" xfId="18683" xr:uid="{C714684F-81E2-4911-9BA1-5FF776D0CB34}"/>
    <cellStyle name="SAPBEXHLevel3X 2 4 2" xfId="33512" xr:uid="{6514A4BB-FCB4-48E2-B481-EFA98E8B8B33}"/>
    <cellStyle name="SAPBEXHLevel3X 2 5" xfId="18684" xr:uid="{9651696C-312A-46F9-8C36-072833F6C2D3}"/>
    <cellStyle name="SAPBEXHLevel3X 2 5 2" xfId="33513" xr:uid="{3E1D1E99-41B9-4AD9-98F8-B9F0CE905AD1}"/>
    <cellStyle name="SAPBEXHLevel3X 2 6" xfId="18685" xr:uid="{39955153-12B2-4E71-9836-86E0B1E5E4D2}"/>
    <cellStyle name="SAPBEXHLevel3X 2 6 2" xfId="33514" xr:uid="{9C1B262D-1F0C-46F6-8483-43DA91FBE88A}"/>
    <cellStyle name="SAPBEXHLevel3X 2 7" xfId="18686" xr:uid="{AD48C7C1-FB2B-49FB-88D5-A986FF06CB6B}"/>
    <cellStyle name="SAPBEXHLevel3X 2 7 2" xfId="33515" xr:uid="{7E662108-453E-4B1E-B5FA-6A63EFB944CC}"/>
    <cellStyle name="SAPBEXHLevel3X 2 8" xfId="18687" xr:uid="{F623BDD7-103F-4B2F-B740-8218591C9912}"/>
    <cellStyle name="SAPBEXHLevel3X 2 8 2" xfId="33516" xr:uid="{9BADDC0B-FF93-4BF9-81E9-E4C210FFDC0E}"/>
    <cellStyle name="SAPBEXHLevel3X 2 9" xfId="18688" xr:uid="{F037E3EC-718E-438B-8785-7001E4EDFAAD}"/>
    <cellStyle name="SAPBEXHLevel3X 2 9 2" xfId="33517" xr:uid="{6A52FA44-DED2-4771-AE79-A58A344596B5}"/>
    <cellStyle name="SAPBEXHLevel3X 20" xfId="18689" xr:uid="{C034DB24-7BFF-4445-8FEE-8FE55595D83C}"/>
    <cellStyle name="SAPBEXHLevel3X 20 2" xfId="33518" xr:uid="{768985EA-84FB-4C5D-8F44-5D2AB37CE67A}"/>
    <cellStyle name="SAPBEXHLevel3X 21" xfId="18690" xr:uid="{1A3CFFE2-8896-46E6-8A0B-E4EAA4AA606A}"/>
    <cellStyle name="SAPBEXHLevel3X 21 2" xfId="33519" xr:uid="{4536E7AC-4AAC-47BB-A4F6-169A51B27B44}"/>
    <cellStyle name="SAPBEXHLevel3X 22" xfId="33445" xr:uid="{8A08885F-37D7-4533-A573-DBD4FF614941}"/>
    <cellStyle name="SAPBEXHLevel3X 3" xfId="18691" xr:uid="{A38E5576-6217-456D-A0C2-F945E256A255}"/>
    <cellStyle name="SAPBEXHLevel3X 3 10" xfId="18692" xr:uid="{76CD0996-FF63-49E1-89A5-E90B8C63009D}"/>
    <cellStyle name="SAPBEXHLevel3X 3 10 2" xfId="33521" xr:uid="{7097D8AB-5888-4D47-8778-51A56F45A7DE}"/>
    <cellStyle name="SAPBEXHLevel3X 3 11" xfId="18693" xr:uid="{A146E4E6-6A00-44FC-B54B-5D186B4E93E7}"/>
    <cellStyle name="SAPBEXHLevel3X 3 11 2" xfId="33522" xr:uid="{DE4FDDDA-BF78-4171-86DD-4CEDF4EFB327}"/>
    <cellStyle name="SAPBEXHLevel3X 3 12" xfId="18694" xr:uid="{9172A164-2C58-4C84-8917-191712404094}"/>
    <cellStyle name="SAPBEXHLevel3X 3 12 2" xfId="33523" xr:uid="{460E368D-77C7-4E59-96E9-03FC998D2D7F}"/>
    <cellStyle name="SAPBEXHLevel3X 3 13" xfId="18695" xr:uid="{33ED8E97-1B94-4845-AC13-8905920983FA}"/>
    <cellStyle name="SAPBEXHLevel3X 3 13 2" xfId="33524" xr:uid="{28E82D01-1B47-4789-9A85-CEC9826B4B25}"/>
    <cellStyle name="SAPBEXHLevel3X 3 14" xfId="18696" xr:uid="{9CCBA905-556C-4109-B0B0-EA8348A92DEB}"/>
    <cellStyle name="SAPBEXHLevel3X 3 14 2" xfId="33525" xr:uid="{70C4A809-0A9B-408A-BDF2-BA4316E197EB}"/>
    <cellStyle name="SAPBEXHLevel3X 3 15" xfId="18697" xr:uid="{8EB60B75-8E6C-4613-A396-6ADDC85E0DC0}"/>
    <cellStyle name="SAPBEXHLevel3X 3 15 2" xfId="33526" xr:uid="{FA744C7C-709D-40DB-9857-6302F20B1D87}"/>
    <cellStyle name="SAPBEXHLevel3X 3 16" xfId="18698" xr:uid="{A99848C9-8858-4323-A7F2-0E269E6F5916}"/>
    <cellStyle name="SAPBEXHLevel3X 3 16 2" xfId="33527" xr:uid="{BEFF8BAC-44A6-437C-B950-570CFB40E7FF}"/>
    <cellStyle name="SAPBEXHLevel3X 3 17" xfId="18699" xr:uid="{D5681E03-E2EF-4CAF-A391-BE3BFA706127}"/>
    <cellStyle name="SAPBEXHLevel3X 3 17 2" xfId="33528" xr:uid="{6FDB249C-03AA-4DB3-AE57-D2EAF3D7043E}"/>
    <cellStyle name="SAPBEXHLevel3X 3 18" xfId="18700" xr:uid="{E4744F6F-4F0C-4420-A9E6-23FEBCB19592}"/>
    <cellStyle name="SAPBEXHLevel3X 3 18 2" xfId="33529" xr:uid="{C1C2F87B-787C-40D8-A299-6259C49C3630}"/>
    <cellStyle name="SAPBEXHLevel3X 3 19" xfId="18701" xr:uid="{9E8A293B-CE6A-4DFE-81F7-BCEAAC7A5ADC}"/>
    <cellStyle name="SAPBEXHLevel3X 3 19 2" xfId="33530" xr:uid="{70344661-6C09-4EB8-8903-C69E1EE79C69}"/>
    <cellStyle name="SAPBEXHLevel3X 3 2" xfId="18702" xr:uid="{0AAA1462-3434-4AE3-8944-BADA0CBF8E79}"/>
    <cellStyle name="SAPBEXHLevel3X 3 2 10" xfId="18703" xr:uid="{D8F6D838-E1E1-4B83-8764-924B27AD734A}"/>
    <cellStyle name="SAPBEXHLevel3X 3 2 10 2" xfId="33532" xr:uid="{D8EFB9DF-0BF5-4057-8EFD-BD09F07B2D95}"/>
    <cellStyle name="SAPBEXHLevel3X 3 2 11" xfId="18704" xr:uid="{686E7DA9-4296-4FDA-8CD9-67F15E6DCC75}"/>
    <cellStyle name="SAPBEXHLevel3X 3 2 11 2" xfId="33533" xr:uid="{9B160CA4-E996-4947-A281-8C7E0D308CB3}"/>
    <cellStyle name="SAPBEXHLevel3X 3 2 12" xfId="18705" xr:uid="{97B9E8B6-A6E8-46B9-846C-0F20C37A92B6}"/>
    <cellStyle name="SAPBEXHLevel3X 3 2 12 2" xfId="33534" xr:uid="{1265AEE4-C628-44E3-AB13-8C787A5BE0DA}"/>
    <cellStyle name="SAPBEXHLevel3X 3 2 13" xfId="18706" xr:uid="{4E4AEB1A-92D3-400D-A583-C5CC8C6EC3B5}"/>
    <cellStyle name="SAPBEXHLevel3X 3 2 13 2" xfId="33535" xr:uid="{E18EF358-95A0-45CC-8D2D-6D6CDA00C4D8}"/>
    <cellStyle name="SAPBEXHLevel3X 3 2 14" xfId="18707" xr:uid="{E401FFF0-599D-4E55-A9DF-1A112EF39F76}"/>
    <cellStyle name="SAPBEXHLevel3X 3 2 14 2" xfId="33536" xr:uid="{7EE6FA49-1DD7-4387-8A11-37F0CF7F4F4C}"/>
    <cellStyle name="SAPBEXHLevel3X 3 2 15" xfId="18708" xr:uid="{F477C0F6-4EE5-4D3D-80BF-BEB46EA8834B}"/>
    <cellStyle name="SAPBEXHLevel3X 3 2 15 2" xfId="33537" xr:uid="{1503B34F-7C9F-4C91-A67D-E8CEDC1A114F}"/>
    <cellStyle name="SAPBEXHLevel3X 3 2 16" xfId="18709" xr:uid="{E0726CBB-A770-4F02-A896-CF91220A7C86}"/>
    <cellStyle name="SAPBEXHLevel3X 3 2 16 2" xfId="33538" xr:uid="{34908A4D-94A7-43C6-BFD6-2D2B33E9D7D8}"/>
    <cellStyle name="SAPBEXHLevel3X 3 2 17" xfId="18710" xr:uid="{857FCC31-3C16-4602-AE26-9584B8AEADAF}"/>
    <cellStyle name="SAPBEXHLevel3X 3 2 17 2" xfId="33539" xr:uid="{F944CA9F-FC68-4177-989F-F8DBBF684655}"/>
    <cellStyle name="SAPBEXHLevel3X 3 2 18" xfId="18711" xr:uid="{26676329-5EC8-473B-A4C0-4CFD83CB0B9A}"/>
    <cellStyle name="SAPBEXHLevel3X 3 2 18 2" xfId="33540" xr:uid="{EE5F21CF-DBF1-482D-9E8E-E390B5A0A8CE}"/>
    <cellStyle name="SAPBEXHLevel3X 3 2 19" xfId="33531" xr:uid="{24A7D85E-4736-4E2E-AA76-A4104B6D0500}"/>
    <cellStyle name="SAPBEXHLevel3X 3 2 2" xfId="18712" xr:uid="{DE5A71B7-2FCC-4D7A-926D-2645BB8E08C3}"/>
    <cellStyle name="SAPBEXHLevel3X 3 2 2 10" xfId="18713" xr:uid="{8AA7E789-9CA1-4133-8781-D1CAB137EB41}"/>
    <cellStyle name="SAPBEXHLevel3X 3 2 2 10 2" xfId="33542" xr:uid="{749EC3F9-1712-45B6-8B53-0650709659D7}"/>
    <cellStyle name="SAPBEXHLevel3X 3 2 2 11" xfId="18714" xr:uid="{3890D716-1FC6-4957-A065-43A3CCB5FF89}"/>
    <cellStyle name="SAPBEXHLevel3X 3 2 2 11 2" xfId="33543" xr:uid="{95C699B2-88B7-466D-A35B-A6A666E6B1C7}"/>
    <cellStyle name="SAPBEXHLevel3X 3 2 2 12" xfId="18715" xr:uid="{4E3DAC94-7043-4A71-97F9-D2641DF7EDC5}"/>
    <cellStyle name="SAPBEXHLevel3X 3 2 2 12 2" xfId="33544" xr:uid="{998A0976-B96F-45BA-912E-CFB6E1F79CE8}"/>
    <cellStyle name="SAPBEXHLevel3X 3 2 2 13" xfId="18716" xr:uid="{17BA60C4-04F9-4EFE-ACEF-D9C7DAD75724}"/>
    <cellStyle name="SAPBEXHLevel3X 3 2 2 13 2" xfId="33545" xr:uid="{D1B3A82B-7644-4E5F-B1FD-7BA091440171}"/>
    <cellStyle name="SAPBEXHLevel3X 3 2 2 14" xfId="18717" xr:uid="{0700DF3D-6504-4561-8369-8627889EA214}"/>
    <cellStyle name="SAPBEXHLevel3X 3 2 2 14 2" xfId="33546" xr:uid="{82775098-9F24-4CF3-89B3-CA81AF21D9A8}"/>
    <cellStyle name="SAPBEXHLevel3X 3 2 2 15" xfId="33541" xr:uid="{04915D0A-3C67-4266-9934-D923AA995892}"/>
    <cellStyle name="SAPBEXHLevel3X 3 2 2 2" xfId="18718" xr:uid="{656FCD72-DE05-45C6-926F-D68B37E3BAB4}"/>
    <cellStyle name="SAPBEXHLevel3X 3 2 2 2 2" xfId="33547" xr:uid="{517EC1F5-BDDB-414B-957B-FB389F8A5B0B}"/>
    <cellStyle name="SAPBEXHLevel3X 3 2 2 3" xfId="18719" xr:uid="{022F322E-29C3-48BD-8274-BD4EEC80DB81}"/>
    <cellStyle name="SAPBEXHLevel3X 3 2 2 3 2" xfId="33548" xr:uid="{85561E45-102B-4EAB-B7CF-16EF058EFDA9}"/>
    <cellStyle name="SAPBEXHLevel3X 3 2 2 4" xfId="18720" xr:uid="{69396FBB-5563-4314-9FB9-376C6ABAA3B8}"/>
    <cellStyle name="SAPBEXHLevel3X 3 2 2 4 2" xfId="33549" xr:uid="{9482DD94-148B-4BDD-9ED5-92B6B2ECB6D4}"/>
    <cellStyle name="SAPBEXHLevel3X 3 2 2 5" xfId="18721" xr:uid="{885A4488-7565-44D1-8B93-D1688C22408C}"/>
    <cellStyle name="SAPBEXHLevel3X 3 2 2 5 2" xfId="33550" xr:uid="{B6543CDC-3486-44E3-A7E3-B366539E030F}"/>
    <cellStyle name="SAPBEXHLevel3X 3 2 2 6" xfId="18722" xr:uid="{BFB9454F-A370-4C15-BEBA-F8B47DD0EA12}"/>
    <cellStyle name="SAPBEXHLevel3X 3 2 2 6 2" xfId="33551" xr:uid="{3F0BE584-333F-4D32-B914-D41AD94485F4}"/>
    <cellStyle name="SAPBEXHLevel3X 3 2 2 7" xfId="18723" xr:uid="{85DE6B3D-9681-456D-BB57-F27EF6AD16F3}"/>
    <cellStyle name="SAPBEXHLevel3X 3 2 2 7 2" xfId="33552" xr:uid="{D50D8C21-9C9F-4431-B18C-92B01CD3585E}"/>
    <cellStyle name="SAPBEXHLevel3X 3 2 2 8" xfId="18724" xr:uid="{E639248A-57A0-4553-9078-E8CDBA536571}"/>
    <cellStyle name="SAPBEXHLevel3X 3 2 2 8 2" xfId="33553" xr:uid="{03875CF8-0664-4883-B97B-6C8A7F6ECB33}"/>
    <cellStyle name="SAPBEXHLevel3X 3 2 2 9" xfId="18725" xr:uid="{C91C4F5C-62D5-48EF-8162-C4EAE90FD3B8}"/>
    <cellStyle name="SAPBEXHLevel3X 3 2 2 9 2" xfId="33554" xr:uid="{C4BAD770-E1A7-41EE-A599-5257AF6F9C80}"/>
    <cellStyle name="SAPBEXHLevel3X 3 2 3" xfId="18726" xr:uid="{AB503E72-E850-4743-A036-D7090C551F73}"/>
    <cellStyle name="SAPBEXHLevel3X 3 2 3 2" xfId="33555" xr:uid="{6CA40E1E-9C51-4036-B1AF-7876778ECE35}"/>
    <cellStyle name="SAPBEXHLevel3X 3 2 4" xfId="18727" xr:uid="{DB91B10D-129A-4C9D-94FA-1C21A01379E4}"/>
    <cellStyle name="SAPBEXHLevel3X 3 2 4 2" xfId="33556" xr:uid="{D7E45DB5-0460-4151-92F6-2A7FA901CB08}"/>
    <cellStyle name="SAPBEXHLevel3X 3 2 5" xfId="18728" xr:uid="{8547C4A8-61B8-4BCB-9DA5-CE76C4175FD9}"/>
    <cellStyle name="SAPBEXHLevel3X 3 2 5 2" xfId="33557" xr:uid="{874B95CA-B914-4C30-A813-198CDEA9E3E3}"/>
    <cellStyle name="SAPBEXHLevel3X 3 2 6" xfId="18729" xr:uid="{43604519-CEDA-4594-9EDD-640937F6A237}"/>
    <cellStyle name="SAPBEXHLevel3X 3 2 6 2" xfId="33558" xr:uid="{43634513-F9E2-49D3-B4E0-CB496E020786}"/>
    <cellStyle name="SAPBEXHLevel3X 3 2 7" xfId="18730" xr:uid="{B246D13F-31ED-4910-A0C2-E9B6C1AEC610}"/>
    <cellStyle name="SAPBEXHLevel3X 3 2 7 2" xfId="33559" xr:uid="{FFBBEC3E-BC96-44C9-B584-A3EC18E8C415}"/>
    <cellStyle name="SAPBEXHLevel3X 3 2 8" xfId="18731" xr:uid="{1CBE9BEA-73A6-424C-831C-F2A91C1CA8D2}"/>
    <cellStyle name="SAPBEXHLevel3X 3 2 8 2" xfId="33560" xr:uid="{13B3173A-91C8-4632-85B8-DBB721277EB6}"/>
    <cellStyle name="SAPBEXHLevel3X 3 2 9" xfId="18732" xr:uid="{51563D9D-5D7F-49D3-87BF-F68058EFEFCC}"/>
    <cellStyle name="SAPBEXHLevel3X 3 2 9 2" xfId="33561" xr:uid="{25DA8B1C-B105-4B7E-A19B-0BC5DA4DB5F1}"/>
    <cellStyle name="SAPBEXHLevel3X 3 20" xfId="33520" xr:uid="{6C55DF04-24B7-4778-ADF5-96A28F24E0B5}"/>
    <cellStyle name="SAPBEXHLevel3X 3 3" xfId="18733" xr:uid="{83D35B31-9224-4A37-8377-2CDBD50FEC3D}"/>
    <cellStyle name="SAPBEXHLevel3X 3 3 10" xfId="18734" xr:uid="{DF0C9FDB-A42F-4E19-ADAD-16654DED26E4}"/>
    <cellStyle name="SAPBEXHLevel3X 3 3 10 2" xfId="33563" xr:uid="{DC9796D0-FA89-4818-A9F9-FA3AA7239BEF}"/>
    <cellStyle name="SAPBEXHLevel3X 3 3 11" xfId="18735" xr:uid="{E2A22976-19F1-4672-BF82-18308598B01C}"/>
    <cellStyle name="SAPBEXHLevel3X 3 3 11 2" xfId="33564" xr:uid="{B3C777DB-4348-46D8-B841-9865A9251442}"/>
    <cellStyle name="SAPBEXHLevel3X 3 3 12" xfId="18736" xr:uid="{DF2BA1F6-35A6-4559-8947-42EF2AA323E1}"/>
    <cellStyle name="SAPBEXHLevel3X 3 3 12 2" xfId="33565" xr:uid="{30F8AE19-9C70-464C-AD89-CD5CB11C142C}"/>
    <cellStyle name="SAPBEXHLevel3X 3 3 13" xfId="18737" xr:uid="{713C239A-5C0C-4A77-B413-F6E2E07C4874}"/>
    <cellStyle name="SAPBEXHLevel3X 3 3 13 2" xfId="33566" xr:uid="{E3B89618-71B2-4949-BF83-1DC484670AAA}"/>
    <cellStyle name="SAPBEXHLevel3X 3 3 14" xfId="18738" xr:uid="{88E5560F-F9F8-4F79-B89F-555F70B35354}"/>
    <cellStyle name="SAPBEXHLevel3X 3 3 14 2" xfId="33567" xr:uid="{EC8E7BB2-0DBC-4C05-8DB0-38B1F61E7996}"/>
    <cellStyle name="SAPBEXHLevel3X 3 3 15" xfId="33562" xr:uid="{AB27AB24-EB13-439D-AEE4-65EE2862AF9C}"/>
    <cellStyle name="SAPBEXHLevel3X 3 3 2" xfId="18739" xr:uid="{A501C01A-94EC-4974-923E-DFFCFBD40C3F}"/>
    <cellStyle name="SAPBEXHLevel3X 3 3 2 2" xfId="33568" xr:uid="{6AEBF622-EF8C-4691-8B74-A608B60EC99A}"/>
    <cellStyle name="SAPBEXHLevel3X 3 3 3" xfId="18740" xr:uid="{C0A35F9F-032F-40B8-90EA-BCE2C739A369}"/>
    <cellStyle name="SAPBEXHLevel3X 3 3 3 2" xfId="33569" xr:uid="{84F3111A-E215-4DEA-AD5C-29C1BFEB8706}"/>
    <cellStyle name="SAPBEXHLevel3X 3 3 4" xfId="18741" xr:uid="{183BFA76-A97B-4806-8B3A-2FF155746B80}"/>
    <cellStyle name="SAPBEXHLevel3X 3 3 4 2" xfId="33570" xr:uid="{BBE9F121-9993-4072-BC15-01BC84FE02C8}"/>
    <cellStyle name="SAPBEXHLevel3X 3 3 5" xfId="18742" xr:uid="{8FF64D49-19A8-4960-ADB9-417343361795}"/>
    <cellStyle name="SAPBEXHLevel3X 3 3 5 2" xfId="33571" xr:uid="{5DC90B2B-4425-4636-A6D1-A2BD0DDAB33B}"/>
    <cellStyle name="SAPBEXHLevel3X 3 3 6" xfId="18743" xr:uid="{53F91FE5-232A-476E-A8C0-45F6BE9F34EA}"/>
    <cellStyle name="SAPBEXHLevel3X 3 3 6 2" xfId="33572" xr:uid="{A90BE6E7-9B5D-42AD-AFE5-BBDF5BE9AFCD}"/>
    <cellStyle name="SAPBEXHLevel3X 3 3 7" xfId="18744" xr:uid="{F15249C0-5A74-47C3-AB55-11AF201703FB}"/>
    <cellStyle name="SAPBEXHLevel3X 3 3 7 2" xfId="33573" xr:uid="{834B8750-E1D0-4A9C-8CDA-0ECE5ED501F2}"/>
    <cellStyle name="SAPBEXHLevel3X 3 3 8" xfId="18745" xr:uid="{6FE42CB5-FAFC-405E-87D4-A5660D809492}"/>
    <cellStyle name="SAPBEXHLevel3X 3 3 8 2" xfId="33574" xr:uid="{804F9EF5-85E6-4955-84B2-96764CDA39C6}"/>
    <cellStyle name="SAPBEXHLevel3X 3 3 9" xfId="18746" xr:uid="{BA2E5969-E6B9-4933-9F60-F41E7CB0440D}"/>
    <cellStyle name="SAPBEXHLevel3X 3 3 9 2" xfId="33575" xr:uid="{D1E8D485-2E66-4B3C-BA1F-8E52DC931CDD}"/>
    <cellStyle name="SAPBEXHLevel3X 3 4" xfId="18747" xr:uid="{6F45E264-BA63-42C9-BE3C-D7389CD1A87E}"/>
    <cellStyle name="SAPBEXHLevel3X 3 4 2" xfId="33576" xr:uid="{FA94BD93-5FE2-4956-8668-C332D937EB35}"/>
    <cellStyle name="SAPBEXHLevel3X 3 5" xfId="18748" xr:uid="{3CB4DAB9-D7EC-4CD7-8C3E-8AEF7D88081F}"/>
    <cellStyle name="SAPBEXHLevel3X 3 5 2" xfId="33577" xr:uid="{687FD6EA-1431-494E-B1F6-ADABCD03788D}"/>
    <cellStyle name="SAPBEXHLevel3X 3 6" xfId="18749" xr:uid="{BCD8A623-868C-40AA-BBB9-9F85C2357B27}"/>
    <cellStyle name="SAPBEXHLevel3X 3 6 2" xfId="33578" xr:uid="{034DC493-342B-4572-BB7C-704629A8EF05}"/>
    <cellStyle name="SAPBEXHLevel3X 3 7" xfId="18750" xr:uid="{7C576A8A-B9CC-422D-90E2-DE68FABD2C04}"/>
    <cellStyle name="SAPBEXHLevel3X 3 7 2" xfId="33579" xr:uid="{9A313165-E627-43F8-9199-DA9BB0E5C74C}"/>
    <cellStyle name="SAPBEXHLevel3X 3 8" xfId="18751" xr:uid="{D79725B9-797D-4915-B279-4DEBD9164423}"/>
    <cellStyle name="SAPBEXHLevel3X 3 8 2" xfId="33580" xr:uid="{5098059E-C46A-4187-99A3-420F7DA8E676}"/>
    <cellStyle name="SAPBEXHLevel3X 3 9" xfId="18752" xr:uid="{68F297A4-BC4C-48A1-B4D1-29AF403A5F03}"/>
    <cellStyle name="SAPBEXHLevel3X 3 9 2" xfId="33581" xr:uid="{2ACF26F8-EF39-4767-A95D-E2DA564CC17D}"/>
    <cellStyle name="SAPBEXHLevel3X 4" xfId="18753" xr:uid="{BE9F5661-C09A-4B5E-AEC1-B4BDDD4A8868}"/>
    <cellStyle name="SAPBEXHLevel3X 4 10" xfId="18754" xr:uid="{8F8EDC25-74B0-410F-9E01-2479151CA9DF}"/>
    <cellStyle name="SAPBEXHLevel3X 4 10 2" xfId="33583" xr:uid="{6F7CCEAB-4910-4DBF-B43B-29EF1F476366}"/>
    <cellStyle name="SAPBEXHLevel3X 4 11" xfId="18755" xr:uid="{9F24870B-769D-4DBE-9CBF-955A419E0A59}"/>
    <cellStyle name="SAPBEXHLevel3X 4 11 2" xfId="33584" xr:uid="{87D20B34-818F-4CED-BA29-A45E16865C8A}"/>
    <cellStyle name="SAPBEXHLevel3X 4 12" xfId="18756" xr:uid="{A0F4A2FC-3D51-40E4-9B00-D64E3EA045FD}"/>
    <cellStyle name="SAPBEXHLevel3X 4 12 2" xfId="33585" xr:uid="{4898BA82-538F-4E34-8B3A-1850CCCA1CC5}"/>
    <cellStyle name="SAPBEXHLevel3X 4 13" xfId="18757" xr:uid="{5AFBEACB-3C56-4446-AA1F-E6A13E2C9697}"/>
    <cellStyle name="SAPBEXHLevel3X 4 13 2" xfId="33586" xr:uid="{609F8B87-3CBC-4E2E-BAD1-E6FB29B4ACE1}"/>
    <cellStyle name="SAPBEXHLevel3X 4 14" xfId="18758" xr:uid="{C3883C03-314B-4850-9AE0-632E7836ECFF}"/>
    <cellStyle name="SAPBEXHLevel3X 4 14 2" xfId="33587" xr:uid="{3C1C28E5-A967-4F2E-8190-EDA1C7A2E367}"/>
    <cellStyle name="SAPBEXHLevel3X 4 15" xfId="18759" xr:uid="{D39EC418-0183-40D9-8BE1-96502BFC71BB}"/>
    <cellStyle name="SAPBEXHLevel3X 4 15 2" xfId="33588" xr:uid="{D691E8F1-5298-4739-AB2C-C2EF81B89573}"/>
    <cellStyle name="SAPBEXHLevel3X 4 16" xfId="18760" xr:uid="{CB1BA613-5128-4695-8959-775D4C33B0E4}"/>
    <cellStyle name="SAPBEXHLevel3X 4 16 2" xfId="33589" xr:uid="{1A5C6951-F9DD-44F3-962B-DFFE07A18FE7}"/>
    <cellStyle name="SAPBEXHLevel3X 4 17" xfId="18761" xr:uid="{7DDD228D-53BC-4D6F-BD35-2A75F9990D53}"/>
    <cellStyle name="SAPBEXHLevel3X 4 17 2" xfId="33590" xr:uid="{DFB9B9AC-61A2-4D65-8272-A3821877CDD6}"/>
    <cellStyle name="SAPBEXHLevel3X 4 18" xfId="18762" xr:uid="{9AE05F0A-41FA-49F9-9040-0B262306CE9C}"/>
    <cellStyle name="SAPBEXHLevel3X 4 18 2" xfId="33591" xr:uid="{B2534620-CAE6-44DB-A1F7-872E4501AE37}"/>
    <cellStyle name="SAPBEXHLevel3X 4 19" xfId="33582" xr:uid="{509914AE-E348-4486-B717-45C8BDB00E8A}"/>
    <cellStyle name="SAPBEXHLevel3X 4 2" xfId="18763" xr:uid="{4D938154-C174-4302-A2C0-46CF66BB0FAC}"/>
    <cellStyle name="SAPBEXHLevel3X 4 2 10" xfId="18764" xr:uid="{3942235D-C341-43C9-844B-E0AFCED017BC}"/>
    <cellStyle name="SAPBEXHLevel3X 4 2 10 2" xfId="33593" xr:uid="{EF4D9810-CBB8-418E-ACAC-A93D2B6F27CE}"/>
    <cellStyle name="SAPBEXHLevel3X 4 2 11" xfId="18765" xr:uid="{608D3091-C305-461F-83D2-35932EE64465}"/>
    <cellStyle name="SAPBEXHLevel3X 4 2 11 2" xfId="33594" xr:uid="{75B90085-391C-4150-A400-DB66672EC99D}"/>
    <cellStyle name="SAPBEXHLevel3X 4 2 12" xfId="18766" xr:uid="{B310BF81-237A-4FC3-B2D2-43CCEF414A8E}"/>
    <cellStyle name="SAPBEXHLevel3X 4 2 12 2" xfId="33595" xr:uid="{97604637-C4DF-4B42-8927-35ECE3689DF3}"/>
    <cellStyle name="SAPBEXHLevel3X 4 2 13" xfId="18767" xr:uid="{AE909F9D-01CB-4C79-A0A6-7609FCED027C}"/>
    <cellStyle name="SAPBEXHLevel3X 4 2 13 2" xfId="33596" xr:uid="{5811B941-F251-4B45-BC5A-B3A2C73D5A84}"/>
    <cellStyle name="SAPBEXHLevel3X 4 2 14" xfId="18768" xr:uid="{955A4DA2-7813-4A22-A0A1-5B4451F37F3D}"/>
    <cellStyle name="SAPBEXHLevel3X 4 2 14 2" xfId="33597" xr:uid="{E2A4E8AD-7E04-477A-BC7C-876B8C0FFDF8}"/>
    <cellStyle name="SAPBEXHLevel3X 4 2 15" xfId="33592" xr:uid="{FFDCE3FF-FB8E-4E02-9CBB-D1D0C28069A0}"/>
    <cellStyle name="SAPBEXHLevel3X 4 2 2" xfId="18769" xr:uid="{244C7F78-88EA-42C8-8175-08453ECA7319}"/>
    <cellStyle name="SAPBEXHLevel3X 4 2 2 2" xfId="33598" xr:uid="{199F0066-07AD-4C0D-8DA2-A09A459C44A0}"/>
    <cellStyle name="SAPBEXHLevel3X 4 2 3" xfId="18770" xr:uid="{9414D6CF-1130-4BDE-97F8-1612012728E4}"/>
    <cellStyle name="SAPBEXHLevel3X 4 2 3 2" xfId="33599" xr:uid="{4457AB32-FFE3-4BEB-B023-65C57EA9DB69}"/>
    <cellStyle name="SAPBEXHLevel3X 4 2 4" xfId="18771" xr:uid="{DCB38114-6391-4194-AF3E-CF55714985E0}"/>
    <cellStyle name="SAPBEXHLevel3X 4 2 4 2" xfId="33600" xr:uid="{505BC6DF-866B-429D-AF1E-7A13D2DDAA7B}"/>
    <cellStyle name="SAPBEXHLevel3X 4 2 5" xfId="18772" xr:uid="{217FA3DC-EEFB-4BCB-A335-4BAEA42B2773}"/>
    <cellStyle name="SAPBEXHLevel3X 4 2 5 2" xfId="33601" xr:uid="{38661C17-15FE-46DC-9C90-A71590E9A4D4}"/>
    <cellStyle name="SAPBEXHLevel3X 4 2 6" xfId="18773" xr:uid="{1F824F4F-31B1-4495-97C4-F8750409727C}"/>
    <cellStyle name="SAPBEXHLevel3X 4 2 6 2" xfId="33602" xr:uid="{789C8619-08E0-4F7F-A1E1-3FB68BE485CE}"/>
    <cellStyle name="SAPBEXHLevel3X 4 2 7" xfId="18774" xr:uid="{CD9B4917-5569-423D-9538-6D9BE0857856}"/>
    <cellStyle name="SAPBEXHLevel3X 4 2 7 2" xfId="33603" xr:uid="{9C8A8499-289B-42A3-ABE8-585065F363DE}"/>
    <cellStyle name="SAPBEXHLevel3X 4 2 8" xfId="18775" xr:uid="{1216AD7E-9D9A-41FC-BABF-C61CEE58F9F8}"/>
    <cellStyle name="SAPBEXHLevel3X 4 2 8 2" xfId="33604" xr:uid="{94B797B5-187C-423F-B6DD-F3206A74BE44}"/>
    <cellStyle name="SAPBEXHLevel3X 4 2 9" xfId="18776" xr:uid="{CB182EE2-FD11-41C3-BCC5-BFE6E60A7421}"/>
    <cellStyle name="SAPBEXHLevel3X 4 2 9 2" xfId="33605" xr:uid="{AD107446-B026-4BBC-B4B7-6DCD8EC73E3A}"/>
    <cellStyle name="SAPBEXHLevel3X 4 3" xfId="18777" xr:uid="{D34EDB9E-325B-4F7B-9C85-F47CCD721415}"/>
    <cellStyle name="SAPBEXHLevel3X 4 3 2" xfId="33606" xr:uid="{379AD0DD-1945-46B8-9521-58BF4D153E8C}"/>
    <cellStyle name="SAPBEXHLevel3X 4 4" xfId="18778" xr:uid="{38FFD0F2-5F65-4118-88BD-69254627CCC9}"/>
    <cellStyle name="SAPBEXHLevel3X 4 4 2" xfId="33607" xr:uid="{D7540726-4C17-4059-BC69-A120F25E89B2}"/>
    <cellStyle name="SAPBEXHLevel3X 4 5" xfId="18779" xr:uid="{E365456E-D4FA-4889-B199-FA499FBACF19}"/>
    <cellStyle name="SAPBEXHLevel3X 4 5 2" xfId="33608" xr:uid="{AFEB5E02-A3F7-4F17-8541-967475A56CC1}"/>
    <cellStyle name="SAPBEXHLevel3X 4 6" xfId="18780" xr:uid="{ED5564FE-5732-47FD-BD12-C6BFC6AF36DE}"/>
    <cellStyle name="SAPBEXHLevel3X 4 6 2" xfId="33609" xr:uid="{D34DB87F-F3ED-484F-ACC7-D7B27FE5CDAA}"/>
    <cellStyle name="SAPBEXHLevel3X 4 7" xfId="18781" xr:uid="{40C7317A-9F37-47AE-83CA-0014386FA04F}"/>
    <cellStyle name="SAPBEXHLevel3X 4 7 2" xfId="33610" xr:uid="{C0214C81-DF4C-48E1-BF90-3E41AA52C252}"/>
    <cellStyle name="SAPBEXHLevel3X 4 8" xfId="18782" xr:uid="{64258893-C72F-474A-928F-7590924220B2}"/>
    <cellStyle name="SAPBEXHLevel3X 4 8 2" xfId="33611" xr:uid="{5F98669A-420B-4F6E-87FE-1DEC08516FB5}"/>
    <cellStyle name="SAPBEXHLevel3X 4 9" xfId="18783" xr:uid="{758C428C-490C-4C73-94C3-D658161B5D61}"/>
    <cellStyle name="SAPBEXHLevel3X 4 9 2" xfId="33612" xr:uid="{5349FB10-E6CD-4F13-8166-BE6931495746}"/>
    <cellStyle name="SAPBEXHLevel3X 5" xfId="18784" xr:uid="{4F97DF51-201D-433C-BE59-57682A9EC4C6}"/>
    <cellStyle name="SAPBEXHLevel3X 5 10" xfId="18785" xr:uid="{A8FCBA31-D577-44F6-A2D7-1FD50F4A1E2B}"/>
    <cellStyle name="SAPBEXHLevel3X 5 10 2" xfId="33614" xr:uid="{41A0B75B-852F-4A39-992F-00E236D5358D}"/>
    <cellStyle name="SAPBEXHLevel3X 5 11" xfId="18786" xr:uid="{11411703-7681-485F-9E38-B06841BC04CB}"/>
    <cellStyle name="SAPBEXHLevel3X 5 11 2" xfId="33615" xr:uid="{9F2117AD-7CEE-40DD-A76E-1B0FD5D6D06C}"/>
    <cellStyle name="SAPBEXHLevel3X 5 12" xfId="18787" xr:uid="{971FAA97-0393-4D73-BC4C-0EB64BFC0E7D}"/>
    <cellStyle name="SAPBEXHLevel3X 5 12 2" xfId="33616" xr:uid="{1D636D9F-F9DF-469F-93E6-1B5C11F4FC64}"/>
    <cellStyle name="SAPBEXHLevel3X 5 13" xfId="18788" xr:uid="{11E67C64-8156-4D4A-A0CE-1694D800C7E3}"/>
    <cellStyle name="SAPBEXHLevel3X 5 13 2" xfId="33617" xr:uid="{300CD170-DD0C-4A20-9A5A-439DCC6B1AFB}"/>
    <cellStyle name="SAPBEXHLevel3X 5 14" xfId="18789" xr:uid="{45EBCCA3-FC1B-4003-AC85-04EBB9898741}"/>
    <cellStyle name="SAPBEXHLevel3X 5 14 2" xfId="33618" xr:uid="{515A42EE-2C29-4C09-BDCB-BC546CA761C0}"/>
    <cellStyle name="SAPBEXHLevel3X 5 15" xfId="33613" xr:uid="{2384823B-34A1-438D-AA07-5E9FC1A7876C}"/>
    <cellStyle name="SAPBEXHLevel3X 5 2" xfId="18790" xr:uid="{DF46B583-9A84-4822-A4F8-3A63BC73B22E}"/>
    <cellStyle name="SAPBEXHLevel3X 5 2 2" xfId="33619" xr:uid="{C506C1C2-5772-40B3-8D06-F18D36D1642E}"/>
    <cellStyle name="SAPBEXHLevel3X 5 3" xfId="18791" xr:uid="{6208FE15-DDA5-4C4E-9653-CDFFAC7CB9FF}"/>
    <cellStyle name="SAPBEXHLevel3X 5 3 2" xfId="33620" xr:uid="{434E76F5-9166-457D-A853-025DA049E809}"/>
    <cellStyle name="SAPBEXHLevel3X 5 4" xfId="18792" xr:uid="{880AFD0B-E105-4934-8246-D6BCD4061BC1}"/>
    <cellStyle name="SAPBEXHLevel3X 5 4 2" xfId="33621" xr:uid="{7135B1DD-C7B5-411B-A2DC-D554E0154825}"/>
    <cellStyle name="SAPBEXHLevel3X 5 5" xfId="18793" xr:uid="{6CED47B0-0844-4898-A47F-806B209B52BC}"/>
    <cellStyle name="SAPBEXHLevel3X 5 5 2" xfId="33622" xr:uid="{E5CD579C-3DFF-4722-86C3-A5A640B81D9C}"/>
    <cellStyle name="SAPBEXHLevel3X 5 6" xfId="18794" xr:uid="{1EB4DA5A-D0A7-4817-AD8F-6AAA086F2246}"/>
    <cellStyle name="SAPBEXHLevel3X 5 6 2" xfId="33623" xr:uid="{88969211-53CA-47A7-A59D-F894236B9A5A}"/>
    <cellStyle name="SAPBEXHLevel3X 5 7" xfId="18795" xr:uid="{807B1BA2-F75B-47DA-8064-478BD78C297B}"/>
    <cellStyle name="SAPBEXHLevel3X 5 7 2" xfId="33624" xr:uid="{FB16A190-8378-4697-B103-7EB9E31492EB}"/>
    <cellStyle name="SAPBEXHLevel3X 5 8" xfId="18796" xr:uid="{3513F66C-61B2-4347-A0B6-DCD664954309}"/>
    <cellStyle name="SAPBEXHLevel3X 5 8 2" xfId="33625" xr:uid="{60678CB6-3025-46D5-AB45-403E3EF432D2}"/>
    <cellStyle name="SAPBEXHLevel3X 5 9" xfId="18797" xr:uid="{4D85A290-CCAC-41CC-95E9-E935CA438EE4}"/>
    <cellStyle name="SAPBEXHLevel3X 5 9 2" xfId="33626" xr:uid="{E9A0383A-16F2-461A-AA0B-D5C4FC48390C}"/>
    <cellStyle name="SAPBEXHLevel3X 6" xfId="18798" xr:uid="{4E3F9E8E-058D-4CC0-B05C-C6CC9737F005}"/>
    <cellStyle name="SAPBEXHLevel3X 6 2" xfId="33627" xr:uid="{ABE67DA2-2463-4A1E-B19F-C2F593F7279D}"/>
    <cellStyle name="SAPBEXHLevel3X 7" xfId="18799" xr:uid="{CF316450-564F-46F6-9690-95644DF88DB4}"/>
    <cellStyle name="SAPBEXHLevel3X 7 2" xfId="33628" xr:uid="{1A3CC859-1C93-4F5C-85BC-D12AFEB93593}"/>
    <cellStyle name="SAPBEXHLevel3X 8" xfId="18800" xr:uid="{0C383877-7B36-4E8F-B082-885412AE4444}"/>
    <cellStyle name="SAPBEXHLevel3X 8 2" xfId="33629" xr:uid="{7A409DCB-E0AB-4F09-A29C-390625097AB8}"/>
    <cellStyle name="SAPBEXHLevel3X 9" xfId="18801" xr:uid="{49610C39-4B6B-42CA-B647-B2DEB126860B}"/>
    <cellStyle name="SAPBEXHLevel3X 9 2" xfId="33630" xr:uid="{7E244BF0-B706-4275-8AB4-3E4E4A1A5B87}"/>
    <cellStyle name="SAPBEXinputData" xfId="18802" xr:uid="{758106AA-0ECA-4170-AD2C-BB91C3506FB0}"/>
    <cellStyle name="SAPBEXinputData 2" xfId="18803" xr:uid="{D05E2C41-D74C-43F6-8C06-627C4226C2E6}"/>
    <cellStyle name="SAPBEXinputData 2 2" xfId="18804" xr:uid="{0F525FCF-1FAF-4B96-A0BF-99AC57667006}"/>
    <cellStyle name="SAPBEXinputData 2 2 2" xfId="18805" xr:uid="{952B712B-ACE2-46C5-B965-D2EED20C0469}"/>
    <cellStyle name="SAPBEXinputData 2 2 2 10" xfId="18806" xr:uid="{0EB64122-F5CD-4D07-8777-EA9442950D46}"/>
    <cellStyle name="SAPBEXinputData 2 2 2 11" xfId="18807" xr:uid="{0A2AD6FC-A5AB-4C7E-B33F-60D71C05F2F1}"/>
    <cellStyle name="SAPBEXinputData 2 2 2 12" xfId="18808" xr:uid="{B36D93DA-A1B5-4B4D-9AF7-DA14BDB2C736}"/>
    <cellStyle name="SAPBEXinputData 2 2 2 13" xfId="18809" xr:uid="{7AE484F5-70EA-41C2-8ECC-2AFE71EACF51}"/>
    <cellStyle name="SAPBEXinputData 2 2 2 14" xfId="18810" xr:uid="{7E55D52A-E392-4677-92B7-E92DBC3B202D}"/>
    <cellStyle name="SAPBEXinputData 2 2 2 15" xfId="18811" xr:uid="{18E8B47C-F3FD-4F0B-9719-AD7E6DAAD7DE}"/>
    <cellStyle name="SAPBEXinputData 2 2 2 16" xfId="18812" xr:uid="{B45AB069-AF5A-4CAE-BE58-97071F8BEA32}"/>
    <cellStyle name="SAPBEXinputData 2 2 2 17" xfId="18813" xr:uid="{1583A7DE-558E-4B46-A7C6-CA8B5C03EE51}"/>
    <cellStyle name="SAPBEXinputData 2 2 2 18" xfId="18814" xr:uid="{610053B4-340F-4138-8E2D-5E060BF0DD78}"/>
    <cellStyle name="SAPBEXinputData 2 2 2 19" xfId="18815" xr:uid="{AABB1470-A3A5-4632-9897-6DBA2F44696E}"/>
    <cellStyle name="SAPBEXinputData 2 2 2 2" xfId="18816" xr:uid="{AADF12F0-1BB2-4613-BF0C-7426E4BE0FAE}"/>
    <cellStyle name="SAPBEXinputData 2 2 2 20" xfId="18817" xr:uid="{79E9A31F-8A00-473E-966F-609B02A52988}"/>
    <cellStyle name="SAPBEXinputData 2 2 2 21" xfId="18818" xr:uid="{B354A6E4-1A8B-47E0-A79A-D8CF81BE63BD}"/>
    <cellStyle name="SAPBEXinputData 2 2 2 3" xfId="18819" xr:uid="{62921606-3A9A-473E-81CA-3B19449BFE0D}"/>
    <cellStyle name="SAPBEXinputData 2 2 2 4" xfId="18820" xr:uid="{489F17EA-12B2-4B99-B087-328E0F209CAF}"/>
    <cellStyle name="SAPBEXinputData 2 2 2 5" xfId="18821" xr:uid="{75B1DE6C-03B1-41FD-B55C-F7847092A9A2}"/>
    <cellStyle name="SAPBEXinputData 2 2 2 6" xfId="18822" xr:uid="{BD4423A3-A7F8-495E-ACAA-FE1A1EE1618E}"/>
    <cellStyle name="SAPBEXinputData 2 2 2 7" xfId="18823" xr:uid="{E58797C0-5CAE-4595-8CDC-59CF017F329C}"/>
    <cellStyle name="SAPBEXinputData 2 2 2 8" xfId="18824" xr:uid="{26579053-63A7-4A2B-A8A6-CEFEE3EB6050}"/>
    <cellStyle name="SAPBEXinputData 2 2 2 9" xfId="18825" xr:uid="{A9E5B4E8-C12B-4856-A87E-76BDEC44410D}"/>
    <cellStyle name="SAPBEXinputData 2 3" xfId="18826" xr:uid="{3AC8C3C9-D52C-4CBF-A4D7-163C593ECA6C}"/>
    <cellStyle name="SAPBEXinputData 2 3 10" xfId="18827" xr:uid="{501C182C-10A3-4D71-A0D7-E9CB0AB844FB}"/>
    <cellStyle name="SAPBEXinputData 2 3 11" xfId="18828" xr:uid="{5C5381B2-9430-483F-B16E-2EDDF3B8673E}"/>
    <cellStyle name="SAPBEXinputData 2 3 12" xfId="18829" xr:uid="{FF9A22F1-CA9C-41DB-938A-BDE7727A3633}"/>
    <cellStyle name="SAPBEXinputData 2 3 13" xfId="18830" xr:uid="{AECEA791-0FC6-4A08-938B-3EA553DF443C}"/>
    <cellStyle name="SAPBEXinputData 2 3 14" xfId="18831" xr:uid="{967633DE-8EDA-43E8-A71F-9B8DA8D807E4}"/>
    <cellStyle name="SAPBEXinputData 2 3 15" xfId="18832" xr:uid="{25EA7EFF-F56D-460D-BBB4-A0F1350DD872}"/>
    <cellStyle name="SAPBEXinputData 2 3 16" xfId="18833" xr:uid="{572AE4D4-917E-46AF-BE21-82A559B13198}"/>
    <cellStyle name="SAPBEXinputData 2 3 17" xfId="18834" xr:uid="{969A9410-54FD-4610-88AD-11ADE0B84B36}"/>
    <cellStyle name="SAPBEXinputData 2 3 18" xfId="18835" xr:uid="{27FD4039-6FD4-45D7-993A-0193E277CB25}"/>
    <cellStyle name="SAPBEXinputData 2 3 19" xfId="18836" xr:uid="{FCA08B3A-D752-498C-96E7-BEEC75381304}"/>
    <cellStyle name="SAPBEXinputData 2 3 2" xfId="18837" xr:uid="{C8A071C9-CCF8-4ADA-8911-480507B45733}"/>
    <cellStyle name="SAPBEXinputData 2 3 20" xfId="18838" xr:uid="{40E19E67-CC38-48F2-9BC4-2FC2F00A6C7F}"/>
    <cellStyle name="SAPBEXinputData 2 3 21" xfId="18839" xr:uid="{A54B8D25-AFF6-4F45-9ED8-3FD4F15A4F31}"/>
    <cellStyle name="SAPBEXinputData 2 3 3" xfId="18840" xr:uid="{999C0E6A-83B0-4F86-90E5-A8A3B835BC22}"/>
    <cellStyle name="SAPBEXinputData 2 3 4" xfId="18841" xr:uid="{45CE4E93-0039-437A-AF34-630CCC95F200}"/>
    <cellStyle name="SAPBEXinputData 2 3 5" xfId="18842" xr:uid="{30900E2B-659C-4BE2-A29A-861400154045}"/>
    <cellStyle name="SAPBEXinputData 2 3 6" xfId="18843" xr:uid="{0E30ED99-E64A-41AA-8334-F9B3B226E152}"/>
    <cellStyle name="SAPBEXinputData 2 3 7" xfId="18844" xr:uid="{C36B2774-D27E-4459-AB7E-D25A7E8599F7}"/>
    <cellStyle name="SAPBEXinputData 2 3 8" xfId="18845" xr:uid="{74A5A963-8D66-4F23-9F7D-C2D1892CCBDB}"/>
    <cellStyle name="SAPBEXinputData 2 3 9" xfId="18846" xr:uid="{5E9F566A-3969-4D63-9481-002EEDC01012}"/>
    <cellStyle name="SAPBEXinputData 3" xfId="18847" xr:uid="{E6B87985-CA57-4E04-9FBB-8451A4B5C6EE}"/>
    <cellStyle name="SAPBEXinputData 3 2" xfId="18848" xr:uid="{6B3936F3-B28E-4421-A0CF-5335B8868145}"/>
    <cellStyle name="SAPBEXinputData 3 2 10" xfId="18849" xr:uid="{91B76EAC-681F-4E64-B3BB-AE22E77C8A1E}"/>
    <cellStyle name="SAPBEXinputData 3 2 11" xfId="18850" xr:uid="{BC12E8D8-7FD9-4A04-830B-95ADCDD9BC7B}"/>
    <cellStyle name="SAPBEXinputData 3 2 12" xfId="18851" xr:uid="{E40B6A5B-5CE8-40C1-8C6C-2B6C58872358}"/>
    <cellStyle name="SAPBEXinputData 3 2 13" xfId="18852" xr:uid="{745E135B-02F2-499D-9C55-4A369E17A4FC}"/>
    <cellStyle name="SAPBEXinputData 3 2 14" xfId="18853" xr:uid="{0656E098-7569-4C1D-9B03-541D66D2E208}"/>
    <cellStyle name="SAPBEXinputData 3 2 15" xfId="18854" xr:uid="{F5FCE876-BBFA-4762-839E-95B0B0B7EE2F}"/>
    <cellStyle name="SAPBEXinputData 3 2 16" xfId="18855" xr:uid="{997C1AEB-6906-4A4A-B0AF-917CE8997DFA}"/>
    <cellStyle name="SAPBEXinputData 3 2 17" xfId="18856" xr:uid="{3619CC2F-F2D1-439B-BE10-7141D2DEEA50}"/>
    <cellStyle name="SAPBEXinputData 3 2 18" xfId="18857" xr:uid="{46FEFB90-EE4F-4B6C-82CD-D5D2E8CA43CF}"/>
    <cellStyle name="SAPBEXinputData 3 2 19" xfId="18858" xr:uid="{BED8B4EF-AC80-48D5-B415-E2984453CAB8}"/>
    <cellStyle name="SAPBEXinputData 3 2 2" xfId="18859" xr:uid="{F396BBE4-8404-4CD7-9748-A2528BF0107E}"/>
    <cellStyle name="SAPBEXinputData 3 2 20" xfId="18860" xr:uid="{00D1E853-6D7C-4FB4-8E6C-CE85F4169453}"/>
    <cellStyle name="SAPBEXinputData 3 2 21" xfId="18861" xr:uid="{5DCB7F4A-B721-4D89-8E8B-61B6842217CA}"/>
    <cellStyle name="SAPBEXinputData 3 2 3" xfId="18862" xr:uid="{98FBEC92-121D-4736-BE88-FA4C36F590CD}"/>
    <cellStyle name="SAPBEXinputData 3 2 4" xfId="18863" xr:uid="{585F2ABD-4612-4257-B718-670A314C87DA}"/>
    <cellStyle name="SAPBEXinputData 3 2 5" xfId="18864" xr:uid="{065B2AA3-3681-4CE1-86B0-2A1F126035E0}"/>
    <cellStyle name="SAPBEXinputData 3 2 6" xfId="18865" xr:uid="{6542CBC6-A0F1-40DE-B18C-2A05D697B865}"/>
    <cellStyle name="SAPBEXinputData 3 2 7" xfId="18866" xr:uid="{695686D6-2488-4A81-984E-E078E64A416C}"/>
    <cellStyle name="SAPBEXinputData 3 2 8" xfId="18867" xr:uid="{D3A08DC6-0FE4-4636-A1C8-2029661DF839}"/>
    <cellStyle name="SAPBEXinputData 3 2 9" xfId="18868" xr:uid="{2BDC96E6-7845-415D-8BFA-3BCB52B9341C}"/>
    <cellStyle name="SAPBEXinputData 4" xfId="18869" xr:uid="{647872BE-BD1C-4D81-A1BD-D36755799E3F}"/>
    <cellStyle name="SAPBEXinputData 4 10" xfId="18870" xr:uid="{8F3088F2-CD82-444C-8CFD-9E4A9A9B45AC}"/>
    <cellStyle name="SAPBEXinputData 4 11" xfId="18871" xr:uid="{1B73A843-74EB-4250-AA6D-F16E3749A495}"/>
    <cellStyle name="SAPBEXinputData 4 12" xfId="18872" xr:uid="{D2F25D43-FC85-4B5C-B517-BE15C4393F27}"/>
    <cellStyle name="SAPBEXinputData 4 13" xfId="18873" xr:uid="{28FCB0DA-B72F-4C0A-812E-40C73058E859}"/>
    <cellStyle name="SAPBEXinputData 4 14" xfId="18874" xr:uid="{8B5BE64E-DE70-4C9D-8F96-DC0D07EAEC4F}"/>
    <cellStyle name="SAPBEXinputData 4 15" xfId="18875" xr:uid="{22BC172A-083D-46B6-AB89-DD48BC80E912}"/>
    <cellStyle name="SAPBEXinputData 4 16" xfId="18876" xr:uid="{64D5DE11-9B38-4CFC-8341-638A02A6D895}"/>
    <cellStyle name="SAPBEXinputData 4 17" xfId="18877" xr:uid="{3F74CA32-32DB-4449-BE5A-5E130C98AEFD}"/>
    <cellStyle name="SAPBEXinputData 4 18" xfId="18878" xr:uid="{7D5D7C2D-F884-4531-9C65-54F6A4EBB4FE}"/>
    <cellStyle name="SAPBEXinputData 4 19" xfId="18879" xr:uid="{D2577BFF-31B3-40D4-91B5-73782FA15B24}"/>
    <cellStyle name="SAPBEXinputData 4 2" xfId="18880" xr:uid="{6D6B25C4-260E-4026-9DFA-6E52F7184F9F}"/>
    <cellStyle name="SAPBEXinputData 4 20" xfId="18881" xr:uid="{A73D56E0-66DF-4A4C-A419-D85E7A022BA8}"/>
    <cellStyle name="SAPBEXinputData 4 21" xfId="18882" xr:uid="{9A9B54E9-EF1E-4838-969F-8EF2B87CEA22}"/>
    <cellStyle name="SAPBEXinputData 4 3" xfId="18883" xr:uid="{F09130D1-0BDF-46AF-AE32-0352687BB345}"/>
    <cellStyle name="SAPBEXinputData 4 4" xfId="18884" xr:uid="{EF4D1739-8C7B-4D72-BA72-B5100E6C7FC5}"/>
    <cellStyle name="SAPBEXinputData 4 5" xfId="18885" xr:uid="{467E7E0B-487C-487E-99AA-9C5FB6A12BFD}"/>
    <cellStyle name="SAPBEXinputData 4 6" xfId="18886" xr:uid="{99190324-D522-4CCD-A16F-B451325B321B}"/>
    <cellStyle name="SAPBEXinputData 4 7" xfId="18887" xr:uid="{2021BE3D-F2BA-4E9A-8169-C8278E4A1872}"/>
    <cellStyle name="SAPBEXinputData 4 8" xfId="18888" xr:uid="{0CDDD267-3288-4FAE-A70D-2DD39B6E0119}"/>
    <cellStyle name="SAPBEXinputData 4 9" xfId="18889" xr:uid="{C258C28C-C7CF-40D1-957C-433D397D92D6}"/>
    <cellStyle name="SAPBEXresData" xfId="18890" xr:uid="{927C8D1A-7BAB-45E3-AEB5-4E9E155F9E1B}"/>
    <cellStyle name="SAPBEXresData 10" xfId="18891" xr:uid="{3E7A815F-91AC-4167-921C-D1E4884AD61D}"/>
    <cellStyle name="SAPBEXresData 10 2" xfId="33631" xr:uid="{C2232C54-D7FB-4F78-9F27-B2416788D401}"/>
    <cellStyle name="SAPBEXresData 11" xfId="18892" xr:uid="{4F82E5CB-CD57-4F56-8A2A-A57CC7A97717}"/>
    <cellStyle name="SAPBEXresData 11 2" xfId="33632" xr:uid="{F2D00DA4-EBB2-4069-B18A-84E89C3DAB74}"/>
    <cellStyle name="SAPBEXresData 12" xfId="18893" xr:uid="{3BD79C04-BA46-4B82-8EBC-6311036EB492}"/>
    <cellStyle name="SAPBEXresData 12 2" xfId="33633" xr:uid="{52CEA044-665A-4E63-BE7A-24BDE9C6CEB8}"/>
    <cellStyle name="SAPBEXresData 13" xfId="18894" xr:uid="{D9F3109C-9797-4A22-9521-06DD1D2F01A3}"/>
    <cellStyle name="SAPBEXresData 13 2" xfId="33634" xr:uid="{F6399E28-B93B-4257-8CB3-A72E2C8F36F6}"/>
    <cellStyle name="SAPBEXresData 14" xfId="18895" xr:uid="{883F5EC9-4C35-4E89-8C3B-DD284C080476}"/>
    <cellStyle name="SAPBEXresData 14 2" xfId="33635" xr:uid="{0879E2F5-C882-45BC-B12E-8A919036E6FF}"/>
    <cellStyle name="SAPBEXresData 15" xfId="18896" xr:uid="{F1F315C7-0742-414A-B459-DEDFC53459D8}"/>
    <cellStyle name="SAPBEXresData 15 2" xfId="33636" xr:uid="{F0A1FCAF-780E-4307-A74E-C3CE987FC342}"/>
    <cellStyle name="SAPBEXresData 16" xfId="18897" xr:uid="{BF8F94CF-601F-43E8-84DA-DC5A955797C6}"/>
    <cellStyle name="SAPBEXresData 16 2" xfId="33637" xr:uid="{ECB453FF-58D8-4E96-A002-7DC2D1D4D8FB}"/>
    <cellStyle name="SAPBEXresData 17" xfId="18898" xr:uid="{66D3E663-C3B1-47BF-99CE-BC0B722C9C64}"/>
    <cellStyle name="SAPBEXresData 17 2" xfId="33638" xr:uid="{2A9EDFC7-BEEA-4817-B7FD-851D4B9930E6}"/>
    <cellStyle name="SAPBEXresData 18" xfId="18899" xr:uid="{694ACEEB-EC9E-4BD2-8944-B8E2A9576628}"/>
    <cellStyle name="SAPBEXresData 18 2" xfId="33639" xr:uid="{8A33572E-279A-432D-B0A5-3199F56DDE88}"/>
    <cellStyle name="SAPBEXresData 19" xfId="18900" xr:uid="{F51E4392-9AC1-4451-A181-40300FA75246}"/>
    <cellStyle name="SAPBEXresData 19 2" xfId="33640" xr:uid="{D6FFAA0A-0D3F-4EEC-A4B3-8C9905C96A11}"/>
    <cellStyle name="SAPBEXresData 2" xfId="18901" xr:uid="{0893A7E5-76D1-472E-9202-65611F1D7071}"/>
    <cellStyle name="SAPBEXresData 2 10" xfId="18902" xr:uid="{CB12024E-164B-4752-93F9-1D61C006B76B}"/>
    <cellStyle name="SAPBEXresData 2 10 2" xfId="33642" xr:uid="{03130080-4B53-47B3-9882-F12B6A63056E}"/>
    <cellStyle name="SAPBEXresData 2 11" xfId="18903" xr:uid="{03BE7211-7067-4CB6-B1EA-B8D5A892272B}"/>
    <cellStyle name="SAPBEXresData 2 11 2" xfId="33643" xr:uid="{5C46F7F8-FF84-43DF-BB6D-FFB8DB689818}"/>
    <cellStyle name="SAPBEXresData 2 12" xfId="18904" xr:uid="{8EF84A4A-5016-4942-8C85-5C894FC3B354}"/>
    <cellStyle name="SAPBEXresData 2 12 2" xfId="33644" xr:uid="{50738C89-B6AE-45A5-B35F-5CB0E6137B73}"/>
    <cellStyle name="SAPBEXresData 2 13" xfId="18905" xr:uid="{8278DC1D-267A-47E1-A405-4E1932C73952}"/>
    <cellStyle name="SAPBEXresData 2 13 2" xfId="33645" xr:uid="{D4F0A692-915B-4E06-B97E-C7F6A4472DEF}"/>
    <cellStyle name="SAPBEXresData 2 14" xfId="18906" xr:uid="{E2CD401B-EBD6-42E9-B392-338F3448F6BE}"/>
    <cellStyle name="SAPBEXresData 2 14 2" xfId="33646" xr:uid="{BAA4A675-5C8C-4EBC-83A1-5C581B04BC99}"/>
    <cellStyle name="SAPBEXresData 2 15" xfId="18907" xr:uid="{76417365-0838-445E-BAD5-939980F86723}"/>
    <cellStyle name="SAPBEXresData 2 15 2" xfId="33647" xr:uid="{5E42DAD1-AE40-4257-BCA3-65F6384880F6}"/>
    <cellStyle name="SAPBEXresData 2 16" xfId="18908" xr:uid="{9DC94FAE-3013-4368-8829-D93A13B0B997}"/>
    <cellStyle name="SAPBEXresData 2 16 2" xfId="33648" xr:uid="{5F5D3299-4544-4D96-9777-1A19E7E2A5CE}"/>
    <cellStyle name="SAPBEXresData 2 17" xfId="18909" xr:uid="{07FDD49C-5E1B-4272-930B-353B56E8B888}"/>
    <cellStyle name="SAPBEXresData 2 17 2" xfId="33649" xr:uid="{A609BD41-D8F1-4BC7-8518-68333F5D3B92}"/>
    <cellStyle name="SAPBEXresData 2 18" xfId="18910" xr:uid="{90DA2CFC-D4DC-4D0E-AA9C-8F741274096D}"/>
    <cellStyle name="SAPBEXresData 2 18 2" xfId="33650" xr:uid="{8E93D342-4FFE-4072-97E7-674AA23EF58C}"/>
    <cellStyle name="SAPBEXresData 2 19" xfId="18911" xr:uid="{8AD4D49A-343C-49BF-814E-07B2F42B6504}"/>
    <cellStyle name="SAPBEXresData 2 19 2" xfId="33651" xr:uid="{6024F470-D17F-4AA9-9643-320043F88731}"/>
    <cellStyle name="SAPBEXresData 2 2" xfId="18912" xr:uid="{AEC29E66-6F76-4239-9E3B-FF81EB26EAE9}"/>
    <cellStyle name="SAPBEXresData 2 2 10" xfId="18913" xr:uid="{D2AEA501-5309-477C-A998-FB0F4FFEE98F}"/>
    <cellStyle name="SAPBEXresData 2 2 10 2" xfId="33653" xr:uid="{B19E42FF-07DB-49C5-8873-669403D9FC57}"/>
    <cellStyle name="SAPBEXresData 2 2 11" xfId="18914" xr:uid="{5ECE26EB-3D90-491B-8113-42401AE43DBF}"/>
    <cellStyle name="SAPBEXresData 2 2 11 2" xfId="33654" xr:uid="{B9E22E9B-4000-4127-BB59-E8A50CA3BB8E}"/>
    <cellStyle name="SAPBEXresData 2 2 12" xfId="18915" xr:uid="{56549BCA-53AC-441D-8A7A-2458A069BC6E}"/>
    <cellStyle name="SAPBEXresData 2 2 12 2" xfId="33655" xr:uid="{4500EA43-8AF3-4B4E-ABC7-620BD0461028}"/>
    <cellStyle name="SAPBEXresData 2 2 13" xfId="18916" xr:uid="{456DA711-2DB0-42B2-A195-090AF6EB0912}"/>
    <cellStyle name="SAPBEXresData 2 2 13 2" xfId="33656" xr:uid="{E2E478E8-C9A9-4181-BEF2-817860F2A97F}"/>
    <cellStyle name="SAPBEXresData 2 2 14" xfId="18917" xr:uid="{59E247E3-BE5F-4B2B-8629-4F66B168EDED}"/>
    <cellStyle name="SAPBEXresData 2 2 14 2" xfId="33657" xr:uid="{99B67E64-AB92-41E8-9E06-09814A169791}"/>
    <cellStyle name="SAPBEXresData 2 2 15" xfId="18918" xr:uid="{10E4D4EE-A0BE-4249-B5A4-6AFF802B8EAB}"/>
    <cellStyle name="SAPBEXresData 2 2 15 2" xfId="33658" xr:uid="{E91AA036-85A3-458F-8070-E6F44C0C1BA2}"/>
    <cellStyle name="SAPBEXresData 2 2 16" xfId="18919" xr:uid="{88546491-27B4-49BD-AAD2-B10678F534C9}"/>
    <cellStyle name="SAPBEXresData 2 2 16 2" xfId="33659" xr:uid="{C2873F07-CCB7-44AB-A3A8-47495C7DBF35}"/>
    <cellStyle name="SAPBEXresData 2 2 17" xfId="18920" xr:uid="{6990A065-D13D-4A25-B4CB-6662BEA21943}"/>
    <cellStyle name="SAPBEXresData 2 2 17 2" xfId="33660" xr:uid="{45544B9F-0B67-458D-8F65-CA7861E9E130}"/>
    <cellStyle name="SAPBEXresData 2 2 18" xfId="18921" xr:uid="{3165A572-7628-4254-9003-60E520E9D9CB}"/>
    <cellStyle name="SAPBEXresData 2 2 18 2" xfId="33661" xr:uid="{E599FF18-B6AB-4B2C-8A94-9D04BC5FB004}"/>
    <cellStyle name="SAPBEXresData 2 2 19" xfId="33652" xr:uid="{5E6AC872-450A-444F-91A4-9302ED3522AF}"/>
    <cellStyle name="SAPBEXresData 2 2 2" xfId="18922" xr:uid="{D79BD179-8C24-4E89-A5C2-5C074033B8DE}"/>
    <cellStyle name="SAPBEXresData 2 2 2 10" xfId="18923" xr:uid="{652E46A8-8EDD-4209-B337-708E217ED1EC}"/>
    <cellStyle name="SAPBEXresData 2 2 2 10 2" xfId="33663" xr:uid="{CC517136-BED7-4402-8103-62EB9FADCA03}"/>
    <cellStyle name="SAPBEXresData 2 2 2 11" xfId="18924" xr:uid="{7886E91F-64CD-426B-B8FD-EA68831CB93D}"/>
    <cellStyle name="SAPBEXresData 2 2 2 11 2" xfId="33664" xr:uid="{116DB912-22CE-4FC0-8945-C53CE5A58BCB}"/>
    <cellStyle name="SAPBEXresData 2 2 2 12" xfId="18925" xr:uid="{C8AD49BA-0EAD-4318-BF1B-985FC03B21AE}"/>
    <cellStyle name="SAPBEXresData 2 2 2 12 2" xfId="33665" xr:uid="{3BE8C06C-F3EB-40CF-A36E-0526BF02178C}"/>
    <cellStyle name="SAPBEXresData 2 2 2 13" xfId="18926" xr:uid="{90E91186-0B2B-4698-9AAF-CBDA5402D4AF}"/>
    <cellStyle name="SAPBEXresData 2 2 2 13 2" xfId="33666" xr:uid="{3CC33787-CF09-4982-AD03-F25678CE180C}"/>
    <cellStyle name="SAPBEXresData 2 2 2 14" xfId="18927" xr:uid="{06D4D15D-66E0-4AE4-9DE5-F01C9B705F2E}"/>
    <cellStyle name="SAPBEXresData 2 2 2 14 2" xfId="33667" xr:uid="{34647CC7-C4EA-4228-8D6C-AC75A519EFFD}"/>
    <cellStyle name="SAPBEXresData 2 2 2 15" xfId="33662" xr:uid="{F276EB43-F9D9-4A70-8526-94B4E7D6857C}"/>
    <cellStyle name="SAPBEXresData 2 2 2 2" xfId="18928" xr:uid="{828C17FD-C0DB-40BE-8563-863B08C689C5}"/>
    <cellStyle name="SAPBEXresData 2 2 2 2 2" xfId="33668" xr:uid="{FBF2B9E9-2C12-4FF0-8594-622C74BD74F9}"/>
    <cellStyle name="SAPBEXresData 2 2 2 3" xfId="18929" xr:uid="{7680B066-142B-4B55-8392-93B8A3308DDC}"/>
    <cellStyle name="SAPBEXresData 2 2 2 3 2" xfId="33669" xr:uid="{00C22C8B-7A8C-4C01-9881-E6B758122D47}"/>
    <cellStyle name="SAPBEXresData 2 2 2 4" xfId="18930" xr:uid="{C02A4B51-729C-4807-93DC-FDED50E6AAEA}"/>
    <cellStyle name="SAPBEXresData 2 2 2 4 2" xfId="33670" xr:uid="{E2639C53-BA6B-4D6F-A993-1FC6B2E378B2}"/>
    <cellStyle name="SAPBEXresData 2 2 2 5" xfId="18931" xr:uid="{24D9EA63-D2C8-4C75-9189-54AEFC5D70A4}"/>
    <cellStyle name="SAPBEXresData 2 2 2 5 2" xfId="33671" xr:uid="{65051B1C-F90F-4F7B-B537-117719593FB4}"/>
    <cellStyle name="SAPBEXresData 2 2 2 6" xfId="18932" xr:uid="{549D7F72-0DBF-46B4-8501-52CA898D73DD}"/>
    <cellStyle name="SAPBEXresData 2 2 2 6 2" xfId="33672" xr:uid="{7BDB343D-45C8-4AD4-AAEA-6A0D6A4D9952}"/>
    <cellStyle name="SAPBEXresData 2 2 2 7" xfId="18933" xr:uid="{D7755572-F7D0-477E-ADB5-F16AF10ACB1E}"/>
    <cellStyle name="SAPBEXresData 2 2 2 7 2" xfId="33673" xr:uid="{441FBAD3-AC2C-44FD-BBCF-A4B23EE8013D}"/>
    <cellStyle name="SAPBEXresData 2 2 2 8" xfId="18934" xr:uid="{6EC84AEF-DCA1-4A18-970F-4F8F0225F165}"/>
    <cellStyle name="SAPBEXresData 2 2 2 8 2" xfId="33674" xr:uid="{F1496240-67E5-4DA5-9DEA-43F067F32CC4}"/>
    <cellStyle name="SAPBEXresData 2 2 2 9" xfId="18935" xr:uid="{B49BFB84-F7AF-4C22-B1DF-FE33A21EBACB}"/>
    <cellStyle name="SAPBEXresData 2 2 2 9 2" xfId="33675" xr:uid="{9F6F1F2B-9846-4A68-977A-6F6EAD9AAEC5}"/>
    <cellStyle name="SAPBEXresData 2 2 3" xfId="18936" xr:uid="{DF0230AE-A1B7-4CE0-801E-58511AEDD048}"/>
    <cellStyle name="SAPBEXresData 2 2 3 2" xfId="33676" xr:uid="{200C2F8E-30E0-41B7-972E-A48BF77AE790}"/>
    <cellStyle name="SAPBEXresData 2 2 4" xfId="18937" xr:uid="{EFC57010-167B-455D-9FB1-CED7BA420A07}"/>
    <cellStyle name="SAPBEXresData 2 2 4 2" xfId="33677" xr:uid="{E90B469E-98C4-4C06-8FB8-0DBF06B831E7}"/>
    <cellStyle name="SAPBEXresData 2 2 5" xfId="18938" xr:uid="{75A994EB-FED2-455A-909D-081E3F5CC923}"/>
    <cellStyle name="SAPBEXresData 2 2 5 2" xfId="33678" xr:uid="{3B116701-4FA1-4C24-90F7-5AE5E00D37CD}"/>
    <cellStyle name="SAPBEXresData 2 2 6" xfId="18939" xr:uid="{D30F856B-4331-44CF-8D85-0AF1DD9BCE50}"/>
    <cellStyle name="SAPBEXresData 2 2 6 2" xfId="33679" xr:uid="{BC9866C9-511A-4864-8EB9-7895B0CB216E}"/>
    <cellStyle name="SAPBEXresData 2 2 7" xfId="18940" xr:uid="{1C13551F-B408-48EF-8FA1-CBB2C2629666}"/>
    <cellStyle name="SAPBEXresData 2 2 7 2" xfId="33680" xr:uid="{479FEBC5-5A56-4F3F-B7CB-06FE3FA54D32}"/>
    <cellStyle name="SAPBEXresData 2 2 8" xfId="18941" xr:uid="{D8D1E2F6-56FF-4685-B4C2-A40E57AE4493}"/>
    <cellStyle name="SAPBEXresData 2 2 8 2" xfId="33681" xr:uid="{E22F7931-7BD8-435F-BAD3-7C3FE171A0BC}"/>
    <cellStyle name="SAPBEXresData 2 2 9" xfId="18942" xr:uid="{A2FB28DA-2B75-4181-ABFF-562A18446943}"/>
    <cellStyle name="SAPBEXresData 2 2 9 2" xfId="33682" xr:uid="{D4A9BFEC-76F0-44B2-9E9A-3B9994081A53}"/>
    <cellStyle name="SAPBEXresData 2 20" xfId="33641" xr:uid="{DDCB5785-1F09-4901-A3C4-8FF842A22A89}"/>
    <cellStyle name="SAPBEXresData 2 3" xfId="18943" xr:uid="{B1F98772-D6A8-4DAC-A67A-676E3F739E4D}"/>
    <cellStyle name="SAPBEXresData 2 3 10" xfId="18944" xr:uid="{F3619C1A-D593-4940-9640-C4198FC9DE7E}"/>
    <cellStyle name="SAPBEXresData 2 3 10 2" xfId="33684" xr:uid="{3398BE84-6E51-4060-A5AA-D9582D7BED8F}"/>
    <cellStyle name="SAPBEXresData 2 3 11" xfId="18945" xr:uid="{D79230F3-D059-4EF7-B6B8-1D54E43C707A}"/>
    <cellStyle name="SAPBEXresData 2 3 11 2" xfId="33685" xr:uid="{A22C4F2A-C4BE-4FF7-B995-C53BEA7D638A}"/>
    <cellStyle name="SAPBEXresData 2 3 12" xfId="18946" xr:uid="{07D562AD-8BDC-4F6C-8E86-EF051CF36A6D}"/>
    <cellStyle name="SAPBEXresData 2 3 12 2" xfId="33686" xr:uid="{41D4AFBB-5190-4BD6-BE39-E8AE30DC3343}"/>
    <cellStyle name="SAPBEXresData 2 3 13" xfId="18947" xr:uid="{59911D86-091F-4581-839A-636DB90F41AA}"/>
    <cellStyle name="SAPBEXresData 2 3 13 2" xfId="33687" xr:uid="{128D2DC4-D177-4639-9E35-610C79E07C73}"/>
    <cellStyle name="SAPBEXresData 2 3 14" xfId="18948" xr:uid="{792830A3-7A1A-4103-95E3-35BE700D1190}"/>
    <cellStyle name="SAPBEXresData 2 3 14 2" xfId="33688" xr:uid="{FFA1C3F2-DC63-4F5A-A46D-7215DD3D3253}"/>
    <cellStyle name="SAPBEXresData 2 3 15" xfId="33683" xr:uid="{4FD865D6-3A81-4C92-8872-278ABD428003}"/>
    <cellStyle name="SAPBEXresData 2 3 2" xfId="18949" xr:uid="{802FC5DA-A97A-4FA7-AC97-86F33C6C1618}"/>
    <cellStyle name="SAPBEXresData 2 3 2 2" xfId="33689" xr:uid="{EF9A5B5C-0603-4849-9D1C-847080B02093}"/>
    <cellStyle name="SAPBEXresData 2 3 3" xfId="18950" xr:uid="{F4CB57F5-394B-4438-AC98-5694FD1C001A}"/>
    <cellStyle name="SAPBEXresData 2 3 3 2" xfId="33690" xr:uid="{6B63D58C-5DA2-4234-802E-B6832E305934}"/>
    <cellStyle name="SAPBEXresData 2 3 4" xfId="18951" xr:uid="{E225A223-B921-406F-84BB-06D574B6BEC7}"/>
    <cellStyle name="SAPBEXresData 2 3 4 2" xfId="33691" xr:uid="{D263C7B6-3AA0-4063-867B-98AD03AB5DA0}"/>
    <cellStyle name="SAPBEXresData 2 3 5" xfId="18952" xr:uid="{D5A60519-871E-4496-AF55-192FCCF1DB41}"/>
    <cellStyle name="SAPBEXresData 2 3 5 2" xfId="33692" xr:uid="{B163A877-FD53-417E-A9D7-53C146ACE471}"/>
    <cellStyle name="SAPBEXresData 2 3 6" xfId="18953" xr:uid="{0FE3858C-27B1-4923-955A-80C0EBF46B06}"/>
    <cellStyle name="SAPBEXresData 2 3 6 2" xfId="33693" xr:uid="{73F27B5B-B8D4-4D4A-AB14-6DD8A2CD1978}"/>
    <cellStyle name="SAPBEXresData 2 3 7" xfId="18954" xr:uid="{87D269D8-C248-4B2A-9305-20B96806722E}"/>
    <cellStyle name="SAPBEXresData 2 3 7 2" xfId="33694" xr:uid="{F371497D-7991-4631-B960-904E264B60CA}"/>
    <cellStyle name="SAPBEXresData 2 3 8" xfId="18955" xr:uid="{EA50EED5-D543-45FC-8209-31A8E5E7EDE0}"/>
    <cellStyle name="SAPBEXresData 2 3 8 2" xfId="33695" xr:uid="{2F43CC94-9FE1-4034-AD4B-A4B895B61CFD}"/>
    <cellStyle name="SAPBEXresData 2 3 9" xfId="18956" xr:uid="{E2CD4A58-0223-4CF3-888E-4CD3B997FB98}"/>
    <cellStyle name="SAPBEXresData 2 3 9 2" xfId="33696" xr:uid="{6E12F142-DB3D-4584-BC59-64BC58689366}"/>
    <cellStyle name="SAPBEXresData 2 4" xfId="18957" xr:uid="{A6D0AA50-CA42-4C65-8D13-13AE7FED96F7}"/>
    <cellStyle name="SAPBEXresData 2 4 2" xfId="33697" xr:uid="{EE4A6581-C888-480D-8E0D-AE4E84748904}"/>
    <cellStyle name="SAPBEXresData 2 5" xfId="18958" xr:uid="{E1CBD43C-B45A-4475-A699-050B1BB2B861}"/>
    <cellStyle name="SAPBEXresData 2 5 2" xfId="33698" xr:uid="{27CB77FB-424A-4F82-A710-93054FB05EA2}"/>
    <cellStyle name="SAPBEXresData 2 6" xfId="18959" xr:uid="{0FEFD40D-8E03-4FD2-8189-E7E01A299277}"/>
    <cellStyle name="SAPBEXresData 2 6 2" xfId="33699" xr:uid="{018E6EA9-6D86-4C90-9946-409BBA5E5782}"/>
    <cellStyle name="SAPBEXresData 2 7" xfId="18960" xr:uid="{B7AA620B-822B-4597-8C9A-7185511DA90F}"/>
    <cellStyle name="SAPBEXresData 2 7 2" xfId="33700" xr:uid="{52DE4B85-E515-49CD-91DA-838780B4D578}"/>
    <cellStyle name="SAPBEXresData 2 8" xfId="18961" xr:uid="{D91CA55F-2A5B-4E43-B93F-728EB9B01B18}"/>
    <cellStyle name="SAPBEXresData 2 8 2" xfId="33701" xr:uid="{15DE1503-44C8-4D46-97D9-60614B422306}"/>
    <cellStyle name="SAPBEXresData 2 9" xfId="18962" xr:uid="{85C34FE1-2AA5-484C-95E9-F03C49A6BCDA}"/>
    <cellStyle name="SAPBEXresData 2 9 2" xfId="33702" xr:uid="{CA26C7C5-6BE1-4070-82B4-1CFBCA0660FF}"/>
    <cellStyle name="SAPBEXresData 20" xfId="18963" xr:uid="{DF3A6CA7-BDB6-4C35-B214-C6D1510334CF}"/>
    <cellStyle name="SAPBEXresData 20 2" xfId="33703" xr:uid="{6BFE2CD0-B4FD-4912-B8A9-E54523D3EDA4}"/>
    <cellStyle name="SAPBEXresData 21" xfId="18964" xr:uid="{4B422E20-6395-4569-B03C-9F194E4E8D66}"/>
    <cellStyle name="SAPBEXresData 21 2" xfId="33704" xr:uid="{72AA96DC-8DEA-4EC4-B0C6-4C9FC89E6DBE}"/>
    <cellStyle name="SAPBEXresData 3" xfId="18965" xr:uid="{2D368CBF-B371-4A44-B6BA-75CA9F8A53BF}"/>
    <cellStyle name="SAPBEXresData 3 2" xfId="18966" xr:uid="{5797AC14-035F-40F0-BA39-4F7BE2C0F579}"/>
    <cellStyle name="SAPBEXresData 3 2 10" xfId="18967" xr:uid="{3084BD67-4688-4B03-9B74-0992351F670B}"/>
    <cellStyle name="SAPBEXresData 3 2 10 2" xfId="33707" xr:uid="{DA9CAD1A-A4E7-47EF-BB56-56F6E1A85817}"/>
    <cellStyle name="SAPBEXresData 3 2 11" xfId="18968" xr:uid="{4C1732AA-7260-4F14-B323-6C70342C5AE2}"/>
    <cellStyle name="SAPBEXresData 3 2 11 2" xfId="33708" xr:uid="{576E73B7-37B3-4574-9760-3668817D0A9C}"/>
    <cellStyle name="SAPBEXresData 3 2 12" xfId="18969" xr:uid="{8A5D7FA3-3F39-4F15-9A33-DAF2B76B86DF}"/>
    <cellStyle name="SAPBEXresData 3 2 12 2" xfId="33709" xr:uid="{6E4477C6-926C-4B6C-934E-C1550C3C4E9E}"/>
    <cellStyle name="SAPBEXresData 3 2 13" xfId="18970" xr:uid="{A571BE6D-D5CB-46E9-9EE0-B38167FEFCF5}"/>
    <cellStyle name="SAPBEXresData 3 2 13 2" xfId="33710" xr:uid="{97D6DB33-7203-435A-AA8A-46693CF1E189}"/>
    <cellStyle name="SAPBEXresData 3 2 14" xfId="18971" xr:uid="{8F689E21-A5EA-46BC-AFE6-D5100D8FBEA8}"/>
    <cellStyle name="SAPBEXresData 3 2 14 2" xfId="33711" xr:uid="{5BC59A28-91DD-45E7-9912-B77D50DD514B}"/>
    <cellStyle name="SAPBEXresData 3 2 15" xfId="33706" xr:uid="{94922C0F-61D6-4809-9796-51CE52B8816B}"/>
    <cellStyle name="SAPBEXresData 3 2 2" xfId="18972" xr:uid="{5A99A332-4CE7-4616-BF40-AB639252D36C}"/>
    <cellStyle name="SAPBEXresData 3 2 2 2" xfId="33712" xr:uid="{9BFB8D26-63B8-4A9A-B5EE-90B54D06678A}"/>
    <cellStyle name="SAPBEXresData 3 2 3" xfId="18973" xr:uid="{DFC5CA71-0A05-4C6B-978F-532C4CB0F5B1}"/>
    <cellStyle name="SAPBEXresData 3 2 3 2" xfId="33713" xr:uid="{998108A7-6421-447D-815D-C82A4331B4D1}"/>
    <cellStyle name="SAPBEXresData 3 2 4" xfId="18974" xr:uid="{1A49F3E7-9738-407E-B71C-E2F9BFA2D335}"/>
    <cellStyle name="SAPBEXresData 3 2 4 2" xfId="33714" xr:uid="{F07F6ADC-CC8D-4BE5-9A07-823804C60050}"/>
    <cellStyle name="SAPBEXresData 3 2 5" xfId="18975" xr:uid="{8BE7903C-9E7F-447E-88A8-B9362120395C}"/>
    <cellStyle name="SAPBEXresData 3 2 5 2" xfId="33715" xr:uid="{BAB0DB11-8C0A-4862-9B6C-677BF8723C51}"/>
    <cellStyle name="SAPBEXresData 3 2 6" xfId="18976" xr:uid="{E1AE00B3-B75B-41A4-8033-EDC8A05A9F64}"/>
    <cellStyle name="SAPBEXresData 3 2 6 2" xfId="33716" xr:uid="{BEEC2D1C-A15D-489D-B414-F12AD553C211}"/>
    <cellStyle name="SAPBEXresData 3 2 7" xfId="18977" xr:uid="{F1DF0E52-C3A8-46C7-9F9C-F8EFC9D72F7A}"/>
    <cellStyle name="SAPBEXresData 3 2 7 2" xfId="33717" xr:uid="{F6B91D7A-8D36-499B-AC7D-4A7E8F82B036}"/>
    <cellStyle name="SAPBEXresData 3 2 8" xfId="18978" xr:uid="{1D89B2F8-4CA6-45C4-B1CE-106AB1F9B19B}"/>
    <cellStyle name="SAPBEXresData 3 2 8 2" xfId="33718" xr:uid="{1F804F52-6026-4F8F-B498-DE21DEDBA434}"/>
    <cellStyle name="SAPBEXresData 3 2 9" xfId="18979" xr:uid="{4D1389CF-73F7-429D-8609-CC25185ED591}"/>
    <cellStyle name="SAPBEXresData 3 2 9 2" xfId="33719" xr:uid="{02650957-C56A-404E-A9AB-C189643FCFC1}"/>
    <cellStyle name="SAPBEXresData 3 3" xfId="18980" xr:uid="{325BB5E4-4BBA-498E-AC5D-95FE5E292854}"/>
    <cellStyle name="SAPBEXresData 3 4" xfId="33705" xr:uid="{66DAC759-540D-4019-9951-09F89EF3E70A}"/>
    <cellStyle name="SAPBEXresData 4" xfId="18981" xr:uid="{BAB4648A-671B-4CB1-8899-D348E6F0D52E}"/>
    <cellStyle name="SAPBEXresData 5" xfId="18982" xr:uid="{7C9B01C2-1A03-42BB-9153-3F7E9A9B2408}"/>
    <cellStyle name="SAPBEXresData 5 10" xfId="18983" xr:uid="{7E8BE6A4-7C89-404B-B05D-4BFA03D3EAE1}"/>
    <cellStyle name="SAPBEXresData 5 10 2" xfId="33721" xr:uid="{36C95059-140E-4998-AD9E-40D9DA707E65}"/>
    <cellStyle name="SAPBEXresData 5 11" xfId="18984" xr:uid="{985B0547-413B-468C-9FDA-85B605D318BF}"/>
    <cellStyle name="SAPBEXresData 5 11 2" xfId="33722" xr:uid="{B4506587-2CF0-40A7-915E-F4FD2B683E56}"/>
    <cellStyle name="SAPBEXresData 5 12" xfId="18985" xr:uid="{C2B4628E-6607-4F1B-873D-CA31D4528398}"/>
    <cellStyle name="SAPBEXresData 5 12 2" xfId="33723" xr:uid="{325C33E4-E3EC-4F97-8DF1-92B6C52812EA}"/>
    <cellStyle name="SAPBEXresData 5 13" xfId="18986" xr:uid="{FE171D62-34BD-4411-A3E1-D329B2E6C3DD}"/>
    <cellStyle name="SAPBEXresData 5 13 2" xfId="33724" xr:uid="{690140D4-51D8-4A15-8150-A5F89F81825A}"/>
    <cellStyle name="SAPBEXresData 5 14" xfId="18987" xr:uid="{DAC0E043-83C3-47AA-B896-6C14340F3CCF}"/>
    <cellStyle name="SAPBEXresData 5 14 2" xfId="33725" xr:uid="{331A4F20-E3EA-417A-91D1-9C02F6D8FEFE}"/>
    <cellStyle name="SAPBEXresData 5 15" xfId="33720" xr:uid="{E8275677-CE9E-465E-A8B7-0EC49AB8BE4E}"/>
    <cellStyle name="SAPBEXresData 5 2" xfId="18988" xr:uid="{798C072A-C051-4BF9-8C05-C63F019EF7F2}"/>
    <cellStyle name="SAPBEXresData 5 2 2" xfId="33726" xr:uid="{9AFCA1B3-D2FF-4341-8B8B-BD59B8432792}"/>
    <cellStyle name="SAPBEXresData 5 3" xfId="18989" xr:uid="{40C36130-69DD-46D7-AA3A-B0818F56DD37}"/>
    <cellStyle name="SAPBEXresData 5 3 2" xfId="33727" xr:uid="{5CDB7362-3650-4C84-AE38-458EC78CDF9A}"/>
    <cellStyle name="SAPBEXresData 5 4" xfId="18990" xr:uid="{45214FF9-E1A1-482E-B977-EE8C615B2685}"/>
    <cellStyle name="SAPBEXresData 5 4 2" xfId="33728" xr:uid="{3FC87C80-4A91-454C-9558-275EF1DA2BC1}"/>
    <cellStyle name="SAPBEXresData 5 5" xfId="18991" xr:uid="{99A346FB-331E-49EC-B281-492D297339E2}"/>
    <cellStyle name="SAPBEXresData 5 5 2" xfId="33729" xr:uid="{4FD32D63-19FD-4774-836F-6E55D9C31DF3}"/>
    <cellStyle name="SAPBEXresData 5 6" xfId="18992" xr:uid="{0CE22270-D303-466C-88F6-1561C5E85E0F}"/>
    <cellStyle name="SAPBEXresData 5 6 2" xfId="33730" xr:uid="{0D94838C-8050-4E72-90FA-E84F6A44B19D}"/>
    <cellStyle name="SAPBEXresData 5 7" xfId="18993" xr:uid="{01FBBE24-FBC4-4FCD-998A-DB0E1687124A}"/>
    <cellStyle name="SAPBEXresData 5 7 2" xfId="33731" xr:uid="{C04A2C60-9475-423F-B33C-B291E6A745EA}"/>
    <cellStyle name="SAPBEXresData 5 8" xfId="18994" xr:uid="{BF83060A-0707-4539-A526-3ECA275FB9B9}"/>
    <cellStyle name="SAPBEXresData 5 8 2" xfId="33732" xr:uid="{F98DC0E6-E4BE-4DD1-A1A8-0D3954E583C4}"/>
    <cellStyle name="SAPBEXresData 5 9" xfId="18995" xr:uid="{97EA6747-45DA-4DED-8AA4-DB48F953E4B7}"/>
    <cellStyle name="SAPBEXresData 5 9 2" xfId="33733" xr:uid="{8B2091E9-423E-44CC-8032-875EB1B7CD64}"/>
    <cellStyle name="SAPBEXresData 6" xfId="18996" xr:uid="{D7428FE7-C11A-4154-8F08-CF2CEC55EC36}"/>
    <cellStyle name="SAPBEXresData 6 2" xfId="33734" xr:uid="{FEF93779-3F0F-4458-A406-988F3FE50C7E}"/>
    <cellStyle name="SAPBEXresData 7" xfId="18997" xr:uid="{00C156BF-F2AC-4168-AE37-F5010123E6CC}"/>
    <cellStyle name="SAPBEXresData 7 2" xfId="33735" xr:uid="{F44788F7-C70F-44C7-ABB5-C42E319A2E7D}"/>
    <cellStyle name="SAPBEXresData 8" xfId="18998" xr:uid="{DF4F6493-98DA-4600-A047-E4D24A8DA075}"/>
    <cellStyle name="SAPBEXresData 8 2" xfId="33736" xr:uid="{3FDF9D05-D30E-4863-AB07-09EC3E945401}"/>
    <cellStyle name="SAPBEXresData 9" xfId="18999" xr:uid="{BFE71DAC-3A80-4B7E-A72A-BDC8CDDB9780}"/>
    <cellStyle name="SAPBEXresData 9 2" xfId="33737" xr:uid="{097A906B-10A6-4BB8-A9A0-4B7F4E4D3BFD}"/>
    <cellStyle name="SAPBEXresDataEmph" xfId="19000" xr:uid="{41742BB0-4314-47DA-A8DE-43E9B2D28E5B}"/>
    <cellStyle name="SAPBEXresDataEmph 10" xfId="19001" xr:uid="{EE98F5BC-30CE-472C-8F57-2020988562B9}"/>
    <cellStyle name="SAPBEXresDataEmph 10 2" xfId="33738" xr:uid="{6D9EF071-0509-4A5F-8E5F-0F1B25170B1C}"/>
    <cellStyle name="SAPBEXresDataEmph 11" xfId="19002" xr:uid="{C7472E8E-7B32-43B5-8F64-E573E3966CE9}"/>
    <cellStyle name="SAPBEXresDataEmph 11 2" xfId="33739" xr:uid="{61D7F378-458C-4F1C-9CC9-1F7BC5ACFDD3}"/>
    <cellStyle name="SAPBEXresDataEmph 12" xfId="19003" xr:uid="{EB694A5D-BD45-47CB-AEFF-9C1B52581F83}"/>
    <cellStyle name="SAPBEXresDataEmph 12 2" xfId="33740" xr:uid="{18937E30-5FAE-473A-903C-05EFC0F9B9E8}"/>
    <cellStyle name="SAPBEXresDataEmph 13" xfId="19004" xr:uid="{70BFA483-7A7B-4CC7-8E02-78AECC83FDCD}"/>
    <cellStyle name="SAPBEXresDataEmph 13 2" xfId="33741" xr:uid="{150CD74F-04A9-44A5-BAE8-F842C8D8DF13}"/>
    <cellStyle name="SAPBEXresDataEmph 14" xfId="19005" xr:uid="{E570B6ED-0FD2-40F5-8278-D73649E49923}"/>
    <cellStyle name="SAPBEXresDataEmph 14 2" xfId="33742" xr:uid="{6B5AF192-EEF2-4A6A-8761-FEFA8ABCB342}"/>
    <cellStyle name="SAPBEXresDataEmph 15" xfId="19006" xr:uid="{2F55905C-040F-4995-9C41-A140481D0107}"/>
    <cellStyle name="SAPBEXresDataEmph 15 2" xfId="33743" xr:uid="{8244F5A1-6D0D-43EA-8B29-101652645BE4}"/>
    <cellStyle name="SAPBEXresDataEmph 16" xfId="19007" xr:uid="{29B4CEC6-CD3D-434C-AB58-C85A4108E11A}"/>
    <cellStyle name="SAPBEXresDataEmph 16 2" xfId="33744" xr:uid="{41F5AC10-D08E-4BC9-9756-1B92A69DCB1D}"/>
    <cellStyle name="SAPBEXresDataEmph 17" xfId="19008" xr:uid="{48048856-B6FA-4420-8209-1798770FBCBF}"/>
    <cellStyle name="SAPBEXresDataEmph 17 2" xfId="33745" xr:uid="{2ACC9377-FA50-4CDF-91BB-38FF16CE7BE8}"/>
    <cellStyle name="SAPBEXresDataEmph 18" xfId="19009" xr:uid="{E76BCEA7-5C64-446C-BA2D-9F7C891E12F3}"/>
    <cellStyle name="SAPBEXresDataEmph 18 2" xfId="33746" xr:uid="{6DD8E33D-306E-4716-B53E-27E198F0F1B5}"/>
    <cellStyle name="SAPBEXresDataEmph 19" xfId="19010" xr:uid="{F6A69F96-D215-4D3E-A0A2-2190E2537DFF}"/>
    <cellStyle name="SAPBEXresDataEmph 19 2" xfId="33747" xr:uid="{D5943C4F-0B2D-4D67-9211-D6A0DB846294}"/>
    <cellStyle name="SAPBEXresDataEmph 2" xfId="19011" xr:uid="{0A5D5464-0758-4E2C-A4E2-6D99942BA8E2}"/>
    <cellStyle name="SAPBEXresDataEmph 2 10" xfId="19012" xr:uid="{0111B4EB-1103-4CB8-B6EE-EFDC3FE81263}"/>
    <cellStyle name="SAPBEXresDataEmph 2 10 2" xfId="33749" xr:uid="{13E91279-A831-4719-B061-9AB8899420C3}"/>
    <cellStyle name="SAPBEXresDataEmph 2 11" xfId="19013" xr:uid="{D46E5595-087D-4E7F-8139-A8BE5F176350}"/>
    <cellStyle name="SAPBEXresDataEmph 2 11 2" xfId="33750" xr:uid="{D4BC1333-3B4C-4C81-82A7-DC9F0A1ED2E6}"/>
    <cellStyle name="SAPBEXresDataEmph 2 12" xfId="19014" xr:uid="{87DC10E7-1674-4A29-93F1-DE52ACEEBE34}"/>
    <cellStyle name="SAPBEXresDataEmph 2 12 2" xfId="33751" xr:uid="{11F0DC15-3BD8-4F28-9B25-2363BC06FA81}"/>
    <cellStyle name="SAPBEXresDataEmph 2 13" xfId="19015" xr:uid="{05919F43-8427-4569-A56F-D7F9EA8E02A6}"/>
    <cellStyle name="SAPBEXresDataEmph 2 13 2" xfId="33752" xr:uid="{D3FAAB38-0501-4CA7-BC74-2ECE9A680AFA}"/>
    <cellStyle name="SAPBEXresDataEmph 2 14" xfId="19016" xr:uid="{26AE1293-84FD-4701-9E10-2385309A05AD}"/>
    <cellStyle name="SAPBEXresDataEmph 2 14 2" xfId="33753" xr:uid="{387F063D-F25A-4C20-BFA7-11819F923A97}"/>
    <cellStyle name="SAPBEXresDataEmph 2 15" xfId="19017" xr:uid="{6A9E061C-F33D-414F-BE9C-55ED56121550}"/>
    <cellStyle name="SAPBEXresDataEmph 2 15 2" xfId="33754" xr:uid="{6BC5C553-F344-45BC-93C4-2A84E0E14B61}"/>
    <cellStyle name="SAPBEXresDataEmph 2 16" xfId="19018" xr:uid="{7152C3B2-31DB-4E4C-9BFC-9E7D994746B7}"/>
    <cellStyle name="SAPBEXresDataEmph 2 16 2" xfId="33755" xr:uid="{FE811AEA-4584-471E-876A-3297389B57FE}"/>
    <cellStyle name="SAPBEXresDataEmph 2 17" xfId="19019" xr:uid="{18BF5864-C0C8-4ED5-8AB3-395097DAE568}"/>
    <cellStyle name="SAPBEXresDataEmph 2 17 2" xfId="33756" xr:uid="{D33E802F-EAC7-4F62-956A-B25939F13983}"/>
    <cellStyle name="SAPBEXresDataEmph 2 18" xfId="19020" xr:uid="{0FB98313-741E-4C0A-8047-5FCF2972A566}"/>
    <cellStyle name="SAPBEXresDataEmph 2 18 2" xfId="33757" xr:uid="{A9812F6F-6CDE-46D4-807D-8237B0BF0F64}"/>
    <cellStyle name="SAPBEXresDataEmph 2 19" xfId="19021" xr:uid="{23B719DE-8547-4264-B2A9-95CCE0352C18}"/>
    <cellStyle name="SAPBEXresDataEmph 2 19 2" xfId="33758" xr:uid="{8AAC2471-B052-4DC1-BC28-5EF70A2D90AB}"/>
    <cellStyle name="SAPBEXresDataEmph 2 2" xfId="19022" xr:uid="{FC7398B9-E9FD-4209-9A34-50A5FE46D45F}"/>
    <cellStyle name="SAPBEXresDataEmph 2 2 10" xfId="19023" xr:uid="{28DC8C04-B08A-4D65-8BAD-A3EE025D2F45}"/>
    <cellStyle name="SAPBEXresDataEmph 2 2 10 2" xfId="33760" xr:uid="{7C54A303-5BE5-43F4-9492-D43928F4F39F}"/>
    <cellStyle name="SAPBEXresDataEmph 2 2 11" xfId="19024" xr:uid="{6B5AC649-F198-4D12-8703-6FFA63AD9C4F}"/>
    <cellStyle name="SAPBEXresDataEmph 2 2 11 2" xfId="33761" xr:uid="{5C7B563C-A8E2-47A4-81E5-8E1E654588DB}"/>
    <cellStyle name="SAPBEXresDataEmph 2 2 12" xfId="19025" xr:uid="{1F0243B3-6D68-4189-B79A-FF36917E579B}"/>
    <cellStyle name="SAPBEXresDataEmph 2 2 12 2" xfId="33762" xr:uid="{F863B53E-9234-411C-8E13-A484D219F51C}"/>
    <cellStyle name="SAPBEXresDataEmph 2 2 13" xfId="19026" xr:uid="{553D1660-2200-4F0C-9A9A-FC6E11EA929D}"/>
    <cellStyle name="SAPBEXresDataEmph 2 2 13 2" xfId="33763" xr:uid="{7165ED2D-DC5B-4DED-8422-3A5B14091F24}"/>
    <cellStyle name="SAPBEXresDataEmph 2 2 14" xfId="19027" xr:uid="{324A41C9-D5DA-4999-9199-C7F31DB2C572}"/>
    <cellStyle name="SAPBEXresDataEmph 2 2 14 2" xfId="33764" xr:uid="{CE2E4694-C45E-4D2B-B485-7D986753F61B}"/>
    <cellStyle name="SAPBEXresDataEmph 2 2 15" xfId="19028" xr:uid="{B73E8659-7653-419A-A125-4A0B8C0B66D1}"/>
    <cellStyle name="SAPBEXresDataEmph 2 2 15 2" xfId="33765" xr:uid="{86EACBBF-B89E-465F-A6F4-BB468F5DBD9D}"/>
    <cellStyle name="SAPBEXresDataEmph 2 2 16" xfId="19029" xr:uid="{8EB487F3-E923-4AD6-900D-2F1F24A1A656}"/>
    <cellStyle name="SAPBEXresDataEmph 2 2 16 2" xfId="33766" xr:uid="{19CB05CC-76D6-4DA4-8ABC-BDD43BD653D0}"/>
    <cellStyle name="SAPBEXresDataEmph 2 2 17" xfId="19030" xr:uid="{AD646E00-0E1A-45BA-9F5B-607E3156326F}"/>
    <cellStyle name="SAPBEXresDataEmph 2 2 17 2" xfId="33767" xr:uid="{98D94223-2517-45AD-9AA7-E53E0DB11732}"/>
    <cellStyle name="SAPBEXresDataEmph 2 2 18" xfId="19031" xr:uid="{55BA82E5-553E-4902-B07E-3AC0505B979F}"/>
    <cellStyle name="SAPBEXresDataEmph 2 2 18 2" xfId="33768" xr:uid="{192EE6B3-3AA4-4972-B80F-4DB5069DFAFB}"/>
    <cellStyle name="SAPBEXresDataEmph 2 2 19" xfId="33759" xr:uid="{E440B218-E872-4497-A83F-DCA1178AF15E}"/>
    <cellStyle name="SAPBEXresDataEmph 2 2 2" xfId="19032" xr:uid="{884DDCBA-7DEB-4440-AD33-4A3E35C8F23A}"/>
    <cellStyle name="SAPBEXresDataEmph 2 2 2 10" xfId="19033" xr:uid="{F055864D-95D4-42FE-8B6E-876C72A48029}"/>
    <cellStyle name="SAPBEXresDataEmph 2 2 2 10 2" xfId="33770" xr:uid="{3FC80AC0-12D0-4351-A7EC-2DCD0E3026B9}"/>
    <cellStyle name="SAPBEXresDataEmph 2 2 2 11" xfId="19034" xr:uid="{BD706C37-8FBB-41E9-9B39-1D7F879A4FED}"/>
    <cellStyle name="SAPBEXresDataEmph 2 2 2 11 2" xfId="33771" xr:uid="{7C2E9F9D-419B-4BF0-A5B6-19B093C60125}"/>
    <cellStyle name="SAPBEXresDataEmph 2 2 2 12" xfId="19035" xr:uid="{4D7477AD-DB74-4659-B808-9B15AF4CE9D4}"/>
    <cellStyle name="SAPBEXresDataEmph 2 2 2 12 2" xfId="33772" xr:uid="{015EE1D4-9D45-436D-9279-A7583316195A}"/>
    <cellStyle name="SAPBEXresDataEmph 2 2 2 13" xfId="19036" xr:uid="{DA5FF2F3-35C9-4D09-B52C-1C90D41240C2}"/>
    <cellStyle name="SAPBEXresDataEmph 2 2 2 13 2" xfId="33773" xr:uid="{9FF7F3E2-8CF6-4350-BBE5-7CEA8D7ED9EA}"/>
    <cellStyle name="SAPBEXresDataEmph 2 2 2 14" xfId="19037" xr:uid="{D0E9B223-0647-4294-A929-D471FA2105E0}"/>
    <cellStyle name="SAPBEXresDataEmph 2 2 2 14 2" xfId="33774" xr:uid="{382EF079-A9AA-4FCB-B5A9-D14F59320FC2}"/>
    <cellStyle name="SAPBEXresDataEmph 2 2 2 15" xfId="33769" xr:uid="{72D91F85-3773-4B00-A1DC-5397F2CE819B}"/>
    <cellStyle name="SAPBEXresDataEmph 2 2 2 2" xfId="19038" xr:uid="{58B6C803-5DBD-4C1E-B11B-BCD089B67795}"/>
    <cellStyle name="SAPBEXresDataEmph 2 2 2 2 2" xfId="33775" xr:uid="{0B2F1060-7D9A-4599-8479-8C4C001B079D}"/>
    <cellStyle name="SAPBEXresDataEmph 2 2 2 3" xfId="19039" xr:uid="{106C630C-4DF0-4F89-9C4F-B0AB23679E7D}"/>
    <cellStyle name="SAPBEXresDataEmph 2 2 2 3 2" xfId="33776" xr:uid="{DB444494-301A-4830-AF94-7B64AAF473C3}"/>
    <cellStyle name="SAPBEXresDataEmph 2 2 2 4" xfId="19040" xr:uid="{10B40B21-1C44-4408-9C4D-5A2BDE48D8D9}"/>
    <cellStyle name="SAPBEXresDataEmph 2 2 2 4 2" xfId="33777" xr:uid="{41591C13-5773-451A-AF97-FBA6270D98B9}"/>
    <cellStyle name="SAPBEXresDataEmph 2 2 2 5" xfId="19041" xr:uid="{88BEB7E4-6166-4047-9E18-7E02027D3945}"/>
    <cellStyle name="SAPBEXresDataEmph 2 2 2 5 2" xfId="33778" xr:uid="{5DF0C877-DF13-425C-B164-8AD6E4AF6837}"/>
    <cellStyle name="SAPBEXresDataEmph 2 2 2 6" xfId="19042" xr:uid="{D4B4B769-9EFE-4BD6-B7D5-D50BC4DED886}"/>
    <cellStyle name="SAPBEXresDataEmph 2 2 2 6 2" xfId="33779" xr:uid="{6D6C2779-EDA6-4F3F-AB40-4853E7EF90C7}"/>
    <cellStyle name="SAPBEXresDataEmph 2 2 2 7" xfId="19043" xr:uid="{F974706E-4A91-45BA-ABAF-75FD19769375}"/>
    <cellStyle name="SAPBEXresDataEmph 2 2 2 7 2" xfId="33780" xr:uid="{4809383B-A67D-4FC3-8694-159AB95A9295}"/>
    <cellStyle name="SAPBEXresDataEmph 2 2 2 8" xfId="19044" xr:uid="{65AA50D6-3FA6-47DD-88BF-CE04E598DF5D}"/>
    <cellStyle name="SAPBEXresDataEmph 2 2 2 8 2" xfId="33781" xr:uid="{7240759E-22EF-48F2-AB40-B61A47BFEBDD}"/>
    <cellStyle name="SAPBEXresDataEmph 2 2 2 9" xfId="19045" xr:uid="{BB161692-7FCB-4A3C-A342-25D67E3FABC4}"/>
    <cellStyle name="SAPBEXresDataEmph 2 2 2 9 2" xfId="33782" xr:uid="{481E2660-C4E7-4C71-AAF0-82239D05E823}"/>
    <cellStyle name="SAPBEXresDataEmph 2 2 3" xfId="19046" xr:uid="{7092252D-FB2E-4A69-84B1-D68F21F6FCCE}"/>
    <cellStyle name="SAPBEXresDataEmph 2 2 3 2" xfId="33783" xr:uid="{E008E032-49FD-4F97-89DE-B1F6EAAE3638}"/>
    <cellStyle name="SAPBEXresDataEmph 2 2 4" xfId="19047" xr:uid="{DC39A74E-166A-4AFF-A6CB-B9EBD51CCC8A}"/>
    <cellStyle name="SAPBEXresDataEmph 2 2 4 2" xfId="33784" xr:uid="{EAFF41B5-2530-4E3E-A139-35B7F8FE271E}"/>
    <cellStyle name="SAPBEXresDataEmph 2 2 5" xfId="19048" xr:uid="{629E617B-2993-419F-B8DA-A52758BC27C7}"/>
    <cellStyle name="SAPBEXresDataEmph 2 2 5 2" xfId="33785" xr:uid="{EDB0AC50-5552-48DE-8E5A-B687DC91EB1C}"/>
    <cellStyle name="SAPBEXresDataEmph 2 2 6" xfId="19049" xr:uid="{95998FEA-A015-4DD7-AEF3-12A5336AE5C6}"/>
    <cellStyle name="SAPBEXresDataEmph 2 2 6 2" xfId="33786" xr:uid="{BC17C75B-3298-4473-A8B7-02CDB2B71888}"/>
    <cellStyle name="SAPBEXresDataEmph 2 2 7" xfId="19050" xr:uid="{108803BC-2818-41B3-8168-50DFC1A38A94}"/>
    <cellStyle name="SAPBEXresDataEmph 2 2 7 2" xfId="33787" xr:uid="{D4BE6CE6-01B5-489F-8D72-9C9959518675}"/>
    <cellStyle name="SAPBEXresDataEmph 2 2 8" xfId="19051" xr:uid="{956ADCCE-A374-468B-AE70-359DF8466C92}"/>
    <cellStyle name="SAPBEXresDataEmph 2 2 8 2" xfId="33788" xr:uid="{6297436F-A093-4606-8FF5-F723D6499E10}"/>
    <cellStyle name="SAPBEXresDataEmph 2 2 9" xfId="19052" xr:uid="{79285150-5AEE-4E6B-B204-F86FDDBF9DA7}"/>
    <cellStyle name="SAPBEXresDataEmph 2 2 9 2" xfId="33789" xr:uid="{F6E75F42-0829-49C7-ABB9-A467F6AFCDFC}"/>
    <cellStyle name="SAPBEXresDataEmph 2 20" xfId="33748" xr:uid="{7F6CE3B8-1EC9-4CC0-984A-788B7575CC89}"/>
    <cellStyle name="SAPBEXresDataEmph 2 3" xfId="19053" xr:uid="{77709A45-4DE0-4D66-BDEB-005F18F21BC4}"/>
    <cellStyle name="SAPBEXresDataEmph 2 3 10" xfId="19054" xr:uid="{B6AA2193-6F8C-4BAB-926C-E56274777437}"/>
    <cellStyle name="SAPBEXresDataEmph 2 3 10 2" xfId="33791" xr:uid="{B050E523-3DD8-4E75-A5CF-BF723367CCF8}"/>
    <cellStyle name="SAPBEXresDataEmph 2 3 11" xfId="19055" xr:uid="{D5006E87-17CE-47EC-9329-1EFCC671D6D6}"/>
    <cellStyle name="SAPBEXresDataEmph 2 3 11 2" xfId="33792" xr:uid="{313B3582-264E-4EB7-8D6C-547B77D457FE}"/>
    <cellStyle name="SAPBEXresDataEmph 2 3 12" xfId="19056" xr:uid="{CBB759EF-694A-4DFF-9DD0-02F642F77BF7}"/>
    <cellStyle name="SAPBEXresDataEmph 2 3 12 2" xfId="33793" xr:uid="{481EDB06-1D31-4050-A2AA-0838128CE97F}"/>
    <cellStyle name="SAPBEXresDataEmph 2 3 13" xfId="19057" xr:uid="{F60FF057-E37D-409B-A2B2-98201F820419}"/>
    <cellStyle name="SAPBEXresDataEmph 2 3 13 2" xfId="33794" xr:uid="{F2327668-7DF1-4B6C-983E-A5BCB107D2D3}"/>
    <cellStyle name="SAPBEXresDataEmph 2 3 14" xfId="19058" xr:uid="{A1CCE077-953F-4FC4-A0D1-D4E14BC0CC5E}"/>
    <cellStyle name="SAPBEXresDataEmph 2 3 14 2" xfId="33795" xr:uid="{00C601D0-E1A4-439C-8D46-C2C5AFA285B7}"/>
    <cellStyle name="SAPBEXresDataEmph 2 3 15" xfId="33790" xr:uid="{1A851B7D-954A-4F2C-A0EC-C58CE9061BCE}"/>
    <cellStyle name="SAPBEXresDataEmph 2 3 2" xfId="19059" xr:uid="{4AC5A138-6680-438B-BDDA-54DB86BC13ED}"/>
    <cellStyle name="SAPBEXresDataEmph 2 3 2 2" xfId="33796" xr:uid="{6C97DABA-5DAE-4C9D-AA2C-2783CBEE1A34}"/>
    <cellStyle name="SAPBEXresDataEmph 2 3 3" xfId="19060" xr:uid="{28196385-FE47-4A0F-91F9-29C753DF0D0B}"/>
    <cellStyle name="SAPBEXresDataEmph 2 3 3 2" xfId="33797" xr:uid="{5FC18ECC-DD11-481C-87D5-3E7C88A9AC06}"/>
    <cellStyle name="SAPBEXresDataEmph 2 3 4" xfId="19061" xr:uid="{F28DF2F6-F790-48AC-B02F-1CEAEDD7FC75}"/>
    <cellStyle name="SAPBEXresDataEmph 2 3 4 2" xfId="33798" xr:uid="{50F39B77-41BC-4846-B191-6E7B44E50B16}"/>
    <cellStyle name="SAPBEXresDataEmph 2 3 5" xfId="19062" xr:uid="{46E7878D-346A-45D2-9ED4-841B61B18986}"/>
    <cellStyle name="SAPBEXresDataEmph 2 3 5 2" xfId="33799" xr:uid="{BA67819D-2762-416F-B48A-6DEC74222021}"/>
    <cellStyle name="SAPBEXresDataEmph 2 3 6" xfId="19063" xr:uid="{30315E7D-AAFF-46F7-ADA5-DCE5975B21A5}"/>
    <cellStyle name="SAPBEXresDataEmph 2 3 6 2" xfId="33800" xr:uid="{B86B12AA-1C00-4DAC-9B96-542785C4CA87}"/>
    <cellStyle name="SAPBEXresDataEmph 2 3 7" xfId="19064" xr:uid="{0D0810BF-72C6-4764-B730-C6AEEDD08654}"/>
    <cellStyle name="SAPBEXresDataEmph 2 3 7 2" xfId="33801" xr:uid="{94BC712F-FF4A-4FA3-892A-BABA6A32D587}"/>
    <cellStyle name="SAPBEXresDataEmph 2 3 8" xfId="19065" xr:uid="{A517632E-9C82-4C10-9722-E8ED9197039A}"/>
    <cellStyle name="SAPBEXresDataEmph 2 3 8 2" xfId="33802" xr:uid="{1CF00C01-A5F7-471F-91DE-708073E8FDAC}"/>
    <cellStyle name="SAPBEXresDataEmph 2 3 9" xfId="19066" xr:uid="{FDDC4282-8FCE-45E0-8BCE-C9DDE4DD3CBA}"/>
    <cellStyle name="SAPBEXresDataEmph 2 3 9 2" xfId="33803" xr:uid="{186197E2-DD73-4F19-8812-CB0D98BFDD71}"/>
    <cellStyle name="SAPBEXresDataEmph 2 4" xfId="19067" xr:uid="{3AD723E8-AECB-4AEA-8E3B-62BD70CE6FDB}"/>
    <cellStyle name="SAPBEXresDataEmph 2 4 2" xfId="33804" xr:uid="{70D2ACEE-815D-4C05-B2E7-3F4CDA604496}"/>
    <cellStyle name="SAPBEXresDataEmph 2 5" xfId="19068" xr:uid="{0805F373-A987-4F6F-A3C9-592BE8BC56B6}"/>
    <cellStyle name="SAPBEXresDataEmph 2 5 2" xfId="33805" xr:uid="{E0A956E3-F54F-4EB3-8443-1C1F07C0D1AC}"/>
    <cellStyle name="SAPBEXresDataEmph 2 6" xfId="19069" xr:uid="{20B6D755-A6E8-436A-829A-3A9AA5C8583E}"/>
    <cellStyle name="SAPBEXresDataEmph 2 6 2" xfId="33806" xr:uid="{DD6808DA-ED36-4821-8A9F-28C484E5D5DF}"/>
    <cellStyle name="SAPBEXresDataEmph 2 7" xfId="19070" xr:uid="{04B23A3D-1FC4-47F5-8C47-53E8462B9B5F}"/>
    <cellStyle name="SAPBEXresDataEmph 2 7 2" xfId="33807" xr:uid="{48892D09-7437-4818-8AF2-1A25F3603206}"/>
    <cellStyle name="SAPBEXresDataEmph 2 8" xfId="19071" xr:uid="{A69C3EE2-3E5C-4B1E-8E51-DD686429A8E6}"/>
    <cellStyle name="SAPBEXresDataEmph 2 8 2" xfId="33808" xr:uid="{124F65D3-009E-44C4-A2E4-98DB5F84C414}"/>
    <cellStyle name="SAPBEXresDataEmph 2 9" xfId="19072" xr:uid="{BEBE5CB0-0EF0-43E4-941C-F4980C2ADA3D}"/>
    <cellStyle name="SAPBEXresDataEmph 2 9 2" xfId="33809" xr:uid="{B065B343-FD2F-411D-95B9-DD8719CC0EDF}"/>
    <cellStyle name="SAPBEXresDataEmph 20" xfId="19073" xr:uid="{A443BC52-EBB2-4C72-BA73-ECC12C4F0DE2}"/>
    <cellStyle name="SAPBEXresDataEmph 20 2" xfId="33810" xr:uid="{94C60CA0-051D-426D-8793-B1FD0A42C68C}"/>
    <cellStyle name="SAPBEXresDataEmph 21" xfId="19074" xr:uid="{6CF6921B-FD0F-46D9-B1D5-1D3F06FD83A5}"/>
    <cellStyle name="SAPBEXresDataEmph 21 2" xfId="33811" xr:uid="{32C80E75-691C-4BDB-99AC-9178A5A60C24}"/>
    <cellStyle name="SAPBEXresDataEmph 3" xfId="19075" xr:uid="{EEAFD26A-F195-4AE7-AD0D-23D111855DE9}"/>
    <cellStyle name="SAPBEXresDataEmph 3 2" xfId="19076" xr:uid="{3410A147-5B01-4FAC-94D6-DEDC6E29730D}"/>
    <cellStyle name="SAPBEXresDataEmph 3 2 10" xfId="19077" xr:uid="{A9DDE105-F9FD-4AFC-B777-686FF9D344DC}"/>
    <cellStyle name="SAPBEXresDataEmph 3 2 10 2" xfId="33814" xr:uid="{88BDF8FF-A7B8-4580-ADB9-7BE837480C8A}"/>
    <cellStyle name="SAPBEXresDataEmph 3 2 11" xfId="19078" xr:uid="{05D59345-3D74-4E16-BA2A-F4B8D765A0C4}"/>
    <cellStyle name="SAPBEXresDataEmph 3 2 11 2" xfId="33815" xr:uid="{0E532F47-BC1B-4269-953A-7D5F834C1A87}"/>
    <cellStyle name="SAPBEXresDataEmph 3 2 12" xfId="19079" xr:uid="{33257BFD-35A3-434C-9405-5ADB8AE157C9}"/>
    <cellStyle name="SAPBEXresDataEmph 3 2 12 2" xfId="33816" xr:uid="{FAA95A0D-1C93-4B45-99DA-95D8726E4F69}"/>
    <cellStyle name="SAPBEXresDataEmph 3 2 13" xfId="19080" xr:uid="{A949A9C9-F305-47E8-AAAB-536FDAEB34A1}"/>
    <cellStyle name="SAPBEXresDataEmph 3 2 13 2" xfId="33817" xr:uid="{A521CDD5-B5D6-4BDB-BFE6-6C7801BC70F5}"/>
    <cellStyle name="SAPBEXresDataEmph 3 2 14" xfId="19081" xr:uid="{4D7ED8E9-179F-408B-BB27-A61396E4505E}"/>
    <cellStyle name="SAPBEXresDataEmph 3 2 14 2" xfId="33818" xr:uid="{F3027969-0349-4D29-9721-527CA6419086}"/>
    <cellStyle name="SAPBEXresDataEmph 3 2 15" xfId="33813" xr:uid="{FAB92C6A-4F15-4B6E-A212-EB8D26C97CDF}"/>
    <cellStyle name="SAPBEXresDataEmph 3 2 2" xfId="19082" xr:uid="{47D9C013-0A4F-40F3-B7E5-DAF0E0CC9DC6}"/>
    <cellStyle name="SAPBEXresDataEmph 3 2 2 2" xfId="33819" xr:uid="{EF1EB55E-AB21-41BE-AA77-A01EBD3F1F0A}"/>
    <cellStyle name="SAPBEXresDataEmph 3 2 3" xfId="19083" xr:uid="{A7073BAA-3887-4F28-89D2-9360A64A0D80}"/>
    <cellStyle name="SAPBEXresDataEmph 3 2 3 2" xfId="33820" xr:uid="{B8669744-E8E5-4E66-8AF2-1E91803A64DE}"/>
    <cellStyle name="SAPBEXresDataEmph 3 2 4" xfId="19084" xr:uid="{3C07AB85-EA4B-41A4-91BF-D600DA9FC4BA}"/>
    <cellStyle name="SAPBEXresDataEmph 3 2 4 2" xfId="33821" xr:uid="{A7D84607-2C43-4D86-A13A-97E58575621E}"/>
    <cellStyle name="SAPBEXresDataEmph 3 2 5" xfId="19085" xr:uid="{4C7E905B-C70D-48EB-A0B0-C97D9E028EA3}"/>
    <cellStyle name="SAPBEXresDataEmph 3 2 5 2" xfId="33822" xr:uid="{1838F1FE-6E4B-4593-B94A-2DF671DD8A76}"/>
    <cellStyle name="SAPBEXresDataEmph 3 2 6" xfId="19086" xr:uid="{AC910C27-EFED-4CE1-AD5E-5ED056C4B245}"/>
    <cellStyle name="SAPBEXresDataEmph 3 2 6 2" xfId="33823" xr:uid="{3C8B9C0A-9F2A-4C32-B232-39D658F992BC}"/>
    <cellStyle name="SAPBEXresDataEmph 3 2 7" xfId="19087" xr:uid="{0243245C-513E-49F1-BCA8-121FCBB01437}"/>
    <cellStyle name="SAPBEXresDataEmph 3 2 7 2" xfId="33824" xr:uid="{AB9B3578-1DE1-436E-872C-402FF3487CB6}"/>
    <cellStyle name="SAPBEXresDataEmph 3 2 8" xfId="19088" xr:uid="{5E3AD656-FA61-4141-A116-17770574EDFE}"/>
    <cellStyle name="SAPBEXresDataEmph 3 2 8 2" xfId="33825" xr:uid="{17FD0290-9A6A-4593-8EAC-E84332FD3DC5}"/>
    <cellStyle name="SAPBEXresDataEmph 3 2 9" xfId="19089" xr:uid="{62FEC66D-DA60-43FA-ACE5-17C2020EAF45}"/>
    <cellStyle name="SAPBEXresDataEmph 3 2 9 2" xfId="33826" xr:uid="{DB3A6C5C-6842-4F28-AFBA-E066E61B9050}"/>
    <cellStyle name="SAPBEXresDataEmph 3 3" xfId="19090" xr:uid="{01C6CCBB-7DA0-4046-8D23-8370EE427025}"/>
    <cellStyle name="SAPBEXresDataEmph 3 4" xfId="33812" xr:uid="{C4E0254F-8765-4844-8775-CDBF070CBC5F}"/>
    <cellStyle name="SAPBEXresDataEmph 4" xfId="19091" xr:uid="{862FF1AF-56F7-4921-96BB-CF95FDC606B2}"/>
    <cellStyle name="SAPBEXresDataEmph 5" xfId="19092" xr:uid="{FC226C1C-CCF3-4D65-8551-65CDE09FEFD4}"/>
    <cellStyle name="SAPBEXresDataEmph 5 10" xfId="19093" xr:uid="{0349635A-AED9-417D-B403-54344ED5C38D}"/>
    <cellStyle name="SAPBEXresDataEmph 5 10 2" xfId="33828" xr:uid="{A3F7D19E-A4D4-4B28-89C5-50E170F1640F}"/>
    <cellStyle name="SAPBEXresDataEmph 5 11" xfId="19094" xr:uid="{5E2086C2-ABAA-4D32-B073-A931CD62961E}"/>
    <cellStyle name="SAPBEXresDataEmph 5 11 2" xfId="33829" xr:uid="{1F4FDF4A-B6D6-432B-981C-CF7B6E7D5D63}"/>
    <cellStyle name="SAPBEXresDataEmph 5 12" xfId="19095" xr:uid="{188C4722-F678-4D46-84FC-F61389F9A2CB}"/>
    <cellStyle name="SAPBEXresDataEmph 5 12 2" xfId="33830" xr:uid="{C07E5ECF-AFC0-424E-9CE5-AED58D44F0CE}"/>
    <cellStyle name="SAPBEXresDataEmph 5 13" xfId="19096" xr:uid="{12DF2822-E4ED-4B05-8795-85E848D257DD}"/>
    <cellStyle name="SAPBEXresDataEmph 5 13 2" xfId="33831" xr:uid="{B576A9A0-5BB7-4225-A837-EFD2A73A7E43}"/>
    <cellStyle name="SAPBEXresDataEmph 5 14" xfId="19097" xr:uid="{E6814391-50E8-433E-9568-8C2638516C9D}"/>
    <cellStyle name="SAPBEXresDataEmph 5 14 2" xfId="33832" xr:uid="{6DA9996D-79E3-42E7-8C4A-0F0D5D80CA2A}"/>
    <cellStyle name="SAPBEXresDataEmph 5 15" xfId="33827" xr:uid="{77C2D0EF-EBF7-4AA6-9ED6-51C224E0B41C}"/>
    <cellStyle name="SAPBEXresDataEmph 5 2" xfId="19098" xr:uid="{F420D5DB-07A9-4387-8FA2-BD17D353D906}"/>
    <cellStyle name="SAPBEXresDataEmph 5 2 2" xfId="33833" xr:uid="{07B5B772-0B30-4BDA-8F35-76F4306A1A17}"/>
    <cellStyle name="SAPBEXresDataEmph 5 3" xfId="19099" xr:uid="{0D74D1A7-E3F6-49B5-A7D2-0491B21EE120}"/>
    <cellStyle name="SAPBEXresDataEmph 5 3 2" xfId="33834" xr:uid="{D37C7030-9F96-4454-B761-ADEBC761EF1B}"/>
    <cellStyle name="SAPBEXresDataEmph 5 4" xfId="19100" xr:uid="{C0161BA8-BC35-46B1-95FE-695BF45D48F8}"/>
    <cellStyle name="SAPBEXresDataEmph 5 4 2" xfId="33835" xr:uid="{4633EC72-7ED3-4E73-BDFF-D1E7CD21BFEF}"/>
    <cellStyle name="SAPBEXresDataEmph 5 5" xfId="19101" xr:uid="{CFBC562F-B7BC-48EF-879F-9A390DEC7BF9}"/>
    <cellStyle name="SAPBEXresDataEmph 5 5 2" xfId="33836" xr:uid="{230D6E48-1454-4751-8CE3-1B0A35589629}"/>
    <cellStyle name="SAPBEXresDataEmph 5 6" xfId="19102" xr:uid="{72D50B86-559C-4552-93F7-ACC12ACE20E1}"/>
    <cellStyle name="SAPBEXresDataEmph 5 6 2" xfId="33837" xr:uid="{B5A567C5-5240-40B7-A1FA-1D0C14B73546}"/>
    <cellStyle name="SAPBEXresDataEmph 5 7" xfId="19103" xr:uid="{E42458EA-6F1C-4866-9A57-3ECD082D0F41}"/>
    <cellStyle name="SAPBEXresDataEmph 5 7 2" xfId="33838" xr:uid="{D9724E48-0D3F-4B85-97E3-643959958368}"/>
    <cellStyle name="SAPBEXresDataEmph 5 8" xfId="19104" xr:uid="{AA746D83-54BF-426E-ADE0-5AD7DDD663A7}"/>
    <cellStyle name="SAPBEXresDataEmph 5 8 2" xfId="33839" xr:uid="{4ABF6252-1268-4E2C-B2F8-A2ED121C11EB}"/>
    <cellStyle name="SAPBEXresDataEmph 5 9" xfId="19105" xr:uid="{2E0583A9-7DF3-43BF-AD62-3E4D423E7378}"/>
    <cellStyle name="SAPBEXresDataEmph 5 9 2" xfId="33840" xr:uid="{B7E5AE7E-BAAB-4A40-A048-E09C8C28C1D6}"/>
    <cellStyle name="SAPBEXresDataEmph 6" xfId="19106" xr:uid="{02480FD3-8A8D-42EE-BBE3-085FEC301A99}"/>
    <cellStyle name="SAPBEXresDataEmph 6 2" xfId="33841" xr:uid="{AE3220F6-DF28-46BD-B93D-4A53D277DE2C}"/>
    <cellStyle name="SAPBEXresDataEmph 7" xfId="19107" xr:uid="{A6996EFC-072B-4318-B3B1-90F668D96669}"/>
    <cellStyle name="SAPBEXresDataEmph 7 2" xfId="33842" xr:uid="{57A88FC1-F9A3-43DB-B1B7-447E2FCAEAFF}"/>
    <cellStyle name="SAPBEXresDataEmph 8" xfId="19108" xr:uid="{56A1BF72-8A05-4DDF-B10D-B1F540C771E0}"/>
    <cellStyle name="SAPBEXresDataEmph 8 2" xfId="33843" xr:uid="{71C4FD29-2281-42B9-921A-999D5FBA4966}"/>
    <cellStyle name="SAPBEXresDataEmph 9" xfId="19109" xr:uid="{0D0DF4DA-DC20-4FF1-8548-C913E704758D}"/>
    <cellStyle name="SAPBEXresDataEmph 9 2" xfId="33844" xr:uid="{9CE2EBCD-C855-4CD5-B590-D4948B008860}"/>
    <cellStyle name="SAPBEXresItem" xfId="19110" xr:uid="{5AB9E406-B554-4C9D-A7D1-E8DDA1BBFB3F}"/>
    <cellStyle name="SAPBEXresItem 10" xfId="19111" xr:uid="{6FEABD31-95D7-4133-9C6D-FBB858B6B518}"/>
    <cellStyle name="SAPBEXresItem 10 2" xfId="33845" xr:uid="{6619A26B-6B9C-42BD-B1A2-C2E29C72D32A}"/>
    <cellStyle name="SAPBEXresItem 11" xfId="19112" xr:uid="{97583567-98B4-4E45-BF93-9F339C8B370F}"/>
    <cellStyle name="SAPBEXresItem 11 2" xfId="33846" xr:uid="{AA3316DA-3D38-4596-98AE-B44A488323F4}"/>
    <cellStyle name="SAPBEXresItem 12" xfId="19113" xr:uid="{A2498A6F-49C0-4505-B8E7-5617B4A9207A}"/>
    <cellStyle name="SAPBEXresItem 12 2" xfId="33847" xr:uid="{7530EE0E-61E5-4954-8BF3-8C58816B444D}"/>
    <cellStyle name="SAPBEXresItem 13" xfId="19114" xr:uid="{44D4D8AD-D599-4BC5-94DE-5913A74903CA}"/>
    <cellStyle name="SAPBEXresItem 13 2" xfId="33848" xr:uid="{C62428FB-57EC-467D-9A79-161A9038BE53}"/>
    <cellStyle name="SAPBEXresItem 14" xfId="19115" xr:uid="{C13EB8B7-6304-43DC-A87A-950303A741F2}"/>
    <cellStyle name="SAPBEXresItem 14 2" xfId="33849" xr:uid="{22294A98-D615-4CF4-9A7F-7874F37EFD24}"/>
    <cellStyle name="SAPBEXresItem 15" xfId="19116" xr:uid="{2ED6127E-25EC-4D78-9B27-767CCB59BA2F}"/>
    <cellStyle name="SAPBEXresItem 15 2" xfId="33850" xr:uid="{F84D5FEC-19F7-4AD3-B5A6-79B930D7B8AD}"/>
    <cellStyle name="SAPBEXresItem 16" xfId="19117" xr:uid="{A49EE2A5-1783-4C6F-8E59-96C98742EF64}"/>
    <cellStyle name="SAPBEXresItem 16 2" xfId="33851" xr:uid="{00119F53-D05D-4FC4-B077-F34E6969BFF0}"/>
    <cellStyle name="SAPBEXresItem 17" xfId="19118" xr:uid="{2CE746F3-8AE4-4D93-8548-E6C582DAEE96}"/>
    <cellStyle name="SAPBEXresItem 17 2" xfId="33852" xr:uid="{29E101C7-FE36-4AB0-B580-1AD5BCE619C6}"/>
    <cellStyle name="SAPBEXresItem 18" xfId="19119" xr:uid="{E42E5240-B12A-4E23-B238-9EC48EF4230D}"/>
    <cellStyle name="SAPBEXresItem 18 2" xfId="33853" xr:uid="{0773DA7F-88A1-4AB6-A034-19A689F29E38}"/>
    <cellStyle name="SAPBEXresItem 19" xfId="19120" xr:uid="{E73CD985-70E0-4859-A440-707C67926B33}"/>
    <cellStyle name="SAPBEXresItem 19 2" xfId="33854" xr:uid="{5298FEFC-BF3C-4D52-9CEA-EEB9721E48E2}"/>
    <cellStyle name="SAPBEXresItem 2" xfId="19121" xr:uid="{20224390-9C2B-4BC4-8D6E-52343A0A6DA2}"/>
    <cellStyle name="SAPBEXresItem 2 10" xfId="19122" xr:uid="{6EA05073-A0BA-4F2B-92D4-1A06097C1873}"/>
    <cellStyle name="SAPBEXresItem 2 10 2" xfId="33856" xr:uid="{17A00AC5-91AD-4284-B5A4-21443E48854D}"/>
    <cellStyle name="SAPBEXresItem 2 11" xfId="19123" xr:uid="{033F3530-4EF1-462E-99EF-B3722B79C748}"/>
    <cellStyle name="SAPBEXresItem 2 11 2" xfId="33857" xr:uid="{93E3C606-74A6-476B-8B08-42945A3C1F00}"/>
    <cellStyle name="SAPBEXresItem 2 12" xfId="19124" xr:uid="{E1834D0C-EC95-49E2-B2ED-06E6B6E8932A}"/>
    <cellStyle name="SAPBEXresItem 2 12 2" xfId="33858" xr:uid="{F55312C8-CB0A-4396-8882-86F950761160}"/>
    <cellStyle name="SAPBEXresItem 2 13" xfId="19125" xr:uid="{8DD83D2C-0278-4BD1-917D-05A9467A517F}"/>
    <cellStyle name="SAPBEXresItem 2 13 2" xfId="33859" xr:uid="{29C5478E-779A-497B-B447-90AF6A55D122}"/>
    <cellStyle name="SAPBEXresItem 2 14" xfId="19126" xr:uid="{FC10C1E9-FE5E-4D8B-AEDB-7525FAC3D79F}"/>
    <cellStyle name="SAPBEXresItem 2 14 2" xfId="33860" xr:uid="{8FCE5C93-E9EA-447B-9243-12B7169A28AD}"/>
    <cellStyle name="SAPBEXresItem 2 15" xfId="19127" xr:uid="{61C7B2B3-45F9-4A43-9CAF-BDFA19A8447A}"/>
    <cellStyle name="SAPBEXresItem 2 15 2" xfId="33861" xr:uid="{DCDD040C-E06B-4F49-89E8-8E37D230798E}"/>
    <cellStyle name="SAPBEXresItem 2 16" xfId="19128" xr:uid="{6CB1252D-FD4D-48BD-BAA3-3FC0F9F1D7E6}"/>
    <cellStyle name="SAPBEXresItem 2 16 2" xfId="33862" xr:uid="{FCA67261-1360-4C3C-A824-4FE44062BD21}"/>
    <cellStyle name="SAPBEXresItem 2 17" xfId="19129" xr:uid="{055D55B1-E533-4DFB-80C4-AFF33DFE90B2}"/>
    <cellStyle name="SAPBEXresItem 2 17 2" xfId="33863" xr:uid="{1566021B-5BC3-436E-A145-4F450DF1B9D7}"/>
    <cellStyle name="SAPBEXresItem 2 18" xfId="19130" xr:uid="{C3BE9AC8-1EA6-4175-B97D-6D7DAC00A176}"/>
    <cellStyle name="SAPBEXresItem 2 18 2" xfId="33864" xr:uid="{A9DCBF39-4E40-4B3A-A291-8F1AC3D6213F}"/>
    <cellStyle name="SAPBEXresItem 2 19" xfId="19131" xr:uid="{2409AE0F-7E29-4ECC-BEEB-294F7A036BAD}"/>
    <cellStyle name="SAPBEXresItem 2 19 2" xfId="33865" xr:uid="{52E744DC-E311-4356-B88F-9E526534CAD1}"/>
    <cellStyle name="SAPBEXresItem 2 2" xfId="19132" xr:uid="{2E8BB594-E854-4B04-BEA8-6547D728CABD}"/>
    <cellStyle name="SAPBEXresItem 2 2 10" xfId="19133" xr:uid="{D830481D-BE21-40C2-B3E1-48D16ED68098}"/>
    <cellStyle name="SAPBEXresItem 2 2 10 2" xfId="33867" xr:uid="{DDAC4BE9-9376-44C8-968D-5E774B033D93}"/>
    <cellStyle name="SAPBEXresItem 2 2 11" xfId="19134" xr:uid="{CA7BFA03-36E1-422C-8D1B-3DDEED232390}"/>
    <cellStyle name="SAPBEXresItem 2 2 11 2" xfId="33868" xr:uid="{1859CA63-49CA-4910-AF94-E45BC0CA326C}"/>
    <cellStyle name="SAPBEXresItem 2 2 12" xfId="19135" xr:uid="{175AF238-DA15-4B29-8FCC-FC01783A843A}"/>
    <cellStyle name="SAPBEXresItem 2 2 12 2" xfId="33869" xr:uid="{1CA0A96D-7258-4164-99D8-5E967CAC050B}"/>
    <cellStyle name="SAPBEXresItem 2 2 13" xfId="19136" xr:uid="{46D4D903-A803-4BF8-9BBF-88F132B0F4EF}"/>
    <cellStyle name="SAPBEXresItem 2 2 13 2" xfId="33870" xr:uid="{54C9AEFE-2186-4201-998D-D2EE0178DC44}"/>
    <cellStyle name="SAPBEXresItem 2 2 14" xfId="19137" xr:uid="{52918867-6A26-4CAA-A18F-FD83A11D844A}"/>
    <cellStyle name="SAPBEXresItem 2 2 14 2" xfId="33871" xr:uid="{0B7E0537-7E93-4121-8622-E1135EFB9B4A}"/>
    <cellStyle name="SAPBEXresItem 2 2 15" xfId="19138" xr:uid="{24253E64-A7B8-4458-A596-85B13340E3E9}"/>
    <cellStyle name="SAPBEXresItem 2 2 15 2" xfId="33872" xr:uid="{CF381E2C-42E6-44B8-A969-669F9CDA232E}"/>
    <cellStyle name="SAPBEXresItem 2 2 16" xfId="19139" xr:uid="{CBC9135B-07A8-46D0-9CBA-3081937A1C78}"/>
    <cellStyle name="SAPBEXresItem 2 2 16 2" xfId="33873" xr:uid="{53FB6FED-61A0-4A66-93F7-D05C59EB8869}"/>
    <cellStyle name="SAPBEXresItem 2 2 17" xfId="19140" xr:uid="{8BD42865-E7AC-4386-98DA-4A99CF8C6FDA}"/>
    <cellStyle name="SAPBEXresItem 2 2 17 2" xfId="33874" xr:uid="{05200CEB-457D-4CE3-95D7-E1A6EAF36525}"/>
    <cellStyle name="SAPBEXresItem 2 2 18" xfId="19141" xr:uid="{D4844182-798B-49CE-8581-5D6A9673F821}"/>
    <cellStyle name="SAPBEXresItem 2 2 18 2" xfId="33875" xr:uid="{C6A242BB-2ABE-4B54-A47B-2BF3D57459DB}"/>
    <cellStyle name="SAPBEXresItem 2 2 19" xfId="33866" xr:uid="{0E234D1D-2113-4203-BD27-00FDBC6FE255}"/>
    <cellStyle name="SAPBEXresItem 2 2 2" xfId="19142" xr:uid="{EE111A57-05DD-4CFC-9A01-9816969D6151}"/>
    <cellStyle name="SAPBEXresItem 2 2 2 10" xfId="19143" xr:uid="{E325E49E-124E-47DE-995E-88B2FD670C1D}"/>
    <cellStyle name="SAPBEXresItem 2 2 2 10 2" xfId="33877" xr:uid="{A7872E39-7610-4185-BEE7-88EAD387736E}"/>
    <cellStyle name="SAPBEXresItem 2 2 2 11" xfId="19144" xr:uid="{D520143F-8138-4D51-B7A5-95895F2F50AF}"/>
    <cellStyle name="SAPBEXresItem 2 2 2 11 2" xfId="33878" xr:uid="{20B60FC5-9A94-4E86-A776-592C7E5C8D0D}"/>
    <cellStyle name="SAPBEXresItem 2 2 2 12" xfId="19145" xr:uid="{AEFF12D1-4408-4DC7-98F2-97D8786EE883}"/>
    <cellStyle name="SAPBEXresItem 2 2 2 12 2" xfId="33879" xr:uid="{666A219D-4463-45BD-9D8C-D940DB24EACE}"/>
    <cellStyle name="SAPBEXresItem 2 2 2 13" xfId="19146" xr:uid="{9958838A-A435-42F3-810F-5A0E0171D69F}"/>
    <cellStyle name="SAPBEXresItem 2 2 2 13 2" xfId="33880" xr:uid="{A317FA46-54C8-4E1E-806B-8ABA05F895FE}"/>
    <cellStyle name="SAPBEXresItem 2 2 2 14" xfId="19147" xr:uid="{48BFC739-90F6-4009-9336-A74BFDFA4CAD}"/>
    <cellStyle name="SAPBEXresItem 2 2 2 14 2" xfId="33881" xr:uid="{A74BFB92-4B42-48A9-A85E-BDF9E6A95A50}"/>
    <cellStyle name="SAPBEXresItem 2 2 2 15" xfId="33876" xr:uid="{267C7642-6CBD-446F-A3FD-CF380E1409ED}"/>
    <cellStyle name="SAPBEXresItem 2 2 2 2" xfId="19148" xr:uid="{0F654526-72D6-4651-8EDC-BF6DF02B75A3}"/>
    <cellStyle name="SAPBEXresItem 2 2 2 2 2" xfId="33882" xr:uid="{4C97EDA7-65E0-4DD8-A818-EDFF57987248}"/>
    <cellStyle name="SAPBEXresItem 2 2 2 3" xfId="19149" xr:uid="{EEA94062-3DC9-4AB3-A8FC-7E53AF755AB2}"/>
    <cellStyle name="SAPBEXresItem 2 2 2 3 2" xfId="33883" xr:uid="{E8691489-D2CE-45B4-9FF2-8B1318324651}"/>
    <cellStyle name="SAPBEXresItem 2 2 2 4" xfId="19150" xr:uid="{8A6A3595-A133-495F-8D0D-1DC3DFF5D90F}"/>
    <cellStyle name="SAPBEXresItem 2 2 2 4 2" xfId="33884" xr:uid="{D4993558-A932-431D-9C77-9AD9A2FA0F7E}"/>
    <cellStyle name="SAPBEXresItem 2 2 2 5" xfId="19151" xr:uid="{B8218285-9723-4180-966F-E9F1F5316947}"/>
    <cellStyle name="SAPBEXresItem 2 2 2 5 2" xfId="33885" xr:uid="{FB336A71-EDA4-426E-8D8D-502888BC8ACB}"/>
    <cellStyle name="SAPBEXresItem 2 2 2 6" xfId="19152" xr:uid="{98553212-A2E2-40F0-BE5A-D4FAD9D8401C}"/>
    <cellStyle name="SAPBEXresItem 2 2 2 6 2" xfId="33886" xr:uid="{08E2B6A3-6AD0-46EA-AC60-44A4BDBD754C}"/>
    <cellStyle name="SAPBEXresItem 2 2 2 7" xfId="19153" xr:uid="{D1AF34AC-C021-458F-AD9D-FF76D1CBAF7A}"/>
    <cellStyle name="SAPBEXresItem 2 2 2 7 2" xfId="33887" xr:uid="{64D7CD51-C079-4C68-8A4B-3C11115ED1E4}"/>
    <cellStyle name="SAPBEXresItem 2 2 2 8" xfId="19154" xr:uid="{9817729C-898C-4846-913F-5362304259C8}"/>
    <cellStyle name="SAPBEXresItem 2 2 2 8 2" xfId="33888" xr:uid="{B89774C2-DA51-4CAC-AFBE-652CB3AE48D7}"/>
    <cellStyle name="SAPBEXresItem 2 2 2 9" xfId="19155" xr:uid="{A2D400BF-FDC6-4639-ADFC-9F7D9931D9C8}"/>
    <cellStyle name="SAPBEXresItem 2 2 2 9 2" xfId="33889" xr:uid="{B94FF0E9-882E-4DC2-BCF9-EC89D50E9DD8}"/>
    <cellStyle name="SAPBEXresItem 2 2 3" xfId="19156" xr:uid="{8C2987AE-072D-45CE-B84C-A30F48B2C0D7}"/>
    <cellStyle name="SAPBEXresItem 2 2 3 2" xfId="33890" xr:uid="{A28BFAC0-B633-49E8-BAC5-8B53E00B34E6}"/>
    <cellStyle name="SAPBEXresItem 2 2 4" xfId="19157" xr:uid="{537CD874-950B-48F4-8006-25770FCE8A6C}"/>
    <cellStyle name="SAPBEXresItem 2 2 4 2" xfId="33891" xr:uid="{1316A5F3-4F0D-4A0C-A85B-D2E1A5C76C8E}"/>
    <cellStyle name="SAPBEXresItem 2 2 5" xfId="19158" xr:uid="{745157EC-2CFD-437A-82E1-12A0937A2E97}"/>
    <cellStyle name="SAPBEXresItem 2 2 5 2" xfId="33892" xr:uid="{84D6F3A5-D49F-4CDF-A16B-90C4A2D9874A}"/>
    <cellStyle name="SAPBEXresItem 2 2 6" xfId="19159" xr:uid="{51E45445-03E2-4DC4-BD6D-737563DD4C0D}"/>
    <cellStyle name="SAPBEXresItem 2 2 6 2" xfId="33893" xr:uid="{EDF554E9-5E53-4FEA-971A-DAC3CAC81D6D}"/>
    <cellStyle name="SAPBEXresItem 2 2 7" xfId="19160" xr:uid="{1D572A9C-52FB-49F6-B211-659B1CAA5C9A}"/>
    <cellStyle name="SAPBEXresItem 2 2 7 2" xfId="33894" xr:uid="{B4FC3B15-3564-4EC8-9C97-0AD606EE1C95}"/>
    <cellStyle name="SAPBEXresItem 2 2 8" xfId="19161" xr:uid="{1F3B42D3-D27B-4AE7-BB27-6425C75EF35D}"/>
    <cellStyle name="SAPBEXresItem 2 2 8 2" xfId="33895" xr:uid="{2A20E87F-50D5-4F68-8E8F-0FCB78A22CD6}"/>
    <cellStyle name="SAPBEXresItem 2 2 9" xfId="19162" xr:uid="{EFF33028-C2E7-4EB8-9F3C-AE8CD83ACEBA}"/>
    <cellStyle name="SAPBEXresItem 2 2 9 2" xfId="33896" xr:uid="{98CB0DFC-A23A-4C8C-8C62-5487995B649E}"/>
    <cellStyle name="SAPBEXresItem 2 20" xfId="33855" xr:uid="{68A5E250-4735-456F-A493-12DBA1D6E583}"/>
    <cellStyle name="SAPBEXresItem 2 3" xfId="19163" xr:uid="{9B66BB76-2528-447B-BD0A-839432761528}"/>
    <cellStyle name="SAPBEXresItem 2 3 10" xfId="19164" xr:uid="{C9A67F59-4283-4566-9EC7-BC3744DDB123}"/>
    <cellStyle name="SAPBEXresItem 2 3 10 2" xfId="33898" xr:uid="{96B0B03F-0A13-445C-AE3D-40ADA45BE203}"/>
    <cellStyle name="SAPBEXresItem 2 3 11" xfId="19165" xr:uid="{3DCBEABB-7C38-47AC-B54B-BACA253CAF0C}"/>
    <cellStyle name="SAPBEXresItem 2 3 11 2" xfId="33899" xr:uid="{EEF7BDB1-B8C9-4795-8179-1DF7B1B0F24B}"/>
    <cellStyle name="SAPBEXresItem 2 3 12" xfId="19166" xr:uid="{C211F185-FA51-490C-A304-FD143329DDB2}"/>
    <cellStyle name="SAPBEXresItem 2 3 12 2" xfId="33900" xr:uid="{28DDE0C3-093D-408A-BB22-6DCE1C659DBA}"/>
    <cellStyle name="SAPBEXresItem 2 3 13" xfId="19167" xr:uid="{5A4F219E-54E5-497B-925A-8BAC98A64FEC}"/>
    <cellStyle name="SAPBEXresItem 2 3 13 2" xfId="33901" xr:uid="{4673532B-7411-4D8C-A5D1-3782049F19A6}"/>
    <cellStyle name="SAPBEXresItem 2 3 14" xfId="19168" xr:uid="{B8EC9E50-309C-4475-BF26-4B9C413F1341}"/>
    <cellStyle name="SAPBEXresItem 2 3 14 2" xfId="33902" xr:uid="{E48ED3D3-7FD2-4091-91DB-67154C0CB81B}"/>
    <cellStyle name="SAPBEXresItem 2 3 15" xfId="33897" xr:uid="{154CB400-BB5F-44F7-87F6-961B0F42F2BE}"/>
    <cellStyle name="SAPBEXresItem 2 3 2" xfId="19169" xr:uid="{1BB98AF5-E3F4-4DAF-9F56-D112E3336D0F}"/>
    <cellStyle name="SAPBEXresItem 2 3 2 2" xfId="33903" xr:uid="{455A83A6-6CE3-4B77-9826-9E580A717103}"/>
    <cellStyle name="SAPBEXresItem 2 3 3" xfId="19170" xr:uid="{C36E3D79-D5D4-40CD-AC3A-576145DF555E}"/>
    <cellStyle name="SAPBEXresItem 2 3 3 2" xfId="33904" xr:uid="{DF9BB8B2-E32B-4209-8114-2D18BFA54082}"/>
    <cellStyle name="SAPBEXresItem 2 3 4" xfId="19171" xr:uid="{B4F301F8-ED3C-49FC-81ED-09F4DB361EDF}"/>
    <cellStyle name="SAPBEXresItem 2 3 4 2" xfId="33905" xr:uid="{60A0EE01-83F5-4FE5-8367-C5E880A0DD0B}"/>
    <cellStyle name="SAPBEXresItem 2 3 5" xfId="19172" xr:uid="{8E14A97A-118A-4805-B616-B72DC9FF219B}"/>
    <cellStyle name="SAPBEXresItem 2 3 5 2" xfId="33906" xr:uid="{00331E77-AB2D-482E-A2D4-5DA49EACD852}"/>
    <cellStyle name="SAPBEXresItem 2 3 6" xfId="19173" xr:uid="{D512B6F9-0C3F-409A-BF61-E984B16E36BD}"/>
    <cellStyle name="SAPBEXresItem 2 3 6 2" xfId="33907" xr:uid="{CAB48A78-064A-4B4A-BD05-9216E426DE21}"/>
    <cellStyle name="SAPBEXresItem 2 3 7" xfId="19174" xr:uid="{DF5F1A9B-58F3-4494-B116-7CCA8C08A6A8}"/>
    <cellStyle name="SAPBEXresItem 2 3 7 2" xfId="33908" xr:uid="{B920EFB9-2B9D-455A-8CA3-B35F2699A337}"/>
    <cellStyle name="SAPBEXresItem 2 3 8" xfId="19175" xr:uid="{826D8336-F2DF-4D16-B85A-954CAEFFBD76}"/>
    <cellStyle name="SAPBEXresItem 2 3 8 2" xfId="33909" xr:uid="{3E6E6E89-08BF-4B41-893F-3207AA0DD6DB}"/>
    <cellStyle name="SAPBEXresItem 2 3 9" xfId="19176" xr:uid="{9479F96D-D122-4F6C-ABE8-BDC0BE53FF96}"/>
    <cellStyle name="SAPBEXresItem 2 3 9 2" xfId="33910" xr:uid="{C608B756-654C-4D62-9AC9-420EDCC1E85E}"/>
    <cellStyle name="SAPBEXresItem 2 4" xfId="19177" xr:uid="{271BEB08-BEA7-47C4-A631-2B02C434EEFD}"/>
    <cellStyle name="SAPBEXresItem 2 4 2" xfId="33911" xr:uid="{D853F926-3E45-49DD-9B24-35A8FF4CC62C}"/>
    <cellStyle name="SAPBEXresItem 2 5" xfId="19178" xr:uid="{0F786700-68D4-424F-A201-C8FE2195B978}"/>
    <cellStyle name="SAPBEXresItem 2 5 2" xfId="33912" xr:uid="{EB380CCE-FB4B-4C24-A41E-1E4061902ABE}"/>
    <cellStyle name="SAPBEXresItem 2 6" xfId="19179" xr:uid="{BC2AB1B9-2FFE-4254-AA88-1E702F00FA25}"/>
    <cellStyle name="SAPBEXresItem 2 6 2" xfId="33913" xr:uid="{83DDF400-599B-4D39-987E-D33103DCA4A5}"/>
    <cellStyle name="SAPBEXresItem 2 7" xfId="19180" xr:uid="{38FC5448-4761-4B81-BA8F-08F84F158050}"/>
    <cellStyle name="SAPBEXresItem 2 7 2" xfId="33914" xr:uid="{E6FF2BE2-07FC-4159-97F4-FFEC22AE0205}"/>
    <cellStyle name="SAPBEXresItem 2 8" xfId="19181" xr:uid="{4220F5E1-AA34-4E7A-9C26-22C94CF673A8}"/>
    <cellStyle name="SAPBEXresItem 2 8 2" xfId="33915" xr:uid="{2F981773-46C0-45FA-A2BA-C4B870B24B95}"/>
    <cellStyle name="SAPBEXresItem 2 9" xfId="19182" xr:uid="{7667767B-4E25-4A4A-89FE-73CA7AB40CE4}"/>
    <cellStyle name="SAPBEXresItem 2 9 2" xfId="33916" xr:uid="{5E01F549-FBCC-4423-AC13-FC1F791A8AB0}"/>
    <cellStyle name="SAPBEXresItem 20" xfId="19183" xr:uid="{DB2754EA-5C34-47EA-AC34-8FE896311B21}"/>
    <cellStyle name="SAPBEXresItem 20 2" xfId="33917" xr:uid="{6E6A8198-80DF-49EF-8A42-3B765E8D1C25}"/>
    <cellStyle name="SAPBEXresItem 21" xfId="19184" xr:uid="{1F1BEA19-A0D5-4B4E-9376-019BD21713C8}"/>
    <cellStyle name="SAPBEXresItem 21 2" xfId="33918" xr:uid="{D8F6A65C-D086-42DF-ABCB-0A7D90869F9E}"/>
    <cellStyle name="SAPBEXresItem 3" xfId="19185" xr:uid="{E5F5E90D-96B2-442B-96DA-2A35AA5FE959}"/>
    <cellStyle name="SAPBEXresItem 3 2" xfId="19186" xr:uid="{E8199A66-A262-4415-B1CC-4722534E5316}"/>
    <cellStyle name="SAPBEXresItem 3 2 10" xfId="19187" xr:uid="{09A6E449-79D4-4626-AA8E-E8ACC6FAFF8A}"/>
    <cellStyle name="SAPBEXresItem 3 2 10 2" xfId="33921" xr:uid="{13D2D906-DBDC-4423-A4E0-2BC0BA9B0EFD}"/>
    <cellStyle name="SAPBEXresItem 3 2 11" xfId="19188" xr:uid="{1A0C7180-8A33-4201-B314-A9F1DA2CEDA2}"/>
    <cellStyle name="SAPBEXresItem 3 2 11 2" xfId="33922" xr:uid="{C234D845-F9C0-4572-BE71-7896A93BD725}"/>
    <cellStyle name="SAPBEXresItem 3 2 12" xfId="19189" xr:uid="{A761DA90-B69B-4418-84F2-80DD39778E28}"/>
    <cellStyle name="SAPBEXresItem 3 2 12 2" xfId="33923" xr:uid="{F3380BB1-4D70-41B0-BA5F-0EC69DBA54EB}"/>
    <cellStyle name="SAPBEXresItem 3 2 13" xfId="19190" xr:uid="{04068946-9DAE-46A4-B518-B8B590A41EC9}"/>
    <cellStyle name="SAPBEXresItem 3 2 13 2" xfId="33924" xr:uid="{2D0822AC-B16F-47EB-91B1-FA6EB1C5B506}"/>
    <cellStyle name="SAPBEXresItem 3 2 14" xfId="19191" xr:uid="{A38DD7D9-7F20-4CD7-A654-0B544135D696}"/>
    <cellStyle name="SAPBEXresItem 3 2 14 2" xfId="33925" xr:uid="{B0FD6C18-915E-4215-A085-D29F1979818C}"/>
    <cellStyle name="SAPBEXresItem 3 2 15" xfId="33920" xr:uid="{53EE622B-ED44-483A-AB87-E33AC3FEF3B2}"/>
    <cellStyle name="SAPBEXresItem 3 2 2" xfId="19192" xr:uid="{0C50CD0A-A070-4BAC-96EF-2A0AB2354D54}"/>
    <cellStyle name="SAPBEXresItem 3 2 2 2" xfId="33926" xr:uid="{A60B5C50-E371-4BC6-A17F-BC782EF94769}"/>
    <cellStyle name="SAPBEXresItem 3 2 3" xfId="19193" xr:uid="{ABBDD400-E565-4753-85F3-F0A4DF647060}"/>
    <cellStyle name="SAPBEXresItem 3 2 3 2" xfId="33927" xr:uid="{029B6BCD-7580-4CD9-98AC-B6DCA2776829}"/>
    <cellStyle name="SAPBEXresItem 3 2 4" xfId="19194" xr:uid="{36780759-BA1E-4353-A3D9-9853B9601B28}"/>
    <cellStyle name="SAPBEXresItem 3 2 4 2" xfId="33928" xr:uid="{E2B6DA4D-52CD-47FE-BD3A-CFD9D1D256F0}"/>
    <cellStyle name="SAPBEXresItem 3 2 5" xfId="19195" xr:uid="{9B6FC2CB-0BCA-44DC-AC1E-46DF9C81D560}"/>
    <cellStyle name="SAPBEXresItem 3 2 5 2" xfId="33929" xr:uid="{B83F140F-B42A-421A-8C26-7AD5EF548921}"/>
    <cellStyle name="SAPBEXresItem 3 2 6" xfId="19196" xr:uid="{3D2123B4-6F8F-484B-AA21-47D44C63DFCB}"/>
    <cellStyle name="SAPBEXresItem 3 2 6 2" xfId="33930" xr:uid="{2B97A1B2-9731-4796-9AED-5A81573BD94E}"/>
    <cellStyle name="SAPBEXresItem 3 2 7" xfId="19197" xr:uid="{CEC1EE0C-03FE-43D1-9FDB-9449C8F66EF5}"/>
    <cellStyle name="SAPBEXresItem 3 2 7 2" xfId="33931" xr:uid="{1974C06A-6A1F-46C9-9D7D-167624B0EC40}"/>
    <cellStyle name="SAPBEXresItem 3 2 8" xfId="19198" xr:uid="{5B29DE49-1074-4F52-AD41-517DDE93DF47}"/>
    <cellStyle name="SAPBEXresItem 3 2 8 2" xfId="33932" xr:uid="{847F2B4D-FC91-4CF4-BD9B-D2C400CA68AE}"/>
    <cellStyle name="SAPBEXresItem 3 2 9" xfId="19199" xr:uid="{B6BCA542-DB38-42FA-ACF0-44954D0756B0}"/>
    <cellStyle name="SAPBEXresItem 3 2 9 2" xfId="33933" xr:uid="{D9B96EB0-3E02-448C-8141-9F668D7FDC6E}"/>
    <cellStyle name="SAPBEXresItem 3 3" xfId="19200" xr:uid="{D8558298-0304-4843-ACBE-B36C572AC533}"/>
    <cellStyle name="SAPBEXresItem 3 4" xfId="33919" xr:uid="{E7508110-9942-45D1-8C7F-43B91C192FAB}"/>
    <cellStyle name="SAPBEXresItem 4" xfId="19201" xr:uid="{777FCC76-4185-465B-895D-057C1BAED258}"/>
    <cellStyle name="SAPBEXresItem 5" xfId="19202" xr:uid="{CD8452A9-10E9-4139-98AE-ADB3A3CC8D0E}"/>
    <cellStyle name="SAPBEXresItem 5 10" xfId="19203" xr:uid="{519AEE85-5824-432A-BF7D-B05EF4C1F732}"/>
    <cellStyle name="SAPBEXresItem 5 10 2" xfId="33935" xr:uid="{EC38CBD0-2538-44B1-8256-5D0A9118AC62}"/>
    <cellStyle name="SAPBEXresItem 5 11" xfId="19204" xr:uid="{9FCD2AB6-53F9-40BA-A8F3-96AA1602CBD2}"/>
    <cellStyle name="SAPBEXresItem 5 11 2" xfId="33936" xr:uid="{02F362ED-8053-43DC-9CD9-C42792A0E97D}"/>
    <cellStyle name="SAPBEXresItem 5 12" xfId="19205" xr:uid="{F9EF9B39-1745-425B-9F36-F9C61D9FA5C5}"/>
    <cellStyle name="SAPBEXresItem 5 12 2" xfId="33937" xr:uid="{6602D5CD-5653-46A9-B7A3-B0D74D080995}"/>
    <cellStyle name="SAPBEXresItem 5 13" xfId="19206" xr:uid="{1DAFA815-465D-45FF-AEBA-AA72510E51D8}"/>
    <cellStyle name="SAPBEXresItem 5 13 2" xfId="33938" xr:uid="{B23C795E-C950-499C-B2A5-F03B9A69E8A5}"/>
    <cellStyle name="SAPBEXresItem 5 14" xfId="19207" xr:uid="{F47C3F7E-09B9-44C9-B5E6-B8BFEADFA52E}"/>
    <cellStyle name="SAPBEXresItem 5 14 2" xfId="33939" xr:uid="{593BCA30-0607-4C0F-86AA-841AD45C6A7D}"/>
    <cellStyle name="SAPBEXresItem 5 15" xfId="33934" xr:uid="{5C16941B-A754-4331-BA22-CB13E699F2C1}"/>
    <cellStyle name="SAPBEXresItem 5 2" xfId="19208" xr:uid="{43DEF132-D6A4-45A8-8A90-7322AD48752B}"/>
    <cellStyle name="SAPBEXresItem 5 2 2" xfId="33940" xr:uid="{559AB428-0EFC-4D41-BBB1-48394E9BAE77}"/>
    <cellStyle name="SAPBEXresItem 5 3" xfId="19209" xr:uid="{DF94D73A-4FAC-41FC-8971-1BD4FDB7A3F7}"/>
    <cellStyle name="SAPBEXresItem 5 3 2" xfId="33941" xr:uid="{96FE1D26-3D7D-4FBF-84E2-C2E36CF3DF97}"/>
    <cellStyle name="SAPBEXresItem 5 4" xfId="19210" xr:uid="{18C022FC-5454-4263-848A-6DEEE284B398}"/>
    <cellStyle name="SAPBEXresItem 5 4 2" xfId="33942" xr:uid="{791447B9-D8CD-486C-83B7-7E7A7649B74C}"/>
    <cellStyle name="SAPBEXresItem 5 5" xfId="19211" xr:uid="{F6ED0DB7-8542-41D6-989C-C34E73C348D5}"/>
    <cellStyle name="SAPBEXresItem 5 5 2" xfId="33943" xr:uid="{31A8644B-59CC-409E-BF55-D9F651129755}"/>
    <cellStyle name="SAPBEXresItem 5 6" xfId="19212" xr:uid="{4388DE48-9106-4781-B642-60B8B63CFBD6}"/>
    <cellStyle name="SAPBEXresItem 5 6 2" xfId="33944" xr:uid="{FF2D026D-52A7-40A1-A721-858559ECA5B4}"/>
    <cellStyle name="SAPBEXresItem 5 7" xfId="19213" xr:uid="{C3273942-F408-4CA2-9A07-F813A140C345}"/>
    <cellStyle name="SAPBEXresItem 5 7 2" xfId="33945" xr:uid="{C30D9220-4D14-4C05-9E1A-2B85FE504BDB}"/>
    <cellStyle name="SAPBEXresItem 5 8" xfId="19214" xr:uid="{967CD386-C788-4C1D-935D-8DC56F96F8F6}"/>
    <cellStyle name="SAPBEXresItem 5 8 2" xfId="33946" xr:uid="{880BEBBF-9FF3-423F-98B0-82C1C73934A6}"/>
    <cellStyle name="SAPBEXresItem 5 9" xfId="19215" xr:uid="{2CC47575-8645-4E2A-B057-280C021752F2}"/>
    <cellStyle name="SAPBEXresItem 5 9 2" xfId="33947" xr:uid="{9E70B3E3-A50E-4A0C-9AF4-F51A67058D0E}"/>
    <cellStyle name="SAPBEXresItem 6" xfId="19216" xr:uid="{BD0314A0-9026-4C2E-BE32-770484C2F946}"/>
    <cellStyle name="SAPBEXresItem 6 2" xfId="33948" xr:uid="{7968141F-0998-4293-BC19-CDE1289BCB99}"/>
    <cellStyle name="SAPBEXresItem 7" xfId="19217" xr:uid="{AA7E7726-8C4F-4EBB-9E5E-488EF2DE6608}"/>
    <cellStyle name="SAPBEXresItem 7 2" xfId="33949" xr:uid="{90D115EC-30F8-495C-A72D-B19F2239F2FE}"/>
    <cellStyle name="SAPBEXresItem 8" xfId="19218" xr:uid="{CAFDE8BE-D634-47B2-A580-E57FF48B6000}"/>
    <cellStyle name="SAPBEXresItem 8 2" xfId="33950" xr:uid="{344F71C8-72D1-46D7-AC18-D0668F5F0639}"/>
    <cellStyle name="SAPBEXresItem 9" xfId="19219" xr:uid="{0994CE5F-DFB4-405D-8642-507FFB489C98}"/>
    <cellStyle name="SAPBEXresItem 9 2" xfId="33951" xr:uid="{77C59F84-582D-44E4-984F-6A546B00AD7B}"/>
    <cellStyle name="SAPBEXresItemX" xfId="19220" xr:uid="{9F3414E6-E9F9-4548-80FF-4325CC9C8C0A}"/>
    <cellStyle name="SAPBEXresItemX 10" xfId="19221" xr:uid="{03B890FA-4030-470F-9BA4-349054670848}"/>
    <cellStyle name="SAPBEXresItemX 10 2" xfId="33953" xr:uid="{CC51221D-73AE-4ED9-AF8E-934231013A91}"/>
    <cellStyle name="SAPBEXresItemX 11" xfId="19222" xr:uid="{00AF40BF-191B-43B9-8E0F-A19BAC78668A}"/>
    <cellStyle name="SAPBEXresItemX 11 2" xfId="33954" xr:uid="{B09D1D63-7DEA-4545-9666-CA668A08D24B}"/>
    <cellStyle name="SAPBEXresItemX 12" xfId="19223" xr:uid="{12DC607B-EA10-46D1-9462-3AA1B5A87D24}"/>
    <cellStyle name="SAPBEXresItemX 12 2" xfId="33955" xr:uid="{D3E355DB-9E77-429C-8A9E-BA6F46E301BF}"/>
    <cellStyle name="SAPBEXresItemX 13" xfId="19224" xr:uid="{781036FA-4F7B-40BC-A1FB-094ED2FE7F8C}"/>
    <cellStyle name="SAPBEXresItemX 13 2" xfId="33956" xr:uid="{843D6A64-89F5-463A-B75A-E1BA2AF1C099}"/>
    <cellStyle name="SAPBEXresItemX 14" xfId="19225" xr:uid="{988A9160-E9F4-4A08-89FF-CC6C712CC884}"/>
    <cellStyle name="SAPBEXresItemX 14 2" xfId="33957" xr:uid="{E5D2BCD8-AD42-40D2-9930-E2CEA58FC235}"/>
    <cellStyle name="SAPBEXresItemX 15" xfId="19226" xr:uid="{9358C6CF-5B62-44DE-8637-76D25273EA83}"/>
    <cellStyle name="SAPBEXresItemX 15 2" xfId="33958" xr:uid="{A80AB649-4062-47BC-8EE7-B808608726D8}"/>
    <cellStyle name="SAPBEXresItemX 16" xfId="19227" xr:uid="{081A10BF-2257-4C36-8908-591F4A76B6A0}"/>
    <cellStyle name="SAPBEXresItemX 16 2" xfId="33959" xr:uid="{19281956-36A2-4483-992D-12772B164315}"/>
    <cellStyle name="SAPBEXresItemX 17" xfId="19228" xr:uid="{B3CB4F00-3FF3-4CFE-B542-59FDC01931D2}"/>
    <cellStyle name="SAPBEXresItemX 17 2" xfId="33960" xr:uid="{2C0C900C-268E-4399-A9C7-AC03DF9363BE}"/>
    <cellStyle name="SAPBEXresItemX 18" xfId="19229" xr:uid="{47021E87-28EE-43B3-8257-574EE7E0C709}"/>
    <cellStyle name="SAPBEXresItemX 18 2" xfId="33961" xr:uid="{D6C8AABC-E7F7-4207-A2BC-8200AC133F04}"/>
    <cellStyle name="SAPBEXresItemX 19" xfId="19230" xr:uid="{03FCFE96-1314-4F2D-8EAE-CA9A6DD953FC}"/>
    <cellStyle name="SAPBEXresItemX 19 2" xfId="33962" xr:uid="{445485AA-C9A1-42F4-B289-2D577BEC225A}"/>
    <cellStyle name="SAPBEXresItemX 2" xfId="19231" xr:uid="{5A5076EB-ECC2-44F5-BDF7-06A1675FD952}"/>
    <cellStyle name="SAPBEXresItemX 2 10" xfId="19232" xr:uid="{4B222989-469E-48E6-ACBF-99B38E16442A}"/>
    <cellStyle name="SAPBEXresItemX 2 10 2" xfId="33964" xr:uid="{2160967D-B970-46B0-A18F-831AEA4CCD59}"/>
    <cellStyle name="SAPBEXresItemX 2 11" xfId="19233" xr:uid="{F8C948D8-225A-4044-9A97-BC42DCDD2659}"/>
    <cellStyle name="SAPBEXresItemX 2 11 2" xfId="33965" xr:uid="{BC1176A5-86A6-4A94-AE51-26AFAEF6C83C}"/>
    <cellStyle name="SAPBEXresItemX 2 12" xfId="19234" xr:uid="{3BA6F595-5B92-44A8-9D0C-2A45D00AB381}"/>
    <cellStyle name="SAPBEXresItemX 2 12 2" xfId="33966" xr:uid="{C3582B75-020B-4378-A12F-E5B086C805E6}"/>
    <cellStyle name="SAPBEXresItemX 2 13" xfId="19235" xr:uid="{BC1DE6DB-5139-431C-BF53-229E1CC1E213}"/>
    <cellStyle name="SAPBEXresItemX 2 13 2" xfId="33967" xr:uid="{927B2BEF-B588-40CA-97C0-BA5E106FF4A8}"/>
    <cellStyle name="SAPBEXresItemX 2 14" xfId="19236" xr:uid="{CF470982-F46B-48C1-8B2F-42FE273FD8C8}"/>
    <cellStyle name="SAPBEXresItemX 2 14 2" xfId="33968" xr:uid="{F05AE15D-9187-48CB-9CA0-B40F7C59BFD4}"/>
    <cellStyle name="SAPBEXresItemX 2 15" xfId="19237" xr:uid="{C7148624-1ED8-422E-ABC6-ABE3F656A32B}"/>
    <cellStyle name="SAPBEXresItemX 2 15 2" xfId="33969" xr:uid="{F72C64C9-A578-459A-B5BF-584FD5F8C1BC}"/>
    <cellStyle name="SAPBEXresItemX 2 16" xfId="19238" xr:uid="{E75E59DF-05A6-4AC9-8DF2-D31CEB37729C}"/>
    <cellStyle name="SAPBEXresItemX 2 16 2" xfId="33970" xr:uid="{DD55E0DE-67CE-40D5-92A3-E30ADCAAAF19}"/>
    <cellStyle name="SAPBEXresItemX 2 17" xfId="19239" xr:uid="{A489E1E1-2B99-4D49-A5CE-DEFDC9108B08}"/>
    <cellStyle name="SAPBEXresItemX 2 17 2" xfId="33971" xr:uid="{6EB132B0-9215-4E10-81A3-F6698F9BF26A}"/>
    <cellStyle name="SAPBEXresItemX 2 18" xfId="19240" xr:uid="{AB7CE44C-E838-4E7F-9E8D-7058633A131E}"/>
    <cellStyle name="SAPBEXresItemX 2 18 2" xfId="33972" xr:uid="{547E3760-D3F9-4916-B84F-F164347513F1}"/>
    <cellStyle name="SAPBEXresItemX 2 19" xfId="19241" xr:uid="{5BC85742-CFC3-44A0-9C5E-0362734BD232}"/>
    <cellStyle name="SAPBEXresItemX 2 19 2" xfId="33973" xr:uid="{5887F30C-06FF-4F57-B477-E8771A8470B9}"/>
    <cellStyle name="SAPBEXresItemX 2 2" xfId="19242" xr:uid="{96B82D5D-1ABC-45CB-B082-F104816EAAE0}"/>
    <cellStyle name="SAPBEXresItemX 2 2 10" xfId="19243" xr:uid="{CC83CE52-0868-4F4B-9F6D-37C538DC8C1A}"/>
    <cellStyle name="SAPBEXresItemX 2 2 10 2" xfId="33975" xr:uid="{CC7276B6-B4AD-43C9-8211-6520FF7ECF4C}"/>
    <cellStyle name="SAPBEXresItemX 2 2 11" xfId="19244" xr:uid="{43D32C25-3C62-4A25-9904-C8AB451575AE}"/>
    <cellStyle name="SAPBEXresItemX 2 2 11 2" xfId="33976" xr:uid="{155DF471-6214-4079-BCF8-3C1AA434B1B6}"/>
    <cellStyle name="SAPBEXresItemX 2 2 12" xfId="19245" xr:uid="{A1FC75AA-6F5D-4C4A-8355-D0CC4F055969}"/>
    <cellStyle name="SAPBEXresItemX 2 2 12 2" xfId="33977" xr:uid="{B3F369E4-43EA-4688-97DC-BDE53B4A2C8E}"/>
    <cellStyle name="SAPBEXresItemX 2 2 13" xfId="19246" xr:uid="{32FBCEE8-CAD0-4150-9863-EAE918586587}"/>
    <cellStyle name="SAPBEXresItemX 2 2 13 2" xfId="33978" xr:uid="{8E19DD12-E49C-45FA-902E-1092C098BFBC}"/>
    <cellStyle name="SAPBEXresItemX 2 2 14" xfId="19247" xr:uid="{D9C0521C-7DBB-4DE5-B140-9E7F20C125F9}"/>
    <cellStyle name="SAPBEXresItemX 2 2 14 2" xfId="33979" xr:uid="{112E675D-67E2-4408-9964-44918E906D8D}"/>
    <cellStyle name="SAPBEXresItemX 2 2 15" xfId="19248" xr:uid="{2783B5A3-3885-48EA-B2DF-49C7BDC2BF19}"/>
    <cellStyle name="SAPBEXresItemX 2 2 15 2" xfId="33980" xr:uid="{28E030F1-4322-4329-B375-5055DC0EE0C6}"/>
    <cellStyle name="SAPBEXresItemX 2 2 16" xfId="19249" xr:uid="{6E7762FB-536E-409A-9F03-320476070725}"/>
    <cellStyle name="SAPBEXresItemX 2 2 16 2" xfId="33981" xr:uid="{04EA8189-69D6-4951-9406-33AA75E5EC07}"/>
    <cellStyle name="SAPBEXresItemX 2 2 17" xfId="19250" xr:uid="{9BA5716F-21D1-42DA-8D51-842B29F298A7}"/>
    <cellStyle name="SAPBEXresItemX 2 2 17 2" xfId="33982" xr:uid="{BF000F45-C553-41CC-88CD-599EB7ABFBF0}"/>
    <cellStyle name="SAPBEXresItemX 2 2 18" xfId="19251" xr:uid="{D509197D-DE83-4484-A689-ACD5CFF3EA80}"/>
    <cellStyle name="SAPBEXresItemX 2 2 18 2" xfId="33983" xr:uid="{6EAF806C-F925-40DB-AA93-3BCBD45133F0}"/>
    <cellStyle name="SAPBEXresItemX 2 2 19" xfId="33974" xr:uid="{808030CA-6A85-4EE1-A45C-AD19839A939C}"/>
    <cellStyle name="SAPBEXresItemX 2 2 2" xfId="19252" xr:uid="{C167A371-2237-4C69-90D3-C9646CE5C39D}"/>
    <cellStyle name="SAPBEXresItemX 2 2 2 10" xfId="19253" xr:uid="{279AD4A5-EB32-4DD7-B5B8-7ED6BDDCF6EE}"/>
    <cellStyle name="SAPBEXresItemX 2 2 2 10 2" xfId="33985" xr:uid="{1C9A17DB-3D43-4767-B9FC-6101DE8CC8B3}"/>
    <cellStyle name="SAPBEXresItemX 2 2 2 11" xfId="19254" xr:uid="{7B7B6BAD-61E1-4652-B5A9-B72368829BE8}"/>
    <cellStyle name="SAPBEXresItemX 2 2 2 11 2" xfId="33986" xr:uid="{5ECB5E6A-21A1-49C7-969B-4F50EA161E54}"/>
    <cellStyle name="SAPBEXresItemX 2 2 2 12" xfId="19255" xr:uid="{C3111B62-4BFC-4598-A983-37377334155A}"/>
    <cellStyle name="SAPBEXresItemX 2 2 2 12 2" xfId="33987" xr:uid="{8CC9FD73-7761-4F2D-A176-27C0D4ECE3F5}"/>
    <cellStyle name="SAPBEXresItemX 2 2 2 13" xfId="19256" xr:uid="{4A486E2D-749A-47C9-8A04-BD520998ADAF}"/>
    <cellStyle name="SAPBEXresItemX 2 2 2 13 2" xfId="33988" xr:uid="{26028E17-B9AD-4076-B1D4-0C30582C29B3}"/>
    <cellStyle name="SAPBEXresItemX 2 2 2 14" xfId="19257" xr:uid="{DDEB2832-936D-462C-9DA0-1D30E1DAA4BE}"/>
    <cellStyle name="SAPBEXresItemX 2 2 2 14 2" xfId="33989" xr:uid="{3F7CF856-B767-4369-B567-60293A321D6B}"/>
    <cellStyle name="SAPBEXresItemX 2 2 2 15" xfId="33984" xr:uid="{7DBAA974-222A-4555-818F-C56995D3AB1A}"/>
    <cellStyle name="SAPBEXresItemX 2 2 2 2" xfId="19258" xr:uid="{8B5B433D-DB42-410B-891E-9E4195631DD3}"/>
    <cellStyle name="SAPBEXresItemX 2 2 2 2 2" xfId="33990" xr:uid="{A5968CE8-94AA-4C29-8580-D6FDCB0B45A0}"/>
    <cellStyle name="SAPBEXresItemX 2 2 2 3" xfId="19259" xr:uid="{578EE668-8465-4F97-851D-D9B8FAF29726}"/>
    <cellStyle name="SAPBEXresItemX 2 2 2 3 2" xfId="33991" xr:uid="{E9F2B6BE-A0F5-4683-86A4-30282B14B03B}"/>
    <cellStyle name="SAPBEXresItemX 2 2 2 4" xfId="19260" xr:uid="{C04FDD97-D8AF-4A25-AA24-F8FE08C34D3C}"/>
    <cellStyle name="SAPBEXresItemX 2 2 2 4 2" xfId="33992" xr:uid="{7896EB85-570B-4FD8-A49C-9A473F9D240A}"/>
    <cellStyle name="SAPBEXresItemX 2 2 2 5" xfId="19261" xr:uid="{688DD204-15AC-4093-8113-843F6D589272}"/>
    <cellStyle name="SAPBEXresItemX 2 2 2 5 2" xfId="33993" xr:uid="{9A53183D-4ECC-46A5-9A68-43F737C71A6E}"/>
    <cellStyle name="SAPBEXresItemX 2 2 2 6" xfId="19262" xr:uid="{97311BF1-D8A6-4388-9977-3AFC2F94FFA2}"/>
    <cellStyle name="SAPBEXresItemX 2 2 2 6 2" xfId="33994" xr:uid="{DE6A6E6C-AD2D-4A47-8756-3D5BC5B24CDB}"/>
    <cellStyle name="SAPBEXresItemX 2 2 2 7" xfId="19263" xr:uid="{338A1A0B-70E4-492F-9AC5-00B0C9D474D0}"/>
    <cellStyle name="SAPBEXresItemX 2 2 2 7 2" xfId="33995" xr:uid="{8F3D3883-3F0A-4ABA-8DB5-C91EDAD95FA9}"/>
    <cellStyle name="SAPBEXresItemX 2 2 2 8" xfId="19264" xr:uid="{DC0C6242-064F-4651-8D53-8A257AE768FF}"/>
    <cellStyle name="SAPBEXresItemX 2 2 2 8 2" xfId="33996" xr:uid="{55E782EA-5677-4587-B161-F0D27A187397}"/>
    <cellStyle name="SAPBEXresItemX 2 2 2 9" xfId="19265" xr:uid="{1E4A72ED-EF6F-4E7E-A02A-566B716060C4}"/>
    <cellStyle name="SAPBEXresItemX 2 2 2 9 2" xfId="33997" xr:uid="{E3C8FACA-B2C6-4EDD-835F-840A65F3CBB7}"/>
    <cellStyle name="SAPBEXresItemX 2 2 3" xfId="19266" xr:uid="{D21AFDF3-7E45-419A-8D9D-BF3B24F1813E}"/>
    <cellStyle name="SAPBEXresItemX 2 2 3 2" xfId="33998" xr:uid="{6AA97FD6-2011-40FE-977D-5B85F1BB9560}"/>
    <cellStyle name="SAPBEXresItemX 2 2 4" xfId="19267" xr:uid="{391A5B49-AFA8-45C0-8697-ED3308B2269C}"/>
    <cellStyle name="SAPBEXresItemX 2 2 4 2" xfId="33999" xr:uid="{40B24C78-7FB0-4D84-B208-8CE2F32F3CDE}"/>
    <cellStyle name="SAPBEXresItemX 2 2 5" xfId="19268" xr:uid="{798BD3F8-3CD2-4297-A9FD-433587C73617}"/>
    <cellStyle name="SAPBEXresItemX 2 2 5 2" xfId="34000" xr:uid="{CB0C1C3E-C65C-4164-B2C1-8BBB9504C4B0}"/>
    <cellStyle name="SAPBEXresItemX 2 2 6" xfId="19269" xr:uid="{FFD6813D-A1AD-4A4B-A488-F844A7197E62}"/>
    <cellStyle name="SAPBEXresItemX 2 2 6 2" xfId="34001" xr:uid="{07D5804A-7311-4631-9631-6B09A712FEB3}"/>
    <cellStyle name="SAPBEXresItemX 2 2 7" xfId="19270" xr:uid="{25E516E2-CDF5-44DC-8D1C-B295B880DBD4}"/>
    <cellStyle name="SAPBEXresItemX 2 2 7 2" xfId="34002" xr:uid="{1B1D8427-A65F-43DD-B4EC-8030589050F4}"/>
    <cellStyle name="SAPBEXresItemX 2 2 8" xfId="19271" xr:uid="{925F1226-DC66-4B77-BEDF-5AA907F4C05C}"/>
    <cellStyle name="SAPBEXresItemX 2 2 8 2" xfId="34003" xr:uid="{5E9D3390-7603-41AF-B00A-7A3512BC0ED8}"/>
    <cellStyle name="SAPBEXresItemX 2 2 9" xfId="19272" xr:uid="{DF5EBF12-D980-4ED2-BC88-21EA84302479}"/>
    <cellStyle name="SAPBEXresItemX 2 2 9 2" xfId="34004" xr:uid="{E185BC90-BC77-4EA2-955A-219F2746AA50}"/>
    <cellStyle name="SAPBEXresItemX 2 20" xfId="33963" xr:uid="{1582B4AC-BC81-4A35-B0B4-C2731B6D11AC}"/>
    <cellStyle name="SAPBEXresItemX 2 3" xfId="19273" xr:uid="{51B12AA8-C23D-4C78-8D92-53ECC34304EE}"/>
    <cellStyle name="SAPBEXresItemX 2 3 10" xfId="19274" xr:uid="{F637D336-0335-45A3-9BA6-648A996E063F}"/>
    <cellStyle name="SAPBEXresItemX 2 3 10 2" xfId="34006" xr:uid="{2CDBAA5D-3E82-4911-906C-35787C6760A1}"/>
    <cellStyle name="SAPBEXresItemX 2 3 11" xfId="19275" xr:uid="{46CAF13C-4694-4730-89E9-9145D7963514}"/>
    <cellStyle name="SAPBEXresItemX 2 3 11 2" xfId="34007" xr:uid="{A9AEA2EF-38B6-4459-B132-EB668506C443}"/>
    <cellStyle name="SAPBEXresItemX 2 3 12" xfId="19276" xr:uid="{CEBFC286-BA03-42B8-B0D5-521E8C1A416D}"/>
    <cellStyle name="SAPBEXresItemX 2 3 12 2" xfId="34008" xr:uid="{933E25AE-80B4-47D3-9478-7B79725936D5}"/>
    <cellStyle name="SAPBEXresItemX 2 3 13" xfId="19277" xr:uid="{EDAD7B4E-CF78-4D73-BD9A-26648DACE336}"/>
    <cellStyle name="SAPBEXresItemX 2 3 13 2" xfId="34009" xr:uid="{FD15EE02-06A1-4724-9FB7-70CE822C2703}"/>
    <cellStyle name="SAPBEXresItemX 2 3 14" xfId="19278" xr:uid="{06AE0363-C2C2-4316-A677-D123E985AC06}"/>
    <cellStyle name="SAPBEXresItemX 2 3 14 2" xfId="34010" xr:uid="{706B8211-EB36-42A5-AAE9-54B0A4C2118B}"/>
    <cellStyle name="SAPBEXresItemX 2 3 15" xfId="34005" xr:uid="{2DC97D7D-2000-4A92-8BCE-23F0D45ECF16}"/>
    <cellStyle name="SAPBEXresItemX 2 3 2" xfId="19279" xr:uid="{E23F0FA3-4D78-4332-8683-C5DCD9A1DE3C}"/>
    <cellStyle name="SAPBEXresItemX 2 3 2 2" xfId="34011" xr:uid="{B717991A-4726-4DFC-927E-0FA78096149C}"/>
    <cellStyle name="SAPBEXresItemX 2 3 3" xfId="19280" xr:uid="{E7BA44FB-E2C5-4070-9349-CA7F3BA2E309}"/>
    <cellStyle name="SAPBEXresItemX 2 3 3 2" xfId="34012" xr:uid="{58FB3DA0-880A-40DC-89E2-C99C1D517B6A}"/>
    <cellStyle name="SAPBEXresItemX 2 3 4" xfId="19281" xr:uid="{37BA3139-77CC-4CE4-AA01-0875CFD20E00}"/>
    <cellStyle name="SAPBEXresItemX 2 3 4 2" xfId="34013" xr:uid="{C4A6E1C4-5354-4DB9-A2CD-8E191C0816D2}"/>
    <cellStyle name="SAPBEXresItemX 2 3 5" xfId="19282" xr:uid="{DABBE775-F193-4D7E-885E-BC7C45266455}"/>
    <cellStyle name="SAPBEXresItemX 2 3 5 2" xfId="34014" xr:uid="{3B6D60B7-C59B-46A4-86A8-D7E00425ADE6}"/>
    <cellStyle name="SAPBEXresItemX 2 3 6" xfId="19283" xr:uid="{DF9553B2-1D39-49D8-AFC9-FB014C9842F5}"/>
    <cellStyle name="SAPBEXresItemX 2 3 6 2" xfId="34015" xr:uid="{1157D91B-C292-4F24-AB57-44D95238C5B9}"/>
    <cellStyle name="SAPBEXresItemX 2 3 7" xfId="19284" xr:uid="{C24D7EE1-F185-4611-B08A-5438E97613F0}"/>
    <cellStyle name="SAPBEXresItemX 2 3 7 2" xfId="34016" xr:uid="{B5A86C0C-4683-4782-875E-0367D60B95A6}"/>
    <cellStyle name="SAPBEXresItemX 2 3 8" xfId="19285" xr:uid="{3F4DE16E-4A40-486F-852B-9228C73AB678}"/>
    <cellStyle name="SAPBEXresItemX 2 3 8 2" xfId="34017" xr:uid="{376BC33A-5FCD-468A-BDAB-357A66CB435E}"/>
    <cellStyle name="SAPBEXresItemX 2 3 9" xfId="19286" xr:uid="{10727FCB-44BF-4B11-8EE6-02DB66B23347}"/>
    <cellStyle name="SAPBEXresItemX 2 3 9 2" xfId="34018" xr:uid="{14B08524-DBDB-4A76-A008-49D803C1F253}"/>
    <cellStyle name="SAPBEXresItemX 2 4" xfId="19287" xr:uid="{D52C732B-69D5-4A2E-AEF7-164D515A131D}"/>
    <cellStyle name="SAPBEXresItemX 2 4 2" xfId="34019" xr:uid="{53264670-11C4-4166-AD61-A273D9D950D8}"/>
    <cellStyle name="SAPBEXresItemX 2 5" xfId="19288" xr:uid="{1F8D22C4-0559-48BA-801C-4010E834EBC0}"/>
    <cellStyle name="SAPBEXresItemX 2 5 2" xfId="34020" xr:uid="{5EFC372E-530C-41B3-928F-FB7B230CF865}"/>
    <cellStyle name="SAPBEXresItemX 2 6" xfId="19289" xr:uid="{17DE51DD-F8A5-466E-9620-33BDE45A2CC6}"/>
    <cellStyle name="SAPBEXresItemX 2 6 2" xfId="34021" xr:uid="{EA28052A-2E00-4061-B196-2903B4AF66DC}"/>
    <cellStyle name="SAPBEXresItemX 2 7" xfId="19290" xr:uid="{43760CAF-BD9E-48D7-9E1C-07B6140274F2}"/>
    <cellStyle name="SAPBEXresItemX 2 7 2" xfId="34022" xr:uid="{BC8351D0-9A9A-40F0-99FB-09BF443681A7}"/>
    <cellStyle name="SAPBEXresItemX 2 8" xfId="19291" xr:uid="{58F214FE-02C1-496E-84B4-CE806CAA9BC0}"/>
    <cellStyle name="SAPBEXresItemX 2 8 2" xfId="34023" xr:uid="{8F442502-53BC-4EF3-B0D6-63DBA6417054}"/>
    <cellStyle name="SAPBEXresItemX 2 9" xfId="19292" xr:uid="{DCB9F319-FF97-492B-91B8-7576E2C19737}"/>
    <cellStyle name="SAPBEXresItemX 2 9 2" xfId="34024" xr:uid="{2DBE4A47-166A-4712-99C2-1B4FC05B728D}"/>
    <cellStyle name="SAPBEXresItemX 20" xfId="19293" xr:uid="{E76EF828-3911-4E5D-9835-6E182F963DED}"/>
    <cellStyle name="SAPBEXresItemX 20 2" xfId="34025" xr:uid="{097FCE0F-9B3C-417E-921C-37BB351D8107}"/>
    <cellStyle name="SAPBEXresItemX 21" xfId="33952" xr:uid="{3989BE00-E66B-411F-B9E5-EE19F156AE82}"/>
    <cellStyle name="SAPBEXresItemX 3" xfId="19294" xr:uid="{AFE3CF1E-44DC-48E5-91E2-81C576AADAD1}"/>
    <cellStyle name="SAPBEXresItemX 3 10" xfId="19295" xr:uid="{3381A6A1-6313-489E-89C3-283B8EEB6533}"/>
    <cellStyle name="SAPBEXresItemX 3 10 2" xfId="34027" xr:uid="{EEE66398-AAD1-4E6B-A539-31F76B2534E0}"/>
    <cellStyle name="SAPBEXresItemX 3 11" xfId="19296" xr:uid="{2BA8B4DE-007B-43A3-826D-6B021C6360AE}"/>
    <cellStyle name="SAPBEXresItemX 3 11 2" xfId="34028" xr:uid="{58B9B468-8680-4F03-8F6F-3E16030711FF}"/>
    <cellStyle name="SAPBEXresItemX 3 12" xfId="19297" xr:uid="{CF347D64-4A25-4B98-92C4-94F20BCD888A}"/>
    <cellStyle name="SAPBEXresItemX 3 12 2" xfId="34029" xr:uid="{69C20AF0-983D-4632-A51E-F00E1340CBF5}"/>
    <cellStyle name="SAPBEXresItemX 3 13" xfId="19298" xr:uid="{16497DB1-552A-43F9-8415-F5070AF3D701}"/>
    <cellStyle name="SAPBEXresItemX 3 13 2" xfId="34030" xr:uid="{2D0BCC37-1764-4FA6-BE80-E256F767C4D0}"/>
    <cellStyle name="SAPBEXresItemX 3 14" xfId="19299" xr:uid="{1EA52682-25EA-4D39-B0F2-10DA89F36464}"/>
    <cellStyle name="SAPBEXresItemX 3 14 2" xfId="34031" xr:uid="{2F49E0AF-2D1C-4C62-AC22-ED91C850C6D4}"/>
    <cellStyle name="SAPBEXresItemX 3 15" xfId="19300" xr:uid="{E0B13D74-62E3-478F-95C4-B5881E215833}"/>
    <cellStyle name="SAPBEXresItemX 3 15 2" xfId="34032" xr:uid="{79DBEC84-94D3-46C3-9DEB-C25C2EDF2C11}"/>
    <cellStyle name="SAPBEXresItemX 3 16" xfId="19301" xr:uid="{5ACBFF3E-2719-447F-A66E-917815BA23AB}"/>
    <cellStyle name="SAPBEXresItemX 3 16 2" xfId="34033" xr:uid="{2DAE3426-506C-432B-90B1-CA67AD1CEE27}"/>
    <cellStyle name="SAPBEXresItemX 3 17" xfId="19302" xr:uid="{15DEFB88-16A8-4D86-A949-4C924FBB617B}"/>
    <cellStyle name="SAPBEXresItemX 3 17 2" xfId="34034" xr:uid="{80A86A0B-9AD5-4762-9F8E-CA3E1100247F}"/>
    <cellStyle name="SAPBEXresItemX 3 18" xfId="19303" xr:uid="{C0AE94CD-3FD4-49FF-BA1E-124203321ED8}"/>
    <cellStyle name="SAPBEXresItemX 3 18 2" xfId="34035" xr:uid="{E8DD1B89-31B3-487A-93B0-9A06CE4F44FC}"/>
    <cellStyle name="SAPBEXresItemX 3 19" xfId="34026" xr:uid="{7CB57825-0949-4A13-AF69-B2046B8A4481}"/>
    <cellStyle name="SAPBEXresItemX 3 2" xfId="19304" xr:uid="{031836F8-F5D8-4F72-88B3-02F28C443D6F}"/>
    <cellStyle name="SAPBEXresItemX 3 2 10" xfId="19305" xr:uid="{9467CA58-43C6-4A58-A4C3-6D6D07DCF6AF}"/>
    <cellStyle name="SAPBEXresItemX 3 2 10 2" xfId="34037" xr:uid="{FDC1CFFC-9960-41B4-8718-A65A31E35EB0}"/>
    <cellStyle name="SAPBEXresItemX 3 2 11" xfId="19306" xr:uid="{28458325-C27A-4EDB-AA3B-5B4B432338BA}"/>
    <cellStyle name="SAPBEXresItemX 3 2 11 2" xfId="34038" xr:uid="{529C9CD7-840C-4E36-9E02-460679346AA4}"/>
    <cellStyle name="SAPBEXresItemX 3 2 12" xfId="19307" xr:uid="{D21A846D-481B-463A-A5EE-BD1B58418450}"/>
    <cellStyle name="SAPBEXresItemX 3 2 12 2" xfId="34039" xr:uid="{ACB21B30-A7BE-4C3D-80AA-DF9FFF813B01}"/>
    <cellStyle name="SAPBEXresItemX 3 2 13" xfId="19308" xr:uid="{05EA55AD-D161-45D1-8864-56D4A5784DCA}"/>
    <cellStyle name="SAPBEXresItemX 3 2 13 2" xfId="34040" xr:uid="{5A088B6E-5550-435C-9142-3E9CDFD0E376}"/>
    <cellStyle name="SAPBEXresItemX 3 2 14" xfId="19309" xr:uid="{8F579B3C-271C-44D8-BF11-239E76CE7055}"/>
    <cellStyle name="SAPBEXresItemX 3 2 14 2" xfId="34041" xr:uid="{9046DD09-DAA0-4744-AB0F-00898EC68008}"/>
    <cellStyle name="SAPBEXresItemX 3 2 15" xfId="34036" xr:uid="{0C0C0787-E3F9-4378-B60A-04A129774CB6}"/>
    <cellStyle name="SAPBEXresItemX 3 2 2" xfId="19310" xr:uid="{C72E0DEE-E0E4-49EF-8691-C227CA84D8B3}"/>
    <cellStyle name="SAPBEXresItemX 3 2 2 2" xfId="34042" xr:uid="{3C29CC6A-D8A4-4DB5-AFF9-58E9BFE90713}"/>
    <cellStyle name="SAPBEXresItemX 3 2 3" xfId="19311" xr:uid="{F7EE4EB0-68A7-4286-A92F-4D5EFC18EC9B}"/>
    <cellStyle name="SAPBEXresItemX 3 2 3 2" xfId="34043" xr:uid="{E13EB3E0-B451-43EC-AE54-0D33F25C3D9E}"/>
    <cellStyle name="SAPBEXresItemX 3 2 4" xfId="19312" xr:uid="{51F4DFD4-C2C3-4CCA-B051-5ED28FEB1DA6}"/>
    <cellStyle name="SAPBEXresItemX 3 2 4 2" xfId="34044" xr:uid="{8B0439A8-51D5-46B0-9681-3A42AB42D849}"/>
    <cellStyle name="SAPBEXresItemX 3 2 5" xfId="19313" xr:uid="{7ECD62A3-D595-4A5A-8F7F-5516F2E02EA9}"/>
    <cellStyle name="SAPBEXresItemX 3 2 5 2" xfId="34045" xr:uid="{8B4D785D-0FED-4349-BC23-F61D9B010EC5}"/>
    <cellStyle name="SAPBEXresItemX 3 2 6" xfId="19314" xr:uid="{3AC4AF2F-C6A0-4C7B-8087-3083299B143F}"/>
    <cellStyle name="SAPBEXresItemX 3 2 6 2" xfId="34046" xr:uid="{94F99D98-E499-42BB-A788-F417A7E2AD93}"/>
    <cellStyle name="SAPBEXresItemX 3 2 7" xfId="19315" xr:uid="{8E8EBFDC-04DB-499B-9CAB-10A69846237C}"/>
    <cellStyle name="SAPBEXresItemX 3 2 7 2" xfId="34047" xr:uid="{DB4F52FB-B76D-4151-B1B1-ABC09FEFDD58}"/>
    <cellStyle name="SAPBEXresItemX 3 2 8" xfId="19316" xr:uid="{75C98B5D-EC6A-41E8-B80B-39A92905C06D}"/>
    <cellStyle name="SAPBEXresItemX 3 2 8 2" xfId="34048" xr:uid="{92DB7676-886B-4C71-A923-C0FF97140645}"/>
    <cellStyle name="SAPBEXresItemX 3 2 9" xfId="19317" xr:uid="{EC92C53D-0E9E-4820-8D6C-94CCDD5CFF56}"/>
    <cellStyle name="SAPBEXresItemX 3 2 9 2" xfId="34049" xr:uid="{3DBAB1B7-DDC4-456C-8AEB-573E39015F36}"/>
    <cellStyle name="SAPBEXresItemX 3 3" xfId="19318" xr:uid="{89E34776-DD8C-4EF0-A79D-10AB340F6B4C}"/>
    <cellStyle name="SAPBEXresItemX 3 3 2" xfId="34050" xr:uid="{C41B03DF-B3E1-4872-915A-B7B1E69E93C7}"/>
    <cellStyle name="SAPBEXresItemX 3 4" xfId="19319" xr:uid="{A0D04BB9-FB0E-4649-83CA-FA416AC0DF50}"/>
    <cellStyle name="SAPBEXresItemX 3 4 2" xfId="34051" xr:uid="{06F07258-8151-4D64-8C37-10D8255DBCCF}"/>
    <cellStyle name="SAPBEXresItemX 3 5" xfId="19320" xr:uid="{3D74C9CD-D0FA-4869-A39F-6E72F1365A59}"/>
    <cellStyle name="SAPBEXresItemX 3 5 2" xfId="34052" xr:uid="{551A7BBB-2415-4BA9-944C-569A3AFE0174}"/>
    <cellStyle name="SAPBEXresItemX 3 6" xfId="19321" xr:uid="{20C1A71C-C74F-4113-BFAD-6DC7BBC8106C}"/>
    <cellStyle name="SAPBEXresItemX 3 6 2" xfId="34053" xr:uid="{AA4957A8-587E-4757-96E8-DEF5CCB59365}"/>
    <cellStyle name="SAPBEXresItemX 3 7" xfId="19322" xr:uid="{A33CE2C5-B4A5-454F-BD6D-1A85C7C3643A}"/>
    <cellStyle name="SAPBEXresItemX 3 7 2" xfId="34054" xr:uid="{16B580E1-F4E8-44CA-AF5C-63309490E657}"/>
    <cellStyle name="SAPBEXresItemX 3 8" xfId="19323" xr:uid="{E3828BE7-1CA2-4C40-BA0D-7C38EABF6891}"/>
    <cellStyle name="SAPBEXresItemX 3 8 2" xfId="34055" xr:uid="{6459D358-B2F3-4CD0-BF19-E2C5E65EEC4B}"/>
    <cellStyle name="SAPBEXresItemX 3 9" xfId="19324" xr:uid="{6F3673F5-ECAD-44C3-B564-B8700835E70B}"/>
    <cellStyle name="SAPBEXresItemX 3 9 2" xfId="34056" xr:uid="{67D6D9B8-C365-40E0-B402-AE33AE72CEFB}"/>
    <cellStyle name="SAPBEXresItemX 4" xfId="19325" xr:uid="{CC6B9AA5-0315-4D04-B9BD-39D0A3A27602}"/>
    <cellStyle name="SAPBEXresItemX 4 10" xfId="19326" xr:uid="{BF158CBD-6D9C-4F05-92DC-36E18D82E322}"/>
    <cellStyle name="SAPBEXresItemX 4 10 2" xfId="34058" xr:uid="{90BD267C-6037-402F-A293-CBAE3943C62C}"/>
    <cellStyle name="SAPBEXresItemX 4 11" xfId="19327" xr:uid="{7F85FF1B-299E-468C-8FF4-9DF896CE2B49}"/>
    <cellStyle name="SAPBEXresItemX 4 11 2" xfId="34059" xr:uid="{A116901E-7E12-41FD-A4CF-6F670E2DCF97}"/>
    <cellStyle name="SAPBEXresItemX 4 12" xfId="19328" xr:uid="{A550E5AB-6750-4542-AA48-7FA85FBAC5C4}"/>
    <cellStyle name="SAPBEXresItemX 4 12 2" xfId="34060" xr:uid="{C50E8673-1081-4C6C-B994-EA1B223AA60D}"/>
    <cellStyle name="SAPBEXresItemX 4 13" xfId="19329" xr:uid="{7AAB6606-CB65-4175-B57C-81F128D37046}"/>
    <cellStyle name="SAPBEXresItemX 4 13 2" xfId="34061" xr:uid="{B590A2D9-FB68-4A21-A861-C11470CE9095}"/>
    <cellStyle name="SAPBEXresItemX 4 14" xfId="19330" xr:uid="{00005882-CA46-45EF-ADC9-9E538EF8FF76}"/>
    <cellStyle name="SAPBEXresItemX 4 14 2" xfId="34062" xr:uid="{4CAD44C0-2EF0-44BA-993C-0FC69CD80EBE}"/>
    <cellStyle name="SAPBEXresItemX 4 15" xfId="34057" xr:uid="{2AB8DE79-7B33-42A0-8F97-2A7AD8C3C128}"/>
    <cellStyle name="SAPBEXresItemX 4 2" xfId="19331" xr:uid="{AF640082-F2ED-4E53-8834-913C94670EB1}"/>
    <cellStyle name="SAPBEXresItemX 4 2 2" xfId="34063" xr:uid="{F6D06742-1717-4087-A610-0FC301A25EBD}"/>
    <cellStyle name="SAPBEXresItemX 4 3" xfId="19332" xr:uid="{FF999F69-B7E0-4468-B149-48E91B1E2F0D}"/>
    <cellStyle name="SAPBEXresItemX 4 3 2" xfId="34064" xr:uid="{6B0DB5AC-E3CB-4FFB-9894-F1A5BA18F641}"/>
    <cellStyle name="SAPBEXresItemX 4 4" xfId="19333" xr:uid="{1CAA9B25-D315-429E-AC14-6D5E91C9FC23}"/>
    <cellStyle name="SAPBEXresItemX 4 4 2" xfId="34065" xr:uid="{02B088EE-D301-4619-B134-8951CA6C8E0C}"/>
    <cellStyle name="SAPBEXresItemX 4 5" xfId="19334" xr:uid="{BF67BF56-E572-43E4-843F-AF01330ED761}"/>
    <cellStyle name="SAPBEXresItemX 4 5 2" xfId="34066" xr:uid="{FEF1DED9-A968-4FDB-9DC0-B2521210BE86}"/>
    <cellStyle name="SAPBEXresItemX 4 6" xfId="19335" xr:uid="{28E63EAB-61AA-43E8-A325-ECDC4C57C820}"/>
    <cellStyle name="SAPBEXresItemX 4 6 2" xfId="34067" xr:uid="{18518917-DF11-4199-9F2E-856D50BA097D}"/>
    <cellStyle name="SAPBEXresItemX 4 7" xfId="19336" xr:uid="{CA7A8348-C515-4F10-A8B3-0A6979BB9BF8}"/>
    <cellStyle name="SAPBEXresItemX 4 7 2" xfId="34068" xr:uid="{CAA7EDD5-322E-4539-B7F0-3AFFFD022328}"/>
    <cellStyle name="SAPBEXresItemX 4 8" xfId="19337" xr:uid="{531B232F-A73B-4CCE-A48E-49DB5B47A6CA}"/>
    <cellStyle name="SAPBEXresItemX 4 8 2" xfId="34069" xr:uid="{AE3575C0-78CC-4AB2-B5AA-47C41D747544}"/>
    <cellStyle name="SAPBEXresItemX 4 9" xfId="19338" xr:uid="{EC640498-E547-4305-BA2F-948C36DD476B}"/>
    <cellStyle name="SAPBEXresItemX 4 9 2" xfId="34070" xr:uid="{E0437FC1-D998-4C5F-9230-9E1374D0D338}"/>
    <cellStyle name="SAPBEXresItemX 5" xfId="19339" xr:uid="{632C2CE9-11C2-487F-8D69-BC34047FA04B}"/>
    <cellStyle name="SAPBEXresItemX 5 2" xfId="34071" xr:uid="{3E7A2B42-DD73-40E2-8C4A-06AB0470A784}"/>
    <cellStyle name="SAPBEXresItemX 6" xfId="19340" xr:uid="{2DD6358C-7776-41A3-91F0-10613CC059D7}"/>
    <cellStyle name="SAPBEXresItemX 6 2" xfId="34072" xr:uid="{D38D3E02-537A-4503-9EC3-D9885A49AF7A}"/>
    <cellStyle name="SAPBEXresItemX 7" xfId="19341" xr:uid="{ADAA4C1A-3B71-4C6D-97CE-82F7CB589E14}"/>
    <cellStyle name="SAPBEXresItemX 7 2" xfId="34073" xr:uid="{C93B33EA-4147-434C-91BE-E23A67067E29}"/>
    <cellStyle name="SAPBEXresItemX 8" xfId="19342" xr:uid="{B1504A0E-68BF-4D4E-BEB5-686793A25CC1}"/>
    <cellStyle name="SAPBEXresItemX 8 2" xfId="34074" xr:uid="{1BAE4C88-4030-4670-8D05-EBBB0D3432E9}"/>
    <cellStyle name="SAPBEXresItemX 9" xfId="19343" xr:uid="{2AE61D1C-02D7-4547-A2E1-A435DE8B4151}"/>
    <cellStyle name="SAPBEXresItemX 9 2" xfId="34075" xr:uid="{5D141FD2-9FBE-42ED-83C0-D53FEC447FA0}"/>
    <cellStyle name="SAPBEXstdData" xfId="19344" xr:uid="{88ED9EE0-0EAC-48F1-8FEC-C73E0C5686F2}"/>
    <cellStyle name="SAPBEXstdData 10" xfId="19345" xr:uid="{4D94AC14-DCC5-4E40-A5BD-B829723A7CA1}"/>
    <cellStyle name="SAPBEXstdData 10 2" xfId="34076" xr:uid="{D01DDFFE-A961-4536-AA01-6F12B49C76D8}"/>
    <cellStyle name="SAPBEXstdData 11" xfId="19346" xr:uid="{F42CECD6-A5D1-4D25-A24C-FBA0A4180C68}"/>
    <cellStyle name="SAPBEXstdData 11 2" xfId="34077" xr:uid="{049D05DE-609F-48B6-B03E-DE3B32EC6E21}"/>
    <cellStyle name="SAPBEXstdData 12" xfId="19347" xr:uid="{08520C5E-AB68-4E1D-87DA-8E81387516BB}"/>
    <cellStyle name="SAPBEXstdData 12 2" xfId="34078" xr:uid="{DCA1626F-C570-4E2C-9C0F-E5F36C8F053F}"/>
    <cellStyle name="SAPBEXstdData 13" xfId="19348" xr:uid="{612C15E5-39F6-4892-B6D1-430642B905CB}"/>
    <cellStyle name="SAPBEXstdData 13 2" xfId="34079" xr:uid="{5E346331-D428-4A93-B3E0-CD9A0E70A8B5}"/>
    <cellStyle name="SAPBEXstdData 14" xfId="19349" xr:uid="{649F68C1-2EFD-4C4A-9583-84FAC66FB095}"/>
    <cellStyle name="SAPBEXstdData 14 2" xfId="34080" xr:uid="{09F6FD95-AB3D-416D-B02B-8665E54D2CA3}"/>
    <cellStyle name="SAPBEXstdData 15" xfId="19350" xr:uid="{8A925E03-68CA-4A7C-BA95-0FFB373D4B94}"/>
    <cellStyle name="SAPBEXstdData 15 2" xfId="34081" xr:uid="{52D40137-3EFB-4B5D-860F-B3F0F8C745CD}"/>
    <cellStyle name="SAPBEXstdData 16" xfId="19351" xr:uid="{705F5B65-01A3-46C8-AF5D-491BCC8AE9AA}"/>
    <cellStyle name="SAPBEXstdData 16 2" xfId="34082" xr:uid="{BEDC3621-8617-4F52-AB18-A69C10209DB0}"/>
    <cellStyle name="SAPBEXstdData 17" xfId="19352" xr:uid="{620D80CE-AC6A-4C9D-A8C6-EB7F499B08E7}"/>
    <cellStyle name="SAPBEXstdData 17 2" xfId="34083" xr:uid="{91511A9D-A657-453D-955E-8CAA358E77BB}"/>
    <cellStyle name="SAPBEXstdData 18" xfId="19353" xr:uid="{CB95787B-4C84-4577-A79C-B02F659EDD76}"/>
    <cellStyle name="SAPBEXstdData 18 2" xfId="34084" xr:uid="{4F5F236D-52FC-46E4-986A-C860C6DB3977}"/>
    <cellStyle name="SAPBEXstdData 19" xfId="19354" xr:uid="{3657AD8D-0C5F-4C15-BD8A-390F5222F990}"/>
    <cellStyle name="SAPBEXstdData 19 2" xfId="34085" xr:uid="{AFD0BDE8-9D55-4484-8741-4180A08D4A76}"/>
    <cellStyle name="SAPBEXstdData 2" xfId="19355" xr:uid="{D3749E53-5462-43C2-9C43-660CBF0B0E3F}"/>
    <cellStyle name="SAPBEXstdData 2 10" xfId="19356" xr:uid="{64784D48-425B-4D2C-9C81-00A93479C23C}"/>
    <cellStyle name="SAPBEXstdData 2 10 2" xfId="34087" xr:uid="{49F42680-D732-4EBF-8EB2-E340C3957687}"/>
    <cellStyle name="SAPBEXstdData 2 11" xfId="19357" xr:uid="{B448A884-DF15-48F6-8AEF-DB109E631EF4}"/>
    <cellStyle name="SAPBEXstdData 2 11 2" xfId="34088" xr:uid="{7D99DB2C-2D3A-4577-8807-9A7891A19187}"/>
    <cellStyle name="SAPBEXstdData 2 12" xfId="19358" xr:uid="{9F30889B-69CD-4FEC-978E-69E075B5C8A0}"/>
    <cellStyle name="SAPBEXstdData 2 12 2" xfId="34089" xr:uid="{13AE9A46-AB42-4641-BA7E-B24B101B9855}"/>
    <cellStyle name="SAPBEXstdData 2 13" xfId="19359" xr:uid="{7275F308-18B2-4B8D-8EBB-A7A768A7AFB8}"/>
    <cellStyle name="SAPBEXstdData 2 13 2" xfId="34090" xr:uid="{EE6896B5-45F8-43E0-A1D4-48E2B782301C}"/>
    <cellStyle name="SAPBEXstdData 2 14" xfId="19360" xr:uid="{EA20238C-CCAC-46A3-AB7B-DB9A30E68A81}"/>
    <cellStyle name="SAPBEXstdData 2 14 2" xfId="34091" xr:uid="{6ACFA047-4018-476D-8304-34D33FFC4238}"/>
    <cellStyle name="SAPBEXstdData 2 15" xfId="19361" xr:uid="{00665EC1-3B2F-4C4F-9E5F-ED6D1B0BB701}"/>
    <cellStyle name="SAPBEXstdData 2 15 2" xfId="34092" xr:uid="{5DA35A94-1375-4ABE-82EA-29691D008413}"/>
    <cellStyle name="SAPBEXstdData 2 16" xfId="19362" xr:uid="{A9B0A584-9BFC-4989-A6EA-CF43BDD3B89A}"/>
    <cellStyle name="SAPBEXstdData 2 16 2" xfId="34093" xr:uid="{27000A56-A16B-4D8D-9FF1-3000039C65E6}"/>
    <cellStyle name="SAPBEXstdData 2 17" xfId="19363" xr:uid="{004F0A80-CA88-4323-845D-20F1E844933D}"/>
    <cellStyle name="SAPBEXstdData 2 17 2" xfId="34094" xr:uid="{E1C35B33-8C46-4AB2-823F-3736A44B65B2}"/>
    <cellStyle name="SAPBEXstdData 2 18" xfId="19364" xr:uid="{F59FAA75-3B8A-404E-B6E7-8AA08A9CB052}"/>
    <cellStyle name="SAPBEXstdData 2 18 2" xfId="34095" xr:uid="{D25891C0-F5F6-440F-9C82-43B00E83F662}"/>
    <cellStyle name="SAPBEXstdData 2 19" xfId="19365" xr:uid="{95180053-4AD0-4A46-AD90-D03C7ECA7855}"/>
    <cellStyle name="SAPBEXstdData 2 19 2" xfId="34096" xr:uid="{0235FBF4-86F0-4D5A-BC1F-511AE86AF1CA}"/>
    <cellStyle name="SAPBEXstdData 2 2" xfId="19366" xr:uid="{6A3F8432-F887-4680-A044-F2ADAAAC4BA5}"/>
    <cellStyle name="SAPBEXstdData 2 2 10" xfId="19367" xr:uid="{9CA5561C-9DDA-4556-BD2A-F324C68186A2}"/>
    <cellStyle name="SAPBEXstdData 2 2 10 2" xfId="34098" xr:uid="{425EB508-7292-4594-9355-2618DEAEA23F}"/>
    <cellStyle name="SAPBEXstdData 2 2 11" xfId="19368" xr:uid="{CFA8BDDE-336C-4B7C-9D15-D74A82557C07}"/>
    <cellStyle name="SAPBEXstdData 2 2 11 2" xfId="34099" xr:uid="{2AF3141A-6C32-478A-B4D0-CD587390267E}"/>
    <cellStyle name="SAPBEXstdData 2 2 12" xfId="19369" xr:uid="{FC967FA3-F3DE-499D-8AEF-F9AE960D4FD2}"/>
    <cellStyle name="SAPBEXstdData 2 2 12 2" xfId="34100" xr:uid="{D2E912D1-08A7-46E6-99BD-372697C36ADE}"/>
    <cellStyle name="SAPBEXstdData 2 2 13" xfId="19370" xr:uid="{8EB7AFA6-10E1-439E-913B-280AAF6DB105}"/>
    <cellStyle name="SAPBEXstdData 2 2 13 2" xfId="34101" xr:uid="{8781B0B1-12E6-481F-B02F-C2F61E55A237}"/>
    <cellStyle name="SAPBEXstdData 2 2 14" xfId="19371" xr:uid="{674B66F4-3161-40AE-B6C1-B9C95A5F2EE5}"/>
    <cellStyle name="SAPBEXstdData 2 2 14 2" xfId="34102" xr:uid="{4038454F-317A-4CCB-8AD2-0EEB05C61E2A}"/>
    <cellStyle name="SAPBEXstdData 2 2 15" xfId="19372" xr:uid="{0CC8709C-31BD-4943-9D49-3930DE812135}"/>
    <cellStyle name="SAPBEXstdData 2 2 15 2" xfId="34103" xr:uid="{2EC373D0-0D71-4C90-BAA4-5EA5D3B11332}"/>
    <cellStyle name="SAPBEXstdData 2 2 16" xfId="19373" xr:uid="{CFC5715F-F900-4B06-89CE-C9D8C788B1E3}"/>
    <cellStyle name="SAPBEXstdData 2 2 16 2" xfId="34104" xr:uid="{E212A236-9E35-4B09-BAAF-DF1DC1947E05}"/>
    <cellStyle name="SAPBEXstdData 2 2 17" xfId="19374" xr:uid="{0D64E166-4A4E-4864-9E57-55606670FC01}"/>
    <cellStyle name="SAPBEXstdData 2 2 17 2" xfId="34105" xr:uid="{FDD6AE29-C2E8-46E3-8B5F-5D9D564D9F0C}"/>
    <cellStyle name="SAPBEXstdData 2 2 18" xfId="19375" xr:uid="{FE1CD7DC-5FB8-46FF-B02E-898C618306B4}"/>
    <cellStyle name="SAPBEXstdData 2 2 18 2" xfId="34106" xr:uid="{4F2B9EAA-E698-4C7A-B913-88F4B641261A}"/>
    <cellStyle name="SAPBEXstdData 2 2 19" xfId="34097" xr:uid="{C713C6D9-418F-4F9F-91C1-FE342C8A0222}"/>
    <cellStyle name="SAPBEXstdData 2 2 2" xfId="19376" xr:uid="{7C7B3D64-7CE5-4771-B1FB-977885D0A442}"/>
    <cellStyle name="SAPBEXstdData 2 2 2 10" xfId="19377" xr:uid="{444C728F-701D-4AFF-B947-5AA9B17AFB9C}"/>
    <cellStyle name="SAPBEXstdData 2 2 2 10 2" xfId="34108" xr:uid="{A212EE76-5299-4E57-8466-F47FF25D661B}"/>
    <cellStyle name="SAPBEXstdData 2 2 2 11" xfId="19378" xr:uid="{ED8ABC87-4C13-40DB-A967-DF278AEDAF6D}"/>
    <cellStyle name="SAPBEXstdData 2 2 2 11 2" xfId="34109" xr:uid="{AFE2D170-3F5C-44B0-8F31-CC06DE3D9792}"/>
    <cellStyle name="SAPBEXstdData 2 2 2 12" xfId="19379" xr:uid="{87E10096-836A-493D-966A-2FFE44D2616D}"/>
    <cellStyle name="SAPBEXstdData 2 2 2 12 2" xfId="34110" xr:uid="{0D3711AC-5A33-4B3C-AA06-6E4396085DC0}"/>
    <cellStyle name="SAPBEXstdData 2 2 2 13" xfId="19380" xr:uid="{CD1B1726-0ED6-429E-9691-8A8B86160E5D}"/>
    <cellStyle name="SAPBEXstdData 2 2 2 13 2" xfId="34111" xr:uid="{B956E103-F5F4-4E83-96AB-B511109C4B80}"/>
    <cellStyle name="SAPBEXstdData 2 2 2 14" xfId="19381" xr:uid="{8BD94840-859F-485E-A320-F13936D7F435}"/>
    <cellStyle name="SAPBEXstdData 2 2 2 14 2" xfId="34112" xr:uid="{6328208C-EA25-4EBE-BC25-39DB15D90811}"/>
    <cellStyle name="SAPBEXstdData 2 2 2 15" xfId="34107" xr:uid="{769400A4-A6EB-4F7D-BBDA-671205329AA7}"/>
    <cellStyle name="SAPBEXstdData 2 2 2 2" xfId="19382" xr:uid="{8FF8EBC0-3EC4-4C69-82F4-47D1566547EE}"/>
    <cellStyle name="SAPBEXstdData 2 2 2 2 2" xfId="34113" xr:uid="{B682664D-E4FE-4478-A4BF-6645631971C1}"/>
    <cellStyle name="SAPBEXstdData 2 2 2 3" xfId="19383" xr:uid="{02D93A82-910B-4179-A4C1-18C20C2E5190}"/>
    <cellStyle name="SAPBEXstdData 2 2 2 3 2" xfId="34114" xr:uid="{37B1EA74-375C-4C50-811C-E3A224544F8C}"/>
    <cellStyle name="SAPBEXstdData 2 2 2 4" xfId="19384" xr:uid="{5B6FDAB3-8951-43AC-A7FD-95BD56B57C12}"/>
    <cellStyle name="SAPBEXstdData 2 2 2 4 2" xfId="34115" xr:uid="{B5A30F77-3BD3-4C84-B6B0-B191F722BC6C}"/>
    <cellStyle name="SAPBEXstdData 2 2 2 5" xfId="19385" xr:uid="{8F6581C4-BD3E-4D93-98B8-2FC205BF8F3C}"/>
    <cellStyle name="SAPBEXstdData 2 2 2 5 2" xfId="34116" xr:uid="{C71994FA-5008-4CDC-850E-68AC2A9B1F0E}"/>
    <cellStyle name="SAPBEXstdData 2 2 2 6" xfId="19386" xr:uid="{1E8ABCA3-21CD-4D7F-BAEB-C48ADAA326A6}"/>
    <cellStyle name="SAPBEXstdData 2 2 2 6 2" xfId="34117" xr:uid="{D76701C7-B9CC-4AF9-97C7-DCA61D8A3E7C}"/>
    <cellStyle name="SAPBEXstdData 2 2 2 7" xfId="19387" xr:uid="{19F5D174-0A6B-49BD-A3F5-AA4BB6ACD91C}"/>
    <cellStyle name="SAPBEXstdData 2 2 2 7 2" xfId="34118" xr:uid="{2D6E71FA-40DD-462A-A97A-0130C7E69787}"/>
    <cellStyle name="SAPBEXstdData 2 2 2 8" xfId="19388" xr:uid="{69AA78A6-C426-4CA4-A2E2-D9E6C4B38E62}"/>
    <cellStyle name="SAPBEXstdData 2 2 2 8 2" xfId="34119" xr:uid="{620729FF-7AA8-4B39-B733-34D9B736CD21}"/>
    <cellStyle name="SAPBEXstdData 2 2 2 9" xfId="19389" xr:uid="{A1E0168B-23B3-4FEE-8235-BCFD3A4F17E9}"/>
    <cellStyle name="SAPBEXstdData 2 2 2 9 2" xfId="34120" xr:uid="{340AD6BF-9DFF-4A1E-944F-D0876B9E2412}"/>
    <cellStyle name="SAPBEXstdData 2 2 3" xfId="19390" xr:uid="{6063DBDC-9CAC-4BB2-8BA8-3E9123DD21DD}"/>
    <cellStyle name="SAPBEXstdData 2 2 3 2" xfId="34121" xr:uid="{D6D34742-4534-4965-BEC7-080B0D559CCC}"/>
    <cellStyle name="SAPBEXstdData 2 2 4" xfId="19391" xr:uid="{2048A969-3F8A-43EB-A6A3-31E2064A6041}"/>
    <cellStyle name="SAPBEXstdData 2 2 4 2" xfId="34122" xr:uid="{4583A82C-4621-4508-856E-8EAA0CAB07AB}"/>
    <cellStyle name="SAPBEXstdData 2 2 5" xfId="19392" xr:uid="{0BF83C84-3A18-4E7F-8397-2220A5C42F62}"/>
    <cellStyle name="SAPBEXstdData 2 2 5 2" xfId="34123" xr:uid="{005FD64B-3148-4D17-B9D3-4890EB3F6468}"/>
    <cellStyle name="SAPBEXstdData 2 2 6" xfId="19393" xr:uid="{2D0B48A0-653B-4C6B-97E6-1210F1D5510F}"/>
    <cellStyle name="SAPBEXstdData 2 2 6 2" xfId="34124" xr:uid="{5B035BBD-B067-45C9-864E-EA4572FAA61F}"/>
    <cellStyle name="SAPBEXstdData 2 2 7" xfId="19394" xr:uid="{BCBDC8B5-8F2A-4BD8-8F95-804FB0EFFEF8}"/>
    <cellStyle name="SAPBEXstdData 2 2 7 2" xfId="34125" xr:uid="{F281C6E1-C1FC-4E6E-8428-70CAD6B03FFB}"/>
    <cellStyle name="SAPBEXstdData 2 2 8" xfId="19395" xr:uid="{CCAE7204-DF0D-428F-AA37-8ACD80845A9C}"/>
    <cellStyle name="SAPBEXstdData 2 2 8 2" xfId="34126" xr:uid="{174330ED-FDAF-44CC-AA70-4CBEAF2DBABB}"/>
    <cellStyle name="SAPBEXstdData 2 2 9" xfId="19396" xr:uid="{FB1FA16B-D221-4E1B-A1BE-6F4F8CFCB6AB}"/>
    <cellStyle name="SAPBEXstdData 2 2 9 2" xfId="34127" xr:uid="{3B2E5516-B201-4A0A-A64A-D930A01A6A1C}"/>
    <cellStyle name="SAPBEXstdData 2 20" xfId="34086" xr:uid="{F907DB9B-2514-4FC3-8A73-1854B87ECAAD}"/>
    <cellStyle name="SAPBEXstdData 2 3" xfId="19397" xr:uid="{6AC0870C-A508-4E78-A106-C1324C33B71D}"/>
    <cellStyle name="SAPBEXstdData 2 3 10" xfId="19398" xr:uid="{BA5BDA30-5A95-45A7-AB7B-9B618418107F}"/>
    <cellStyle name="SAPBEXstdData 2 3 10 2" xfId="34131" xr:uid="{E6E5A473-0BD2-4B82-8A6F-D808DA5CB5FB}"/>
    <cellStyle name="SAPBEXstdData 2 3 11" xfId="19399" xr:uid="{4D544FAB-5B19-479E-B1F4-B38AB05D5153}"/>
    <cellStyle name="SAPBEXstdData 2 3 11 2" xfId="34129" xr:uid="{016BB00C-1354-47EB-BFF8-834E79949D38}"/>
    <cellStyle name="SAPBEXstdData 2 3 12" xfId="19400" xr:uid="{ADC75A91-5E5E-40DE-8703-2E0B3DD00C2E}"/>
    <cellStyle name="SAPBEXstdData 2 3 12 2" xfId="34130" xr:uid="{19CB7C13-B156-4259-B9E1-FCFD37679391}"/>
    <cellStyle name="SAPBEXstdData 2 3 13" xfId="19401" xr:uid="{6D43EAE5-DB5C-4D0E-A539-84827632697F}"/>
    <cellStyle name="SAPBEXstdData 2 3 13 2" xfId="34132" xr:uid="{3EB604BB-F202-45B7-BCB5-A31362FBF241}"/>
    <cellStyle name="SAPBEXstdData 2 3 14" xfId="19402" xr:uid="{D596B3B0-75C7-46AF-83AA-0F7B694D9F1D}"/>
    <cellStyle name="SAPBEXstdData 2 3 14 2" xfId="34133" xr:uid="{26AD8CE4-2C00-4D7A-886D-83625821AC04}"/>
    <cellStyle name="SAPBEXstdData 2 3 15" xfId="34128" xr:uid="{C6140157-C741-47E2-A1B4-2BBECB0C5C78}"/>
    <cellStyle name="SAPBEXstdData 2 3 2" xfId="19403" xr:uid="{9BB4FD1B-E69C-488F-AF1A-3610433DED49}"/>
    <cellStyle name="SAPBEXstdData 2 3 2 2" xfId="34134" xr:uid="{0A447B5B-6D64-416A-8849-A6248BB038C7}"/>
    <cellStyle name="SAPBEXstdData 2 3 3" xfId="19404" xr:uid="{ECA32910-1677-4C76-9D02-ECA6AD6252B6}"/>
    <cellStyle name="SAPBEXstdData 2 3 3 2" xfId="34135" xr:uid="{4CFE9928-6A32-496A-A757-CBC8023C635D}"/>
    <cellStyle name="SAPBEXstdData 2 3 4" xfId="19405" xr:uid="{9F935C96-A4A5-4B41-A5FD-AD3934FB20ED}"/>
    <cellStyle name="SAPBEXstdData 2 3 4 2" xfId="34136" xr:uid="{B45FD9DA-8044-4436-A0CA-E71F8CF1253B}"/>
    <cellStyle name="SAPBEXstdData 2 3 5" xfId="19406" xr:uid="{50D2496E-76E9-4129-BFDF-443B830967E7}"/>
    <cellStyle name="SAPBEXstdData 2 3 5 2" xfId="34137" xr:uid="{159A2CC8-E2FC-4E4D-A420-B6579EB10533}"/>
    <cellStyle name="SAPBEXstdData 2 3 6" xfId="19407" xr:uid="{0024263E-1829-4149-89D5-11770E8F5017}"/>
    <cellStyle name="SAPBEXstdData 2 3 6 2" xfId="34138" xr:uid="{0C285B23-E020-473C-84E2-4216DECE3FE6}"/>
    <cellStyle name="SAPBEXstdData 2 3 7" xfId="19408" xr:uid="{53EE4DA3-A560-432E-BA4F-888576CC7F6E}"/>
    <cellStyle name="SAPBEXstdData 2 3 7 2" xfId="34139" xr:uid="{5CDD5E26-5815-481C-8471-706AE268BF13}"/>
    <cellStyle name="SAPBEXstdData 2 3 8" xfId="19409" xr:uid="{4ED12DA6-8E54-4306-9F01-D1FD8D926807}"/>
    <cellStyle name="SAPBEXstdData 2 3 8 2" xfId="34140" xr:uid="{F38562C8-A3D5-4231-8C08-5CCBF61CEFF7}"/>
    <cellStyle name="SAPBEXstdData 2 3 9" xfId="19410" xr:uid="{19243849-F074-43E1-A505-5FA833EC41C8}"/>
    <cellStyle name="SAPBEXstdData 2 3 9 2" xfId="34141" xr:uid="{02462DE8-84E1-4B79-B2FD-5B9C0D3ACF1C}"/>
    <cellStyle name="SAPBEXstdData 2 4" xfId="19411" xr:uid="{3694241D-C148-4D27-BA2B-ABA204E560E9}"/>
    <cellStyle name="SAPBEXstdData 2 4 2" xfId="34142" xr:uid="{58CC9E86-F56B-4D36-B8A6-01466877842A}"/>
    <cellStyle name="SAPBEXstdData 2 5" xfId="19412" xr:uid="{047339E7-FCD1-4709-A167-5F2FD038AEE2}"/>
    <cellStyle name="SAPBEXstdData 2 5 2" xfId="34143" xr:uid="{BA4B221C-99BA-4638-B902-2D328A3939BB}"/>
    <cellStyle name="SAPBEXstdData 2 6" xfId="19413" xr:uid="{07060899-D394-4BD0-B359-9553B9968D7D}"/>
    <cellStyle name="SAPBEXstdData 2 6 2" xfId="34144" xr:uid="{E7926C6A-74A8-4418-9073-69FBE442093C}"/>
    <cellStyle name="SAPBEXstdData 2 7" xfId="19414" xr:uid="{4AB0B6E6-953F-40B0-9A80-DE0B445B80FE}"/>
    <cellStyle name="SAPBEXstdData 2 7 2" xfId="34145" xr:uid="{7806F9AA-2FCD-4464-AFC4-E7CF4FBA351A}"/>
    <cellStyle name="SAPBEXstdData 2 8" xfId="19415" xr:uid="{EF961301-4359-4704-B228-E247CFF173EA}"/>
    <cellStyle name="SAPBEXstdData 2 8 2" xfId="34146" xr:uid="{723E50F9-FC53-45FD-AD3E-51B66F0C99B0}"/>
    <cellStyle name="SAPBEXstdData 2 9" xfId="19416" xr:uid="{1197C504-C935-4DBF-B9E1-A65DE7186CF7}"/>
    <cellStyle name="SAPBEXstdData 2 9 2" xfId="34147" xr:uid="{5F9A86A5-06D3-4AC5-A88E-C34A69C09A4A}"/>
    <cellStyle name="SAPBEXstdData 20" xfId="19417" xr:uid="{560946FF-6D27-4F76-BD38-FE7873D10763}"/>
    <cellStyle name="SAPBEXstdData 20 2" xfId="34148" xr:uid="{A2453249-50D2-4F69-98C3-355C963F470B}"/>
    <cellStyle name="SAPBEXstdData 21" xfId="19418" xr:uid="{03927859-87AD-45E0-B953-0911DD5776B7}"/>
    <cellStyle name="SAPBEXstdData 21 2" xfId="34149" xr:uid="{D3DDC633-204E-459E-A416-27EBB2A72BF4}"/>
    <cellStyle name="SAPBEXstdData 3" xfId="19419" xr:uid="{7373AA6F-196D-49B8-969C-1A0EDF4B5315}"/>
    <cellStyle name="SAPBEXstdData 3 2" xfId="19420" xr:uid="{761322D2-D064-47C6-A754-66215B8EC3F3}"/>
    <cellStyle name="SAPBEXstdData 3 2 10" xfId="19421" xr:uid="{7590D7EF-D844-45A1-9492-8569C59900B4}"/>
    <cellStyle name="SAPBEXstdData 3 2 10 2" xfId="34152" xr:uid="{FAFBF0E4-078B-4C57-9934-378CA5AF6F52}"/>
    <cellStyle name="SAPBEXstdData 3 2 11" xfId="19422" xr:uid="{42302D09-CA38-4B69-8F11-EE08CAE8F8C5}"/>
    <cellStyle name="SAPBEXstdData 3 2 11 2" xfId="34153" xr:uid="{43F61A1D-8E0A-41C8-9953-BAC6A423F051}"/>
    <cellStyle name="SAPBEXstdData 3 2 12" xfId="19423" xr:uid="{9436FBFC-3482-468D-8CC0-05D6419F8F41}"/>
    <cellStyle name="SAPBEXstdData 3 2 12 2" xfId="34154" xr:uid="{F3D151F3-20A4-4642-863C-01FD38BB827D}"/>
    <cellStyle name="SAPBEXstdData 3 2 13" xfId="19424" xr:uid="{545017F2-7123-40D1-B5AB-66D686BD5BB6}"/>
    <cellStyle name="SAPBEXstdData 3 2 13 2" xfId="34155" xr:uid="{5B997047-27BF-4338-88EB-974E945B229F}"/>
    <cellStyle name="SAPBEXstdData 3 2 14" xfId="19425" xr:uid="{BF0662C0-E385-4235-8A34-64017215AD12}"/>
    <cellStyle name="SAPBEXstdData 3 2 14 2" xfId="34156" xr:uid="{780B7AED-6378-4730-A287-2FC08C94BEC4}"/>
    <cellStyle name="SAPBEXstdData 3 2 15" xfId="34151" xr:uid="{CA1921F6-EBDA-4D54-8C1A-6A5F4FDB694F}"/>
    <cellStyle name="SAPBEXstdData 3 2 2" xfId="19426" xr:uid="{66247707-0951-4F2D-B9A0-0BB88220CB55}"/>
    <cellStyle name="SAPBEXstdData 3 2 2 2" xfId="34157" xr:uid="{1D104C8D-F9B7-4885-B118-E23070D3D8DE}"/>
    <cellStyle name="SAPBEXstdData 3 2 3" xfId="19427" xr:uid="{82ADECDC-F19D-42EC-A631-3F7AEA3FB01F}"/>
    <cellStyle name="SAPBEXstdData 3 2 3 2" xfId="34158" xr:uid="{34E3E3A6-E545-42C6-8BE0-E5058790ED69}"/>
    <cellStyle name="SAPBEXstdData 3 2 4" xfId="19428" xr:uid="{13608377-102D-4244-83DA-DF7E24BE2240}"/>
    <cellStyle name="SAPBEXstdData 3 2 4 2" xfId="34159" xr:uid="{5E3E6F79-B8FB-4B5C-931F-1F35CD6BE779}"/>
    <cellStyle name="SAPBEXstdData 3 2 5" xfId="19429" xr:uid="{7BE9B27E-B2D3-4CD4-A9B7-C386CD416C41}"/>
    <cellStyle name="SAPBEXstdData 3 2 5 2" xfId="34160" xr:uid="{ECF129E8-38C4-4C35-AF3C-12187E582BE6}"/>
    <cellStyle name="SAPBEXstdData 3 2 6" xfId="19430" xr:uid="{B5177009-8F2E-469D-A18F-7BB50E38CD44}"/>
    <cellStyle name="SAPBEXstdData 3 2 6 2" xfId="34161" xr:uid="{B94C8380-0379-48D9-B75E-ADA98662424E}"/>
    <cellStyle name="SAPBEXstdData 3 2 7" xfId="19431" xr:uid="{CECC5086-4D80-4C9A-B67D-98F62E3227AC}"/>
    <cellStyle name="SAPBEXstdData 3 2 7 2" xfId="34162" xr:uid="{49D1D05B-584C-4E74-9D92-12E278809689}"/>
    <cellStyle name="SAPBEXstdData 3 2 8" xfId="19432" xr:uid="{7C7023CD-40E8-4005-B953-712B53185F06}"/>
    <cellStyle name="SAPBEXstdData 3 2 8 2" xfId="34163" xr:uid="{FD3894D6-D8A8-49E2-AB8B-6B2D4916F769}"/>
    <cellStyle name="SAPBEXstdData 3 2 9" xfId="19433" xr:uid="{EE2AA0BF-518C-4F0B-B75A-E9AAB9AF6F61}"/>
    <cellStyle name="SAPBEXstdData 3 2 9 2" xfId="34164" xr:uid="{C8B0D6A4-A0EE-40AB-9E6D-C9A2671F0A24}"/>
    <cellStyle name="SAPBEXstdData 3 3" xfId="19434" xr:uid="{69598FA0-12A3-4D3C-A091-44371E0D7F1E}"/>
    <cellStyle name="SAPBEXstdData 3 4" xfId="34150" xr:uid="{C504FF13-DFD5-410A-B7EE-6FCFABAF9317}"/>
    <cellStyle name="SAPBEXstdData 4" xfId="19435" xr:uid="{93502768-F8C7-4204-948B-A1AED9D6037E}"/>
    <cellStyle name="SAPBEXstdData 5" xfId="19436" xr:uid="{B4D33FA2-9B45-4F3E-BED4-43D8B79D84CF}"/>
    <cellStyle name="SAPBEXstdData 5 10" xfId="19437" xr:uid="{474C9EEC-73F5-44B9-A55F-E565B3F48D39}"/>
    <cellStyle name="SAPBEXstdData 5 10 2" xfId="34166" xr:uid="{FE3E7CC0-A7CC-4429-B699-1BA95B121279}"/>
    <cellStyle name="SAPBEXstdData 5 11" xfId="19438" xr:uid="{1A5BA5F7-8E5D-4FA0-BF20-5178CCA37AAE}"/>
    <cellStyle name="SAPBEXstdData 5 11 2" xfId="34167" xr:uid="{DC653C2A-C46C-4965-AF75-E88CB8C5F1F5}"/>
    <cellStyle name="SAPBEXstdData 5 12" xfId="19439" xr:uid="{D5407C69-CE52-4A70-AE7E-2648C1FBC21C}"/>
    <cellStyle name="SAPBEXstdData 5 12 2" xfId="34168" xr:uid="{9F0CD991-880D-4013-8E96-68A1EA9A20DA}"/>
    <cellStyle name="SAPBEXstdData 5 13" xfId="19440" xr:uid="{315B93B8-48C2-4EAC-8483-D0D138E03B6E}"/>
    <cellStyle name="SAPBEXstdData 5 13 2" xfId="34169" xr:uid="{C7DDD7D7-6929-45EF-9289-D3AA35F93E41}"/>
    <cellStyle name="SAPBEXstdData 5 14" xfId="19441" xr:uid="{E48196C7-8B9B-4056-A076-E798E39F1E03}"/>
    <cellStyle name="SAPBEXstdData 5 14 2" xfId="34170" xr:uid="{30ED255D-549C-47F2-A303-8D9737E87E3F}"/>
    <cellStyle name="SAPBEXstdData 5 15" xfId="34165" xr:uid="{440C9AFC-BC2A-4473-9E37-7764108808A1}"/>
    <cellStyle name="SAPBEXstdData 5 2" xfId="19442" xr:uid="{60E111E1-A33A-4F16-91F9-A20BC9B9892D}"/>
    <cellStyle name="SAPBEXstdData 5 2 2" xfId="34171" xr:uid="{A2599CFA-3CD4-4397-80B3-6B273C0DB28D}"/>
    <cellStyle name="SAPBEXstdData 5 3" xfId="19443" xr:uid="{FF9F0420-5DA1-47A6-BBED-9971A2737889}"/>
    <cellStyle name="SAPBEXstdData 5 3 2" xfId="34172" xr:uid="{016DD992-0D70-4BA5-8105-D702B5C65A59}"/>
    <cellStyle name="SAPBEXstdData 5 4" xfId="19444" xr:uid="{CF685014-BE1E-4EC2-9F28-17CF576567C6}"/>
    <cellStyle name="SAPBEXstdData 5 4 2" xfId="34173" xr:uid="{32738BB6-67FD-4D6A-8B2A-4665EC445313}"/>
    <cellStyle name="SAPBEXstdData 5 5" xfId="19445" xr:uid="{6D3EF521-5022-44DE-B8BC-B6A5D174BBAF}"/>
    <cellStyle name="SAPBEXstdData 5 5 2" xfId="34174" xr:uid="{AB33F5DC-FBB2-4999-A5C2-BB1440C3A24E}"/>
    <cellStyle name="SAPBEXstdData 5 6" xfId="19446" xr:uid="{A682A68A-CAB3-4358-A5C2-F0A18D97AB99}"/>
    <cellStyle name="SAPBEXstdData 5 6 2" xfId="34175" xr:uid="{F447A540-1640-47F5-9602-95A309176231}"/>
    <cellStyle name="SAPBEXstdData 5 7" xfId="19447" xr:uid="{A3BDD71C-D59A-46B2-A6F6-508F6808B263}"/>
    <cellStyle name="SAPBEXstdData 5 7 2" xfId="34176" xr:uid="{8C6BF19D-3CF2-4248-AF13-83DB17142517}"/>
    <cellStyle name="SAPBEXstdData 5 8" xfId="19448" xr:uid="{9CD839E2-2C1C-41F9-B79F-D134BDAF43BD}"/>
    <cellStyle name="SAPBEXstdData 5 8 2" xfId="34177" xr:uid="{B60910A2-A01A-4BC0-8FB4-A73B6441814F}"/>
    <cellStyle name="SAPBEXstdData 5 9" xfId="19449" xr:uid="{34A1907F-892B-4B86-B22C-689C4D039314}"/>
    <cellStyle name="SAPBEXstdData 5 9 2" xfId="34178" xr:uid="{55124B78-F612-4687-96C3-50ADB5AA4CEE}"/>
    <cellStyle name="SAPBEXstdData 6" xfId="19450" xr:uid="{827E92C6-2107-4C49-855D-448996073CAA}"/>
    <cellStyle name="SAPBEXstdData 6 2" xfId="34179" xr:uid="{F5015BDC-5E7C-4086-9693-619FB7885E35}"/>
    <cellStyle name="SAPBEXstdData 7" xfId="19451" xr:uid="{66924021-752A-43E4-8087-5A75C01A68DE}"/>
    <cellStyle name="SAPBEXstdData 7 2" xfId="34180" xr:uid="{6B9D4901-BD1B-4E1E-8D64-CB943537F82B}"/>
    <cellStyle name="SAPBEXstdData 8" xfId="19452" xr:uid="{ECB3D376-6042-4686-A25F-70036B58BD3B}"/>
    <cellStyle name="SAPBEXstdData 8 2" xfId="34181" xr:uid="{6004ADD6-EBB0-4063-B72C-6DA8DA3599E8}"/>
    <cellStyle name="SAPBEXstdData 9" xfId="19453" xr:uid="{17A937BC-4E0B-47EC-83F9-B3D6E457DB5A}"/>
    <cellStyle name="SAPBEXstdData 9 2" xfId="34182" xr:uid="{157529C4-7633-4344-BDF2-F39DF53AA9CE}"/>
    <cellStyle name="SAPBEXstdDataEmph" xfId="19454" xr:uid="{D3D38C37-4B3A-4787-963E-9A9A3462C64B}"/>
    <cellStyle name="SAPBEXstdDataEmph 10" xfId="19455" xr:uid="{993C2D4B-B10A-45D1-B425-9EBBBA31EEEA}"/>
    <cellStyle name="SAPBEXstdDataEmph 10 2" xfId="34183" xr:uid="{1ACBE486-3301-4A3F-837C-13C1EC6A38C2}"/>
    <cellStyle name="SAPBEXstdDataEmph 11" xfId="19456" xr:uid="{8D2EB61F-3460-425D-9B03-998D53A7FD9D}"/>
    <cellStyle name="SAPBEXstdDataEmph 11 2" xfId="34184" xr:uid="{BEFE50B5-B755-4BA0-9D9D-C6DF8229C171}"/>
    <cellStyle name="SAPBEXstdDataEmph 12" xfId="19457" xr:uid="{A1FBCC98-F1C4-4312-A9BD-F2F29B888F1F}"/>
    <cellStyle name="SAPBEXstdDataEmph 12 2" xfId="34185" xr:uid="{BBBDC6D3-1855-4B81-8CB7-E09D5C00C28B}"/>
    <cellStyle name="SAPBEXstdDataEmph 13" xfId="19458" xr:uid="{12C5532F-7C20-4E5C-B695-0CF91956F062}"/>
    <cellStyle name="SAPBEXstdDataEmph 13 2" xfId="34186" xr:uid="{4ADCA244-54E8-4D17-B26B-781748AC0681}"/>
    <cellStyle name="SAPBEXstdDataEmph 14" xfId="19459" xr:uid="{E60925B7-83E5-48F0-A11C-DA6A30624BFF}"/>
    <cellStyle name="SAPBEXstdDataEmph 14 2" xfId="34187" xr:uid="{67F547C3-C980-4A29-86DD-8B17D37F5B67}"/>
    <cellStyle name="SAPBEXstdDataEmph 15" xfId="19460" xr:uid="{0E994B0A-6F18-4304-AF1E-32ED4877A157}"/>
    <cellStyle name="SAPBEXstdDataEmph 15 2" xfId="34188" xr:uid="{7DC06A8C-6DAA-4DD4-A50D-81EFC3CD14ED}"/>
    <cellStyle name="SAPBEXstdDataEmph 16" xfId="19461" xr:uid="{19DC1702-F60F-463E-A9CC-60CD918A2400}"/>
    <cellStyle name="SAPBEXstdDataEmph 16 2" xfId="34189" xr:uid="{3D5250E3-4AED-4B1E-AB21-F75559BB7B73}"/>
    <cellStyle name="SAPBEXstdDataEmph 17" xfId="19462" xr:uid="{E957184D-B373-4837-9BFD-518E5A2CB95F}"/>
    <cellStyle name="SAPBEXstdDataEmph 17 2" xfId="34190" xr:uid="{93B0FBE4-5342-4392-AB86-2B4A87B33287}"/>
    <cellStyle name="SAPBEXstdDataEmph 18" xfId="19463" xr:uid="{5C2B37D1-7976-49C0-9AE7-3A25D99E6EC0}"/>
    <cellStyle name="SAPBEXstdDataEmph 18 2" xfId="34191" xr:uid="{D0CFF17B-90A2-4DE1-A248-B879E43F260C}"/>
    <cellStyle name="SAPBEXstdDataEmph 19" xfId="19464" xr:uid="{AB589F6C-9728-473A-9367-EB5E377DE8FE}"/>
    <cellStyle name="SAPBEXstdDataEmph 19 2" xfId="34192" xr:uid="{677EACAD-3208-41C7-8F99-F4C737A351C5}"/>
    <cellStyle name="SAPBEXstdDataEmph 2" xfId="19465" xr:uid="{569453FF-DFC7-42CF-B150-2F218E22B694}"/>
    <cellStyle name="SAPBEXstdDataEmph 2 10" xfId="19466" xr:uid="{F9DCA10B-3760-477F-834E-E6497B7AF575}"/>
    <cellStyle name="SAPBEXstdDataEmph 2 10 2" xfId="34194" xr:uid="{79EA86B1-25A0-4BD1-AF4D-7E31035D7220}"/>
    <cellStyle name="SAPBEXstdDataEmph 2 11" xfId="19467" xr:uid="{73F8530F-7816-47D2-9BF9-221EEDF87EA7}"/>
    <cellStyle name="SAPBEXstdDataEmph 2 11 2" xfId="34195" xr:uid="{B164B49C-8868-4A08-ADCA-473E5359543A}"/>
    <cellStyle name="SAPBEXstdDataEmph 2 12" xfId="19468" xr:uid="{099FBC39-2EE5-4D1A-80E0-F99F2CA61547}"/>
    <cellStyle name="SAPBEXstdDataEmph 2 12 2" xfId="34196" xr:uid="{B00CD634-B7D1-4C4D-A7A5-832F2D445C59}"/>
    <cellStyle name="SAPBEXstdDataEmph 2 13" xfId="19469" xr:uid="{098A2D6B-9D36-4490-8F32-776EE43C8A1F}"/>
    <cellStyle name="SAPBEXstdDataEmph 2 13 2" xfId="34197" xr:uid="{EADFE058-58BC-48D4-BAA5-EC250B1FA027}"/>
    <cellStyle name="SAPBEXstdDataEmph 2 14" xfId="19470" xr:uid="{30B4F369-F9A9-4A15-8DC5-65799E5302A4}"/>
    <cellStyle name="SAPBEXstdDataEmph 2 14 2" xfId="34198" xr:uid="{3767BB74-490D-48C9-9E17-EFCCC8511F7C}"/>
    <cellStyle name="SAPBEXstdDataEmph 2 15" xfId="19471" xr:uid="{90C7E3A2-1648-40D0-B88D-BBBCB5CBBFAA}"/>
    <cellStyle name="SAPBEXstdDataEmph 2 15 2" xfId="34199" xr:uid="{5E6639B5-5110-4D93-803C-D74E207AE620}"/>
    <cellStyle name="SAPBEXstdDataEmph 2 16" xfId="19472" xr:uid="{1F4B19A8-D0AD-499F-8F8E-FEC69AACB828}"/>
    <cellStyle name="SAPBEXstdDataEmph 2 16 2" xfId="34200" xr:uid="{551D3234-95FD-4750-8B17-BF8C4D4C25AA}"/>
    <cellStyle name="SAPBEXstdDataEmph 2 17" xfId="19473" xr:uid="{7DD82F21-7A58-4EC7-9A2A-71AD9586373F}"/>
    <cellStyle name="SAPBEXstdDataEmph 2 17 2" xfId="34201" xr:uid="{6486A057-8F49-47D1-9EE9-5E6F43EF4982}"/>
    <cellStyle name="SAPBEXstdDataEmph 2 18" xfId="19474" xr:uid="{85B00BB3-2495-48B1-8422-AF424E2ADA1F}"/>
    <cellStyle name="SAPBEXstdDataEmph 2 18 2" xfId="34202" xr:uid="{8187AE12-14DF-4F0B-BEA7-5910E8219577}"/>
    <cellStyle name="SAPBEXstdDataEmph 2 19" xfId="19475" xr:uid="{3FB4BB2E-7397-4943-B141-9B33EACC17F3}"/>
    <cellStyle name="SAPBEXstdDataEmph 2 19 2" xfId="34203" xr:uid="{D78BD045-3F5F-41AF-8E14-9F8464A7037D}"/>
    <cellStyle name="SAPBEXstdDataEmph 2 2" xfId="19476" xr:uid="{139ACEEB-B91B-4575-9221-8DD193C34D1D}"/>
    <cellStyle name="SAPBEXstdDataEmph 2 2 10" xfId="19477" xr:uid="{330AF6D7-C8F6-475C-996F-13472A5AF21F}"/>
    <cellStyle name="SAPBEXstdDataEmph 2 2 10 2" xfId="34205" xr:uid="{04CFE422-543B-4E66-A2B3-B29F78005500}"/>
    <cellStyle name="SAPBEXstdDataEmph 2 2 11" xfId="19478" xr:uid="{3A42A3AF-86FC-4096-B273-D3A822B4FBDF}"/>
    <cellStyle name="SAPBEXstdDataEmph 2 2 11 2" xfId="34206" xr:uid="{87A95C39-6DD6-45DE-9362-C0AA9869FCB9}"/>
    <cellStyle name="SAPBEXstdDataEmph 2 2 12" xfId="19479" xr:uid="{1FB338C1-8D7D-4369-ABDF-326E97EEEADD}"/>
    <cellStyle name="SAPBEXstdDataEmph 2 2 12 2" xfId="34207" xr:uid="{B558297D-9BAF-4E91-9D1A-C4F6BD91310A}"/>
    <cellStyle name="SAPBEXstdDataEmph 2 2 13" xfId="19480" xr:uid="{B31127D4-2737-4E3B-A020-ABE21E7B18E1}"/>
    <cellStyle name="SAPBEXstdDataEmph 2 2 13 2" xfId="34208" xr:uid="{631F5B94-DEEA-41CB-9F65-52ED3A533599}"/>
    <cellStyle name="SAPBEXstdDataEmph 2 2 14" xfId="19481" xr:uid="{47D2DD31-6828-4E5E-BBD4-AE1DB8F980A9}"/>
    <cellStyle name="SAPBEXstdDataEmph 2 2 14 2" xfId="34209" xr:uid="{CFA79FEE-58E4-441D-8E88-0436BA1AC476}"/>
    <cellStyle name="SAPBEXstdDataEmph 2 2 15" xfId="19482" xr:uid="{3A250DFC-43ED-49AF-BA36-407A74A979B7}"/>
    <cellStyle name="SAPBEXstdDataEmph 2 2 15 2" xfId="34210" xr:uid="{367EA5B0-4CAA-487C-95DB-5382FAB86171}"/>
    <cellStyle name="SAPBEXstdDataEmph 2 2 16" xfId="19483" xr:uid="{B9A73E7F-6788-4012-8D7A-A7A68868EB0C}"/>
    <cellStyle name="SAPBEXstdDataEmph 2 2 16 2" xfId="34211" xr:uid="{F20D737C-0B26-47D8-B69C-B79300B848E6}"/>
    <cellStyle name="SAPBEXstdDataEmph 2 2 17" xfId="19484" xr:uid="{83C651FE-DF21-4D71-A54F-163EBBBDE624}"/>
    <cellStyle name="SAPBEXstdDataEmph 2 2 17 2" xfId="34212" xr:uid="{27D2EBF7-2F98-4758-983B-CD11127BE252}"/>
    <cellStyle name="SAPBEXstdDataEmph 2 2 18" xfId="19485" xr:uid="{A3C1D0AA-7371-49F1-93B9-047B036015FE}"/>
    <cellStyle name="SAPBEXstdDataEmph 2 2 18 2" xfId="34213" xr:uid="{2DCD43DF-8315-42B7-80C5-7577402A5AC8}"/>
    <cellStyle name="SAPBEXstdDataEmph 2 2 19" xfId="34204" xr:uid="{3A8FB4B6-5598-4581-AB95-DBB1BAFC8B58}"/>
    <cellStyle name="SAPBEXstdDataEmph 2 2 2" xfId="19486" xr:uid="{AC0549E8-07D1-42F8-99CA-E6905E933D9E}"/>
    <cellStyle name="SAPBEXstdDataEmph 2 2 2 10" xfId="19487" xr:uid="{E2F177E9-BC64-47A1-B1E7-F154CB445B17}"/>
    <cellStyle name="SAPBEXstdDataEmph 2 2 2 10 2" xfId="34215" xr:uid="{8E1A88AC-0B47-4B4A-B8CC-A78604A8C853}"/>
    <cellStyle name="SAPBEXstdDataEmph 2 2 2 11" xfId="19488" xr:uid="{30298659-1E80-43C8-97BB-D01712E5982B}"/>
    <cellStyle name="SAPBEXstdDataEmph 2 2 2 11 2" xfId="34216" xr:uid="{4A2CC3DB-6357-4454-9685-3E9C197E79F6}"/>
    <cellStyle name="SAPBEXstdDataEmph 2 2 2 12" xfId="19489" xr:uid="{308EDA0A-8418-4A0C-87DD-48336D6D7C6C}"/>
    <cellStyle name="SAPBEXstdDataEmph 2 2 2 12 2" xfId="34217" xr:uid="{4CF94DA2-F153-4A14-9BFF-E1446691A62D}"/>
    <cellStyle name="SAPBEXstdDataEmph 2 2 2 13" xfId="19490" xr:uid="{7DED7C70-D145-48F1-8A35-50C0450045B9}"/>
    <cellStyle name="SAPBEXstdDataEmph 2 2 2 13 2" xfId="34218" xr:uid="{0CE5CF5E-490C-4F4D-B8FF-E2B7874D0777}"/>
    <cellStyle name="SAPBEXstdDataEmph 2 2 2 14" xfId="19491" xr:uid="{C2C46F69-0F75-42BF-B0A3-255678FDC138}"/>
    <cellStyle name="SAPBEXstdDataEmph 2 2 2 14 2" xfId="34219" xr:uid="{EB98FF8B-7BE6-4A98-AC40-D8D4DE38C0E9}"/>
    <cellStyle name="SAPBEXstdDataEmph 2 2 2 15" xfId="34214" xr:uid="{5C310B54-2216-414A-97F9-27BD498E5D62}"/>
    <cellStyle name="SAPBEXstdDataEmph 2 2 2 2" xfId="19492" xr:uid="{ECDC6942-9F6E-4F87-A097-5562D94C7B48}"/>
    <cellStyle name="SAPBEXstdDataEmph 2 2 2 2 2" xfId="34220" xr:uid="{2126C75F-D496-4A84-AA0B-8953319C55F2}"/>
    <cellStyle name="SAPBEXstdDataEmph 2 2 2 3" xfId="19493" xr:uid="{0A3FF2B7-E755-4435-8E39-DCE45C1413B3}"/>
    <cellStyle name="SAPBEXstdDataEmph 2 2 2 3 2" xfId="34221" xr:uid="{C9E4B8E6-26A5-44EE-A15D-9E415350D9B7}"/>
    <cellStyle name="SAPBEXstdDataEmph 2 2 2 4" xfId="19494" xr:uid="{4E63EFDB-B309-484B-94A6-B8E10295DA65}"/>
    <cellStyle name="SAPBEXstdDataEmph 2 2 2 4 2" xfId="34222" xr:uid="{233640F0-9116-4EE8-86A3-EDF9BB0790CE}"/>
    <cellStyle name="SAPBEXstdDataEmph 2 2 2 5" xfId="19495" xr:uid="{6041D2DC-DE3C-4F65-AA47-469124511D2E}"/>
    <cellStyle name="SAPBEXstdDataEmph 2 2 2 5 2" xfId="34223" xr:uid="{A9FAA33C-BADB-4743-B524-D453055258EA}"/>
    <cellStyle name="SAPBEXstdDataEmph 2 2 2 6" xfId="19496" xr:uid="{FFE8A634-CBD8-483F-98A7-9BDC3687F9F4}"/>
    <cellStyle name="SAPBEXstdDataEmph 2 2 2 6 2" xfId="34224" xr:uid="{8B2680FE-9916-4912-B89B-3184472CA28F}"/>
    <cellStyle name="SAPBEXstdDataEmph 2 2 2 7" xfId="19497" xr:uid="{BD724F9C-9590-4E1E-99D3-0E4B98D40025}"/>
    <cellStyle name="SAPBEXstdDataEmph 2 2 2 7 2" xfId="34225" xr:uid="{FCEA7188-AD78-43D4-9F4A-300AD2AF6D21}"/>
    <cellStyle name="SAPBEXstdDataEmph 2 2 2 8" xfId="19498" xr:uid="{A8AF39BE-6EC3-487D-A767-1AA2B934B57F}"/>
    <cellStyle name="SAPBEXstdDataEmph 2 2 2 8 2" xfId="34226" xr:uid="{91E4D2A5-7C3D-4EE4-81CD-981ACF3C0624}"/>
    <cellStyle name="SAPBEXstdDataEmph 2 2 2 9" xfId="19499" xr:uid="{4A20E1D2-617E-4F43-A221-F02566BE665D}"/>
    <cellStyle name="SAPBEXstdDataEmph 2 2 2 9 2" xfId="34227" xr:uid="{47F8AC51-14D0-44D7-BCF1-66CEE2931882}"/>
    <cellStyle name="SAPBEXstdDataEmph 2 2 3" xfId="19500" xr:uid="{1DF759A8-0C72-41FB-8C3D-0707E0675A4A}"/>
    <cellStyle name="SAPBEXstdDataEmph 2 2 3 2" xfId="34228" xr:uid="{C7292CA0-E7DC-4440-8B2A-A1015CE951D3}"/>
    <cellStyle name="SAPBEXstdDataEmph 2 2 4" xfId="19501" xr:uid="{97799BD7-BF60-4A23-A408-926C12F12A2C}"/>
    <cellStyle name="SAPBEXstdDataEmph 2 2 4 2" xfId="34229" xr:uid="{25483F39-89C7-4DC3-B4EE-E1E99AA4D315}"/>
    <cellStyle name="SAPBEXstdDataEmph 2 2 5" xfId="19502" xr:uid="{A655E54A-460C-4C75-B898-FD88EDCDCA5D}"/>
    <cellStyle name="SAPBEXstdDataEmph 2 2 5 2" xfId="34230" xr:uid="{2322B7DC-C3B9-4E01-ADF8-F686F3DBA5CC}"/>
    <cellStyle name="SAPBEXstdDataEmph 2 2 6" xfId="19503" xr:uid="{CA478481-29E8-4A0B-9150-F2634B4C9D6D}"/>
    <cellStyle name="SAPBEXstdDataEmph 2 2 6 2" xfId="34231" xr:uid="{2C53C882-003B-405F-9839-D13290DD0BB1}"/>
    <cellStyle name="SAPBEXstdDataEmph 2 2 7" xfId="19504" xr:uid="{73961648-C318-47D5-99B1-8E364B302C7D}"/>
    <cellStyle name="SAPBEXstdDataEmph 2 2 7 2" xfId="34232" xr:uid="{484EFC7F-A5DA-4209-8C09-B05131C63B6E}"/>
    <cellStyle name="SAPBEXstdDataEmph 2 2 8" xfId="19505" xr:uid="{C111299C-6F3D-4106-B68A-FB84140850A1}"/>
    <cellStyle name="SAPBEXstdDataEmph 2 2 8 2" xfId="34233" xr:uid="{D2CD41CE-E6FC-46D0-B196-48FA130EE2E2}"/>
    <cellStyle name="SAPBEXstdDataEmph 2 2 9" xfId="19506" xr:uid="{4BBF6D90-2536-410F-9931-A6DC6C283F0C}"/>
    <cellStyle name="SAPBEXstdDataEmph 2 2 9 2" xfId="34234" xr:uid="{3BA60E50-4517-4BEE-B7B6-D35107B07877}"/>
    <cellStyle name="SAPBEXstdDataEmph 2 20" xfId="34193" xr:uid="{45041C98-78C5-41DC-8F4B-9C1ECE43D721}"/>
    <cellStyle name="SAPBEXstdDataEmph 2 3" xfId="19507" xr:uid="{7FED7F77-2194-4A20-A1C3-CD560F4561FF}"/>
    <cellStyle name="SAPBEXstdDataEmph 2 3 10" xfId="19508" xr:uid="{D39F38D8-71C9-4890-8D3A-9ECF2B66387D}"/>
    <cellStyle name="SAPBEXstdDataEmph 2 3 10 2" xfId="34236" xr:uid="{3544DE72-5351-43C8-B88C-7966EEF0061D}"/>
    <cellStyle name="SAPBEXstdDataEmph 2 3 11" xfId="19509" xr:uid="{5714A999-09CF-4363-A4E1-7C169E9A5238}"/>
    <cellStyle name="SAPBEXstdDataEmph 2 3 11 2" xfId="34237" xr:uid="{6DFFFC06-F465-41E0-98EE-4B951A8C7CA3}"/>
    <cellStyle name="SAPBEXstdDataEmph 2 3 12" xfId="19510" xr:uid="{310CEEEC-EB66-4C97-8DB3-945A4D446D21}"/>
    <cellStyle name="SAPBEXstdDataEmph 2 3 12 2" xfId="34238" xr:uid="{F4E45BA0-82A7-40EB-99DB-7DE4F6877B6E}"/>
    <cellStyle name="SAPBEXstdDataEmph 2 3 13" xfId="19511" xr:uid="{FD20E3F0-211D-4031-8DE2-A0156118D6FF}"/>
    <cellStyle name="SAPBEXstdDataEmph 2 3 13 2" xfId="34239" xr:uid="{A82CF528-AE8A-4448-B29B-5274A2D07391}"/>
    <cellStyle name="SAPBEXstdDataEmph 2 3 14" xfId="19512" xr:uid="{68C9F063-1BD8-4717-A3C8-8F216C4FE61F}"/>
    <cellStyle name="SAPBEXstdDataEmph 2 3 14 2" xfId="34240" xr:uid="{FEF337D0-8BE3-4350-8DB4-298CC1FFA6B0}"/>
    <cellStyle name="SAPBEXstdDataEmph 2 3 15" xfId="34235" xr:uid="{BF5C20EB-0F8F-4118-8570-0C0E46A402ED}"/>
    <cellStyle name="SAPBEXstdDataEmph 2 3 2" xfId="19513" xr:uid="{6C04C182-673C-44D9-91BF-11302D21BB87}"/>
    <cellStyle name="SAPBEXstdDataEmph 2 3 2 2" xfId="34241" xr:uid="{62674125-6787-4EAE-9EF2-F69C9C5176F4}"/>
    <cellStyle name="SAPBEXstdDataEmph 2 3 3" xfId="19514" xr:uid="{3DEB7AA3-3837-4B55-B93A-CAC60CB9508F}"/>
    <cellStyle name="SAPBEXstdDataEmph 2 3 3 2" xfId="34242" xr:uid="{BF63F94E-013F-4995-A86C-187582F8D1FD}"/>
    <cellStyle name="SAPBEXstdDataEmph 2 3 4" xfId="19515" xr:uid="{EEF8C4F1-98AF-4B3B-9EFE-ABCDB203DC47}"/>
    <cellStyle name="SAPBEXstdDataEmph 2 3 4 2" xfId="34243" xr:uid="{AB7D6D76-4F26-45D8-A49B-F5B8214A7A8E}"/>
    <cellStyle name="SAPBEXstdDataEmph 2 3 5" xfId="19516" xr:uid="{59408AFA-DF7D-4AC7-B8A1-5CB7F569FDAA}"/>
    <cellStyle name="SAPBEXstdDataEmph 2 3 5 2" xfId="34244" xr:uid="{66304BD1-2B5C-4ACE-8D65-DF7659ECB166}"/>
    <cellStyle name="SAPBEXstdDataEmph 2 3 6" xfId="19517" xr:uid="{6F13D274-B1B2-446F-8F91-DCA6B1463283}"/>
    <cellStyle name="SAPBEXstdDataEmph 2 3 6 2" xfId="34245" xr:uid="{62D550CC-A61C-4DD8-8A6D-ED7ACD28B019}"/>
    <cellStyle name="SAPBEXstdDataEmph 2 3 7" xfId="19518" xr:uid="{A7B69ADE-797D-4EAA-908B-9A7AB7E01754}"/>
    <cellStyle name="SAPBEXstdDataEmph 2 3 7 2" xfId="34246" xr:uid="{78CCA3F4-D11C-44B2-A0B7-764D4BB8E472}"/>
    <cellStyle name="SAPBEXstdDataEmph 2 3 8" xfId="19519" xr:uid="{4D252D81-69F9-4FAA-AFD0-D93259487682}"/>
    <cellStyle name="SAPBEXstdDataEmph 2 3 8 2" xfId="34247" xr:uid="{968A87C7-1D9D-4B29-8388-CC5CA0A8951F}"/>
    <cellStyle name="SAPBEXstdDataEmph 2 3 9" xfId="19520" xr:uid="{84471D44-3FF3-4E12-8E15-547F47A62ACD}"/>
    <cellStyle name="SAPBEXstdDataEmph 2 3 9 2" xfId="34248" xr:uid="{B8239AA4-8AE6-405E-AB3D-392D02FE4A74}"/>
    <cellStyle name="SAPBEXstdDataEmph 2 4" xfId="19521" xr:uid="{71EB428F-D107-479A-9522-A63B3E814054}"/>
    <cellStyle name="SAPBEXstdDataEmph 2 4 2" xfId="34249" xr:uid="{61C2B452-6ED1-43A0-BF83-13C4DE366B90}"/>
    <cellStyle name="SAPBEXstdDataEmph 2 5" xfId="19522" xr:uid="{46550750-5A7E-474B-8D89-243745E14F31}"/>
    <cellStyle name="SAPBEXstdDataEmph 2 5 2" xfId="34250" xr:uid="{8B79EF8A-60D5-4ACB-9152-04DCF678D79B}"/>
    <cellStyle name="SAPBEXstdDataEmph 2 6" xfId="19523" xr:uid="{8B1A47C2-35D9-499F-A4C3-44BD3AA18BC1}"/>
    <cellStyle name="SAPBEXstdDataEmph 2 6 2" xfId="34251" xr:uid="{8246FD11-A258-4DF2-8360-DBB29CFADC65}"/>
    <cellStyle name="SAPBEXstdDataEmph 2 7" xfId="19524" xr:uid="{D9513B70-0D16-4003-BEE2-6412104D2528}"/>
    <cellStyle name="SAPBEXstdDataEmph 2 7 2" xfId="34252" xr:uid="{7AC3DDF0-755A-41F9-ABA2-BFEB8F471C68}"/>
    <cellStyle name="SAPBEXstdDataEmph 2 8" xfId="19525" xr:uid="{98249F40-B8F8-435D-B6CE-0DD449E14E8D}"/>
    <cellStyle name="SAPBEXstdDataEmph 2 8 2" xfId="34253" xr:uid="{47E28243-7448-4ED7-BDE7-CDA3EBC9A73F}"/>
    <cellStyle name="SAPBEXstdDataEmph 2 9" xfId="19526" xr:uid="{B8284F9C-0E16-455A-B8F3-9611EAE5411B}"/>
    <cellStyle name="SAPBEXstdDataEmph 2 9 2" xfId="34254" xr:uid="{497A67DE-017C-4187-B1BF-49B7FE175B4E}"/>
    <cellStyle name="SAPBEXstdDataEmph 20" xfId="19527" xr:uid="{BDC67ECC-B4F6-4163-B80F-D28A1952236C}"/>
    <cellStyle name="SAPBEXstdDataEmph 20 2" xfId="34255" xr:uid="{F0B93CC4-AB83-4468-8047-A52404FF8833}"/>
    <cellStyle name="SAPBEXstdDataEmph 21" xfId="19528" xr:uid="{816970E8-1B54-452B-85E3-B77FE79C4041}"/>
    <cellStyle name="SAPBEXstdDataEmph 21 2" xfId="34256" xr:uid="{0D432B76-D0C5-4F53-89D4-5DCE281B0FE3}"/>
    <cellStyle name="SAPBEXstdDataEmph 3" xfId="19529" xr:uid="{1707F9C5-85D0-4040-94A0-4C008E85B646}"/>
    <cellStyle name="SAPBEXstdDataEmph 3 2" xfId="19530" xr:uid="{6D259D16-817B-40DE-B57F-DCDE049AC542}"/>
    <cellStyle name="SAPBEXstdDataEmph 3 2 10" xfId="19531" xr:uid="{3195FC31-42C9-4EEC-A105-3E8260F05B74}"/>
    <cellStyle name="SAPBEXstdDataEmph 3 2 10 2" xfId="34259" xr:uid="{C43CEBCB-755A-46ED-92F4-ACA02620EBB5}"/>
    <cellStyle name="SAPBEXstdDataEmph 3 2 11" xfId="19532" xr:uid="{2B69F045-89F2-438D-885A-1EC35354B900}"/>
    <cellStyle name="SAPBEXstdDataEmph 3 2 11 2" xfId="34260" xr:uid="{DFF504B3-1EB0-40CD-81D5-89C23BAA9F1D}"/>
    <cellStyle name="SAPBEXstdDataEmph 3 2 12" xfId="19533" xr:uid="{10D46B04-0075-4E3E-A5E4-D0B957220875}"/>
    <cellStyle name="SAPBEXstdDataEmph 3 2 12 2" xfId="34261" xr:uid="{07DCD6CF-D013-4EE1-A167-95128014575F}"/>
    <cellStyle name="SAPBEXstdDataEmph 3 2 13" xfId="19534" xr:uid="{92F23ACB-81CA-43E5-AF22-DCF7F1B987FF}"/>
    <cellStyle name="SAPBEXstdDataEmph 3 2 13 2" xfId="34262" xr:uid="{2366173D-3EE9-4795-AD29-7E2F9848A7D6}"/>
    <cellStyle name="SAPBEXstdDataEmph 3 2 14" xfId="19535" xr:uid="{5177484D-DCF8-4B05-9254-42A053E12935}"/>
    <cellStyle name="SAPBEXstdDataEmph 3 2 14 2" xfId="34263" xr:uid="{135690D6-0943-4AC1-A563-31040A52BB17}"/>
    <cellStyle name="SAPBEXstdDataEmph 3 2 15" xfId="34258" xr:uid="{2476BE37-6B97-4D4E-B09A-F530BEBE7640}"/>
    <cellStyle name="SAPBEXstdDataEmph 3 2 2" xfId="19536" xr:uid="{0682178E-7DDF-4631-BBA7-DA41114A5B66}"/>
    <cellStyle name="SAPBEXstdDataEmph 3 2 2 2" xfId="34264" xr:uid="{BC14C78C-D663-4C4D-9ACD-8DCC3B97D297}"/>
    <cellStyle name="SAPBEXstdDataEmph 3 2 3" xfId="19537" xr:uid="{766A8FF8-0186-4BBB-A27D-69920444A11F}"/>
    <cellStyle name="SAPBEXstdDataEmph 3 2 3 2" xfId="34265" xr:uid="{DE43C813-3123-4C81-8954-16F4C5A313FE}"/>
    <cellStyle name="SAPBEXstdDataEmph 3 2 4" xfId="19538" xr:uid="{4A2AD2BB-C144-4C38-805E-2C6DEE4EA68B}"/>
    <cellStyle name="SAPBEXstdDataEmph 3 2 4 2" xfId="34266" xr:uid="{DEBBD8D6-81B7-467B-B218-374C15D009EB}"/>
    <cellStyle name="SAPBEXstdDataEmph 3 2 5" xfId="19539" xr:uid="{3E7999AD-8098-43AF-A06D-B943D452F9F9}"/>
    <cellStyle name="SAPBEXstdDataEmph 3 2 5 2" xfId="34267" xr:uid="{2615F625-69CD-4BB6-8620-189B4C103F12}"/>
    <cellStyle name="SAPBEXstdDataEmph 3 2 6" xfId="19540" xr:uid="{90D41224-0515-432A-BE82-79DBE1E3FCB4}"/>
    <cellStyle name="SAPBEXstdDataEmph 3 2 6 2" xfId="34268" xr:uid="{11BA184D-441F-4DEE-98E7-093770E715E9}"/>
    <cellStyle name="SAPBEXstdDataEmph 3 2 7" xfId="19541" xr:uid="{73F28E69-FBB6-4EB9-BBA7-0BBB15C1D91B}"/>
    <cellStyle name="SAPBEXstdDataEmph 3 2 7 2" xfId="34269" xr:uid="{C93B8E69-9A7A-43F9-8C99-123C80CA3515}"/>
    <cellStyle name="SAPBEXstdDataEmph 3 2 8" xfId="19542" xr:uid="{E4BFC3EA-1ADC-41DD-AD53-46D1C8DD3BE4}"/>
    <cellStyle name="SAPBEXstdDataEmph 3 2 8 2" xfId="34270" xr:uid="{5E240D8E-1EE9-4059-A4AE-37D61C985DBB}"/>
    <cellStyle name="SAPBEXstdDataEmph 3 2 9" xfId="19543" xr:uid="{757C87D8-E24E-433B-96BA-D35EF4D5347A}"/>
    <cellStyle name="SAPBEXstdDataEmph 3 2 9 2" xfId="34271" xr:uid="{BBC45B9A-32F4-47E3-B881-70EC9C18083A}"/>
    <cellStyle name="SAPBEXstdDataEmph 3 3" xfId="19544" xr:uid="{A272244D-357D-4649-9967-617504731477}"/>
    <cellStyle name="SAPBEXstdDataEmph 3 4" xfId="34257" xr:uid="{EF6C877D-444E-49C3-BACA-15A5EB1A26FA}"/>
    <cellStyle name="SAPBEXstdDataEmph 4" xfId="19545" xr:uid="{EEF65EF8-E15E-445C-BC44-8EBE5546227A}"/>
    <cellStyle name="SAPBEXstdDataEmph 5" xfId="19546" xr:uid="{BBA946DF-2E0F-4A55-A6F0-DC0DFA20233A}"/>
    <cellStyle name="SAPBEXstdDataEmph 5 10" xfId="19547" xr:uid="{72993573-6190-4ADF-8708-FF13C75EC805}"/>
    <cellStyle name="SAPBEXstdDataEmph 5 10 2" xfId="34273" xr:uid="{BB5E8DAB-B85B-4D36-B199-8C46172DF968}"/>
    <cellStyle name="SAPBEXstdDataEmph 5 11" xfId="19548" xr:uid="{4D117D23-BEC1-4611-9EC6-0A12773B2DC0}"/>
    <cellStyle name="SAPBEXstdDataEmph 5 11 2" xfId="34274" xr:uid="{114D92A7-E3BB-4F62-8794-FB587AD8988B}"/>
    <cellStyle name="SAPBEXstdDataEmph 5 12" xfId="19549" xr:uid="{AC7E182F-1FAC-4678-BDEF-BD836A71DB14}"/>
    <cellStyle name="SAPBEXstdDataEmph 5 12 2" xfId="34275" xr:uid="{EDF66650-DDAD-4218-8DCF-5F25B4EA1427}"/>
    <cellStyle name="SAPBEXstdDataEmph 5 13" xfId="19550" xr:uid="{BD9EBE3B-CF3F-40C8-8436-61E82DDEC86A}"/>
    <cellStyle name="SAPBEXstdDataEmph 5 13 2" xfId="34276" xr:uid="{91657E8D-BB56-42A1-AD9D-73AB5BBFA799}"/>
    <cellStyle name="SAPBEXstdDataEmph 5 14" xfId="19551" xr:uid="{6A94174C-9172-4189-A0A1-3A2BF4127D12}"/>
    <cellStyle name="SAPBEXstdDataEmph 5 14 2" xfId="34277" xr:uid="{F1DEE74A-11EE-4C84-A945-577AC0158D17}"/>
    <cellStyle name="SAPBEXstdDataEmph 5 15" xfId="34272" xr:uid="{0ED85176-8D32-48CB-AFEF-88F257B4CFD7}"/>
    <cellStyle name="SAPBEXstdDataEmph 5 2" xfId="19552" xr:uid="{A6C5AE6C-0251-4E0B-99FC-EE48D84A8216}"/>
    <cellStyle name="SAPBEXstdDataEmph 5 2 2" xfId="34278" xr:uid="{5E1C30D2-2D8F-4036-91BB-B954757B6456}"/>
    <cellStyle name="SAPBEXstdDataEmph 5 3" xfId="19553" xr:uid="{72ACB829-FF5E-463D-A234-FE593BF6E043}"/>
    <cellStyle name="SAPBEXstdDataEmph 5 3 2" xfId="34279" xr:uid="{CD8F702A-C42D-45B5-8889-ADA14DD6ADF0}"/>
    <cellStyle name="SAPBEXstdDataEmph 5 4" xfId="19554" xr:uid="{2FE1B68E-CC59-41F3-B831-2C840AF3036C}"/>
    <cellStyle name="SAPBEXstdDataEmph 5 4 2" xfId="34280" xr:uid="{76B0C722-C2AF-4C0F-BC7B-D34306338CFA}"/>
    <cellStyle name="SAPBEXstdDataEmph 5 5" xfId="19555" xr:uid="{990C7C92-3E28-4CB2-94EC-F344FA0EBBBB}"/>
    <cellStyle name="SAPBEXstdDataEmph 5 5 2" xfId="34281" xr:uid="{FF4B3991-757F-4301-ABF1-1FE1D6BEEE41}"/>
    <cellStyle name="SAPBEXstdDataEmph 5 6" xfId="19556" xr:uid="{C6DAC54B-3207-435C-967F-1C3125063033}"/>
    <cellStyle name="SAPBEXstdDataEmph 5 6 2" xfId="34282" xr:uid="{EEBFB231-B82F-46D6-87C3-87BD3C7138C5}"/>
    <cellStyle name="SAPBEXstdDataEmph 5 7" xfId="19557" xr:uid="{E1931F20-0E81-40BA-BECC-4FE87A162EBB}"/>
    <cellStyle name="SAPBEXstdDataEmph 5 7 2" xfId="34283" xr:uid="{D4C9B446-0D66-43AB-9AAA-5CB3480CC7BE}"/>
    <cellStyle name="SAPBEXstdDataEmph 5 8" xfId="19558" xr:uid="{DE643A40-1FEE-4614-9ABC-1FDC4022951F}"/>
    <cellStyle name="SAPBEXstdDataEmph 5 8 2" xfId="34284" xr:uid="{1B4C4530-4592-4BE2-83AC-814B891B9D8B}"/>
    <cellStyle name="SAPBEXstdDataEmph 5 9" xfId="19559" xr:uid="{EC0BCE72-6ADD-488B-9320-EE8B62A7470F}"/>
    <cellStyle name="SAPBEXstdDataEmph 5 9 2" xfId="34285" xr:uid="{EA495486-C0FF-4D49-BF97-8F33ADDABFD8}"/>
    <cellStyle name="SAPBEXstdDataEmph 6" xfId="19560" xr:uid="{07DCAC07-AE2F-47EB-AF57-D55F65459835}"/>
    <cellStyle name="SAPBEXstdDataEmph 6 2" xfId="34286" xr:uid="{D252CF02-F4CD-451C-BC58-134A5CD3F434}"/>
    <cellStyle name="SAPBEXstdDataEmph 7" xfId="19561" xr:uid="{5A68781E-4576-4A5E-AC7B-2AE481E3381F}"/>
    <cellStyle name="SAPBEXstdDataEmph 7 2" xfId="34287" xr:uid="{59D549FD-114B-4EA7-BC2D-23064C8D387B}"/>
    <cellStyle name="SAPBEXstdDataEmph 8" xfId="19562" xr:uid="{CC03B8EF-A81F-4F30-8416-1ED6C1896B82}"/>
    <cellStyle name="SAPBEXstdDataEmph 8 2" xfId="34288" xr:uid="{EE896D08-D32C-45CC-AD9C-2B47600C7E02}"/>
    <cellStyle name="SAPBEXstdDataEmph 9" xfId="19563" xr:uid="{5839F4F0-DDB0-4833-A068-34CB4237F3F8}"/>
    <cellStyle name="SAPBEXstdDataEmph 9 2" xfId="34289" xr:uid="{B244861F-D593-4E69-9A89-C4BDB6AE5CA3}"/>
    <cellStyle name="SAPBEXstdItem" xfId="19564" xr:uid="{71FC9A7C-C3E3-4E83-BBB6-D2F21A2BF777}"/>
    <cellStyle name="SAPBEXstdItem 10" xfId="19565" xr:uid="{1605F3D1-FD0D-4554-B7D8-9252A3591D57}"/>
    <cellStyle name="SAPBEXstdItem 10 2" xfId="34291" xr:uid="{665BC6E9-4474-4F3E-8069-08C721506979}"/>
    <cellStyle name="SAPBEXstdItem 11" xfId="19566" xr:uid="{DD6325D4-03BC-432F-957F-651808B28FFF}"/>
    <cellStyle name="SAPBEXstdItem 11 2" xfId="34292" xr:uid="{0CA300E1-7300-4BCC-BC5C-200EE31470F6}"/>
    <cellStyle name="SAPBEXstdItem 12" xfId="19567" xr:uid="{0B685976-F383-498C-891A-970A0CE2E44B}"/>
    <cellStyle name="SAPBEXstdItem 12 2" xfId="34293" xr:uid="{701D41EE-74A3-4561-B268-74D4E10B0CFC}"/>
    <cellStyle name="SAPBEXstdItem 13" xfId="19568" xr:uid="{ACF5FA59-A50D-4100-A813-174EEB392B82}"/>
    <cellStyle name="SAPBEXstdItem 13 2" xfId="34294" xr:uid="{F83D22B6-CFD7-4014-8A0E-DD32DE3B6FB3}"/>
    <cellStyle name="SAPBEXstdItem 14" xfId="19569" xr:uid="{F34BD976-301E-41B8-9F68-7FE8573B2A78}"/>
    <cellStyle name="SAPBEXstdItem 14 2" xfId="34295" xr:uid="{006B1DCF-A8AC-4EFE-A606-670AF0FCF887}"/>
    <cellStyle name="SAPBEXstdItem 15" xfId="19570" xr:uid="{4164C1F7-8FA8-41E9-A081-0B21DF79536F}"/>
    <cellStyle name="SAPBEXstdItem 15 2" xfId="34296" xr:uid="{555F60CF-2D81-4F3F-951A-E46086E6222C}"/>
    <cellStyle name="SAPBEXstdItem 16" xfId="19571" xr:uid="{D457443A-EAF5-4D02-9AE8-D73DB3E4E0E2}"/>
    <cellStyle name="SAPBEXstdItem 16 2" xfId="34297" xr:uid="{B8BA2F64-756E-43A1-B4A9-D7AB228FF9AD}"/>
    <cellStyle name="SAPBEXstdItem 17" xfId="19572" xr:uid="{1C48C94A-ED8D-4605-A035-A9ED0ABFFDC9}"/>
    <cellStyle name="SAPBEXstdItem 17 2" xfId="34298" xr:uid="{C3FB24A9-5AD9-4755-8913-005296F02B62}"/>
    <cellStyle name="SAPBEXstdItem 18" xfId="19573" xr:uid="{6DE33D15-8D1F-4D58-9CB1-5855B4BAEB25}"/>
    <cellStyle name="SAPBEXstdItem 18 2" xfId="34299" xr:uid="{B5065CC9-0E46-4029-9172-2DA3D8AD71E4}"/>
    <cellStyle name="SAPBEXstdItem 19" xfId="19574" xr:uid="{ABF7F274-CCB9-4B13-9BFD-B2A712A815F4}"/>
    <cellStyle name="SAPBEXstdItem 19 2" xfId="34300" xr:uid="{6CFF5D32-D273-4E5A-A1E4-C7BA93D27DE3}"/>
    <cellStyle name="SAPBEXstdItem 2" xfId="19575" xr:uid="{5D7B375C-45B8-4CBB-9B05-D6E8374F9271}"/>
    <cellStyle name="SAPBEXstdItem 2 10" xfId="19576" xr:uid="{B2271620-ADF6-4560-AC54-2D46C167B360}"/>
    <cellStyle name="SAPBEXstdItem 2 10 2" xfId="34302" xr:uid="{A523CE2D-F3BF-4D64-9B14-8FF4E0E02B14}"/>
    <cellStyle name="SAPBEXstdItem 2 11" xfId="19577" xr:uid="{C4DD2B5C-8428-4B48-AAC2-6D8ABA31D23D}"/>
    <cellStyle name="SAPBEXstdItem 2 11 2" xfId="34303" xr:uid="{8879EC6E-ABBA-4476-8DBB-F67E9579373A}"/>
    <cellStyle name="SAPBEXstdItem 2 12" xfId="19578" xr:uid="{D114D7E2-2CAC-429F-B624-18204C8B724B}"/>
    <cellStyle name="SAPBEXstdItem 2 12 2" xfId="34304" xr:uid="{2A7CB767-F1BF-427D-B6CE-C1417F677D9B}"/>
    <cellStyle name="SAPBEXstdItem 2 13" xfId="19579" xr:uid="{6EF7CC1E-F072-485B-999F-72CE42435FFB}"/>
    <cellStyle name="SAPBEXstdItem 2 13 2" xfId="34305" xr:uid="{CF373E78-A9B2-407F-974C-38C8FC69239E}"/>
    <cellStyle name="SAPBEXstdItem 2 14" xfId="19580" xr:uid="{D6CF53D2-266A-472B-AD2B-6A0CDEA577BA}"/>
    <cellStyle name="SAPBEXstdItem 2 14 2" xfId="34306" xr:uid="{F40E89D4-1F6F-49AD-B1D8-08EA5663967A}"/>
    <cellStyle name="SAPBEXstdItem 2 15" xfId="19581" xr:uid="{11C86D59-9521-439C-AA92-1DA58CDDB374}"/>
    <cellStyle name="SAPBEXstdItem 2 15 2" xfId="34307" xr:uid="{5C10967D-E65D-456C-8460-E0E2843C5A4C}"/>
    <cellStyle name="SAPBEXstdItem 2 16" xfId="19582" xr:uid="{4ABA16CE-482B-4936-956C-FAE63EE82619}"/>
    <cellStyle name="SAPBEXstdItem 2 16 2" xfId="34308" xr:uid="{40DC5093-D3A8-4C34-8E00-9D3C39595D69}"/>
    <cellStyle name="SAPBEXstdItem 2 17" xfId="19583" xr:uid="{A0A78CEE-F510-4555-8B17-E1940A738131}"/>
    <cellStyle name="SAPBEXstdItem 2 17 2" xfId="34309" xr:uid="{CA052B04-2536-4CCA-BB12-B9BF8E6AA8AD}"/>
    <cellStyle name="SAPBEXstdItem 2 18" xfId="19584" xr:uid="{1A665AF5-CC2F-4CF3-BA6B-27DD696DEDF3}"/>
    <cellStyle name="SAPBEXstdItem 2 18 2" xfId="34310" xr:uid="{3A4BF654-1F25-4313-88FF-DA7E4512B79D}"/>
    <cellStyle name="SAPBEXstdItem 2 19" xfId="19585" xr:uid="{5D6E54C2-600F-4AD2-988E-9CD6B2A5FBFA}"/>
    <cellStyle name="SAPBEXstdItem 2 19 2" xfId="34311" xr:uid="{EB13382D-9011-4196-859A-45693A460B6D}"/>
    <cellStyle name="SAPBEXstdItem 2 2" xfId="19586" xr:uid="{04388283-9E18-4FD8-BAB9-0BAC87DE5241}"/>
    <cellStyle name="SAPBEXstdItem 2 2 10" xfId="19587" xr:uid="{2D9FABA7-F6A2-4D3D-941C-CBC225B7E575}"/>
    <cellStyle name="SAPBEXstdItem 2 2 10 2" xfId="34313" xr:uid="{BA2DF698-E157-4085-979B-6CA4FC4DF8ED}"/>
    <cellStyle name="SAPBEXstdItem 2 2 11" xfId="19588" xr:uid="{928008A9-0E42-4FAE-9A50-B5EF2E613334}"/>
    <cellStyle name="SAPBEXstdItem 2 2 11 2" xfId="34314" xr:uid="{27DB14D3-6D6F-482B-809B-5550B9DB0E86}"/>
    <cellStyle name="SAPBEXstdItem 2 2 12" xfId="19589" xr:uid="{BC4FF648-F4CC-454F-ACD5-98A464F15BD0}"/>
    <cellStyle name="SAPBEXstdItem 2 2 12 2" xfId="34315" xr:uid="{95E24914-4C19-49DB-9511-FC6D7ADB45DD}"/>
    <cellStyle name="SAPBEXstdItem 2 2 13" xfId="19590" xr:uid="{D65E6AC2-997D-4A83-8E08-A92B8D0721A8}"/>
    <cellStyle name="SAPBEXstdItem 2 2 13 2" xfId="34316" xr:uid="{E91CE422-14D8-420E-B12B-28E4A0989396}"/>
    <cellStyle name="SAPBEXstdItem 2 2 14" xfId="19591" xr:uid="{5B6D2288-83DB-41D2-A368-2DB465048DB6}"/>
    <cellStyle name="SAPBEXstdItem 2 2 14 2" xfId="34317" xr:uid="{74D17BF2-2E0E-4E39-8A0C-64D91A0D68F6}"/>
    <cellStyle name="SAPBEXstdItem 2 2 15" xfId="19592" xr:uid="{F934B243-519D-41B5-A489-5DE9C5B74C49}"/>
    <cellStyle name="SAPBEXstdItem 2 2 15 2" xfId="34318" xr:uid="{4AC0C784-2054-4285-B0CF-FB78D3B3C12E}"/>
    <cellStyle name="SAPBEXstdItem 2 2 16" xfId="19593" xr:uid="{B38C2AC0-9B89-43CA-8B19-5CF738C445FA}"/>
    <cellStyle name="SAPBEXstdItem 2 2 16 2" xfId="34319" xr:uid="{A50B2CE3-8A20-4C8C-800D-164639E7982C}"/>
    <cellStyle name="SAPBEXstdItem 2 2 17" xfId="19594" xr:uid="{4C95645D-88C0-4731-8871-5FF65399CE6A}"/>
    <cellStyle name="SAPBEXstdItem 2 2 17 2" xfId="34320" xr:uid="{F74C140B-B361-4F3C-BF6A-C7D19CD5BB45}"/>
    <cellStyle name="SAPBEXstdItem 2 2 18" xfId="19595" xr:uid="{FE213A64-C8B8-4EF1-86AE-12B137D27230}"/>
    <cellStyle name="SAPBEXstdItem 2 2 18 2" xfId="34321" xr:uid="{FAC5DA6B-A4F4-4FD4-9D47-C949AACDDFFA}"/>
    <cellStyle name="SAPBEXstdItem 2 2 19" xfId="34312" xr:uid="{88900C2A-EF76-402B-9E5C-A2B77A8479F6}"/>
    <cellStyle name="SAPBEXstdItem 2 2 2" xfId="19596" xr:uid="{8E900E87-9F25-4450-91B8-D5439A64CAF3}"/>
    <cellStyle name="SAPBEXstdItem 2 2 2 10" xfId="19597" xr:uid="{2E6EB4E3-CEDC-4ED6-AA83-A91CE2D0692B}"/>
    <cellStyle name="SAPBEXstdItem 2 2 2 10 2" xfId="34323" xr:uid="{A47AE279-7692-4DC1-859A-893D5AD5A794}"/>
    <cellStyle name="SAPBEXstdItem 2 2 2 11" xfId="19598" xr:uid="{FD4808C8-A5E8-4DEF-9CD2-51D4C32F8B5D}"/>
    <cellStyle name="SAPBEXstdItem 2 2 2 11 2" xfId="34324" xr:uid="{3B97707F-6759-4522-A47E-C81A13E48D4A}"/>
    <cellStyle name="SAPBEXstdItem 2 2 2 12" xfId="19599" xr:uid="{BF06C1BE-E5A2-4583-A9CD-5954EBA1ECAA}"/>
    <cellStyle name="SAPBEXstdItem 2 2 2 12 2" xfId="34325" xr:uid="{2F7168A6-180C-41A1-A9BC-DB564CAFF19C}"/>
    <cellStyle name="SAPBEXstdItem 2 2 2 13" xfId="19600" xr:uid="{34E6C24A-A63E-42B8-AEF4-EE821DE02D13}"/>
    <cellStyle name="SAPBEXstdItem 2 2 2 13 2" xfId="34326" xr:uid="{23876D3C-AA56-4BFC-939C-1F77DF2C1976}"/>
    <cellStyle name="SAPBEXstdItem 2 2 2 14" xfId="19601" xr:uid="{470BC46D-5DCF-4914-B5C6-A97EEF92CA37}"/>
    <cellStyle name="SAPBEXstdItem 2 2 2 14 2" xfId="34327" xr:uid="{B117721F-2A06-4475-915B-A2A771CF82A8}"/>
    <cellStyle name="SAPBEXstdItem 2 2 2 15" xfId="34322" xr:uid="{1545144D-22AA-42CA-88E4-6199BDCD2C46}"/>
    <cellStyle name="SAPBEXstdItem 2 2 2 2" xfId="19602" xr:uid="{D613DD84-3582-48C4-913A-9C023A4ABD1F}"/>
    <cellStyle name="SAPBEXstdItem 2 2 2 2 2" xfId="34328" xr:uid="{932C7246-4586-4518-9F78-01A423E7E495}"/>
    <cellStyle name="SAPBEXstdItem 2 2 2 3" xfId="19603" xr:uid="{D90ECD9A-EFB7-4FD6-BE9D-77AD5CB3DC04}"/>
    <cellStyle name="SAPBEXstdItem 2 2 2 3 2" xfId="34329" xr:uid="{30432BD0-8CC0-4537-9DC2-9E83F0855608}"/>
    <cellStyle name="SAPBEXstdItem 2 2 2 4" xfId="19604" xr:uid="{8BD8C561-EE52-4F16-A5C8-57FF56246728}"/>
    <cellStyle name="SAPBEXstdItem 2 2 2 4 2" xfId="34330" xr:uid="{FE6A2F4D-CD09-413C-B4E6-C35484431D14}"/>
    <cellStyle name="SAPBEXstdItem 2 2 2 5" xfId="19605" xr:uid="{86C2E8A3-A8E3-42A7-9C39-7017F9A81441}"/>
    <cellStyle name="SAPBEXstdItem 2 2 2 5 2" xfId="34331" xr:uid="{32B06F5F-6760-45C7-8115-3F2E487D206C}"/>
    <cellStyle name="SAPBEXstdItem 2 2 2 6" xfId="19606" xr:uid="{5636A965-4DD9-4541-8337-94CAE21E4611}"/>
    <cellStyle name="SAPBEXstdItem 2 2 2 6 2" xfId="34332" xr:uid="{9C2EA41C-64EA-473C-9230-358E8E32A4CF}"/>
    <cellStyle name="SAPBEXstdItem 2 2 2 7" xfId="19607" xr:uid="{5E3CB850-2142-43E0-9E02-7B1148712900}"/>
    <cellStyle name="SAPBEXstdItem 2 2 2 7 2" xfId="34333" xr:uid="{238B6F28-60B9-4639-908F-7A1B021B5440}"/>
    <cellStyle name="SAPBEXstdItem 2 2 2 8" xfId="19608" xr:uid="{E723E640-E640-4C51-A8A6-2F3259B48974}"/>
    <cellStyle name="SAPBEXstdItem 2 2 2 8 2" xfId="34334" xr:uid="{E3AC5958-65C3-4957-B471-F314389E364E}"/>
    <cellStyle name="SAPBEXstdItem 2 2 2 9" xfId="19609" xr:uid="{6FE24053-A4B9-4101-A03A-BC9E5A549CEB}"/>
    <cellStyle name="SAPBEXstdItem 2 2 2 9 2" xfId="34335" xr:uid="{1DC3EC5F-368A-423F-8B34-9B284D00B093}"/>
    <cellStyle name="SAPBEXstdItem 2 2 3" xfId="19610" xr:uid="{83605D45-58CC-4495-926F-37D553E1D25B}"/>
    <cellStyle name="SAPBEXstdItem 2 2 3 2" xfId="34336" xr:uid="{99849803-A2C5-4701-AF79-E78433A1A9BE}"/>
    <cellStyle name="SAPBEXstdItem 2 2 4" xfId="19611" xr:uid="{EF625C02-5B75-4393-A060-1AF0C2A086CD}"/>
    <cellStyle name="SAPBEXstdItem 2 2 4 2" xfId="34337" xr:uid="{FF22CAA9-5569-4155-9B66-E75A79A53CF0}"/>
    <cellStyle name="SAPBEXstdItem 2 2 5" xfId="19612" xr:uid="{A37AB38C-717B-48A6-8D36-F4251C5BDB10}"/>
    <cellStyle name="SAPBEXstdItem 2 2 5 2" xfId="34338" xr:uid="{8E1A90C5-3546-4A65-895F-11D5826C7B45}"/>
    <cellStyle name="SAPBEXstdItem 2 2 6" xfId="19613" xr:uid="{7FD9A446-207C-4D4C-BC74-735202F24AD3}"/>
    <cellStyle name="SAPBEXstdItem 2 2 6 2" xfId="34339" xr:uid="{D048D9A5-CEB3-476E-97DC-6CBF9280050C}"/>
    <cellStyle name="SAPBEXstdItem 2 2 7" xfId="19614" xr:uid="{99CF0273-773E-4915-B105-D04431419E19}"/>
    <cellStyle name="SAPBEXstdItem 2 2 7 2" xfId="34340" xr:uid="{2468E518-AD5E-49FB-AA2A-B8A63DCAF811}"/>
    <cellStyle name="SAPBEXstdItem 2 2 8" xfId="19615" xr:uid="{8BF786E5-FA8E-4C65-AD69-3B743D4B990D}"/>
    <cellStyle name="SAPBEXstdItem 2 2 8 2" xfId="34341" xr:uid="{87F2598A-D7A2-4762-8D0E-EE81218A9740}"/>
    <cellStyle name="SAPBEXstdItem 2 2 9" xfId="19616" xr:uid="{5489312D-A999-4F5C-958C-E86806F6DDDB}"/>
    <cellStyle name="SAPBEXstdItem 2 2 9 2" xfId="34342" xr:uid="{B14DAA65-8462-4F33-BDF8-493B13DF6EE7}"/>
    <cellStyle name="SAPBEXstdItem 2 20" xfId="34301" xr:uid="{238715BA-D760-4A9E-AE1E-D43DEC12FC74}"/>
    <cellStyle name="SAPBEXstdItem 2 3" xfId="19617" xr:uid="{9C7B24F8-CD8F-417D-B7ED-477BDD20E6D8}"/>
    <cellStyle name="SAPBEXstdItem 2 3 10" xfId="19618" xr:uid="{19948259-9ADC-479F-9358-E140B6D69057}"/>
    <cellStyle name="SAPBEXstdItem 2 3 10 2" xfId="34344" xr:uid="{E01FCBD3-F9EC-4A5C-9C3E-6BA792543C03}"/>
    <cellStyle name="SAPBEXstdItem 2 3 11" xfId="19619" xr:uid="{3E1AA629-3923-4AA0-ABAB-BCDAA4210CE3}"/>
    <cellStyle name="SAPBEXstdItem 2 3 11 2" xfId="34345" xr:uid="{FF4E2E8C-E20C-4AAC-BA71-8B151A83643B}"/>
    <cellStyle name="SAPBEXstdItem 2 3 12" xfId="19620" xr:uid="{4A3C7D62-CA9C-4D4D-8E5D-98559DC323BC}"/>
    <cellStyle name="SAPBEXstdItem 2 3 12 2" xfId="34346" xr:uid="{C40E7AA8-0728-4F82-9C94-ACF4B610B9E6}"/>
    <cellStyle name="SAPBEXstdItem 2 3 13" xfId="19621" xr:uid="{A398FF5E-8BB5-4E13-BFF7-B3655C11232E}"/>
    <cellStyle name="SAPBEXstdItem 2 3 13 2" xfId="34347" xr:uid="{87AA2020-75C1-4CB5-AC3A-B58B4A1B2195}"/>
    <cellStyle name="SAPBEXstdItem 2 3 14" xfId="19622" xr:uid="{D2EFAD0A-8873-474C-9936-90E91CCBE6B9}"/>
    <cellStyle name="SAPBEXstdItem 2 3 14 2" xfId="34348" xr:uid="{47B2E379-F6F7-4F64-A227-61677D620D55}"/>
    <cellStyle name="SAPBEXstdItem 2 3 15" xfId="34343" xr:uid="{C908D107-A37C-4B95-B2BF-C694D9E4631F}"/>
    <cellStyle name="SAPBEXstdItem 2 3 2" xfId="19623" xr:uid="{1E9B9E20-4A3C-4BC9-A1B0-B9C0C21DAB7D}"/>
    <cellStyle name="SAPBEXstdItem 2 3 2 2" xfId="34349" xr:uid="{8B172142-66E7-4080-90AC-60CE08A1F16D}"/>
    <cellStyle name="SAPBEXstdItem 2 3 3" xfId="19624" xr:uid="{2C17CB3D-9614-4273-973C-75F42B1DD586}"/>
    <cellStyle name="SAPBEXstdItem 2 3 3 2" xfId="34350" xr:uid="{4A0E63B4-87E9-4C03-A0F3-FCA74CB8F464}"/>
    <cellStyle name="SAPBEXstdItem 2 3 4" xfId="19625" xr:uid="{19F87335-1A41-458E-A3C5-887E648770BB}"/>
    <cellStyle name="SAPBEXstdItem 2 3 4 2" xfId="34351" xr:uid="{7D862653-B0A3-43C1-834C-EC4606CE7AE6}"/>
    <cellStyle name="SAPBEXstdItem 2 3 5" xfId="19626" xr:uid="{7F6834A7-6CFA-4CEE-8C87-D1D5323AA765}"/>
    <cellStyle name="SAPBEXstdItem 2 3 5 2" xfId="34352" xr:uid="{705685FD-0B40-4F86-A1CB-54045C3FE505}"/>
    <cellStyle name="SAPBEXstdItem 2 3 6" xfId="19627" xr:uid="{8229FB69-AFA0-4B48-9385-35F327116C1B}"/>
    <cellStyle name="SAPBEXstdItem 2 3 6 2" xfId="34353" xr:uid="{2A8326D7-C4F9-4CFC-B0AB-2640E0E464C3}"/>
    <cellStyle name="SAPBEXstdItem 2 3 7" xfId="19628" xr:uid="{4167E18F-4CB5-4762-8A25-D5E527F1BC8F}"/>
    <cellStyle name="SAPBEXstdItem 2 3 7 2" xfId="34354" xr:uid="{1F6FD84F-3103-43A7-9311-D5EA5DA7CAD9}"/>
    <cellStyle name="SAPBEXstdItem 2 3 8" xfId="19629" xr:uid="{9F146722-8266-4590-B317-3EC9067AC9DD}"/>
    <cellStyle name="SAPBEXstdItem 2 3 8 2" xfId="34355" xr:uid="{96E82757-EB03-42D9-A6F3-FD406BEDF353}"/>
    <cellStyle name="SAPBEXstdItem 2 3 9" xfId="19630" xr:uid="{54057F0F-818D-4B75-8E7B-DA382F3FEA57}"/>
    <cellStyle name="SAPBEXstdItem 2 3 9 2" xfId="34356" xr:uid="{706033F1-2CFD-4B31-A9FA-B0A47D91206E}"/>
    <cellStyle name="SAPBEXstdItem 2 4" xfId="19631" xr:uid="{EEA0B2DA-05B5-408D-B1C4-F11ABA436722}"/>
    <cellStyle name="SAPBEXstdItem 2 4 2" xfId="34357" xr:uid="{0FE9AD29-522D-4B45-8259-F111E96D60D6}"/>
    <cellStyle name="SAPBEXstdItem 2 5" xfId="19632" xr:uid="{DEB94DE9-6CD5-49BE-97F4-D382BD05B801}"/>
    <cellStyle name="SAPBEXstdItem 2 5 2" xfId="34358" xr:uid="{0BB93AD9-05CB-4891-9A4D-2555734FF886}"/>
    <cellStyle name="SAPBEXstdItem 2 6" xfId="19633" xr:uid="{A15C2EAF-7BE6-4466-904B-B874D8352A8B}"/>
    <cellStyle name="SAPBEXstdItem 2 6 2" xfId="34359" xr:uid="{3210D54C-B5F6-4AB1-B69A-5CA9A16B0118}"/>
    <cellStyle name="SAPBEXstdItem 2 7" xfId="19634" xr:uid="{5352C980-010A-4D5F-AF1D-FEA8EE25DA5B}"/>
    <cellStyle name="SAPBEXstdItem 2 7 2" xfId="34360" xr:uid="{A1BE5508-357F-4CDB-96B0-535462E1FDE2}"/>
    <cellStyle name="SAPBEXstdItem 2 8" xfId="19635" xr:uid="{30B32385-4347-4CBF-9C3B-347511D87B69}"/>
    <cellStyle name="SAPBEXstdItem 2 8 2" xfId="34361" xr:uid="{41AFE1B3-93AC-4722-9A67-9C68C1828C3B}"/>
    <cellStyle name="SAPBEXstdItem 2 9" xfId="19636" xr:uid="{9667BC3E-8BED-4E29-A2C4-AD430BA5F6EF}"/>
    <cellStyle name="SAPBEXstdItem 2 9 2" xfId="34362" xr:uid="{0F0647DC-0CB7-4016-998B-6D6E38F6F724}"/>
    <cellStyle name="SAPBEXstdItem 20" xfId="19637" xr:uid="{42C44F8E-1F59-40B5-8950-B210DA195CED}"/>
    <cellStyle name="SAPBEXstdItem 20 2" xfId="34363" xr:uid="{5E24CA9B-2C83-43AC-8135-57A70C92AFAA}"/>
    <cellStyle name="SAPBEXstdItem 21" xfId="19638" xr:uid="{45444032-1AFD-4FB1-B361-B742200895C7}"/>
    <cellStyle name="SAPBEXstdItem 21 2" xfId="34364" xr:uid="{1B6BA2BB-9D72-441F-B576-55CDD15A7323}"/>
    <cellStyle name="SAPBEXstdItem 22" xfId="34290" xr:uid="{39A92B53-45B1-4814-93B8-CDAF00684267}"/>
    <cellStyle name="SAPBEXstdItem 3" xfId="19639" xr:uid="{30344AD2-043F-4C50-B3C3-ECBE14EB5A30}"/>
    <cellStyle name="SAPBEXstdItem 3 2" xfId="19640" xr:uid="{445A3147-882D-45AB-9B0D-C841F29155A5}"/>
    <cellStyle name="SAPBEXstdItem 3 2 10" xfId="19641" xr:uid="{F25AB32C-7449-40BD-933E-97C5C9724E30}"/>
    <cellStyle name="SAPBEXstdItem 3 2 10 2" xfId="34367" xr:uid="{2767A38D-69F7-49EC-BC76-74C9FCFA763A}"/>
    <cellStyle name="SAPBEXstdItem 3 2 11" xfId="19642" xr:uid="{DC2AA859-4792-4588-BA12-8FFE9B82C815}"/>
    <cellStyle name="SAPBEXstdItem 3 2 11 2" xfId="34368" xr:uid="{ED088D09-79AD-4BA7-B905-67AFB2AEA44E}"/>
    <cellStyle name="SAPBEXstdItem 3 2 12" xfId="19643" xr:uid="{D37A5D42-9346-412F-81D0-A2883535EEF2}"/>
    <cellStyle name="SAPBEXstdItem 3 2 12 2" xfId="34369" xr:uid="{47B49EEE-1D5E-4972-9A94-984A0B3DF11E}"/>
    <cellStyle name="SAPBEXstdItem 3 2 13" xfId="19644" xr:uid="{2C886987-1677-4673-BBEF-3802FA457F8C}"/>
    <cellStyle name="SAPBEXstdItem 3 2 13 2" xfId="34370" xr:uid="{2A36F93E-3D8E-4903-8475-8716BD82FC6C}"/>
    <cellStyle name="SAPBEXstdItem 3 2 14" xfId="19645" xr:uid="{D154C5EC-B367-4227-8838-02AB0C705341}"/>
    <cellStyle name="SAPBEXstdItem 3 2 14 2" xfId="34371" xr:uid="{7A8AB14E-2A7C-47E2-ADB1-D18710CBCE97}"/>
    <cellStyle name="SAPBEXstdItem 3 2 15" xfId="34366" xr:uid="{EC032BDA-E40F-450E-800F-9C5A1F3769E7}"/>
    <cellStyle name="SAPBEXstdItem 3 2 2" xfId="19646" xr:uid="{3C3A2233-A0C9-4A68-A390-0900F676688F}"/>
    <cellStyle name="SAPBEXstdItem 3 2 2 2" xfId="34372" xr:uid="{6784B65B-20EA-4C0E-A8CF-E20E16B96514}"/>
    <cellStyle name="SAPBEXstdItem 3 2 3" xfId="19647" xr:uid="{5C1AB8A4-3E6B-4702-A3D5-8A5161C159BC}"/>
    <cellStyle name="SAPBEXstdItem 3 2 3 2" xfId="34373" xr:uid="{92607B0D-D729-475B-A2D4-5550D27F9D12}"/>
    <cellStyle name="SAPBEXstdItem 3 2 4" xfId="19648" xr:uid="{EAA5BA61-B914-4235-89EC-34F82141ECAD}"/>
    <cellStyle name="SAPBEXstdItem 3 2 4 2" xfId="34374" xr:uid="{DB11233A-4942-4077-809C-9E7835902EAB}"/>
    <cellStyle name="SAPBEXstdItem 3 2 5" xfId="19649" xr:uid="{C62ED022-0B43-415F-BDD3-842978CB5531}"/>
    <cellStyle name="SAPBEXstdItem 3 2 5 2" xfId="34375" xr:uid="{A0B9F281-D6CB-4392-ACA5-4825F77593E5}"/>
    <cellStyle name="SAPBEXstdItem 3 2 6" xfId="19650" xr:uid="{8E59E739-31A1-4BE1-A3F1-3FC3E29E81EE}"/>
    <cellStyle name="SAPBEXstdItem 3 2 6 2" xfId="34376" xr:uid="{263A501B-C47B-47D0-A06C-103D6836C520}"/>
    <cellStyle name="SAPBEXstdItem 3 2 7" xfId="19651" xr:uid="{7285F7BA-859D-442B-BDE9-6041F2191D5C}"/>
    <cellStyle name="SAPBEXstdItem 3 2 7 2" xfId="34377" xr:uid="{5D175D9B-49CD-4D06-9519-A45DFA674354}"/>
    <cellStyle name="SAPBEXstdItem 3 2 8" xfId="19652" xr:uid="{6B6652C1-1A81-4066-BAF1-2D69642FF693}"/>
    <cellStyle name="SAPBEXstdItem 3 2 8 2" xfId="34378" xr:uid="{0763CAA3-5F1E-45AF-BEC9-8B839F27BCD3}"/>
    <cellStyle name="SAPBEXstdItem 3 2 9" xfId="19653" xr:uid="{2ED5BF97-7333-4DAB-AE2B-04654A0D2BBB}"/>
    <cellStyle name="SAPBEXstdItem 3 2 9 2" xfId="34379" xr:uid="{D5D4F1EA-3715-4B77-9CA7-3B28D014B770}"/>
    <cellStyle name="SAPBEXstdItem 3 3" xfId="19654" xr:uid="{D6AB621B-4037-4F98-AF7A-AB8158D1CB14}"/>
    <cellStyle name="SAPBEXstdItem 3 4" xfId="34365" xr:uid="{EDC15260-C546-4981-A738-AF26B2B09111}"/>
    <cellStyle name="SAPBEXstdItem 4" xfId="19655" xr:uid="{B8A5BDD8-B940-44DE-B0C1-3D4B59A2C894}"/>
    <cellStyle name="SAPBEXstdItem 5" xfId="19656" xr:uid="{E10F982A-D702-4399-B5E0-952A48C58981}"/>
    <cellStyle name="SAPBEXstdItem 5 10" xfId="19657" xr:uid="{B5D69A94-8DDA-4F10-B4F2-E46AB2DB1A01}"/>
    <cellStyle name="SAPBEXstdItem 5 10 2" xfId="34381" xr:uid="{149609F1-DF54-4A60-B845-05899171DB73}"/>
    <cellStyle name="SAPBEXstdItem 5 11" xfId="19658" xr:uid="{536A13D0-E173-4744-B8CF-D2E08E4C249F}"/>
    <cellStyle name="SAPBEXstdItem 5 11 2" xfId="34382" xr:uid="{E4694627-00BB-42C7-A118-EEB325BFDD53}"/>
    <cellStyle name="SAPBEXstdItem 5 12" xfId="19659" xr:uid="{73B39ADB-3B5C-4D02-AE27-DEE676C6BB3C}"/>
    <cellStyle name="SAPBEXstdItem 5 12 2" xfId="34383" xr:uid="{00DD9C03-5349-4186-BB55-60D25B17545C}"/>
    <cellStyle name="SAPBEXstdItem 5 13" xfId="19660" xr:uid="{794A0704-9E10-4BBF-BFCF-11314AB013F6}"/>
    <cellStyle name="SAPBEXstdItem 5 13 2" xfId="34384" xr:uid="{694AF519-EA4D-4E27-9EA4-846914235C1D}"/>
    <cellStyle name="SAPBEXstdItem 5 14" xfId="19661" xr:uid="{9BBB9214-0F1E-4CE2-8C97-08039FA100FD}"/>
    <cellStyle name="SAPBEXstdItem 5 14 2" xfId="34385" xr:uid="{0B2B8110-6747-4092-B163-7E0FFFAEBE78}"/>
    <cellStyle name="SAPBEXstdItem 5 15" xfId="34380" xr:uid="{C02DB312-3B88-43B9-8792-B17A302ECB8C}"/>
    <cellStyle name="SAPBEXstdItem 5 2" xfId="19662" xr:uid="{F9C399E2-78ED-450A-8071-2ECC292A1FD9}"/>
    <cellStyle name="SAPBEXstdItem 5 2 2" xfId="34386" xr:uid="{4B272338-8C23-4B7E-818D-42A803F6D533}"/>
    <cellStyle name="SAPBEXstdItem 5 3" xfId="19663" xr:uid="{28981B2F-F002-4089-BA94-1D2AE949D1EA}"/>
    <cellStyle name="SAPBEXstdItem 5 3 2" xfId="34387" xr:uid="{B4BC9D36-5FFD-4469-8D86-B2F859A86036}"/>
    <cellStyle name="SAPBEXstdItem 5 4" xfId="19664" xr:uid="{505EE90D-E9B5-49F2-94C7-EB9D6C169F83}"/>
    <cellStyle name="SAPBEXstdItem 5 4 2" xfId="34388" xr:uid="{2E4210A7-92E5-4201-956E-76C6611913D7}"/>
    <cellStyle name="SAPBEXstdItem 5 5" xfId="19665" xr:uid="{414B5E88-0BB2-4CE2-8991-8F7B4BDDD294}"/>
    <cellStyle name="SAPBEXstdItem 5 5 2" xfId="34389" xr:uid="{15716E0A-361C-416F-B6ED-B655A7AF6F4F}"/>
    <cellStyle name="SAPBEXstdItem 5 6" xfId="19666" xr:uid="{1097CE5F-D3D3-42B4-9F3A-3C4DD89A42C1}"/>
    <cellStyle name="SAPBEXstdItem 5 6 2" xfId="34390" xr:uid="{EBA04359-D99C-4F93-BE57-8528CE2FE5D5}"/>
    <cellStyle name="SAPBEXstdItem 5 7" xfId="19667" xr:uid="{C0C48713-8B1C-4159-B0B8-8535B4CCC769}"/>
    <cellStyle name="SAPBEXstdItem 5 7 2" xfId="34391" xr:uid="{33B378F0-8DC2-46C8-8482-A978D2918F0E}"/>
    <cellStyle name="SAPBEXstdItem 5 8" xfId="19668" xr:uid="{F9882317-0A1A-479F-BF94-C37563B0549F}"/>
    <cellStyle name="SAPBEXstdItem 5 8 2" xfId="34392" xr:uid="{9B4790C8-9863-4833-BFEF-C22E42BEF0F5}"/>
    <cellStyle name="SAPBEXstdItem 5 9" xfId="19669" xr:uid="{E72BC65A-13C2-48F0-B817-907716F042D6}"/>
    <cellStyle name="SAPBEXstdItem 5 9 2" xfId="34393" xr:uid="{D5650F77-F670-48D0-A164-B20BF42F2FAD}"/>
    <cellStyle name="SAPBEXstdItem 6" xfId="19670" xr:uid="{D5954F67-C22B-4FA6-A5E4-E8245DD90924}"/>
    <cellStyle name="SAPBEXstdItem 6 2" xfId="34394" xr:uid="{74DBDDD5-CF5B-4D73-B109-66459564FD34}"/>
    <cellStyle name="SAPBEXstdItem 7" xfId="19671" xr:uid="{178035B7-3D91-462E-8ABA-C148B3AE5DD6}"/>
    <cellStyle name="SAPBEXstdItem 7 2" xfId="34395" xr:uid="{FEAFF4AD-0C59-424B-8847-A2C19CA62A2C}"/>
    <cellStyle name="SAPBEXstdItem 8" xfId="19672" xr:uid="{9DCA8605-05F2-418F-B19F-7B3F03D3978A}"/>
    <cellStyle name="SAPBEXstdItem 8 2" xfId="34396" xr:uid="{6A885C4A-402A-4968-B5B1-0F1E592B36E6}"/>
    <cellStyle name="SAPBEXstdItem 9" xfId="19673" xr:uid="{7740B427-63A3-4DEB-B93F-07C9E94D0BE5}"/>
    <cellStyle name="SAPBEXstdItem 9 2" xfId="34397" xr:uid="{7D8F058C-DA12-4BC6-81A6-5EDD44609077}"/>
    <cellStyle name="SAPBEXstdItemX" xfId="19674" xr:uid="{76143B8A-F63A-43E9-8628-3AD2136B9CC8}"/>
    <cellStyle name="SAPBEXstdItemX 10" xfId="19675" xr:uid="{7E49C9C0-D50C-42E5-AD28-710B5230AF5E}"/>
    <cellStyle name="SAPBEXstdItemX 10 2" xfId="34399" xr:uid="{01CFB4DB-D313-4BBB-8B43-E2AE54A18672}"/>
    <cellStyle name="SAPBEXstdItemX 11" xfId="19676" xr:uid="{0C405567-0490-4ED5-9996-53EBDD8AA980}"/>
    <cellStyle name="SAPBEXstdItemX 11 2" xfId="34400" xr:uid="{5A9FE60D-D1DD-4E66-82EC-695E2A332ECF}"/>
    <cellStyle name="SAPBEXstdItemX 12" xfId="19677" xr:uid="{575BD2FC-8FD3-4968-AF06-A5EC5D4A271B}"/>
    <cellStyle name="SAPBEXstdItemX 12 2" xfId="34401" xr:uid="{43CF448E-68F7-4CA5-87BC-91C6112F5D7E}"/>
    <cellStyle name="SAPBEXstdItemX 13" xfId="19678" xr:uid="{5AB72878-E8A0-4879-96B5-B936AA961AE9}"/>
    <cellStyle name="SAPBEXstdItemX 13 2" xfId="34402" xr:uid="{4F7CEA8B-EF57-449D-8808-3555D4F43EAB}"/>
    <cellStyle name="SAPBEXstdItemX 14" xfId="19679" xr:uid="{B8A1C813-77FB-46B8-951B-3135658CD0BC}"/>
    <cellStyle name="SAPBEXstdItemX 14 2" xfId="34403" xr:uid="{9CC550F6-7BED-492D-94DA-8CCA38466153}"/>
    <cellStyle name="SAPBEXstdItemX 15" xfId="19680" xr:uid="{CD3E328C-B021-460C-8CF2-C6BC6BECC5AA}"/>
    <cellStyle name="SAPBEXstdItemX 15 2" xfId="34404" xr:uid="{921265AA-8690-4D90-9044-552755AE2E38}"/>
    <cellStyle name="SAPBEXstdItemX 16" xfId="19681" xr:uid="{C49D6FA1-DFB5-43CB-9B52-13B55DF732C5}"/>
    <cellStyle name="SAPBEXstdItemX 16 2" xfId="34405" xr:uid="{D17E69EB-5467-406A-931B-C9695FB90754}"/>
    <cellStyle name="SAPBEXstdItemX 17" xfId="19682" xr:uid="{AF8DB8CD-6D42-4FDC-92CE-F635C17CFB38}"/>
    <cellStyle name="SAPBEXstdItemX 17 2" xfId="34406" xr:uid="{D318F90A-35CA-4DDB-B847-7641B493DDEE}"/>
    <cellStyle name="SAPBEXstdItemX 18" xfId="19683" xr:uid="{140DF76B-25D5-4B98-9655-31969A21208A}"/>
    <cellStyle name="SAPBEXstdItemX 18 2" xfId="34407" xr:uid="{AB55F298-5A7F-4788-A0F3-1D5378CAE8AB}"/>
    <cellStyle name="SAPBEXstdItemX 19" xfId="19684" xr:uid="{A0D31901-40BC-4EAD-8004-E41993C2A32B}"/>
    <cellStyle name="SAPBEXstdItemX 19 2" xfId="34408" xr:uid="{EA014E43-AAEF-42E1-96D3-F75FDC1F233F}"/>
    <cellStyle name="SAPBEXstdItemX 2" xfId="19685" xr:uid="{387D5287-FF49-4749-9E22-F968C191665F}"/>
    <cellStyle name="SAPBEXstdItemX 2 10" xfId="19686" xr:uid="{4228B3B2-5AF7-4463-BAB0-5437C99C9041}"/>
    <cellStyle name="SAPBEXstdItemX 2 10 2" xfId="34410" xr:uid="{5F760690-AE62-4D60-8C45-EEFCC10FF3A2}"/>
    <cellStyle name="SAPBEXstdItemX 2 11" xfId="19687" xr:uid="{95E14E9A-185D-4DEB-AA54-71CF43F85B39}"/>
    <cellStyle name="SAPBEXstdItemX 2 11 2" xfId="34411" xr:uid="{63AAB0D3-1916-40B2-B6FA-CF7DC52207F6}"/>
    <cellStyle name="SAPBEXstdItemX 2 12" xfId="19688" xr:uid="{3134A07F-B83D-4489-B583-C98A7D199D94}"/>
    <cellStyle name="SAPBEXstdItemX 2 12 2" xfId="34412" xr:uid="{9DD65433-95C4-4123-A150-4C008F219225}"/>
    <cellStyle name="SAPBEXstdItemX 2 13" xfId="19689" xr:uid="{29FF8D4F-2030-4578-8390-A331BE0F12BD}"/>
    <cellStyle name="SAPBEXstdItemX 2 13 2" xfId="34413" xr:uid="{0011DA5A-10BF-4BD9-9318-FD1E8BC9D4D6}"/>
    <cellStyle name="SAPBEXstdItemX 2 14" xfId="19690" xr:uid="{9B19BEE5-A9D8-472A-882C-61C92D794A39}"/>
    <cellStyle name="SAPBEXstdItemX 2 14 2" xfId="34414" xr:uid="{5A36F22A-B0F5-420E-A72B-02FEDF4A8ED8}"/>
    <cellStyle name="SAPBEXstdItemX 2 15" xfId="19691" xr:uid="{20AA9AAD-8351-4A9C-BB6F-EC880C23E8D5}"/>
    <cellStyle name="SAPBEXstdItemX 2 15 2" xfId="34415" xr:uid="{AFC73426-32EF-4B66-B13B-3BC5FE6E1CDC}"/>
    <cellStyle name="SAPBEXstdItemX 2 16" xfId="19692" xr:uid="{4FD82D58-F772-4AA4-8977-1E86F75A533D}"/>
    <cellStyle name="SAPBEXstdItemX 2 16 2" xfId="34416" xr:uid="{A7383154-524B-438F-8954-43337246280C}"/>
    <cellStyle name="SAPBEXstdItemX 2 17" xfId="19693" xr:uid="{E36076DE-50DD-40D8-A407-35BC3BE802C9}"/>
    <cellStyle name="SAPBEXstdItemX 2 17 2" xfId="34417" xr:uid="{EA49F55B-FD2C-49E2-A47A-7A399FAB5B3F}"/>
    <cellStyle name="SAPBEXstdItemX 2 18" xfId="19694" xr:uid="{C83F52F1-9093-4C4C-AE51-D03E446335D8}"/>
    <cellStyle name="SAPBEXstdItemX 2 18 2" xfId="34418" xr:uid="{78F993D0-0B35-4FDB-900A-B2582456A182}"/>
    <cellStyle name="SAPBEXstdItemX 2 19" xfId="19695" xr:uid="{7BB522A6-5F74-45CC-B4D3-D336BC5C3463}"/>
    <cellStyle name="SAPBEXstdItemX 2 19 2" xfId="34419" xr:uid="{4135914C-9D1E-4757-8D4D-DDA011CBB476}"/>
    <cellStyle name="SAPBEXstdItemX 2 2" xfId="19696" xr:uid="{CEEE2904-6A3C-4F55-AFE2-8471F6F11FFB}"/>
    <cellStyle name="SAPBEXstdItemX 2 2 10" xfId="19697" xr:uid="{5E750AAC-913D-40B4-8767-BA912BB9BF36}"/>
    <cellStyle name="SAPBEXstdItemX 2 2 10 2" xfId="34421" xr:uid="{A84F86E3-2712-44C0-8F42-FE6A7152484F}"/>
    <cellStyle name="SAPBEXstdItemX 2 2 11" xfId="19698" xr:uid="{7AD726F4-84B3-4EB0-8D6B-A3FC05B5AFEB}"/>
    <cellStyle name="SAPBEXstdItemX 2 2 11 2" xfId="34422" xr:uid="{3641605B-4FFF-4E42-A1F5-43B9D23FCD84}"/>
    <cellStyle name="SAPBEXstdItemX 2 2 12" xfId="19699" xr:uid="{2C83ED60-423B-4C5D-AD71-4FBB01E332E9}"/>
    <cellStyle name="SAPBEXstdItemX 2 2 12 2" xfId="34423" xr:uid="{1BCFA864-3EA5-4372-AD17-86DB8ECA220F}"/>
    <cellStyle name="SAPBEXstdItemX 2 2 13" xfId="19700" xr:uid="{FD1CD795-8308-4B91-8240-6CD8E6610C72}"/>
    <cellStyle name="SAPBEXstdItemX 2 2 13 2" xfId="34424" xr:uid="{0F3AB398-15A3-4EC6-8FFB-F9E901D9FD74}"/>
    <cellStyle name="SAPBEXstdItemX 2 2 14" xfId="19701" xr:uid="{C5DCC93A-F518-470F-910A-EDED86F237D3}"/>
    <cellStyle name="SAPBEXstdItemX 2 2 14 2" xfId="34425" xr:uid="{1AFEEF9D-02A0-488F-ADD5-D812E76BA0AB}"/>
    <cellStyle name="SAPBEXstdItemX 2 2 15" xfId="19702" xr:uid="{9D4F9C04-B6DF-4EC5-9EFB-E55E03791A07}"/>
    <cellStyle name="SAPBEXstdItemX 2 2 15 2" xfId="34426" xr:uid="{08138BD2-B02F-49A8-8611-A324AC9C0685}"/>
    <cellStyle name="SAPBEXstdItemX 2 2 16" xfId="19703" xr:uid="{5EB6D07A-8D28-48E5-A9CA-E0089106D807}"/>
    <cellStyle name="SAPBEXstdItemX 2 2 16 2" xfId="34427" xr:uid="{DE35AD29-5C96-4A4C-B5DA-DF2744580DC3}"/>
    <cellStyle name="SAPBEXstdItemX 2 2 17" xfId="19704" xr:uid="{540C7F6D-BD55-42E4-8BA7-B8E196DA1CFE}"/>
    <cellStyle name="SAPBEXstdItemX 2 2 17 2" xfId="34428" xr:uid="{F7A4F222-989A-4ECF-B11A-07E316E07FD4}"/>
    <cellStyle name="SAPBEXstdItemX 2 2 18" xfId="19705" xr:uid="{760D37BF-2B4E-4113-BAFD-48C44962BE15}"/>
    <cellStyle name="SAPBEXstdItemX 2 2 18 2" xfId="34429" xr:uid="{94EFEEA4-031E-4303-9F13-B7AB63809E1C}"/>
    <cellStyle name="SAPBEXstdItemX 2 2 19" xfId="34420" xr:uid="{D6391986-24B1-40BF-A839-C1AF81B98F9B}"/>
    <cellStyle name="SAPBEXstdItemX 2 2 2" xfId="19706" xr:uid="{A1D37FD8-EB98-4D25-873C-97B985AE0EB7}"/>
    <cellStyle name="SAPBEXstdItemX 2 2 2 10" xfId="19707" xr:uid="{DF1A957D-989A-45EC-92C0-09DD86C1C237}"/>
    <cellStyle name="SAPBEXstdItemX 2 2 2 10 2" xfId="34431" xr:uid="{FC98DF9D-6A45-4CF5-92FC-3CC194FFD80A}"/>
    <cellStyle name="SAPBEXstdItemX 2 2 2 11" xfId="19708" xr:uid="{2D2EA86F-DCF4-4352-A46F-604D2DC0F999}"/>
    <cellStyle name="SAPBEXstdItemX 2 2 2 11 2" xfId="34432" xr:uid="{736609D4-87DC-4CF6-BED5-DAE449ED0779}"/>
    <cellStyle name="SAPBEXstdItemX 2 2 2 12" xfId="19709" xr:uid="{729CCBAB-2663-4C46-B368-24E3EDB7DF28}"/>
    <cellStyle name="SAPBEXstdItemX 2 2 2 12 2" xfId="34433" xr:uid="{BAB906D8-CEAC-4566-9AB4-6133CB716CE2}"/>
    <cellStyle name="SAPBEXstdItemX 2 2 2 13" xfId="19710" xr:uid="{1597C044-1A1C-4D0E-AB27-B89331163752}"/>
    <cellStyle name="SAPBEXstdItemX 2 2 2 13 2" xfId="34434" xr:uid="{72C694EB-8E63-48BD-B694-D7F60EAD8650}"/>
    <cellStyle name="SAPBEXstdItemX 2 2 2 14" xfId="19711" xr:uid="{787DF943-1BDC-4807-8FEE-7E9AC8E0A192}"/>
    <cellStyle name="SAPBEXstdItemX 2 2 2 14 2" xfId="34435" xr:uid="{944CD041-A2C3-4C7A-8317-9048A55DAC2F}"/>
    <cellStyle name="SAPBEXstdItemX 2 2 2 15" xfId="34430" xr:uid="{C7FAF778-C2E7-4599-B702-9AA9CF5859AD}"/>
    <cellStyle name="SAPBEXstdItemX 2 2 2 2" xfId="19712" xr:uid="{085C6E9F-1A75-4286-964E-E6BAE42E552B}"/>
    <cellStyle name="SAPBEXstdItemX 2 2 2 2 2" xfId="34436" xr:uid="{E57AEFD8-811D-4572-BE45-9DC0EE7F8492}"/>
    <cellStyle name="SAPBEXstdItemX 2 2 2 3" xfId="19713" xr:uid="{0F7BCE71-AC8E-4252-8F50-463A93E0DEC9}"/>
    <cellStyle name="SAPBEXstdItemX 2 2 2 3 2" xfId="34437" xr:uid="{D1D48F24-DC20-45C2-9AB8-86DD8EFC8300}"/>
    <cellStyle name="SAPBEXstdItemX 2 2 2 4" xfId="19714" xr:uid="{6659954F-7C33-4F12-B2E4-01AEE4A84B87}"/>
    <cellStyle name="SAPBEXstdItemX 2 2 2 4 2" xfId="34438" xr:uid="{24E1A37A-7D3F-45FF-A86C-E40075F6F2A2}"/>
    <cellStyle name="SAPBEXstdItemX 2 2 2 5" xfId="19715" xr:uid="{DB896ADF-C386-4822-9063-772E02B1CE20}"/>
    <cellStyle name="SAPBEXstdItemX 2 2 2 5 2" xfId="34439" xr:uid="{6D376099-D2AA-4B22-AE3E-91CD22AEF2F9}"/>
    <cellStyle name="SAPBEXstdItemX 2 2 2 6" xfId="19716" xr:uid="{72151B3A-59E7-4139-8049-158844B76923}"/>
    <cellStyle name="SAPBEXstdItemX 2 2 2 6 2" xfId="34440" xr:uid="{880F4111-9735-4158-8E05-C80BC4194840}"/>
    <cellStyle name="SAPBEXstdItemX 2 2 2 7" xfId="19717" xr:uid="{9CEB78DE-12B1-459F-96C6-00831610758D}"/>
    <cellStyle name="SAPBEXstdItemX 2 2 2 7 2" xfId="34441" xr:uid="{E333C8DA-F066-4266-A3F0-A90058CBB3B1}"/>
    <cellStyle name="SAPBEXstdItemX 2 2 2 8" xfId="19718" xr:uid="{D4C9E9E6-E074-4336-9FFD-06C1B220EED0}"/>
    <cellStyle name="SAPBEXstdItemX 2 2 2 8 2" xfId="34442" xr:uid="{42007A9B-39A3-441D-B466-B64472C3FFD4}"/>
    <cellStyle name="SAPBEXstdItemX 2 2 2 9" xfId="19719" xr:uid="{5380661C-CCFB-44D7-8898-96B868FEE500}"/>
    <cellStyle name="SAPBEXstdItemX 2 2 2 9 2" xfId="34443" xr:uid="{3DC6AAE9-C758-4B2E-9124-92ED70784F7A}"/>
    <cellStyle name="SAPBEXstdItemX 2 2 3" xfId="19720" xr:uid="{9211D982-A1E1-4936-A56F-D0279ED8D6ED}"/>
    <cellStyle name="SAPBEXstdItemX 2 2 3 2" xfId="34444" xr:uid="{A63265FE-9A92-4157-A5BB-D9FB2178A12C}"/>
    <cellStyle name="SAPBEXstdItemX 2 2 4" xfId="19721" xr:uid="{3574240A-3522-4174-A355-39CC19EA8350}"/>
    <cellStyle name="SAPBEXstdItemX 2 2 4 2" xfId="34445" xr:uid="{3D42782F-784C-4D14-81E2-999E33B8DD2F}"/>
    <cellStyle name="SAPBEXstdItemX 2 2 5" xfId="19722" xr:uid="{232EBF66-586D-4911-95FA-D303B6D37F7F}"/>
    <cellStyle name="SAPBEXstdItemX 2 2 5 2" xfId="34446" xr:uid="{A644BEFB-1795-4990-925D-378EF3F4157F}"/>
    <cellStyle name="SAPBEXstdItemX 2 2 6" xfId="19723" xr:uid="{209EA0CF-A855-4C81-B93A-8DC95273DB93}"/>
    <cellStyle name="SAPBEXstdItemX 2 2 6 2" xfId="34447" xr:uid="{AA7A9850-591C-4766-8A34-E42E6A15A9AC}"/>
    <cellStyle name="SAPBEXstdItemX 2 2 7" xfId="19724" xr:uid="{E6273734-1A9A-424C-AFBF-1739402D9584}"/>
    <cellStyle name="SAPBEXstdItemX 2 2 7 2" xfId="34448" xr:uid="{98693DE6-6B25-47FA-B316-CF31306F41B7}"/>
    <cellStyle name="SAPBEXstdItemX 2 2 8" xfId="19725" xr:uid="{DE20B5A3-5D23-420F-BFC8-8D5FEF1DD290}"/>
    <cellStyle name="SAPBEXstdItemX 2 2 8 2" xfId="34449" xr:uid="{512AFB49-29DA-430C-A0A7-6FF02C6744B6}"/>
    <cellStyle name="SAPBEXstdItemX 2 2 9" xfId="19726" xr:uid="{6D4EC86F-A8D0-40BE-9F85-BAC04120E887}"/>
    <cellStyle name="SAPBEXstdItemX 2 2 9 2" xfId="34450" xr:uid="{F4C1745A-A1F0-4EC4-83FD-2A245700DC20}"/>
    <cellStyle name="SAPBEXstdItemX 2 20" xfId="34409" xr:uid="{C5FE343C-D3A7-4B45-BDCE-096F12DE57AB}"/>
    <cellStyle name="SAPBEXstdItemX 2 3" xfId="19727" xr:uid="{7BDFFDA9-7E91-42DA-99E7-97A448AE94B8}"/>
    <cellStyle name="SAPBEXstdItemX 2 3 10" xfId="19728" xr:uid="{307AAB9E-2496-4CB4-93EA-7F1020F38326}"/>
    <cellStyle name="SAPBEXstdItemX 2 3 10 2" xfId="34452" xr:uid="{CDAC7703-A371-4C4F-B923-AF3C274220AD}"/>
    <cellStyle name="SAPBEXstdItemX 2 3 11" xfId="19729" xr:uid="{17F1EBBD-3DB0-44D4-B790-2B573DBDA91B}"/>
    <cellStyle name="SAPBEXstdItemX 2 3 11 2" xfId="34453" xr:uid="{371261B4-9DF0-4059-AA6E-A5E2FF2F2160}"/>
    <cellStyle name="SAPBEXstdItemX 2 3 12" xfId="19730" xr:uid="{8AC46B79-DA36-4AB8-8659-DE3B5FFFF699}"/>
    <cellStyle name="SAPBEXstdItemX 2 3 12 2" xfId="34454" xr:uid="{FFC11F3A-6116-403E-BA36-EA2F71AFA208}"/>
    <cellStyle name="SAPBEXstdItemX 2 3 13" xfId="19731" xr:uid="{2CA26204-769C-44C1-8EC7-9C66E95116FF}"/>
    <cellStyle name="SAPBEXstdItemX 2 3 13 2" xfId="34455" xr:uid="{2F0883E0-0660-4121-8265-3BF7EC4B23D6}"/>
    <cellStyle name="SAPBEXstdItemX 2 3 14" xfId="19732" xr:uid="{E812C3FA-8F97-4912-885B-2E82219E127D}"/>
    <cellStyle name="SAPBEXstdItemX 2 3 14 2" xfId="34456" xr:uid="{7CE2D4F4-9CB6-45DF-98ED-74FD995D7EB4}"/>
    <cellStyle name="SAPBEXstdItemX 2 3 15" xfId="34451" xr:uid="{4A3CE80E-358A-484F-8E39-DF6D797C27B1}"/>
    <cellStyle name="SAPBEXstdItemX 2 3 2" xfId="19733" xr:uid="{940BF06B-91B3-43A0-B283-C2D0B197208E}"/>
    <cellStyle name="SAPBEXstdItemX 2 3 2 2" xfId="34457" xr:uid="{8811DFC1-05A8-4485-96B3-1F1195CE9D6A}"/>
    <cellStyle name="SAPBEXstdItemX 2 3 3" xfId="19734" xr:uid="{43BA0244-3F21-4BB0-90F3-17FAF4CF1C37}"/>
    <cellStyle name="SAPBEXstdItemX 2 3 3 2" xfId="34458" xr:uid="{93095F02-F5B9-4A66-B36F-A2B73A7480A8}"/>
    <cellStyle name="SAPBEXstdItemX 2 3 4" xfId="19735" xr:uid="{CC207CB2-37D8-4030-BE8A-A807DF189C03}"/>
    <cellStyle name="SAPBEXstdItemX 2 3 4 2" xfId="34459" xr:uid="{CFDF5107-CB3A-4FA9-B83E-BE9DAED5C3AD}"/>
    <cellStyle name="SAPBEXstdItemX 2 3 5" xfId="19736" xr:uid="{C657DECE-0F67-4998-87F7-628255AFD57A}"/>
    <cellStyle name="SAPBEXstdItemX 2 3 5 2" xfId="34460" xr:uid="{A4030B9A-9534-4F4B-B25A-848522725963}"/>
    <cellStyle name="SAPBEXstdItemX 2 3 6" xfId="19737" xr:uid="{4D6F79CD-4AC7-45B9-8638-5806FD61FC10}"/>
    <cellStyle name="SAPBEXstdItemX 2 3 6 2" xfId="34461" xr:uid="{7E120EB5-E37D-4D07-BECA-01BB95BAF8D0}"/>
    <cellStyle name="SAPBEXstdItemX 2 3 7" xfId="19738" xr:uid="{DA0CB3F8-1628-4856-B94A-AC9C8E4A2EAE}"/>
    <cellStyle name="SAPBEXstdItemX 2 3 7 2" xfId="34462" xr:uid="{C10F9DA6-0731-4297-8A9B-ECA993AD95F2}"/>
    <cellStyle name="SAPBEXstdItemX 2 3 8" xfId="19739" xr:uid="{630302CC-D65A-46C4-A0C7-4A7241826619}"/>
    <cellStyle name="SAPBEXstdItemX 2 3 8 2" xfId="34463" xr:uid="{A7F8B5B2-4D1B-4DF5-9599-DEAC12E1FF46}"/>
    <cellStyle name="SAPBEXstdItemX 2 3 9" xfId="19740" xr:uid="{F0633D91-6308-4E42-8BEA-8BF23176994C}"/>
    <cellStyle name="SAPBEXstdItemX 2 3 9 2" xfId="34464" xr:uid="{BFD3C725-DBF5-419B-B044-8155EA330FB3}"/>
    <cellStyle name="SAPBEXstdItemX 2 4" xfId="19741" xr:uid="{E49B7D7F-2957-4E33-80B4-178277FE960B}"/>
    <cellStyle name="SAPBEXstdItemX 2 4 2" xfId="34465" xr:uid="{0FB0C56C-3403-4A10-87CA-852E0176E257}"/>
    <cellStyle name="SAPBEXstdItemX 2 5" xfId="19742" xr:uid="{515964A2-43E5-4B3B-8C40-18CE6C8E6C48}"/>
    <cellStyle name="SAPBEXstdItemX 2 5 2" xfId="34466" xr:uid="{4E8FDBA0-A873-4A2B-8D25-194DD66D3B7D}"/>
    <cellStyle name="SAPBEXstdItemX 2 6" xfId="19743" xr:uid="{6EC40A9C-D734-4774-AC17-4BC27C3ED9C9}"/>
    <cellStyle name="SAPBEXstdItemX 2 6 2" xfId="34467" xr:uid="{A5EF8074-1019-42D5-91D8-69EBA50FD2D2}"/>
    <cellStyle name="SAPBEXstdItemX 2 7" xfId="19744" xr:uid="{E5200067-EFAC-4C98-B6C5-35053F76687F}"/>
    <cellStyle name="SAPBEXstdItemX 2 7 2" xfId="34468" xr:uid="{73209F9A-9652-4D89-88FE-6C59FF8F9960}"/>
    <cellStyle name="SAPBEXstdItemX 2 8" xfId="19745" xr:uid="{CB45C5AD-F59F-42E9-9577-05852D111C46}"/>
    <cellStyle name="SAPBEXstdItemX 2 8 2" xfId="34469" xr:uid="{20E92CF4-D125-4578-95F7-33A95C03E807}"/>
    <cellStyle name="SAPBEXstdItemX 2 9" xfId="19746" xr:uid="{3DDE526A-05FA-4245-AA37-B1AC2FC467E8}"/>
    <cellStyle name="SAPBEXstdItemX 2 9 2" xfId="34470" xr:uid="{2E764F3E-ABC6-40E1-A7A1-EBBDF548E1D4}"/>
    <cellStyle name="SAPBEXstdItemX 20" xfId="19747" xr:uid="{565B4458-391A-44C3-A1CC-22C4A7757E83}"/>
    <cellStyle name="SAPBEXstdItemX 20 2" xfId="34471" xr:uid="{8D9C4B83-44D6-401A-B228-3585EB815172}"/>
    <cellStyle name="SAPBEXstdItemX 21" xfId="34398" xr:uid="{6E7C8E48-C96B-4FB5-BF8A-0BD438785A16}"/>
    <cellStyle name="SAPBEXstdItemX 3" xfId="19748" xr:uid="{9624D693-5661-4E7B-9319-CB37DC350EC0}"/>
    <cellStyle name="SAPBEXstdItemX 3 10" xfId="19749" xr:uid="{DAC9676B-C0C1-48F8-B17C-A0FFEDA43499}"/>
    <cellStyle name="SAPBEXstdItemX 3 10 2" xfId="34473" xr:uid="{1ECC7719-538A-4EEA-9ACC-D221397B1E31}"/>
    <cellStyle name="SAPBEXstdItemX 3 11" xfId="19750" xr:uid="{53742EA6-7FF5-43A0-94C7-2276A10FDE28}"/>
    <cellStyle name="SAPBEXstdItemX 3 11 2" xfId="34474" xr:uid="{4DBA4FC3-A8EB-4785-9FD8-4948393595F5}"/>
    <cellStyle name="SAPBEXstdItemX 3 12" xfId="19751" xr:uid="{FF18B41B-EA2D-4C30-A7F3-C62D677E5EC4}"/>
    <cellStyle name="SAPBEXstdItemX 3 12 2" xfId="34475" xr:uid="{6F46AD7F-0068-4312-8A45-6B950772130C}"/>
    <cellStyle name="SAPBEXstdItemX 3 13" xfId="19752" xr:uid="{8280877C-CB0E-4279-B39C-3611A1E73C31}"/>
    <cellStyle name="SAPBEXstdItemX 3 13 2" xfId="34476" xr:uid="{B6FCCB61-52AD-4467-B36A-A9DB063FE86C}"/>
    <cellStyle name="SAPBEXstdItemX 3 14" xfId="19753" xr:uid="{FC644B27-68BE-4DD8-9E04-9D51BB33FB9C}"/>
    <cellStyle name="SAPBEXstdItemX 3 14 2" xfId="34477" xr:uid="{3F9203FB-4C36-4F22-8DDA-EDA604E1C3CD}"/>
    <cellStyle name="SAPBEXstdItemX 3 15" xfId="19754" xr:uid="{0525DE53-4AC6-4CAE-9070-FB47E0005697}"/>
    <cellStyle name="SAPBEXstdItemX 3 15 2" xfId="34478" xr:uid="{A42B8DFA-51FA-4980-A6C2-95992CD367CE}"/>
    <cellStyle name="SAPBEXstdItemX 3 16" xfId="19755" xr:uid="{7C94F234-2617-4418-8CE2-F261C97DB02F}"/>
    <cellStyle name="SAPBEXstdItemX 3 16 2" xfId="34479" xr:uid="{9AB3C722-87F4-4704-AB31-0E2135D9566C}"/>
    <cellStyle name="SAPBEXstdItemX 3 17" xfId="19756" xr:uid="{2FD11E8E-85D1-4D0F-8DAA-85245D1F6C4D}"/>
    <cellStyle name="SAPBEXstdItemX 3 17 2" xfId="34480" xr:uid="{F1BF85EA-552E-4893-8F05-185B7B295056}"/>
    <cellStyle name="SAPBEXstdItemX 3 18" xfId="19757" xr:uid="{1F9487E0-3290-4786-8F79-39DE743BF865}"/>
    <cellStyle name="SAPBEXstdItemX 3 18 2" xfId="34481" xr:uid="{2A7FC1E6-92DF-49C1-B122-27EACEF9ED42}"/>
    <cellStyle name="SAPBEXstdItemX 3 19" xfId="34472" xr:uid="{A6606D42-D4F4-4870-B5FF-BF9F698AFB4A}"/>
    <cellStyle name="SAPBEXstdItemX 3 2" xfId="19758" xr:uid="{D3335B19-8E34-4DCA-BE0B-D41CAAEBCCFF}"/>
    <cellStyle name="SAPBEXstdItemX 3 2 10" xfId="19759" xr:uid="{B29E2AA3-2127-4B19-A3F1-1B4DE01E9F0B}"/>
    <cellStyle name="SAPBEXstdItemX 3 2 10 2" xfId="34483" xr:uid="{9F06AAF9-F8C6-47BC-819A-81B3D35E8CBF}"/>
    <cellStyle name="SAPBEXstdItemX 3 2 11" xfId="19760" xr:uid="{C100434F-FEEB-42AE-A17D-DCE971CBC8C7}"/>
    <cellStyle name="SAPBEXstdItemX 3 2 11 2" xfId="34484" xr:uid="{73284F6D-4440-4E3A-9D39-DA9CBB884B56}"/>
    <cellStyle name="SAPBEXstdItemX 3 2 12" xfId="19761" xr:uid="{94EA3383-F5C7-48E4-AA19-2B66C9CC08B0}"/>
    <cellStyle name="SAPBEXstdItemX 3 2 12 2" xfId="34485" xr:uid="{9807C564-9813-4A25-8D43-FDA5FD7F3AA7}"/>
    <cellStyle name="SAPBEXstdItemX 3 2 13" xfId="19762" xr:uid="{8F410A38-15CA-46E5-88B3-1D4D368F1119}"/>
    <cellStyle name="SAPBEXstdItemX 3 2 13 2" xfId="34486" xr:uid="{B4CC13B2-9B9A-4146-BB9F-5B72345D2A75}"/>
    <cellStyle name="SAPBEXstdItemX 3 2 14" xfId="19763" xr:uid="{45915FC7-F42D-4DF4-82BB-AFC40ABC3BDC}"/>
    <cellStyle name="SAPBEXstdItemX 3 2 14 2" xfId="34487" xr:uid="{2A34EC0E-83FC-4407-9CE3-570561169B07}"/>
    <cellStyle name="SAPBEXstdItemX 3 2 15" xfId="34482" xr:uid="{C5971C38-1E5D-48D6-B37B-7CF6A04E831D}"/>
    <cellStyle name="SAPBEXstdItemX 3 2 2" xfId="19764" xr:uid="{4A2CF094-0355-455A-932E-0F29D816A023}"/>
    <cellStyle name="SAPBEXstdItemX 3 2 2 2" xfId="34488" xr:uid="{EF4DD8F1-77DC-46DC-9409-C7E82B5225EA}"/>
    <cellStyle name="SAPBEXstdItemX 3 2 3" xfId="19765" xr:uid="{32860619-9645-437D-B613-AA2152A46CE4}"/>
    <cellStyle name="SAPBEXstdItemX 3 2 3 2" xfId="34489" xr:uid="{96553B37-834C-4044-82DA-F792EDB5EF4F}"/>
    <cellStyle name="SAPBEXstdItemX 3 2 4" xfId="19766" xr:uid="{3DE6133E-EA05-43A2-B6C5-C6F9E14BBC20}"/>
    <cellStyle name="SAPBEXstdItemX 3 2 4 2" xfId="34490" xr:uid="{18D147AF-B07C-424C-A8FD-821DCD30FE8E}"/>
    <cellStyle name="SAPBEXstdItemX 3 2 5" xfId="19767" xr:uid="{62021DE3-0BC0-46CF-A8EC-796605FB6E17}"/>
    <cellStyle name="SAPBEXstdItemX 3 2 5 2" xfId="34491" xr:uid="{52D07719-431D-4D1B-BB30-E7655348A4DC}"/>
    <cellStyle name="SAPBEXstdItemX 3 2 6" xfId="19768" xr:uid="{7700D710-5869-438A-95A3-74CDD64A5E7A}"/>
    <cellStyle name="SAPBEXstdItemX 3 2 6 2" xfId="34492" xr:uid="{56FB55CB-2AB2-4E1F-AD44-F1AB1A7FD1AC}"/>
    <cellStyle name="SAPBEXstdItemX 3 2 7" xfId="19769" xr:uid="{A12208CF-AC4D-4644-9DF2-35E2B8AE00AB}"/>
    <cellStyle name="SAPBEXstdItemX 3 2 7 2" xfId="34493" xr:uid="{0BBDC6EF-579E-4D36-849D-31AE989F9EB1}"/>
    <cellStyle name="SAPBEXstdItemX 3 2 8" xfId="19770" xr:uid="{3D415813-513C-4616-BFCA-88759AB347C3}"/>
    <cellStyle name="SAPBEXstdItemX 3 2 8 2" xfId="34494" xr:uid="{71AAEEBF-DB00-4C4F-B530-6071B43CB97D}"/>
    <cellStyle name="SAPBEXstdItemX 3 2 9" xfId="19771" xr:uid="{4B8BCFD9-E3CA-4012-8D73-BD2DF48F51C2}"/>
    <cellStyle name="SAPBEXstdItemX 3 2 9 2" xfId="34495" xr:uid="{15AA46B7-05D2-417C-A115-5EA35D804C56}"/>
    <cellStyle name="SAPBEXstdItemX 3 3" xfId="19772" xr:uid="{5404D689-09D1-4D88-B4BB-267B9FA342B4}"/>
    <cellStyle name="SAPBEXstdItemX 3 3 2" xfId="34496" xr:uid="{9FFB017D-E2AC-470C-BF30-A130EB75FC5C}"/>
    <cellStyle name="SAPBEXstdItemX 3 4" xfId="19773" xr:uid="{EDBB8E74-32B5-4C5A-9E07-5440ACD44CD0}"/>
    <cellStyle name="SAPBEXstdItemX 3 4 2" xfId="34497" xr:uid="{53FC7C27-BA88-4568-9CEC-77BBBA090693}"/>
    <cellStyle name="SAPBEXstdItemX 3 5" xfId="19774" xr:uid="{E2CD5DAB-00DA-4859-8035-9B94D59EAB90}"/>
    <cellStyle name="SAPBEXstdItemX 3 5 2" xfId="34498" xr:uid="{7E2A738A-4D23-46AD-9B8E-AA5CF5744CAF}"/>
    <cellStyle name="SAPBEXstdItemX 3 6" xfId="19775" xr:uid="{81D0B9E9-A9CD-4E83-900E-C5B93776EF06}"/>
    <cellStyle name="SAPBEXstdItemX 3 6 2" xfId="34499" xr:uid="{B0496C6D-E9D0-4FA3-9FA3-2890FD516FE7}"/>
    <cellStyle name="SAPBEXstdItemX 3 7" xfId="19776" xr:uid="{ADAB9580-5A75-49F7-8EE0-2C0D3484F4A9}"/>
    <cellStyle name="SAPBEXstdItemX 3 7 2" xfId="34500" xr:uid="{96A0A535-F7F6-4818-898D-0972498EEED2}"/>
    <cellStyle name="SAPBEXstdItemX 3 8" xfId="19777" xr:uid="{0026DDBC-E22D-4C69-9A3E-B0F50590E510}"/>
    <cellStyle name="SAPBEXstdItemX 3 8 2" xfId="34501" xr:uid="{DC2E10A2-A218-421B-BAC9-6F27683B4D9D}"/>
    <cellStyle name="SAPBEXstdItemX 3 9" xfId="19778" xr:uid="{EF72E330-CD0C-4583-8677-8341A6DFD97A}"/>
    <cellStyle name="SAPBEXstdItemX 3 9 2" xfId="34502" xr:uid="{F4E7ADCA-90B4-40BB-B700-B5A36AAE4A87}"/>
    <cellStyle name="SAPBEXstdItemX 4" xfId="19779" xr:uid="{2BC6F1B5-D64F-4EEB-9526-36257433DEB0}"/>
    <cellStyle name="SAPBEXstdItemX 4 10" xfId="19780" xr:uid="{0331B07D-6D16-42D2-B53C-C60B2AC3BB4D}"/>
    <cellStyle name="SAPBEXstdItemX 4 10 2" xfId="34504" xr:uid="{4BE0AD9D-39D5-447A-818B-85F01B985ED7}"/>
    <cellStyle name="SAPBEXstdItemX 4 11" xfId="19781" xr:uid="{61AD70E3-CFC7-47B9-9FAC-22CA56B1F1C5}"/>
    <cellStyle name="SAPBEXstdItemX 4 11 2" xfId="34505" xr:uid="{DC2C897E-99F9-41B1-9EC9-F865D6D43E28}"/>
    <cellStyle name="SAPBEXstdItemX 4 12" xfId="19782" xr:uid="{3D3CC80F-B61F-432E-B2B4-9C3C3B87A02C}"/>
    <cellStyle name="SAPBEXstdItemX 4 12 2" xfId="34506" xr:uid="{DB0D8380-BC4B-45BC-969A-F5B865B51594}"/>
    <cellStyle name="SAPBEXstdItemX 4 13" xfId="19783" xr:uid="{2AB364DE-4F13-4181-AF9A-405C89CDA9DF}"/>
    <cellStyle name="SAPBEXstdItemX 4 13 2" xfId="34507" xr:uid="{BE6F5148-DE38-4A75-A114-1082CAA79881}"/>
    <cellStyle name="SAPBEXstdItemX 4 14" xfId="19784" xr:uid="{1945F0A1-6E7F-40D7-8F0F-8D472E8B5BF1}"/>
    <cellStyle name="SAPBEXstdItemX 4 14 2" xfId="34508" xr:uid="{8FF3D550-E694-4B4A-9125-5F7CCA729712}"/>
    <cellStyle name="SAPBEXstdItemX 4 15" xfId="34503" xr:uid="{B91B6E1B-2740-49B5-82DD-8420BB2049E6}"/>
    <cellStyle name="SAPBEXstdItemX 4 2" xfId="19785" xr:uid="{C0D73284-BC8B-4554-86DF-6DC266C72A86}"/>
    <cellStyle name="SAPBEXstdItemX 4 2 2" xfId="34509" xr:uid="{568C7BA1-FA3A-4E58-B1B6-F13BC2321799}"/>
    <cellStyle name="SAPBEXstdItemX 4 3" xfId="19786" xr:uid="{1DD0A285-72EF-4430-A394-8D616CB74868}"/>
    <cellStyle name="SAPBEXstdItemX 4 3 2" xfId="34510" xr:uid="{9B45DB70-E5BD-4A57-BE78-D1F10E99F7C7}"/>
    <cellStyle name="SAPBEXstdItemX 4 4" xfId="19787" xr:uid="{C527C847-FE45-4E15-8B9C-3703196229C9}"/>
    <cellStyle name="SAPBEXstdItemX 4 4 2" xfId="34511" xr:uid="{7789B12E-29F0-413E-9ECE-49424BF84DB0}"/>
    <cellStyle name="SAPBEXstdItemX 4 5" xfId="19788" xr:uid="{926E3F88-5832-4CE1-9E56-DBDA9268E032}"/>
    <cellStyle name="SAPBEXstdItemX 4 5 2" xfId="34512" xr:uid="{87E07859-CA1B-408C-B510-37F822348C2F}"/>
    <cellStyle name="SAPBEXstdItemX 4 6" xfId="19789" xr:uid="{50591BEC-36D3-4707-9EBF-80AE59B55D1D}"/>
    <cellStyle name="SAPBEXstdItemX 4 6 2" xfId="34513" xr:uid="{24D315D2-FFDD-4B5F-A3A1-C2E8CA93E296}"/>
    <cellStyle name="SAPBEXstdItemX 4 7" xfId="19790" xr:uid="{3313562D-FF94-4E89-A258-B5B24B8DD13A}"/>
    <cellStyle name="SAPBEXstdItemX 4 7 2" xfId="34514" xr:uid="{AC48A7F4-D8D0-4ED9-8F71-4221072E73FA}"/>
    <cellStyle name="SAPBEXstdItemX 4 8" xfId="19791" xr:uid="{FD4E9CAF-DF78-46DE-ABEA-BAD6BC69AB04}"/>
    <cellStyle name="SAPBEXstdItemX 4 8 2" xfId="34515" xr:uid="{9F8FCA02-DE82-4BD0-A810-61C42CF9F9F2}"/>
    <cellStyle name="SAPBEXstdItemX 4 9" xfId="19792" xr:uid="{5D43E727-54A3-422F-AF24-1FD4C9144BE4}"/>
    <cellStyle name="SAPBEXstdItemX 4 9 2" xfId="34516" xr:uid="{58523501-7AD0-4E29-8B83-F302AD287648}"/>
    <cellStyle name="SAPBEXstdItemX 5" xfId="19793" xr:uid="{8012C47C-493D-4CA6-9686-ADF6012442E3}"/>
    <cellStyle name="SAPBEXstdItemX 5 2" xfId="34517" xr:uid="{A0AA2745-7DD3-4C99-A5D5-E0222834E2C6}"/>
    <cellStyle name="SAPBEXstdItemX 6" xfId="19794" xr:uid="{36A02047-6DBD-40C0-8726-62DD7E29BBCE}"/>
    <cellStyle name="SAPBEXstdItemX 6 2" xfId="34518" xr:uid="{5FCACDB5-9DEB-4784-9192-193505D70269}"/>
    <cellStyle name="SAPBEXstdItemX 7" xfId="19795" xr:uid="{99AD49D6-14D6-4160-B7BF-75B257C9838E}"/>
    <cellStyle name="SAPBEXstdItemX 7 2" xfId="34519" xr:uid="{55982E87-12E2-4B2B-861D-874CD803200C}"/>
    <cellStyle name="SAPBEXstdItemX 8" xfId="19796" xr:uid="{CF0992FA-E307-451B-ADBA-85854444683D}"/>
    <cellStyle name="SAPBEXstdItemX 8 2" xfId="34520" xr:uid="{B8F52E1D-AF2F-4A7D-8010-977E455C7978}"/>
    <cellStyle name="SAPBEXstdItemX 9" xfId="19797" xr:uid="{F201BAA0-D1B7-4D8C-85F8-F0F3A7E94ABA}"/>
    <cellStyle name="SAPBEXstdItemX 9 2" xfId="34521" xr:uid="{B5310275-4650-4CBB-ADEC-02A1DB0E9F12}"/>
    <cellStyle name="SAPBEXsubData" xfId="19798" xr:uid="{10E267DC-1547-41CC-93A3-896E1E2B7700}"/>
    <cellStyle name="SAPBEXsubData 2" xfId="19799" xr:uid="{1D7DFDC2-8F3C-4238-A072-6AC123E33FDA}"/>
    <cellStyle name="SAPBEXsubDataEmph" xfId="19800" xr:uid="{394A19A5-E725-4D79-BAF0-363F1FE4C50A}"/>
    <cellStyle name="SAPBEXsubDataEmph 2" xfId="19801" xr:uid="{4EA3F07A-DE94-4964-9DEA-81B22E248B99}"/>
    <cellStyle name="SAPBEXsubItem" xfId="19802" xr:uid="{50FFD6BB-A0DA-4737-BF62-3D8C158568A5}"/>
    <cellStyle name="SAPBEXsubItem 2" xfId="19803" xr:uid="{233FDBDB-9424-45D6-BBF9-D6294043AC2A}"/>
    <cellStyle name="SAPBEXtitle" xfId="19804" xr:uid="{B1E26115-F1DF-4DEF-8744-2CFF6267FB53}"/>
    <cellStyle name="SAPBEXtitle 2" xfId="19805" xr:uid="{F64F85EF-77FF-4C0C-8670-A42B03AD2FC0}"/>
    <cellStyle name="SAPBEXundefined" xfId="19806" xr:uid="{33C65AA2-9B60-4503-BF8F-F990769530A2}"/>
    <cellStyle name="SAPBEXundefined 10" xfId="19807" xr:uid="{ABBF8C2E-EC90-483B-960C-2CB92C92D689}"/>
    <cellStyle name="SAPBEXundefined 10 2" xfId="34522" xr:uid="{D4E262CC-A7CC-4ECB-A517-1C6BA459A10E}"/>
    <cellStyle name="SAPBEXundefined 11" xfId="19808" xr:uid="{1F045435-AE5D-4CF6-A43A-36ED36644ECB}"/>
    <cellStyle name="SAPBEXundefined 11 2" xfId="34523" xr:uid="{EB8A6BFC-4DD3-4BEC-8700-6BD29A77B380}"/>
    <cellStyle name="SAPBEXundefined 12" xfId="19809" xr:uid="{0996C044-BAAA-4E9B-AE17-DBC0725D9CBB}"/>
    <cellStyle name="SAPBEXundefined 12 2" xfId="34524" xr:uid="{96A49701-C94F-4235-AF66-96653885769A}"/>
    <cellStyle name="SAPBEXundefined 13" xfId="19810" xr:uid="{4ACF4685-B7AC-47F6-A169-EA1E408206EE}"/>
    <cellStyle name="SAPBEXundefined 13 2" xfId="34525" xr:uid="{56508098-00E4-4332-97E3-3A99256D7F7B}"/>
    <cellStyle name="SAPBEXundefined 14" xfId="19811" xr:uid="{144CB016-CFAC-4C87-9E3F-47E672BD9494}"/>
    <cellStyle name="SAPBEXundefined 14 2" xfId="34526" xr:uid="{D4E320DD-16A2-4065-8545-A407448CCBD2}"/>
    <cellStyle name="SAPBEXundefined 15" xfId="19812" xr:uid="{38253F35-CC8E-4478-B17C-331C055F8E57}"/>
    <cellStyle name="SAPBEXundefined 15 2" xfId="34527" xr:uid="{C28E3F85-235D-4004-8D6F-7B37B9C99D30}"/>
    <cellStyle name="SAPBEXundefined 16" xfId="19813" xr:uid="{C79644A6-A03C-4605-ACB8-7DFEBAA9F99C}"/>
    <cellStyle name="SAPBEXundefined 16 2" xfId="34528" xr:uid="{7BE76859-A643-4740-8279-CDACF9DC1AD2}"/>
    <cellStyle name="SAPBEXundefined 17" xfId="19814" xr:uid="{12987FAF-D9A2-4CDA-BC9C-E97757E6E740}"/>
    <cellStyle name="SAPBEXundefined 17 2" xfId="34529" xr:uid="{607EFB09-C322-4464-8664-E5719E8560B6}"/>
    <cellStyle name="SAPBEXundefined 18" xfId="19815" xr:uid="{2B2FF20F-89DF-4B39-A3AE-3217734C72E2}"/>
    <cellStyle name="SAPBEXundefined 18 2" xfId="34530" xr:uid="{94B6D068-63B5-49FE-BFA1-DC0823A6846F}"/>
    <cellStyle name="SAPBEXundefined 19" xfId="19816" xr:uid="{E3CADE5F-F3FF-47B0-9FDD-D6CF6832F929}"/>
    <cellStyle name="SAPBEXundefined 19 2" xfId="34531" xr:uid="{85976DC5-3ED9-4525-BF1C-6C058432C2B4}"/>
    <cellStyle name="SAPBEXundefined 2" xfId="19817" xr:uid="{2DB9AA50-B520-4369-A247-80188D36EAE2}"/>
    <cellStyle name="SAPBEXundefined 2 10" xfId="19818" xr:uid="{5A761651-4663-4AEF-9C20-5E905839196A}"/>
    <cellStyle name="SAPBEXundefined 2 10 2" xfId="34533" xr:uid="{46140A75-C57C-41BD-BA45-272DE0191D55}"/>
    <cellStyle name="SAPBEXundefined 2 11" xfId="19819" xr:uid="{C0AEB070-07A5-4562-9958-202DC2876DEA}"/>
    <cellStyle name="SAPBEXundefined 2 11 2" xfId="34534" xr:uid="{65369FD0-E968-48C6-9EC1-41827FEC5128}"/>
    <cellStyle name="SAPBEXundefined 2 12" xfId="19820" xr:uid="{BB0314E0-E885-4E7E-865B-530D01CFA614}"/>
    <cellStyle name="SAPBEXundefined 2 12 2" xfId="34535" xr:uid="{E8304EF4-B21D-4DCD-9538-E05A21B8E864}"/>
    <cellStyle name="SAPBEXundefined 2 13" xfId="19821" xr:uid="{532A77B4-371F-4D57-8294-8723CA7C15A1}"/>
    <cellStyle name="SAPBEXundefined 2 13 2" xfId="34536" xr:uid="{08A09903-5124-460C-B1DA-DE750FCEC274}"/>
    <cellStyle name="SAPBEXundefined 2 14" xfId="19822" xr:uid="{B15E8FA2-A11A-4152-8E9E-606EC3604AB2}"/>
    <cellStyle name="SAPBEXundefined 2 14 2" xfId="34537" xr:uid="{ABEA4F23-7D6C-46CB-B42D-2B4AC841B7EE}"/>
    <cellStyle name="SAPBEXundefined 2 15" xfId="19823" xr:uid="{160E8DF0-2953-4592-844D-1BBD9A0DCD21}"/>
    <cellStyle name="SAPBEXundefined 2 15 2" xfId="34538" xr:uid="{981976FC-1CE2-483E-A253-FB3EB0677A38}"/>
    <cellStyle name="SAPBEXundefined 2 16" xfId="19824" xr:uid="{880333FC-FD45-4FE7-84C8-1EDAEEEE3D80}"/>
    <cellStyle name="SAPBEXundefined 2 16 2" xfId="34539" xr:uid="{946CC99E-E3ED-467B-8030-46839708FA65}"/>
    <cellStyle name="SAPBEXundefined 2 17" xfId="19825" xr:uid="{637DD648-99BD-4D70-9822-AE8044512BD3}"/>
    <cellStyle name="SAPBEXundefined 2 17 2" xfId="34540" xr:uid="{EC2E8DA3-0FC4-4D23-956E-5379C53F4E8F}"/>
    <cellStyle name="SAPBEXundefined 2 18" xfId="19826" xr:uid="{5500F40C-A771-4321-8223-401C55157BAD}"/>
    <cellStyle name="SAPBEXundefined 2 18 2" xfId="34541" xr:uid="{C6FFACE8-3945-4014-AE01-9480F7DAE026}"/>
    <cellStyle name="SAPBEXundefined 2 19" xfId="19827" xr:uid="{8F31CBC1-06B0-43AE-B671-8F41C085470D}"/>
    <cellStyle name="SAPBEXundefined 2 19 2" xfId="34542" xr:uid="{FD36E30E-A6B9-42A5-A970-D1F2C40B2610}"/>
    <cellStyle name="SAPBEXundefined 2 2" xfId="19828" xr:uid="{57BBB5F1-2B89-4C23-A764-B255B7EC25D5}"/>
    <cellStyle name="SAPBEXundefined 2 2 10" xfId="19829" xr:uid="{C7BFFEFE-D4C0-4964-8125-82AB4B6D6705}"/>
    <cellStyle name="SAPBEXundefined 2 2 10 2" xfId="34544" xr:uid="{E73B2A19-B7F1-4778-BE75-B9BC9E4ED82F}"/>
    <cellStyle name="SAPBEXundefined 2 2 11" xfId="19830" xr:uid="{838C16D6-92D3-46AC-8266-BCA4F78B6814}"/>
    <cellStyle name="SAPBEXundefined 2 2 11 2" xfId="34545" xr:uid="{5F5512D6-8F28-42E4-89B9-8EB025B8E14A}"/>
    <cellStyle name="SAPBEXundefined 2 2 12" xfId="19831" xr:uid="{5F9E4EFD-13BE-42AA-A63B-FF942CD30477}"/>
    <cellStyle name="SAPBEXundefined 2 2 12 2" xfId="34546" xr:uid="{1A7E3149-C7D6-49FB-9E5D-3A3B8FB43EEC}"/>
    <cellStyle name="SAPBEXundefined 2 2 13" xfId="19832" xr:uid="{B8D8B273-AD4F-4675-A255-9332A8F4581A}"/>
    <cellStyle name="SAPBEXundefined 2 2 13 2" xfId="34547" xr:uid="{B5E5F715-2F0F-4AEB-AD42-75E571CF626F}"/>
    <cellStyle name="SAPBEXundefined 2 2 14" xfId="19833" xr:uid="{8FFA6683-5B32-488C-9BD5-FB2B04DB41E5}"/>
    <cellStyle name="SAPBEXundefined 2 2 14 2" xfId="34548" xr:uid="{08E13770-6455-488D-9BA7-DE15FDE00544}"/>
    <cellStyle name="SAPBEXundefined 2 2 15" xfId="19834" xr:uid="{767E03D4-9867-42F4-AC02-C8485251E003}"/>
    <cellStyle name="SAPBEXundefined 2 2 15 2" xfId="34549" xr:uid="{9425E735-643D-4C11-B830-0DACC130A836}"/>
    <cellStyle name="SAPBEXundefined 2 2 16" xfId="19835" xr:uid="{9085CDE8-5271-41F6-9202-DBB9B501FE31}"/>
    <cellStyle name="SAPBEXundefined 2 2 16 2" xfId="34550" xr:uid="{8D12917B-D5D7-44F6-9733-495813885436}"/>
    <cellStyle name="SAPBEXundefined 2 2 17" xfId="19836" xr:uid="{E3B2D63A-6067-4064-AB2B-B889289A7F4A}"/>
    <cellStyle name="SAPBEXundefined 2 2 17 2" xfId="34551" xr:uid="{E0DBC0B7-EA35-4261-A8B4-3C51E18F0ECB}"/>
    <cellStyle name="SAPBEXundefined 2 2 18" xfId="19837" xr:uid="{EC8D3623-BE0D-4C80-A505-6EE91D0193E6}"/>
    <cellStyle name="SAPBEXundefined 2 2 18 2" xfId="34552" xr:uid="{685DA9A0-6DEB-4B12-A3A0-81170BB0B9D6}"/>
    <cellStyle name="SAPBEXundefined 2 2 19" xfId="34543" xr:uid="{0ED5319F-5C8E-4496-8DC2-53F3E8C5FEB7}"/>
    <cellStyle name="SAPBEXundefined 2 2 2" xfId="19838" xr:uid="{C3C117E8-88A1-435D-9C0F-38DEE195893E}"/>
    <cellStyle name="SAPBEXundefined 2 2 2 10" xfId="19839" xr:uid="{9FCAE6B6-7200-4009-B7F1-FE23CA84994B}"/>
    <cellStyle name="SAPBEXundefined 2 2 2 10 2" xfId="34554" xr:uid="{B702F5BD-2F57-4182-9FD9-A5FFB9177F34}"/>
    <cellStyle name="SAPBEXundefined 2 2 2 11" xfId="19840" xr:uid="{AC7CA222-4EB2-4BCD-AB5B-3E18BA4D39AB}"/>
    <cellStyle name="SAPBEXundefined 2 2 2 11 2" xfId="34555" xr:uid="{2467B126-C7CD-4597-99D4-560EB54E6C85}"/>
    <cellStyle name="SAPBEXundefined 2 2 2 12" xfId="19841" xr:uid="{0A852E9D-743B-4F27-8A11-21A66FFD3ACF}"/>
    <cellStyle name="SAPBEXundefined 2 2 2 12 2" xfId="34556" xr:uid="{9C7A5CF7-7F09-49EB-8C15-819A53F9BBB7}"/>
    <cellStyle name="SAPBEXundefined 2 2 2 13" xfId="19842" xr:uid="{298EE217-59C2-457C-AC2A-E5C900E2F530}"/>
    <cellStyle name="SAPBEXundefined 2 2 2 13 2" xfId="34557" xr:uid="{448382B9-CD87-404D-92E6-B117B3C891CE}"/>
    <cellStyle name="SAPBEXundefined 2 2 2 14" xfId="19843" xr:uid="{1CB36256-4633-4846-B20D-23234FC951F7}"/>
    <cellStyle name="SAPBEXundefined 2 2 2 14 2" xfId="34558" xr:uid="{EDB98007-180A-4098-ADB2-CE4FF3CAE9BA}"/>
    <cellStyle name="SAPBEXundefined 2 2 2 15" xfId="34553" xr:uid="{340E2E2A-AB2A-4401-BB56-F7AAF4D0A0F3}"/>
    <cellStyle name="SAPBEXundefined 2 2 2 2" xfId="19844" xr:uid="{F09BBBFC-E2DF-4C62-854D-EB0F222D8158}"/>
    <cellStyle name="SAPBEXundefined 2 2 2 2 2" xfId="34559" xr:uid="{D8753C4B-1C59-4D1E-8A82-E5E276ABC27F}"/>
    <cellStyle name="SAPBEXundefined 2 2 2 3" xfId="19845" xr:uid="{D822E916-CA93-4FFB-AE7C-C20AD7255AF4}"/>
    <cellStyle name="SAPBEXundefined 2 2 2 3 2" xfId="34560" xr:uid="{B07E8FF9-4B57-44B4-8BB5-7BD949B0F2ED}"/>
    <cellStyle name="SAPBEXundefined 2 2 2 4" xfId="19846" xr:uid="{55E6D70C-50D1-42BA-88DD-8F635F2FB9C8}"/>
    <cellStyle name="SAPBEXundefined 2 2 2 4 2" xfId="34561" xr:uid="{4E5B4215-4345-4392-A878-EAFE0E8807FE}"/>
    <cellStyle name="SAPBEXundefined 2 2 2 5" xfId="19847" xr:uid="{BA9ECB71-1465-4799-A296-53CEC949A280}"/>
    <cellStyle name="SAPBEXundefined 2 2 2 5 2" xfId="34562" xr:uid="{BF7AE6AF-3444-4B59-AB0F-E6EE5CD55DC5}"/>
    <cellStyle name="SAPBEXundefined 2 2 2 6" xfId="19848" xr:uid="{337B4E40-49AE-464B-8E92-1ACD29D1F20C}"/>
    <cellStyle name="SAPBEXundefined 2 2 2 6 2" xfId="34563" xr:uid="{2A7C0520-703C-4176-A913-4038A0B07113}"/>
    <cellStyle name="SAPBEXundefined 2 2 2 7" xfId="19849" xr:uid="{2269EAE0-D885-4897-9E36-785510EE6A20}"/>
    <cellStyle name="SAPBEXundefined 2 2 2 7 2" xfId="34564" xr:uid="{1890534A-E3C8-4160-8298-91616B17455B}"/>
    <cellStyle name="SAPBEXundefined 2 2 2 8" xfId="19850" xr:uid="{536E990C-267A-4ABD-A400-2EEBB32B1BE0}"/>
    <cellStyle name="SAPBEXundefined 2 2 2 8 2" xfId="34565" xr:uid="{EBB752EF-B969-420F-9C95-3E855D57E657}"/>
    <cellStyle name="SAPBEXundefined 2 2 2 9" xfId="19851" xr:uid="{AC4BB3DF-48F7-4E31-A5F1-51F385DCD30F}"/>
    <cellStyle name="SAPBEXundefined 2 2 2 9 2" xfId="34566" xr:uid="{FBF3B6C6-311C-41B1-8230-19FFBD212875}"/>
    <cellStyle name="SAPBEXundefined 2 2 3" xfId="19852" xr:uid="{E4376D47-F673-4342-B156-4A22DCC106F3}"/>
    <cellStyle name="SAPBEXundefined 2 2 3 2" xfId="34567" xr:uid="{0B1279A5-F1F9-4395-84CB-707B64A7947E}"/>
    <cellStyle name="SAPBEXundefined 2 2 4" xfId="19853" xr:uid="{B053F441-63EB-4B97-ABE6-CFEC59522CB1}"/>
    <cellStyle name="SAPBEXundefined 2 2 4 2" xfId="34568" xr:uid="{4368E114-9A96-4C7D-963F-F0692B4FEF0C}"/>
    <cellStyle name="SAPBEXundefined 2 2 5" xfId="19854" xr:uid="{33C6652D-C10C-4CAF-801D-5E75E6476808}"/>
    <cellStyle name="SAPBEXundefined 2 2 5 2" xfId="34569" xr:uid="{ABE76B0B-F55C-4231-8219-AC87FA272CF8}"/>
    <cellStyle name="SAPBEXundefined 2 2 6" xfId="19855" xr:uid="{260BD8BF-C271-44BA-BCDC-DF9DA5EE2B12}"/>
    <cellStyle name="SAPBEXundefined 2 2 6 2" xfId="34570" xr:uid="{FEE92C97-0695-4C07-A171-3DC9AB7081A7}"/>
    <cellStyle name="SAPBEXundefined 2 2 7" xfId="19856" xr:uid="{45B5C7A8-1FB2-4416-B4F8-06B6ED64B460}"/>
    <cellStyle name="SAPBEXundefined 2 2 7 2" xfId="34571" xr:uid="{391E2B61-7EA1-43EA-A14A-3DA99E02001D}"/>
    <cellStyle name="SAPBEXundefined 2 2 8" xfId="19857" xr:uid="{98405560-CE73-42B1-8AC9-94A83B371D69}"/>
    <cellStyle name="SAPBEXundefined 2 2 8 2" xfId="34572" xr:uid="{0A7EED12-8B1E-4EE0-917D-678C699443E7}"/>
    <cellStyle name="SAPBEXundefined 2 2 9" xfId="19858" xr:uid="{81B27F36-4720-4B1E-8223-498102ECFCCF}"/>
    <cellStyle name="SAPBEXundefined 2 2 9 2" xfId="34573" xr:uid="{DF3C31AE-EFEA-4C9E-B19C-C57BE9D9285F}"/>
    <cellStyle name="SAPBEXundefined 2 20" xfId="34532" xr:uid="{70DEAE76-1503-41F2-A6CD-16C0D4692EC5}"/>
    <cellStyle name="SAPBEXundefined 2 3" xfId="19859" xr:uid="{6E18D9EB-F273-407F-9F10-DC558DFB48F0}"/>
    <cellStyle name="SAPBEXundefined 2 3 10" xfId="19860" xr:uid="{EE372172-DFD4-40EE-9CD4-F07DC5314628}"/>
    <cellStyle name="SAPBEXundefined 2 3 10 2" xfId="34575" xr:uid="{B7132A31-7C0B-46E2-88C7-0CF39F3374DC}"/>
    <cellStyle name="SAPBEXundefined 2 3 11" xfId="19861" xr:uid="{ABA40322-D7D0-49DD-948A-975B7F974870}"/>
    <cellStyle name="SAPBEXundefined 2 3 11 2" xfId="34576" xr:uid="{C0AE4393-7BAF-41E8-A2EE-BAC129ECBE78}"/>
    <cellStyle name="SAPBEXundefined 2 3 12" xfId="19862" xr:uid="{B49C7E7E-21A2-43C3-87F5-8258CDF2C3E4}"/>
    <cellStyle name="SAPBEXundefined 2 3 12 2" xfId="34577" xr:uid="{5B4AE0DF-9FEC-40E4-9B3E-12748E18E490}"/>
    <cellStyle name="SAPBEXundefined 2 3 13" xfId="19863" xr:uid="{CB3403C8-BC32-4D52-81DF-12D111B36A28}"/>
    <cellStyle name="SAPBEXundefined 2 3 13 2" xfId="34578" xr:uid="{9A5EC276-5EF4-46F1-B55F-D8C23844E0DC}"/>
    <cellStyle name="SAPBEXundefined 2 3 14" xfId="19864" xr:uid="{AC360336-69F0-480C-A8F5-182F3230AA39}"/>
    <cellStyle name="SAPBEXundefined 2 3 14 2" xfId="34579" xr:uid="{CD4324B5-47D1-4B77-A06F-8556581C1BFD}"/>
    <cellStyle name="SAPBEXundefined 2 3 15" xfId="34574" xr:uid="{9B94693E-93E7-4A7C-9505-E6836D6D522D}"/>
    <cellStyle name="SAPBEXundefined 2 3 2" xfId="19865" xr:uid="{31CD2A33-E0D0-4A7E-815E-9EB7A2430F1B}"/>
    <cellStyle name="SAPBEXundefined 2 3 2 2" xfId="34580" xr:uid="{05B3DCEE-AED1-4C80-9562-1D1C8D8375C9}"/>
    <cellStyle name="SAPBEXundefined 2 3 3" xfId="19866" xr:uid="{1D6A1A68-3721-4BFF-86BC-26CF7FB0AAA4}"/>
    <cellStyle name="SAPBEXundefined 2 3 3 2" xfId="34581" xr:uid="{7096DD07-647A-4C53-AA47-CF996FCFD954}"/>
    <cellStyle name="SAPBEXundefined 2 3 4" xfId="19867" xr:uid="{06B27FBF-8948-44DA-BF34-4D90EFAFAB0E}"/>
    <cellStyle name="SAPBEXundefined 2 3 4 2" xfId="34582" xr:uid="{9377410E-BF1A-4CFA-8D7F-A06F5896596E}"/>
    <cellStyle name="SAPBEXundefined 2 3 5" xfId="19868" xr:uid="{AD2D2FDC-9C10-4CC0-BFB6-12EF7855C3AC}"/>
    <cellStyle name="SAPBEXundefined 2 3 5 2" xfId="34583" xr:uid="{C9A7B328-1F7A-4451-B0DF-C3A710B02D1C}"/>
    <cellStyle name="SAPBEXundefined 2 3 6" xfId="19869" xr:uid="{300DBE2C-A762-4DE1-9ABD-82B7FE992794}"/>
    <cellStyle name="SAPBEXundefined 2 3 6 2" xfId="34584" xr:uid="{6E41A4E3-4184-4CF2-952E-9BF93F1FE926}"/>
    <cellStyle name="SAPBEXundefined 2 3 7" xfId="19870" xr:uid="{A19D7DAD-354C-4919-B029-74216770EBE0}"/>
    <cellStyle name="SAPBEXundefined 2 3 7 2" xfId="34585" xr:uid="{36910E7E-2F95-4981-A8A4-6F910B581DCA}"/>
    <cellStyle name="SAPBEXundefined 2 3 8" xfId="19871" xr:uid="{AAF235FD-D819-4C25-A178-87AE8A64DDB9}"/>
    <cellStyle name="SAPBEXundefined 2 3 8 2" xfId="34586" xr:uid="{D779AF17-82D8-4279-86CD-34E0B15BB97D}"/>
    <cellStyle name="SAPBEXundefined 2 3 9" xfId="19872" xr:uid="{DD208A3E-363B-4B1B-A21C-9408107D0CEA}"/>
    <cellStyle name="SAPBEXundefined 2 3 9 2" xfId="34587" xr:uid="{608590CB-905F-4044-A2CA-AED8D78250A5}"/>
    <cellStyle name="SAPBEXundefined 2 4" xfId="19873" xr:uid="{B7538FAD-2C65-4284-AC51-4E6F484906FF}"/>
    <cellStyle name="SAPBEXundefined 2 4 2" xfId="34588" xr:uid="{64AAC5A8-7032-43D4-8217-503AC2751AAF}"/>
    <cellStyle name="SAPBEXundefined 2 5" xfId="19874" xr:uid="{76D84D28-262B-4067-8E0B-95F9112BC457}"/>
    <cellStyle name="SAPBEXundefined 2 5 2" xfId="34589" xr:uid="{DFA9B8C6-59DB-48E2-A967-958F88719742}"/>
    <cellStyle name="SAPBEXundefined 2 6" xfId="19875" xr:uid="{0F8EFC05-02F1-4E8F-8389-96E601CC6844}"/>
    <cellStyle name="SAPBEXundefined 2 6 2" xfId="34590" xr:uid="{2EAED6B2-4F82-4391-A03C-2CC115A26F62}"/>
    <cellStyle name="SAPBEXundefined 2 7" xfId="19876" xr:uid="{FEE8156A-E715-4F6A-B5BD-76A78A44FD76}"/>
    <cellStyle name="SAPBEXundefined 2 7 2" xfId="34591" xr:uid="{745C3B50-DBC2-4510-8FB7-DFEEA057688C}"/>
    <cellStyle name="SAPBEXundefined 2 8" xfId="19877" xr:uid="{29E19FAD-76C3-4A77-9470-BE5DA76BE966}"/>
    <cellStyle name="SAPBEXundefined 2 8 2" xfId="34592" xr:uid="{88EE28C1-D766-48AC-9989-9B0DF5F08346}"/>
    <cellStyle name="SAPBEXundefined 2 9" xfId="19878" xr:uid="{2EBC899E-6687-4BCC-9112-875438447DAB}"/>
    <cellStyle name="SAPBEXundefined 2 9 2" xfId="34593" xr:uid="{69DE8C82-89EF-4A21-88A7-FA21AC0DBE3E}"/>
    <cellStyle name="SAPBEXundefined 20" xfId="19879" xr:uid="{00603A4B-09E6-41FD-9390-084FA6877625}"/>
    <cellStyle name="SAPBEXundefined 20 2" xfId="34594" xr:uid="{76040076-9663-4E76-B985-6A6A0C6D7D8A}"/>
    <cellStyle name="SAPBEXundefined 21" xfId="19880" xr:uid="{7321D0BE-6DF6-405D-BE1A-81380DD9D09A}"/>
    <cellStyle name="SAPBEXundefined 21 2" xfId="34595" xr:uid="{69C0929B-2F81-4CEC-929B-6B8A53E686D3}"/>
    <cellStyle name="SAPBEXundefined 3" xfId="19881" xr:uid="{81E96355-F4B3-4C41-A946-7D2295376E90}"/>
    <cellStyle name="SAPBEXundefined 3 2" xfId="19882" xr:uid="{686B9E89-2640-4CA5-9FB7-E41F9E7E7EE8}"/>
    <cellStyle name="SAPBEXundefined 3 2 10" xfId="19883" xr:uid="{BEEB2FA1-18BE-40A4-8FC4-A450DF1F8742}"/>
    <cellStyle name="SAPBEXundefined 3 2 10 2" xfId="34598" xr:uid="{0DD51123-7D64-4CA5-8B6F-B42E85EA4FA0}"/>
    <cellStyle name="SAPBEXundefined 3 2 11" xfId="19884" xr:uid="{2295CB65-D084-4054-A262-BDF04A393267}"/>
    <cellStyle name="SAPBEXundefined 3 2 11 2" xfId="34599" xr:uid="{84352F52-5AB6-46DF-9F0B-9C55DB99BB0D}"/>
    <cellStyle name="SAPBEXundefined 3 2 12" xfId="19885" xr:uid="{7DF3E691-4D30-4E67-B310-A4140EF71C0B}"/>
    <cellStyle name="SAPBEXundefined 3 2 12 2" xfId="34600" xr:uid="{33910303-D465-432D-92C8-9A0431494DC1}"/>
    <cellStyle name="SAPBEXundefined 3 2 13" xfId="19886" xr:uid="{3E6F4B54-2E28-4046-96C7-3321D6797847}"/>
    <cellStyle name="SAPBEXundefined 3 2 13 2" xfId="34601" xr:uid="{04E5F83A-1540-4A33-9F7E-69B16E0EC7F6}"/>
    <cellStyle name="SAPBEXundefined 3 2 14" xfId="19887" xr:uid="{4E5DCDD3-11E5-43A1-B888-3526DDA7797E}"/>
    <cellStyle name="SAPBEXundefined 3 2 14 2" xfId="34602" xr:uid="{A95DC2CC-C452-4DE5-9A87-D3C87FA14E52}"/>
    <cellStyle name="SAPBEXundefined 3 2 15" xfId="34597" xr:uid="{F4C8CF15-E540-4C53-B930-E87FDF2A0AF7}"/>
    <cellStyle name="SAPBEXundefined 3 2 2" xfId="19888" xr:uid="{277C800A-A1EF-4BE1-8296-BE2C2B06BF9C}"/>
    <cellStyle name="SAPBEXundefined 3 2 2 2" xfId="34603" xr:uid="{54E45D4E-0564-4AD2-81C8-9B8BF228BA31}"/>
    <cellStyle name="SAPBEXundefined 3 2 3" xfId="19889" xr:uid="{1B99AD10-640F-4CE0-B7F0-C11F07F15C1E}"/>
    <cellStyle name="SAPBEXundefined 3 2 3 2" xfId="34604" xr:uid="{B27A32AA-7E91-4853-A34E-B9FA00722BBD}"/>
    <cellStyle name="SAPBEXundefined 3 2 4" xfId="19890" xr:uid="{5B7FCCC3-E3F7-47F7-8279-0F0A5B99CDAD}"/>
    <cellStyle name="SAPBEXundefined 3 2 4 2" xfId="34605" xr:uid="{371524C0-15DB-45FC-AE4B-2F3CAF61C230}"/>
    <cellStyle name="SAPBEXundefined 3 2 5" xfId="19891" xr:uid="{F0E569ED-2B64-4966-9F71-8A6A21344F15}"/>
    <cellStyle name="SAPBEXundefined 3 2 5 2" xfId="34606" xr:uid="{B46F884F-4681-49CC-8978-3FCC2D44C21F}"/>
    <cellStyle name="SAPBEXundefined 3 2 6" xfId="19892" xr:uid="{0339AC57-F70B-437D-989A-D32F7BC0F313}"/>
    <cellStyle name="SAPBEXundefined 3 2 6 2" xfId="34607" xr:uid="{BAB65BA8-421E-42B6-B2E4-D94B83B2777A}"/>
    <cellStyle name="SAPBEXundefined 3 2 7" xfId="19893" xr:uid="{D20C3464-FA72-4EE6-827B-20549944484E}"/>
    <cellStyle name="SAPBEXundefined 3 2 7 2" xfId="34608" xr:uid="{1A6D9669-5381-4EC7-A450-CE677A526461}"/>
    <cellStyle name="SAPBEXundefined 3 2 8" xfId="19894" xr:uid="{1451FDAD-2C1D-4A78-91DC-BE176D501B12}"/>
    <cellStyle name="SAPBEXundefined 3 2 8 2" xfId="34609" xr:uid="{05A76DA7-F897-435D-A9A1-D77870CA83DF}"/>
    <cellStyle name="SAPBEXundefined 3 2 9" xfId="19895" xr:uid="{71AEA70F-8FBD-4189-9DF2-09167A07AF0D}"/>
    <cellStyle name="SAPBEXundefined 3 2 9 2" xfId="34610" xr:uid="{18447BC7-4BD8-4D5E-BBCB-628FED83D297}"/>
    <cellStyle name="SAPBEXundefined 3 3" xfId="19896" xr:uid="{E6331C15-A9F4-4CE7-A0D1-26BC34DC921C}"/>
    <cellStyle name="SAPBEXundefined 3 4" xfId="34596" xr:uid="{7321E5FA-AFDA-406D-9AAF-0D4ADB304207}"/>
    <cellStyle name="SAPBEXundefined 4" xfId="19897" xr:uid="{63F7CDDE-5B82-4D45-90C0-0C09CE90BFE1}"/>
    <cellStyle name="SAPBEXundefined 5" xfId="19898" xr:uid="{50F6FF23-5F10-43FB-9B0B-22A620051874}"/>
    <cellStyle name="SAPBEXundefined 5 10" xfId="19899" xr:uid="{6645F637-88D3-4A21-BD84-91860A80F714}"/>
    <cellStyle name="SAPBEXundefined 5 10 2" xfId="34612" xr:uid="{ED96B153-C2CE-482B-9014-EB710FD906D1}"/>
    <cellStyle name="SAPBEXundefined 5 11" xfId="19900" xr:uid="{6EF5C3B9-D378-4CE6-9407-2CFCD54490ED}"/>
    <cellStyle name="SAPBEXundefined 5 11 2" xfId="34613" xr:uid="{37668471-F980-4962-B133-7D5AA7232988}"/>
    <cellStyle name="SAPBEXundefined 5 12" xfId="19901" xr:uid="{DD4D776B-9727-4C46-B961-766786F3F00D}"/>
    <cellStyle name="SAPBEXundefined 5 12 2" xfId="34614" xr:uid="{BF02E5FC-8B39-4CDE-BF3A-E9E3FFED4FE1}"/>
    <cellStyle name="SAPBEXundefined 5 13" xfId="19902" xr:uid="{C65350C6-1597-4DDC-9FB3-6EC74B1FC83D}"/>
    <cellStyle name="SAPBEXundefined 5 13 2" xfId="34615" xr:uid="{53B711F4-A5BF-4C61-A9A7-E65AF2FE743B}"/>
    <cellStyle name="SAPBEXundefined 5 14" xfId="19903" xr:uid="{B0C9A8A5-1310-488D-A523-0123152A838B}"/>
    <cellStyle name="SAPBEXundefined 5 14 2" xfId="34616" xr:uid="{E7D59A46-2147-42AD-98E5-C71AA4C37A01}"/>
    <cellStyle name="SAPBEXundefined 5 15" xfId="34611" xr:uid="{A83B54BB-F3D3-45B1-B9BC-E5A2A38CC416}"/>
    <cellStyle name="SAPBEXundefined 5 2" xfId="19904" xr:uid="{119FCF86-C334-440C-AC41-D176A7386686}"/>
    <cellStyle name="SAPBEXundefined 5 2 2" xfId="34617" xr:uid="{504FE222-5ECB-430F-9DD7-6EB46C79A2A2}"/>
    <cellStyle name="SAPBEXundefined 5 3" xfId="19905" xr:uid="{DC2AA53C-0C58-431F-9024-30249D408151}"/>
    <cellStyle name="SAPBEXundefined 5 3 2" xfId="34618" xr:uid="{8DC3404E-F635-48EC-B2B2-75E855B7DCB4}"/>
    <cellStyle name="SAPBEXundefined 5 4" xfId="19906" xr:uid="{097A231A-F2F7-47F6-AFAF-3F94F35B9FBE}"/>
    <cellStyle name="SAPBEXundefined 5 4 2" xfId="34619" xr:uid="{6B95B57E-5D4A-41AA-A131-6187D54D7080}"/>
    <cellStyle name="SAPBEXundefined 5 5" xfId="19907" xr:uid="{439D6152-2F1F-49A9-9D6E-24EC45CAF2BA}"/>
    <cellStyle name="SAPBEXundefined 5 5 2" xfId="34620" xr:uid="{8F762FFF-6D9A-4326-B68C-FFC3BA2E77BE}"/>
    <cellStyle name="SAPBEXundefined 5 6" xfId="19908" xr:uid="{B21EB915-4FB9-400F-9A0A-864D499A582D}"/>
    <cellStyle name="SAPBEXundefined 5 6 2" xfId="34621" xr:uid="{31DC462C-E3DB-404D-8714-7DDA7223E684}"/>
    <cellStyle name="SAPBEXundefined 5 7" xfId="19909" xr:uid="{6ADD2FA8-A172-46D7-B4AE-2BE8CB30F25F}"/>
    <cellStyle name="SAPBEXundefined 5 7 2" xfId="34622" xr:uid="{96E72E7A-4801-4406-9173-5B6DA3E4B06C}"/>
    <cellStyle name="SAPBEXundefined 5 8" xfId="19910" xr:uid="{337DDFDE-7B2C-471F-B013-06CF7BA8E5E0}"/>
    <cellStyle name="SAPBEXundefined 5 8 2" xfId="34623" xr:uid="{ADE170E9-E34B-4088-A285-5F0DE67284CB}"/>
    <cellStyle name="SAPBEXundefined 5 9" xfId="19911" xr:uid="{6FC170DD-B00F-46C3-BEE3-BA5C3DBCE1E5}"/>
    <cellStyle name="SAPBEXundefined 5 9 2" xfId="34624" xr:uid="{283D9C5C-F559-457A-947F-97EFD8439822}"/>
    <cellStyle name="SAPBEXundefined 6" xfId="19912" xr:uid="{5AD13366-3D3E-4246-823C-BAB85A007D82}"/>
    <cellStyle name="SAPBEXundefined 6 2" xfId="34625" xr:uid="{E6B40E14-B5F6-4D69-981E-59048CC7E801}"/>
    <cellStyle name="SAPBEXundefined 7" xfId="19913" xr:uid="{73B73DFE-E6AC-4F50-9179-460104CAEF6A}"/>
    <cellStyle name="SAPBEXundefined 7 2" xfId="34626" xr:uid="{8FEB4E3E-58B7-44C6-B52F-BC56401FC5E8}"/>
    <cellStyle name="SAPBEXundefined 8" xfId="19914" xr:uid="{31E87D82-2F3D-4825-B8E9-F4CF36DA88EC}"/>
    <cellStyle name="SAPBEXundefined 8 2" xfId="34627" xr:uid="{5F2CA01F-E81E-4B8A-ABC2-E5F8D6D0CEC9}"/>
    <cellStyle name="SAPBEXundefined 9" xfId="19915" xr:uid="{253656F9-6B58-49D9-917E-92A380A07C46}"/>
    <cellStyle name="SAPBEXundefined 9 2" xfId="34628" xr:uid="{384A8B6E-CC6D-4BD7-8506-4B6C273226D3}"/>
    <cellStyle name="Satisfaisant" xfId="19916" xr:uid="{5986D2A9-10D4-45D1-BF57-C87B6AF3D444}"/>
    <cellStyle name="sche|_x0005_" xfId="19917" xr:uid="{E140DBC2-F21C-44E8-80D7-4F07141BAECA}"/>
    <cellStyle name="sche|_x0005_ 2" xfId="26387" xr:uid="{6B64E92B-23FC-4E04-9F74-C4695F5472C0}"/>
    <cellStyle name="SecSubTitle" xfId="19918" xr:uid="{5F2F7B15-C3B2-477C-94DE-E21AE3F0F612}"/>
    <cellStyle name="section" xfId="19919" xr:uid="{8E376BEC-7236-4BEF-BF94-D42C905EA176}"/>
    <cellStyle name="Section Number" xfId="19920" xr:uid="{5966FB4F-961C-4816-9130-62A282CF87A3}"/>
    <cellStyle name="section_FY09 Landing Scenarios" xfId="19921" xr:uid="{0C190A9E-6CAF-48B4-918E-29AC0E880790}"/>
    <cellStyle name="SecTitle" xfId="19922" xr:uid="{320DC610-A61D-464F-A991-E201966A46E1}"/>
    <cellStyle name="Separador de milhares [0]_MONTAGE QUADR" xfId="19923" xr:uid="{EF720742-BC31-40AF-A672-634F575C5072}"/>
    <cellStyle name="Separador de milhares_Cahier Budgetaire NDB BU 06_3rd ADJ" xfId="19924" xr:uid="{6D34C2E7-42CC-4297-BA95-80E00FFB07C3}"/>
    <cellStyle name="Shader" xfId="19925" xr:uid="{666F8932-CC74-4A5A-AA40-C36F54438EC5}"/>
    <cellStyle name="Shader 2" xfId="19926" xr:uid="{6F95756F-5814-4A8D-953B-EE0D895A7800}"/>
    <cellStyle name="Shader 2 2" xfId="19927" xr:uid="{A3105240-655A-47AB-AFC3-5A69538B4DF6}"/>
    <cellStyle name="Shader 2 2 10" xfId="19928" xr:uid="{73343B1D-69E4-47D7-A8F0-38167C83FDC5}"/>
    <cellStyle name="Shader 2 2 11" xfId="19929" xr:uid="{7A84993B-A417-4423-A4F8-CD038432B43C}"/>
    <cellStyle name="Shader 2 2 12" xfId="19930" xr:uid="{52370156-0A10-4282-819F-CEFA2E0A2B5D}"/>
    <cellStyle name="Shader 2 2 13" xfId="19931" xr:uid="{55EF33F4-9E1A-4C22-AC75-12512D5E5F49}"/>
    <cellStyle name="Shader 2 2 14" xfId="19932" xr:uid="{36A08312-C847-455D-B4A8-F2149003FFDC}"/>
    <cellStyle name="Shader 2 2 15" xfId="19933" xr:uid="{0EB55AEF-94E3-4BB9-A48F-55096B5C96C5}"/>
    <cellStyle name="Shader 2 2 16" xfId="19934" xr:uid="{06517911-52E3-4BFD-B38C-0761B8942451}"/>
    <cellStyle name="Shader 2 2 17" xfId="19935" xr:uid="{FEEE62AD-3077-4AD5-9236-51151A7D3138}"/>
    <cellStyle name="Shader 2 2 18" xfId="19936" xr:uid="{C07F3A09-3B0C-4B73-A36A-8C38CE0E6E6C}"/>
    <cellStyle name="Shader 2 2 19" xfId="19937" xr:uid="{2FD639FE-25CE-4D7C-A81A-67ACE125B628}"/>
    <cellStyle name="Shader 2 2 2" xfId="19938" xr:uid="{D5EDAF39-69BF-411F-B2C5-A4BC54645349}"/>
    <cellStyle name="Shader 2 2 20" xfId="19939" xr:uid="{D2BD9C4A-34B6-4DEE-A5BA-30666E19AB72}"/>
    <cellStyle name="Shader 2 2 21" xfId="19940" xr:uid="{DCF743D0-0F6C-45D6-AAAA-43278C4F611E}"/>
    <cellStyle name="Shader 2 2 3" xfId="19941" xr:uid="{FE1F98C6-8A66-41A3-857E-0ACD2FB9A0FD}"/>
    <cellStyle name="Shader 2 2 4" xfId="19942" xr:uid="{23999612-0D4D-41E6-901A-68DB3DEE7019}"/>
    <cellStyle name="Shader 2 2 5" xfId="19943" xr:uid="{03C43215-C147-4C3D-B6E7-E22BEB8EF204}"/>
    <cellStyle name="Shader 2 2 6" xfId="19944" xr:uid="{D7B410B3-220B-42C1-9C8D-62736906663E}"/>
    <cellStyle name="Shader 2 2 7" xfId="19945" xr:uid="{AB61D9EB-C17E-4FF6-8079-BA1BD13C8D98}"/>
    <cellStyle name="Shader 2 2 8" xfId="19946" xr:uid="{E2430488-0CF6-4875-AB50-C3C988884D16}"/>
    <cellStyle name="Shader 2 2 9" xfId="19947" xr:uid="{B82B7125-2A51-49D4-85D0-19E1EA5E901C}"/>
    <cellStyle name="Shader 3" xfId="19948" xr:uid="{22A51F36-7C8B-48C5-973C-2FFB71578804}"/>
    <cellStyle name="Shader 3 10" xfId="19949" xr:uid="{715F7137-4A46-4A49-AD0A-4D0002A013FE}"/>
    <cellStyle name="Shader 3 11" xfId="19950" xr:uid="{A1E3ECF7-7BD1-43CE-BCF5-3166287AE812}"/>
    <cellStyle name="Shader 3 12" xfId="19951" xr:uid="{8861074C-6BB5-4BF8-87F9-BB4D05A53D73}"/>
    <cellStyle name="Shader 3 13" xfId="19952" xr:uid="{B5C4B3C0-CC10-48E3-8C2E-A9C2DD949E48}"/>
    <cellStyle name="Shader 3 14" xfId="19953" xr:uid="{FFD61165-2D13-4538-92C1-891DBA069CBB}"/>
    <cellStyle name="Shader 3 15" xfId="19954" xr:uid="{F1E135E3-428C-4808-B943-9257DC29EDF2}"/>
    <cellStyle name="Shader 3 16" xfId="19955" xr:uid="{6320A803-F8C6-4CF7-B1D4-4A85FBA529A5}"/>
    <cellStyle name="Shader 3 17" xfId="19956" xr:uid="{0BBE2963-4A2D-4EE9-BC2D-E9E54F88498A}"/>
    <cellStyle name="Shader 3 18" xfId="19957" xr:uid="{30418378-204B-47AD-84F4-E02FF7278EE9}"/>
    <cellStyle name="Shader 3 19" xfId="19958" xr:uid="{FE0A90F8-B500-4BBF-8705-EBEB79E0E816}"/>
    <cellStyle name="Shader 3 2" xfId="19959" xr:uid="{CE206CBC-B643-4EE0-B830-7C748F6B7415}"/>
    <cellStyle name="Shader 3 20" xfId="19960" xr:uid="{1713FCA8-DC47-4965-A290-7E3C88B08A0E}"/>
    <cellStyle name="Shader 3 21" xfId="19961" xr:uid="{CC370159-B094-41F6-ABEC-457999144F14}"/>
    <cellStyle name="Shader 3 3" xfId="19962" xr:uid="{F9B70437-67B1-49F5-93AD-9FDBC940D67E}"/>
    <cellStyle name="Shader 3 4" xfId="19963" xr:uid="{FC639825-8CDF-47DE-9522-5746DCA1B1C0}"/>
    <cellStyle name="Shader 3 5" xfId="19964" xr:uid="{D19055B0-6D88-4BF9-8516-EBD056304BBC}"/>
    <cellStyle name="Shader 3 6" xfId="19965" xr:uid="{01E9B1C0-EAE8-4F71-A25E-5D5BE1D62413}"/>
    <cellStyle name="Shader 3 7" xfId="19966" xr:uid="{BE993C96-126B-4030-A998-B2919FF91695}"/>
    <cellStyle name="Shader 3 8" xfId="19967" xr:uid="{DB037E66-B1DB-431B-9A2C-5CEAE6DBC01A}"/>
    <cellStyle name="Shader 3 9" xfId="19968" xr:uid="{FF836F30-1213-451A-9367-261CEB99E422}"/>
    <cellStyle name="Sheet Title" xfId="19969" xr:uid="{50795382-376F-478A-839C-6788F1DF96F2}"/>
    <cellStyle name="Sledovaný hypertextový odkaz" xfId="19970" xr:uid="{A1B218F7-3E41-4012-80A7-959488AE2B16}"/>
    <cellStyle name="Sortie" xfId="19971" xr:uid="{3D64A414-80B1-40FA-93C2-F48A87C7DCB0}"/>
    <cellStyle name="Sortie 10" xfId="19972" xr:uid="{DCA8EAD0-6AD5-42D7-8526-914A760F0DB5}"/>
    <cellStyle name="Sortie 10 2" xfId="34630" xr:uid="{590A2D97-D521-4BAE-923C-C19FECDDEF26}"/>
    <cellStyle name="Sortie 11" xfId="19973" xr:uid="{F5CA79BC-63B6-4C45-BB82-4BBEEB3EB978}"/>
    <cellStyle name="Sortie 11 2" xfId="34631" xr:uid="{2D9480D0-8717-414D-B938-81ABCC537584}"/>
    <cellStyle name="Sortie 12" xfId="19974" xr:uid="{EAB051C7-701F-4BDD-B94C-3EE25AD8EFCA}"/>
    <cellStyle name="Sortie 12 2" xfId="34632" xr:uid="{A699A58C-F506-44B8-814A-9F9CA0BB1974}"/>
    <cellStyle name="Sortie 13" xfId="19975" xr:uid="{68CFD907-020A-4E42-BC9B-237D99CD007B}"/>
    <cellStyle name="Sortie 13 2" xfId="34633" xr:uid="{8BE216E6-E437-4CFA-9D8F-E462082B016D}"/>
    <cellStyle name="Sortie 14" xfId="19976" xr:uid="{2FB8694E-56AD-40BB-9755-E1411D3D37DB}"/>
    <cellStyle name="Sortie 14 2" xfId="34634" xr:uid="{537A46CD-5FE0-4394-96A8-7983D591FB35}"/>
    <cellStyle name="Sortie 15" xfId="19977" xr:uid="{05E70518-E50A-4242-8FC7-337495DE0BFC}"/>
    <cellStyle name="Sortie 15 2" xfId="34635" xr:uid="{CB16F11D-0178-42AC-8D30-22A96844E74E}"/>
    <cellStyle name="Sortie 16" xfId="19978" xr:uid="{6DCEA491-E687-40E9-AFA3-D0849BF48F5C}"/>
    <cellStyle name="Sortie 16 2" xfId="34636" xr:uid="{73CB97C0-4888-4F2F-AEAB-AFB5715D8145}"/>
    <cellStyle name="Sortie 17" xfId="19979" xr:uid="{B3ED4187-FE18-471F-ADF4-42D6F005098F}"/>
    <cellStyle name="Sortie 17 2" xfId="34637" xr:uid="{182E5918-01A2-496D-9D69-132C0FF5863F}"/>
    <cellStyle name="Sortie 18" xfId="19980" xr:uid="{C94984A8-0EAE-43F4-B577-F6B40731AA50}"/>
    <cellStyle name="Sortie 18 2" xfId="34638" xr:uid="{0BF8865E-E245-4A86-8E90-8A2231020C7F}"/>
    <cellStyle name="Sortie 19" xfId="19981" xr:uid="{58EC340A-4DDE-44D5-9856-85CC9E723250}"/>
    <cellStyle name="Sortie 19 2" xfId="34639" xr:uid="{B2C92639-42E5-4FCE-88F9-A61DEA8917A7}"/>
    <cellStyle name="Sortie 2" xfId="19982" xr:uid="{0181297D-994E-4074-914E-ED4770D2FF44}"/>
    <cellStyle name="Sortie 2 10" xfId="19983" xr:uid="{48AE3667-5B61-4E93-A7F4-E714EC36A30C}"/>
    <cellStyle name="Sortie 2 10 2" xfId="34641" xr:uid="{782B6EE2-8508-4C46-AEF8-4D9314CE7B9E}"/>
    <cellStyle name="Sortie 2 11" xfId="19984" xr:uid="{37307CDA-C581-4453-826E-25AD51EE1A65}"/>
    <cellStyle name="Sortie 2 11 2" xfId="34642" xr:uid="{8227970F-8296-4349-9692-B80C0554E77A}"/>
    <cellStyle name="Sortie 2 12" xfId="19985" xr:uid="{1944518C-D2F5-45FB-9656-7FDB21BF51A3}"/>
    <cellStyle name="Sortie 2 12 2" xfId="34643" xr:uid="{5A02FCD3-D679-4706-BE8C-169DC7D2152A}"/>
    <cellStyle name="Sortie 2 13" xfId="19986" xr:uid="{08059380-648C-4771-BEAC-81EA7415BC98}"/>
    <cellStyle name="Sortie 2 13 2" xfId="34644" xr:uid="{B0C547C4-AA70-48C9-8743-96B4C40216C2}"/>
    <cellStyle name="Sortie 2 14" xfId="19987" xr:uid="{0BEEB6FC-FA1A-4131-A820-830565ACEEDD}"/>
    <cellStyle name="Sortie 2 14 2" xfId="34645" xr:uid="{B6D8DE67-57CD-4BCF-B5F9-93344582C12A}"/>
    <cellStyle name="Sortie 2 15" xfId="19988" xr:uid="{F1A25E06-087D-4C57-851B-48B25EC7C5B1}"/>
    <cellStyle name="Sortie 2 15 2" xfId="34646" xr:uid="{85B372D7-3933-4DB0-AB6D-3CD981FB0C03}"/>
    <cellStyle name="Sortie 2 16" xfId="19989" xr:uid="{7F524684-88F8-47E6-AEE4-465C7E5225AE}"/>
    <cellStyle name="Sortie 2 16 2" xfId="34647" xr:uid="{E85EA635-DA2B-4766-A3A9-F44C5125AE3C}"/>
    <cellStyle name="Sortie 2 17" xfId="19990" xr:uid="{CEB5BE97-7823-460C-A1A3-6B15DCC5A218}"/>
    <cellStyle name="Sortie 2 17 2" xfId="34648" xr:uid="{D622ED1B-0BF6-47F5-B4E9-B935A7ABE112}"/>
    <cellStyle name="Sortie 2 18" xfId="19991" xr:uid="{D24422CC-5E60-444F-9204-8FC33563BE50}"/>
    <cellStyle name="Sortie 2 18 2" xfId="34649" xr:uid="{26BF8DA4-864A-49E3-AD65-3D617F192EBC}"/>
    <cellStyle name="Sortie 2 19" xfId="19992" xr:uid="{CD0E1D1F-F061-43BD-95E8-EFD90DC999FF}"/>
    <cellStyle name="Sortie 2 19 2" xfId="34650" xr:uid="{9D763889-9B6B-4B2B-B1FA-B72678AAF942}"/>
    <cellStyle name="Sortie 2 2" xfId="19993" xr:uid="{E75F6AAC-AC9D-4F05-9895-EDB5694E5472}"/>
    <cellStyle name="Sortie 2 2 10" xfId="19994" xr:uid="{06514E41-720F-415C-9A16-5AD2CEDEE1EA}"/>
    <cellStyle name="Sortie 2 2 10 2" xfId="34652" xr:uid="{E051375A-A552-443C-A404-6ACA4A9A48D5}"/>
    <cellStyle name="Sortie 2 2 11" xfId="19995" xr:uid="{83F832D5-C1CD-49DF-A7FB-7EDDF54E5C3B}"/>
    <cellStyle name="Sortie 2 2 11 2" xfId="34653" xr:uid="{8405D6B5-D764-432F-86D7-D67B87C2FA81}"/>
    <cellStyle name="Sortie 2 2 12" xfId="19996" xr:uid="{BB053788-9797-4ABB-89CF-BFA639BAA4BB}"/>
    <cellStyle name="Sortie 2 2 12 2" xfId="34654" xr:uid="{2A7ACF9C-8D1C-4580-9FD0-3FC7D1EB9353}"/>
    <cellStyle name="Sortie 2 2 13" xfId="19997" xr:uid="{5EDE5BB0-C260-4F91-A697-02E43B806499}"/>
    <cellStyle name="Sortie 2 2 13 2" xfId="34655" xr:uid="{D603D78B-99CD-4008-8254-487C1F603CD4}"/>
    <cellStyle name="Sortie 2 2 14" xfId="19998" xr:uid="{6B02D177-69D1-4B64-814D-FF4AE243C431}"/>
    <cellStyle name="Sortie 2 2 14 2" xfId="34656" xr:uid="{9AEF99E5-91BF-4E19-BDDA-3A9E24FDBA57}"/>
    <cellStyle name="Sortie 2 2 15" xfId="19999" xr:uid="{C00581F3-071F-4C1C-9343-78373303F3BB}"/>
    <cellStyle name="Sortie 2 2 15 2" xfId="34657" xr:uid="{6A2AC026-65E7-46D2-9F8C-3AD7C7491DB6}"/>
    <cellStyle name="Sortie 2 2 16" xfId="20000" xr:uid="{BAC916B4-E2C6-402E-8881-15BBE504366B}"/>
    <cellStyle name="Sortie 2 2 16 2" xfId="34658" xr:uid="{8C1FE06B-99BD-4DD7-BF08-FABC35A6E831}"/>
    <cellStyle name="Sortie 2 2 17" xfId="20001" xr:uid="{E05C8F7E-F665-4C09-87E5-18857AFC5A29}"/>
    <cellStyle name="Sortie 2 2 17 2" xfId="34659" xr:uid="{06518EFB-E4FE-40DF-8D7C-00A422EBD692}"/>
    <cellStyle name="Sortie 2 2 18" xfId="20002" xr:uid="{74DE09E6-2365-4C7D-A005-2097C4000D88}"/>
    <cellStyle name="Sortie 2 2 18 2" xfId="34660" xr:uid="{14711BA7-DE07-4A2B-9358-D377D2196030}"/>
    <cellStyle name="Sortie 2 2 19" xfId="34651" xr:uid="{B18EF624-7F50-4827-808C-6380B645E2F4}"/>
    <cellStyle name="Sortie 2 2 2" xfId="20003" xr:uid="{1E8D527E-BB93-488C-9DD8-5FEF99C27E41}"/>
    <cellStyle name="Sortie 2 2 2 10" xfId="20004" xr:uid="{C3BE3249-298D-4457-825F-AD2AF5126C53}"/>
    <cellStyle name="Sortie 2 2 2 10 2" xfId="34662" xr:uid="{B84E4F10-86CA-4264-A81A-88F1B89D752B}"/>
    <cellStyle name="Sortie 2 2 2 11" xfId="20005" xr:uid="{C06B70B9-F51D-43FE-A533-9D68A359E9F3}"/>
    <cellStyle name="Sortie 2 2 2 11 2" xfId="34663" xr:uid="{4A936022-ECCB-40E3-8D9E-B5D1FC0C767A}"/>
    <cellStyle name="Sortie 2 2 2 12" xfId="20006" xr:uid="{5E778EF1-B53D-4137-8A00-D3F8345D68DB}"/>
    <cellStyle name="Sortie 2 2 2 12 2" xfId="34664" xr:uid="{796CC1B3-28EB-46B8-9199-A452CC1ABE75}"/>
    <cellStyle name="Sortie 2 2 2 13" xfId="20007" xr:uid="{573E14E6-F28F-41E2-8DD9-91918A1FBC11}"/>
    <cellStyle name="Sortie 2 2 2 13 2" xfId="34665" xr:uid="{2A3C0984-FBC8-4E06-BEF4-09367C38865C}"/>
    <cellStyle name="Sortie 2 2 2 14" xfId="20008" xr:uid="{A7B80FA3-F261-4805-8BBC-E89D64A7F5B9}"/>
    <cellStyle name="Sortie 2 2 2 14 2" xfId="34666" xr:uid="{C60B6865-7E31-464E-A23F-BDE881EDDE24}"/>
    <cellStyle name="Sortie 2 2 2 15" xfId="34661" xr:uid="{3FB1EDEC-52F1-4F63-89FB-8849E4D03892}"/>
    <cellStyle name="Sortie 2 2 2 2" xfId="20009" xr:uid="{F0BB650F-A2EB-42F3-BBB2-B6E4DA42A363}"/>
    <cellStyle name="Sortie 2 2 2 2 2" xfId="34667" xr:uid="{29AD8D77-CA0F-4450-9D67-8DDC02D6A369}"/>
    <cellStyle name="Sortie 2 2 2 3" xfId="20010" xr:uid="{558F2A47-827D-41CD-9A2A-F2C9352C4C5F}"/>
    <cellStyle name="Sortie 2 2 2 3 2" xfId="34668" xr:uid="{8195ADC8-6614-40B1-A55A-A18738A54872}"/>
    <cellStyle name="Sortie 2 2 2 4" xfId="20011" xr:uid="{F96A0701-9C54-45EF-B39E-D2E72A54FB77}"/>
    <cellStyle name="Sortie 2 2 2 4 2" xfId="34669" xr:uid="{D3AFD79E-E663-4BCB-A668-CBA214C62BCC}"/>
    <cellStyle name="Sortie 2 2 2 5" xfId="20012" xr:uid="{F072A4E9-9453-4E9F-8773-D87B3F5B0C94}"/>
    <cellStyle name="Sortie 2 2 2 5 2" xfId="34670" xr:uid="{D6722277-21D8-4256-8D32-F12818081DA2}"/>
    <cellStyle name="Sortie 2 2 2 6" xfId="20013" xr:uid="{675AF9DC-83D1-4F83-B0E1-93852ED7C794}"/>
    <cellStyle name="Sortie 2 2 2 6 2" xfId="34671" xr:uid="{5F8328C7-3D38-4EAD-BB0B-D1CF90AF8808}"/>
    <cellStyle name="Sortie 2 2 2 7" xfId="20014" xr:uid="{707F08BE-AADD-46ED-B57E-1D4426F00A3E}"/>
    <cellStyle name="Sortie 2 2 2 7 2" xfId="34672" xr:uid="{5B0C5C55-A789-4CC4-9F49-E17FD3A7DA6C}"/>
    <cellStyle name="Sortie 2 2 2 8" xfId="20015" xr:uid="{9E622137-B55C-483A-8B07-F09299283CB0}"/>
    <cellStyle name="Sortie 2 2 2 8 2" xfId="34673" xr:uid="{0A4343D9-C9D9-4D8E-BCFE-8E14D6C11204}"/>
    <cellStyle name="Sortie 2 2 2 9" xfId="20016" xr:uid="{04A4C460-B3C9-48B5-9BC5-2E4FCEC0CF17}"/>
    <cellStyle name="Sortie 2 2 2 9 2" xfId="34674" xr:uid="{53388B8B-B82C-4C8A-9C28-2BE92166218C}"/>
    <cellStyle name="Sortie 2 2 3" xfId="20017" xr:uid="{6D5A98F7-19BD-4FD5-855A-3BF99E867514}"/>
    <cellStyle name="Sortie 2 2 3 2" xfId="34675" xr:uid="{21801BD8-3F2E-4CDC-BD58-2F0449452136}"/>
    <cellStyle name="Sortie 2 2 4" xfId="20018" xr:uid="{08669988-63E9-4838-BDC6-4A952CFBE54F}"/>
    <cellStyle name="Sortie 2 2 4 2" xfId="34676" xr:uid="{BA653164-C56B-4A6B-A25C-484DB7F85A9B}"/>
    <cellStyle name="Sortie 2 2 5" xfId="20019" xr:uid="{E14FAB4E-A89B-460E-974F-C6EB7D83E800}"/>
    <cellStyle name="Sortie 2 2 5 2" xfId="34677" xr:uid="{6B1BA567-042F-4168-8BDB-CD57BB4E0A1D}"/>
    <cellStyle name="Sortie 2 2 6" xfId="20020" xr:uid="{5C610613-9058-4F18-8E16-3816DFB7AFCF}"/>
    <cellStyle name="Sortie 2 2 6 2" xfId="34678" xr:uid="{42EEEFD5-9A01-4BDE-B2DC-DEDA69089BE7}"/>
    <cellStyle name="Sortie 2 2 7" xfId="20021" xr:uid="{EFB8B674-23E6-4F4B-B644-46C8E52F62A4}"/>
    <cellStyle name="Sortie 2 2 7 2" xfId="34679" xr:uid="{0DD102EE-2CD9-4C14-BDFA-154F6B282CB9}"/>
    <cellStyle name="Sortie 2 2 8" xfId="20022" xr:uid="{AC65DFCF-4B9D-46D4-86DB-D6312B48B599}"/>
    <cellStyle name="Sortie 2 2 8 2" xfId="34680" xr:uid="{5793D1AD-1672-4AC0-AC44-BB12D107E327}"/>
    <cellStyle name="Sortie 2 2 9" xfId="20023" xr:uid="{EDF48028-348F-4DE6-9990-61B77CAA01DF}"/>
    <cellStyle name="Sortie 2 2 9 2" xfId="34681" xr:uid="{3FB28EA4-7381-4FFE-BE04-EBCCAC30B8FC}"/>
    <cellStyle name="Sortie 2 20" xfId="34640" xr:uid="{1B0AA3A2-CD1B-45A3-8719-F42B3D6DDDC5}"/>
    <cellStyle name="Sortie 2 3" xfId="20024" xr:uid="{32ABE3F6-91DA-4094-B4D3-49C3B683C87E}"/>
    <cellStyle name="Sortie 2 3 10" xfId="20025" xr:uid="{EF97CECB-18B1-4320-AF07-47929B55741F}"/>
    <cellStyle name="Sortie 2 3 10 2" xfId="34683" xr:uid="{8977426A-AA64-40B0-8468-7E44664661FB}"/>
    <cellStyle name="Sortie 2 3 11" xfId="20026" xr:uid="{3631559B-E963-4AF7-B535-C2739040F7F9}"/>
    <cellStyle name="Sortie 2 3 11 2" xfId="34684" xr:uid="{F050517C-F208-44AF-86BF-ABBB7B33196E}"/>
    <cellStyle name="Sortie 2 3 12" xfId="20027" xr:uid="{40A5419D-98F5-4356-B1E4-D66588830B3B}"/>
    <cellStyle name="Sortie 2 3 12 2" xfId="34685" xr:uid="{516635AD-FDC4-48FD-BE9B-AA76ACC5C10D}"/>
    <cellStyle name="Sortie 2 3 13" xfId="20028" xr:uid="{B54DA95A-264F-4B7B-966E-D645DC6B2AF1}"/>
    <cellStyle name="Sortie 2 3 13 2" xfId="34686" xr:uid="{A2E8495B-4B17-4629-8912-E95D704B6DF0}"/>
    <cellStyle name="Sortie 2 3 14" xfId="20029" xr:uid="{D71D74DC-241F-458F-8E7D-3BFD4AA883E2}"/>
    <cellStyle name="Sortie 2 3 14 2" xfId="34687" xr:uid="{FC5AAA37-A853-47B5-B559-CE5A6CCCF1C6}"/>
    <cellStyle name="Sortie 2 3 15" xfId="34682" xr:uid="{DC18C4E6-7017-4EF8-94F7-5211BBFEE892}"/>
    <cellStyle name="Sortie 2 3 2" xfId="20030" xr:uid="{3B1922BB-C8A5-42EC-AB4E-7C52CF49D04D}"/>
    <cellStyle name="Sortie 2 3 2 2" xfId="34688" xr:uid="{3E1AB02F-BA55-48BA-8B8E-71FBB71127CB}"/>
    <cellStyle name="Sortie 2 3 3" xfId="20031" xr:uid="{B18F816F-C5EF-4FBE-915C-48CB793E75B9}"/>
    <cellStyle name="Sortie 2 3 3 2" xfId="34689" xr:uid="{6508A22D-DED9-409F-A6A9-C0D09F558EAF}"/>
    <cellStyle name="Sortie 2 3 4" xfId="20032" xr:uid="{7E4C6C8B-4237-442C-ADF3-8E5C9FBFCE4D}"/>
    <cellStyle name="Sortie 2 3 4 2" xfId="34690" xr:uid="{6FF723D2-5286-437A-8D8F-28A07ACFAB08}"/>
    <cellStyle name="Sortie 2 3 5" xfId="20033" xr:uid="{03CAA9B5-A8AF-4A34-A9E4-C700A9427599}"/>
    <cellStyle name="Sortie 2 3 5 2" xfId="34691" xr:uid="{96AF1BA0-7A24-4852-9C6C-3062985F613F}"/>
    <cellStyle name="Sortie 2 3 6" xfId="20034" xr:uid="{3EE708AB-D499-4186-BD20-4069B7B84460}"/>
    <cellStyle name="Sortie 2 3 6 2" xfId="34692" xr:uid="{AB7A5A73-9C6F-4C50-8934-F8BDB544D211}"/>
    <cellStyle name="Sortie 2 3 7" xfId="20035" xr:uid="{2A9FDC07-59C0-4641-AEDF-3FB1B0300155}"/>
    <cellStyle name="Sortie 2 3 7 2" xfId="34693" xr:uid="{980E9D03-55E9-422B-A8C1-C01D621EEF3E}"/>
    <cellStyle name="Sortie 2 3 8" xfId="20036" xr:uid="{4559306E-4138-49FE-9956-7AB130399D5E}"/>
    <cellStyle name="Sortie 2 3 8 2" xfId="34694" xr:uid="{F2C45E40-5CAB-4074-AE87-BBF70D640094}"/>
    <cellStyle name="Sortie 2 3 9" xfId="20037" xr:uid="{ED5413A2-6E97-4068-A534-CA70F7E967DD}"/>
    <cellStyle name="Sortie 2 3 9 2" xfId="34695" xr:uid="{6DC83D95-DAD9-4CD3-B57E-2E8C3833B2B1}"/>
    <cellStyle name="Sortie 2 4" xfId="20038" xr:uid="{92928774-E26B-411B-8A26-A9FF14E339A8}"/>
    <cellStyle name="Sortie 2 4 2" xfId="34696" xr:uid="{F81889B1-A711-45AE-B344-DE068A35A287}"/>
    <cellStyle name="Sortie 2 5" xfId="20039" xr:uid="{DE8F160A-564C-4199-B7F5-62E997B754D2}"/>
    <cellStyle name="Sortie 2 5 2" xfId="34697" xr:uid="{8D48295E-F742-4A68-AAE5-3277FB36F36E}"/>
    <cellStyle name="Sortie 2 6" xfId="20040" xr:uid="{79D65C0B-DBDF-430B-AF44-99249CC5FF8F}"/>
    <cellStyle name="Sortie 2 6 2" xfId="34698" xr:uid="{BDBC0F96-158C-45EB-B35A-C96FEACF2421}"/>
    <cellStyle name="Sortie 2 7" xfId="20041" xr:uid="{7B74C0AD-8DD4-48AB-8A6A-DC8596829971}"/>
    <cellStyle name="Sortie 2 7 2" xfId="34699" xr:uid="{7C65A6E3-9774-4ADC-803B-45F63147E14F}"/>
    <cellStyle name="Sortie 2 8" xfId="20042" xr:uid="{2F0CF58A-0C34-46DE-8C5B-9EDD52F7DA90}"/>
    <cellStyle name="Sortie 2 8 2" xfId="34700" xr:uid="{CC3CE99A-441C-4909-9499-E4BB5C5508A1}"/>
    <cellStyle name="Sortie 2 9" xfId="20043" xr:uid="{2CD5D4DD-9155-4F95-A942-68FFA7EC293B}"/>
    <cellStyle name="Sortie 2 9 2" xfId="34701" xr:uid="{AD24207A-9B98-43DB-930B-2DAB39A6A189}"/>
    <cellStyle name="Sortie 20" xfId="20044" xr:uid="{1395DD68-7E80-4602-8B28-A2633679BB0F}"/>
    <cellStyle name="Sortie 20 2" xfId="34702" xr:uid="{EB39515D-8E44-4020-BFEB-4ECDA7025D59}"/>
    <cellStyle name="Sortie 21" xfId="20045" xr:uid="{A33A3E26-CF86-4141-BCDC-E7007A7B93D9}"/>
    <cellStyle name="Sortie 21 2" xfId="34703" xr:uid="{AC5CA229-B8B5-40BD-AF69-88A1A43AA605}"/>
    <cellStyle name="Sortie 22" xfId="34629" xr:uid="{85C64383-3CD3-48B4-8175-6D205F75D91A}"/>
    <cellStyle name="Sortie 3" xfId="20046" xr:uid="{E62CC107-5F5E-4E6B-A296-D72D65EA7A91}"/>
    <cellStyle name="Sortie 3 10" xfId="20047" xr:uid="{329DBCB4-7860-4F37-83DE-352FD8C792A5}"/>
    <cellStyle name="Sortie 3 10 2" xfId="34705" xr:uid="{6CABFB15-B33E-4C0C-9A87-AF13439286C4}"/>
    <cellStyle name="Sortie 3 11" xfId="20048" xr:uid="{A97E7943-9F5D-4BC6-BB0E-F91FFC031CEA}"/>
    <cellStyle name="Sortie 3 11 2" xfId="34706" xr:uid="{96B1B862-7A67-44AF-BA3D-6C3F35283B0A}"/>
    <cellStyle name="Sortie 3 12" xfId="20049" xr:uid="{2E789EFE-27B5-4EA5-9ED0-9948E4CA81BE}"/>
    <cellStyle name="Sortie 3 12 2" xfId="34707" xr:uid="{C8508390-8B46-4952-A756-48E09339B67F}"/>
    <cellStyle name="Sortie 3 13" xfId="20050" xr:uid="{67FB50BD-09A8-4C52-AF3D-86EC4F7E56FC}"/>
    <cellStyle name="Sortie 3 13 2" xfId="34708" xr:uid="{50823813-B80A-4085-AEE6-738AA842445F}"/>
    <cellStyle name="Sortie 3 14" xfId="20051" xr:uid="{439EC171-E7E3-4E3A-8AE9-3E13081F7E15}"/>
    <cellStyle name="Sortie 3 14 2" xfId="34709" xr:uid="{0928A2EF-73D9-49DF-AFF2-1AB10987194E}"/>
    <cellStyle name="Sortie 3 15" xfId="20052" xr:uid="{62A80441-0856-457E-9378-6452A539ED66}"/>
    <cellStyle name="Sortie 3 15 2" xfId="34710" xr:uid="{4E9C3D0E-0C4A-4843-AFB0-89764DC8A059}"/>
    <cellStyle name="Sortie 3 16" xfId="20053" xr:uid="{E42D8F50-1E34-433D-8A6C-DBCCD7136232}"/>
    <cellStyle name="Sortie 3 16 2" xfId="34711" xr:uid="{B524F331-ADD7-421F-85F0-37EC8DE8DF2E}"/>
    <cellStyle name="Sortie 3 17" xfId="20054" xr:uid="{5FA29852-4981-487B-BE27-5BB85318F121}"/>
    <cellStyle name="Sortie 3 17 2" xfId="34712" xr:uid="{8CD6163C-84B3-48C6-8788-698FC04C1D7F}"/>
    <cellStyle name="Sortie 3 18" xfId="20055" xr:uid="{F864BEEC-ABD9-492C-8A49-30CA3E0734AE}"/>
    <cellStyle name="Sortie 3 18 2" xfId="34713" xr:uid="{5826C827-9DD5-4515-B655-5E839CAE2C00}"/>
    <cellStyle name="Sortie 3 19" xfId="34704" xr:uid="{B7CAE22B-A1B9-4C53-B620-FAD6E9A79177}"/>
    <cellStyle name="Sortie 3 2" xfId="20056" xr:uid="{BEDA3A9A-1E36-46A5-8476-EE4796223C37}"/>
    <cellStyle name="Sortie 3 2 10" xfId="20057" xr:uid="{F18CB350-7523-4DA6-A00C-B85CAEC212DF}"/>
    <cellStyle name="Sortie 3 2 10 2" xfId="34715" xr:uid="{C8553ECE-5ACF-409F-80F0-9F2B9C34BDA5}"/>
    <cellStyle name="Sortie 3 2 11" xfId="20058" xr:uid="{67BBC2EC-AAE1-4891-AC52-A74CECD41B6D}"/>
    <cellStyle name="Sortie 3 2 11 2" xfId="34716" xr:uid="{3D43D731-6451-463D-BD39-DE3FAF9EC5C0}"/>
    <cellStyle name="Sortie 3 2 12" xfId="20059" xr:uid="{637632BD-6FA8-4CAE-BB90-B8681CBAFA59}"/>
    <cellStyle name="Sortie 3 2 12 2" xfId="34717" xr:uid="{A0A01436-2E87-4EC3-A9FE-91F57E78164F}"/>
    <cellStyle name="Sortie 3 2 13" xfId="20060" xr:uid="{3D2C05FF-B420-4A59-8EF9-C1298E6EADCD}"/>
    <cellStyle name="Sortie 3 2 13 2" xfId="34718" xr:uid="{82EB4C5F-62F7-40AD-811B-A506E802A9AE}"/>
    <cellStyle name="Sortie 3 2 14" xfId="20061" xr:uid="{DBCEC157-5C0F-413B-B4BA-375D4A3A5053}"/>
    <cellStyle name="Sortie 3 2 14 2" xfId="34719" xr:uid="{CF9FB814-12EB-4F84-BD36-1E2A0BE3A149}"/>
    <cellStyle name="Sortie 3 2 15" xfId="34714" xr:uid="{54F3190B-A087-4142-879D-B60283EDE44F}"/>
    <cellStyle name="Sortie 3 2 2" xfId="20062" xr:uid="{F2E324AA-65B9-490E-9F48-9428580FADF4}"/>
    <cellStyle name="Sortie 3 2 2 2" xfId="34720" xr:uid="{3F3FBE33-704C-433C-92E5-64B1A05BBF43}"/>
    <cellStyle name="Sortie 3 2 3" xfId="20063" xr:uid="{8E4B3CDC-AA59-4F6D-A383-66488B7FA3A8}"/>
    <cellStyle name="Sortie 3 2 3 2" xfId="34721" xr:uid="{65FFBDB4-5978-4BDF-8B73-26098B13ACB3}"/>
    <cellStyle name="Sortie 3 2 4" xfId="20064" xr:uid="{F9297FE5-B093-4D79-85BE-85D9B1835356}"/>
    <cellStyle name="Sortie 3 2 4 2" xfId="34722" xr:uid="{C1CDDA6C-FA06-4CD8-B4F6-125D6BE4A743}"/>
    <cellStyle name="Sortie 3 2 5" xfId="20065" xr:uid="{1DB4970A-149B-4D4D-98B1-4C7A03D26086}"/>
    <cellStyle name="Sortie 3 2 5 2" xfId="34723" xr:uid="{ED99D0B3-A982-4A7A-B106-BAEDAA4735D5}"/>
    <cellStyle name="Sortie 3 2 6" xfId="20066" xr:uid="{3D2E77AD-CAA7-4B7E-8A55-5BDA4EE33D37}"/>
    <cellStyle name="Sortie 3 2 6 2" xfId="34724" xr:uid="{2F7D260A-DDC8-4527-AB0A-5303FF6FACC1}"/>
    <cellStyle name="Sortie 3 2 7" xfId="20067" xr:uid="{4290C7B2-8A1D-4A3E-B694-73C625B9FB9D}"/>
    <cellStyle name="Sortie 3 2 7 2" xfId="34725" xr:uid="{3BFC1B0A-A2BF-40D0-AC79-A299B397837A}"/>
    <cellStyle name="Sortie 3 2 8" xfId="20068" xr:uid="{8EB1E086-1E6C-450A-8EB4-9A91E0EB3FFC}"/>
    <cellStyle name="Sortie 3 2 8 2" xfId="34726" xr:uid="{2C360A7D-F4AD-4A5B-B360-50660711739D}"/>
    <cellStyle name="Sortie 3 2 9" xfId="20069" xr:uid="{97D7926B-6164-45AF-916A-66C4D4585FD9}"/>
    <cellStyle name="Sortie 3 2 9 2" xfId="34727" xr:uid="{CF466B93-A01F-4D03-98CF-1A5D57777454}"/>
    <cellStyle name="Sortie 3 3" xfId="20070" xr:uid="{E19E4EB8-4E5E-4EAF-95E0-BFB9CE043418}"/>
    <cellStyle name="Sortie 3 3 2" xfId="34728" xr:uid="{1F0A0C0C-B191-4A20-B450-6A9719480535}"/>
    <cellStyle name="Sortie 3 4" xfId="20071" xr:uid="{CABA3D11-5404-421D-BF42-D11D0658771E}"/>
    <cellStyle name="Sortie 3 4 2" xfId="34729" xr:uid="{C3E43F7C-E189-4ACC-B375-F9F301F094A5}"/>
    <cellStyle name="Sortie 3 5" xfId="20072" xr:uid="{79784E8D-DC4B-42E3-92BC-3DF63322757A}"/>
    <cellStyle name="Sortie 3 5 2" xfId="34730" xr:uid="{E668A093-1402-4AAC-9451-DF40897F0FEE}"/>
    <cellStyle name="Sortie 3 6" xfId="20073" xr:uid="{507975DB-E5E5-4B8D-B9B8-72FA0197B337}"/>
    <cellStyle name="Sortie 3 6 2" xfId="34731" xr:uid="{CCDDFC5A-CD10-46F5-9D63-4BEABC68A6C6}"/>
    <cellStyle name="Sortie 3 7" xfId="20074" xr:uid="{09A99CD4-F3D3-40EE-8499-09993295357B}"/>
    <cellStyle name="Sortie 3 7 2" xfId="34732" xr:uid="{A020EEF3-F06C-48FD-A411-8D7E53A117D8}"/>
    <cellStyle name="Sortie 3 8" xfId="20075" xr:uid="{30929CAF-5C5B-4A7D-A207-1D7697539141}"/>
    <cellStyle name="Sortie 3 8 2" xfId="34733" xr:uid="{84D073B1-1FCC-48FE-859D-E4046842AAD9}"/>
    <cellStyle name="Sortie 3 9" xfId="20076" xr:uid="{B59610AD-7A66-4AC8-B2C2-AF246085790F}"/>
    <cellStyle name="Sortie 3 9 2" xfId="34734" xr:uid="{A52C2A79-8FCB-4374-A788-5AA3E69ED505}"/>
    <cellStyle name="Sortie 4" xfId="20077" xr:uid="{BDAE6B65-1C61-4D97-9DA5-3C246E6D98F0}"/>
    <cellStyle name="Sortie 4 10" xfId="20078" xr:uid="{1017E800-8854-42D3-AE2C-2AD4AA4C1E80}"/>
    <cellStyle name="Sortie 4 10 2" xfId="34736" xr:uid="{727D150A-88BB-4BAE-ADBF-4F323D2A51CE}"/>
    <cellStyle name="Sortie 4 11" xfId="20079" xr:uid="{644BCCD0-C133-4AEA-83ED-DE613A1976A6}"/>
    <cellStyle name="Sortie 4 11 2" xfId="34737" xr:uid="{E3FF15CF-66C9-4DE5-BD9B-21A6D141FF2B}"/>
    <cellStyle name="Sortie 4 12" xfId="20080" xr:uid="{F10F2AEF-9B84-4EEE-89A5-8939E9717F49}"/>
    <cellStyle name="Sortie 4 12 2" xfId="34738" xr:uid="{B0982F2F-73A8-4AAC-AE52-8F98866DC5A1}"/>
    <cellStyle name="Sortie 4 13" xfId="20081" xr:uid="{7D23A9A6-81F8-41A4-ABC5-BE1BA98629C2}"/>
    <cellStyle name="Sortie 4 13 2" xfId="34739" xr:uid="{3B693C0F-9C58-47D7-B711-D7ACC3C31E77}"/>
    <cellStyle name="Sortie 4 14" xfId="20082" xr:uid="{116CF06B-8A01-4AA6-AEDB-805E5A9C4D94}"/>
    <cellStyle name="Sortie 4 14 2" xfId="34740" xr:uid="{86EFE5D7-C353-4DA0-9835-24A4AE101F0B}"/>
    <cellStyle name="Sortie 4 15" xfId="20083" xr:uid="{A24C4357-7D6A-4325-8B61-E0CA89061C2D}"/>
    <cellStyle name="Sortie 4 15 2" xfId="34741" xr:uid="{41A0A825-F554-4106-8C71-6F5295490A2B}"/>
    <cellStyle name="Sortie 4 16" xfId="20084" xr:uid="{810B9165-9D1C-4763-A621-5C85F8D1CA9B}"/>
    <cellStyle name="Sortie 4 16 2" xfId="34742" xr:uid="{20E87D1E-D83D-4E32-9E0A-528D614BB9EF}"/>
    <cellStyle name="Sortie 4 17" xfId="20085" xr:uid="{D0203C75-04FB-4E18-88F2-BEDE171A08DC}"/>
    <cellStyle name="Sortie 4 17 2" xfId="34743" xr:uid="{0B47CAE7-48BB-4D2A-A40F-9636270B59C0}"/>
    <cellStyle name="Sortie 4 18" xfId="20086" xr:uid="{066BD275-F56D-410A-AE3A-22BE02531694}"/>
    <cellStyle name="Sortie 4 18 2" xfId="34744" xr:uid="{111CA194-9859-4838-ADB7-C2D16961C75A}"/>
    <cellStyle name="Sortie 4 19" xfId="34735" xr:uid="{97CEDC04-0A39-4733-A954-542C5BCF1C10}"/>
    <cellStyle name="Sortie 4 2" xfId="20087" xr:uid="{3E54C822-A950-4E2D-955F-DCBB1C0B0D93}"/>
    <cellStyle name="Sortie 4 2 10" xfId="20088" xr:uid="{AAFFDB5B-0B6F-4836-9F80-E4D15C6FC2EE}"/>
    <cellStyle name="Sortie 4 2 10 2" xfId="34746" xr:uid="{3577AFD4-B632-40CD-996F-830CD856C252}"/>
    <cellStyle name="Sortie 4 2 11" xfId="20089" xr:uid="{51057CE6-DDD0-4863-A436-96FBD54B7F58}"/>
    <cellStyle name="Sortie 4 2 11 2" xfId="34747" xr:uid="{C9709CA7-1B78-47B2-8723-AD903946F113}"/>
    <cellStyle name="Sortie 4 2 12" xfId="20090" xr:uid="{22243123-2F64-45EC-A26D-082D96FCC91F}"/>
    <cellStyle name="Sortie 4 2 12 2" xfId="34748" xr:uid="{4CE62635-C645-4A24-8B94-272E23D3B1C1}"/>
    <cellStyle name="Sortie 4 2 13" xfId="20091" xr:uid="{A4C97CD0-5193-462A-8C75-32BF7B838DC4}"/>
    <cellStyle name="Sortie 4 2 13 2" xfId="34749" xr:uid="{E3ECB0C1-DF62-4437-A10C-C0D16E9747FE}"/>
    <cellStyle name="Sortie 4 2 14" xfId="20092" xr:uid="{4EF0BF42-A4BA-4BB5-AA5C-D4A6158E588C}"/>
    <cellStyle name="Sortie 4 2 14 2" xfId="34750" xr:uid="{7087A2A9-1029-4BE0-82FA-CEEC45C15BE4}"/>
    <cellStyle name="Sortie 4 2 15" xfId="34745" xr:uid="{311A333C-97AF-4424-8752-077168F34F85}"/>
    <cellStyle name="Sortie 4 2 2" xfId="20093" xr:uid="{76BD3A14-D891-4F8D-BA47-1BC08B114EFC}"/>
    <cellStyle name="Sortie 4 2 2 2" xfId="34751" xr:uid="{92BF9ADB-512E-41D0-BD4E-E6AB122408C1}"/>
    <cellStyle name="Sortie 4 2 3" xfId="20094" xr:uid="{B8F1CA74-59BB-4111-9126-8972199D7D02}"/>
    <cellStyle name="Sortie 4 2 3 2" xfId="34752" xr:uid="{4B743E98-0690-48BC-911B-8F83A8594BC4}"/>
    <cellStyle name="Sortie 4 2 4" xfId="20095" xr:uid="{F6F8A3FE-9675-4943-81D5-41E69B9056DF}"/>
    <cellStyle name="Sortie 4 2 4 2" xfId="34753" xr:uid="{A3620059-D4AF-4FC9-9CEA-6D643780FEB2}"/>
    <cellStyle name="Sortie 4 2 5" xfId="20096" xr:uid="{04AA2DDA-D322-4CBA-8D6F-25BA3AA47ECD}"/>
    <cellStyle name="Sortie 4 2 5 2" xfId="34754" xr:uid="{DBDF7008-F17B-4411-B51F-1340E43EA1F6}"/>
    <cellStyle name="Sortie 4 2 6" xfId="20097" xr:uid="{EE54ACEA-8925-4EE7-A138-43DADB1490B8}"/>
    <cellStyle name="Sortie 4 2 6 2" xfId="34755" xr:uid="{2A65BE23-F400-4787-8CCE-717D1CF386DF}"/>
    <cellStyle name="Sortie 4 2 7" xfId="20098" xr:uid="{DC18F1E4-A816-4A1F-B766-CC6CB21589C5}"/>
    <cellStyle name="Sortie 4 2 7 2" xfId="34756" xr:uid="{5C225988-BDBE-4E7D-8B77-BB7768EE6658}"/>
    <cellStyle name="Sortie 4 2 8" xfId="20099" xr:uid="{C3B5A2E7-647F-472C-9341-DDA1DF2E421F}"/>
    <cellStyle name="Sortie 4 2 8 2" xfId="34757" xr:uid="{9C4A3581-CE45-4A74-A1D0-4B349DE58651}"/>
    <cellStyle name="Sortie 4 2 9" xfId="20100" xr:uid="{8ABF62F6-5536-4284-B67C-C7F289BAE878}"/>
    <cellStyle name="Sortie 4 2 9 2" xfId="34758" xr:uid="{26A67A38-A5A3-4600-B633-0CF7DAD2BD33}"/>
    <cellStyle name="Sortie 4 3" xfId="20101" xr:uid="{8403BE38-D59D-4681-B810-61F762FD3775}"/>
    <cellStyle name="Sortie 4 3 2" xfId="34759" xr:uid="{7A7957DC-0FE5-4857-A770-533D3C4EAF01}"/>
    <cellStyle name="Sortie 4 4" xfId="20102" xr:uid="{597F906A-9F48-4EDF-9CF7-D2547D5FA3C6}"/>
    <cellStyle name="Sortie 4 4 2" xfId="34760" xr:uid="{3DD0121E-D739-43B2-AB56-D884C6F8F564}"/>
    <cellStyle name="Sortie 4 5" xfId="20103" xr:uid="{4A1220D3-83F8-4BF8-B21C-4416D514555D}"/>
    <cellStyle name="Sortie 4 5 2" xfId="34761" xr:uid="{13CC9373-CE51-451D-AB37-C9D585625249}"/>
    <cellStyle name="Sortie 4 6" xfId="20104" xr:uid="{4552C81B-ABE0-44DA-AC9D-29460F8C3D9F}"/>
    <cellStyle name="Sortie 4 6 2" xfId="34762" xr:uid="{C1CD30A4-9CFE-437A-B98E-5050A6CBEDAA}"/>
    <cellStyle name="Sortie 4 7" xfId="20105" xr:uid="{9BA7EC3B-C655-465A-980E-0336617144D8}"/>
    <cellStyle name="Sortie 4 7 2" xfId="34763" xr:uid="{21DDE36E-ADD8-4ECE-9B54-8D13D077A458}"/>
    <cellStyle name="Sortie 4 8" xfId="20106" xr:uid="{4C6D564C-2941-4748-AD1F-893CF2A46FE7}"/>
    <cellStyle name="Sortie 4 8 2" xfId="34764" xr:uid="{BF900769-0CC9-49B8-A2BF-38CB42B67CE0}"/>
    <cellStyle name="Sortie 4 9" xfId="20107" xr:uid="{DCBA445C-8FE0-4970-A979-2C21E8771116}"/>
    <cellStyle name="Sortie 4 9 2" xfId="34765" xr:uid="{97EE801F-8B02-4268-8B76-C77592C6F21B}"/>
    <cellStyle name="Sortie 5" xfId="20108" xr:uid="{AAB44C0A-97E9-47AC-A513-E0F0D8224A35}"/>
    <cellStyle name="Sortie 5 10" xfId="20109" xr:uid="{85DCFCA0-6848-4C19-8E61-BEDF8B3B7354}"/>
    <cellStyle name="Sortie 5 10 2" xfId="34767" xr:uid="{5A0D8398-DBD7-4D19-B716-B9A57F092392}"/>
    <cellStyle name="Sortie 5 11" xfId="20110" xr:uid="{BA93331D-928C-4FC6-B827-ADAD615EA555}"/>
    <cellStyle name="Sortie 5 11 2" xfId="34768" xr:uid="{F73EFB4E-516D-486A-9019-A9FE6E9E4463}"/>
    <cellStyle name="Sortie 5 12" xfId="20111" xr:uid="{792E613E-5E81-4B1C-8A49-2C410A211D67}"/>
    <cellStyle name="Sortie 5 12 2" xfId="34769" xr:uid="{D5C49D28-9533-46C1-8EA5-0AEBE4332DFC}"/>
    <cellStyle name="Sortie 5 13" xfId="20112" xr:uid="{984B1AAE-21F7-456B-A6C1-FBAE2E177C30}"/>
    <cellStyle name="Sortie 5 13 2" xfId="34770" xr:uid="{C76EBA68-06A8-435F-B81D-F98720928BBF}"/>
    <cellStyle name="Sortie 5 14" xfId="20113" xr:uid="{A0564F21-634D-4111-A714-245729C35980}"/>
    <cellStyle name="Sortie 5 14 2" xfId="34771" xr:uid="{5C00D8AF-A2BD-4A32-A32C-F1E882B7FBA3}"/>
    <cellStyle name="Sortie 5 15" xfId="34766" xr:uid="{2BE7BAAA-B5DE-48C6-AFB5-29646C109904}"/>
    <cellStyle name="Sortie 5 2" xfId="20114" xr:uid="{BA87761D-B38B-478C-A0E7-B91A3FFC94CE}"/>
    <cellStyle name="Sortie 5 2 2" xfId="34772" xr:uid="{DD6311A2-D631-4617-9D5D-45512ED45799}"/>
    <cellStyle name="Sortie 5 3" xfId="20115" xr:uid="{286EBB39-FD7D-44D6-A3ED-2F561FC3E46E}"/>
    <cellStyle name="Sortie 5 3 2" xfId="34773" xr:uid="{7E298D3B-96FA-4141-AB59-DC81AEEF36D4}"/>
    <cellStyle name="Sortie 5 4" xfId="20116" xr:uid="{7A739BA2-7DDD-40C8-B407-2B79384FCECE}"/>
    <cellStyle name="Sortie 5 4 2" xfId="34774" xr:uid="{55B77DF1-D710-4535-B1B2-C619933F180E}"/>
    <cellStyle name="Sortie 5 5" xfId="20117" xr:uid="{9484468C-B29C-4134-983E-D9C433E04794}"/>
    <cellStyle name="Sortie 5 5 2" xfId="34775" xr:uid="{48662D1D-F638-4311-9E5B-98890F980A9C}"/>
    <cellStyle name="Sortie 5 6" xfId="20118" xr:uid="{1E442DEB-EA32-4B79-85B8-01AD03ADAF69}"/>
    <cellStyle name="Sortie 5 6 2" xfId="34776" xr:uid="{3D54EEA4-3115-4E56-AFB4-B9145AFEE8C6}"/>
    <cellStyle name="Sortie 5 7" xfId="20119" xr:uid="{4D71E381-EB85-4EE8-9580-E90A6E194C17}"/>
    <cellStyle name="Sortie 5 7 2" xfId="34777" xr:uid="{48511F1F-EEB2-4536-A6D5-C8F9C809967C}"/>
    <cellStyle name="Sortie 5 8" xfId="20120" xr:uid="{BA7F89FC-C1D6-46BF-966D-BAACB44D6FD8}"/>
    <cellStyle name="Sortie 5 8 2" xfId="34778" xr:uid="{458C0013-E635-4B5B-A417-6F960BB58A5A}"/>
    <cellStyle name="Sortie 5 9" xfId="20121" xr:uid="{38E5FEEB-842C-4B2B-AC26-DD06A6E87DE0}"/>
    <cellStyle name="Sortie 5 9 2" xfId="34779" xr:uid="{4AF6CE3E-A905-46C7-B92D-7A39012C9AA0}"/>
    <cellStyle name="Sortie 6" xfId="20122" xr:uid="{4A4D70C7-FBB1-47C3-B83D-B646B7AF4095}"/>
    <cellStyle name="Sortie 6 2" xfId="34780" xr:uid="{B476BFD1-BCA2-45F4-9252-20E688AB2D08}"/>
    <cellStyle name="Sortie 7" xfId="20123" xr:uid="{B4832C58-F788-4DBD-82BE-7A10E30FC479}"/>
    <cellStyle name="Sortie 7 2" xfId="34781" xr:uid="{272DD74D-4026-4777-B593-ABC727261258}"/>
    <cellStyle name="Sortie 8" xfId="20124" xr:uid="{F0D020EE-0DE4-43F5-AB73-DDD64B300D33}"/>
    <cellStyle name="Sortie 8 2" xfId="34782" xr:uid="{3085A0DA-7E3B-412F-B00F-5FF5436E0953}"/>
    <cellStyle name="Sortie 9" xfId="20125" xr:uid="{8F46591A-8C11-40BC-B319-3ADDC021A9D5}"/>
    <cellStyle name="Sortie 9 2" xfId="34783" xr:uid="{6BADE43E-3554-477A-B656-AE5AFD01E901}"/>
    <cellStyle name="Standaard_Blad1" xfId="20126" xr:uid="{47A20E0C-DCD4-422B-A77A-2C64F077DFAC}"/>
    <cellStyle name="STANDARD_!!!GO" xfId="20127" xr:uid="{FFDA8A56-3187-4807-8482-6B965D83D8AA}"/>
    <cellStyle name="Std01" xfId="20128" xr:uid="{39FC7AFE-A2B9-4239-9C7C-1F2E6270B502}"/>
    <cellStyle name="Std01 2" xfId="20129" xr:uid="{CA2D7122-DD54-4D12-8D1B-2F6740F69427}"/>
    <cellStyle name="Std01 2 2" xfId="20130" xr:uid="{8B8F0229-1124-4A82-9D72-C88EAB3DBC1A}"/>
    <cellStyle name="Std01 2 2 10" xfId="20131" xr:uid="{46D14651-00AA-493E-AB7E-296D083935D3}"/>
    <cellStyle name="Std01 2 2 10 2" xfId="26391" xr:uid="{370B6A3F-F3D9-4D0E-82D8-AC01A4B6F47B}"/>
    <cellStyle name="Std01 2 2 10 2 2" xfId="38118" xr:uid="{046430C0-2B99-4BC0-AD27-2D3E9CEDEA53}"/>
    <cellStyle name="Std01 2 2 10 3" xfId="35024" xr:uid="{D9D55DA9-9F4F-4D47-880F-DEBD3F61C013}"/>
    <cellStyle name="Std01 2 2 11" xfId="20132" xr:uid="{EE260ADF-1A2B-4EAA-A8AE-8758764C20E4}"/>
    <cellStyle name="Std01 2 2 11 2" xfId="26392" xr:uid="{D7257EE4-DD08-47B6-B138-3758F6F97373}"/>
    <cellStyle name="Std01 2 2 11 2 2" xfId="38119" xr:uid="{7F8B1204-19E8-4B32-AE67-889E02E084AC}"/>
    <cellStyle name="Std01 2 2 11 3" xfId="35025" xr:uid="{36488DF0-9E4E-44A9-ADC0-D712CC81EA83}"/>
    <cellStyle name="Std01 2 2 12" xfId="20133" xr:uid="{598F12D7-46C8-4EC9-8E74-1EC8CC61093E}"/>
    <cellStyle name="Std01 2 2 12 2" xfId="26393" xr:uid="{08E95C0A-FFFA-4503-A561-2FE5EB774AA0}"/>
    <cellStyle name="Std01 2 2 12 2 2" xfId="38120" xr:uid="{FC28BE0B-1198-4A57-B4B4-7353B9B18FFA}"/>
    <cellStyle name="Std01 2 2 12 3" xfId="35026" xr:uid="{0B7BC99E-0244-4CD6-94DB-E5228A33F03A}"/>
    <cellStyle name="Std01 2 2 13" xfId="20134" xr:uid="{99438593-48F2-471D-8C19-914C22D5475E}"/>
    <cellStyle name="Std01 2 2 13 2" xfId="26394" xr:uid="{69CC722D-C1CF-432B-8903-BE6C04F48755}"/>
    <cellStyle name="Std01 2 2 13 2 2" xfId="38121" xr:uid="{7395C3F2-E7DE-457E-930C-44BE14B5DC98}"/>
    <cellStyle name="Std01 2 2 13 3" xfId="35027" xr:uid="{F8067A24-F5ED-4274-A7D5-451AB814FD50}"/>
    <cellStyle name="Std01 2 2 14" xfId="20135" xr:uid="{79DD858A-1093-4931-96FB-6CAFBD124701}"/>
    <cellStyle name="Std01 2 2 14 2" xfId="26395" xr:uid="{14FF39D5-9971-4560-9FA8-B6E6A25BC230}"/>
    <cellStyle name="Std01 2 2 14 2 2" xfId="38122" xr:uid="{829E2A5F-50D2-4614-8F4A-592C3FBFF3A7}"/>
    <cellStyle name="Std01 2 2 14 3" xfId="35028" xr:uid="{C0C446C5-CCF1-4203-B464-0A444F9D947A}"/>
    <cellStyle name="Std01 2 2 15" xfId="20136" xr:uid="{9DF3F2E3-30BE-46D1-ACE6-EC82520A4072}"/>
    <cellStyle name="Std01 2 2 15 2" xfId="26396" xr:uid="{F8E0FC24-A7E3-4808-ABEB-1AC5809E1235}"/>
    <cellStyle name="Std01 2 2 15 2 2" xfId="38123" xr:uid="{F614B1E8-07A8-4B08-9129-E4D87ACA8CC2}"/>
    <cellStyle name="Std01 2 2 15 3" xfId="35029" xr:uid="{4254218D-BD54-49D5-8952-35E388857539}"/>
    <cellStyle name="Std01 2 2 16" xfId="26390" xr:uid="{50071C81-65B2-41FD-A88D-CC702CED86E7}"/>
    <cellStyle name="Std01 2 2 16 2" xfId="38117" xr:uid="{35FE3F0E-3275-4993-92D3-D393DEEDA238}"/>
    <cellStyle name="Std01 2 2 17" xfId="35023" xr:uid="{B3F7E5A2-E1EE-47D3-9078-54E0C9F57FA5}"/>
    <cellStyle name="Std01 2 2 2" xfId="20137" xr:uid="{4F2749E2-19D6-436A-A101-BA40636E74C1}"/>
    <cellStyle name="Std01 2 2 2 2" xfId="26397" xr:uid="{AAC252F7-4623-4CD5-8339-B5E2D10C3499}"/>
    <cellStyle name="Std01 2 2 2 2 2" xfId="38124" xr:uid="{773BD2A8-EF6B-456E-8C53-2E4FED3949F0}"/>
    <cellStyle name="Std01 2 2 2 3" xfId="35030" xr:uid="{121A9C53-400A-40B9-A465-2186054DFFBE}"/>
    <cellStyle name="Std01 2 2 3" xfId="20138" xr:uid="{A9AAF867-416F-4322-8374-78CD8C3E1E55}"/>
    <cellStyle name="Std01 2 2 3 2" xfId="26398" xr:uid="{E0C70F12-32D3-4BEB-8B8B-3D4B3318AD67}"/>
    <cellStyle name="Std01 2 2 3 2 2" xfId="38125" xr:uid="{58EDEC3D-8E4A-48DC-B70E-AB66534DE605}"/>
    <cellStyle name="Std01 2 2 3 3" xfId="35031" xr:uid="{B2A083F0-90DF-4335-8F08-30883BF1A7D1}"/>
    <cellStyle name="Std01 2 2 4" xfId="20139" xr:uid="{F0ED09C6-14DA-4417-9C26-00345B5B1D47}"/>
    <cellStyle name="Std01 2 2 4 2" xfId="26399" xr:uid="{063521A1-BE1C-45FF-AC6E-45CD9C1652A0}"/>
    <cellStyle name="Std01 2 2 4 2 2" xfId="38126" xr:uid="{76CCAB7D-B2CE-4F53-99A4-FE6F4AFF7616}"/>
    <cellStyle name="Std01 2 2 4 3" xfId="35032" xr:uid="{B2B12958-00C1-4BFA-92D9-9B5E0D7B89E9}"/>
    <cellStyle name="Std01 2 2 5" xfId="20140" xr:uid="{8769F5AC-3C17-4CD4-8FB6-A77B56A5B46C}"/>
    <cellStyle name="Std01 2 2 5 2" xfId="26400" xr:uid="{D124DEA7-E9CA-4EE4-A61B-17DE328275F9}"/>
    <cellStyle name="Std01 2 2 5 2 2" xfId="38127" xr:uid="{9F308AFD-7E6F-483B-BE9B-D5E23A5E18DE}"/>
    <cellStyle name="Std01 2 2 5 3" xfId="35033" xr:uid="{88C3D4C8-86F6-43EB-8081-D5086B0CC8AE}"/>
    <cellStyle name="Std01 2 2 6" xfId="20141" xr:uid="{499F2AEC-66CB-47AD-AAAE-75B8497FB8B2}"/>
    <cellStyle name="Std01 2 2 6 2" xfId="26401" xr:uid="{EB8E01E1-0D55-4F70-AD13-7AA7A6F721E2}"/>
    <cellStyle name="Std01 2 2 6 2 2" xfId="38128" xr:uid="{FEF57853-088A-4EDD-8A40-0E3071CFEE76}"/>
    <cellStyle name="Std01 2 2 6 3" xfId="35034" xr:uid="{8C81CEF6-66DE-40BF-8867-8BA3C1836391}"/>
    <cellStyle name="Std01 2 2 7" xfId="20142" xr:uid="{2DBAF4B1-6256-4ECA-8649-34A574ED0108}"/>
    <cellStyle name="Std01 2 2 7 2" xfId="26402" xr:uid="{CC05BC46-BEE0-4F67-A9B9-08CF8AF44182}"/>
    <cellStyle name="Std01 2 2 7 2 2" xfId="38129" xr:uid="{F03727BB-2166-4AFC-9FE1-67D3CBAD600C}"/>
    <cellStyle name="Std01 2 2 7 3" xfId="35035" xr:uid="{65E9185B-A936-455A-B0D6-36CDCC448FB1}"/>
    <cellStyle name="Std01 2 2 8" xfId="20143" xr:uid="{31A3A718-760D-4794-A6D1-8192FAB89BE8}"/>
    <cellStyle name="Std01 2 2 8 2" xfId="26403" xr:uid="{3632B082-B5EA-48A7-B21A-8592F71E6BD6}"/>
    <cellStyle name="Std01 2 2 8 2 2" xfId="38130" xr:uid="{8DF6B563-3993-4E61-8905-CACC8A85A5D1}"/>
    <cellStyle name="Std01 2 2 8 3" xfId="35036" xr:uid="{47E2045D-CAFA-49B1-A691-1F0D97C24EE4}"/>
    <cellStyle name="Std01 2 2 9" xfId="20144" xr:uid="{5D107A90-131C-48C6-834F-9B5C37289A0D}"/>
    <cellStyle name="Std01 2 2 9 2" xfId="26404" xr:uid="{490E2AE2-5D21-4BB9-B224-61154BE28540}"/>
    <cellStyle name="Std01 2 2 9 2 2" xfId="38131" xr:uid="{80085DEB-F467-48D1-914B-1EE90C11DE39}"/>
    <cellStyle name="Std01 2 2 9 3" xfId="35037" xr:uid="{43FE13C3-A9DE-462A-8DAF-98A800741725}"/>
    <cellStyle name="Std01 2 3" xfId="20145" xr:uid="{AE0B8A89-B128-4390-B110-ECF7587DDAAE}"/>
    <cellStyle name="Std01 2 3 2" xfId="26405" xr:uid="{525E46DD-2198-428E-8164-9DE77860D403}"/>
    <cellStyle name="Std01 2 3 2 2" xfId="38132" xr:uid="{8365BA44-E8B9-4531-A164-A9D0542D5ACB}"/>
    <cellStyle name="Std01 2 3 3" xfId="35038" xr:uid="{AD231AD8-C02E-4A27-B682-43E32CF1CDF7}"/>
    <cellStyle name="Std01 2 4" xfId="20146" xr:uid="{BDDD7AE7-0B89-4808-8C72-421F62505F20}"/>
    <cellStyle name="Std01 2 4 2" xfId="26406" xr:uid="{510C3B74-6509-4289-996B-ED617ED0FA50}"/>
    <cellStyle name="Std01 2 4 2 2" xfId="38133" xr:uid="{31F3C7D6-C909-4A7F-8AAD-70F1FF03D02B}"/>
    <cellStyle name="Std01 2 4 3" xfId="35039" xr:uid="{358533FB-CADD-48B2-AECD-CDC5F01F1718}"/>
    <cellStyle name="Std01 2 5" xfId="26389" xr:uid="{53079A48-8480-49B2-95D5-C76D61E2E303}"/>
    <cellStyle name="Std01 2 5 2" xfId="38116" xr:uid="{F4E41C77-206B-47F5-9A04-824666F9E32E}"/>
    <cellStyle name="Std01 2 6" xfId="35022" xr:uid="{B237E33D-3B56-4781-8E27-9ED409A4382E}"/>
    <cellStyle name="Std01 3" xfId="20147" xr:uid="{7D0D3EBA-1FC7-4F91-BEEA-3A8BE4611C5E}"/>
    <cellStyle name="Std01 3 10" xfId="20148" xr:uid="{66C6E2A8-FBD1-4AF7-BD9C-B3F96CB47DC4}"/>
    <cellStyle name="Std01 3 10 2" xfId="26408" xr:uid="{AD0773FD-2E4E-487E-B0F3-0BF10A2C606E}"/>
    <cellStyle name="Std01 3 10 2 2" xfId="38135" xr:uid="{167341F7-AE38-4B51-A8C6-7BDCCCAD8D60}"/>
    <cellStyle name="Std01 3 10 3" xfId="35041" xr:uid="{59BEE86E-C4EC-4633-AB59-08521CDC5E14}"/>
    <cellStyle name="Std01 3 11" xfId="20149" xr:uid="{2605859C-A9C8-4ABC-AF85-FE3EF1A255C5}"/>
    <cellStyle name="Std01 3 11 2" xfId="26409" xr:uid="{A1901FAC-222A-4CE7-9B94-7CB86673301B}"/>
    <cellStyle name="Std01 3 11 2 2" xfId="38136" xr:uid="{36729680-377F-4286-9D45-3AEFA8430DE6}"/>
    <cellStyle name="Std01 3 11 3" xfId="35042" xr:uid="{94AD6B09-424A-4B30-8F8C-3DF6F6F4B3E5}"/>
    <cellStyle name="Std01 3 12" xfId="20150" xr:uid="{10C49507-38E0-4A9E-B0DD-9986847295BB}"/>
    <cellStyle name="Std01 3 12 2" xfId="26410" xr:uid="{BA99A025-393E-4971-9A11-DA085B135CB0}"/>
    <cellStyle name="Std01 3 12 2 2" xfId="38137" xr:uid="{95DF60AA-54E6-4FC6-9F7F-B4FD56C70277}"/>
    <cellStyle name="Std01 3 12 3" xfId="35043" xr:uid="{8FB81754-78AA-4935-A102-4E34000D116A}"/>
    <cellStyle name="Std01 3 13" xfId="20151" xr:uid="{1A39F601-C164-4F23-A985-8CE3C251D970}"/>
    <cellStyle name="Std01 3 13 2" xfId="26411" xr:uid="{6D4B7EFD-2196-4FB1-BA92-297372661FD4}"/>
    <cellStyle name="Std01 3 13 2 2" xfId="38138" xr:uid="{D448AD36-04FC-403A-BA8B-99E89EA167C6}"/>
    <cellStyle name="Std01 3 13 3" xfId="35044" xr:uid="{1DA10524-0D56-4D11-9E81-45E6A61CD58E}"/>
    <cellStyle name="Std01 3 14" xfId="20152" xr:uid="{A49AC83B-7D83-4CBA-8045-A382955707AA}"/>
    <cellStyle name="Std01 3 14 2" xfId="26412" xr:uid="{D810DF83-BEA6-45D3-BC4A-171E9BEA62C5}"/>
    <cellStyle name="Std01 3 14 2 2" xfId="38139" xr:uid="{6743D180-0A62-472C-849E-1C13652EC1D2}"/>
    <cellStyle name="Std01 3 14 3" xfId="35045" xr:uid="{C77D2F32-3F29-4283-8541-D1162F9B0D7E}"/>
    <cellStyle name="Std01 3 15" xfId="20153" xr:uid="{E978C51D-292E-40E4-B1A2-0194B4B34B68}"/>
    <cellStyle name="Std01 3 15 2" xfId="26413" xr:uid="{328AEEB3-CF35-46CA-9A57-5FD5E3249FDF}"/>
    <cellStyle name="Std01 3 15 2 2" xfId="38140" xr:uid="{7F19C27B-C568-4383-8B0D-D93BEFFA900C}"/>
    <cellStyle name="Std01 3 15 3" xfId="35046" xr:uid="{57375BE9-EF98-4285-9B93-100768375BE1}"/>
    <cellStyle name="Std01 3 16" xfId="26407" xr:uid="{36480950-159A-4FAD-840F-E85816C1DDC5}"/>
    <cellStyle name="Std01 3 16 2" xfId="38134" xr:uid="{2D72EEE3-A15A-4BEA-AFE0-BF796E2590E9}"/>
    <cellStyle name="Std01 3 17" xfId="35040" xr:uid="{3D922175-B72E-49FE-8865-1D61362FEE0A}"/>
    <cellStyle name="Std01 3 2" xfId="20154" xr:uid="{99A316E4-0B40-4114-BFC6-B9081423E26E}"/>
    <cellStyle name="Std01 3 2 2" xfId="26414" xr:uid="{988670AC-92E6-4B22-B996-97590E0D5398}"/>
    <cellStyle name="Std01 3 2 2 2" xfId="38141" xr:uid="{CB86BE37-8E31-44A2-B080-351C1CD12BE2}"/>
    <cellStyle name="Std01 3 2 3" xfId="35047" xr:uid="{901801D2-0DF5-4EE8-A23C-0C1485D809F2}"/>
    <cellStyle name="Std01 3 3" xfId="20155" xr:uid="{9E758E96-5546-4882-9559-373D46464EB8}"/>
    <cellStyle name="Std01 3 3 2" xfId="26415" xr:uid="{B46680B8-3720-4499-8982-6CCC3C8D47B6}"/>
    <cellStyle name="Std01 3 3 2 2" xfId="38142" xr:uid="{EE91162D-71F5-430B-A95D-BA3455AA971B}"/>
    <cellStyle name="Std01 3 3 3" xfId="35048" xr:uid="{3192DF2E-AD9E-43B7-9C1B-3F46634DF6E5}"/>
    <cellStyle name="Std01 3 4" xfId="20156" xr:uid="{934ED2CF-A9F2-49DC-822B-31D4492C04FC}"/>
    <cellStyle name="Std01 3 4 2" xfId="26416" xr:uid="{97BA5EB4-D3C1-41AB-B13A-089EE4FDE093}"/>
    <cellStyle name="Std01 3 4 2 2" xfId="38143" xr:uid="{2CFAB2F5-D14E-4202-B739-7CF7E1BEBCB4}"/>
    <cellStyle name="Std01 3 4 3" xfId="35049" xr:uid="{610669BB-53FD-4AF3-8293-F477DF86D3DE}"/>
    <cellStyle name="Std01 3 5" xfId="20157" xr:uid="{4D59ED0A-C613-40F7-93C6-AC3ABD7EC42B}"/>
    <cellStyle name="Std01 3 5 2" xfId="26417" xr:uid="{9D0610E1-63AD-466E-B423-61F575FE9243}"/>
    <cellStyle name="Std01 3 5 2 2" xfId="38144" xr:uid="{E6F216A1-7BAE-4B1E-911B-647563802EB3}"/>
    <cellStyle name="Std01 3 5 3" xfId="35050" xr:uid="{3E964663-31CC-43C4-98DF-3C2BD6D193C3}"/>
    <cellStyle name="Std01 3 6" xfId="20158" xr:uid="{AEBA3E04-B21F-44A2-B75A-D802B7744CB2}"/>
    <cellStyle name="Std01 3 6 2" xfId="26418" xr:uid="{9DD966B5-4E34-4A44-A19E-65CBDAA8E1BA}"/>
    <cellStyle name="Std01 3 6 2 2" xfId="38145" xr:uid="{7BCE0DA0-4D1B-41E9-86DB-FF36ED6A2316}"/>
    <cellStyle name="Std01 3 6 3" xfId="35051" xr:uid="{B520BEDC-753E-4C3B-8A9B-4610CC738BA2}"/>
    <cellStyle name="Std01 3 7" xfId="20159" xr:uid="{A41F8B65-325B-497E-8685-DF57991C1AD8}"/>
    <cellStyle name="Std01 3 7 2" xfId="26419" xr:uid="{DC029E7C-AD85-4BED-AB94-843AC315A4BC}"/>
    <cellStyle name="Std01 3 7 2 2" xfId="38146" xr:uid="{F998B34E-FA34-402E-A5BB-82579EF48B75}"/>
    <cellStyle name="Std01 3 7 3" xfId="35052" xr:uid="{FE0246AB-9940-42BB-8FC0-C4A7BD8303FD}"/>
    <cellStyle name="Std01 3 8" xfId="20160" xr:uid="{4CD7A0B2-CD26-4BB5-874B-F1A782BC3AF2}"/>
    <cellStyle name="Std01 3 8 2" xfId="26420" xr:uid="{3D97F4A9-18E7-4AEA-8048-2E039E30EC96}"/>
    <cellStyle name="Std01 3 8 2 2" xfId="38147" xr:uid="{3E00497D-8239-4EA8-9CD3-9CEC82530AD1}"/>
    <cellStyle name="Std01 3 8 3" xfId="35053" xr:uid="{15FC4AB2-B818-4589-BDA4-C9B463F01A62}"/>
    <cellStyle name="Std01 3 9" xfId="20161" xr:uid="{146FA3EB-C0BA-425E-95D6-F8F808CBE711}"/>
    <cellStyle name="Std01 3 9 2" xfId="26421" xr:uid="{8737C86F-51ED-4CE2-A570-2B72581CFDC2}"/>
    <cellStyle name="Std01 3 9 2 2" xfId="38148" xr:uid="{2B382CFA-13CB-4F65-931F-C291738E86B3}"/>
    <cellStyle name="Std01 3 9 3" xfId="35054" xr:uid="{3B0376A5-EADA-4312-94C8-83467A3B8751}"/>
    <cellStyle name="Std01 4" xfId="20162" xr:uid="{4035B234-9EF4-426D-BE56-F71BC75B58AA}"/>
    <cellStyle name="Std01 4 2" xfId="26422" xr:uid="{D8A58EBA-7A4D-4456-8285-C6AC04C3970B}"/>
    <cellStyle name="Std01 4 2 2" xfId="38149" xr:uid="{2DBFC906-CD7E-40CA-938C-F588F25EB14A}"/>
    <cellStyle name="Std01 4 3" xfId="35055" xr:uid="{0F93A0F9-667B-44CA-9EDD-B09BD9F6839E}"/>
    <cellStyle name="Std01 5" xfId="20163" xr:uid="{AEE6DA0A-3F95-4C4C-BBFD-2727E2035E6F}"/>
    <cellStyle name="Std01 5 2" xfId="26423" xr:uid="{8C6BF10D-53D1-43B6-A956-A04F3437A91D}"/>
    <cellStyle name="Std01 5 2 2" xfId="38150" xr:uid="{C29E6F44-1108-49FA-8F76-2D9CD6B3C681}"/>
    <cellStyle name="Std01 5 3" xfId="35056" xr:uid="{66FB1120-9DB8-40DF-8D05-BA6288E162FE}"/>
    <cellStyle name="Std01 6" xfId="26388" xr:uid="{EA91B40A-41F7-40A2-81DA-A6D67EFC1C22}"/>
    <cellStyle name="Std01 6 2" xfId="38115" xr:uid="{3999A5EB-4246-404C-80D1-50677B444C56}"/>
    <cellStyle name="Std01 7" xfId="35021" xr:uid="{D9A61D7A-F2B1-496F-A5B6-A37CF81CB611}"/>
    <cellStyle name="style" xfId="20164" xr:uid="{9D97AD18-3BEA-4FAD-A79D-202D670EDE51}"/>
    <cellStyle name="Style 1" xfId="20165" xr:uid="{AE2ACA4B-82B6-4BEC-BE8D-DB4C1A53CE47}"/>
    <cellStyle name="Style 1 2" xfId="20166" xr:uid="{42C7B1D4-AD00-42E2-BB43-7053A9D706F2}"/>
    <cellStyle name="Style 1 2 2" xfId="20167" xr:uid="{20D50147-635A-42CB-9D4F-C2361267CDD2}"/>
    <cellStyle name="Style 1 2 2 10" xfId="20168" xr:uid="{54070943-2EEC-4126-B6C1-0496B4705D03}"/>
    <cellStyle name="Style 1 2 2 11" xfId="20169" xr:uid="{CC28D21C-9329-4B83-BD60-40F1A4445ACF}"/>
    <cellStyle name="Style 1 2 2 12" xfId="20170" xr:uid="{BF958F46-7D4A-4CEB-92A3-A88AA4E66644}"/>
    <cellStyle name="Style 1 2 2 13" xfId="20171" xr:uid="{F03F1C20-2BA3-4C12-AD1A-0586284CD4D0}"/>
    <cellStyle name="Style 1 2 2 14" xfId="20172" xr:uid="{0AE45B16-5EA0-42E4-AE1F-FBD47B61007C}"/>
    <cellStyle name="Style 1 2 2 15" xfId="20173" xr:uid="{76988692-9B60-4F84-95BE-459475328FEB}"/>
    <cellStyle name="Style 1 2 2 2" xfId="20174" xr:uid="{F5DAB111-D446-4C72-A688-1E74FC2286B1}"/>
    <cellStyle name="Style 1 2 2 3" xfId="20175" xr:uid="{0EE7CF22-CD6D-479D-A3D7-F784936D5B67}"/>
    <cellStyle name="Style 1 2 2 4" xfId="20176" xr:uid="{2EB1A9F5-FB55-41F3-9BAA-044334EAD829}"/>
    <cellStyle name="Style 1 2 2 5" xfId="20177" xr:uid="{4F0D23EE-4F1C-4A7E-B41D-3FC583614EB9}"/>
    <cellStyle name="Style 1 2 2 6" xfId="20178" xr:uid="{C85D1B40-1DEA-4DEB-8755-2D323707F181}"/>
    <cellStyle name="Style 1 2 2 7" xfId="20179" xr:uid="{0389CD5A-62A2-4A48-BF3E-12CE1C711B28}"/>
    <cellStyle name="Style 1 2 2 8" xfId="20180" xr:uid="{FC5E499C-4E1A-4567-BF82-4864175AC79A}"/>
    <cellStyle name="Style 1 2 2 9" xfId="20181" xr:uid="{72F0113F-11E7-47E7-A20F-789B5EAEDBB5}"/>
    <cellStyle name="Style 1 2 3" xfId="20182" xr:uid="{B51D551B-619F-4B58-8192-4CF2E89C5B06}"/>
    <cellStyle name="Style 1 2 4" xfId="20183" xr:uid="{A8861EC9-493E-445A-80A7-DD9F186D6B20}"/>
    <cellStyle name="Style 1 3" xfId="20184" xr:uid="{7C00487C-DB06-43A6-B414-C85BFA754FD9}"/>
    <cellStyle name="Style 1 3 2" xfId="20185" xr:uid="{DE72E332-C706-4E42-8B4D-467725DEE70B}"/>
    <cellStyle name="Style 1 3 2 2" xfId="26424" xr:uid="{95D0DA21-573E-47DC-A26D-4A76DBD44383}"/>
    <cellStyle name="Style 1 4" xfId="20186" xr:uid="{032C99F4-1C4A-4CED-BA93-B1E8F46DB597}"/>
    <cellStyle name="Style 1 4 10" xfId="20187" xr:uid="{04D839F8-D6CA-4FE3-99CF-7454FAEF8D83}"/>
    <cellStyle name="Style 1 4 11" xfId="20188" xr:uid="{41FEA6D3-2532-45D8-9D43-E57A677CBE90}"/>
    <cellStyle name="Style 1 4 12" xfId="20189" xr:uid="{5ED3FED5-2E44-4152-A4BF-EC161C5277C7}"/>
    <cellStyle name="Style 1 4 13" xfId="20190" xr:uid="{C2B87B57-4A7A-448F-876E-CA41CDE4E56A}"/>
    <cellStyle name="Style 1 4 14" xfId="20191" xr:uid="{0AA8E60C-9327-4FCC-8182-43C3563C258A}"/>
    <cellStyle name="Style 1 4 15" xfId="20192" xr:uid="{238B053F-70F7-4D58-A211-E0C47DBC13DB}"/>
    <cellStyle name="Style 1 4 2" xfId="20193" xr:uid="{DE16223A-7911-460E-AF85-808030590C70}"/>
    <cellStyle name="Style 1 4 3" xfId="20194" xr:uid="{84D409B5-12FD-4211-8A41-0FAE867FF864}"/>
    <cellStyle name="Style 1 4 4" xfId="20195" xr:uid="{B8E0F7CF-BA02-4935-B355-C86AF157085E}"/>
    <cellStyle name="Style 1 4 5" xfId="20196" xr:uid="{E19921C2-7A87-4F18-99D9-1DA0576DD91C}"/>
    <cellStyle name="Style 1 4 6" xfId="20197" xr:uid="{CB33C83C-9EEF-4D42-A747-55C1C4374488}"/>
    <cellStyle name="Style 1 4 7" xfId="20198" xr:uid="{D23A6782-68FB-4FBE-9946-D66A69B3E796}"/>
    <cellStyle name="Style 1 4 8" xfId="20199" xr:uid="{418C1550-3C0C-4626-B72D-254663143256}"/>
    <cellStyle name="Style 1 4 9" xfId="20200" xr:uid="{E742C3ED-B04F-4874-9D6E-BBC393427DFD}"/>
    <cellStyle name="Style 1 5" xfId="20201" xr:uid="{3A72C4DB-2ECE-4383-9B71-519BC3DEB123}"/>
    <cellStyle name="Style 10" xfId="20202" xr:uid="{AEA05F6C-D41D-4777-BC51-62926B7C5489}"/>
    <cellStyle name="Style 11" xfId="20203" xr:uid="{0F4BCCA7-E427-4054-9E47-37E5F36A7E99}"/>
    <cellStyle name="Style 12" xfId="20204" xr:uid="{2577CAA9-9F01-4150-93A2-88C2EA217235}"/>
    <cellStyle name="Style 13" xfId="20205" xr:uid="{7796A616-1141-4075-A474-A26D952C3CFD}"/>
    <cellStyle name="Style 14" xfId="20206" xr:uid="{19BA2470-BE73-4C00-8D52-AF76BF45AE05}"/>
    <cellStyle name="Style 15" xfId="20207" xr:uid="{DAAB021B-1A89-4C7C-90FB-128EB72C22E5}"/>
    <cellStyle name="Style 16" xfId="20208" xr:uid="{132FD196-F0A9-4DDF-B470-5F2E8A8A1E5D}"/>
    <cellStyle name="Style 17" xfId="20209" xr:uid="{F657E666-72D7-4D0A-ADF0-756C8BA481E7}"/>
    <cellStyle name="Style 18" xfId="20210" xr:uid="{66777853-F94C-40EA-BE2B-AD0097944F12}"/>
    <cellStyle name="Style 19" xfId="20211" xr:uid="{412DDD49-9E31-4EC4-83EB-AACB182DCA37}"/>
    <cellStyle name="Style 2" xfId="20212" xr:uid="{B10BD5B7-9E60-4F89-A021-90C0B7E218D8}"/>
    <cellStyle name="Style 20" xfId="20213" xr:uid="{C51CD120-D16B-42F3-81B4-F8D76E3FC7B3}"/>
    <cellStyle name="Style 26" xfId="20214" xr:uid="{4D840EBE-F102-4379-B47A-1D45CD087359}"/>
    <cellStyle name="Style 27" xfId="20215" xr:uid="{93674A0F-AE5B-4F1E-B7A1-52FB72FB364F}"/>
    <cellStyle name="Style 28" xfId="20216" xr:uid="{F81DA653-A8AE-4FAD-9300-5F34A52235C0}"/>
    <cellStyle name="Style 3" xfId="20217" xr:uid="{F0BCBE1D-72CE-44FB-82F3-4F6065FBC7E6}"/>
    <cellStyle name="Style 4" xfId="20218" xr:uid="{2C616B0A-477A-4967-9F4F-E67D234FFBDA}"/>
    <cellStyle name="Style 5" xfId="20219" xr:uid="{AC3B4FCB-FEEF-420C-BF56-9791F68FD4E8}"/>
    <cellStyle name="Style 6" xfId="20220" xr:uid="{0110A392-622E-4B94-B625-C39CFCDD9D36}"/>
    <cellStyle name="Style 65" xfId="20221" xr:uid="{9FFF5AA4-22C5-48AB-BFDB-523F9D32EE41}"/>
    <cellStyle name="Style 67" xfId="20222" xr:uid="{D8907048-EFBF-4929-AC10-D17EB579CB65}"/>
    <cellStyle name="Style 69" xfId="20223" xr:uid="{419ABB2D-7BB8-4EEF-8573-12FBD3378743}"/>
    <cellStyle name="Style 7" xfId="20224" xr:uid="{E0829F19-92AD-4EF9-88E8-0367A0E21A32}"/>
    <cellStyle name="Style 71" xfId="20225" xr:uid="{F3A83FEB-BD0E-4A7A-99E8-7F9E7E291D4F}"/>
    <cellStyle name="Style 8" xfId="20226" xr:uid="{9D12063D-5AEB-4E4D-AFD8-A693BDC7225E}"/>
    <cellStyle name="Style 9" xfId="20227" xr:uid="{71604C4F-9812-4474-9A0F-00DADB132DB3}"/>
    <cellStyle name="Style1" xfId="20228" xr:uid="{67B35297-C120-4CD3-A0BF-BE3C57B7DC27}"/>
    <cellStyle name="Style1 2" xfId="20229" xr:uid="{420B070C-7039-468F-A24D-C6CB2C7E8BA8}"/>
    <cellStyle name="style2" xfId="20230" xr:uid="{DFBCD4FE-5BD6-4FAC-BF57-2FC16D41197B}"/>
    <cellStyle name="StyleJourFictif" xfId="20231" xr:uid="{C8504D31-44AB-45FA-A54D-CBF73F63B0A6}"/>
    <cellStyle name="StyleJourFictif 2" xfId="20232" xr:uid="{C50DA770-28F1-4BA5-AB0B-55EC40150A96}"/>
    <cellStyle name="subhead" xfId="20233" xr:uid="{CEC9D75D-2EC4-43A3-B0EF-CBF2F257BE12}"/>
    <cellStyle name="Subhead 1" xfId="20234" xr:uid="{FF24F6FE-BABA-4B6C-A26E-1518C8103F05}"/>
    <cellStyle name="Subhead 2" xfId="20235" xr:uid="{3E542545-3E50-4CA2-8EA2-477CE8950CA8}"/>
    <cellStyle name="Subtitle" xfId="20236" xr:uid="{4FF20C9A-CF19-4836-9514-73C9EEC6424E}"/>
    <cellStyle name="Subtitle 2" xfId="34784" xr:uid="{3DE8B49E-731C-4990-9080-B8A47CBF326B}"/>
    <cellStyle name="SubTot" xfId="20237" xr:uid="{D2977D3E-EB44-4B88-8167-4A77FCAF64C7}"/>
    <cellStyle name="Subtotal" xfId="20238" xr:uid="{97D90C04-9AE9-4D77-BD42-95C7AAE689AD}"/>
    <cellStyle name="Sum" xfId="20239" xr:uid="{8E30AD40-CAE7-4C68-933C-BDB803ED2A15}"/>
    <cellStyle name="Sum %of HV" xfId="20240" xr:uid="{BDE0DFD8-6CCB-4636-802B-4AFE09439D22}"/>
    <cellStyle name="Sum %of HV 2" xfId="20241" xr:uid="{1ACB3EDA-46A1-4A4B-85BF-D994C7136294}"/>
    <cellStyle name="Sum_(FY04-07)Value Up Reply Format(NSA)" xfId="20242" xr:uid="{C3140244-3A6B-437C-AA57-278D65822540}"/>
    <cellStyle name="SYNTHESE" xfId="20243" xr:uid="{13A68D0F-18B7-4495-AAB0-122BB3C12328}"/>
    <cellStyle name="synthèse" xfId="20244" xr:uid="{931431FE-917D-4698-B317-982FCB491099}"/>
    <cellStyle name="SYNTHESE_P&amp;L Variance analysis" xfId="20245" xr:uid="{060E75C0-C014-4D66-BBE5-485B987DC9E4}"/>
    <cellStyle name="t" xfId="20246" xr:uid="{882A2352-18C7-4BFA-ABC8-33857EF513D1}"/>
    <cellStyle name="t 2" xfId="20247" xr:uid="{801F9FAD-3D0C-40B3-BDCA-888CEBABECDB}"/>
    <cellStyle name="t_Breakdown FY07 Apr 07-Mar 08 draft#2c-Final" xfId="20248" xr:uid="{7AAD543C-970A-4E57-B46E-9FC21A74F743}"/>
    <cellStyle name="t_Breakdown FY07 Apr 07-Mar 08 draft#2c-Final_090615 FY09 BP 2+10 FC_Summary II" xfId="20249" xr:uid="{2BB8C4DC-AF6C-4844-9580-9FA4C6411A59}"/>
    <cellStyle name="t_Breakdown FY07 Apr 07-Mar 08 draft#2c-Final_20090908 FY09 BP 5+7 FC_Summary_Sep Prod" xfId="20250" xr:uid="{6447BF24-29FA-4986-8F59-3F72255D1831}"/>
    <cellStyle name="t_Breakdown FY07 Apr 07-Mar 08 draft#2c-Final_20090914 FY09 BP 5+7 FC_Summary_Oct Prod" xfId="20251" xr:uid="{592207FF-FEEC-4B30-A4CC-F726662AB42D}"/>
    <cellStyle name="t_Breakdown FY07 Apr 07-Mar 08 draft#2c-Final_20091109 FY09 BP 7+5 FC summary_with Formula" xfId="20252" xr:uid="{AB265366-F68E-41AC-9F20-F3ED83F0AFA1}"/>
    <cellStyle name="t_Breakdown FY07 Apr 07-Mar 08 draft#2c-Final_FY2008 PSS Jan'09 Sent on Apr 07 '09  (3)" xfId="20253" xr:uid="{546667EA-4EA2-479C-BCBB-F5D7657FAA04}"/>
    <cellStyle name="t_Breakdown FY07 Apr 07-Mar 08 draft#2c-Final_FY2008 PSS Jan'09 Sent on Apr 07 '09 Updated" xfId="20254" xr:uid="{A995CBA7-61C1-4834-A65D-43317F7D0028}"/>
    <cellStyle name="t_Breakdown FY07 Apr 07-Mar 08 draft#2c-Final_FY2008 PSS Jan'09 Sent on Mar 05 '09 " xfId="20255" xr:uid="{531AEE02-BBF2-4023-9AD4-2882D83EA15F}"/>
    <cellStyle name="t_Breakdown FY07 Apr 07-Mar 08 draft#2c-Final_FY2008 PSS Jan'09 Sent on Mar 05 '09 _P&amp;L Variance analysis" xfId="20256" xr:uid="{9DE582E3-D5A3-42CC-B6CB-50D11B93C1CB}"/>
    <cellStyle name="t_Breakdown FY07 Apr 07-Mar 08 draft#2c-Final_FY2008 PSS Jan'09 Sent on Mar 13 '09 " xfId="20257" xr:uid="{79D8CC9B-B89E-4CFF-9E3A-8FF21D8A4A1D}"/>
    <cellStyle name="t_Breakdown FY07 Apr 07-Mar 08 draft#2c-Final_FY2008 PSS Jan'09 Sent on Mar 13 '09 _P&amp;L Variance analysis" xfId="20258" xr:uid="{83383DC0-C2D5-4530-9D60-2F85D2E70936}"/>
    <cellStyle name="t_Breakdown FY07 Apr 07-Mar 08 draft#2c-Final_FY2009 PSS  Sent on Aug 10, 2009 " xfId="20259" xr:uid="{C30C56D6-0677-4F34-A967-919D17E160BC}"/>
    <cellStyle name="t_Breakdown FY07 Apr 07-Mar 08 draft#2c-Final_FY2009 PSS  Sent on Nov 5, 2009 " xfId="20260" xr:uid="{A9A10577-2CB0-4DF5-BD38-4206FC27E1E6}"/>
    <cellStyle name="t_Breakdown FY07 Apr 07-Mar 08 draft#2c-Final_FY2009 PSS Jan'09 Sent on May 05 '09" xfId="20261" xr:uid="{F9E40FEC-3997-4B18-9809-0CAC861558B9}"/>
    <cellStyle name="t_Breakdown FY07 Apr 07-Mar 08 draft#2c-Final_FY2009 PSS Jan'09 Sent on May 05 '09_P&amp;L Variance analysis" xfId="20262" xr:uid="{4BCFD8B9-F37F-4F23-A4E5-4B08259AC7C5}"/>
    <cellStyle name="t_Breakdown FY07 Apr 07-Mar 08 draft#2c-Final_ITP _D22LCVNNZCOP090612" xfId="20263" xr:uid="{92BF10BF-385B-413E-BE3E-819CEEC6B277}"/>
    <cellStyle name="t_Breakdown FY07 Apr 07-Mar 08 draft#2c-Final_ITP _D40 090115 (MP_BP09)" xfId="20264" xr:uid="{CF9F38BF-A30E-4BE1-AB73-125307A2BAA1}"/>
    <cellStyle name="t_Breakdown FY07 Apr 07-Mar 08 draft#2c-Final_P&amp;L Variance analysis" xfId="20265" xr:uid="{AAD094C9-9026-4684-92A3-BF1A32DDCE04}"/>
    <cellStyle name="t_Breakdown FY07 Apr 07-Mar 08 draft#2c-Final_Simulater shipment end of FY08" xfId="20266" xr:uid="{F8707187-12A0-42BF-B6CA-62C765F139B4}"/>
    <cellStyle name="t_Breakdown FY07 Apr 07-Mar 08 draft#2c-Final_Simulater shipment end of FY08_P&amp;L Variance analysis" xfId="20267" xr:uid="{7FFF3B29-9B94-4721-B1F0-B17BC750890B}"/>
    <cellStyle name="t_For Robby - Allocation Cost by Model 1.0" xfId="20268" xr:uid="{CFF0FF89-C771-40B6-86D1-7FEACCC938AB}"/>
    <cellStyle name="t_June 2006 SM Actual Expense -- Classification" xfId="20269" xr:uid="{D88C7714-C307-4B5D-AE68-9AE8F3870772}"/>
    <cellStyle name="t_June 2006 SM Actual Expense -- Classification_P&amp;L Variance analysis" xfId="20270" xr:uid="{9AC9B10C-C59F-4D21-B392-E4092040B633}"/>
    <cellStyle name="t_M&amp;S YTD June_Study" xfId="20271" xr:uid="{77E77C78-50BB-49D4-9DD5-A073B11BAB29}"/>
    <cellStyle name="t_M&amp;S YTD June_Study_090615 FY09 BP 2+10 FC_Summary II" xfId="20272" xr:uid="{AF948EB0-5C63-41F1-A0A0-AD5086BD1C9C}"/>
    <cellStyle name="t_M&amp;S YTD June_Study_20090908 FY09 BP 5+7 FC_Summary_Sep Prod" xfId="20273" xr:uid="{3CF5320D-0831-44D3-8C26-5E323F117995}"/>
    <cellStyle name="t_M&amp;S YTD June_Study_20090914 FY09 BP 5+7 FC_Summary_Oct Prod" xfId="20274" xr:uid="{165C86C6-AFA6-4C8F-BE16-619FB6940488}"/>
    <cellStyle name="t_M&amp;S YTD June_Study_20091109 FY09 BP 7+5 FC summary_with Formula" xfId="20275" xr:uid="{059C39EF-FA64-4B3F-B079-47869A50DFBD}"/>
    <cellStyle name="t_M&amp;S YTD June_Study_FY2008 PSS Jan'09 Sent on Apr 07 '09  (3)" xfId="20276" xr:uid="{F6784EFB-5583-439C-BED0-BDCE5E03601B}"/>
    <cellStyle name="t_M&amp;S YTD June_Study_FY2008 PSS Jan'09 Sent on Apr 07 '09 Updated" xfId="20277" xr:uid="{B09227E6-C5AC-4E84-9E5E-C8C597727281}"/>
    <cellStyle name="t_M&amp;S YTD June_Study_FY2008 PSS Jan'09 Sent on Mar 05 '09 " xfId="20278" xr:uid="{0327683E-9170-4993-85CC-DE3D8800423B}"/>
    <cellStyle name="t_M&amp;S YTD June_Study_FY2008 PSS Jan'09 Sent on Mar 05 '09 _P&amp;L Variance analysis" xfId="20279" xr:uid="{C7D027A6-2855-477E-8628-879899031449}"/>
    <cellStyle name="t_M&amp;S YTD June_Study_FY2008 PSS Jan'09 Sent on Mar 13 '09 " xfId="20280" xr:uid="{2406A301-D563-4811-BEB7-17024E9D3069}"/>
    <cellStyle name="t_M&amp;S YTD June_Study_FY2008 PSS Jan'09 Sent on Mar 13 '09 _P&amp;L Variance analysis" xfId="20281" xr:uid="{9630986B-EA42-475A-9B5B-88C7102052A2}"/>
    <cellStyle name="t_M&amp;S YTD June_Study_FY2009 PSS  Sent on Aug 10, 2009 " xfId="20282" xr:uid="{8275C801-C55B-4014-A9DB-86FACB6FE800}"/>
    <cellStyle name="t_M&amp;S YTD June_Study_FY2009 PSS  Sent on Nov 5, 2009 " xfId="20283" xr:uid="{00902B5C-05D9-4A9F-97A5-63390C343268}"/>
    <cellStyle name="t_M&amp;S YTD June_Study_FY2009 PSS Jan'09 Sent on May 05 '09" xfId="20284" xr:uid="{1CD6EE03-0EA5-49FB-B133-ECD3B74491B3}"/>
    <cellStyle name="t_M&amp;S YTD June_Study_FY2009 PSS Jan'09 Sent on May 05 '09_P&amp;L Variance analysis" xfId="20285" xr:uid="{FB0D1E1D-C50F-4BA8-9FD6-6097B77B8864}"/>
    <cellStyle name="t_M&amp;S YTD June_Study_ITP _D22LCVNNZCOP090612" xfId="20286" xr:uid="{28588B4E-83DC-46F4-90FD-C532D9125B5E}"/>
    <cellStyle name="t_M&amp;S YTD June_Study_ITP _D40 090115 (MP_BP09)" xfId="20287" xr:uid="{9D7A10F6-B0EB-4C8A-BA29-C6BD538B68DC}"/>
    <cellStyle name="t_M&amp;S YTD June_Study_NMI07BP WS price change" xfId="20288" xr:uid="{A3F292B2-5E26-48E5-AE63-147F3AB2EB7B}"/>
    <cellStyle name="t_M&amp;S YTD June_Study_P&amp;L Variance analysis" xfId="20289" xr:uid="{218932B3-53B2-4B0A-8052-7D15E868798B}"/>
    <cellStyle name="t_M&amp;S YTD June_Study_Simulater shipment end of FY08" xfId="20290" xr:uid="{B6CC7A7C-1E1E-4776-A4F8-EB0CB78E05DE}"/>
    <cellStyle name="t_M&amp;S YTD June_Study_Simulater shipment end of FY08_P&amp;L Variance analysis" xfId="20291" xr:uid="{F95A407D-51BE-4175-89F3-604D56F3045B}"/>
    <cellStyle name="t_NMI07BP M&amp;S Expense" xfId="20292" xr:uid="{6C2005D3-A290-4D34-A40F-F659674E2EF1}"/>
    <cellStyle name="t_NMI07BP M&amp;S Expense_P&amp;L Variance analysis" xfId="20293" xr:uid="{92BC04BE-E540-414C-B396-010EE88B2F5B}"/>
    <cellStyle name="t_NMI07BP WS price change" xfId="20294" xr:uid="{B3AAA509-C4FA-47C0-B08C-AD8D422FFDED}"/>
    <cellStyle name="t_P&amp;L Variance analysis" xfId="20295" xr:uid="{7B4D56FD-599D-4812-9104-31619DF70A42}"/>
    <cellStyle name="TempsRequis" xfId="20296" xr:uid="{46D070F3-FD9B-40C5-BCAB-5A703BE46243}"/>
    <cellStyle name="Tete" xfId="20297" xr:uid="{9DA70AF2-F223-41E0-AB6F-BF8878F95DB5}"/>
    <cellStyle name="Text Indent A" xfId="20298" xr:uid="{0164CF0F-D94C-4DDB-B7F8-75F86698A83B}"/>
    <cellStyle name="Text Indent B" xfId="20299" xr:uid="{26504213-889C-4B5A-AC1E-2963475269F5}"/>
    <cellStyle name="Text Indent C" xfId="20300" xr:uid="{46ED5597-9B1F-40D1-A662-7D10E5CCB1D6}"/>
    <cellStyle name="Text Indent C 2" xfId="20301" xr:uid="{B0B03BA8-14C9-4C54-B33D-BA53BA6EEBE2}"/>
    <cellStyle name="Texte explicatif" xfId="20302" xr:uid="{2E0D9F04-BFED-4CAE-89C1-94E7E443E96F}"/>
    <cellStyle name="Texto de advertencia" xfId="20303" xr:uid="{2971C657-2E3E-4A87-9DF3-B16D38745630}"/>
    <cellStyle name="Texto explicativo" xfId="20304" xr:uid="{78425A74-0D98-4A37-B947-9A8315C1AE76}"/>
    <cellStyle name="þ_x001d_ð'&amp;Oy?Hy9_x0008__x000f__x0007_æ_x0007__x0007__x0001__x0001_" xfId="20305" xr:uid="{2E354AE2-81DB-40FA-A77C-6EEA3EB7725B}"/>
    <cellStyle name="Thousands" xfId="20306" xr:uid="{7C51CE2A-D91D-4CFD-986A-D39C00DC0895}"/>
    <cellStyle name="Thousands 2" xfId="20307" xr:uid="{623E1987-FEEA-468D-97E2-DD32E4720898}"/>
    <cellStyle name="Thousands 3" xfId="20308" xr:uid="{0673537A-D222-4137-B7AB-A2D346C3D170}"/>
    <cellStyle name="Tickmark" xfId="20309" xr:uid="{78207D34-7FC5-493F-8F7A-D5BE2909F9B2}"/>
    <cellStyle name="time" xfId="20310" xr:uid="{68768468-7374-45DD-BE47-8C5BD552F094}"/>
    <cellStyle name="time 2" xfId="20311" xr:uid="{78A480E0-F279-4815-BBF8-A59A5132CB34}"/>
    <cellStyle name="Title 2" xfId="20313" xr:uid="{72003750-8CE8-4890-9735-E7DDAFAD7A58}"/>
    <cellStyle name="Title 2 2" xfId="20314" xr:uid="{775C8DF3-022E-495B-B110-36908C54F61F}"/>
    <cellStyle name="Title 2 3" xfId="20315" xr:uid="{390ED1CD-3D81-4A37-852F-0B3A25EB6603}"/>
    <cellStyle name="Title 3" xfId="20316" xr:uid="{F1EA72E5-AED7-4DC3-AE82-2D1EAC56806E}"/>
    <cellStyle name="Title 3 2" xfId="20317" xr:uid="{3B1CFA36-1D3E-4C2D-8C74-0301FFB37548}"/>
    <cellStyle name="Title 3 3" xfId="20318" xr:uid="{0747CE88-DE61-47FB-81AD-E10AF18C6C3D}"/>
    <cellStyle name="Title 4" xfId="20319" xr:uid="{44489266-CB5C-4F6E-B9CD-219A4C18E5C2}"/>
    <cellStyle name="title 5" xfId="20312" xr:uid="{F20CCCD0-9A6F-4E80-BDDB-2B8522B91F09}"/>
    <cellStyle name="Title(1)" xfId="20320" xr:uid="{30D4960E-0C7B-40AE-A0CA-54002218FE5A}"/>
    <cellStyle name="Titre" xfId="20321" xr:uid="{0327FCFE-C2E5-4249-AF0F-812958561844}"/>
    <cellStyle name="Titre colonnes" xfId="20322" xr:uid="{F2AAACE9-C29F-4B01-B8E6-0194CF0558E9}"/>
    <cellStyle name="Titre lignes" xfId="20323" xr:uid="{9C28B3D8-9BE6-4E1C-9D82-0CD00379C613}"/>
    <cellStyle name="Titre 1" xfId="20324" xr:uid="{8F9DE282-E700-47FA-9455-844A16DBA2B3}"/>
    <cellStyle name="Titre 1 2" xfId="20325" xr:uid="{5F8DB1FE-1162-4A6E-A0DF-D58C35AEEC35}"/>
    <cellStyle name="Titre 2" xfId="20326" xr:uid="{EC6823EA-CE19-4735-9D66-D3BD324A07FD}"/>
    <cellStyle name="Titre 2 2" xfId="20327" xr:uid="{1A49A107-7F6A-41BA-BCCA-74164A0FA2B6}"/>
    <cellStyle name="Titre 3" xfId="20328" xr:uid="{B9A0A7AD-2EFB-406C-9949-29FF6572F786}"/>
    <cellStyle name="Titre 4" xfId="20329" xr:uid="{D4A48843-EE76-4C3D-943E-919EE4A258F4}"/>
    <cellStyle name="Titre_3856FY08 Fcst#1 for Finance Company(rev EG)" xfId="20330" xr:uid="{B9137232-B82F-430A-ABD2-10823FB4525B}"/>
    <cellStyle name="Título" xfId="20331" xr:uid="{7A6163FE-E7C7-4059-8CCE-26EC267B06FE}"/>
    <cellStyle name="Título 1" xfId="20332" xr:uid="{0C6F8795-C8E6-4D76-8E45-4C8D55E861BA}"/>
    <cellStyle name="Título 2" xfId="20333" xr:uid="{F3EC3C58-CE19-4DAB-A43D-64EAC0444D73}"/>
    <cellStyle name="Título 3" xfId="20334" xr:uid="{EB44CB8A-2048-4908-AAD8-8398483824F1}"/>
    <cellStyle name="Título 4" xfId="20335" xr:uid="{3CC0556D-6103-4F92-941D-98A7033117B0}"/>
    <cellStyle name="Total 2" xfId="20337" xr:uid="{356ACBF1-9D9C-4036-B0D3-9E0537FCDFF1}"/>
    <cellStyle name="Total 2 10" xfId="20338" xr:uid="{FF4FE1D6-367A-4A9B-92D8-CFF41F4E8A7B}"/>
    <cellStyle name="Total 2 10 2" xfId="34787" xr:uid="{CA1EE85D-F1A6-4FD4-BE74-A655228F0FF0}"/>
    <cellStyle name="Total 2 11" xfId="20339" xr:uid="{9D61B047-C2A0-486E-95D4-20C19B1DBA2C}"/>
    <cellStyle name="Total 2 11 2" xfId="34788" xr:uid="{5B310B2A-E034-4120-A656-7DC4CD17D1F5}"/>
    <cellStyle name="Total 2 12" xfId="20340" xr:uid="{D423AE90-1AE4-484B-BD0D-EA39D48DC4D9}"/>
    <cellStyle name="Total 2 12 2" xfId="34789" xr:uid="{05AFBB27-9607-41C1-B993-76C58B9C380C}"/>
    <cellStyle name="Total 2 13" xfId="20341" xr:uid="{F4AC277C-C46B-48D2-9D1B-F5D543375C71}"/>
    <cellStyle name="Total 2 13 2" xfId="34790" xr:uid="{664F605D-B18D-49AC-9C7B-59CA73D33E74}"/>
    <cellStyle name="Total 2 14" xfId="20342" xr:uid="{1A700EB3-A112-4436-A9E6-3DF1E0CD0943}"/>
    <cellStyle name="Total 2 14 2" xfId="34791" xr:uid="{42322531-2AD6-433E-B12C-BD753BE53E42}"/>
    <cellStyle name="Total 2 15" xfId="20343" xr:uid="{914D7AC4-515F-44EA-9A3D-A376E68033C3}"/>
    <cellStyle name="Total 2 15 2" xfId="34792" xr:uid="{BE684882-CED4-4398-A6C5-E194FF1A08CB}"/>
    <cellStyle name="Total 2 16" xfId="20344" xr:uid="{ABE1FDB5-3BAD-4EC8-BC7A-550330ED0F05}"/>
    <cellStyle name="Total 2 16 2" xfId="34793" xr:uid="{435AA35B-8B0B-46C4-BE38-8351AE7E9CA7}"/>
    <cellStyle name="Total 2 17" xfId="20345" xr:uid="{64E62BAB-A4E0-4FE5-8941-2169E04EBA10}"/>
    <cellStyle name="Total 2 17 2" xfId="34794" xr:uid="{C2AD6012-9CF6-4C7B-9B51-E3CF7724A81C}"/>
    <cellStyle name="Total 2 18" xfId="20346" xr:uid="{599882AC-1C4F-4726-B581-EF4A4C2FA092}"/>
    <cellStyle name="Total 2 18 2" xfId="34795" xr:uid="{A9178EF4-2B09-4C48-A28F-F04278E6E07C}"/>
    <cellStyle name="Total 2 19" xfId="20347" xr:uid="{59CDB1D8-3C39-4C02-B7F6-008DA2E969D9}"/>
    <cellStyle name="Total 2 19 2" xfId="34796" xr:uid="{D2C1E941-6DFA-4C48-889C-1E9A01832979}"/>
    <cellStyle name="Total 2 2" xfId="20348" xr:uid="{923DCCE7-2C91-444B-8AA6-69E724676DB4}"/>
    <cellStyle name="Total 2 2 10" xfId="20349" xr:uid="{75897A70-4F50-4253-8BF8-A4D5395FB8D5}"/>
    <cellStyle name="Total 2 2 10 2" xfId="34798" xr:uid="{7D9B5F11-A6CB-471D-BEE9-42778CEB47DA}"/>
    <cellStyle name="Total 2 2 11" xfId="20350" xr:uid="{9B55CA6E-F16C-490C-B64E-083C95527CF4}"/>
    <cellStyle name="Total 2 2 11 2" xfId="34799" xr:uid="{68D41E01-78FB-4823-8C71-1E8BCA5E2379}"/>
    <cellStyle name="Total 2 2 12" xfId="20351" xr:uid="{51EE9F2C-53BB-40D3-A797-4F254E68BB84}"/>
    <cellStyle name="Total 2 2 12 2" xfId="34800" xr:uid="{10CF5564-FAA6-4BA7-A46A-4897D60747DB}"/>
    <cellStyle name="Total 2 2 13" xfId="20352" xr:uid="{C5DF5D5D-BD76-4144-9EC8-41A00933E996}"/>
    <cellStyle name="Total 2 2 13 2" xfId="34801" xr:uid="{62C3F04F-801F-490C-9B3D-706AC89B05CC}"/>
    <cellStyle name="Total 2 2 14" xfId="20353" xr:uid="{5843E1CA-88DD-485C-833A-78C3756547AF}"/>
    <cellStyle name="Total 2 2 14 2" xfId="34802" xr:uid="{0558DD7F-BAF8-4DEE-887F-B02CAC3DC29E}"/>
    <cellStyle name="Total 2 2 15" xfId="20354" xr:uid="{3943805C-E1A0-4706-8A8D-A4C0E4B48872}"/>
    <cellStyle name="Total 2 2 15 2" xfId="34803" xr:uid="{298684A4-8A5B-4805-A7D9-4B1F8D588783}"/>
    <cellStyle name="Total 2 2 16" xfId="20355" xr:uid="{6CB71DFE-5B68-4046-B060-BA569960E711}"/>
    <cellStyle name="Total 2 2 16 2" xfId="34804" xr:uid="{8B8D6BDE-7C29-4EE4-B4C7-A6A960914ED7}"/>
    <cellStyle name="Total 2 2 17" xfId="20356" xr:uid="{4CA57F0B-4E4B-44A8-A7C4-276D9A459B40}"/>
    <cellStyle name="Total 2 2 17 2" xfId="34805" xr:uid="{439ADE4A-590C-443B-8CBC-279791581216}"/>
    <cellStyle name="Total 2 2 18" xfId="20357" xr:uid="{B9DF7D9B-652E-4AD2-ACE2-790185EE8402}"/>
    <cellStyle name="Total 2 2 18 2" xfId="34806" xr:uid="{AEB6A13A-A061-4BDF-9F27-DD78B0C7DDB7}"/>
    <cellStyle name="Total 2 2 19" xfId="20358" xr:uid="{BFAA9CE2-FBE3-42FB-8F3B-9364E94E6564}"/>
    <cellStyle name="Total 2 2 19 2" xfId="34807" xr:uid="{54D69165-553E-4066-A184-DC1E56A60B8A}"/>
    <cellStyle name="Total 2 2 2" xfId="20359" xr:uid="{1E70F4E1-ABBA-4929-BDDD-05ACB6ED276A}"/>
    <cellStyle name="Total 2 2 2 10" xfId="20360" xr:uid="{ABF9F7D6-EF5E-4CDA-A61C-AEDE27263814}"/>
    <cellStyle name="Total 2 2 2 10 2" xfId="34809" xr:uid="{684183A7-39DF-414F-A395-016CEAAE9914}"/>
    <cellStyle name="Total 2 2 2 11" xfId="20361" xr:uid="{8F816150-D239-4A08-92B1-27C78BC71C58}"/>
    <cellStyle name="Total 2 2 2 11 2" xfId="34810" xr:uid="{0B249AAB-B5AE-4A28-A80F-F4E580A6C8A9}"/>
    <cellStyle name="Total 2 2 2 12" xfId="20362" xr:uid="{EB3702B4-DC9B-4AB9-8B8A-C722F68DB53B}"/>
    <cellStyle name="Total 2 2 2 12 2" xfId="38114" xr:uid="{8176CF05-EBE8-492E-A08D-CD74976BB280}"/>
    <cellStyle name="Total 2 2 2 13" xfId="20363" xr:uid="{4C49193A-B06A-4BB5-92EA-423D6883174C}"/>
    <cellStyle name="Total 2 2 2 13 2" xfId="34811" xr:uid="{E74F2AB9-DF60-4A66-8D8C-6374FE24A512}"/>
    <cellStyle name="Total 2 2 2 14" xfId="20364" xr:uid="{7E0FAA0F-7CB0-4FB8-A58D-958A3C9CF499}"/>
    <cellStyle name="Total 2 2 2 14 2" xfId="34812" xr:uid="{48CBA82A-4611-4B01-B9A1-03694171624F}"/>
    <cellStyle name="Total 2 2 2 15" xfId="20365" xr:uid="{DF73D2B6-4183-41F9-8F06-27A80E800ACD}"/>
    <cellStyle name="Total 2 2 2 15 2" xfId="34813" xr:uid="{ACF38129-49EB-4FD5-A882-66B65DBFAAED}"/>
    <cellStyle name="Total 2 2 2 16" xfId="20366" xr:uid="{4C956CD7-31AC-4C10-92D6-6A933E7AFF46}"/>
    <cellStyle name="Total 2 2 2 16 2" xfId="34814" xr:uid="{A068F311-690E-4E32-AE4C-1E789C3B2E99}"/>
    <cellStyle name="Total 2 2 2 17" xfId="20367" xr:uid="{CD47AFF7-C81D-4167-B21E-80C430BAD923}"/>
    <cellStyle name="Total 2 2 2 17 2" xfId="34815" xr:uid="{9B9F5A0D-C169-4F21-B8B9-1472D6211E2A}"/>
    <cellStyle name="Total 2 2 2 18" xfId="20368" xr:uid="{7671EB09-D3B4-4556-8F64-D72A3DBDC249}"/>
    <cellStyle name="Total 2 2 2 18 2" xfId="34816" xr:uid="{5BB832E4-787C-4F35-9A80-84ADD763B941}"/>
    <cellStyle name="Total 2 2 2 19" xfId="20369" xr:uid="{47688801-BF37-401B-BC73-DC8E5A3764CF}"/>
    <cellStyle name="Total 2 2 2 19 2" xfId="34817" xr:uid="{F568EB05-5F1D-480C-BDBD-487A17ABD231}"/>
    <cellStyle name="Total 2 2 2 2" xfId="20370" xr:uid="{A6DF930E-4BF5-4053-8BE8-D7A6741CFD55}"/>
    <cellStyle name="Total 2 2 2 2 10" xfId="20371" xr:uid="{9E1754E0-4CA2-44F8-B64D-CA9A3C6391A8}"/>
    <cellStyle name="Total 2 2 2 2 10 2" xfId="34819" xr:uid="{52FD2703-E0F6-409E-8674-625C6E39CA72}"/>
    <cellStyle name="Total 2 2 2 2 11" xfId="20372" xr:uid="{0ED308BC-FAB6-4929-94EE-C381A9B8872E}"/>
    <cellStyle name="Total 2 2 2 2 11 2" xfId="34820" xr:uid="{FB393E2F-7F49-412C-BCEE-FAE078C6F19B}"/>
    <cellStyle name="Total 2 2 2 2 12" xfId="20373" xr:uid="{9E3184E7-178A-47A8-B84A-C2DC84E74036}"/>
    <cellStyle name="Total 2 2 2 2 12 2" xfId="34821" xr:uid="{BBDF6A74-8637-4E96-AF5E-FF7832BF6B02}"/>
    <cellStyle name="Total 2 2 2 2 13" xfId="20374" xr:uid="{7701206D-6BDC-4EC2-A68D-110C2DB28693}"/>
    <cellStyle name="Total 2 2 2 2 13 2" xfId="34822" xr:uid="{2E0E3853-A182-42E9-82DC-2BC80B9D93C4}"/>
    <cellStyle name="Total 2 2 2 2 14" xfId="20375" xr:uid="{29EDC368-6EBC-40FA-B92B-A64E5A557BF2}"/>
    <cellStyle name="Total 2 2 2 2 14 2" xfId="34823" xr:uid="{AFA08B25-D035-4FD6-87EB-13A0EEF87EDF}"/>
    <cellStyle name="Total 2 2 2 2 15" xfId="20376" xr:uid="{B8973921-582E-4532-B4D2-E2B6DE3036D2}"/>
    <cellStyle name="Total 2 2 2 2 15 2" xfId="34824" xr:uid="{72CF60F2-196D-4FDE-BFA7-BFE5B647168D}"/>
    <cellStyle name="Total 2 2 2 2 16" xfId="34818" xr:uid="{C5B4BA9A-C1CD-4A7B-A409-C053E8E9D195}"/>
    <cellStyle name="Total 2 2 2 2 2" xfId="20377" xr:uid="{05C55690-1F88-4471-8F3A-E45F3BC27CE2}"/>
    <cellStyle name="Total 2 2 2 2 2 2" xfId="34825" xr:uid="{0AD0BD7A-A1FA-463D-AEEE-538CF46523DB}"/>
    <cellStyle name="Total 2 2 2 2 3" xfId="20378" xr:uid="{910B0E36-271B-4402-8FB2-9BDF9719A6E4}"/>
    <cellStyle name="Total 2 2 2 2 3 2" xfId="34826" xr:uid="{D919DE5B-AB88-4C4A-8A62-9834CBE44CFD}"/>
    <cellStyle name="Total 2 2 2 2 4" xfId="20379" xr:uid="{5865E7E9-1A94-4AC8-B52D-1C3AB7C76CC3}"/>
    <cellStyle name="Total 2 2 2 2 4 2" xfId="34827" xr:uid="{1820B090-20D0-41BB-8FBA-7C0F0F8E42D7}"/>
    <cellStyle name="Total 2 2 2 2 5" xfId="20380" xr:uid="{D417C794-A3B7-44BA-B352-5F60BFCA222E}"/>
    <cellStyle name="Total 2 2 2 2 5 2" xfId="34828" xr:uid="{5C3BC1D1-134E-433D-BEE0-83760907A434}"/>
    <cellStyle name="Total 2 2 2 2 6" xfId="20381" xr:uid="{453266B7-9F05-408F-AD52-DB21BB9BC80D}"/>
    <cellStyle name="Total 2 2 2 2 6 2" xfId="34829" xr:uid="{B5762A37-8F26-42F6-B447-0E80E6B54ABB}"/>
    <cellStyle name="Total 2 2 2 2 7" xfId="20382" xr:uid="{8498B47F-4E5A-46C3-B258-80C3B422FDBA}"/>
    <cellStyle name="Total 2 2 2 2 7 2" xfId="34830" xr:uid="{BB9BCC05-8F82-42DE-99CB-A153B1660CF1}"/>
    <cellStyle name="Total 2 2 2 2 8" xfId="20383" xr:uid="{B8B5497E-C880-44DC-97AF-FDD2B02E0A13}"/>
    <cellStyle name="Total 2 2 2 2 8 2" xfId="34831" xr:uid="{FA9FB0CE-5435-4919-B105-DB50867CDED9}"/>
    <cellStyle name="Total 2 2 2 2 9" xfId="20384" xr:uid="{8367A811-CBE3-4F38-9AA2-52CB3C1B21D6}"/>
    <cellStyle name="Total 2 2 2 2 9 2" xfId="34832" xr:uid="{EAACFA7F-624D-47CF-B678-2D82E521189D}"/>
    <cellStyle name="Total 2 2 2 20" xfId="34808" xr:uid="{EB285686-A2B6-4A2E-9746-7896D0EECBCF}"/>
    <cellStyle name="Total 2 2 2 3" xfId="20385" xr:uid="{860F2DA2-B1F4-4657-B85F-D1AC236B0763}"/>
    <cellStyle name="Total 2 2 2 3 2" xfId="34833" xr:uid="{77B0B081-B21F-45F1-B902-4206A05580FF}"/>
    <cellStyle name="Total 2 2 2 4" xfId="20386" xr:uid="{E4BE188E-1CDB-4B3C-9D66-55B6187A0E2B}"/>
    <cellStyle name="Total 2 2 2 4 2" xfId="34834" xr:uid="{550935D8-8344-48B9-9D76-23D89F415F97}"/>
    <cellStyle name="Total 2 2 2 5" xfId="20387" xr:uid="{65826CF1-9AC2-4A32-BC2C-7A17AF30B88C}"/>
    <cellStyle name="Total 2 2 2 5 2" xfId="34835" xr:uid="{A255B943-2AE9-492A-A62B-BDABE7CAF284}"/>
    <cellStyle name="Total 2 2 2 6" xfId="20388" xr:uid="{7B91AB33-F67D-4254-B986-ACDF313A2AC3}"/>
    <cellStyle name="Total 2 2 2 6 2" xfId="34836" xr:uid="{DFAC9631-9D9B-46A3-88C2-DD24EB1B78C4}"/>
    <cellStyle name="Total 2 2 2 7" xfId="20389" xr:uid="{AFDF3E05-6839-4BFD-9563-1ED0870DBE0F}"/>
    <cellStyle name="Total 2 2 2 7 2" xfId="34837" xr:uid="{B430E859-A21E-4E21-95D1-BC0E56AFFA60}"/>
    <cellStyle name="Total 2 2 2 8" xfId="20390" xr:uid="{4E39BC07-0CFA-46B7-BDEE-59162285CBC9}"/>
    <cellStyle name="Total 2 2 2 8 2" xfId="34838" xr:uid="{9BD2C2C5-E218-4F6E-ABF9-BFD7221F2B50}"/>
    <cellStyle name="Total 2 2 2 9" xfId="20391" xr:uid="{F9832C55-93E6-472A-86A8-623664BC1704}"/>
    <cellStyle name="Total 2 2 2 9 2" xfId="34839" xr:uid="{A5D29293-73D6-4BED-87CB-3191FDE94B73}"/>
    <cellStyle name="Total 2 2 20" xfId="20392" xr:uid="{7413390D-8900-4261-B772-82144F786259}"/>
    <cellStyle name="Total 2 2 20 2" xfId="34840" xr:uid="{7276AA2C-B64C-406E-80EE-1CB52FC4EB13}"/>
    <cellStyle name="Total 2 2 21" xfId="34797" xr:uid="{46A04839-1AAD-4FB9-8A42-C2DFCE3E07AF}"/>
    <cellStyle name="Total 2 2 3" xfId="20393" xr:uid="{1A814AEB-7977-4A75-8A1A-069CD6F27AE8}"/>
    <cellStyle name="Total 2 2 3 10" xfId="20394" xr:uid="{F47C5847-4F4E-4BCE-A180-5235C809016D}"/>
    <cellStyle name="Total 2 2 3 10 2" xfId="34842" xr:uid="{F5F1E112-3B29-45D7-AF0B-29EE0A397542}"/>
    <cellStyle name="Total 2 2 3 11" xfId="20395" xr:uid="{B95C4074-0E0E-4649-849E-E8B4C2505883}"/>
    <cellStyle name="Total 2 2 3 11 2" xfId="34843" xr:uid="{C619AFCE-F76F-4711-8E4A-6FA1A46F73D8}"/>
    <cellStyle name="Total 2 2 3 12" xfId="20396" xr:uid="{3CE43072-E825-43D8-99E2-EEFD88C21320}"/>
    <cellStyle name="Total 2 2 3 12 2" xfId="34844" xr:uid="{3480487A-CB29-402C-ADFB-0B53EFEC15A2}"/>
    <cellStyle name="Total 2 2 3 13" xfId="20397" xr:uid="{769A5613-A87F-4B24-8C07-1F33148C60FD}"/>
    <cellStyle name="Total 2 2 3 13 2" xfId="34845" xr:uid="{EF62F8F2-EC41-4F0E-9E8B-01A6C6E616F4}"/>
    <cellStyle name="Total 2 2 3 14" xfId="20398" xr:uid="{7AF5020D-FA4D-4FB6-AECF-2207A43CB65B}"/>
    <cellStyle name="Total 2 2 3 14 2" xfId="34846" xr:uid="{6D55D2F8-2326-458F-9DF0-ABD7B3DC1A60}"/>
    <cellStyle name="Total 2 2 3 15" xfId="20399" xr:uid="{C7398143-8929-41D6-A56A-7DB9EBD87B0B}"/>
    <cellStyle name="Total 2 2 3 15 2" xfId="34847" xr:uid="{43324C1E-83E4-4386-994C-0C59BBC24BB9}"/>
    <cellStyle name="Total 2 2 3 16" xfId="34841" xr:uid="{EC0B9124-0208-41C5-9224-9661800674DC}"/>
    <cellStyle name="Total 2 2 3 2" xfId="20400" xr:uid="{6B5FB5E1-77F1-41D5-BC54-45D441EAF8A1}"/>
    <cellStyle name="Total 2 2 3 2 2" xfId="34848" xr:uid="{45DCD891-87DC-48B9-8AC8-A9998B506966}"/>
    <cellStyle name="Total 2 2 3 3" xfId="20401" xr:uid="{7CF11B02-1AF3-42C5-9661-038881213889}"/>
    <cellStyle name="Total 2 2 3 3 2" xfId="34849" xr:uid="{3EBA2DBF-8CBB-42DA-88AE-BA0F90838715}"/>
    <cellStyle name="Total 2 2 3 4" xfId="20402" xr:uid="{8D7E466B-4402-4630-8935-B4101ED83C7F}"/>
    <cellStyle name="Total 2 2 3 4 2" xfId="34850" xr:uid="{A449D10C-F312-46F9-BD2B-8DD2D1B59011}"/>
    <cellStyle name="Total 2 2 3 5" xfId="20403" xr:uid="{B8064FF0-A9B1-465A-B8B0-4EE583FDE41C}"/>
    <cellStyle name="Total 2 2 3 5 2" xfId="34851" xr:uid="{82FE3813-74F6-439E-B959-854CE7D9C11D}"/>
    <cellStyle name="Total 2 2 3 6" xfId="20404" xr:uid="{D262A541-E68A-43EE-A85A-694B1E7EE6C0}"/>
    <cellStyle name="Total 2 2 3 6 2" xfId="34852" xr:uid="{4481A8A9-38E2-4939-8614-69DF1C24FBC8}"/>
    <cellStyle name="Total 2 2 3 7" xfId="20405" xr:uid="{8B07AB3B-820D-4B9E-A9FA-F05A2A900BFB}"/>
    <cellStyle name="Total 2 2 3 7 2" xfId="34853" xr:uid="{F04A1EDB-DE37-40F9-95CE-A5138E9E99C1}"/>
    <cellStyle name="Total 2 2 3 8" xfId="20406" xr:uid="{F9711A2A-1328-4831-B2A5-838DBB8AED22}"/>
    <cellStyle name="Total 2 2 3 8 2" xfId="34854" xr:uid="{BC5DE770-CD8D-42EE-8B2D-8F3B79FA3B8E}"/>
    <cellStyle name="Total 2 2 3 9" xfId="20407" xr:uid="{C4136024-BB2C-417E-B6AF-C91CFAC311EA}"/>
    <cellStyle name="Total 2 2 3 9 2" xfId="34855" xr:uid="{2674F45E-729A-47A4-B990-499BFD413EED}"/>
    <cellStyle name="Total 2 2 4" xfId="20408" xr:uid="{79B18A53-F0DB-4FBB-BF0C-7DD4BDC5EC87}"/>
    <cellStyle name="Total 2 2 4 2" xfId="34856" xr:uid="{2C60C581-764B-46E0-AC01-510757DDF696}"/>
    <cellStyle name="Total 2 2 5" xfId="20409" xr:uid="{0AA9E254-4E6B-4985-A2D2-32D7D15ADA18}"/>
    <cellStyle name="Total 2 2 5 2" xfId="34857" xr:uid="{DF853DEB-1471-45DB-891A-84481BD245C8}"/>
    <cellStyle name="Total 2 2 6" xfId="20410" xr:uid="{A98C92DF-20C6-4DD0-A2B7-1BB2D4CB25B2}"/>
    <cellStyle name="Total 2 2 6 2" xfId="34858" xr:uid="{744620E7-AB5C-4FDF-87F8-6EF508CA8186}"/>
    <cellStyle name="Total 2 2 7" xfId="20411" xr:uid="{BFF8FA8F-CE76-4C04-9C63-CE33CDFD8F7E}"/>
    <cellStyle name="Total 2 2 7 2" xfId="34859" xr:uid="{3A62B8B2-3818-4B15-A5BE-B61FAB065787}"/>
    <cellStyle name="Total 2 2 8" xfId="20412" xr:uid="{3483F900-92F3-4E8B-86EA-5BF03765D197}"/>
    <cellStyle name="Total 2 2 8 2" xfId="34860" xr:uid="{FC7B8EFE-C1D9-4C72-AE01-B61C1BBBF4D5}"/>
    <cellStyle name="Total 2 2 9" xfId="20413" xr:uid="{87A2B1D4-3D16-419D-8A3A-53151627E655}"/>
    <cellStyle name="Total 2 2 9 2" xfId="34861" xr:uid="{C13BF2C1-79DC-4DDC-9E6F-362C0BDB26D7}"/>
    <cellStyle name="Total 2 20" xfId="20414" xr:uid="{FE0C47D3-0F58-49C1-9E3F-3F3647C29146}"/>
    <cellStyle name="Total 2 20 2" xfId="34862" xr:uid="{5749A719-6314-4A11-AC6A-BB244B156A93}"/>
    <cellStyle name="Total 2 21" xfId="20415" xr:uid="{DFA79579-5AC2-4929-BC15-E074011D9895}"/>
    <cellStyle name="Total 2 21 2" xfId="34863" xr:uid="{B423A403-410E-4223-97B5-E7AC9F446705}"/>
    <cellStyle name="Total 2 22" xfId="20416" xr:uid="{53DC8152-621D-49DC-A05B-DFEDD740891E}"/>
    <cellStyle name="Total 2 22 2" xfId="34864" xr:uid="{3381DB00-E014-4996-BD11-67DFE2806BB0}"/>
    <cellStyle name="Total 2 23" xfId="34786" xr:uid="{C2951CB1-A024-4349-B4CA-DCB629F8F33A}"/>
    <cellStyle name="Total 2 3" xfId="20417" xr:uid="{FE4CA38F-73D6-4670-9B33-2B49CF22F968}"/>
    <cellStyle name="Total 2 3 10" xfId="20418" xr:uid="{51F9A365-BD30-4705-9C34-24F9A3567397}"/>
    <cellStyle name="Total 2 3 10 2" xfId="34866" xr:uid="{5E4C7A2F-5A47-499C-935F-DF14B6233C95}"/>
    <cellStyle name="Total 2 3 11" xfId="20419" xr:uid="{91333805-A8B0-4895-9E3E-E49E92EE7E20}"/>
    <cellStyle name="Total 2 3 11 2" xfId="34867" xr:uid="{42297044-DE54-40DD-9C6A-69CDB185F026}"/>
    <cellStyle name="Total 2 3 12" xfId="20420" xr:uid="{3C6BF0B6-2C58-47C8-9108-95574C262003}"/>
    <cellStyle name="Total 2 3 12 2" xfId="34868" xr:uid="{2C19E492-1580-43E5-AD31-E4078D5B12B9}"/>
    <cellStyle name="Total 2 3 13" xfId="20421" xr:uid="{1F407CEB-C2BB-4973-B08A-3791ADB055ED}"/>
    <cellStyle name="Total 2 3 13 2" xfId="34869" xr:uid="{E59077CE-EAB4-45B9-A3E0-4E197E6DFF63}"/>
    <cellStyle name="Total 2 3 14" xfId="20422" xr:uid="{6DFF8A4E-6FE7-4452-B189-DD786A4DF779}"/>
    <cellStyle name="Total 2 3 14 2" xfId="34870" xr:uid="{EFD67517-CCDF-4DC1-8426-7898A387919A}"/>
    <cellStyle name="Total 2 3 15" xfId="20423" xr:uid="{781E04EF-82E6-4A8C-9502-72260C0C25E3}"/>
    <cellStyle name="Total 2 3 15 2" xfId="34871" xr:uid="{C46826D5-BE63-4021-A689-DFDEFDBCCCF8}"/>
    <cellStyle name="Total 2 3 16" xfId="20424" xr:uid="{5CDCDE90-0422-4CB2-999B-325AA5CBDC76}"/>
    <cellStyle name="Total 2 3 16 2" xfId="34872" xr:uid="{344E233A-FF5B-4206-8764-F25DE1A0BD67}"/>
    <cellStyle name="Total 2 3 17" xfId="20425" xr:uid="{1F132F2F-322D-44C8-AF38-05A8494E4DB6}"/>
    <cellStyle name="Total 2 3 17 2" xfId="34873" xr:uid="{95D5D777-07BF-47A9-A4E1-04508E93C71A}"/>
    <cellStyle name="Total 2 3 18" xfId="20426" xr:uid="{7B74E3C8-E3BA-40E8-98B1-9C1B99841098}"/>
    <cellStyle name="Total 2 3 18 2" xfId="34874" xr:uid="{E727B640-E756-4831-85A1-1769CB6886C3}"/>
    <cellStyle name="Total 2 3 19" xfId="20427" xr:uid="{A3CC6CD0-9570-4A5E-8341-A37C7E9585C8}"/>
    <cellStyle name="Total 2 3 19 2" xfId="34875" xr:uid="{31FB6545-C89B-42C3-812B-FEC9E09E318E}"/>
    <cellStyle name="Total 2 3 2" xfId="20428" xr:uid="{6157FC1F-8A97-487D-8717-14E61CA80986}"/>
    <cellStyle name="Total 2 3 2 10" xfId="20429" xr:uid="{29CF4D79-C114-4392-BBE8-A16B3ABECA24}"/>
    <cellStyle name="Total 2 3 2 10 2" xfId="34877" xr:uid="{3C328695-8C92-4235-B34D-FEE1D7276F12}"/>
    <cellStyle name="Total 2 3 2 11" xfId="20430" xr:uid="{1F549944-AC5D-47BA-A56B-89EA93440F12}"/>
    <cellStyle name="Total 2 3 2 11 2" xfId="34878" xr:uid="{7BF33F0A-059A-4097-9BAA-0618358FB60D}"/>
    <cellStyle name="Total 2 3 2 12" xfId="20431" xr:uid="{E23A6E0D-5DB1-49C4-9A77-F2AD8D90CD29}"/>
    <cellStyle name="Total 2 3 2 12 2" xfId="34879" xr:uid="{ABF12ACA-5CEC-4D63-A7F3-2F1156E505B1}"/>
    <cellStyle name="Total 2 3 2 13" xfId="20432" xr:uid="{1839A4B4-C801-4621-8C53-8B2D156672A4}"/>
    <cellStyle name="Total 2 3 2 13 2" xfId="34880" xr:uid="{D2617D82-C13C-453C-969C-EC2AE1BA55A9}"/>
    <cellStyle name="Total 2 3 2 14" xfId="20433" xr:uid="{4988D940-8AAE-4662-9CDE-4C335F35DE37}"/>
    <cellStyle name="Total 2 3 2 14 2" xfId="34881" xr:uid="{0DF44E85-D706-4BC9-989F-4E589E0929FC}"/>
    <cellStyle name="Total 2 3 2 15" xfId="20434" xr:uid="{8E7EAC92-289E-4FD0-BDD8-C937D17A37E3}"/>
    <cellStyle name="Total 2 3 2 15 2" xfId="34882" xr:uid="{89AE3C14-3574-4B90-B4C5-64698BEE91A4}"/>
    <cellStyle name="Total 2 3 2 16" xfId="34876" xr:uid="{6BFBCF88-F6E7-4112-96A2-B8E67F19F158}"/>
    <cellStyle name="Total 2 3 2 2" xfId="20435" xr:uid="{C3B7EE1C-FB31-45F4-8F6B-212C41C68AC6}"/>
    <cellStyle name="Total 2 3 2 2 2" xfId="34883" xr:uid="{D783E963-DC71-4113-9AB1-0032FB0A959B}"/>
    <cellStyle name="Total 2 3 2 3" xfId="20436" xr:uid="{36BEF8B1-05FB-4A85-A0B1-79AF9A1151CB}"/>
    <cellStyle name="Total 2 3 2 3 2" xfId="34884" xr:uid="{B016EA49-F4BB-47C9-85E2-D43F9505336F}"/>
    <cellStyle name="Total 2 3 2 4" xfId="20437" xr:uid="{AFF5C449-8B49-4B53-9206-6DDF9B831E7E}"/>
    <cellStyle name="Total 2 3 2 4 2" xfId="34885" xr:uid="{4E144CFD-E16E-4A52-A974-85A0FD6274E9}"/>
    <cellStyle name="Total 2 3 2 5" xfId="20438" xr:uid="{31B978D3-52E5-4DE0-A735-AB8F90997A09}"/>
    <cellStyle name="Total 2 3 2 5 2" xfId="34886" xr:uid="{3E963403-085C-47F7-BD66-B232708EC84E}"/>
    <cellStyle name="Total 2 3 2 6" xfId="20439" xr:uid="{ED69C0FD-F013-4582-9BFA-5D17B01F571D}"/>
    <cellStyle name="Total 2 3 2 6 2" xfId="34887" xr:uid="{892A963B-9B65-44F9-8C3C-346E401ED8B0}"/>
    <cellStyle name="Total 2 3 2 7" xfId="20440" xr:uid="{ECB8C3E2-97AC-44F7-B244-A46F9F352522}"/>
    <cellStyle name="Total 2 3 2 7 2" xfId="34888" xr:uid="{D9E9AB56-8A3E-47E7-8BA3-06B8C5C5AFFD}"/>
    <cellStyle name="Total 2 3 2 8" xfId="20441" xr:uid="{F344AB42-7151-4EAF-B9EE-4FE3AE5BD3B7}"/>
    <cellStyle name="Total 2 3 2 8 2" xfId="34889" xr:uid="{5D9DCACB-0153-41A5-95F7-894F0F1A31CE}"/>
    <cellStyle name="Total 2 3 2 9" xfId="20442" xr:uid="{6D5045F1-082F-4E5A-A165-E25092F6FED6}"/>
    <cellStyle name="Total 2 3 2 9 2" xfId="34890" xr:uid="{A131FF58-7610-43C3-BDC4-51225FFED90D}"/>
    <cellStyle name="Total 2 3 20" xfId="34865" xr:uid="{5929FDBF-6B0D-49D1-90DB-241B112F82C9}"/>
    <cellStyle name="Total 2 3 3" xfId="20443" xr:uid="{1989A365-F33A-4BBE-B970-82933DC81495}"/>
    <cellStyle name="Total 2 3 3 2" xfId="34891" xr:uid="{EB452D27-B617-43A3-BD30-F6ACD12CD5F0}"/>
    <cellStyle name="Total 2 3 4" xfId="20444" xr:uid="{69088979-3DB5-43AB-B179-DE3A10A098DC}"/>
    <cellStyle name="Total 2 3 4 2" xfId="34892" xr:uid="{734B99C4-91A2-4ADB-AC7F-A5AA36A3A473}"/>
    <cellStyle name="Total 2 3 5" xfId="20445" xr:uid="{12C7B4BC-9AC3-4710-9F6D-3BA07520A629}"/>
    <cellStyle name="Total 2 3 5 2" xfId="34893" xr:uid="{24B7F112-8553-4C91-8DF9-8D5CC935C4B2}"/>
    <cellStyle name="Total 2 3 6" xfId="20446" xr:uid="{4EA9D17B-6A33-4A85-B809-F712E61F49D8}"/>
    <cellStyle name="Total 2 3 6 2" xfId="34894" xr:uid="{B666F3F6-2685-431E-80B4-C4F20C28139B}"/>
    <cellStyle name="Total 2 3 7" xfId="20447" xr:uid="{1FC36E9B-8E77-413A-B461-ED77BE668F01}"/>
    <cellStyle name="Total 2 3 7 2" xfId="34895" xr:uid="{F421C094-62A8-428B-9238-8ADF0026006B}"/>
    <cellStyle name="Total 2 3 8" xfId="20448" xr:uid="{D354A9C6-71F1-4EF4-9D76-FB28A239BCDD}"/>
    <cellStyle name="Total 2 3 8 2" xfId="34896" xr:uid="{90CFC74B-3000-4AC1-AE81-797126A0CA51}"/>
    <cellStyle name="Total 2 3 9" xfId="20449" xr:uid="{1A42FCF7-B826-416B-8284-89A43C8CF90C}"/>
    <cellStyle name="Total 2 3 9 2" xfId="34897" xr:uid="{7CA4786A-9857-40EB-8111-C4C83322167F}"/>
    <cellStyle name="Total 2 4" xfId="20450" xr:uid="{3FA94BFA-D782-4B94-A9B5-2217804F49A9}"/>
    <cellStyle name="Total 2 4 10" xfId="20451" xr:uid="{C386EBD6-883C-4235-8109-62F95310B8A4}"/>
    <cellStyle name="Total 2 4 10 2" xfId="34899" xr:uid="{87DDBCE8-5259-461C-AEB3-35F36DD0E388}"/>
    <cellStyle name="Total 2 4 11" xfId="20452" xr:uid="{49B241B3-8F0A-46CB-A06A-71BCC7DDB7DE}"/>
    <cellStyle name="Total 2 4 11 2" xfId="34900" xr:uid="{6B67B8B7-1F22-4C17-9FA4-9E8145C39C50}"/>
    <cellStyle name="Total 2 4 12" xfId="20453" xr:uid="{C879C024-D4A4-413E-AF53-F60F663AE1CD}"/>
    <cellStyle name="Total 2 4 12 2" xfId="34901" xr:uid="{06C9EF3F-8462-4700-9A80-A131E182E262}"/>
    <cellStyle name="Total 2 4 13" xfId="20454" xr:uid="{FF2C5B7A-297D-4148-AE07-325BD560907D}"/>
    <cellStyle name="Total 2 4 13 2" xfId="34902" xr:uid="{280C428C-A521-4474-A4C7-5878367F8BBE}"/>
    <cellStyle name="Total 2 4 14" xfId="20455" xr:uid="{984B6500-CB38-4561-8660-92C03C3DE239}"/>
    <cellStyle name="Total 2 4 14 2" xfId="34903" xr:uid="{BD0FF7B4-99AE-4DC5-9BE7-050F371A0787}"/>
    <cellStyle name="Total 2 4 15" xfId="20456" xr:uid="{5FC133F6-0DD1-422B-8E70-8DD0526EDEC7}"/>
    <cellStyle name="Total 2 4 15 2" xfId="34904" xr:uid="{37B89A2E-16E5-4597-B9A6-AD070ADB094F}"/>
    <cellStyle name="Total 2 4 16" xfId="20457" xr:uid="{BC52436D-9CAD-40B6-8A13-6E5818F2409E}"/>
    <cellStyle name="Total 2 4 16 2" xfId="34905" xr:uid="{BC6A4F37-ADFE-43D2-80AB-2CC9FB3BD210}"/>
    <cellStyle name="Total 2 4 17" xfId="20458" xr:uid="{FB085D5E-0A4F-4273-9462-D3AB836C614C}"/>
    <cellStyle name="Total 2 4 17 2" xfId="34906" xr:uid="{4308755F-E04A-4381-93FD-75D24D435DC7}"/>
    <cellStyle name="Total 2 4 18" xfId="20459" xr:uid="{DD6E649D-183B-43DC-86FF-E473961BA991}"/>
    <cellStyle name="Total 2 4 18 2" xfId="34907" xr:uid="{B0B5D420-7B07-42A8-BDF5-9DA9EFC09D52}"/>
    <cellStyle name="Total 2 4 19" xfId="20460" xr:uid="{1B682457-034A-40E8-AC2A-BBDA3A62EFB1}"/>
    <cellStyle name="Total 2 4 19 2" xfId="34908" xr:uid="{9E369292-2A64-4ED5-BA32-A2179BB38A92}"/>
    <cellStyle name="Total 2 4 2" xfId="20461" xr:uid="{CD24B2C5-6C2D-497A-8F02-17720DEDCC5E}"/>
    <cellStyle name="Total 2 4 2 10" xfId="20462" xr:uid="{F91F2ABA-7D62-40D8-8AC3-85846F687F98}"/>
    <cellStyle name="Total 2 4 2 10 2" xfId="34910" xr:uid="{81358C1B-93A6-47B3-8AED-F6CE58FEA286}"/>
    <cellStyle name="Total 2 4 2 11" xfId="20463" xr:uid="{9D7F26CE-38A9-4C93-8050-38A62C599AC5}"/>
    <cellStyle name="Total 2 4 2 11 2" xfId="34911" xr:uid="{83E6794E-E567-4323-8292-B259E4D2E38F}"/>
    <cellStyle name="Total 2 4 2 12" xfId="20464" xr:uid="{9DE7A2B6-062E-496F-8395-D3EBDAFB4C9A}"/>
    <cellStyle name="Total 2 4 2 12 2" xfId="34912" xr:uid="{0FFB24D1-7801-4D93-AF84-DE57ADED8770}"/>
    <cellStyle name="Total 2 4 2 13" xfId="20465" xr:uid="{CE0162F0-A30A-48D0-81AB-F9950137D0D7}"/>
    <cellStyle name="Total 2 4 2 13 2" xfId="34913" xr:uid="{99BB97E4-F07D-4041-A161-DB294D56A839}"/>
    <cellStyle name="Total 2 4 2 14" xfId="20466" xr:uid="{5B3EC5EA-881A-409E-88E5-46CD58DDA897}"/>
    <cellStyle name="Total 2 4 2 14 2" xfId="34914" xr:uid="{0AA8279A-9B55-4702-845B-E61CA8648E91}"/>
    <cellStyle name="Total 2 4 2 15" xfId="20467" xr:uid="{799AB167-4186-41C2-B241-2481FC9BF42D}"/>
    <cellStyle name="Total 2 4 2 15 2" xfId="34915" xr:uid="{40459147-110E-4B15-B5C3-BFDC2B275FA6}"/>
    <cellStyle name="Total 2 4 2 16" xfId="34909" xr:uid="{DEF57B4D-8CF7-4B02-85FA-C7162C76A86D}"/>
    <cellStyle name="Total 2 4 2 2" xfId="20468" xr:uid="{D98AE097-5DCA-4BCF-A465-13ACC0DF6748}"/>
    <cellStyle name="Total 2 4 2 2 2" xfId="34916" xr:uid="{6AD94E23-2978-4FCE-BEE3-AB51E578FCBF}"/>
    <cellStyle name="Total 2 4 2 3" xfId="20469" xr:uid="{0209EEF0-084B-4CC3-AC16-25CDABCD1B3B}"/>
    <cellStyle name="Total 2 4 2 3 2" xfId="34917" xr:uid="{05F4710C-C009-432C-A86F-7987771F0412}"/>
    <cellStyle name="Total 2 4 2 4" xfId="20470" xr:uid="{765176F6-7533-4AE7-BDA9-BE02577B60CB}"/>
    <cellStyle name="Total 2 4 2 4 2" xfId="34918" xr:uid="{70B16630-84C5-49B4-97E4-925A14486A55}"/>
    <cellStyle name="Total 2 4 2 5" xfId="20471" xr:uid="{3E3036F3-CE2F-44EE-B40A-29963D9CD62C}"/>
    <cellStyle name="Total 2 4 2 5 2" xfId="34919" xr:uid="{9C0C7317-A916-4959-9FC1-F16CEA6E7086}"/>
    <cellStyle name="Total 2 4 2 6" xfId="20472" xr:uid="{77D455A3-0B71-4799-85FC-EABE64E06345}"/>
    <cellStyle name="Total 2 4 2 6 2" xfId="34920" xr:uid="{FB5D85E4-A61E-40F8-AFFB-C0293649D90E}"/>
    <cellStyle name="Total 2 4 2 7" xfId="20473" xr:uid="{F53D4DE0-5FDC-4D6E-84BE-80FA28DBFD74}"/>
    <cellStyle name="Total 2 4 2 7 2" xfId="34921" xr:uid="{880AA397-A1B6-4984-B1C1-A3F024FBC626}"/>
    <cellStyle name="Total 2 4 2 8" xfId="20474" xr:uid="{7D9E0D71-F1F2-47B6-AD8A-A8BAFC08D83F}"/>
    <cellStyle name="Total 2 4 2 8 2" xfId="34922" xr:uid="{959E4D48-F61B-4994-B99D-B857AD2B31DB}"/>
    <cellStyle name="Total 2 4 2 9" xfId="20475" xr:uid="{11B2A43E-EBB9-484D-91EF-6BC1B4F65BE7}"/>
    <cellStyle name="Total 2 4 2 9 2" xfId="34923" xr:uid="{027DB315-803E-40AA-9650-DD763C06FC15}"/>
    <cellStyle name="Total 2 4 20" xfId="34898" xr:uid="{21E27047-6C8A-49ED-B60C-4B464A53FD3E}"/>
    <cellStyle name="Total 2 4 3" xfId="20476" xr:uid="{643CAEA0-5415-4008-B438-EEE7ED65090E}"/>
    <cellStyle name="Total 2 4 3 2" xfId="34924" xr:uid="{F8B31850-D9BE-4DC2-A19A-33D1F7CBD1B8}"/>
    <cellStyle name="Total 2 4 4" xfId="20477" xr:uid="{875007FA-E79C-4CBD-B345-A5C986B8BC7C}"/>
    <cellStyle name="Total 2 4 4 2" xfId="34925" xr:uid="{FFC76D0D-D002-48CE-950E-5CC00A5AFB4A}"/>
    <cellStyle name="Total 2 4 5" xfId="20478" xr:uid="{38AFC112-488A-40B6-93AE-44216C36A403}"/>
    <cellStyle name="Total 2 4 5 2" xfId="34926" xr:uid="{2D7348C8-BB5A-4BE7-919C-9496F82F7EE7}"/>
    <cellStyle name="Total 2 4 6" xfId="20479" xr:uid="{5729E1A6-994A-4601-92A7-F99312EB68FE}"/>
    <cellStyle name="Total 2 4 6 2" xfId="34927" xr:uid="{455D7B8E-6580-4F31-94F0-66D995F0DF66}"/>
    <cellStyle name="Total 2 4 7" xfId="20480" xr:uid="{5E5D6199-45C2-4C00-8FEB-80AD3BADFB3B}"/>
    <cellStyle name="Total 2 4 7 2" xfId="34928" xr:uid="{E293DDDD-6F98-4869-B399-A7708CEF31B4}"/>
    <cellStyle name="Total 2 4 8" xfId="20481" xr:uid="{0C639F4E-57C9-4B75-98F3-AB36055976FC}"/>
    <cellStyle name="Total 2 4 8 2" xfId="34929" xr:uid="{37620F92-DB5A-488D-AE12-FC84910E489C}"/>
    <cellStyle name="Total 2 4 9" xfId="20482" xr:uid="{99CBEEA3-1F2E-46A9-918F-AA5937A0ABB4}"/>
    <cellStyle name="Total 2 4 9 2" xfId="34930" xr:uid="{74947763-84F0-4B70-906D-5E8FBC501F11}"/>
    <cellStyle name="Total 2 5" xfId="20483" xr:uid="{7E888614-4B61-4D6E-9283-1F588F3BF65A}"/>
    <cellStyle name="Total 2 5 10" xfId="20484" xr:uid="{CF5F799B-1C68-45A6-8092-6752073C827A}"/>
    <cellStyle name="Total 2 5 10 2" xfId="34932" xr:uid="{B1FB0CD0-578E-43C7-B6D8-C01E1F8A5545}"/>
    <cellStyle name="Total 2 5 11" xfId="20485" xr:uid="{2C9A9119-7931-4645-BED1-06C7BFBE0D46}"/>
    <cellStyle name="Total 2 5 11 2" xfId="34933" xr:uid="{F5D07744-D3CF-4291-A7D9-6DA240B99D41}"/>
    <cellStyle name="Total 2 5 12" xfId="20486" xr:uid="{03E6B37D-0ED9-434D-9AAE-1B2428D37D2C}"/>
    <cellStyle name="Total 2 5 12 2" xfId="34934" xr:uid="{820BF053-1213-4A7E-816F-CC3AC4B148BC}"/>
    <cellStyle name="Total 2 5 13" xfId="20487" xr:uid="{8933619A-F144-450A-941B-69F454296C45}"/>
    <cellStyle name="Total 2 5 13 2" xfId="34935" xr:uid="{EC21F341-4DAB-4773-8609-43F5624426C5}"/>
    <cellStyle name="Total 2 5 14" xfId="20488" xr:uid="{3D89A42D-2D9F-4660-B55C-0FBA23C5A2D8}"/>
    <cellStyle name="Total 2 5 14 2" xfId="34936" xr:uid="{74AD7861-85AC-465A-BB58-60A2F6DB981A}"/>
    <cellStyle name="Total 2 5 15" xfId="20489" xr:uid="{3387B421-6404-42BB-A785-46FA39D1FF9B}"/>
    <cellStyle name="Total 2 5 15 2" xfId="34937" xr:uid="{967BF2BA-6450-4CF0-91DD-920963DA6AC8}"/>
    <cellStyle name="Total 2 5 16" xfId="34931" xr:uid="{0C9D5BCD-BCBF-4895-898B-6CC7F1B8D17B}"/>
    <cellStyle name="Total 2 5 2" xfId="20490" xr:uid="{86281C1F-BEC3-4732-931C-C1F12DF8DBA2}"/>
    <cellStyle name="Total 2 5 2 2" xfId="34938" xr:uid="{7B2C057B-DED4-4518-A2AA-18791F7B3CB5}"/>
    <cellStyle name="Total 2 5 3" xfId="20491" xr:uid="{E39DAD78-15DE-4AED-9D0C-7F3E319AEAF9}"/>
    <cellStyle name="Total 2 5 3 2" xfId="34939" xr:uid="{6B925552-019B-4F27-AED2-1129A3E093C4}"/>
    <cellStyle name="Total 2 5 4" xfId="20492" xr:uid="{352EAC16-43F1-4C6C-8EC5-5D18B5560D40}"/>
    <cellStyle name="Total 2 5 4 2" xfId="34940" xr:uid="{DEDF4A69-770E-48A5-9CEB-6D28398ADFC7}"/>
    <cellStyle name="Total 2 5 5" xfId="20493" xr:uid="{D71108FD-30C4-4486-AC11-13B80BD2F8DD}"/>
    <cellStyle name="Total 2 5 5 2" xfId="34941" xr:uid="{8E88C736-BFBA-48B2-B0F4-675A61E317CF}"/>
    <cellStyle name="Total 2 5 6" xfId="20494" xr:uid="{AC70C92E-E06D-4E72-89FD-0688AE33F7DB}"/>
    <cellStyle name="Total 2 5 6 2" xfId="34942" xr:uid="{D3FA2A33-EE95-4400-9B3C-AC37C2393216}"/>
    <cellStyle name="Total 2 5 7" xfId="20495" xr:uid="{287125F0-177B-4593-9D8E-92DA7AF6308E}"/>
    <cellStyle name="Total 2 5 7 2" xfId="34943" xr:uid="{A612F53D-F49D-4CAE-82D4-FFD3C6E4464B}"/>
    <cellStyle name="Total 2 5 8" xfId="20496" xr:uid="{F2AB191E-D79E-4EDB-A655-42AB4672B750}"/>
    <cellStyle name="Total 2 5 8 2" xfId="34944" xr:uid="{21248BE2-2E3D-436D-A073-FDAEDB0A33B9}"/>
    <cellStyle name="Total 2 5 9" xfId="20497" xr:uid="{1687F54A-8CDD-4680-8711-106304C756C9}"/>
    <cellStyle name="Total 2 5 9 2" xfId="34945" xr:uid="{F8CA6360-1062-4432-97F5-ACFB2A2B356C}"/>
    <cellStyle name="Total 2 6" xfId="20498" xr:uid="{103B851A-EF6C-4ED9-92EB-59CCB1A837AF}"/>
    <cellStyle name="Total 2 6 2" xfId="34946" xr:uid="{5C1ADB76-3746-4478-A5A5-88A49461DDC3}"/>
    <cellStyle name="Total 2 7" xfId="20499" xr:uid="{6EABAC36-98A4-443E-A243-7CAC36BD4B68}"/>
    <cellStyle name="Total 2 7 2" xfId="34947" xr:uid="{A665866D-DA85-44E0-84FA-98B9C120352E}"/>
    <cellStyle name="Total 2 8" xfId="20500" xr:uid="{41492C8C-5699-4078-91B7-C5D95E705A5D}"/>
    <cellStyle name="Total 2 8 2" xfId="34948" xr:uid="{D4A3B357-3CF7-4646-880F-8A9BD48F4D56}"/>
    <cellStyle name="Total 2 9" xfId="20501" xr:uid="{D8471D5A-FAEB-400A-9385-A4E2EC24E9F2}"/>
    <cellStyle name="Total 2 9 2" xfId="34949" xr:uid="{967368AF-8004-4DCA-B360-056706153A24}"/>
    <cellStyle name="Total 3" xfId="20502" xr:uid="{9461BC2D-9E94-4A65-8F9D-E0E6320AEF61}"/>
    <cellStyle name="Total 3 10" xfId="20503" xr:uid="{853C450C-532C-4B8C-9835-DD6F792FAF3C}"/>
    <cellStyle name="Total 3 10 2" xfId="34951" xr:uid="{3053A7C3-91A7-468F-A1A1-E9DD2EE9B045}"/>
    <cellStyle name="Total 3 11" xfId="20504" xr:uid="{7223F202-7B58-4172-AA4C-015B00C0C02C}"/>
    <cellStyle name="Total 3 11 2" xfId="34952" xr:uid="{794CB68B-7A9D-4951-95F6-6D714BD68C3A}"/>
    <cellStyle name="Total 3 12" xfId="20505" xr:uid="{BFCE44C0-74C8-4CAC-BAF0-85FEB318814E}"/>
    <cellStyle name="Total 3 12 2" xfId="34953" xr:uid="{9C076C4C-A05C-4A9E-A923-3A892FF9032C}"/>
    <cellStyle name="Total 3 13" xfId="20506" xr:uid="{495134F4-1114-43A3-B14E-07A5B44251C8}"/>
    <cellStyle name="Total 3 13 2" xfId="34954" xr:uid="{7F948111-B769-4B65-B04A-DB5A0BD4A071}"/>
    <cellStyle name="Total 3 14" xfId="20507" xr:uid="{82CA0F7F-C845-4A9A-84D2-6B5C22566408}"/>
    <cellStyle name="Total 3 14 2" xfId="34955" xr:uid="{A9F06172-CC37-4CF1-B6C6-7E26BA2780C3}"/>
    <cellStyle name="Total 3 15" xfId="20508" xr:uid="{F169F1AD-C1D9-4499-914B-BB7FBB2ACA36}"/>
    <cellStyle name="Total 3 15 2" xfId="34956" xr:uid="{BC9A894E-5F28-444E-886B-8905E3EA86A6}"/>
    <cellStyle name="Total 3 16" xfId="20509" xr:uid="{2784BB8D-AE7D-47C9-87E2-6A27EBB159F5}"/>
    <cellStyle name="Total 3 16 2" xfId="34957" xr:uid="{6F1C6D40-A606-4AB4-9CD3-48404DF6D00C}"/>
    <cellStyle name="Total 3 17" xfId="20510" xr:uid="{0B937E5F-8576-4322-B159-967331335365}"/>
    <cellStyle name="Total 3 17 2" xfId="34958" xr:uid="{5FAF719C-6774-49F2-8085-56B6A6EF5B2F}"/>
    <cellStyle name="Total 3 18" xfId="20511" xr:uid="{A6707CFE-D0C1-465E-9517-6EFD1328DFCC}"/>
    <cellStyle name="Total 3 18 2" xfId="34959" xr:uid="{5F0FF311-676B-443D-91AB-1446E752191F}"/>
    <cellStyle name="Total 3 19" xfId="20512" xr:uid="{1D259BE4-5CED-432D-817B-B23BA1045995}"/>
    <cellStyle name="Total 3 19 2" xfId="34960" xr:uid="{20593C42-DD55-4E67-9B40-A69959A13459}"/>
    <cellStyle name="Total 3 2" xfId="20513" xr:uid="{C498612B-E311-43E2-9304-6B26D12EA404}"/>
    <cellStyle name="Total 3 2 10" xfId="20514" xr:uid="{CAE5A29F-7D9C-4D19-A8F7-BA2F656872DD}"/>
    <cellStyle name="Total 3 2 10 2" xfId="34962" xr:uid="{4E23C14E-78DA-4E81-82FA-E432788061D7}"/>
    <cellStyle name="Total 3 2 11" xfId="20515" xr:uid="{62BA2979-2CD4-4D64-83F7-030F6B2F8451}"/>
    <cellStyle name="Total 3 2 11 2" xfId="34963" xr:uid="{354B6D10-0DE6-452A-9820-DF0DDD2901ED}"/>
    <cellStyle name="Total 3 2 12" xfId="20516" xr:uid="{09DAF9F7-8C5D-4258-8C20-69DBA8FCF96C}"/>
    <cellStyle name="Total 3 2 12 2" xfId="34964" xr:uid="{E9985FAD-28C2-4C64-AFE8-69781BBEE864}"/>
    <cellStyle name="Total 3 2 13" xfId="20517" xr:uid="{C2840C18-122F-4B5D-9D77-7C8993E23285}"/>
    <cellStyle name="Total 3 2 13 2" xfId="34965" xr:uid="{34E9B309-A33D-4045-B24A-1214C9906C5C}"/>
    <cellStyle name="Total 3 2 14" xfId="20518" xr:uid="{5D7C962D-A081-4986-BD88-06AE18DA2824}"/>
    <cellStyle name="Total 3 2 14 2" xfId="34966" xr:uid="{806E7667-499B-43EF-8DF7-A21EF2D97A4D}"/>
    <cellStyle name="Total 3 2 15" xfId="20519" xr:uid="{B4227AFF-3312-40C4-A3F6-7A215F727230}"/>
    <cellStyle name="Total 3 2 15 2" xfId="34967" xr:uid="{CCB5C3F4-A62D-4EBB-834D-7C0CC738F30E}"/>
    <cellStyle name="Total 3 2 16" xfId="20520" xr:uid="{0AEB959B-DD6C-4A78-BF3C-A772E51B06C9}"/>
    <cellStyle name="Total 3 2 16 2" xfId="34968" xr:uid="{98DDC6E3-813F-4592-B549-8C29FC50CF76}"/>
    <cellStyle name="Total 3 2 17" xfId="20521" xr:uid="{99B9C34D-CCEF-4625-9231-99DED6300180}"/>
    <cellStyle name="Total 3 2 17 2" xfId="34969" xr:uid="{0AEF3E10-4D84-49CC-93BE-D0297C4B85CA}"/>
    <cellStyle name="Total 3 2 18" xfId="20522" xr:uid="{4BE83B0F-0927-4AC5-94CE-45AF07D7D850}"/>
    <cellStyle name="Total 3 2 18 2" xfId="34970" xr:uid="{6C19FF3D-2CB7-49AF-93C4-EBF5A080F824}"/>
    <cellStyle name="Total 3 2 19" xfId="20523" xr:uid="{4D4380BC-CA83-472A-9185-2A2F37A18D44}"/>
    <cellStyle name="Total 3 2 19 2" xfId="34971" xr:uid="{83814197-ED88-4538-B576-8A7551274C4C}"/>
    <cellStyle name="Total 3 2 2" xfId="20524" xr:uid="{FCB2578F-9962-405A-8177-4A624178CAC5}"/>
    <cellStyle name="Total 3 2 2 10" xfId="20525" xr:uid="{007E104D-A72B-496D-BF0C-14F4090140A4}"/>
    <cellStyle name="Total 3 2 2 10 2" xfId="34973" xr:uid="{8313384E-10AA-41F2-8328-106593DD8E8A}"/>
    <cellStyle name="Total 3 2 2 11" xfId="20526" xr:uid="{4DBAAEEA-7585-46B8-B1C7-F669AB05194E}"/>
    <cellStyle name="Total 3 2 2 11 2" xfId="34974" xr:uid="{04946485-4856-4B4E-9930-F7523FDF14F8}"/>
    <cellStyle name="Total 3 2 2 12" xfId="20527" xr:uid="{82DE249D-5E29-4646-8F14-E943C0E2DAA6}"/>
    <cellStyle name="Total 3 2 2 12 2" xfId="34975" xr:uid="{901A6A48-1BEB-4996-8155-C259DC666429}"/>
    <cellStyle name="Total 3 2 2 13" xfId="20528" xr:uid="{E3839B47-1133-4E50-B4F4-3FC54D630648}"/>
    <cellStyle name="Total 3 2 2 13 2" xfId="34976" xr:uid="{A182D9D5-0043-4311-8EB2-E5390B148BB3}"/>
    <cellStyle name="Total 3 2 2 14" xfId="20529" xr:uid="{F629043F-7ED4-4FD2-A82D-F6A1AD9E8CD8}"/>
    <cellStyle name="Total 3 2 2 14 2" xfId="34977" xr:uid="{1C451AC4-E6D1-4656-AC55-46F99FDC2D70}"/>
    <cellStyle name="Total 3 2 2 15" xfId="20530" xr:uid="{D4967956-41BD-45A1-AA5C-5A0F3A1FE1FF}"/>
    <cellStyle name="Total 3 2 2 15 2" xfId="34978" xr:uid="{E62DC5F6-5E1E-4FDF-9A81-CB49940DB0A3}"/>
    <cellStyle name="Total 3 2 2 16" xfId="34972" xr:uid="{78D4CE06-3902-445E-997E-720291E1AED8}"/>
    <cellStyle name="Total 3 2 2 2" xfId="20531" xr:uid="{12AD5EC3-1A60-4F78-BA58-FE8961BDB596}"/>
    <cellStyle name="Total 3 2 2 2 2" xfId="34979" xr:uid="{2AABD0B2-6C90-4640-94EB-D7A7E36E49F9}"/>
    <cellStyle name="Total 3 2 2 3" xfId="20532" xr:uid="{6E7E6020-2848-4D30-866B-1DD6C884A187}"/>
    <cellStyle name="Total 3 2 2 3 2" xfId="34980" xr:uid="{299CF102-47AA-4954-AD7C-F7A12588F45E}"/>
    <cellStyle name="Total 3 2 2 4" xfId="20533" xr:uid="{672A175A-1E7A-4247-A633-33764CD24B1F}"/>
    <cellStyle name="Total 3 2 2 4 2" xfId="34981" xr:uid="{A89651F2-9EBE-4703-858A-5C162FFF1389}"/>
    <cellStyle name="Total 3 2 2 5" xfId="20534" xr:uid="{D681B9D8-1995-4282-BD89-725D524F00B4}"/>
    <cellStyle name="Total 3 2 2 5 2" xfId="34982" xr:uid="{175DEBB6-BB30-4872-9897-1AE96031D67D}"/>
    <cellStyle name="Total 3 2 2 6" xfId="20535" xr:uid="{C3C92818-8587-4107-AF2B-BF408629C04E}"/>
    <cellStyle name="Total 3 2 2 6 2" xfId="34983" xr:uid="{376CE70B-8CA3-4F9D-A332-3B2B60A31955}"/>
    <cellStyle name="Total 3 2 2 7" xfId="20536" xr:uid="{D64F3C6B-4174-4A95-A92B-61CC8E3FE30E}"/>
    <cellStyle name="Total 3 2 2 7 2" xfId="34984" xr:uid="{E1473A35-F9BB-4E6B-9B76-D691CD84FCAF}"/>
    <cellStyle name="Total 3 2 2 8" xfId="20537" xr:uid="{8557A42E-26DC-4239-AA67-634DFDC93968}"/>
    <cellStyle name="Total 3 2 2 8 2" xfId="34985" xr:uid="{E41E0E79-4C9A-4FBA-9ED9-51B3AAA44FB3}"/>
    <cellStyle name="Total 3 2 2 9" xfId="20538" xr:uid="{52E0937A-ABDC-4545-B904-C740362094E1}"/>
    <cellStyle name="Total 3 2 2 9 2" xfId="34986" xr:uid="{457D4776-F8BD-4D69-B763-EAC56F9F7A4B}"/>
    <cellStyle name="Total 3 2 20" xfId="34961" xr:uid="{567F7671-2115-4054-936D-05D07EB20655}"/>
    <cellStyle name="Total 3 2 3" xfId="20539" xr:uid="{8D555FDD-7446-4F6C-96F8-A912AB255218}"/>
    <cellStyle name="Total 3 2 3 2" xfId="34987" xr:uid="{B1F2C7BA-9956-4F65-BF70-3D93B040F4D4}"/>
    <cellStyle name="Total 3 2 4" xfId="20540" xr:uid="{832CFD20-DAA9-4E39-B39C-AED2C75CC352}"/>
    <cellStyle name="Total 3 2 4 2" xfId="34988" xr:uid="{254EE5BF-0FDA-4431-ADD0-B7FE9AF4C52E}"/>
    <cellStyle name="Total 3 2 5" xfId="20541" xr:uid="{DFC93203-0234-4E1C-B698-7D459FB18644}"/>
    <cellStyle name="Total 3 2 5 2" xfId="34989" xr:uid="{75A2D7C7-29B1-4230-996D-C0BC18440774}"/>
    <cellStyle name="Total 3 2 6" xfId="20542" xr:uid="{CD57D7C9-B464-4453-BA61-1A8D15ED39BD}"/>
    <cellStyle name="Total 3 2 6 2" xfId="34990" xr:uid="{B160A11B-C4FC-44A5-BFAA-57E0A781921F}"/>
    <cellStyle name="Total 3 2 7" xfId="20543" xr:uid="{97C55997-9099-48A5-8839-732C98AA443A}"/>
    <cellStyle name="Total 3 2 7 2" xfId="34991" xr:uid="{8DB3FFA6-E17D-4417-B800-987F81B50449}"/>
    <cellStyle name="Total 3 2 8" xfId="20544" xr:uid="{C76F2EF7-317B-41DC-8324-ADBDDAFE0A13}"/>
    <cellStyle name="Total 3 2 8 2" xfId="34992" xr:uid="{8F88D6D6-79BE-4D2B-A1FC-9297F6ECA0E9}"/>
    <cellStyle name="Total 3 2 9" xfId="20545" xr:uid="{6E9DBFF9-352C-40EB-9E4E-B34C5D8330FA}"/>
    <cellStyle name="Total 3 2 9 2" xfId="34993" xr:uid="{F8A15371-6DB3-461B-A1E2-605A0AB5AAA9}"/>
    <cellStyle name="Total 3 20" xfId="20546" xr:uid="{9A9AFF61-9AEB-4B5F-A18E-FAB940DB1A2D}"/>
    <cellStyle name="Total 3 20 2" xfId="34994" xr:uid="{5CCBF3C7-E825-41D7-BEFE-606767613F83}"/>
    <cellStyle name="Total 3 21" xfId="20547" xr:uid="{8D9E1D42-9865-4EDF-80E7-28A3D1F4F52E}"/>
    <cellStyle name="Total 3 21 2" xfId="34995" xr:uid="{D40BEDD0-BBA6-49F2-8A4E-F3B34C17D527}"/>
    <cellStyle name="Total 3 22" xfId="20548" xr:uid="{164A1961-2611-4756-99C1-880AB0A94175}"/>
    <cellStyle name="Total 3 22 2" xfId="34996" xr:uid="{E5EB5512-E034-4D68-8D1A-C23647393B5D}"/>
    <cellStyle name="Total 3 23" xfId="20549" xr:uid="{4B9B5287-8C78-488C-B220-93B280005C91}"/>
    <cellStyle name="Total 3 23 2" xfId="34997" xr:uid="{7165EFD9-0735-4C71-9923-DC2C8E3777C7}"/>
    <cellStyle name="Total 3 24" xfId="20550" xr:uid="{18B9A35A-AD64-46E9-A47A-8CC50BB55A67}"/>
    <cellStyle name="Total 3 24 2" xfId="34998" xr:uid="{C3FC6E83-061B-4F60-B3CA-4910ED4EC75D}"/>
    <cellStyle name="Total 3 25" xfId="20551" xr:uid="{488D02BB-7DE5-431A-ADA4-672DBD3705F2}"/>
    <cellStyle name="Total 3 25 2" xfId="34999" xr:uid="{19514E48-CF6A-4779-B345-A4AFB9F48C07}"/>
    <cellStyle name="Total 3 26" xfId="34950" xr:uid="{F957AD64-928D-4760-82BD-2970AE354F19}"/>
    <cellStyle name="Total 3 3" xfId="20552" xr:uid="{9B4A8787-FB35-4E95-A9BC-15FCD093C604}"/>
    <cellStyle name="Total 3 3 10" xfId="20553" xr:uid="{8CE76769-A80B-465C-9298-78117CE3BD37}"/>
    <cellStyle name="Total 3 3 10 2" xfId="35001" xr:uid="{9F4FE3F4-EC4A-40B4-BAA4-88B1325ACCB5}"/>
    <cellStyle name="Total 3 3 11" xfId="20554" xr:uid="{4C2C3DF0-6E52-49C7-99F4-2A6A65887557}"/>
    <cellStyle name="Total 3 3 11 2" xfId="35002" xr:uid="{695B0288-0D98-4F0A-9DE6-C96A5B180675}"/>
    <cellStyle name="Total 3 3 12" xfId="20555" xr:uid="{71AC5A01-EDFE-4896-935F-B68D128ADB1D}"/>
    <cellStyle name="Total 3 3 12 2" xfId="35003" xr:uid="{2C0DC31E-BB29-412D-B368-B6E620EEFFC8}"/>
    <cellStyle name="Total 3 3 13" xfId="20556" xr:uid="{38429DDB-3452-4B52-AD1D-7FD5918DE451}"/>
    <cellStyle name="Total 3 3 13 2" xfId="35004" xr:uid="{15AB2D59-33AD-46A5-A906-51679FA0D8F8}"/>
    <cellStyle name="Total 3 3 14" xfId="20557" xr:uid="{6C700945-042E-4B9A-A6EA-B753BB8DAF16}"/>
    <cellStyle name="Total 3 3 14 2" xfId="35005" xr:uid="{710B0185-2401-4AF9-AA4F-BA66AF7A67DB}"/>
    <cellStyle name="Total 3 3 15" xfId="20558" xr:uid="{C0B17ACA-B77A-432E-93CD-D6672090D5E8}"/>
    <cellStyle name="Total 3 3 15 2" xfId="35006" xr:uid="{DA23E6FB-F325-4AE7-B104-86C42EAFEDAF}"/>
    <cellStyle name="Total 3 3 16" xfId="35000" xr:uid="{F2563984-0681-4C37-BD6F-C3E88BFAABE5}"/>
    <cellStyle name="Total 3 3 2" xfId="20559" xr:uid="{F89D7FBD-2715-421B-8BA9-1967224BA4E8}"/>
    <cellStyle name="Total 3 3 2 2" xfId="35007" xr:uid="{1689BDD4-3C56-445F-8801-E8B53DEADCF3}"/>
    <cellStyle name="Total 3 3 3" xfId="20560" xr:uid="{CF6F6123-CF66-4075-98F5-6DD55312D38B}"/>
    <cellStyle name="Total 3 3 3 2" xfId="35008" xr:uid="{AF9849CB-571E-4E91-A53C-E1D2D8F5F99F}"/>
    <cellStyle name="Total 3 3 4" xfId="20561" xr:uid="{FAC483F9-0EFF-46DC-A0B5-6900CD9B5BBE}"/>
    <cellStyle name="Total 3 3 4 2" xfId="35009" xr:uid="{B3B5FD98-5171-47F7-8E80-28FE80268207}"/>
    <cellStyle name="Total 3 3 5" xfId="20562" xr:uid="{59B960E4-1D0C-4097-8C21-8639099BB112}"/>
    <cellStyle name="Total 3 3 5 2" xfId="35010" xr:uid="{9FF27563-878E-41F8-8E3C-97D5C6AA0BFE}"/>
    <cellStyle name="Total 3 3 6" xfId="20563" xr:uid="{04B87096-318D-43BD-8036-F4DB20880717}"/>
    <cellStyle name="Total 3 3 6 2" xfId="35011" xr:uid="{18525FEB-94DD-495E-82D3-1AFD101C62D6}"/>
    <cellStyle name="Total 3 3 7" xfId="20564" xr:uid="{199C2CAE-EEEF-4724-A072-5AE1BDF31516}"/>
    <cellStyle name="Total 3 3 7 2" xfId="35012" xr:uid="{C114E346-5E6E-46E9-8570-242D0A83FA87}"/>
    <cellStyle name="Total 3 3 8" xfId="20565" xr:uid="{08F2BE94-BEDA-42EA-8738-0EBB5810303B}"/>
    <cellStyle name="Total 3 3 8 2" xfId="35013" xr:uid="{590B7E8F-F2E0-41B3-A8D0-D1EB0E029777}"/>
    <cellStyle name="Total 3 3 9" xfId="20566" xr:uid="{E9216C29-FCCB-4D97-B030-30250D121B09}"/>
    <cellStyle name="Total 3 3 9 2" xfId="35014" xr:uid="{F5E6EDE5-D882-4425-A778-4C69E76ABE85}"/>
    <cellStyle name="Total 3 4" xfId="20567" xr:uid="{4E95E9D6-5226-4C15-9609-C71C0AF65EF1}"/>
    <cellStyle name="Total 3 4 2" xfId="35015" xr:uid="{7D194EDA-3D4B-4FE1-8281-F0777F53EB00}"/>
    <cellStyle name="Total 3 5" xfId="20568" xr:uid="{63BF37F3-4FAC-4439-B9CF-77E4ADE5E8D6}"/>
    <cellStyle name="Total 3 5 2" xfId="35016" xr:uid="{45BD4E1D-5248-476E-910B-645DD5C297C9}"/>
    <cellStyle name="Total 3 6" xfId="20569" xr:uid="{8DDDDF9E-77C4-4734-B210-083BE1549F9D}"/>
    <cellStyle name="Total 3 6 2" xfId="35017" xr:uid="{5BB215CB-7FEB-4A39-B5AE-46904288AE68}"/>
    <cellStyle name="Total 3 7" xfId="20570" xr:uid="{36D0889B-1E5F-494E-A16E-C66661CCB095}"/>
    <cellStyle name="Total 3 7 2" xfId="35018" xr:uid="{08EF42D2-6B14-4D14-B2EE-AE531D462FB8}"/>
    <cellStyle name="Total 3 8" xfId="20571" xr:uid="{A8C03649-7048-4DB5-AD64-F4D6A28CBFAF}"/>
    <cellStyle name="Total 3 8 2" xfId="35019" xr:uid="{C7977C3C-D541-4200-ADAF-79D2AB33DF92}"/>
    <cellStyle name="Total 3 9" xfId="20572" xr:uid="{4DD1513C-70D4-4097-8763-B22666E7F5CA}"/>
    <cellStyle name="Total 3 9 2" xfId="35020" xr:uid="{F7E84432-BCA2-4E45-8DA4-EC680AB710DF}"/>
    <cellStyle name="Total 4" xfId="20573" xr:uid="{40CCC0DE-9373-48EB-A359-7727F3895805}"/>
    <cellStyle name="Total 4 10" xfId="20574" xr:uid="{C61ED423-E80E-4024-A3AE-87599E4DC72E}"/>
    <cellStyle name="Total 4 10 2" xfId="35058" xr:uid="{075F694B-D9BB-4B05-92A3-E72FAE673449}"/>
    <cellStyle name="Total 4 11" xfId="20575" xr:uid="{EAFAB986-5C54-4941-BFC1-56B403240A0F}"/>
    <cellStyle name="Total 4 11 2" xfId="35059" xr:uid="{8716A281-17E7-466A-BBD8-2A1011B63EF4}"/>
    <cellStyle name="Total 4 12" xfId="20576" xr:uid="{FDB7EE8A-3CA6-4B1C-822A-F0E78A596ABA}"/>
    <cellStyle name="Total 4 12 2" xfId="35060" xr:uid="{99A0F2D0-800A-403C-BB8A-5C8BF88A37E0}"/>
    <cellStyle name="Total 4 13" xfId="20577" xr:uid="{4B355430-9EE1-4672-AFD7-63E203300172}"/>
    <cellStyle name="Total 4 13 2" xfId="35061" xr:uid="{DDB9A9DD-760D-4962-9BB2-EA0BABA9DDA1}"/>
    <cellStyle name="Total 4 14" xfId="20578" xr:uid="{21B19C39-3956-4BED-8815-9935707515F2}"/>
    <cellStyle name="Total 4 14 2" xfId="35062" xr:uid="{1838ED01-3FA7-424C-8A89-CEABC27846BF}"/>
    <cellStyle name="Total 4 15" xfId="20579" xr:uid="{1A7507E3-EF94-4C4B-954D-52BE77B61257}"/>
    <cellStyle name="Total 4 15 2" xfId="35063" xr:uid="{316B1EBB-F960-4114-9642-04EFC0ADB5EA}"/>
    <cellStyle name="Total 4 16" xfId="20580" xr:uid="{C32E2C1D-AD41-4C5D-AFC5-ABB2D22394BF}"/>
    <cellStyle name="Total 4 16 2" xfId="35064" xr:uid="{EF38FC4D-0B79-4E83-BE35-06D688A1F96B}"/>
    <cellStyle name="Total 4 17" xfId="20581" xr:uid="{FAFBEA0B-121F-41FE-81A7-6E4B04EED5DE}"/>
    <cellStyle name="Total 4 17 2" xfId="35065" xr:uid="{9D4565A9-A046-4F26-A449-653FA1F9A73E}"/>
    <cellStyle name="Total 4 18" xfId="20582" xr:uid="{382550B9-2EEF-46F2-A57E-E8ECFA6A7B61}"/>
    <cellStyle name="Total 4 18 2" xfId="35066" xr:uid="{6616DD2A-D222-4999-80B1-8C55248257A3}"/>
    <cellStyle name="Total 4 19" xfId="20583" xr:uid="{D2E93A73-CB75-4FD5-8E20-6518C84D9AB3}"/>
    <cellStyle name="Total 4 19 2" xfId="35067" xr:uid="{7B3029CD-E1B9-40B4-9170-5F946FAEFBAD}"/>
    <cellStyle name="Total 4 2" xfId="20584" xr:uid="{A3453C95-2C76-4C25-8E1E-290FDD1CD901}"/>
    <cellStyle name="Total 4 2 10" xfId="20585" xr:uid="{04FD8D31-83BA-4FDC-9A3F-ACB90AC505E5}"/>
    <cellStyle name="Total 4 2 10 2" xfId="35069" xr:uid="{C43EA8E0-F959-4564-9A4F-D805730CF6D1}"/>
    <cellStyle name="Total 4 2 11" xfId="20586" xr:uid="{69E812BC-0418-4976-B249-2DEE14FF0463}"/>
    <cellStyle name="Total 4 2 11 2" xfId="35070" xr:uid="{E0D7F4EA-E134-4265-A6BF-5160F51CBAD9}"/>
    <cellStyle name="Total 4 2 12" xfId="20587" xr:uid="{10AE0334-37D3-48E4-8974-0DA1C49FAA6D}"/>
    <cellStyle name="Total 4 2 12 2" xfId="35071" xr:uid="{4705911D-72E6-4A41-87CD-70F04C52587C}"/>
    <cellStyle name="Total 4 2 13" xfId="20588" xr:uid="{9F8B76CD-A6F1-479C-B5CD-6EA402C939D2}"/>
    <cellStyle name="Total 4 2 13 2" xfId="35072" xr:uid="{780BA9C8-9670-4822-ACBE-ED5CF43C84F4}"/>
    <cellStyle name="Total 4 2 14" xfId="20589" xr:uid="{A97BAAF7-0F62-4F4E-B0EB-71BAAF5C55C7}"/>
    <cellStyle name="Total 4 2 14 2" xfId="35073" xr:uid="{10C85873-57A8-483D-B18B-CBEA49E1947D}"/>
    <cellStyle name="Total 4 2 15" xfId="20590" xr:uid="{257B6E94-F4B0-4C03-9FCD-12CB841CFF56}"/>
    <cellStyle name="Total 4 2 15 2" xfId="35074" xr:uid="{F39BEBB9-A43B-46A2-BEFC-DC99393AD10B}"/>
    <cellStyle name="Total 4 2 16" xfId="35068" xr:uid="{B8A14241-AFF7-443B-8E15-2443667CC098}"/>
    <cellStyle name="Total 4 2 2" xfId="20591" xr:uid="{CF047DAA-D061-4460-84AE-3B762230358A}"/>
    <cellStyle name="Total 4 2 2 2" xfId="35075" xr:uid="{37757E01-D4E7-44B6-8B9E-DA7B3ADC3709}"/>
    <cellStyle name="Total 4 2 3" xfId="20592" xr:uid="{08DA2B31-D177-43A4-A43C-C2FB361B96C8}"/>
    <cellStyle name="Total 4 2 3 2" xfId="35076" xr:uid="{9385ECB4-15ED-4E05-BB63-3ADF899E8593}"/>
    <cellStyle name="Total 4 2 4" xfId="20593" xr:uid="{6575CF98-B0A0-4473-AD96-E0C2B224E63C}"/>
    <cellStyle name="Total 4 2 4 2" xfId="35077" xr:uid="{BE5CB7F2-82F5-4D6F-8EA5-5AC669E66FBD}"/>
    <cellStyle name="Total 4 2 5" xfId="20594" xr:uid="{605C5221-ED34-4132-AB00-BEE02A294B04}"/>
    <cellStyle name="Total 4 2 5 2" xfId="35078" xr:uid="{8538A57E-8D52-429A-9CD0-B288C38AE107}"/>
    <cellStyle name="Total 4 2 6" xfId="20595" xr:uid="{6DAC352D-CD19-4927-8E24-94CC7E121FBF}"/>
    <cellStyle name="Total 4 2 6 2" xfId="38151" xr:uid="{8562BAE3-F5DA-462F-B8E1-0FF938F73D05}"/>
    <cellStyle name="Total 4 2 7" xfId="20596" xr:uid="{5E205961-2615-484B-811E-0950D0BC53EC}"/>
    <cellStyle name="Total 4 2 7 2" xfId="35079" xr:uid="{A9266B54-2B5E-4761-B5BF-53CA31556D71}"/>
    <cellStyle name="Total 4 2 8" xfId="20597" xr:uid="{444AC5B2-682C-49B6-87FB-6193E78C9F79}"/>
    <cellStyle name="Total 4 2 8 2" xfId="35080" xr:uid="{D9063AB8-44FB-4C27-BE68-F3DE36A2DD1B}"/>
    <cellStyle name="Total 4 2 9" xfId="20598" xr:uid="{6380E907-B6E5-420D-9300-0320E7FA89DC}"/>
    <cellStyle name="Total 4 2 9 2" xfId="35081" xr:uid="{B644F2B0-7AA6-4B69-97FD-D68BDF2F896C}"/>
    <cellStyle name="Total 4 20" xfId="35057" xr:uid="{394D217B-A58B-478A-AFD9-D78237D35539}"/>
    <cellStyle name="Total 4 3" xfId="20599" xr:uid="{28711808-C6A6-43C0-81AC-60476023B5A7}"/>
    <cellStyle name="Total 4 3 2" xfId="35082" xr:uid="{8CDFBC52-6052-4C59-9D4D-5394071A60BB}"/>
    <cellStyle name="Total 4 4" xfId="20600" xr:uid="{84860F9C-8EE0-46B1-AFB1-AD54128D646A}"/>
    <cellStyle name="Total 4 4 2" xfId="35083" xr:uid="{0EC567FC-E26B-4770-9647-3FCA99D29127}"/>
    <cellStyle name="Total 4 5" xfId="20601" xr:uid="{F8BDCBC9-7AE9-4117-BC13-A60232CD2D16}"/>
    <cellStyle name="Total 4 5 2" xfId="35084" xr:uid="{2DE3CC61-B78F-429F-B66E-024EBB854E6C}"/>
    <cellStyle name="Total 4 6" xfId="20602" xr:uid="{021EA2DA-ADD4-4100-99B1-D25471DFBD18}"/>
    <cellStyle name="Total 4 6 2" xfId="35085" xr:uid="{BC9A2C6E-CA1C-41B4-ABA3-542B4AB2ADDF}"/>
    <cellStyle name="Total 4 7" xfId="20603" xr:uid="{1180F59E-2DC3-4405-8BCB-12230E46C564}"/>
    <cellStyle name="Total 4 7 2" xfId="35086" xr:uid="{5AC816EE-669D-457F-98B0-3C6B99DCEF2F}"/>
    <cellStyle name="Total 4 8" xfId="20604" xr:uid="{56792D89-2BF4-4145-844F-2D347FCB9E79}"/>
    <cellStyle name="Total 4 8 2" xfId="35087" xr:uid="{D99116C0-527D-4756-AF38-D40E866E0990}"/>
    <cellStyle name="Total 4 9" xfId="20605" xr:uid="{4686151A-78B2-447B-B895-0617691769AD}"/>
    <cellStyle name="Total 4 9 2" xfId="35088" xr:uid="{E47238C1-051E-4B67-BE1B-D4D0B3A155F8}"/>
    <cellStyle name="Total 5" xfId="20606" xr:uid="{43DC22FE-E51F-4728-A86B-FF47697B4A51}"/>
    <cellStyle name="Total 6" xfId="20607" xr:uid="{5DB3CE14-C841-485E-AA80-0635783C60B3}"/>
    <cellStyle name="Total 6 2" xfId="35089" xr:uid="{1A190241-6C93-42B3-ADB5-4897FC948961}"/>
    <cellStyle name="Total 7" xfId="20608" xr:uid="{5061BB43-A00F-4BBA-8028-E69A435373D0}"/>
    <cellStyle name="Total 8" xfId="20609" xr:uid="{D52C6D19-0D6B-4C0E-82F3-A52E98FB9CF1}"/>
    <cellStyle name="Total 8 2" xfId="35090" xr:uid="{74BE1016-5D82-48D7-AD19-D1DA08BC8933}"/>
    <cellStyle name="Total 9" xfId="20336" xr:uid="{E875FB64-5CC6-44A0-BEB2-E22B7C300499}"/>
    <cellStyle name="Total 9 2" xfId="34785" xr:uid="{AF10B065-359E-4CE3-B064-26FDDCD8821D}"/>
    <cellStyle name="Total intermediaire" xfId="20610" xr:uid="{A7804519-FDA5-498B-847C-61D27FF7BB57}"/>
    <cellStyle name="transmissions" xfId="20611" xr:uid="{30D689FD-7FF2-4C3C-9DF3-623D92275E8F}"/>
    <cellStyle name="transmissions 2" xfId="35094" xr:uid="{5D224737-DA84-4B8C-9CE7-83C0D45FF43F}"/>
    <cellStyle name="tt - Style1" xfId="20612" xr:uid="{D0551830-2A3C-4299-B9E3-98D35D47BFE5}"/>
    <cellStyle name="tt - Style1 2" xfId="35095" xr:uid="{B01DF00F-D4B1-4505-B68D-9068D60BD3E9}"/>
    <cellStyle name="tt - Style1 3" xfId="35091" xr:uid="{EA3B4621-D21B-4B6B-8B27-4DB8BE984A8D}"/>
    <cellStyle name="Tusental (0)_pldt" xfId="20613" xr:uid="{502CB146-C5A8-4A14-A9E8-5D45F66ED854}"/>
    <cellStyle name="Tusental_Impelloplan" xfId="20614" xr:uid="{ADB37ED1-858B-42F9-92B1-3E478AA61D88}"/>
    <cellStyle name="TXT" xfId="20615" xr:uid="{09C39548-D464-4B7E-BCD2-AE8CBC8F0E3A}"/>
    <cellStyle name="™n™C™p©[™™“™N" xfId="20616" xr:uid="{E4B61C87-01DD-494B-9F15-0EFD66431F87}"/>
    <cellStyle name="Underline" xfId="20617" xr:uid="{ABE54BBF-82C1-48C7-8053-F9697E757F1B}"/>
    <cellStyle name="Underline 2" xfId="20618" xr:uid="{8C15346E-3E28-4E32-9EB4-D610EA530E6C}"/>
    <cellStyle name="Underline 2 2" xfId="28083" xr:uid="{ABDDFE64-ABA4-4B12-A24B-78A75F556DFA}"/>
    <cellStyle name="Units" xfId="20619" xr:uid="{CB179CF4-3138-4CD7-8527-D1BFC3240C28}"/>
    <cellStyle name="Unprot" xfId="20620" xr:uid="{3494795A-AB5D-4D07-86D7-FC54BE343D9C}"/>
    <cellStyle name="Unprot$" xfId="20621" xr:uid="{5657B0DC-DEE9-49FE-9B5D-63C509BF94B7}"/>
    <cellStyle name="Unprot_2x10 database" xfId="20622" xr:uid="{FD647D8A-1F42-4398-8D61-6014847DD195}"/>
    <cellStyle name="Unprotect" xfId="20623" xr:uid="{2A004C86-DBE8-438A-B366-396C32AD814F}"/>
    <cellStyle name="UpdateFlag" xfId="20624" xr:uid="{92CF9AE3-03F9-4E7C-8331-83A03BEE6ED2}"/>
    <cellStyle name="UpdateFlag 2" xfId="20625" xr:uid="{26FC83A5-97B4-4B9C-833D-82DFA61E8177}"/>
    <cellStyle name="UpdateFlag 2 2" xfId="35093" xr:uid="{52415B90-47C0-4795-AAE5-D4175A49D7C3}"/>
    <cellStyle name="UpdateFlag 3" xfId="35092" xr:uid="{D74ED6AA-C39D-446C-A44E-8A82AE585632}"/>
    <cellStyle name="User_Defined_A" xfId="20626" xr:uid="{7E7D9368-FDFF-44E6-A3C3-7807108EEB05}"/>
    <cellStyle name="Valuta (0)_All" xfId="20627" xr:uid="{9BC28810-7D56-46F4-A24C-52C6E98BC2B9}"/>
    <cellStyle name="Valuta [0]_Blad1" xfId="20628" xr:uid="{DDC0536A-FE41-4D95-A1B2-286DCB5CB32C}"/>
    <cellStyle name="Valuta_Blad1" xfId="20629" xr:uid="{3FE32C76-B5CC-4D55-9C01-E9474D35AF9D}"/>
    <cellStyle name="Vehicle_Benchmark" xfId="20630" xr:uid="{3758C4AF-05EE-4712-AADF-CB5395CF95FF}"/>
    <cellStyle name="Vérification" xfId="20631" xr:uid="{133042E9-574D-4AF5-B212-86B19A706C94}"/>
    <cellStyle name="Vérification 2" xfId="20632" xr:uid="{631BB05B-E37E-4032-9AC4-7665C2BD580E}"/>
    <cellStyle name="Version_Header" xfId="20633" xr:uid="{C1906BDF-A525-4A4E-8D9E-826781E5F0EF}"/>
    <cellStyle name="Vide" xfId="20634" xr:uid="{499A5F3A-6F36-40FD-88AF-3067309B0EA4}"/>
    <cellStyle name="Vide 2" xfId="20635" xr:uid="{AD3612EA-0244-4DD8-AE24-E7E3A06C2C79}"/>
    <cellStyle name="Volumes_Data" xfId="20636" xr:uid="{D0C36387-F712-4B7A-80AB-D0B593FA6CA9}"/>
    <cellStyle name="W?hrung [0]_00_12_08 Calculation Forms Version 2" xfId="20637" xr:uid="{9AEE5567-F511-4EB1-9C9E-67D87586CB2D}"/>
    <cellStyle name="W?hrung_00_12_08 Calculation Forms Version 2" xfId="20638" xr:uid="{DEFEE52E-B797-4742-ACC9-F9C34F473D14}"/>
    <cellStyle name="Währung [0]_!!!GO" xfId="20639" xr:uid="{766CFF14-AF38-4740-95C3-367A387BBE9C}"/>
    <cellStyle name="Wahrung [0]_ZR - Form 39 Forecast" xfId="20640" xr:uid="{6FA5528E-7DAC-425A-A71A-CC18DA5EF0BB}"/>
    <cellStyle name="Währung_!!!GO" xfId="20641" xr:uid="{559E3153-2C11-4FC2-8D27-0109F889FE3E}"/>
    <cellStyle name="Wahrung_ZR - Form 39 Forecast" xfId="20642" xr:uid="{736978CD-E2E8-4E1B-8855-77BA2609D195}"/>
    <cellStyle name="Währung0" xfId="20643" xr:uid="{6B5A2BBB-12BD-4B07-9481-5C98A5DEDA2F}"/>
    <cellStyle name="Walutowy [0]_MTM VP 99 " xfId="20644" xr:uid="{1C76B073-77C2-419E-82CF-AFD65E2F31AC}"/>
    <cellStyle name="Walutowy_calcul+150KHUF" xfId="20645" xr:uid="{C087F552-C77F-4A37-8255-6A8F0CC45165}"/>
    <cellStyle name="Warning Text 2" xfId="20647" xr:uid="{C8C73519-D963-4A7E-B18F-018F4A281974}"/>
    <cellStyle name="Warning Text 2 2" xfId="20648" xr:uid="{F84CE4B2-B404-48F2-8907-FF4877C7C186}"/>
    <cellStyle name="Warning Text 2 3" xfId="20649" xr:uid="{4B7F8AF6-0EBC-45F4-B8EA-EA8484368894}"/>
    <cellStyle name="Warning Text 3" xfId="20650" xr:uid="{D6F694AA-42A5-4E19-937F-FBF7E43EE909}"/>
    <cellStyle name="Warning Text 4" xfId="20651" xr:uid="{C523AFA6-A7FB-418D-8801-AFF6964ED686}"/>
    <cellStyle name="Warning Text 5" xfId="20652" xr:uid="{05C30B28-FD73-4C8E-9CBF-30805E02B2EE}"/>
    <cellStyle name="Warning Text 6" xfId="20653" xr:uid="{7DF75AF4-9BF1-4634-A21F-7FECBBA9E5FB}"/>
    <cellStyle name="Warning Text 7" xfId="20646" xr:uid="{57710B13-42D6-4839-9529-75D3579125E3}"/>
    <cellStyle name="weekly" xfId="20654" xr:uid="{1C7F440A-0268-402A-A35F-6F4933787397}"/>
    <cellStyle name="WHITE" xfId="20655" xr:uid="{E6A4A060-46F5-444A-8162-3A9E70F51E7B}"/>
    <cellStyle name="Whole" xfId="20656" xr:uid="{BE3D4D3F-2884-44DB-BEF7-99CAA991DAFF}"/>
    <cellStyle name="Whole 2" xfId="20657" xr:uid="{8422E959-1096-4086-A571-4B7EB16120D2}"/>
    <cellStyle name="Whole 2 2" xfId="20658" xr:uid="{7BE6134F-5548-4B6B-A4BF-3361BAF63FAA}"/>
    <cellStyle name="Whole 2 2 10" xfId="20659" xr:uid="{AF229F2C-5B68-46F1-A524-9D16F02A2243}"/>
    <cellStyle name="Whole 2 2 10 2" xfId="20660" xr:uid="{35104DED-6124-4E90-B33E-7E9AB92D7D9B}"/>
    <cellStyle name="Whole 2 2 11" xfId="20661" xr:uid="{30B9E211-2F7D-4C14-B29D-46ED1A006C32}"/>
    <cellStyle name="Whole 2 2 11 2" xfId="20662" xr:uid="{36508DEE-2852-4715-B26A-88304287B0C0}"/>
    <cellStyle name="Whole 2 2 12" xfId="20663" xr:uid="{567EACA6-EEFD-456C-8438-3C92AE3F2F94}"/>
    <cellStyle name="Whole 2 2 12 2" xfId="20664" xr:uid="{CB98FD2F-650C-44AE-A511-C4C1304872C2}"/>
    <cellStyle name="Whole 2 2 13" xfId="20665" xr:uid="{285AE647-D496-40D4-A02E-998CCCC2EAB3}"/>
    <cellStyle name="Whole 2 2 13 2" xfId="20666" xr:uid="{D98DD37D-BE1B-4F3B-A60E-50BC972930EF}"/>
    <cellStyle name="Whole 2 2 14" xfId="20667" xr:uid="{60363B18-A4E4-462A-9C2B-737DCFA99037}"/>
    <cellStyle name="Whole 2 2 14 2" xfId="20668" xr:uid="{A11B0C41-7854-49D2-82BF-4A039DD468F8}"/>
    <cellStyle name="Whole 2 2 15" xfId="20669" xr:uid="{CA6AD5ED-88FF-4F51-9867-B1B2181CC8F1}"/>
    <cellStyle name="Whole 2 2 15 2" xfId="20670" xr:uid="{5BFAB137-A64F-47A1-A0A2-1F43D2B2C404}"/>
    <cellStyle name="Whole 2 2 16" xfId="20671" xr:uid="{2A2B2BDD-73B4-4ED2-B4A9-5D87A4B70AA5}"/>
    <cellStyle name="Whole 2 2 16 2" xfId="20672" xr:uid="{5624E117-7894-495F-931B-12292D292E66}"/>
    <cellStyle name="Whole 2 2 17" xfId="20673" xr:uid="{9615913D-72D4-467F-9AF1-66093A7DA77F}"/>
    <cellStyle name="Whole 2 2 17 2" xfId="20674" xr:uid="{53812F10-1587-4DC5-837C-62771DC3D232}"/>
    <cellStyle name="Whole 2 2 18" xfId="20675" xr:uid="{8F85F062-9908-4B27-955D-A2BE62012502}"/>
    <cellStyle name="Whole 2 2 18 2" xfId="20676" xr:uid="{9FDF11B1-3A6E-4CCC-8FAE-29F456B092C8}"/>
    <cellStyle name="Whole 2 2 19" xfId="20677" xr:uid="{6960055E-7F26-468F-8B50-12B38E133958}"/>
    <cellStyle name="Whole 2 2 19 2" xfId="20678" xr:uid="{303C8172-EE4E-49F9-A007-6804A4D699D8}"/>
    <cellStyle name="Whole 2 2 2" xfId="20679" xr:uid="{72DB951A-6995-4A01-A8BE-46C06BFEB3DD}"/>
    <cellStyle name="Whole 2 2 2 2" xfId="20680" xr:uid="{D56AD3DD-24C9-4C25-BD43-C05C3D0497B8}"/>
    <cellStyle name="Whole 2 2 20" xfId="20681" xr:uid="{8BE19817-6101-45AA-B707-DE925A56939F}"/>
    <cellStyle name="Whole 2 2 20 2" xfId="20682" xr:uid="{1E3371D2-A736-4443-AC9C-E2A1AE20255B}"/>
    <cellStyle name="Whole 2 2 21" xfId="20683" xr:uid="{AF7F32A9-E321-4F04-B1EF-E0F1A19FA3EE}"/>
    <cellStyle name="Whole 2 2 21 2" xfId="20684" xr:uid="{90E2452D-7406-48B9-B6EB-492AE3FCC080}"/>
    <cellStyle name="Whole 2 2 22" xfId="20685" xr:uid="{AAA18A9E-A023-4072-88B6-4A71870BD459}"/>
    <cellStyle name="Whole 2 2 3" xfId="20686" xr:uid="{48AF3E0F-1C43-47A6-B492-6D6EE3648853}"/>
    <cellStyle name="Whole 2 2 3 2" xfId="20687" xr:uid="{626DBC15-71DB-4148-847E-19FCC6A05125}"/>
    <cellStyle name="Whole 2 2 4" xfId="20688" xr:uid="{CE275DEE-1EB0-4916-B04E-8186B5DD9F97}"/>
    <cellStyle name="Whole 2 2 4 2" xfId="20689" xr:uid="{EB931670-858A-4DF1-A2F6-137FABB1B2EE}"/>
    <cellStyle name="Whole 2 2 5" xfId="20690" xr:uid="{68ADFE7A-04F5-4FEA-BA72-A8EB369F87BC}"/>
    <cellStyle name="Whole 2 2 5 2" xfId="20691" xr:uid="{ECF2AF40-6425-49CF-B8D8-AE568CBEBB93}"/>
    <cellStyle name="Whole 2 2 6" xfId="20692" xr:uid="{A93714D5-6043-4555-9FFC-4365537E040E}"/>
    <cellStyle name="Whole 2 2 6 2" xfId="20693" xr:uid="{DB206066-730A-4832-BB13-DFA46F90A507}"/>
    <cellStyle name="Whole 2 2 7" xfId="20694" xr:uid="{223AD354-B2BA-415A-834D-F305FAC30DDB}"/>
    <cellStyle name="Whole 2 2 7 2" xfId="20695" xr:uid="{334A4F46-A3E3-49AF-B966-D35ECD44C10A}"/>
    <cellStyle name="Whole 2 2 8" xfId="20696" xr:uid="{37A9A9D3-8AB8-43D8-89C3-E8296B3C6663}"/>
    <cellStyle name="Whole 2 2 8 2" xfId="20697" xr:uid="{609DC1B2-7580-48EA-9F3D-3F5DF53FAE92}"/>
    <cellStyle name="Whole 2 2 9" xfId="20698" xr:uid="{86A7F015-0D6D-4D70-BAE2-1D7093C41D80}"/>
    <cellStyle name="Whole 2 2 9 2" xfId="20699" xr:uid="{ACE82D19-62F0-4149-89C2-E8E29F4BD254}"/>
    <cellStyle name="Whole 2 3" xfId="20700" xr:uid="{2D4FA7B9-1DA0-4B2E-B014-7449DBFE41A5}"/>
    <cellStyle name="Whole 2 3 2" xfId="20701" xr:uid="{0FE978E3-4DC1-4D29-BFC6-9299BFAE9971}"/>
    <cellStyle name="Whole 2 4" xfId="20702" xr:uid="{58731F67-E10E-4BEF-979B-3796486DE6F9}"/>
    <cellStyle name="Whole 2 4 2" xfId="20703" xr:uid="{FC6BEB0A-7A1F-4B26-845D-983B10671640}"/>
    <cellStyle name="Whole 2 5" xfId="20704" xr:uid="{230E54A9-1F7D-4872-8E9F-19CE58D42DEF}"/>
    <cellStyle name="Whole 2 5 2" xfId="20705" xr:uid="{802518E9-D8FD-4D75-B9D5-5204ACCA8063}"/>
    <cellStyle name="Whole 2 6" xfId="20706" xr:uid="{1348A66A-D3EF-4D79-A8A8-34498786C9AD}"/>
    <cellStyle name="Whole 3" xfId="20707" xr:uid="{9270ED55-4E89-4CB4-B762-1C5E0842CF8E}"/>
    <cellStyle name="Whole 3 10" xfId="20708" xr:uid="{D041D545-EDD5-47E1-8C05-B74A3C6BB026}"/>
    <cellStyle name="Whole 3 10 2" xfId="20709" xr:uid="{FC664205-D97A-4CD4-A4D0-EC7F3773CBFD}"/>
    <cellStyle name="Whole 3 11" xfId="20710" xr:uid="{5D414F4E-6BBB-4E52-8AFF-2BE908DF38FE}"/>
    <cellStyle name="Whole 3 11 2" xfId="20711" xr:uid="{FC10CAC7-BB84-48F9-8135-F48DE3953A40}"/>
    <cellStyle name="Whole 3 12" xfId="20712" xr:uid="{59EB7E51-8AE8-4777-AC78-FF3F14B64685}"/>
    <cellStyle name="Whole 3 12 2" xfId="20713" xr:uid="{C42EE01E-FBF0-42A7-9CEF-BE5415950A73}"/>
    <cellStyle name="Whole 3 13" xfId="20714" xr:uid="{D474F064-F000-4571-946C-063979EB0839}"/>
    <cellStyle name="Whole 3 13 2" xfId="20715" xr:uid="{19A7AAEF-2E65-478C-A981-7DD7C063635B}"/>
    <cellStyle name="Whole 3 14" xfId="20716" xr:uid="{7FE16508-93F7-4C83-BE6B-F2662370CA34}"/>
    <cellStyle name="Whole 3 14 2" xfId="20717" xr:uid="{B21CDE1F-7C79-460C-9684-C04A6E2B9FBD}"/>
    <cellStyle name="Whole 3 15" xfId="20718" xr:uid="{679E4C27-3A76-4864-BA65-6CADF90D7381}"/>
    <cellStyle name="Whole 3 15 2" xfId="20719" xr:uid="{A9EB7797-78E5-4670-89F3-A60B6463E14E}"/>
    <cellStyle name="Whole 3 16" xfId="20720" xr:uid="{6C78EB94-AF44-4D8B-8674-365986248A06}"/>
    <cellStyle name="Whole 3 16 2" xfId="20721" xr:uid="{15C524A9-3935-469E-AC08-B9631979B748}"/>
    <cellStyle name="Whole 3 17" xfId="20722" xr:uid="{25DC1AFD-260E-43E9-83A9-F7A0F41AC5C8}"/>
    <cellStyle name="Whole 3 17 2" xfId="20723" xr:uid="{DB22DA1C-5302-424F-AA1A-D10CBCDE4C8F}"/>
    <cellStyle name="Whole 3 18" xfId="20724" xr:uid="{7BCE194B-DC06-4AC1-9786-47D504FCA791}"/>
    <cellStyle name="Whole 3 18 2" xfId="20725" xr:uid="{35F843CE-D1CC-43D2-8F6F-15EB4E4BE73B}"/>
    <cellStyle name="Whole 3 19" xfId="20726" xr:uid="{F3C9AEA3-130C-4B37-8E4F-413162B6356F}"/>
    <cellStyle name="Whole 3 19 2" xfId="20727" xr:uid="{AA8205C5-F6BA-44EB-9E36-5CEDF1CE7F71}"/>
    <cellStyle name="Whole 3 2" xfId="20728" xr:uid="{16EB86F0-D98F-4D39-9898-4D3E5116F81D}"/>
    <cellStyle name="Whole 3 2 2" xfId="20729" xr:uid="{B15F0D63-692B-4D32-8FE6-81C8B9F6B077}"/>
    <cellStyle name="Whole 3 20" xfId="20730" xr:uid="{0FD9E1DC-942B-47DF-A114-CA23DDEE4507}"/>
    <cellStyle name="Whole 3 20 2" xfId="20731" xr:uid="{06160E83-7F1B-48C0-AD14-36FF96BBCCE0}"/>
    <cellStyle name="Whole 3 21" xfId="20732" xr:uid="{FB304D14-AB7E-496D-ABCF-778BA6A62F93}"/>
    <cellStyle name="Whole 3 21 2" xfId="20733" xr:uid="{818573FD-8623-4979-AA1D-16E339D33794}"/>
    <cellStyle name="Whole 3 22" xfId="20734" xr:uid="{9D96B3AA-29B8-4C51-88DB-D818BB005CE8}"/>
    <cellStyle name="Whole 3 3" xfId="20735" xr:uid="{F2C20F53-B232-49FA-B9BE-48848918335B}"/>
    <cellStyle name="Whole 3 3 2" xfId="20736" xr:uid="{CCB0EAE1-E538-4E13-9DB8-6D76C17E1B00}"/>
    <cellStyle name="Whole 3 4" xfId="20737" xr:uid="{37ED0BBA-E162-4EBD-B276-AC63321EAD3B}"/>
    <cellStyle name="Whole 3 4 2" xfId="20738" xr:uid="{634620E6-CB62-4D29-A985-4D93E8664A57}"/>
    <cellStyle name="Whole 3 5" xfId="20739" xr:uid="{12306C1F-E62B-4A2A-AB4A-1392280C841A}"/>
    <cellStyle name="Whole 3 5 2" xfId="20740" xr:uid="{259570E3-CDC5-42ED-82E8-564479A3D828}"/>
    <cellStyle name="Whole 3 6" xfId="20741" xr:uid="{1AE11034-63F8-493A-8487-AC201AE7B9E4}"/>
    <cellStyle name="Whole 3 6 2" xfId="20742" xr:uid="{B6FD7D4E-AA43-4F67-81B5-B3475FD6C79E}"/>
    <cellStyle name="Whole 3 7" xfId="20743" xr:uid="{90E635FE-0E12-4E83-A086-FA5C1D542EFC}"/>
    <cellStyle name="Whole 3 7 2" xfId="20744" xr:uid="{135D67FD-E439-4D26-B7B6-8A3C6D39484F}"/>
    <cellStyle name="Whole 3 8" xfId="20745" xr:uid="{2AEBF749-371C-49F5-BC83-4B624C279183}"/>
    <cellStyle name="Whole 3 8 2" xfId="20746" xr:uid="{2C00E179-5E9F-44AE-93FF-477431180A33}"/>
    <cellStyle name="Whole 3 9" xfId="20747" xr:uid="{D88233EA-4596-4655-9A27-D3F21AC1FC5F}"/>
    <cellStyle name="Whole 3 9 2" xfId="20748" xr:uid="{C779B1E5-B257-4844-AFDC-90D2D0118949}"/>
    <cellStyle name="Whole 4" xfId="20749" xr:uid="{8F90540B-B46C-40CE-BB19-2B234DCC0E8F}"/>
    <cellStyle name="WideTotal" xfId="20750" xr:uid="{E63022D6-FEAF-4B06-BBEF-9BA2A4F35A5F}"/>
    <cellStyle name="WideTotalB" xfId="20751" xr:uid="{28F53A9F-384B-4CC9-90B6-34C62E4EF68E}"/>
    <cellStyle name="W臧rung [0]_Compiling Utility Macros" xfId="20752" xr:uid="{9CDB280D-5815-4E0E-A8BD-9EFC775BF955}"/>
    <cellStyle name="W臧rung_Compiling Utility Macros" xfId="20753" xr:uid="{2686FDB0-61CD-4DF6-A103-527C03F0BCCB}"/>
    <cellStyle name="XLS'|_x0005_t" xfId="20754" xr:uid="{7D21B3B3-DF77-4745-8BAD-FC3AF94779E7}"/>
    <cellStyle name="XLS'|_x0005_t 2" xfId="26425" xr:uid="{F72955DB-D2B9-4F7F-A053-CAF36D6854C3}"/>
    <cellStyle name="XP" xfId="20755" xr:uid="{2F2A478B-50F9-46D4-9356-004488BD839C}"/>
    <cellStyle name="Year" xfId="20756" xr:uid="{3F318076-A92E-4E6A-9087-853F3C869209}"/>
    <cellStyle name="Year 2" xfId="20757" xr:uid="{B67685FA-2F25-4832-AAE3-BA8FC4F6E7AC}"/>
    <cellStyle name="Year 2 2" xfId="20758" xr:uid="{FEEAE78F-82A6-4037-9E6C-75510E0931A7}"/>
    <cellStyle name="Year 2 2 2" xfId="20759" xr:uid="{C244EE55-F9CE-4A1D-806C-0355645CE901}"/>
    <cellStyle name="Year 2 2 2 10" xfId="20760" xr:uid="{CDB74D70-E5B9-447D-8842-18192E1F3845}"/>
    <cellStyle name="Year 2 2 2 10 2" xfId="20761" xr:uid="{89C7A533-2AE3-44D9-8739-F065658E8EA6}"/>
    <cellStyle name="Year 2 2 2 11" xfId="20762" xr:uid="{A1933874-DA1F-41FA-BBA1-B63C8D943F57}"/>
    <cellStyle name="Year 2 2 2 11 2" xfId="20763" xr:uid="{6EAA916F-0D38-402B-A060-33C3755A8C3F}"/>
    <cellStyle name="Year 2 2 2 12" xfId="20764" xr:uid="{C860C10A-709E-4199-A7E4-57BBE27A4240}"/>
    <cellStyle name="Year 2 2 2 12 2" xfId="20765" xr:uid="{1778C13A-E870-4710-9F86-565C99352AD7}"/>
    <cellStyle name="Year 2 2 2 13" xfId="20766" xr:uid="{A2E74139-83A9-4DBF-B627-3845F4436612}"/>
    <cellStyle name="Year 2 2 2 13 2" xfId="20767" xr:uid="{5BB68F77-B49C-41BA-BED8-4295226E477F}"/>
    <cellStyle name="Year 2 2 2 14" xfId="20768" xr:uid="{6D317C25-A087-4870-B0E4-E691F4D12B44}"/>
    <cellStyle name="Year 2 2 2 14 2" xfId="20769" xr:uid="{10AC4E52-7C70-4E36-B35A-5D94CDAD553E}"/>
    <cellStyle name="Year 2 2 2 15" xfId="20770" xr:uid="{A477700D-6849-495F-B5BE-523B9E79FA28}"/>
    <cellStyle name="Year 2 2 2 15 2" xfId="20771" xr:uid="{DEB37295-901C-4DAE-B935-F5B377201EBA}"/>
    <cellStyle name="Year 2 2 2 16" xfId="20772" xr:uid="{3E79F243-ABA6-48AD-8912-37B9419DCC45}"/>
    <cellStyle name="Year 2 2 2 16 2" xfId="20773" xr:uid="{A3F26FBD-6698-4CAF-9BBF-CD60AB03D389}"/>
    <cellStyle name="Year 2 2 2 17" xfId="20774" xr:uid="{C6197BAB-926A-4DF4-97A0-BF256FF57FDD}"/>
    <cellStyle name="Year 2 2 2 17 2" xfId="20775" xr:uid="{A83B2166-7D71-4CA3-B29F-9BA8862877D9}"/>
    <cellStyle name="Year 2 2 2 18" xfId="20776" xr:uid="{1EF87CC0-6758-477C-8164-850AA063DFFA}"/>
    <cellStyle name="Year 2 2 2 18 2" xfId="20777" xr:uid="{1658F61E-49A6-4E48-B480-3E9213F2BF97}"/>
    <cellStyle name="Year 2 2 2 19" xfId="20778" xr:uid="{7AB43186-2ABB-49E0-9B5B-7D732D73ADE4}"/>
    <cellStyle name="Year 2 2 2 19 2" xfId="20779" xr:uid="{931EA0B1-5F94-4BD9-A52F-19EEDBC15E6C}"/>
    <cellStyle name="Year 2 2 2 2" xfId="20780" xr:uid="{9F03AE92-AAC2-4248-B9DF-7130737AC276}"/>
    <cellStyle name="Year 2 2 2 2 2" xfId="20781" xr:uid="{9DFA69E9-6C43-4537-9315-C97A0279DDAE}"/>
    <cellStyle name="Year 2 2 2 20" xfId="20782" xr:uid="{7F4ED940-551D-485A-84E6-0E4185CD88E9}"/>
    <cellStyle name="Year 2 2 2 20 2" xfId="20783" xr:uid="{CC318D80-019E-4452-A324-AD5816653451}"/>
    <cellStyle name="Year 2 2 2 21" xfId="20784" xr:uid="{1ABAD141-C445-4EB1-993D-091AE68CC54D}"/>
    <cellStyle name="Year 2 2 2 21 2" xfId="20785" xr:uid="{345C865F-E690-41C7-AF14-9620097A969F}"/>
    <cellStyle name="Year 2 2 2 22" xfId="20786" xr:uid="{1B6C3EB1-E9AB-4178-AA0E-1A9B5F5343C8}"/>
    <cellStyle name="Year 2 2 2 22 2" xfId="20787" xr:uid="{5F0C34BF-7388-46FA-88B5-D004C90B62A4}"/>
    <cellStyle name="Year 2 2 2 23" xfId="20788" xr:uid="{35EF699D-95FF-4BF7-950F-7586A218D1C9}"/>
    <cellStyle name="Year 2 2 2 3" xfId="20789" xr:uid="{C1F5239A-D1E2-4BA7-8FBA-378F9244045F}"/>
    <cellStyle name="Year 2 2 2 3 2" xfId="20790" xr:uid="{64AD4E90-67E4-4C1B-9E6E-E633D5FC6969}"/>
    <cellStyle name="Year 2 2 2 4" xfId="20791" xr:uid="{8C8E9280-74A5-42E5-96E4-8DCB148CAC74}"/>
    <cellStyle name="Year 2 2 2 4 2" xfId="20792" xr:uid="{1C1D6DF2-A728-4FDC-BDF9-5BB32C2FDF2B}"/>
    <cellStyle name="Year 2 2 2 5" xfId="20793" xr:uid="{CEA56130-CA34-4B8B-A0B7-11A83DC20268}"/>
    <cellStyle name="Year 2 2 2 5 2" xfId="20794" xr:uid="{E787AFAB-90E2-4874-B9BD-C8C0EB72226C}"/>
    <cellStyle name="Year 2 2 2 6" xfId="20795" xr:uid="{48A8CB57-986D-4DBA-AF38-B80BFB797B76}"/>
    <cellStyle name="Year 2 2 2 6 2" xfId="20796" xr:uid="{CA4516B0-3308-4899-90A8-E8ABB6EAEE44}"/>
    <cellStyle name="Year 2 2 2 7" xfId="20797" xr:uid="{9143D54D-61F1-45AF-BF0D-07B07DF38AE2}"/>
    <cellStyle name="Year 2 2 2 7 2" xfId="20798" xr:uid="{4276EBB2-DA76-4044-ABAA-2B6B8D6D404E}"/>
    <cellStyle name="Year 2 2 2 8" xfId="20799" xr:uid="{063AE049-A2ED-4A1F-97BB-993BF36EE338}"/>
    <cellStyle name="Year 2 2 2 8 2" xfId="20800" xr:uid="{5247C501-5E0D-44CD-AAEA-D5785A9FE952}"/>
    <cellStyle name="Year 2 2 2 9" xfId="20801" xr:uid="{45E0568C-CEDC-4793-A771-0F46D30FF63A}"/>
    <cellStyle name="Year 2 2 2 9 2" xfId="20802" xr:uid="{2FFC22D7-485F-472B-8E52-0801FF3D0991}"/>
    <cellStyle name="Year 2 2 3" xfId="20803" xr:uid="{2F0E9EA8-8DC6-4FE6-9872-2123AB861C44}"/>
    <cellStyle name="Year 2 2 3 2" xfId="20804" xr:uid="{0B27C81E-52D1-4938-BAF1-B5FF7106EF19}"/>
    <cellStyle name="Year 2 2 4" xfId="20805" xr:uid="{C5A01CCB-F128-4B6E-A4C7-B32BDE717037}"/>
    <cellStyle name="Year 2 2 4 2" xfId="20806" xr:uid="{68A0909E-0A9B-4E77-A5C1-0B8A0BFDBE21}"/>
    <cellStyle name="Year 2 2 5" xfId="20807" xr:uid="{1AE9C4FC-9449-42C0-A0DB-C927C219460F}"/>
    <cellStyle name="Year 2 2 5 2" xfId="20808" xr:uid="{4C534D4C-5910-4C69-AA0E-90085666C29A}"/>
    <cellStyle name="Year 2 2 6" xfId="20809" xr:uid="{3FEB05DA-0EFF-4658-9B0E-938C939E61FB}"/>
    <cellStyle name="Year 2 2 6 2" xfId="20810" xr:uid="{CE10D58F-CB2B-44C5-B44C-FC2FE80605D4}"/>
    <cellStyle name="Year 2 2 7" xfId="20811" xr:uid="{FAA8BA31-3194-4707-A210-B727465A8413}"/>
    <cellStyle name="Year 2 2 7 2" xfId="20812" xr:uid="{79BB1EF1-BDF8-4E87-8476-4F71A36EC9E0}"/>
    <cellStyle name="Year 2 2 8" xfId="20813" xr:uid="{42C23F21-812C-4ACA-B187-0B413DEB2278}"/>
    <cellStyle name="Year 2 3" xfId="20814" xr:uid="{9A67FE4D-1C50-4AD9-8BED-5CFCCF94FFB2}"/>
    <cellStyle name="Year 2 3 10" xfId="20815" xr:uid="{76327DE9-EB2F-4653-A489-303E6501E2C6}"/>
    <cellStyle name="Year 2 3 10 2" xfId="20816" xr:uid="{56848A82-5916-44FD-A683-7CBCB292C34A}"/>
    <cellStyle name="Year 2 3 11" xfId="20817" xr:uid="{18F0FB93-A7CE-402A-BBCB-5EFC251B5DB7}"/>
    <cellStyle name="Year 2 3 11 2" xfId="20818" xr:uid="{DFA3A77E-1696-4E20-BCD8-7D623865DC2A}"/>
    <cellStyle name="Year 2 3 12" xfId="20819" xr:uid="{EE41797C-9489-4643-94D9-CDDE8491F5E9}"/>
    <cellStyle name="Year 2 3 12 2" xfId="20820" xr:uid="{CC272EE7-DAB9-4DAB-8ABC-6168EDAB2185}"/>
    <cellStyle name="Year 2 3 13" xfId="20821" xr:uid="{39CE5373-BE9D-4735-BD36-38C4C2DC05E3}"/>
    <cellStyle name="Year 2 3 13 2" xfId="20822" xr:uid="{88A5F818-21CD-472D-8D42-CC811A680EFE}"/>
    <cellStyle name="Year 2 3 14" xfId="20823" xr:uid="{F4D972CC-8900-4E97-94CA-293358AEBBDA}"/>
    <cellStyle name="Year 2 3 14 2" xfId="20824" xr:uid="{CB059B43-3247-4506-BE80-369AB5566E25}"/>
    <cellStyle name="Year 2 3 15" xfId="20825" xr:uid="{9C6452BF-428D-4258-843D-8AED494F3E2A}"/>
    <cellStyle name="Year 2 3 15 2" xfId="20826" xr:uid="{BC6C254D-8F6E-409C-A434-60CA912B2A72}"/>
    <cellStyle name="Year 2 3 16" xfId="20827" xr:uid="{3EE633F3-A209-4344-9B2A-6AB3015FB6C9}"/>
    <cellStyle name="Year 2 3 16 2" xfId="20828" xr:uid="{17737ED4-3F71-40BB-932D-F19ABDA54BA9}"/>
    <cellStyle name="Year 2 3 17" xfId="20829" xr:uid="{056C4B93-8655-48B4-ACAE-1F837A4AF21C}"/>
    <cellStyle name="Year 2 3 17 2" xfId="20830" xr:uid="{9E102FC6-DE48-45D2-AFE3-D2D5EAA95BBE}"/>
    <cellStyle name="Year 2 3 18" xfId="20831" xr:uid="{F763C6F9-A8F2-447E-8FD1-0C3B795BA869}"/>
    <cellStyle name="Year 2 3 18 2" xfId="20832" xr:uid="{76CD6337-4B00-45C1-9FD4-28135570416D}"/>
    <cellStyle name="Year 2 3 19" xfId="20833" xr:uid="{BFA83F17-CE9E-4F7F-A17D-565FC693B88A}"/>
    <cellStyle name="Year 2 3 19 2" xfId="20834" xr:uid="{C37A3FE8-B72F-49D1-95F1-834FDED52980}"/>
    <cellStyle name="Year 2 3 2" xfId="20835" xr:uid="{0A44DDC9-B680-4A11-AAFF-DF402A80B867}"/>
    <cellStyle name="Year 2 3 2 2" xfId="20836" xr:uid="{7C33316A-05CC-4A4B-9601-077E953500F9}"/>
    <cellStyle name="Year 2 3 20" xfId="20837" xr:uid="{A3908A34-D370-4973-B22A-E12C79E7C56D}"/>
    <cellStyle name="Year 2 3 20 2" xfId="20838" xr:uid="{E8BA90DE-8923-4DCD-A072-8F7208DC7DED}"/>
    <cellStyle name="Year 2 3 21" xfId="20839" xr:uid="{E6DE47B5-9B0C-47C8-938F-D4E0C918FB7D}"/>
    <cellStyle name="Year 2 3 21 2" xfId="20840" xr:uid="{26497C8D-6005-4631-B3DA-5064DF14A5C2}"/>
    <cellStyle name="Year 2 3 22" xfId="20841" xr:uid="{D68A35BB-38B8-4B1B-96AC-D3F68E55F3A8}"/>
    <cellStyle name="Year 2 3 22 2" xfId="20842" xr:uid="{6E0D70FA-9843-4547-9D88-DF163795223F}"/>
    <cellStyle name="Year 2 3 23" xfId="20843" xr:uid="{649B4513-8B14-45EF-9F0A-9C20537378F3}"/>
    <cellStyle name="Year 2 3 3" xfId="20844" xr:uid="{E9C47A75-954F-4BE6-8A84-C003561C53F8}"/>
    <cellStyle name="Year 2 3 3 2" xfId="20845" xr:uid="{86518BDF-226A-4006-8F21-C70EDB8B2E96}"/>
    <cellStyle name="Year 2 3 4" xfId="20846" xr:uid="{82A2DF32-A9CD-42E9-B815-B337ED1799A7}"/>
    <cellStyle name="Year 2 3 4 2" xfId="20847" xr:uid="{1FB7BFD4-E6F2-47F1-9745-EA18A0285C4E}"/>
    <cellStyle name="Year 2 3 5" xfId="20848" xr:uid="{5C8BA01D-90F0-4AD4-8112-5E2EFEA74090}"/>
    <cellStyle name="Year 2 3 5 2" xfId="20849" xr:uid="{D2A13C15-111F-4F5E-8B75-B385957BE973}"/>
    <cellStyle name="Year 2 3 6" xfId="20850" xr:uid="{4225BC29-47DC-4BB4-8453-D0E443118BEB}"/>
    <cellStyle name="Year 2 3 6 2" xfId="20851" xr:uid="{2E01E047-C733-4E7C-87BE-37CD300A6A6A}"/>
    <cellStyle name="Year 2 3 7" xfId="20852" xr:uid="{8C131DFD-352F-4B06-9D3E-2E66C1402ED0}"/>
    <cellStyle name="Year 2 3 7 2" xfId="20853" xr:uid="{1A693895-C5C4-410D-8201-87951CA31C20}"/>
    <cellStyle name="Year 2 3 8" xfId="20854" xr:uid="{0E477A92-82D7-46BB-BEE9-94DE322B2CCE}"/>
    <cellStyle name="Year 2 3 8 2" xfId="20855" xr:uid="{7F39DCD5-F96F-422B-88D4-92691A15F903}"/>
    <cellStyle name="Year 2 3 9" xfId="20856" xr:uid="{C951ED41-20BA-437A-B30F-38DDFF1DA30C}"/>
    <cellStyle name="Year 2 3 9 2" xfId="20857" xr:uid="{92A2994A-77F7-4561-82BD-56FAE488C280}"/>
    <cellStyle name="Year 2 4" xfId="20858" xr:uid="{BA5285DF-7E5B-4D64-841F-C9A777B66758}"/>
    <cellStyle name="Year 2 4 2" xfId="20859" xr:uid="{8D613CBB-E75A-4FF1-8938-8ECC1D81558E}"/>
    <cellStyle name="Year 2 5" xfId="20860" xr:uid="{A7422C3D-0FC0-41CB-A82D-85F2C26E1274}"/>
    <cellStyle name="Year 2 5 2" xfId="20861" xr:uid="{A64401F0-A352-49E4-9B08-C6BB8256D005}"/>
    <cellStyle name="Year 2 6" xfId="20862" xr:uid="{159196BA-FABB-479C-BCE3-2A1D9433976F}"/>
    <cellStyle name="Year 2 6 2" xfId="20863" xr:uid="{BDFEA92B-28B6-4E9B-9CE3-9169C90ABB91}"/>
    <cellStyle name="Year 2 7" xfId="20864" xr:uid="{0073A625-A887-4FF2-A188-8E6CF8A9EF58}"/>
    <cellStyle name="Year 2 7 2" xfId="20865" xr:uid="{B28F5B32-D9D9-44F4-B8EC-C2202C9585D5}"/>
    <cellStyle name="Year 2 8" xfId="20866" xr:uid="{43C20890-A333-4D7F-923A-851E445A9C75}"/>
    <cellStyle name="Year 2 8 2" xfId="20867" xr:uid="{766FE0C8-F975-461B-8D64-E817B0BC325A}"/>
    <cellStyle name="Year 2 9" xfId="20868" xr:uid="{A5FE0DF4-1359-4F57-A07F-AAA371671AE7}"/>
    <cellStyle name="Year 3" xfId="20869" xr:uid="{C91B464D-70C5-4C44-BDFC-80637DBAF94E}"/>
    <cellStyle name="Year 3 2" xfId="20870" xr:uid="{0078DAAA-1267-4D63-97F8-B1F3FADD980F}"/>
    <cellStyle name="Year 3 2 10" xfId="20871" xr:uid="{9E9B8166-F5B0-49E8-A148-E134C7424351}"/>
    <cellStyle name="Year 3 2 10 2" xfId="20872" xr:uid="{BAB05625-0189-40F6-89E3-E0A267688C02}"/>
    <cellStyle name="Year 3 2 11" xfId="20873" xr:uid="{3539EE82-A21C-47FD-94EE-16544C24EFF3}"/>
    <cellStyle name="Year 3 2 11 2" xfId="20874" xr:uid="{688F835A-043B-4952-AAE5-07AB576B4412}"/>
    <cellStyle name="Year 3 2 12" xfId="20875" xr:uid="{181F9D46-8B52-46DF-8F19-0B3D1167E374}"/>
    <cellStyle name="Year 3 2 12 2" xfId="20876" xr:uid="{B4885D64-635F-4929-8FDB-CD789434483B}"/>
    <cellStyle name="Year 3 2 13" xfId="20877" xr:uid="{D82ABFA9-F032-41FE-BABC-85C65D138736}"/>
    <cellStyle name="Year 3 2 13 2" xfId="20878" xr:uid="{39A4D161-A018-4950-AD6C-75E1F01F3922}"/>
    <cellStyle name="Year 3 2 14" xfId="20879" xr:uid="{7812888C-0233-48BE-B29C-FE240CDC10DA}"/>
    <cellStyle name="Year 3 2 14 2" xfId="20880" xr:uid="{A984A742-0798-462C-A6A1-234EABB0BDC8}"/>
    <cellStyle name="Year 3 2 15" xfId="20881" xr:uid="{3D5FD14C-D3A8-44ED-88CC-5EA69B96A9A8}"/>
    <cellStyle name="Year 3 2 15 2" xfId="20882" xr:uid="{5C6EEA68-600D-4AF7-8671-B34F6EFB4028}"/>
    <cellStyle name="Year 3 2 16" xfId="20883" xr:uid="{4CD6D334-349B-427F-9200-DFA6BFC09C79}"/>
    <cellStyle name="Year 3 2 16 2" xfId="20884" xr:uid="{8EC4CD43-B1E5-4AA4-80D5-99B7E760DB84}"/>
    <cellStyle name="Year 3 2 17" xfId="20885" xr:uid="{CD124428-ACEE-4728-99D5-4C7BCB72A3E0}"/>
    <cellStyle name="Year 3 2 17 2" xfId="20886" xr:uid="{9D0F0B2E-2236-4CA8-868C-072E4A6D41C3}"/>
    <cellStyle name="Year 3 2 18" xfId="20887" xr:uid="{24C47EED-DDB2-4B0A-A2CB-ECE92AEF7F9F}"/>
    <cellStyle name="Year 3 2 18 2" xfId="20888" xr:uid="{C327E98E-0DB1-4F18-903C-49909F1C0343}"/>
    <cellStyle name="Year 3 2 19" xfId="20889" xr:uid="{6A4A5635-837E-455C-A9B0-A194B3BC1259}"/>
    <cellStyle name="Year 3 2 19 2" xfId="20890" xr:uid="{A693274F-E665-4926-9505-354D0402C0E7}"/>
    <cellStyle name="Year 3 2 2" xfId="20891" xr:uid="{7D9ACB86-58D8-4BF4-8A4C-ED79DF1BF86A}"/>
    <cellStyle name="Year 3 2 2 2" xfId="20892" xr:uid="{BA2D3DBC-5E71-494C-BBB1-3B085A60B43A}"/>
    <cellStyle name="Year 3 2 20" xfId="20893" xr:uid="{A3433C0C-77F6-4E89-9E67-3CDB34BE4CD2}"/>
    <cellStyle name="Year 3 2 20 2" xfId="20894" xr:uid="{9DBC7D97-24B7-43B1-8452-1309EBFEDF4C}"/>
    <cellStyle name="Year 3 2 21" xfId="20895" xr:uid="{2518F7D9-DCE9-456D-BE31-75997DE516B7}"/>
    <cellStyle name="Year 3 2 21 2" xfId="20896" xr:uid="{8841B9E6-5A82-4FD2-9F31-0701177728A2}"/>
    <cellStyle name="Year 3 2 22" xfId="20897" xr:uid="{B62016BB-67B7-4538-BAF8-928820638DC5}"/>
    <cellStyle name="Year 3 2 22 2" xfId="20898" xr:uid="{42EFE7AA-C716-4224-8F17-FCE7087D7AA7}"/>
    <cellStyle name="Year 3 2 23" xfId="20899" xr:uid="{8F69DF8A-6EEB-4B32-9627-7716AF9AE962}"/>
    <cellStyle name="Year 3 2 3" xfId="20900" xr:uid="{B330EB5A-6DC7-43FA-AB63-560DED9D38FE}"/>
    <cellStyle name="Year 3 2 3 2" xfId="20901" xr:uid="{BE7A2874-C2A6-4A64-9514-ED1185AF12FC}"/>
    <cellStyle name="Year 3 2 4" xfId="20902" xr:uid="{9F8A15E6-4597-4CCD-8E0C-DE19975D7F4C}"/>
    <cellStyle name="Year 3 2 4 2" xfId="20903" xr:uid="{1ECBDB20-D16F-4F66-9015-67E1DB63DE80}"/>
    <cellStyle name="Year 3 2 5" xfId="20904" xr:uid="{A0E97663-99AF-4980-994C-EED325D6DEE9}"/>
    <cellStyle name="Year 3 2 5 2" xfId="20905" xr:uid="{80AD463A-D138-4BD5-B421-38672FD3E44F}"/>
    <cellStyle name="Year 3 2 6" xfId="20906" xr:uid="{1F5A076D-9037-428A-B313-A4C7E9309AB1}"/>
    <cellStyle name="Year 3 2 6 2" xfId="20907" xr:uid="{19528BF7-3812-40AA-9360-3F5217A1D6FD}"/>
    <cellStyle name="Year 3 2 7" xfId="20908" xr:uid="{FC0DA708-0FBA-41DD-9EF9-728341E8C420}"/>
    <cellStyle name="Year 3 2 7 2" xfId="20909" xr:uid="{7F0BAABB-F789-4CFF-9B3B-BAF9FEFE9C0A}"/>
    <cellStyle name="Year 3 2 8" xfId="20910" xr:uid="{183A26BD-4A3E-4D56-9CED-13F43007760B}"/>
    <cellStyle name="Year 3 2 8 2" xfId="20911" xr:uid="{50683FDD-EBD6-40DB-A283-FFBEC1A07588}"/>
    <cellStyle name="Year 3 2 9" xfId="20912" xr:uid="{B19B2809-1977-4369-B8C9-1624261249B3}"/>
    <cellStyle name="Year 3 2 9 2" xfId="20913" xr:uid="{A96D2B21-21D7-4003-85F3-DAC148CBDC2E}"/>
    <cellStyle name="Year 3 3" xfId="20914" xr:uid="{AD9A1B00-D11D-4237-A18B-E8ADAE37EBAC}"/>
    <cellStyle name="Year 3 3 2" xfId="20915" xr:uid="{1BD4AEE2-78B1-41F3-8F3F-A6B4F4BBC6DE}"/>
    <cellStyle name="Year 3 4" xfId="20916" xr:uid="{3498B76D-6C8A-416A-A8BE-D1631E6245C1}"/>
    <cellStyle name="Year 3 4 2" xfId="20917" xr:uid="{CB752842-4DDD-4DD0-9C4E-671BFB55EC22}"/>
    <cellStyle name="Year 3 5" xfId="20918" xr:uid="{7AE48438-399C-4B13-A63B-22642DC624A8}"/>
    <cellStyle name="Year 3 5 2" xfId="20919" xr:uid="{A5B02C0D-79A6-4878-AFA1-4246550C6ED6}"/>
    <cellStyle name="Year 3 6" xfId="20920" xr:uid="{E66A6246-F6FE-4A93-981C-655C24B9109D}"/>
    <cellStyle name="Year 3 6 2" xfId="20921" xr:uid="{3DF3798E-4831-43A3-975E-6A0B4349F87A}"/>
    <cellStyle name="Year 3 7" xfId="20922" xr:uid="{D626D947-8D08-41F3-BDBA-624381C68E74}"/>
    <cellStyle name="Year 3 7 2" xfId="20923" xr:uid="{8F149F51-B4CF-46F6-A79F-49FE974E4E78}"/>
    <cellStyle name="Year 3 8" xfId="20924" xr:uid="{A45439DE-C9AA-474E-936B-3BE2EF2BF5EF}"/>
    <cellStyle name="Year 4" xfId="20925" xr:uid="{303CE954-4CC8-48EC-9983-0C69CD3CD5D2}"/>
    <cellStyle name="Year 4 2" xfId="20926" xr:uid="{651F662A-089B-430B-889A-0A62E9C7A514}"/>
    <cellStyle name="Year 4 2 10" xfId="20927" xr:uid="{2101AABB-9E31-4721-87DD-3E9732A4CBCF}"/>
    <cellStyle name="Year 4 2 10 2" xfId="20928" xr:uid="{652F711B-151F-430F-A448-C7D1B5589FC1}"/>
    <cellStyle name="Year 4 2 11" xfId="20929" xr:uid="{CDDD07A4-20B6-4BEA-8385-8C9B795A397F}"/>
    <cellStyle name="Year 4 2 11 2" xfId="20930" xr:uid="{15A5BA58-9544-4D15-AD00-FAE2AE7A7142}"/>
    <cellStyle name="Year 4 2 12" xfId="20931" xr:uid="{7E67CB50-A91C-4B22-BB2A-A3B9EE6EDC66}"/>
    <cellStyle name="Year 4 2 12 2" xfId="20932" xr:uid="{6E3D4D32-AA8B-4477-B177-E8346086B8EC}"/>
    <cellStyle name="Year 4 2 13" xfId="20933" xr:uid="{B4D9CB06-3A1C-4F26-8687-4AA101424252}"/>
    <cellStyle name="Year 4 2 13 2" xfId="20934" xr:uid="{B47CA6DD-2FA3-47E7-96D8-E6A713A5E313}"/>
    <cellStyle name="Year 4 2 14" xfId="20935" xr:uid="{AC3F9DFC-685C-4B17-BF7B-2512FFA7AA23}"/>
    <cellStyle name="Year 4 2 14 2" xfId="20936" xr:uid="{A1BDC59C-29A6-485C-9BBD-C9C71031C212}"/>
    <cellStyle name="Year 4 2 15" xfId="20937" xr:uid="{CEA5421C-D242-4B57-AAA5-BE84B5E01474}"/>
    <cellStyle name="Year 4 2 15 2" xfId="20938" xr:uid="{92EFEB77-45C1-4D7C-BC92-17CA506FF439}"/>
    <cellStyle name="Year 4 2 16" xfId="20939" xr:uid="{2D454CD0-59DD-4B0A-B6CE-D0309E34474A}"/>
    <cellStyle name="Year 4 2 16 2" xfId="20940" xr:uid="{60FA6F69-4216-4E1B-8626-1C04CCDF40E3}"/>
    <cellStyle name="Year 4 2 17" xfId="20941" xr:uid="{C8A4AFC4-F30B-48E8-B241-00AF56D244AB}"/>
    <cellStyle name="Year 4 2 17 2" xfId="20942" xr:uid="{E56023BD-BE55-4980-9090-6689F70EA8D5}"/>
    <cellStyle name="Year 4 2 18" xfId="20943" xr:uid="{2653D43D-B212-4D5D-B85B-C0F3D7BB166A}"/>
    <cellStyle name="Year 4 2 18 2" xfId="20944" xr:uid="{3716B47C-FFB8-4D3A-8D15-2D47DFB1DE87}"/>
    <cellStyle name="Year 4 2 19" xfId="20945" xr:uid="{9F0E42E9-A059-434A-9975-47DE91D4ED92}"/>
    <cellStyle name="Year 4 2 19 2" xfId="20946" xr:uid="{8D7D02CD-580E-45AE-9054-A633BE464FBE}"/>
    <cellStyle name="Year 4 2 2" xfId="20947" xr:uid="{FCD86C0E-9846-4179-97E0-3B87A7D55D1B}"/>
    <cellStyle name="Year 4 2 2 2" xfId="20948" xr:uid="{5F54FA40-8A40-431F-8F57-CAECD6B69B42}"/>
    <cellStyle name="Year 4 2 20" xfId="20949" xr:uid="{B8012007-3949-4C41-AA98-DC22EFBC57DE}"/>
    <cellStyle name="Year 4 2 20 2" xfId="20950" xr:uid="{FF30C787-78FD-4157-97FB-740A80C3C8D4}"/>
    <cellStyle name="Year 4 2 21" xfId="20951" xr:uid="{AA42E2A4-DF88-4915-B32A-B52E1989791F}"/>
    <cellStyle name="Year 4 2 21 2" xfId="20952" xr:uid="{BA2B2EC7-3FF3-4241-AAE1-5F6A47A0C688}"/>
    <cellStyle name="Year 4 2 22" xfId="20953" xr:uid="{D6700B66-8E27-49AF-A6D8-3A2BD334653C}"/>
    <cellStyle name="Year 4 2 22 2" xfId="20954" xr:uid="{C2ED3663-C603-48A8-9205-E9D644EDD515}"/>
    <cellStyle name="Year 4 2 23" xfId="20955" xr:uid="{B1C9BF9A-87EA-43E7-B9D8-B29C4EFE3EA0}"/>
    <cellStyle name="Year 4 2 3" xfId="20956" xr:uid="{F4B850A8-B36A-452F-BB78-71F17E3C5FCB}"/>
    <cellStyle name="Year 4 2 3 2" xfId="20957" xr:uid="{71682D2F-AFFA-4EDA-BDCD-0B14535FF297}"/>
    <cellStyle name="Year 4 2 4" xfId="20958" xr:uid="{18A0EABE-5DA0-4BD1-9964-853CE1D29AD9}"/>
    <cellStyle name="Year 4 2 4 2" xfId="20959" xr:uid="{CBE39A58-8A8D-4387-90AE-E3FB051F712D}"/>
    <cellStyle name="Year 4 2 5" xfId="20960" xr:uid="{4C1D7DF8-5147-48AF-8B7D-6C9024D8C779}"/>
    <cellStyle name="Year 4 2 5 2" xfId="20961" xr:uid="{5698AEB2-75CE-466B-8BE0-C0774A27B710}"/>
    <cellStyle name="Year 4 2 6" xfId="20962" xr:uid="{00A0B0FC-1BB4-4E24-A760-E90D74C89F98}"/>
    <cellStyle name="Year 4 2 6 2" xfId="20963" xr:uid="{ABAAE8C3-7713-44C2-BC8C-EDDEC011A8F4}"/>
    <cellStyle name="Year 4 2 7" xfId="20964" xr:uid="{9ACAB0D9-B655-400D-958B-D162E662B13A}"/>
    <cellStyle name="Year 4 2 7 2" xfId="20965" xr:uid="{9D97552C-77C3-4C4C-9593-1C714B21C167}"/>
    <cellStyle name="Year 4 2 8" xfId="20966" xr:uid="{A93F2B01-9547-4F62-9597-FA8EBE2FD938}"/>
    <cellStyle name="Year 4 2 8 2" xfId="20967" xr:uid="{A7D8C2F7-AFD2-49B7-8DF9-CBE6770FF9C1}"/>
    <cellStyle name="Year 4 2 9" xfId="20968" xr:uid="{597BE5A2-96D1-4BFA-A69C-F53BE8578DF3}"/>
    <cellStyle name="Year 4 2 9 2" xfId="20969" xr:uid="{86A5EEB7-57DF-4FBF-9F9A-62A9A50EE4D8}"/>
    <cellStyle name="Year 4 3" xfId="20970" xr:uid="{190017C4-29B8-40FB-9A10-3F988585C788}"/>
    <cellStyle name="Year 4 3 2" xfId="20971" xr:uid="{FB5F17A1-0178-4A22-8D91-C930D9BB881C}"/>
    <cellStyle name="Year 4 4" xfId="20972" xr:uid="{3D62133D-33A6-4E32-BFA7-D076E0BBC210}"/>
    <cellStyle name="Year 4 4 2" xfId="20973" xr:uid="{529313A0-DE27-4769-918C-49F3E2167F59}"/>
    <cellStyle name="Year 4 5" xfId="20974" xr:uid="{3BDC4E75-CCE2-4AB8-BAD7-2D23673E1D2B}"/>
    <cellStyle name="Year 4 5 2" xfId="20975" xr:uid="{DB85A311-DDB4-480B-9D2C-A98C89D2F6D2}"/>
    <cellStyle name="Year 4 6" xfId="20976" xr:uid="{CA55B9E2-58F7-46BB-BF0A-AAE1FECBB080}"/>
    <cellStyle name="Year 4 6 2" xfId="20977" xr:uid="{480E898F-DA72-495E-BC5E-DA7CBE302134}"/>
    <cellStyle name="Year 4 7" xfId="20978" xr:uid="{DC6B9247-68E6-4609-8727-F14028CA2010}"/>
    <cellStyle name="Year 4 7 2" xfId="20979" xr:uid="{E77C58AE-CF72-4A61-858B-45D533F42627}"/>
    <cellStyle name="Year 4 8" xfId="20980" xr:uid="{D9A7A811-9AD4-4226-98EE-E48AEC5853B5}"/>
    <cellStyle name="Year 5" xfId="20981" xr:uid="{9B34A318-8B84-41B2-B40D-5640EA09C732}"/>
    <cellStyle name="Year 5 10" xfId="20982" xr:uid="{FD9FB32A-5A70-4181-9034-DB3AAF6F252D}"/>
    <cellStyle name="Year 5 10 2" xfId="20983" xr:uid="{36E13D3B-1691-48F2-B970-DCB16ED02AF3}"/>
    <cellStyle name="Year 5 11" xfId="20984" xr:uid="{BA5A229A-86EA-4BF5-9BA7-F6527528EED5}"/>
    <cellStyle name="Year 5 11 2" xfId="20985" xr:uid="{336CE4CE-5FAA-4697-9A5A-3B174E32BBBD}"/>
    <cellStyle name="Year 5 12" xfId="20986" xr:uid="{A4540BB6-510B-4500-8CBF-2268A9BCCF5B}"/>
    <cellStyle name="Year 5 12 2" xfId="20987" xr:uid="{B4D8FF93-B318-44D2-AB41-E1CB4CE08798}"/>
    <cellStyle name="Year 5 13" xfId="20988" xr:uid="{01C044BF-5C74-4E9B-9465-4C378B0F362C}"/>
    <cellStyle name="Year 5 13 2" xfId="20989" xr:uid="{D0BDC4AB-0A0B-4168-A335-1CF926901E46}"/>
    <cellStyle name="Year 5 14" xfId="20990" xr:uid="{0DDB99FD-DCDF-48C3-87F1-BBFDB087C94F}"/>
    <cellStyle name="Year 5 14 2" xfId="20991" xr:uid="{BF1BA436-6106-4C75-B122-C88F384F3401}"/>
    <cellStyle name="Year 5 15" xfId="20992" xr:uid="{908512A7-1900-486F-A03D-6799B9FFD7E9}"/>
    <cellStyle name="Year 5 15 2" xfId="20993" xr:uid="{027EC5D4-1563-4D48-8BEB-1495426B95E7}"/>
    <cellStyle name="Year 5 16" xfId="20994" xr:uid="{4B4E5569-5252-4E78-9AAC-33970411B3F6}"/>
    <cellStyle name="Year 5 16 2" xfId="20995" xr:uid="{810B9C73-C157-4C60-9FDD-8E203B527606}"/>
    <cellStyle name="Year 5 17" xfId="20996" xr:uid="{4EF6F700-75EE-4C00-9E21-54ABC108950E}"/>
    <cellStyle name="Year 5 17 2" xfId="20997" xr:uid="{E2E27AC2-65B1-4388-993D-8A6ADE288DDD}"/>
    <cellStyle name="Year 5 18" xfId="20998" xr:uid="{EEEBF136-C52E-4338-AF0B-49EF02CBDB49}"/>
    <cellStyle name="Year 5 18 2" xfId="20999" xr:uid="{33ECBD82-ECC4-4606-8363-0425F8CBFECD}"/>
    <cellStyle name="Year 5 19" xfId="21000" xr:uid="{4DCABB6B-3FF9-4B06-87BD-8A226451813E}"/>
    <cellStyle name="Year 5 19 2" xfId="21001" xr:uid="{776B74DF-5B1D-408B-B5D7-A7132D603867}"/>
    <cellStyle name="Year 5 2" xfId="21002" xr:uid="{E23E8A01-F9F8-4B11-9190-938A6D1B3FD9}"/>
    <cellStyle name="Year 5 2 2" xfId="21003" xr:uid="{C35B27A6-437D-4209-A9C4-06273D11983C}"/>
    <cellStyle name="Year 5 20" xfId="21004" xr:uid="{23EE509B-87D2-4BDC-8320-99A9CB73695E}"/>
    <cellStyle name="Year 5 20 2" xfId="21005" xr:uid="{7FDCEBD1-2693-441B-8B2D-359C47918865}"/>
    <cellStyle name="Year 5 21" xfId="21006" xr:uid="{28636586-4DEE-48F1-A880-0729B11734B0}"/>
    <cellStyle name="Year 5 21 2" xfId="21007" xr:uid="{5D34A146-0F81-4E5A-AB36-467DA261D378}"/>
    <cellStyle name="Year 5 22" xfId="21008" xr:uid="{1ED6F43A-16A4-43DC-9561-1A5F27CBDAAD}"/>
    <cellStyle name="Year 5 22 2" xfId="21009" xr:uid="{E2349AB0-80D1-4DDA-BAEE-3A9CF88C3CB8}"/>
    <cellStyle name="Year 5 23" xfId="21010" xr:uid="{3B8F279E-AC0C-43C3-BABC-EE0877778D65}"/>
    <cellStyle name="Year 5 3" xfId="21011" xr:uid="{F044BB33-6589-4184-B7B9-FF63E8B505FF}"/>
    <cellStyle name="Year 5 3 2" xfId="21012" xr:uid="{190619D3-91F9-42AD-A7FE-E4FE0C9AEA13}"/>
    <cellStyle name="Year 5 4" xfId="21013" xr:uid="{0A6E0733-9C0A-4D4B-B83E-5EE6A2629382}"/>
    <cellStyle name="Year 5 4 2" xfId="21014" xr:uid="{48DD4F78-A646-4BA3-ABCC-F75B920C2E6E}"/>
    <cellStyle name="Year 5 5" xfId="21015" xr:uid="{09EF3AB5-30B0-44D3-9D87-FED8F10ECC10}"/>
    <cellStyle name="Year 5 5 2" xfId="21016" xr:uid="{91CDB305-C4EC-487A-AA62-0B3ECB71F8E5}"/>
    <cellStyle name="Year 5 6" xfId="21017" xr:uid="{284017A7-FABF-4D7E-884E-D2D264C28213}"/>
    <cellStyle name="Year 5 6 2" xfId="21018" xr:uid="{68484884-44E3-462A-8A71-6FDC0C93ABDE}"/>
    <cellStyle name="Year 5 7" xfId="21019" xr:uid="{D513A016-5825-4314-B05D-85F3173E8B77}"/>
    <cellStyle name="Year 5 7 2" xfId="21020" xr:uid="{CC959AFA-D48B-460E-B7AF-33FCED1147D3}"/>
    <cellStyle name="Year 5 8" xfId="21021" xr:uid="{B9611F49-9F39-4E5F-B238-1FFF5DAE2CCC}"/>
    <cellStyle name="Year 5 8 2" xfId="21022" xr:uid="{85772EE7-8AF2-4075-9424-9008B82D7F83}"/>
    <cellStyle name="Year 5 9" xfId="21023" xr:uid="{C0014003-4E6C-4488-B635-AB8B875EBDD9}"/>
    <cellStyle name="Year 5 9 2" xfId="21024" xr:uid="{8E54F115-FD26-428B-86C3-6FE771D5BD79}"/>
    <cellStyle name="Year 6" xfId="21025" xr:uid="{0F728E24-369D-4494-84D8-E985CA17D5D5}"/>
    <cellStyle name="Year 6 2" xfId="21026" xr:uid="{B00BF7C5-8A09-469D-9CA6-1C715ACA3814}"/>
    <cellStyle name="Year 7" xfId="21027" xr:uid="{E0BD9E74-9D58-4B42-AE26-0E2CDB68B9E3}"/>
    <cellStyle name="Year 7 2" xfId="21028" xr:uid="{810361AC-606C-4F4C-8141-63221959CAA2}"/>
    <cellStyle name="Year 8" xfId="21029" xr:uid="{ACCA5B3A-2643-44A2-A5B8-DD5219016B8C}"/>
    <cellStyle name="Yen" xfId="21030" xr:uid="{1E238E7E-9CD2-4451-9F6D-B0B2D2E196B0}"/>
    <cellStyle name="yy/mm/dd" xfId="21031" xr:uid="{A2F23D1B-F096-4C59-BA0A-C2F68FFA705F}"/>
    <cellStyle name="z _x0001_*_x001c_b" xfId="21032" xr:uid="{912405CD-CB3C-44F0-A064-4688C6F1CB48}"/>
    <cellStyle name="z_x0009__x0001_*_x001c_b" xfId="21033" xr:uid="{E9EAD039-E054-4FB9-B96D-9D61C1A37C3D}"/>
    <cellStyle name="μU¿¡ ¿A´A CIAIÆU¸μAⓒ" xfId="21034" xr:uid="{7688DE37-252F-4546-89FE-F687F7E69065}"/>
    <cellStyle name="Денежный_CIS P32E Mar 2006" xfId="21035" xr:uid="{99A922A1-DA4B-459A-8ED0-5320D8A0A770}"/>
    <cellStyle name="Њ…‹жђШ‚и [0.00]_l200" xfId="21036" xr:uid="{D242448D-3B26-4495-AD9D-1799A85E40E9}"/>
    <cellStyle name="Њ…‹жђШ‚и_l200" xfId="21037" xr:uid="{557F7248-C2E2-4A11-AF27-651EE53512A8}"/>
    <cellStyle name="Обычный_350Z_PriceBreakdown2005" xfId="21038" xr:uid="{1116D64D-9D04-4F7C-A7AD-9480AE084365}"/>
    <cellStyle name="Финансовый [0]_A33  VIVA May 2004" xfId="21039" xr:uid="{09523DF3-3CFF-4787-84A9-E91E4B211FD0}"/>
    <cellStyle name="Финансовый_350Z_PriceBreakdown2005" xfId="21040" xr:uid="{811FFD78-B195-4B97-BB21-FA86EF172D85}"/>
    <cellStyle name="アクセント 1 2" xfId="21041" xr:uid="{613EF92C-8615-4C8D-8B24-343BDFCDE58F}"/>
    <cellStyle name="アクセント 1 2 2" xfId="21042" xr:uid="{1D2AF831-222B-496E-A1AC-43864783A66E}"/>
    <cellStyle name="アクセント 1 3" xfId="21043" xr:uid="{4B6B0D81-B22B-4DC4-810C-0D1E687185A3}"/>
    <cellStyle name="アクセント 2 2" xfId="21044" xr:uid="{C4D9D60A-8E91-41D6-9BCF-ADF3131511D2}"/>
    <cellStyle name="アクセント 2 2 2" xfId="21045" xr:uid="{001F24F8-77DD-4CE8-BF61-B344B49449B4}"/>
    <cellStyle name="アクセント 2 3" xfId="21046" xr:uid="{60FE2935-90DD-424F-87AA-A82B7E1229C5}"/>
    <cellStyle name="アクセント 3 2" xfId="21047" xr:uid="{1A940B7F-00EE-4820-9DFA-E92EA9432C14}"/>
    <cellStyle name="アクセント 3 2 2" xfId="21048" xr:uid="{2D99E951-5892-4AC4-8D33-5B0D1B9784DC}"/>
    <cellStyle name="アクセント 3 3" xfId="21049" xr:uid="{7EC97B26-C377-4E65-842B-CF907A5D30DE}"/>
    <cellStyle name="アクセント 4 2" xfId="21050" xr:uid="{7D86E13C-5D63-4B82-AB97-E84A9EC308B1}"/>
    <cellStyle name="アクセント 4 2 2" xfId="21051" xr:uid="{CBE3795A-177F-40ED-87CA-BDD76717E819}"/>
    <cellStyle name="アクセント 4 3" xfId="21052" xr:uid="{03E125A1-7893-491A-AB5A-2CE7D2D1D4CB}"/>
    <cellStyle name="アクセント 5 2" xfId="21053" xr:uid="{BF319B01-896F-47F3-A7D7-C65B6212760D}"/>
    <cellStyle name="アクセント 5 2 2" xfId="21054" xr:uid="{E611B29B-CF96-4BBE-AB42-4BE2BDE0CA3A}"/>
    <cellStyle name="アクセント 5 3" xfId="21055" xr:uid="{9D3A83F5-80B2-417B-AB09-712598A9FB37}"/>
    <cellStyle name="アクセント 6 2" xfId="21056" xr:uid="{1774AEF6-BBC8-4850-8E9C-69705BF1D703}"/>
    <cellStyle name="アクセント 6 2 2" xfId="21057" xr:uid="{32D96078-24B2-4DCB-9F0A-D247B39339C5}"/>
    <cellStyle name="アクセント 6 3" xfId="21058" xr:uid="{1A344483-F3F0-4746-B4A2-C0E674475CCF}"/>
    <cellStyle name="いん" xfId="21059" xr:uid="{6D67B1BB-6FCB-42DF-9827-5D491B2E6B69}"/>
    <cellStyle name="ｳfｹ・[0]_anems_block_list186" xfId="21060" xr:uid="{ED1E4DDC-A5BD-47D5-A966-CC70FCC8CF27}"/>
    <cellStyle name="ｳfｹanems_block_list186" xfId="21061" xr:uid="{6BA67E21-2A76-4626-B578-DDCA15F6585D}"/>
    <cellStyle name="ｳfｹBook1" xfId="21062" xr:uid="{D3C2090E-7DF7-4BD6-BC68-639F556CBBEC}"/>
    <cellStyle name="ｳfｹBook1 2" xfId="21063" xr:uid="{2A8564A4-FB0F-4FB5-85F1-96AEFA40A161}"/>
    <cellStyle name="ｳfｹBook1 3" xfId="21064" xr:uid="{F5ACF22F-0562-48A3-B803-7EA1AE797A34}"/>
    <cellStyle name="ｳfｹCefiro" xfId="21065" xr:uid="{D995DD61-8F8D-46A6-ACB3-4EE1C019D0A1}"/>
    <cellStyle name="ｳfｹE18639" xfId="21066" xr:uid="{809E27B0-5026-4612-ACCF-F93EA179047D}"/>
    <cellStyle name="ｳfｹE18639 2" xfId="21067" xr:uid="{A7CF04B6-2A79-4702-977E-AA800B1C3303}"/>
    <cellStyle name="ｳfｹE18639 3" xfId="21068" xr:uid="{BB956EB8-4E9E-4176-A7FB-AFB7CC2EC811}"/>
    <cellStyle name="ｳfｹM segment" xfId="21069" xr:uid="{606B96B9-ADB4-475C-BFAA-BBF30B6C5E62}"/>
    <cellStyle name="ｳfｹP186_001213EUR" xfId="21070" xr:uid="{6ABD0D89-2572-4A9D-A191-16E033FF2E74}"/>
    <cellStyle name="ｳfｹP4TR1_1219carunit" xfId="21071" xr:uid="{24850AAC-7D64-4CBE-80FE-DB896E93F0B8}"/>
    <cellStyle name="ｳfｹPT1ORDER" xfId="21072" xr:uid="{0F488434-8410-4A0D-B4FC-51EE982F1ED2}"/>
    <cellStyle name="ｳfｹS segment" xfId="21073" xr:uid="{F1CE13B0-CED7-4227-B7D9-8239C157866C}"/>
    <cellStyle name="ｳfｹtZR_39_KV1010219" xfId="21074" xr:uid="{6ADCD8B2-AF06-4457-81FD-03F4DD8DEA77}"/>
    <cellStyle name="ｳｬｼｶﾁｴｽﾓ" xfId="21075" xr:uid="{CA0BFD7F-3065-4C34-82DB-BC50D49171EE}"/>
    <cellStyle name="ォ遽_啗" xfId="21076" xr:uid="{DEF41E37-1460-4E60-8589-B64EEEBA2904}"/>
    <cellStyle name="ｶWｳsｵｲ" xfId="21077" xr:uid="{7D46C8BE-3C53-4F66-A1E8-9F8F194B7D8E}"/>
    <cellStyle name="ｹ鮗ﾐﾀｲ_ｰ豼ｵﾁ･" xfId="21078" xr:uid="{AC82D952-27EB-44D3-8343-9323F04B4AFA}"/>
    <cellStyle name="ｺﾌｳｬｼｶﾁｴｽﾓ" xfId="21079" xr:uid="{DD7454EF-3EE0-4F36-95F2-0273474D54DF}"/>
    <cellStyle name="ｼﾐｷﾇ_??､ﾆ???" xfId="21080" xr:uid="{0705589E-7161-45C6-B663-2653B440111D}"/>
    <cellStyle name="ｽｰﾊﾟｰ標準" xfId="21081" xr:uid="{68D3625C-8E07-484B-9580-5BAB597F34BA}"/>
    <cellStyle name="スタイル 1" xfId="21082" xr:uid="{92CF08F6-B976-4DEF-8895-7D512316B762}"/>
    <cellStyle name="スタイル 1 2" xfId="21083" xr:uid="{5253E711-46F2-4CD8-8E31-3B1CE4CA2A3E}"/>
    <cellStyle name="スタイル 1 2 2" xfId="21084" xr:uid="{BDEED188-4C4F-4493-9259-3CF0101D6E1A}"/>
    <cellStyle name="スタイル 1 2 2 2" xfId="21085" xr:uid="{03A36E12-2D80-48D3-B09A-71AF06D60FFA}"/>
    <cellStyle name="スタイル 1 2 2 2 2" xfId="21086" xr:uid="{E327FA82-711A-434B-B513-AF7E6AE5DB66}"/>
    <cellStyle name="スタイル 1 2 2 2 2 2" xfId="21087" xr:uid="{97EC5006-FA61-4170-BE27-3A16EBECBFD8}"/>
    <cellStyle name="スタイル 1 2 2 2 2 2 2" xfId="26426" xr:uid="{92FFD29B-5BCD-48C5-B914-C3EDBEF58737}"/>
    <cellStyle name="スタイル 1 2 2 2 3" xfId="21088" xr:uid="{E2228D97-2123-4465-B4C6-3C84BBF5DA5E}"/>
    <cellStyle name="スタイル 1 2 2 2 4" xfId="21089" xr:uid="{5BC5EC01-4047-4430-899F-F66B6BDDFF84}"/>
    <cellStyle name="スタイル 1 2 2 2 4 2" xfId="26427" xr:uid="{1ADED118-E06A-4663-80BA-FD5DBC883B67}"/>
    <cellStyle name="スタイル 1 2 3" xfId="21090" xr:uid="{DA1D810F-ABF1-42B1-AE75-67F982DAB760}"/>
    <cellStyle name="スタイル 1 2 3 2" xfId="21091" xr:uid="{255DF96F-D0C5-437D-B218-7BCD19AC19F5}"/>
    <cellStyle name="スタイル 1 2 3 2 2" xfId="21092" xr:uid="{2793DB59-C640-4EDE-B282-58450F8410B3}"/>
    <cellStyle name="スタイル 1 2 3 2 2 2" xfId="26428" xr:uid="{6A10CAD2-F145-4DB6-A236-4C8A21342621}"/>
    <cellStyle name="スタイル 1 2 3 3" xfId="21093" xr:uid="{A0FD65B7-7F79-416D-82C2-96C39ADF8466}"/>
    <cellStyle name="スタイル 1 2_FY13 Budget Simulation Excel PKG for Auto by company" xfId="21094" xr:uid="{4626710E-78E2-4F19-853E-DC5DB5C451DB}"/>
    <cellStyle name="スタイル 1 3" xfId="21095" xr:uid="{F643F887-CC95-4108-A134-BEEDC40693C1}"/>
    <cellStyle name="スタイル 1 3 2" xfId="21096" xr:uid="{F6874CE5-5FCD-4C80-996F-1C16EA5E66F8}"/>
    <cellStyle name="スタイル 1 3 2 2" xfId="21097" xr:uid="{53D3972D-10CD-4473-BC68-EC39F9D0433B}"/>
    <cellStyle name="スタイル 1 3 2 2 2" xfId="26429" xr:uid="{D3D3120D-7082-445A-BA22-0317F6467F13}"/>
    <cellStyle name="スタイル 1 3 3" xfId="21098" xr:uid="{87E05899-9C22-4F96-A6A1-E9188E7723D8}"/>
    <cellStyle name="スタイル 1 4" xfId="21099" xr:uid="{C17A3909-C56F-4E0A-ACFD-4110966424BE}"/>
    <cellStyle name="スタイル 1 4 2" xfId="21100" xr:uid="{CCCAFB04-9BA3-426D-A081-8C1504D5071E}"/>
    <cellStyle name="スタイル 1 4 2 2" xfId="21101" xr:uid="{46BAF78E-E224-4D5B-A83C-E72950E3D05F}"/>
    <cellStyle name="スタイル 1 4 2 2 2" xfId="26430" xr:uid="{AAE04E6F-2E53-4AC6-9438-E81F47792D4E}"/>
    <cellStyle name="スタイル 1 4 3" xfId="21102" xr:uid="{A453C015-373A-4A91-BCDE-65B45BBF6973}"/>
    <cellStyle name="スタイル 1 4 3 2" xfId="26431" xr:uid="{42209E38-CF67-48A4-847B-99947F54010E}"/>
    <cellStyle name="スタイル 1 5" xfId="21103" xr:uid="{BAB5BF46-42C7-48DA-B44C-9D3F82002255}"/>
    <cellStyle name="スタイル 1 6" xfId="21104" xr:uid="{70C2A04B-C6CF-4232-9997-BF4590213161}"/>
    <cellStyle name="スタイル 1 7" xfId="21105" xr:uid="{E6CF1FA9-3401-447E-86D5-37F16F3C2DE2}"/>
    <cellStyle name="スタイル 1 8" xfId="21106" xr:uid="{6F0CA394-04BA-4844-89E0-D4B8AF401661}"/>
    <cellStyle name="スタイル 1 9" xfId="21107" xr:uid="{C304910D-7539-40CE-967A-079166ED9B4D}"/>
    <cellStyle name="スタイル 10" xfId="21108" xr:uid="{67F56CB4-011D-4075-8E7D-2996CF0E144B}"/>
    <cellStyle name="スタイル 10 2" xfId="21109" xr:uid="{83D3047C-7909-4544-B604-5DE854D76C7B}"/>
    <cellStyle name="スタイル 100" xfId="21110" xr:uid="{C0F9BE48-EB7C-4333-80E7-8FAFAB56244A}"/>
    <cellStyle name="スタイル 101" xfId="21111" xr:uid="{2887B573-7608-46B3-AE86-E5F84467B0E6}"/>
    <cellStyle name="スタイル 102" xfId="21112" xr:uid="{6EF29E9C-8606-47F5-BBAA-17F9338FD3AD}"/>
    <cellStyle name="スタイル 103" xfId="21113" xr:uid="{6271DCE8-BFE3-496D-BEA5-52F3823B5E07}"/>
    <cellStyle name="スタイル 104" xfId="21114" xr:uid="{7D8E90BB-873D-4A33-9F37-4D185FE3DDE5}"/>
    <cellStyle name="スタイル 105" xfId="21115" xr:uid="{FB270722-3201-4CF5-9B96-629B23D788B0}"/>
    <cellStyle name="スタイル 106" xfId="21116" xr:uid="{FFC94259-B531-492E-BFCC-E0C213F71FF3}"/>
    <cellStyle name="スタイル 107" xfId="21117" xr:uid="{7241BCB2-90CE-4F54-B10B-54E3A5B9D2FB}"/>
    <cellStyle name="スタイル 108" xfId="21118" xr:uid="{12C7515E-77FF-45D1-B218-227A64C00999}"/>
    <cellStyle name="スタイル 109" xfId="21119" xr:uid="{81857A0D-9378-4002-B5C1-5EF2D994D557}"/>
    <cellStyle name="スタイル 11" xfId="21120" xr:uid="{4CD00786-B1FF-406C-B9E1-FBD3ABBAED77}"/>
    <cellStyle name="スタイル 11 2" xfId="21121" xr:uid="{9D7EA0A5-83C6-4867-899C-EF1FB1F13E5E}"/>
    <cellStyle name="スタイル 110" xfId="21122" xr:uid="{468E11BB-5841-4DC7-B1B5-81428FBC1740}"/>
    <cellStyle name="スタイル 111" xfId="21123" xr:uid="{7DC18100-3BC2-4313-9EF9-4E430352AA7F}"/>
    <cellStyle name="スタイル 112" xfId="21124" xr:uid="{FD5FD7B4-CD64-4ED8-A5EF-442017A9819C}"/>
    <cellStyle name="スタイル 113" xfId="21125" xr:uid="{602185F7-CECF-4F97-AEFC-02609B724EE8}"/>
    <cellStyle name="スタイル 114" xfId="21126" xr:uid="{5BEB2F01-772E-4482-AD4E-3452D761EC0D}"/>
    <cellStyle name="スタイル 115" xfId="21127" xr:uid="{2C90FBD1-77CC-4A33-BB1D-2D068A3BB690}"/>
    <cellStyle name="スタイル 116" xfId="21128" xr:uid="{A952CE73-2BEC-4109-9F3A-95266BFBD396}"/>
    <cellStyle name="スタイル 117" xfId="21129" xr:uid="{0444A402-6D2B-41AD-AABF-0FEA59762E73}"/>
    <cellStyle name="スタイル 118" xfId="21130" xr:uid="{8B39F21D-A425-4C3E-B76E-1B82FD0723ED}"/>
    <cellStyle name="スタイル 119" xfId="21131" xr:uid="{936ED1D7-3855-4E47-8BC4-EF90EE8EB40C}"/>
    <cellStyle name="スタイル 12" xfId="21132" xr:uid="{8E64E028-785B-434E-8AAA-22462589F883}"/>
    <cellStyle name="スタイル 12 2" xfId="21133" xr:uid="{89A81228-0316-4211-9D2B-74B11BE91445}"/>
    <cellStyle name="スタイル 120" xfId="21134" xr:uid="{99E3594A-AD1C-430B-8D62-C982CC9F4224}"/>
    <cellStyle name="スタイル 121" xfId="21135" xr:uid="{F799CB73-144E-429B-8827-F082FEB0177F}"/>
    <cellStyle name="スタイル 122" xfId="21136" xr:uid="{48791277-6406-4D53-A31D-8109E5BBC99B}"/>
    <cellStyle name="スタイル 123" xfId="21137" xr:uid="{4A4D35B7-A31A-4DA2-BCBB-9FCBD5F611B4}"/>
    <cellStyle name="スタイル 124" xfId="21138" xr:uid="{31991AA9-3A2C-485C-AACC-11FA9D3F4C66}"/>
    <cellStyle name="スタイル 125" xfId="21139" xr:uid="{3F0C7FCA-4E83-4419-A6C8-0CF0BBFEFCD3}"/>
    <cellStyle name="スタイル 126" xfId="21140" xr:uid="{9F3DDC0C-3B02-4B7C-B9AE-DCE00E1F29F1}"/>
    <cellStyle name="スタイル 127" xfId="21141" xr:uid="{A87E2DFB-87E1-4E7D-9692-5D86D0F21782}"/>
    <cellStyle name="スタイル 128" xfId="21142" xr:uid="{36AF88DD-17F4-43C0-AEAF-883E8CEBC884}"/>
    <cellStyle name="スタイル 129" xfId="21143" xr:uid="{36C83AF1-A05A-4115-845A-F8C65A256155}"/>
    <cellStyle name="スタイル 13" xfId="21144" xr:uid="{4C8BDD55-4651-4443-A604-7368C86C1A91}"/>
    <cellStyle name="スタイル 13 2" xfId="21145" xr:uid="{7DD5F3FB-18CA-4EC8-9A22-9E8B2B184058}"/>
    <cellStyle name="スタイル 130" xfId="21146" xr:uid="{C056BC61-8D4F-45F4-BC57-C8B98BEB539F}"/>
    <cellStyle name="スタイル 131" xfId="21147" xr:uid="{B8D495CC-F03A-47E7-B7CE-3091AFC0F790}"/>
    <cellStyle name="スタイル 132" xfId="21148" xr:uid="{EFC2820D-778C-4EDE-9A48-7CFDD57A707C}"/>
    <cellStyle name="スタイル 133" xfId="21149" xr:uid="{A07918F5-EBE2-4B54-9EE1-02DBF1CD1606}"/>
    <cellStyle name="スタイル 134" xfId="21150" xr:uid="{A9EAC980-5C51-4195-BAA4-1C452D253671}"/>
    <cellStyle name="スタイル 135" xfId="21151" xr:uid="{4C6032E3-2E0D-4EC5-903E-1CA1CD39859C}"/>
    <cellStyle name="スタイル 136" xfId="21152" xr:uid="{173001E9-2C34-4C7D-B333-74F920B4EE78}"/>
    <cellStyle name="スタイル 137" xfId="21153" xr:uid="{435924A1-275C-49BD-97A2-D776DE365A57}"/>
    <cellStyle name="スタイル 138" xfId="21154" xr:uid="{A32500A0-EA28-41F4-8E04-CB59CFC9CCD9}"/>
    <cellStyle name="スタイル 139" xfId="21155" xr:uid="{52EDFFCA-5F63-4413-A7C9-1903DDE5BF7F}"/>
    <cellStyle name="スタイル 14" xfId="21156" xr:uid="{209BE4B8-B8D7-4A3B-AC00-9619C11ADFFB}"/>
    <cellStyle name="スタイル 14 2" xfId="21157" xr:uid="{073C8C00-E29D-4B83-AB3E-00DEB8009E01}"/>
    <cellStyle name="スタイル 140" xfId="21158" xr:uid="{C95AE4A9-C597-49F1-A5F4-CCA46900146D}"/>
    <cellStyle name="スタイル 141" xfId="21159" xr:uid="{EFD97200-BC99-4F5A-B498-D9CF42CDA522}"/>
    <cellStyle name="スタイル 142" xfId="21160" xr:uid="{4802672C-EC2C-4FEE-9A67-B3E91452887D}"/>
    <cellStyle name="スタイル 143" xfId="21161" xr:uid="{BD212500-DD32-4EE5-BEB3-720B79EEDC50}"/>
    <cellStyle name="スタイル 144" xfId="21162" xr:uid="{69D1D1E0-6034-4AA9-BB18-90C468646182}"/>
    <cellStyle name="スタイル 145" xfId="21163" xr:uid="{7093A631-4C79-41EF-8B50-CD7D5D944E01}"/>
    <cellStyle name="スタイル 146" xfId="21164" xr:uid="{35DD641D-E504-49B7-B912-360E1A5CFDF5}"/>
    <cellStyle name="スタイル 147" xfId="21165" xr:uid="{7D006865-26BE-41E7-9E76-43E0BCB02636}"/>
    <cellStyle name="スタイル 148" xfId="21166" xr:uid="{F218DCB5-B07B-4C7B-A0C2-2DD1C97EC6AB}"/>
    <cellStyle name="スタイル 149" xfId="21167" xr:uid="{148A4DD5-F8BE-4A12-83F5-87A26BC2E423}"/>
    <cellStyle name="スタイル 15" xfId="21168" xr:uid="{210666AD-677D-434B-9B12-6C4CDC5E0B27}"/>
    <cellStyle name="スタイル 15 2" xfId="21169" xr:uid="{802B5F9E-51F7-488F-A6E0-83661F16480B}"/>
    <cellStyle name="スタイル 150" xfId="21170" xr:uid="{3981BE4A-9602-4D0D-8E2B-64A81709FC62}"/>
    <cellStyle name="スタイル 151" xfId="21171" xr:uid="{144FCF30-2519-46EC-87E9-106EEE153B04}"/>
    <cellStyle name="スタイル 152" xfId="21172" xr:uid="{0200C78A-7AFF-4ECC-A5B4-482B0C9DC3EF}"/>
    <cellStyle name="スタイル 153" xfId="21173" xr:uid="{CFA5B130-AC2D-4527-A382-E339F53842B7}"/>
    <cellStyle name="スタイル 154" xfId="21174" xr:uid="{471B731E-A74F-4DF8-956F-18102CCBA82D}"/>
    <cellStyle name="スタイル 155" xfId="21175" xr:uid="{69C0FE4D-13CF-4BA6-BB01-9797FEB3AA86}"/>
    <cellStyle name="スタイル 156" xfId="21176" xr:uid="{A30F2475-0686-48F9-891F-F82D8283065C}"/>
    <cellStyle name="スタイル 157" xfId="21177" xr:uid="{D558F48D-FA36-48D1-AFEE-86A96336F11E}"/>
    <cellStyle name="スタイル 158" xfId="21178" xr:uid="{13B8EACD-C7D7-45DD-AED7-B2F52F7A39E5}"/>
    <cellStyle name="スタイル 159" xfId="21179" xr:uid="{71AD08FA-B99C-4F96-974B-310A116075E0}"/>
    <cellStyle name="スタイル 16" xfId="21180" xr:uid="{B323E37E-02B5-40B3-AE0D-799FCB063B87}"/>
    <cellStyle name="スタイル 16 2" xfId="21181" xr:uid="{ED5C537A-D06C-4B2B-B00A-AF18A01015B6}"/>
    <cellStyle name="スタイル 160" xfId="21182" xr:uid="{273102FA-BF97-472A-9231-06317CB0D499}"/>
    <cellStyle name="スタイル 161" xfId="21183" xr:uid="{AE87F56B-9853-4AB7-9C53-9ABD286B125B}"/>
    <cellStyle name="スタイル 162" xfId="21184" xr:uid="{A68ABFF2-B0BB-4277-BB70-0E7E8DF133E0}"/>
    <cellStyle name="スタイル 163" xfId="21185" xr:uid="{3E14ABD5-0050-47DC-BB23-96D795E9ADA3}"/>
    <cellStyle name="スタイル 164" xfId="21186" xr:uid="{9AF66C04-78AD-42A4-A76C-1C4CF3D4B902}"/>
    <cellStyle name="スタイル 165" xfId="21187" xr:uid="{157C7FDC-2A25-4CCA-A06C-9695921DA042}"/>
    <cellStyle name="スタイル 166" xfId="21188" xr:uid="{42AC2484-EBA5-4D58-B16C-64850646C2EB}"/>
    <cellStyle name="スタイル 167" xfId="21189" xr:uid="{3E84E9DD-6498-415C-8D86-835C46E5947B}"/>
    <cellStyle name="スタイル 168" xfId="21190" xr:uid="{87D0DFD1-9E76-451A-AE9E-38898864BB96}"/>
    <cellStyle name="スタイル 169" xfId="21191" xr:uid="{BCA4F275-878A-4D05-9E2A-33CFB8FA722A}"/>
    <cellStyle name="スタイル 17" xfId="21192" xr:uid="{58BB8C7E-D1DD-4BE6-B3E2-412B1634C0C9}"/>
    <cellStyle name="スタイル 17 2" xfId="21193" xr:uid="{818820A2-5C02-452C-AF91-EDD7D7BA828E}"/>
    <cellStyle name="スタイル 170" xfId="21194" xr:uid="{1444FD5F-2C58-476C-9A55-F789F1BBC167}"/>
    <cellStyle name="スタイル 171" xfId="21195" xr:uid="{7769A987-F08F-4480-B15E-8C70D298FCD4}"/>
    <cellStyle name="スタイル 172" xfId="21196" xr:uid="{3EF01D33-5FED-4B31-A8BC-A2852C2E7DB2}"/>
    <cellStyle name="スタイル 173" xfId="21197" xr:uid="{DF2B3BE2-8E04-4D64-AA64-DAAE5375EAEB}"/>
    <cellStyle name="スタイル 174" xfId="21198" xr:uid="{BC0FB6B2-FA6C-4618-B6C6-FC4F00B1DF87}"/>
    <cellStyle name="スタイル 175" xfId="21199" xr:uid="{46A309F5-EABF-4C9C-B4D2-689A8A730D93}"/>
    <cellStyle name="スタイル 176" xfId="21200" xr:uid="{17033BDD-AD41-4AFF-9B57-C86207875294}"/>
    <cellStyle name="スタイル 177" xfId="21201" xr:uid="{700F443F-4471-4B33-A05A-EBB6E001AC27}"/>
    <cellStyle name="スタイル 178" xfId="21202" xr:uid="{7CB4E906-3569-4AF1-83E9-A158B550EF46}"/>
    <cellStyle name="スタイル 179" xfId="21203" xr:uid="{EFA888C1-E930-4924-8B5F-DC8182A48C81}"/>
    <cellStyle name="スタイル 18" xfId="21204" xr:uid="{3AFBA4FB-CF98-4ECF-ABB2-FCD4642112A7}"/>
    <cellStyle name="スタイル 18 2" xfId="21205" xr:uid="{0FC73A57-705F-4117-A330-830F7625AA04}"/>
    <cellStyle name="スタイル 180" xfId="21206" xr:uid="{DDC4A7AC-CBE1-4FD9-8F34-A744833621C1}"/>
    <cellStyle name="スタイル 181" xfId="21207" xr:uid="{83D0B782-2448-47C9-8FB0-FB0133B5D3BF}"/>
    <cellStyle name="スタイル 182" xfId="21208" xr:uid="{F4693584-F417-42EE-81E7-4C40875D5828}"/>
    <cellStyle name="スタイル 183" xfId="21209" xr:uid="{FE5E6233-86DC-47DB-B95F-726C5BE89E95}"/>
    <cellStyle name="スタイル 184" xfId="21210" xr:uid="{AEEDA654-6C1C-474C-B9AA-C6D90CED6E00}"/>
    <cellStyle name="スタイル 185" xfId="21211" xr:uid="{64190425-A776-45DA-A315-2A7B639DC817}"/>
    <cellStyle name="スタイル 186" xfId="21212" xr:uid="{4A61C0DF-CF18-4C75-921F-F2BBF70A3AA0}"/>
    <cellStyle name="スタイル 187" xfId="21213" xr:uid="{DCA306F2-7005-40A7-8179-6ACD4A35518A}"/>
    <cellStyle name="スタイル 188" xfId="21214" xr:uid="{9316B6DE-8C86-4B49-A116-4E1E29C1318D}"/>
    <cellStyle name="スタイル 189" xfId="21215" xr:uid="{CAAAF44D-0FFC-434B-80A9-FA5F5CAA0AC3}"/>
    <cellStyle name="スタイル 19" xfId="21216" xr:uid="{58D03ED7-02A8-4DB8-B7D5-309B859B6F4F}"/>
    <cellStyle name="スタイル 19 2" xfId="21217" xr:uid="{70B2B55B-895A-4F3E-BB83-5390BD04B6CA}"/>
    <cellStyle name="スタイル 190" xfId="21218" xr:uid="{842000D5-624C-451A-901C-B5B5B3643670}"/>
    <cellStyle name="スタイル 191" xfId="21219" xr:uid="{61506AF9-E0A4-4E9E-9DFD-C7E05B82FCFA}"/>
    <cellStyle name="スタイル 192" xfId="21220" xr:uid="{125620CE-FDB8-41DF-8E16-5773992069B3}"/>
    <cellStyle name="スタイル 193" xfId="21221" xr:uid="{FC694FFA-1079-461B-A412-03BD37328A86}"/>
    <cellStyle name="スタイル 194" xfId="21222" xr:uid="{213444B2-A227-4948-BFEE-E3F24F7BB431}"/>
    <cellStyle name="スタイル 195" xfId="21223" xr:uid="{30A2901E-72D7-4980-B311-43AA2F7DA5B6}"/>
    <cellStyle name="スタイル 196" xfId="21224" xr:uid="{D021A46C-6083-4AEC-8A07-7A6E959CD58B}"/>
    <cellStyle name="スタイル 197" xfId="21225" xr:uid="{69E1BCEF-2348-4BA0-95D1-0275549B676A}"/>
    <cellStyle name="スタイル 198" xfId="21226" xr:uid="{8A0FDCCC-4D3A-476E-820F-D4025072B439}"/>
    <cellStyle name="スタイル 199" xfId="21227" xr:uid="{B38EC1DA-A98E-4CD1-B698-36ACA380DC65}"/>
    <cellStyle name="スタイル 2" xfId="21228" xr:uid="{CA6F27FF-E83B-492C-BDB0-9537FDF06A54}"/>
    <cellStyle name="スタイル 2 2" xfId="21229" xr:uid="{EB6E3E35-41BC-4DD3-B387-157D8C3E87E4}"/>
    <cellStyle name="スタイル 2 2 2" xfId="21230" xr:uid="{85EC4241-6CB6-4866-9F2D-94732E49EBFE}"/>
    <cellStyle name="スタイル 2 2 3" xfId="21231" xr:uid="{D5449C21-488A-4D9C-B694-6C5F9FB9A9F0}"/>
    <cellStyle name="スタイル 2 3" xfId="21232" xr:uid="{C0D58CD0-1D53-4979-ABFE-3D7E76BB6264}"/>
    <cellStyle name="スタイル 2 4" xfId="21233" xr:uid="{8DBAD8A3-1288-4F4B-9DA4-2DF3835BDD05}"/>
    <cellStyle name="スタイル 20" xfId="21234" xr:uid="{687F0D4F-2432-4F93-87C5-74CEE0F6D120}"/>
    <cellStyle name="スタイル 20 2" xfId="21235" xr:uid="{DCDEB790-0088-48C3-B9A8-4948D38CA52E}"/>
    <cellStyle name="スタイル 200" xfId="21236" xr:uid="{992BD194-9A44-46D6-9B24-13685881024B}"/>
    <cellStyle name="スタイル 201" xfId="21237" xr:uid="{4AF594E8-FC5A-4BE5-8315-3597184096F5}"/>
    <cellStyle name="スタイル 202" xfId="21238" xr:uid="{DBD389B6-435D-429A-B259-C0F9251B9742}"/>
    <cellStyle name="スタイル 203" xfId="21239" xr:uid="{D67AEB91-07C5-4C42-9B9B-E868001DFE9E}"/>
    <cellStyle name="スタイル 204" xfId="21240" xr:uid="{FBA7616C-26ED-4ECB-9D22-0D602DBDA32D}"/>
    <cellStyle name="スタイル 205" xfId="21241" xr:uid="{520F8E94-B4D4-4073-AC1D-9CA1E1BC7598}"/>
    <cellStyle name="スタイル 206" xfId="21242" xr:uid="{01C4C9A5-6728-4096-8AD1-56ECC78DA95A}"/>
    <cellStyle name="スタイル 207" xfId="21243" xr:uid="{4BA7F7E9-88E0-4F87-9B51-295930F5C9B9}"/>
    <cellStyle name="スタイル 208" xfId="21244" xr:uid="{D8609C3D-5D8B-406A-AC82-BD6D1D3C0C4A}"/>
    <cellStyle name="スタイル 209" xfId="21245" xr:uid="{2899CD57-BCC5-4AE2-BCEC-1A5B5A703064}"/>
    <cellStyle name="スタイル 21" xfId="21246" xr:uid="{D748A672-7C47-4CE3-8A4D-43B7AC3AA7AE}"/>
    <cellStyle name="スタイル 210" xfId="21247" xr:uid="{BC6682DB-F414-4329-A3AC-DB7889DA7BAF}"/>
    <cellStyle name="スタイル 211" xfId="21248" xr:uid="{61DADFA3-C632-47ED-BEA9-5FBA0B45C31B}"/>
    <cellStyle name="スタイル 212" xfId="21249" xr:uid="{D2CA643F-6098-401D-B771-291468AA74DC}"/>
    <cellStyle name="スタイル 213" xfId="21250" xr:uid="{18B5520B-1666-42AE-9E54-BC69D6B6D29A}"/>
    <cellStyle name="スタイル 214" xfId="21251" xr:uid="{67992416-3155-4282-BFEE-7B212977C72F}"/>
    <cellStyle name="スタイル 215" xfId="21252" xr:uid="{F3BE148F-1000-479B-BE0E-2A4E8D339D95}"/>
    <cellStyle name="スタイル 216" xfId="21253" xr:uid="{FEE4BA85-B6DB-4973-8CF4-71CD53CD3C78}"/>
    <cellStyle name="スタイル 217" xfId="21254" xr:uid="{81F878CC-D6D3-44AD-86DB-8D4F72DE1DBC}"/>
    <cellStyle name="スタイル 218" xfId="21255" xr:uid="{36983C49-D9E8-4C79-A0D4-DCAB3C176D95}"/>
    <cellStyle name="スタイル 219" xfId="21256" xr:uid="{17486C60-38B9-446A-AAEC-8D7DD34DB458}"/>
    <cellStyle name="スタイル 22" xfId="21257" xr:uid="{F342830E-B5D5-46FD-8502-5F84BB01FA35}"/>
    <cellStyle name="スタイル 220" xfId="21258" xr:uid="{12107DC9-1E43-40EE-9AA1-8B0CDB3FA468}"/>
    <cellStyle name="スタイル 221" xfId="21259" xr:uid="{DD01BD31-DB15-4D50-AED0-7EFAB05F8799}"/>
    <cellStyle name="スタイル 222" xfId="21260" xr:uid="{0321D178-3686-4EB3-B142-1C798A42C5E2}"/>
    <cellStyle name="スタイル 223" xfId="21261" xr:uid="{0FDD337C-BFDE-444A-838C-DAC79518131C}"/>
    <cellStyle name="スタイル 224" xfId="21262" xr:uid="{4C21596B-5EA0-4EFF-B0B4-7E49D4FCB7F3}"/>
    <cellStyle name="スタイル 225" xfId="21263" xr:uid="{3881A5D3-327C-4858-8A86-FECD9024336F}"/>
    <cellStyle name="スタイル 226" xfId="21264" xr:uid="{D52B5B8F-856F-4A3E-AE78-C0A8A7B0AE7E}"/>
    <cellStyle name="スタイル 227" xfId="21265" xr:uid="{8D90C71D-E928-488E-8554-09B2BBEA58DE}"/>
    <cellStyle name="スタイル 228" xfId="21266" xr:uid="{AD3F2B35-37CF-4797-AA2C-1A6F27383183}"/>
    <cellStyle name="スタイル 229" xfId="21267" xr:uid="{20B6A8B4-4A97-489F-9B76-18F49A46E963}"/>
    <cellStyle name="スタイル 23" xfId="21268" xr:uid="{FA0A18D0-EB58-4D96-856F-C4EACDF91167}"/>
    <cellStyle name="スタイル 230" xfId="21269" xr:uid="{F87AE8C0-ADD5-41AB-A3E0-D07F8F5727B2}"/>
    <cellStyle name="スタイル 231" xfId="21270" xr:uid="{A5AE3E00-7B5E-4F50-8CBD-15F80291B522}"/>
    <cellStyle name="スタイル 232" xfId="21271" xr:uid="{5A56709F-20CC-4A53-9FAA-0897C7A67530}"/>
    <cellStyle name="スタイル 233" xfId="21272" xr:uid="{CA5E1D37-992C-493B-8850-3C54585E4BEE}"/>
    <cellStyle name="スタイル 234" xfId="21273" xr:uid="{2A8A5E64-CC49-4C08-93CE-15FC84950910}"/>
    <cellStyle name="スタイル 235" xfId="21274" xr:uid="{33E2D5D2-085F-4B8E-8682-2E101BA99BBA}"/>
    <cellStyle name="スタイル 236" xfId="21275" xr:uid="{498CE04F-FBB2-4305-95D3-66D15412EB50}"/>
    <cellStyle name="スタイル 237" xfId="21276" xr:uid="{E1D2E987-72F7-46DD-A323-11D578D9F676}"/>
    <cellStyle name="スタイル 238" xfId="21277" xr:uid="{C1E3122E-DF2A-4847-97B8-F8D2D2D152BE}"/>
    <cellStyle name="スタイル 239" xfId="21278" xr:uid="{5E024D7A-7450-43C4-BFB2-0EFDDF9F3B2F}"/>
    <cellStyle name="スタイル 24" xfId="21279" xr:uid="{3ADCC358-99F3-44BA-8A82-885AE5B99E25}"/>
    <cellStyle name="スタイル 240" xfId="21280" xr:uid="{D87CB6A2-2CFB-49EA-926F-95F4686C6E01}"/>
    <cellStyle name="スタイル 241" xfId="21281" xr:uid="{77B97515-09A0-4A77-A550-F5C3453C0913}"/>
    <cellStyle name="スタイル 242" xfId="21282" xr:uid="{09ACE9DE-FD8D-4990-BC38-3AACEA714408}"/>
    <cellStyle name="スタイル 243" xfId="21283" xr:uid="{D819B094-CF28-40E6-BE00-B2B6932662C2}"/>
    <cellStyle name="スタイル 244" xfId="21284" xr:uid="{C6DE2B8D-B55C-4AB8-97C3-FBFD1DB8916F}"/>
    <cellStyle name="スタイル 245" xfId="21285" xr:uid="{E0B82B92-C5DF-4498-8C0F-AC85BB1FD1B0}"/>
    <cellStyle name="スタイル 246" xfId="21286" xr:uid="{8BCB7EE1-51DB-4939-890A-CE003F028C66}"/>
    <cellStyle name="スタイル 247" xfId="21287" xr:uid="{76C8FD99-900D-4BCA-9C03-DEECAA42EFF3}"/>
    <cellStyle name="スタイル 248" xfId="21288" xr:uid="{0F57C433-2B92-487B-9831-B3A591EF9BBF}"/>
    <cellStyle name="スタイル 249" xfId="21289" xr:uid="{8C5EEE4E-A961-457B-92A8-605D194FF56F}"/>
    <cellStyle name="スタイル 25" xfId="21290" xr:uid="{16683D7A-98EB-422E-A941-F19E2623E625}"/>
    <cellStyle name="スタイル 250" xfId="21291" xr:uid="{108C815C-7C9A-42B8-9935-ECD5A56C8A7B}"/>
    <cellStyle name="スタイル 251" xfId="21292" xr:uid="{EE05F294-5456-458E-BE80-F47EC751D5F2}"/>
    <cellStyle name="スタイル 252" xfId="21293" xr:uid="{5F5EAA7D-321A-46A2-AED7-E341770AFE8B}"/>
    <cellStyle name="スタイル 253" xfId="21294" xr:uid="{11DB439F-5849-45DB-ACF4-A2CF74D78D9D}"/>
    <cellStyle name="スタイル 254" xfId="21295" xr:uid="{5B117EAC-805D-49F3-9BF7-559DCB2176E1}"/>
    <cellStyle name="スタイル 255" xfId="21296" xr:uid="{2583233F-A2CD-4B59-BAF8-13ADC0AC5D2F}"/>
    <cellStyle name="スタイル 256" xfId="21297" xr:uid="{3382EE3C-C0AB-41E9-9A8E-AE4C1BE355B1}"/>
    <cellStyle name="スタイル 257" xfId="21298" xr:uid="{0B54F7EB-D610-4B78-860B-0669FF2E1296}"/>
    <cellStyle name="スタイル 258" xfId="21299" xr:uid="{E9DB4BD5-C46F-4BEE-A9D6-5FB41CEBC9D7}"/>
    <cellStyle name="スタイル 259" xfId="21300" xr:uid="{04DC4A52-4E61-49D5-94F0-CDBEC9FE47FC}"/>
    <cellStyle name="スタイル 26" xfId="21301" xr:uid="{B63CCA1A-784B-415E-BA53-A12BB2F4D0CE}"/>
    <cellStyle name="スタイル 260" xfId="21302" xr:uid="{384D38F9-D9A1-4A7C-B2D1-083BB5F6C47F}"/>
    <cellStyle name="スタイル 261" xfId="21303" xr:uid="{FDC91733-FE61-4D09-A71D-5A648B2D5A5C}"/>
    <cellStyle name="スタイル 262" xfId="21304" xr:uid="{AD9740C9-5300-447D-BBFE-47D68A6CB8F9}"/>
    <cellStyle name="スタイル 263" xfId="21305" xr:uid="{952FABA4-F67B-4CE5-8D60-77657F01B528}"/>
    <cellStyle name="スタイル 264" xfId="21306" xr:uid="{D3DA8C58-0908-4F26-A7CE-4AB76200A304}"/>
    <cellStyle name="スタイル 265" xfId="21307" xr:uid="{58830E00-F3D1-418E-A17A-7CDAA35E3AE1}"/>
    <cellStyle name="スタイル 266" xfId="21308" xr:uid="{28C14754-372A-41A9-8BA9-6CFF5B74C8FA}"/>
    <cellStyle name="スタイル 267" xfId="21309" xr:uid="{48417E32-9CF4-4CC0-A9A4-0ECBFF4FA4A5}"/>
    <cellStyle name="スタイル 268" xfId="21310" xr:uid="{DC506FCC-BF94-45A3-98E9-240CE0EEEB70}"/>
    <cellStyle name="スタイル 269" xfId="21311" xr:uid="{43616F31-DCA7-4B60-811C-36C735F2AFD1}"/>
    <cellStyle name="スタイル 27" xfId="21312" xr:uid="{8C0D5166-CFE9-4FB7-8BCD-BC1377E735AF}"/>
    <cellStyle name="スタイル 270" xfId="21313" xr:uid="{11C5C7AF-3CEB-4B3E-A4A4-3E01FAC105C8}"/>
    <cellStyle name="スタイル 271" xfId="21314" xr:uid="{3D8396D0-3CA5-4F77-9BB2-C66A39964097}"/>
    <cellStyle name="スタイル 272" xfId="21315" xr:uid="{19779109-C5C8-493B-B001-667C8A093572}"/>
    <cellStyle name="スタイル 273" xfId="21316" xr:uid="{5FB892F4-5196-4825-9898-E933BCF38449}"/>
    <cellStyle name="スタイル 274" xfId="21317" xr:uid="{018ED7B2-A33C-4BFF-BA22-7846782AF6C0}"/>
    <cellStyle name="スタイル 275" xfId="21318" xr:uid="{C3FD1FC2-1C1E-4549-A5E5-924DBFB7FFE7}"/>
    <cellStyle name="スタイル 276" xfId="21319" xr:uid="{A0C7359C-7B6B-467D-BB84-C32B933E6574}"/>
    <cellStyle name="スタイル 277" xfId="21320" xr:uid="{70BA78B7-DEED-40DC-8EDC-0E63DB25B223}"/>
    <cellStyle name="スタイル 278" xfId="21321" xr:uid="{8D9F60D3-C1A7-4C26-9949-2BCDAA10D12C}"/>
    <cellStyle name="スタイル 279" xfId="21322" xr:uid="{14946B07-DE03-4F6C-8B71-AB4AE89D6FC4}"/>
    <cellStyle name="スタイル 28" xfId="21323" xr:uid="{1EEB7141-C7FC-41E7-BE7A-0F7A98BA349B}"/>
    <cellStyle name="スタイル 280" xfId="21324" xr:uid="{2B4E0022-A52E-435D-B5B4-7D38C67C7645}"/>
    <cellStyle name="スタイル 281" xfId="21325" xr:uid="{55BC1460-899D-4144-B686-48856672A84A}"/>
    <cellStyle name="スタイル 282" xfId="21326" xr:uid="{554C9938-611A-47FA-9910-4B7CAB89CEEC}"/>
    <cellStyle name="スタイル 283" xfId="21327" xr:uid="{6B760E20-B508-42E6-95B1-2A2B606F7FCE}"/>
    <cellStyle name="スタイル 284" xfId="21328" xr:uid="{E706D7F6-983B-43D2-8FE1-8FAAF69D14B2}"/>
    <cellStyle name="スタイル 285" xfId="21329" xr:uid="{E93C1F29-D55F-4D3D-9DE6-DBF4D2F8A2FB}"/>
    <cellStyle name="スタイル 286" xfId="21330" xr:uid="{3D9C04BB-A31C-40F6-B249-A731E0629D3C}"/>
    <cellStyle name="スタイル 287" xfId="21331" xr:uid="{6B1A450F-FE69-4B08-9F43-6F2342FDBCF1}"/>
    <cellStyle name="スタイル 288" xfId="21332" xr:uid="{3FB65B78-A299-4AF9-80DB-7BF2202A0D85}"/>
    <cellStyle name="スタイル 289" xfId="21333" xr:uid="{EC167190-D889-4E04-B3A8-696B3B33ABCA}"/>
    <cellStyle name="スタイル 29" xfId="21334" xr:uid="{53B78618-29D6-4232-A276-2E1AA1E2E4D3}"/>
    <cellStyle name="スタイル 290" xfId="21335" xr:uid="{B97D78B1-A93F-49FF-928C-D715A95E8DEF}"/>
    <cellStyle name="スタイル 291" xfId="21336" xr:uid="{EE21AE56-1325-410E-8697-BAD7024DC3D4}"/>
    <cellStyle name="スタイル 292" xfId="21337" xr:uid="{F2951372-9D14-4DDA-8991-E1D189C7DEF3}"/>
    <cellStyle name="スタイル 293" xfId="21338" xr:uid="{54D7AD5A-607F-457B-ADE8-F2ABF280FBA9}"/>
    <cellStyle name="スタイル 294" xfId="21339" xr:uid="{DD0FC613-2F91-4741-BC8D-1F8A4604C5A8}"/>
    <cellStyle name="スタイル 295" xfId="21340" xr:uid="{EF5B614A-BC3C-4969-ADAB-522CD1CD53CB}"/>
    <cellStyle name="スタイル 296" xfId="21341" xr:uid="{4031CD28-9D50-4F0F-956B-0154A6E3901B}"/>
    <cellStyle name="スタイル 297" xfId="21342" xr:uid="{D74D1030-1B77-479A-8618-6E00253D1A09}"/>
    <cellStyle name="スタイル 298" xfId="21343" xr:uid="{9130247E-863E-4EFA-A531-4E53227E989A}"/>
    <cellStyle name="スタイル 299" xfId="21344" xr:uid="{AE8FAF87-8ECC-4B55-9468-193FAD51C463}"/>
    <cellStyle name="スタイル 3" xfId="21345" xr:uid="{F61815A7-D3DD-4C95-889A-F6D6085F350E}"/>
    <cellStyle name="スタイル 3 2" xfId="21346" xr:uid="{73E9EF0F-6ECE-4079-822F-98D00BE3D2E3}"/>
    <cellStyle name="スタイル 30" xfId="21347" xr:uid="{51B1A075-0B2B-4442-935C-6A5AB14974DE}"/>
    <cellStyle name="スタイル 300" xfId="21348" xr:uid="{52618563-93A3-4A86-B39D-2B5C09357F25}"/>
    <cellStyle name="スタイル 301" xfId="21349" xr:uid="{1A956C2D-947E-4BE1-A097-430B872A2CF4}"/>
    <cellStyle name="スタイル 302" xfId="21350" xr:uid="{13C275E8-995C-49FF-9BC5-E7195A5B9ACD}"/>
    <cellStyle name="スタイル 303" xfId="21351" xr:uid="{3E41F4B3-C738-4929-9F4C-526BBFFC0BB8}"/>
    <cellStyle name="スタイル 304" xfId="21352" xr:uid="{44F8B374-5B30-4CD0-895D-5972B5EA3E3A}"/>
    <cellStyle name="スタイル 305" xfId="21353" xr:uid="{30961137-9BC2-42F1-8F2D-B3248AF9EEAD}"/>
    <cellStyle name="スタイル 306" xfId="21354" xr:uid="{ACCA3DF0-F950-434D-8946-49ACF9BCDE64}"/>
    <cellStyle name="スタイル 307" xfId="21355" xr:uid="{67BE81BB-CB02-4BB1-BC58-DA89FEE93993}"/>
    <cellStyle name="スタイル 308" xfId="21356" xr:uid="{82AD756B-DF2A-4080-83CD-2838EDB816F5}"/>
    <cellStyle name="スタイル 309" xfId="21357" xr:uid="{3EA6392C-ECD6-40C1-8711-29AEA432D3BC}"/>
    <cellStyle name="スタイル 31" xfId="21358" xr:uid="{4B993C5D-7F6B-4158-A356-FC25B56C32AB}"/>
    <cellStyle name="スタイル 310" xfId="21359" xr:uid="{7393F15D-CEF4-4355-90CF-1AFF5EBC9819}"/>
    <cellStyle name="スタイル 311" xfId="21360" xr:uid="{EBCD7A17-1578-4C0F-BDA0-057AD9B8E221}"/>
    <cellStyle name="スタイル 312" xfId="21361" xr:uid="{66FE19C2-510D-467E-B028-B168D443FC53}"/>
    <cellStyle name="スタイル 313" xfId="21362" xr:uid="{AE049BB8-F2EB-4AEE-92A7-97C8DFCEFF43}"/>
    <cellStyle name="スタイル 314" xfId="21363" xr:uid="{4F92F5A6-3D4B-43B4-92DF-F21976040B58}"/>
    <cellStyle name="スタイル 315" xfId="21364" xr:uid="{2D72FAB0-5D64-4266-88C3-E04101325F21}"/>
    <cellStyle name="スタイル 316" xfId="21365" xr:uid="{1AC3B3DD-E093-4523-AA86-0566290C3DCE}"/>
    <cellStyle name="スタイル 317" xfId="21366" xr:uid="{A906FE81-13BB-4E35-9F81-750A86D85E84}"/>
    <cellStyle name="スタイル 318" xfId="21367" xr:uid="{875999C0-08F0-4926-8C3B-2B23B45B8AFE}"/>
    <cellStyle name="スタイル 319" xfId="21368" xr:uid="{4A2FCF0A-3876-49E8-AF0F-73C5F0AD19AF}"/>
    <cellStyle name="スタイル 32" xfId="21369" xr:uid="{D3072933-E1F2-4009-81C7-9E05053EFF44}"/>
    <cellStyle name="スタイル 320" xfId="21370" xr:uid="{D0009DC8-A771-44E0-80BA-D406A9A1BC60}"/>
    <cellStyle name="スタイル 321" xfId="21371" xr:uid="{E3AF59D7-019F-427E-B1DD-CEE263A8A382}"/>
    <cellStyle name="スタイル 322" xfId="21372" xr:uid="{C2124FFA-2261-46D8-95F9-473E9BB9FF9F}"/>
    <cellStyle name="スタイル 323" xfId="21373" xr:uid="{EF9C26CE-EBF2-4371-9B69-8E2F9D7D3FB5}"/>
    <cellStyle name="スタイル 324" xfId="21374" xr:uid="{5A130F52-6F4C-47B6-B2DD-26146147A30A}"/>
    <cellStyle name="スタイル 325" xfId="21375" xr:uid="{91C0A012-835F-4FE9-81E3-D8C4173D0EC3}"/>
    <cellStyle name="スタイル 326" xfId="21376" xr:uid="{EC01DEDF-8418-4A8A-9A4A-1D67112ADDA6}"/>
    <cellStyle name="スタイル 327" xfId="21377" xr:uid="{71F58A63-92E5-4FDB-8790-50C72CBBD3B9}"/>
    <cellStyle name="スタイル 328" xfId="21378" xr:uid="{8E0B40F2-B57B-4AA8-AD04-04231ACDBB43}"/>
    <cellStyle name="スタイル 329" xfId="21379" xr:uid="{3256EF32-BF11-40DB-9DF6-6826D0F4F3AA}"/>
    <cellStyle name="スタイル 33" xfId="21380" xr:uid="{6191F8DF-72F3-4B3E-90FA-0FC513F183C8}"/>
    <cellStyle name="スタイル 330" xfId="21381" xr:uid="{43760F5A-ADFD-433D-A107-A842B6497A7E}"/>
    <cellStyle name="スタイル 331" xfId="21382" xr:uid="{F8ABEC6D-C69B-49B5-840D-2C3075609A3D}"/>
    <cellStyle name="スタイル 332" xfId="21383" xr:uid="{2EE94FB8-762D-4C41-B805-692400F93981}"/>
    <cellStyle name="スタイル 333" xfId="21384" xr:uid="{85F82FB6-F6C0-4A4D-B33B-CD49F57924AC}"/>
    <cellStyle name="スタイル 334" xfId="21385" xr:uid="{60991FE3-86A8-43D8-80F3-94F02F439264}"/>
    <cellStyle name="スタイル 335" xfId="21386" xr:uid="{3C665F9B-D293-436C-9388-61D728D1F70A}"/>
    <cellStyle name="スタイル 336" xfId="21387" xr:uid="{CBB25DA7-B925-49B1-8EE5-C8FB4FA5472E}"/>
    <cellStyle name="スタイル 337" xfId="21388" xr:uid="{8A453F0A-9B70-4649-B838-95CBF3CF081B}"/>
    <cellStyle name="スタイル 338" xfId="21389" xr:uid="{5AED515D-6C1E-4F5F-8FC8-97AC96F44E10}"/>
    <cellStyle name="スタイル 339" xfId="21390" xr:uid="{1E809275-1423-4EF7-9CD0-3F06F228D4C9}"/>
    <cellStyle name="スタイル 34" xfId="21391" xr:uid="{CD0C05D7-445A-4563-B807-D3C43FC72ACF}"/>
    <cellStyle name="スタイル 340" xfId="21392" xr:uid="{CB67C4F1-0321-4B31-A834-A92F4324F582}"/>
    <cellStyle name="スタイル 341" xfId="21393" xr:uid="{BC57D30B-502F-4095-98FF-4C6FBE8DAABE}"/>
    <cellStyle name="スタイル 342" xfId="21394" xr:uid="{448276B8-FA3F-4B70-9CE6-BF8872BE380A}"/>
    <cellStyle name="スタイル 343" xfId="21395" xr:uid="{9FA3AB6B-5DEE-48F4-9B3A-C3F014DAC954}"/>
    <cellStyle name="スタイル 344" xfId="21396" xr:uid="{FA08957E-308B-4FEF-9CEB-B3C0C408C3C4}"/>
    <cellStyle name="スタイル 345" xfId="21397" xr:uid="{8D0ED36A-0816-4506-8078-18E5F3925550}"/>
    <cellStyle name="スタイル 346" xfId="21398" xr:uid="{2FA76448-211D-4F0F-BF28-0BA2BE85FCCA}"/>
    <cellStyle name="スタイル 347" xfId="21399" xr:uid="{C382976B-DBF9-430A-A0F2-51071659A544}"/>
    <cellStyle name="スタイル 348" xfId="21400" xr:uid="{D8D8FCE4-4F34-418B-9DA9-E2972F576667}"/>
    <cellStyle name="スタイル 349" xfId="21401" xr:uid="{EA473B76-DDA7-490B-8292-3DD2515A2AFE}"/>
    <cellStyle name="スタイル 35" xfId="21402" xr:uid="{5F487591-98F5-4904-958C-AE2393BDCC1A}"/>
    <cellStyle name="スタイル 350" xfId="21403" xr:uid="{1B3BE9CB-B274-4957-8B8F-4C51EB15F232}"/>
    <cellStyle name="スタイル 351" xfId="21404" xr:uid="{6CF279BB-3379-449A-883F-93F9867FF397}"/>
    <cellStyle name="スタイル 352" xfId="21405" xr:uid="{CBEA4415-1EBB-4835-B1D6-5A5120CE5828}"/>
    <cellStyle name="スタイル 353" xfId="21406" xr:uid="{925182BC-CF9B-4F22-9B7F-06D0FF530200}"/>
    <cellStyle name="スタイル 354" xfId="21407" xr:uid="{9DA83119-18C4-4741-A686-7692B167C52A}"/>
    <cellStyle name="スタイル 355" xfId="21408" xr:uid="{9ECB2708-85CC-4D33-8721-7A6089797201}"/>
    <cellStyle name="スタイル 356" xfId="21409" xr:uid="{54FF09F7-69BD-4C17-9E31-F84BEC06908B}"/>
    <cellStyle name="スタイル 357" xfId="21410" xr:uid="{EEF026F2-5ACF-4EEC-ACD0-BE63D7044D72}"/>
    <cellStyle name="スタイル 358" xfId="21411" xr:uid="{C12A00A2-B1EB-4E63-8612-05D318B37C25}"/>
    <cellStyle name="スタイル 359" xfId="21412" xr:uid="{7A068C4D-4EF4-40E7-9D4F-F249D365A077}"/>
    <cellStyle name="スタイル 36" xfId="21413" xr:uid="{8C82F51D-BEA2-4D65-A8E9-99AD94C7DB85}"/>
    <cellStyle name="スタイル 360" xfId="21414" xr:uid="{6ABBD9B0-40B8-419B-AB7B-42842252B8A7}"/>
    <cellStyle name="スタイル 361" xfId="21415" xr:uid="{939597F8-114C-4036-BCF4-D26A989A0C70}"/>
    <cellStyle name="スタイル 362" xfId="21416" xr:uid="{FDE9C195-1C31-4F9A-9969-1B86475866C1}"/>
    <cellStyle name="スタイル 363" xfId="21417" xr:uid="{4CDFCAC8-8687-4352-A6E8-D3279CF2A802}"/>
    <cellStyle name="スタイル 364" xfId="21418" xr:uid="{832F281C-E744-4D78-ADF3-1556C01AEDCC}"/>
    <cellStyle name="スタイル 365" xfId="21419" xr:uid="{4793FF21-5337-4FC5-B470-6DEA1CF50C9E}"/>
    <cellStyle name="スタイル 366" xfId="21420" xr:uid="{56EF179F-1EB8-41F4-A9CB-EFE94EFB1776}"/>
    <cellStyle name="スタイル 367" xfId="21421" xr:uid="{8FDC2404-AD7D-4194-BC7B-C92EABAC441E}"/>
    <cellStyle name="スタイル 368" xfId="21422" xr:uid="{A41F4710-6E5F-421E-B34B-0B3886E90831}"/>
    <cellStyle name="スタイル 369" xfId="21423" xr:uid="{FA4A21A8-BFE9-4289-8FA3-722AD0FF2245}"/>
    <cellStyle name="スタイル 37" xfId="21424" xr:uid="{11D984F5-EDB9-46BF-8759-25B5211735DD}"/>
    <cellStyle name="スタイル 370" xfId="21425" xr:uid="{DE3D6598-456F-4196-902B-521118362DE6}"/>
    <cellStyle name="スタイル 371" xfId="21426" xr:uid="{8970A01B-2AD2-4F89-A204-B318FCFF1940}"/>
    <cellStyle name="スタイル 372" xfId="21427" xr:uid="{E2FAAE6A-72F5-4B63-A4CF-19D53A31E1DC}"/>
    <cellStyle name="スタイル 373" xfId="21428" xr:uid="{2EBBCE51-8924-42EA-A743-72F6EAAD3362}"/>
    <cellStyle name="スタイル 374" xfId="21429" xr:uid="{801AC5A8-CD25-4196-AD85-5C8D6D18A01F}"/>
    <cellStyle name="スタイル 375" xfId="21430" xr:uid="{6CF1FDC1-14B7-4FD4-8266-7C7DBC197110}"/>
    <cellStyle name="スタイル 376" xfId="21431" xr:uid="{558BE615-7ED5-4F97-A2D9-1737B5D276BB}"/>
    <cellStyle name="スタイル 377" xfId="21432" xr:uid="{AA1607D1-3D78-4E5E-AE45-3FAB4C000814}"/>
    <cellStyle name="スタイル 378" xfId="21433" xr:uid="{183FB104-7D5F-4B92-8FE6-2D41B56ECAC1}"/>
    <cellStyle name="スタイル 379" xfId="21434" xr:uid="{061CE939-283E-417E-8B47-327047276835}"/>
    <cellStyle name="スタイル 38" xfId="21435" xr:uid="{9F13E80C-C1EA-4FA7-9809-63F41EBE6AB2}"/>
    <cellStyle name="スタイル 380" xfId="21436" xr:uid="{F5096293-A441-4F07-8262-2D9EA606B9C4}"/>
    <cellStyle name="スタイル 381" xfId="21437" xr:uid="{71502E35-5EDC-48C2-BF5D-EDE0E74A9502}"/>
    <cellStyle name="スタイル 382" xfId="21438" xr:uid="{5B2AD13A-8A21-485E-920E-E37AACA36C2F}"/>
    <cellStyle name="スタイル 383" xfId="21439" xr:uid="{F7196FD8-F040-4256-A3AC-18BF3C6D11DB}"/>
    <cellStyle name="スタイル 384" xfId="21440" xr:uid="{1E9D40DC-E747-4B22-9D5C-AA9784EA91B5}"/>
    <cellStyle name="スタイル 385" xfId="21441" xr:uid="{FBEF4BFE-B5C5-481F-8265-851898CBC187}"/>
    <cellStyle name="スタイル 386" xfId="21442" xr:uid="{58E3C266-5EE4-4474-82EC-E5D994E7C5F4}"/>
    <cellStyle name="スタイル 387" xfId="21443" xr:uid="{5C4552EF-CE90-440E-9D35-73279CBD5E06}"/>
    <cellStyle name="スタイル 388" xfId="21444" xr:uid="{9F4F9B33-86F3-45EF-802D-9D062D823546}"/>
    <cellStyle name="スタイル 389" xfId="21445" xr:uid="{DBDCE6C3-B466-4CA0-B39D-A4B972DAE34E}"/>
    <cellStyle name="スタイル 39" xfId="21446" xr:uid="{D2832036-B164-4F8F-BFB1-805CD424D9D7}"/>
    <cellStyle name="スタイル 390" xfId="21447" xr:uid="{680DCBA1-7851-4D4B-B97F-880DF5F940C0}"/>
    <cellStyle name="スタイル 391" xfId="21448" xr:uid="{D60753C7-9418-4442-A0FE-7FB964008E50}"/>
    <cellStyle name="スタイル 392" xfId="21449" xr:uid="{4A3BDB0E-84EC-492D-8B6D-E1A9CA2198B9}"/>
    <cellStyle name="スタイル 393" xfId="21450" xr:uid="{6758BE75-B75B-4B31-8457-6EB85A300B4B}"/>
    <cellStyle name="スタイル 394" xfId="21451" xr:uid="{83E6A660-317D-40ED-B22C-014FEA7A933E}"/>
    <cellStyle name="スタイル 395" xfId="21452" xr:uid="{DA3EDC49-9F16-486D-9DBC-A86B25C36863}"/>
    <cellStyle name="スタイル 396" xfId="21453" xr:uid="{CC4D2ECE-D008-4764-AA56-9AF5A501245B}"/>
    <cellStyle name="スタイル 397" xfId="21454" xr:uid="{AFE7E738-B03A-4638-9B8D-5EADA2846C69}"/>
    <cellStyle name="スタイル 398" xfId="21455" xr:uid="{93032C80-F03D-4770-BB53-DE350DB289AC}"/>
    <cellStyle name="スタイル 399" xfId="21456" xr:uid="{049DB9FD-CF4D-44E3-A665-91A73904D7CE}"/>
    <cellStyle name="スタイル 4" xfId="21457" xr:uid="{C3B35D6D-8812-42A1-89F3-A1404DDF31B8}"/>
    <cellStyle name="スタイル 4 2" xfId="21458" xr:uid="{C743DC6D-B44C-4A97-8677-A91D8A2254C8}"/>
    <cellStyle name="スタイル 40" xfId="21459" xr:uid="{C4EA3C4D-1E11-400A-A721-A6D14AAE5138}"/>
    <cellStyle name="スタイル 400" xfId="21460" xr:uid="{365797F7-FDCC-4594-AE6C-C799A8CA7889}"/>
    <cellStyle name="スタイル 401" xfId="21461" xr:uid="{17109EB8-3D82-4325-81A5-14BB9293D03D}"/>
    <cellStyle name="スタイル 402" xfId="21462" xr:uid="{AC87E3FD-0596-40EB-9B54-898B62646700}"/>
    <cellStyle name="スタイル 403" xfId="21463" xr:uid="{1FFCBA63-145A-4793-8AF7-3064F03C178D}"/>
    <cellStyle name="スタイル 404" xfId="21464" xr:uid="{1FF45087-B403-4763-8DC8-02F6D6734225}"/>
    <cellStyle name="スタイル 405" xfId="21465" xr:uid="{2C6F791B-F0B3-42CA-8824-6A72783C588C}"/>
    <cellStyle name="スタイル 406" xfId="21466" xr:uid="{D5BD1327-C72C-461C-B48C-A6C2BBB4FE98}"/>
    <cellStyle name="スタイル 407" xfId="21467" xr:uid="{2B2CA83A-D056-4230-8883-758B9D141F5D}"/>
    <cellStyle name="スタイル 408" xfId="21468" xr:uid="{9973B6EF-7040-419C-9EFC-871042A1AA5C}"/>
    <cellStyle name="スタイル 409" xfId="21469" xr:uid="{6897DD82-626B-4D7F-9058-6EB9871E17E1}"/>
    <cellStyle name="スタイル 41" xfId="21470" xr:uid="{59B6FC76-F421-4B9E-87CB-67BB5F9487E1}"/>
    <cellStyle name="スタイル 410" xfId="21471" xr:uid="{E6ED9BB2-AB5B-4D78-9DAE-0445161F2358}"/>
    <cellStyle name="スタイル 411" xfId="21472" xr:uid="{EE987998-72E6-434F-B199-D2D1B7E050BA}"/>
    <cellStyle name="スタイル 412" xfId="21473" xr:uid="{324B78F7-9518-4281-8393-E20B56296BE6}"/>
    <cellStyle name="スタイル 413" xfId="21474" xr:uid="{D31BED5E-EBBE-407A-8DAA-E4FF82AC664E}"/>
    <cellStyle name="スタイル 414" xfId="21475" xr:uid="{F1D7E982-EA3A-4499-AF7B-D22CE603F13B}"/>
    <cellStyle name="スタイル 415" xfId="21476" xr:uid="{8F891F0C-5BA6-4F41-B53C-C1FB7E7E7B49}"/>
    <cellStyle name="スタイル 416" xfId="21477" xr:uid="{2E734A30-1429-48A7-9EE5-921FE2D18A8B}"/>
    <cellStyle name="スタイル 417" xfId="21478" xr:uid="{774B7055-97B5-4EC9-BCC3-F865359ED9C8}"/>
    <cellStyle name="スタイル 418" xfId="21479" xr:uid="{630E0F54-34CE-4886-B8B9-80A9ED678556}"/>
    <cellStyle name="スタイル 419" xfId="21480" xr:uid="{FAE0EE34-1702-4E9C-BD11-F46F1A48F1EB}"/>
    <cellStyle name="スタイル 42" xfId="21481" xr:uid="{59B301E2-A621-42AB-8A96-509D7A7EC327}"/>
    <cellStyle name="スタイル 420" xfId="21482" xr:uid="{3BCF6E16-D49C-4C0D-9187-4DED287AA9F0}"/>
    <cellStyle name="スタイル 421" xfId="21483" xr:uid="{5244D4ED-F5F7-42AE-974D-37215581CFE1}"/>
    <cellStyle name="スタイル 422" xfId="21484" xr:uid="{B1CACA53-7088-47EB-B8ED-B64BB4F2E55B}"/>
    <cellStyle name="スタイル 423" xfId="21485" xr:uid="{D103F4E7-D194-496F-87BF-1B63917F93EA}"/>
    <cellStyle name="スタイル 424" xfId="21486" xr:uid="{1CF140CE-CBD9-4DBB-A603-76C8A57230C8}"/>
    <cellStyle name="スタイル 425" xfId="21487" xr:uid="{7E7E8E87-B35D-4B8F-8A87-AD18F9D93A2B}"/>
    <cellStyle name="スタイル 426" xfId="21488" xr:uid="{FCFF03E0-2396-461F-8EF6-ADD6413ACDEF}"/>
    <cellStyle name="スタイル 427" xfId="21489" xr:uid="{EE0324B8-1298-4119-BC58-6BAFA03DFB43}"/>
    <cellStyle name="スタイル 428" xfId="21490" xr:uid="{2B942552-85D3-4904-BFF8-11F310059B5B}"/>
    <cellStyle name="スタイル 429" xfId="21491" xr:uid="{561FC4B8-9A53-4553-828C-9843B032ADE6}"/>
    <cellStyle name="スタイル 43" xfId="21492" xr:uid="{F6AABD97-2F9C-4BF0-B4D1-F09619339C4E}"/>
    <cellStyle name="スタイル 430" xfId="21493" xr:uid="{C4807C0D-D806-40FC-9B4F-C3EF7229D2DD}"/>
    <cellStyle name="スタイル 431" xfId="21494" xr:uid="{5C9915F8-E679-4032-8075-938942A9E96E}"/>
    <cellStyle name="スタイル 432" xfId="21495" xr:uid="{96347F0C-64BD-4C0A-8350-4837D9C4BDB0}"/>
    <cellStyle name="スタイル 433" xfId="21496" xr:uid="{189ADF7A-7F9C-4B0E-B59E-A3BFB8B0F0F5}"/>
    <cellStyle name="スタイル 434" xfId="21497" xr:uid="{5AF598F5-BC58-43AC-AFB0-C7A822D1D644}"/>
    <cellStyle name="スタイル 435" xfId="21498" xr:uid="{321EABFD-94E7-4988-ACFD-F89BC93CB1B0}"/>
    <cellStyle name="スタイル 436" xfId="21499" xr:uid="{FF6A145C-CD27-46E2-A985-6291B26E8E16}"/>
    <cellStyle name="スタイル 437" xfId="21500" xr:uid="{54BA8C32-E7D8-4FE6-9C73-3F0A6716F961}"/>
    <cellStyle name="スタイル 438" xfId="21501" xr:uid="{98E0E16F-C08F-40D5-A343-2AD9084B0B0A}"/>
    <cellStyle name="スタイル 439" xfId="21502" xr:uid="{3F4179B0-7508-4DEF-9FD7-A2590A789348}"/>
    <cellStyle name="スタイル 44" xfId="21503" xr:uid="{9E74AAC4-3A0D-4E29-B57E-BB3DDD168A59}"/>
    <cellStyle name="スタイル 440" xfId="21504" xr:uid="{18BB36FA-F4D0-43E8-89B1-E94293A82231}"/>
    <cellStyle name="スタイル 441" xfId="21505" xr:uid="{7AEA46B6-C883-4DE5-AAC3-E2448486C153}"/>
    <cellStyle name="スタイル 442" xfId="21506" xr:uid="{A457F383-6578-4DC1-BCB8-8288BE2721A8}"/>
    <cellStyle name="スタイル 443" xfId="21507" xr:uid="{4BD53CEB-88C3-484E-B113-B1CC029268F3}"/>
    <cellStyle name="スタイル 444" xfId="21508" xr:uid="{1F8F4B23-F0A9-42E3-B677-638566512A10}"/>
    <cellStyle name="スタイル 445" xfId="21509" xr:uid="{A395EF35-AD7B-4CC0-BBFF-C1D1346A0656}"/>
    <cellStyle name="スタイル 446" xfId="21510" xr:uid="{152F678C-3BF3-462D-A868-032371230632}"/>
    <cellStyle name="スタイル 447" xfId="21511" xr:uid="{2F118B14-DF13-4C6E-96A6-B6C7687F1B5A}"/>
    <cellStyle name="スタイル 448" xfId="21512" xr:uid="{47BE6F30-C28C-4B93-B897-075082951A04}"/>
    <cellStyle name="スタイル 449" xfId="21513" xr:uid="{7762B95A-93CF-444F-8605-33EAFEC7EB0B}"/>
    <cellStyle name="スタイル 45" xfId="21514" xr:uid="{777478A5-52ED-4AB9-9973-357D468F8A35}"/>
    <cellStyle name="スタイル 450" xfId="21515" xr:uid="{1113DC6D-71FA-4ACE-9D27-2F0611C83E04}"/>
    <cellStyle name="スタイル 451" xfId="21516" xr:uid="{9F8CE61B-A511-4E11-B007-9884F4ECF73D}"/>
    <cellStyle name="スタイル 452" xfId="21517" xr:uid="{A2E0C1F9-EF22-4366-AEDD-CD4DBCED5F52}"/>
    <cellStyle name="スタイル 453" xfId="21518" xr:uid="{82E78842-3CB2-407C-ABA9-3DD59CB0D4FB}"/>
    <cellStyle name="スタイル 454" xfId="21519" xr:uid="{B81F00D2-519E-4327-9FBF-8692C9DC1130}"/>
    <cellStyle name="スタイル 455" xfId="21520" xr:uid="{FFE6AA4B-E660-42E6-A23E-4917832119CB}"/>
    <cellStyle name="スタイル 456" xfId="21521" xr:uid="{1E4629CE-C101-49D7-B78A-F0BCF4F73CF4}"/>
    <cellStyle name="スタイル 457" xfId="21522" xr:uid="{EA96BD65-72A4-49FF-97AD-3B7FC33F122F}"/>
    <cellStyle name="スタイル 458" xfId="21523" xr:uid="{17EF0061-2C43-4960-8255-3B22E3EFE194}"/>
    <cellStyle name="スタイル 459" xfId="21524" xr:uid="{C8A69C1D-3027-4275-9FF6-6E84127D0356}"/>
    <cellStyle name="スタイル 46" xfId="21525" xr:uid="{7C78ED77-E715-466D-A198-AEAAE1CA195B}"/>
    <cellStyle name="スタイル 460" xfId="21526" xr:uid="{22041CA0-54A0-4A00-BFAC-F13A52ECF4C6}"/>
    <cellStyle name="スタイル 461" xfId="21527" xr:uid="{E7C4967D-0AB7-4E1F-86E4-9FAE750BB7B7}"/>
    <cellStyle name="スタイル 462" xfId="21528" xr:uid="{3AA2D1AD-C832-45A8-8F42-2199BE517056}"/>
    <cellStyle name="スタイル 463" xfId="21529" xr:uid="{DE755AB7-6A75-44B7-BC02-F2718B289581}"/>
    <cellStyle name="スタイル 464" xfId="21530" xr:uid="{52D3FDAF-809B-40C2-A2B4-664CA24A1F94}"/>
    <cellStyle name="スタイル 465" xfId="21531" xr:uid="{BF9173D9-7373-4A38-8C67-4CFB731D76E4}"/>
    <cellStyle name="スタイル 466" xfId="21532" xr:uid="{1ACBD5EF-0838-4E7E-9674-DF5DB4BC1456}"/>
    <cellStyle name="スタイル 467" xfId="21533" xr:uid="{61BA9E0F-FC11-4C9C-A82B-9B940B843CC8}"/>
    <cellStyle name="スタイル 468" xfId="21534" xr:uid="{AB32F54D-E668-47C7-8FCE-F96F020713B4}"/>
    <cellStyle name="スタイル 469" xfId="21535" xr:uid="{D393D131-88D5-47C6-9233-706D1163C147}"/>
    <cellStyle name="スタイル 47" xfId="21536" xr:uid="{858737F9-E799-4360-B462-E832774F3AED}"/>
    <cellStyle name="スタイル 470" xfId="21537" xr:uid="{3652D8F1-4645-4DF0-A6E5-9E29D4570DA3}"/>
    <cellStyle name="スタイル 471" xfId="21538" xr:uid="{687A8227-5745-4E94-B13C-DA2F5FC390C1}"/>
    <cellStyle name="スタイル 472" xfId="21539" xr:uid="{B440EC7F-E9B5-4E65-A59A-CDBC88D79D48}"/>
    <cellStyle name="スタイル 473" xfId="21540" xr:uid="{AB2A9DEB-8775-4CA9-8344-6DD5B722841C}"/>
    <cellStyle name="スタイル 474" xfId="21541" xr:uid="{4FF3A48E-95D4-4692-BDD6-741255B623E6}"/>
    <cellStyle name="スタイル 475" xfId="21542" xr:uid="{D18F65D6-3F9E-496E-BCC2-8D09A199A694}"/>
    <cellStyle name="スタイル 476" xfId="21543" xr:uid="{0AC34239-EE8D-46F2-A2BA-F9A969FD1C66}"/>
    <cellStyle name="スタイル 477" xfId="21544" xr:uid="{4C154E52-548A-4072-9491-83C3232D249F}"/>
    <cellStyle name="スタイル 478" xfId="21545" xr:uid="{C88C1F49-A0DD-4CFE-BB2D-AD2B35EEC16F}"/>
    <cellStyle name="スタイル 479" xfId="21546" xr:uid="{8B820655-881F-4233-8335-C4A43E400D08}"/>
    <cellStyle name="スタイル 48" xfId="21547" xr:uid="{ED75FCC4-0EEA-46FB-BB2A-2BE4E5E2CF4C}"/>
    <cellStyle name="スタイル 480" xfId="21548" xr:uid="{F4B437D5-2540-4D42-84A4-13907B00C3EF}"/>
    <cellStyle name="スタイル 481" xfId="21549" xr:uid="{BBC6DD59-3768-4EA5-BFF2-BAD8976A8789}"/>
    <cellStyle name="スタイル 482" xfId="21550" xr:uid="{7F574DDA-95B0-40A9-A90B-C117FD0A11E2}"/>
    <cellStyle name="スタイル 483" xfId="21551" xr:uid="{7D5609D5-D3EB-450E-953B-855E577B55C4}"/>
    <cellStyle name="スタイル 484" xfId="21552" xr:uid="{BE44DC0D-0AA3-4B92-B4C4-CF13E8237DBB}"/>
    <cellStyle name="スタイル 485" xfId="21553" xr:uid="{95DA06FA-AC6A-437E-9A49-E73C28F23E10}"/>
    <cellStyle name="スタイル 486" xfId="21554" xr:uid="{7C100B1E-A57A-4FF2-9F59-4FCA2F0EAC49}"/>
    <cellStyle name="スタイル 487" xfId="21555" xr:uid="{98D19760-523E-4FA0-AE06-845E2A304E4C}"/>
    <cellStyle name="スタイル 488" xfId="21556" xr:uid="{89BF8FCC-D45B-474E-84D8-6CEF321E8F0F}"/>
    <cellStyle name="スタイル 489" xfId="21557" xr:uid="{C80449BB-B8A4-4224-BA6C-33A90427F48A}"/>
    <cellStyle name="スタイル 49" xfId="21558" xr:uid="{A5C03F3E-9592-4B1A-91DB-CA1B0A6A7F10}"/>
    <cellStyle name="スタイル 490" xfId="21559" xr:uid="{4D568CAB-8760-46FD-B302-FA5F524E99C9}"/>
    <cellStyle name="スタイル 491" xfId="21560" xr:uid="{47E49161-6D4D-4C61-BBD9-124890D82932}"/>
    <cellStyle name="スタイル 492" xfId="21561" xr:uid="{515ECA4C-1F24-4D5E-9ABF-C53FBD3379A9}"/>
    <cellStyle name="スタイル 493" xfId="21562" xr:uid="{7306C2D1-BF79-477A-B77C-A1C20984043C}"/>
    <cellStyle name="スタイル 494" xfId="21563" xr:uid="{F0E69DAA-49DA-407C-9164-004191C41882}"/>
    <cellStyle name="スタイル 495" xfId="21564" xr:uid="{55745F70-D8DF-4281-936D-99001CD82A36}"/>
    <cellStyle name="スタイル 496" xfId="21565" xr:uid="{37F112B7-419F-4244-904D-5C39E524F63E}"/>
    <cellStyle name="スタイル 497" xfId="21566" xr:uid="{7BDC728A-8CEB-459B-A4D2-E0DB87156C83}"/>
    <cellStyle name="スタイル 498" xfId="21567" xr:uid="{39366AA2-4640-434D-9139-B99AFA57E759}"/>
    <cellStyle name="スタイル 499" xfId="21568" xr:uid="{328A4C4C-3AAC-4582-9D05-BB12AAB088BD}"/>
    <cellStyle name="スタイル 5" xfId="21569" xr:uid="{C64C3FCF-DA9A-48A5-9955-4384B7483547}"/>
    <cellStyle name="スタイル 5 2" xfId="21570" xr:uid="{5332D45C-062E-4E82-9DAA-F8DB9D0118BA}"/>
    <cellStyle name="スタイル 50" xfId="21571" xr:uid="{A3FF1081-86FE-46B8-9487-5B23E44E9FBF}"/>
    <cellStyle name="スタイル 500" xfId="21572" xr:uid="{0546F277-6946-4BF0-8130-46115658DCDF}"/>
    <cellStyle name="スタイル 501" xfId="21573" xr:uid="{AE9A5CFE-78EC-48DE-9606-280CB8CAA769}"/>
    <cellStyle name="スタイル 502" xfId="21574" xr:uid="{8F29E145-5137-4E29-8B7D-75B80B822D27}"/>
    <cellStyle name="スタイル 503" xfId="21575" xr:uid="{A35E3D1B-4269-487B-8409-59D0A14E8406}"/>
    <cellStyle name="スタイル 504" xfId="21576" xr:uid="{018D7225-A393-456C-AC85-0E0CB841E9B5}"/>
    <cellStyle name="スタイル 505" xfId="21577" xr:uid="{9ABFCBEC-0171-4F2F-B636-E500B7B1E2A9}"/>
    <cellStyle name="スタイル 506" xfId="21578" xr:uid="{94C763A2-7375-479E-A449-34B71C276CCA}"/>
    <cellStyle name="スタイル 507" xfId="21579" xr:uid="{F04619B9-1B74-47D7-836B-5725E9479C2A}"/>
    <cellStyle name="スタイル 508" xfId="21580" xr:uid="{191A58A5-E822-4A0C-B56E-D6D253BBF8AD}"/>
    <cellStyle name="スタイル 509" xfId="21581" xr:uid="{ED272782-62A4-49D0-B62D-8549397ED61E}"/>
    <cellStyle name="スタイル 51" xfId="21582" xr:uid="{1A42BA64-94A7-4608-8CC1-78328E8698F8}"/>
    <cellStyle name="スタイル 510" xfId="21583" xr:uid="{8D84AE97-22CF-4182-BF81-2F65A5804F5A}"/>
    <cellStyle name="スタイル 511" xfId="21584" xr:uid="{806911AB-3FBA-464A-B496-1F11FE67CD24}"/>
    <cellStyle name="スタイル 512" xfId="21585" xr:uid="{8CE3527A-796E-4A94-9569-84A1C3295F2B}"/>
    <cellStyle name="スタイル 513" xfId="21586" xr:uid="{30064C01-4AA0-4548-8F91-03B355C15993}"/>
    <cellStyle name="スタイル 514" xfId="21587" xr:uid="{170EDF9B-72E6-4BCE-961C-8C504EC69D66}"/>
    <cellStyle name="スタイル 515" xfId="21588" xr:uid="{BDBFE5DE-8AF9-4742-AE04-98B7E3F1617A}"/>
    <cellStyle name="スタイル 516" xfId="21589" xr:uid="{8D27BE9A-7FB8-43D7-A3EE-ECE2D7E94572}"/>
    <cellStyle name="スタイル 517" xfId="21590" xr:uid="{8C3A1A48-DA3B-479C-8BF0-37042D6551FB}"/>
    <cellStyle name="スタイル 518" xfId="21591" xr:uid="{4FE5A48B-E3C5-4016-9886-19B246FAB4F5}"/>
    <cellStyle name="スタイル 519" xfId="21592" xr:uid="{3B6DA8AB-42A6-4A52-9A0D-E5CD903F249F}"/>
    <cellStyle name="スタイル 52" xfId="21593" xr:uid="{4BA93D08-B706-4EDA-9994-415C050170D2}"/>
    <cellStyle name="スタイル 520" xfId="21594" xr:uid="{6875887B-508E-433D-960C-90BB092AF1D7}"/>
    <cellStyle name="スタイル 521" xfId="21595" xr:uid="{00BE58F7-508A-4898-8C91-E4E1BC7A2AB0}"/>
    <cellStyle name="スタイル 522" xfId="21596" xr:uid="{4F60745C-889E-4535-9DF9-978B8ECC4816}"/>
    <cellStyle name="スタイル 523" xfId="21597" xr:uid="{BFE34B1E-5389-4C16-8EDF-3C7927E8D100}"/>
    <cellStyle name="スタイル 524" xfId="21598" xr:uid="{F79127E4-D826-4B51-B3B4-1708E35BA770}"/>
    <cellStyle name="スタイル 525" xfId="21599" xr:uid="{4E455CFD-9014-4921-9ABB-F91CBC9A0840}"/>
    <cellStyle name="スタイル 526" xfId="21600" xr:uid="{9D6E05EA-3FF5-461B-A582-78252738261E}"/>
    <cellStyle name="スタイル 527" xfId="21601" xr:uid="{639A77F7-EC22-413C-A244-5239B2BE310C}"/>
    <cellStyle name="スタイル 528" xfId="21602" xr:uid="{32A2026C-8EB9-4913-B3AF-660AC29008F6}"/>
    <cellStyle name="スタイル 529" xfId="21603" xr:uid="{E50DD130-BF48-4786-969F-35641FAE5AC5}"/>
    <cellStyle name="スタイル 53" xfId="21604" xr:uid="{813F5AFF-B171-4293-B974-6EA41AC1F1EE}"/>
    <cellStyle name="スタイル 530" xfId="21605" xr:uid="{AB0B3DCD-571A-49BF-9067-4782FF673BBE}"/>
    <cellStyle name="スタイル 531" xfId="21606" xr:uid="{DBC0BD46-9CFD-4383-8409-A88AEF922D3A}"/>
    <cellStyle name="スタイル 532" xfId="21607" xr:uid="{40F1A512-281C-412D-B4CA-E03CC5A5D09C}"/>
    <cellStyle name="スタイル 533" xfId="21608" xr:uid="{18245AC7-D1F8-4B60-892B-A3AC6524F0B2}"/>
    <cellStyle name="スタイル 534" xfId="21609" xr:uid="{735CFB65-250E-4B0C-BDA1-4296233A63C9}"/>
    <cellStyle name="スタイル 535" xfId="21610" xr:uid="{BFDDFD1E-5D9F-4CCF-88DB-272D6A4E2B70}"/>
    <cellStyle name="スタイル 536" xfId="21611" xr:uid="{A2BCCD15-AA4E-4667-B6B4-97D2965DCC66}"/>
    <cellStyle name="スタイル 537" xfId="21612" xr:uid="{523E6909-D4E5-4255-B95D-C9803F3A0405}"/>
    <cellStyle name="スタイル 538" xfId="21613" xr:uid="{41BB8171-AD42-4C27-9D91-591EAE5B0629}"/>
    <cellStyle name="スタイル 539" xfId="21614" xr:uid="{9402793D-6C64-4211-9120-B3434DE83403}"/>
    <cellStyle name="スタイル 54" xfId="21615" xr:uid="{A9BC2422-277B-480C-986E-291FFD348528}"/>
    <cellStyle name="スタイル 540" xfId="21616" xr:uid="{93CED1B1-15AF-4B6E-B292-B50E55E39D3D}"/>
    <cellStyle name="スタイル 541" xfId="21617" xr:uid="{421BE610-2816-4B1B-BF2A-82133D9A5370}"/>
    <cellStyle name="スタイル 542" xfId="21618" xr:uid="{FE1E621F-4E47-4D8D-AA79-4F66E4982E2B}"/>
    <cellStyle name="スタイル 543" xfId="21619" xr:uid="{95FCE25D-60F2-4F0C-8169-B76EF8D015DF}"/>
    <cellStyle name="スタイル 544" xfId="21620" xr:uid="{4B4B8FB6-8D1B-4A66-B2ED-D3571C23605C}"/>
    <cellStyle name="スタイル 545" xfId="21621" xr:uid="{3ACA8751-9E04-46C0-8C40-FECC1BA7ECC8}"/>
    <cellStyle name="スタイル 546" xfId="21622" xr:uid="{545315E2-906F-4CC2-BF68-8FE9E97E76B4}"/>
    <cellStyle name="スタイル 547" xfId="21623" xr:uid="{442FFF36-1520-4468-B5A3-B5636D14C68B}"/>
    <cellStyle name="スタイル 548" xfId="21624" xr:uid="{21850973-741B-46F1-9BCE-1DA06DA94BB3}"/>
    <cellStyle name="スタイル 549" xfId="21625" xr:uid="{5F308ED2-9940-4C7B-A031-B08BAF7A95FA}"/>
    <cellStyle name="スタイル 55" xfId="21626" xr:uid="{B15B4569-810A-4AFA-99C9-D149C03F9FF3}"/>
    <cellStyle name="スタイル 550" xfId="21627" xr:uid="{DC30CAAF-1EFA-40E7-8774-2F551336449F}"/>
    <cellStyle name="スタイル 551" xfId="21628" xr:uid="{E0BAA291-CD07-4241-84AD-90DF8F29187B}"/>
    <cellStyle name="スタイル 552" xfId="21629" xr:uid="{A1F2E140-4113-4A64-8096-851DEB6CDE3A}"/>
    <cellStyle name="スタイル 553" xfId="21630" xr:uid="{863946E6-024F-4C08-8DF1-CE658EB83348}"/>
    <cellStyle name="スタイル 554" xfId="21631" xr:uid="{AA7E38F8-2158-497D-B1D5-C7F6FB47CF2D}"/>
    <cellStyle name="スタイル 555" xfId="21632" xr:uid="{BBC190B3-0EB3-4164-A399-163CE5F2BA39}"/>
    <cellStyle name="スタイル 556" xfId="21633" xr:uid="{D9C35E6C-45D0-493B-89FD-A5200F27FA92}"/>
    <cellStyle name="スタイル 557" xfId="21634" xr:uid="{B35426FB-2675-4E79-BF7F-6E61E419A46C}"/>
    <cellStyle name="スタイル 558" xfId="21635" xr:uid="{79C0C217-2422-4AE5-AC45-3D4B4BA50077}"/>
    <cellStyle name="スタイル 559" xfId="21636" xr:uid="{FCA44D63-6FA9-4178-9BAD-CC00F3ECED6E}"/>
    <cellStyle name="スタイル 56" xfId="21637" xr:uid="{62F6F4E3-D877-477F-9C63-581F3D761641}"/>
    <cellStyle name="スタイル 560" xfId="21638" xr:uid="{428CB7BA-AA97-4B3D-9136-F243A731AB37}"/>
    <cellStyle name="スタイル 561" xfId="21639" xr:uid="{CD47E462-0A24-4C9D-AA6E-0F569FF66525}"/>
    <cellStyle name="スタイル 562" xfId="21640" xr:uid="{A20A4E62-B8A8-47AA-84F9-ED8A671E7339}"/>
    <cellStyle name="スタイル 563" xfId="21641" xr:uid="{1B788272-14A6-4380-9C51-0AC0B921CB27}"/>
    <cellStyle name="スタイル 564" xfId="21642" xr:uid="{860C3A2A-F741-4618-A871-88F52B394902}"/>
    <cellStyle name="スタイル 565" xfId="21643" xr:uid="{B0047AFB-8938-41DB-8F40-5511ADA43484}"/>
    <cellStyle name="スタイル 566" xfId="21644" xr:uid="{E0720651-319E-4FA9-833C-A1951CBA6CA3}"/>
    <cellStyle name="スタイル 567" xfId="21645" xr:uid="{06D994F0-00AE-43D6-A754-DD167A8D24D9}"/>
    <cellStyle name="スタイル 568" xfId="21646" xr:uid="{19846B0B-A8CB-46C0-9E14-568437CC9C19}"/>
    <cellStyle name="スタイル 569" xfId="21647" xr:uid="{915C6E40-577B-474B-B901-1D18172BB59D}"/>
    <cellStyle name="スタイル 57" xfId="21648" xr:uid="{85B55E06-ADDA-46F9-A92A-C4F71CA6837B}"/>
    <cellStyle name="スタイル 570" xfId="21649" xr:uid="{8749E53C-5762-47C8-93DB-2EB5F3B2B896}"/>
    <cellStyle name="スタイル 571" xfId="21650" xr:uid="{28AA5571-1882-474B-91F9-D942A46AA2F0}"/>
    <cellStyle name="スタイル 572" xfId="21651" xr:uid="{0DB995D6-3BCA-4981-8FB7-B45C8A135671}"/>
    <cellStyle name="スタイル 573" xfId="21652" xr:uid="{C46A8DF7-B092-4703-8DCA-CC13CF8DD9D0}"/>
    <cellStyle name="スタイル 574" xfId="21653" xr:uid="{FCC23421-7A26-4CE9-954D-F9F2487990EC}"/>
    <cellStyle name="スタイル 575" xfId="21654" xr:uid="{86A98B18-2836-4533-AF6B-64258F1BFFB9}"/>
    <cellStyle name="スタイル 576" xfId="21655" xr:uid="{CBE28770-F706-419D-A5E4-A228E38919AC}"/>
    <cellStyle name="スタイル 577" xfId="21656" xr:uid="{B4E16A96-654D-4225-9D34-3F02CFBEC905}"/>
    <cellStyle name="スタイル 578" xfId="21657" xr:uid="{180806FA-B511-4D9C-9FFC-0368AC36A513}"/>
    <cellStyle name="スタイル 579" xfId="21658" xr:uid="{B9C6DBCF-00A5-47BF-98FE-ED08224E5612}"/>
    <cellStyle name="スタイル 58" xfId="21659" xr:uid="{8D08F749-681A-429D-90C1-AD58082871B4}"/>
    <cellStyle name="スタイル 580" xfId="21660" xr:uid="{8935403D-38AF-4A86-B795-9F7BCC7D906C}"/>
    <cellStyle name="スタイル 581" xfId="21661" xr:uid="{13D37944-7393-4462-8C96-676EB30AD915}"/>
    <cellStyle name="スタイル 582" xfId="21662" xr:uid="{AE8D92F2-8767-4EA7-9A1F-0D82CA07AE9A}"/>
    <cellStyle name="スタイル 583" xfId="21663" xr:uid="{38D86FB3-5763-4C26-BAF4-8DF34457C2C6}"/>
    <cellStyle name="スタイル 584" xfId="21664" xr:uid="{3D3751E9-77FA-4F42-9BCA-33E3064843F6}"/>
    <cellStyle name="スタイル 585" xfId="21665" xr:uid="{E19D95CC-B849-4F94-BB26-0B6DC237F596}"/>
    <cellStyle name="スタイル 586" xfId="21666" xr:uid="{EA9D3497-42FD-4135-A8AA-2FAC3D910C40}"/>
    <cellStyle name="スタイル 587" xfId="21667" xr:uid="{0CC94AD7-C4BE-424D-A781-CB911527B556}"/>
    <cellStyle name="スタイル 588" xfId="21668" xr:uid="{B0696BCF-C2FB-42AC-9DBC-B0D4F47D75C9}"/>
    <cellStyle name="スタイル 589" xfId="21669" xr:uid="{5697D801-FFE9-462A-A9F4-805AD1F030DA}"/>
    <cellStyle name="スタイル 59" xfId="21670" xr:uid="{20053F69-6AC6-45EF-BA69-B0AC8FF88EA5}"/>
    <cellStyle name="スタイル 590" xfId="21671" xr:uid="{A9374F67-EABC-43B6-88E0-B4749E1680CB}"/>
    <cellStyle name="スタイル 591" xfId="21672" xr:uid="{8291DD58-0354-4051-B598-2F2B24975C65}"/>
    <cellStyle name="スタイル 592" xfId="21673" xr:uid="{629C577E-3E55-47FA-B00D-AE6DA81E5EC6}"/>
    <cellStyle name="スタイル 593" xfId="21674" xr:uid="{6E8938DB-F36E-46E4-B7F2-5968B5572D65}"/>
    <cellStyle name="スタイル 594" xfId="21675" xr:uid="{11C9B7C3-DED9-4281-8816-B0C4BC37B98E}"/>
    <cellStyle name="スタイル 595" xfId="21676" xr:uid="{9486085B-5E3A-4F2E-9C5D-EE6A91D2FDC8}"/>
    <cellStyle name="スタイル 596" xfId="21677" xr:uid="{FD18B324-A6E8-4CC1-815A-228ED0A0FA49}"/>
    <cellStyle name="スタイル 597" xfId="21678" xr:uid="{520D863D-A17A-43B1-848F-E8E31BE90D29}"/>
    <cellStyle name="スタイル 598" xfId="21679" xr:uid="{106A2DCD-66F4-4741-BC91-83F3254C8B8D}"/>
    <cellStyle name="スタイル 599" xfId="21680" xr:uid="{6E46BC31-13C5-4FD0-BDB2-15259852F62B}"/>
    <cellStyle name="スタイル 6" xfId="21681" xr:uid="{2C51903E-789C-4E62-9167-6A20006A64BD}"/>
    <cellStyle name="スタイル 6 2" xfId="21682" xr:uid="{B71753BA-6812-47EF-B330-8703D8A3DB1E}"/>
    <cellStyle name="スタイル 60" xfId="21683" xr:uid="{A0798021-6CC4-4533-AE3A-B6235D359E22}"/>
    <cellStyle name="スタイル 600" xfId="21684" xr:uid="{0934A01B-A1BA-467C-BB40-3AD131C8310F}"/>
    <cellStyle name="スタイル 601" xfId="21685" xr:uid="{98A28C47-AFDA-404B-9C0B-0ECC3004D783}"/>
    <cellStyle name="スタイル 602" xfId="21686" xr:uid="{0CC294DC-AF8A-4906-A180-C7AE6C415D36}"/>
    <cellStyle name="スタイル 603" xfId="21687" xr:uid="{148FF2B5-9258-42D3-920B-076473851EB1}"/>
    <cellStyle name="スタイル 604" xfId="21688" xr:uid="{F9A85C0E-7C22-40F8-BCFA-EB4C77FE6A0F}"/>
    <cellStyle name="スタイル 605" xfId="21689" xr:uid="{BE362C1C-76F6-4630-B991-08BEC04CF7F1}"/>
    <cellStyle name="スタイル 606" xfId="21690" xr:uid="{2421A81F-39A3-4DEB-B86F-5621F8A9A742}"/>
    <cellStyle name="スタイル 607" xfId="21691" xr:uid="{11794253-99A5-45E0-B09E-92F4D04C64BE}"/>
    <cellStyle name="スタイル 608" xfId="21692" xr:uid="{334ACA4A-CE19-41B8-82DD-986BA3C98FBB}"/>
    <cellStyle name="スタイル 609" xfId="21693" xr:uid="{115D8587-6A54-4655-BF9F-B7C915E50AA6}"/>
    <cellStyle name="スタイル 61" xfId="21694" xr:uid="{D0B13764-AA31-4279-8B65-655A8D345203}"/>
    <cellStyle name="スタイル 610" xfId="21695" xr:uid="{CFBD9C59-7F56-4423-86B6-04729DD26DE8}"/>
    <cellStyle name="スタイル 611" xfId="21696" xr:uid="{5B3A7976-0FD5-4C3A-BC82-2AFF109434D2}"/>
    <cellStyle name="スタイル 612" xfId="21697" xr:uid="{4FD83E69-F035-4C56-B58F-F5A44BD78DCB}"/>
    <cellStyle name="スタイル 613" xfId="21698" xr:uid="{26B19667-8030-4B0D-BC09-2978D739D8DC}"/>
    <cellStyle name="スタイル 614" xfId="21699" xr:uid="{0F233B14-8681-472B-9FB0-98EB58616753}"/>
    <cellStyle name="スタイル 615" xfId="21700" xr:uid="{188FB15E-6BE5-482E-9081-91BF20061065}"/>
    <cellStyle name="スタイル 616" xfId="21701" xr:uid="{CA835FA3-7232-41CE-B412-8D71F4C4EC5A}"/>
    <cellStyle name="スタイル 617" xfId="21702" xr:uid="{01330C8B-8C4E-4FE1-A81F-062540524060}"/>
    <cellStyle name="スタイル 618" xfId="21703" xr:uid="{D4EA243F-313D-4252-8C03-9AA4E10207B0}"/>
    <cellStyle name="スタイル 619" xfId="21704" xr:uid="{FA010EF5-6556-49AC-8818-29176169ACAD}"/>
    <cellStyle name="スタイル 62" xfId="21705" xr:uid="{0ADD0785-6378-4254-98C2-FD43B3690FC4}"/>
    <cellStyle name="スタイル 620" xfId="21706" xr:uid="{82783DD7-11C0-4777-BD33-1C6E3057FF24}"/>
    <cellStyle name="スタイル 621" xfId="21707" xr:uid="{A503DDC3-7423-4B83-9622-CA9CBFAA713B}"/>
    <cellStyle name="スタイル 622" xfId="21708" xr:uid="{A94B52FD-9781-4FA2-A5F0-7233FC576117}"/>
    <cellStyle name="スタイル 623" xfId="21709" xr:uid="{D942EE62-D897-401E-BEFD-7CB9E814CE09}"/>
    <cellStyle name="スタイル 624" xfId="21710" xr:uid="{91BDC500-64EE-41B0-B73F-C9B2463A759F}"/>
    <cellStyle name="スタイル 625" xfId="21711" xr:uid="{3D03CB05-4B63-4C52-8B37-18299C897DC6}"/>
    <cellStyle name="スタイル 626" xfId="21712" xr:uid="{D2B3EF28-A2B3-43BF-8729-1BA0D5528A64}"/>
    <cellStyle name="スタイル 627" xfId="21713" xr:uid="{B170AAF6-8BBE-40DA-8AE8-365D8DC87380}"/>
    <cellStyle name="スタイル 628" xfId="21714" xr:uid="{D51C4E15-67C8-4865-A66C-E23EA193C83B}"/>
    <cellStyle name="スタイル 629" xfId="21715" xr:uid="{486FF1E2-301E-433A-8856-13E948009D2C}"/>
    <cellStyle name="スタイル 63" xfId="21716" xr:uid="{DE514688-B6C0-427F-895C-743B5595CA30}"/>
    <cellStyle name="スタイル 630" xfId="21717" xr:uid="{4A0AE061-0AFC-41B1-97F9-F8D552BE05DF}"/>
    <cellStyle name="スタイル 631" xfId="21718" xr:uid="{4AE07E94-0340-4FE0-A431-157AE01403AF}"/>
    <cellStyle name="スタイル 632" xfId="21719" xr:uid="{A09005C6-C26B-4832-B886-E30BD4721A38}"/>
    <cellStyle name="スタイル 633" xfId="21720" xr:uid="{0517F62D-F187-4DC7-8202-F6426A0FEC1C}"/>
    <cellStyle name="スタイル 634" xfId="21721" xr:uid="{20C3EA41-9638-486A-9050-794EA6652084}"/>
    <cellStyle name="スタイル 635" xfId="21722" xr:uid="{67BC6EDC-D9F8-4BCD-9AF5-0ADB0D21D457}"/>
    <cellStyle name="スタイル 636" xfId="21723" xr:uid="{F614C559-88FF-4086-BB7D-18473C5D0960}"/>
    <cellStyle name="スタイル 637" xfId="21724" xr:uid="{DBA3E2D2-9418-4514-8AF5-694BD69CECE3}"/>
    <cellStyle name="スタイル 638" xfId="21725" xr:uid="{4BD619FF-930B-489D-AB34-3C06D44EB2C4}"/>
    <cellStyle name="スタイル 639" xfId="21726" xr:uid="{1EC69973-B51D-4B82-A005-8F70553FBF55}"/>
    <cellStyle name="スタイル 64" xfId="21727" xr:uid="{4488C318-7CCC-4F02-A2EB-79917CFEBF4C}"/>
    <cellStyle name="スタイル 640" xfId="21728" xr:uid="{358BDAE0-9236-4908-B2FC-F341C1805327}"/>
    <cellStyle name="スタイル 641" xfId="21729" xr:uid="{F6FCDD49-E43C-465F-AEC8-30EA1FF0EFB7}"/>
    <cellStyle name="スタイル 642" xfId="21730" xr:uid="{326DCF5A-B5B9-498B-8814-53758B603AD8}"/>
    <cellStyle name="スタイル 643" xfId="21731" xr:uid="{D13CA672-364C-41C2-887A-196991CD5525}"/>
    <cellStyle name="スタイル 644" xfId="21732" xr:uid="{23264CE5-E1A4-48A5-8B23-617764200A87}"/>
    <cellStyle name="スタイル 645" xfId="21733" xr:uid="{252DDD02-618B-4425-9629-9373139E33F3}"/>
    <cellStyle name="スタイル 646" xfId="21734" xr:uid="{4E26FAAC-A3FE-4118-AB37-C336F3D34220}"/>
    <cellStyle name="スタイル 647" xfId="21735" xr:uid="{08FF0393-076E-47F5-9705-111607132C4D}"/>
    <cellStyle name="スタイル 648" xfId="21736" xr:uid="{C3AA2A2D-9845-4B28-88B7-8C2C3A51F298}"/>
    <cellStyle name="スタイル 649" xfId="21737" xr:uid="{D4E0AEA1-D7DE-4753-9CD7-03F9009F7A4F}"/>
    <cellStyle name="スタイル 65" xfId="21738" xr:uid="{9A3867CA-CD5E-498A-9353-E11E3A58F9B5}"/>
    <cellStyle name="スタイル 650" xfId="21739" xr:uid="{23DF5C04-12E2-4862-9283-C97BA041A1E0}"/>
    <cellStyle name="スタイル 651" xfId="21740" xr:uid="{D5EE6A19-A640-4DAF-8879-1D9FB1834DAC}"/>
    <cellStyle name="スタイル 652" xfId="21741" xr:uid="{6C0DABEE-E938-4FDF-80D5-770B75600940}"/>
    <cellStyle name="スタイル 653" xfId="21742" xr:uid="{7F6FC6D4-65AC-4C45-BF85-E824268FA4AD}"/>
    <cellStyle name="スタイル 654" xfId="21743" xr:uid="{0604EB35-3A65-4AF1-89C8-1FFE4A876605}"/>
    <cellStyle name="スタイル 655" xfId="21744" xr:uid="{6F5059DF-B9EF-41B9-8194-52108C69D5F5}"/>
    <cellStyle name="スタイル 656" xfId="21745" xr:uid="{8E76EB6D-202E-411F-8B01-15921F801C07}"/>
    <cellStyle name="スタイル 657" xfId="21746" xr:uid="{E479BB6A-8B9E-41FF-85CD-721993BE6E6A}"/>
    <cellStyle name="スタイル 658" xfId="21747" xr:uid="{C88FC593-BDBA-4898-8884-8B849A8242B3}"/>
    <cellStyle name="スタイル 659" xfId="21748" xr:uid="{57A08F2B-412B-4D35-9D3A-AD5F9B112952}"/>
    <cellStyle name="スタイル 66" xfId="21749" xr:uid="{5BAC12C3-1B46-4FED-AF77-44D1BF5525A4}"/>
    <cellStyle name="スタイル 660" xfId="21750" xr:uid="{E92AA7FC-DC52-44D1-8A58-1C60E440AA21}"/>
    <cellStyle name="スタイル 661" xfId="21751" xr:uid="{89085907-901F-4AC0-8A77-2222E77B4431}"/>
    <cellStyle name="スタイル 662" xfId="21752" xr:uid="{AB38C1AD-F847-4FB0-80FA-2E80D9D02E22}"/>
    <cellStyle name="スタイル 663" xfId="21753" xr:uid="{631CFD4C-118A-4DE8-9C04-524C0DDC70EC}"/>
    <cellStyle name="スタイル 664" xfId="21754" xr:uid="{52AB0079-5A12-48CE-80B3-68A09FA845BC}"/>
    <cellStyle name="スタイル 665" xfId="21755" xr:uid="{5FE80C1C-D3B3-42DA-B160-BD030CBF8544}"/>
    <cellStyle name="スタイル 666" xfId="21756" xr:uid="{6FE88DF0-B0F8-4D7C-9F27-456DECDE03E9}"/>
    <cellStyle name="スタイル 667" xfId="21757" xr:uid="{BE51C3BC-B89C-4363-A55E-43B525EF9E83}"/>
    <cellStyle name="スタイル 668" xfId="21758" xr:uid="{CF33F7C9-DAE1-4908-8B9C-154742D5CEBF}"/>
    <cellStyle name="スタイル 669" xfId="21759" xr:uid="{63A7BE71-7302-4AEF-9E44-3629BC3A5CD1}"/>
    <cellStyle name="スタイル 67" xfId="21760" xr:uid="{E8EE8466-B946-461B-B68B-28EB465D3176}"/>
    <cellStyle name="スタイル 670" xfId="21761" xr:uid="{2E25FA7F-A728-498E-A6E0-E1B511C6F219}"/>
    <cellStyle name="スタイル 671" xfId="21762" xr:uid="{688A3F74-3502-4083-85A1-EAC14E557185}"/>
    <cellStyle name="スタイル 672" xfId="21763" xr:uid="{C680F26A-0474-41D2-98D6-4827208F8E2E}"/>
    <cellStyle name="スタイル 673" xfId="21764" xr:uid="{EF7D3D4A-CB6D-4F03-94A5-98B2FCACEC6C}"/>
    <cellStyle name="スタイル 674" xfId="21765" xr:uid="{328F77B6-04B1-4117-AD5C-17226763E988}"/>
    <cellStyle name="スタイル 675" xfId="21766" xr:uid="{89E45A01-7D2C-4473-B6ED-CAC8A093F69C}"/>
    <cellStyle name="スタイル 676" xfId="21767" xr:uid="{0E77E103-807A-4C86-B709-D16F03928F32}"/>
    <cellStyle name="スタイル 677" xfId="21768" xr:uid="{40251BB2-8814-4366-86E9-F573A159B305}"/>
    <cellStyle name="スタイル 678" xfId="21769" xr:uid="{BE67F35C-DB4E-41D0-863B-8A1C9AA3F15D}"/>
    <cellStyle name="スタイル 679" xfId="21770" xr:uid="{68F7453B-EC2A-41D3-B248-754E4FD4CB22}"/>
    <cellStyle name="スタイル 68" xfId="21771" xr:uid="{9D4ACD4D-7060-4B79-9B2F-49204EA89E4A}"/>
    <cellStyle name="スタイル 680" xfId="21772" xr:uid="{40E98153-49D2-436D-B06C-2EE7A4CD3F0A}"/>
    <cellStyle name="スタイル 681" xfId="21773" xr:uid="{D36D6D50-01E9-4159-B053-CEF53FB22403}"/>
    <cellStyle name="スタイル 682" xfId="21774" xr:uid="{62B9DEDB-400F-41BE-BFD6-5E356DF2F45F}"/>
    <cellStyle name="スタイル 683" xfId="21775" xr:uid="{05498740-B945-429C-A056-081C03197B87}"/>
    <cellStyle name="スタイル 69" xfId="21776" xr:uid="{E24955EA-FD0B-4F54-8F42-2BBC3FE47F88}"/>
    <cellStyle name="スタイル 7" xfId="21777" xr:uid="{511B9037-6B2B-4C96-BF1F-05A24D7E247F}"/>
    <cellStyle name="スタイル 7 2" xfId="21778" xr:uid="{75FD09B3-A1A4-4B96-850A-26A808C3FB87}"/>
    <cellStyle name="スタイル 70" xfId="21779" xr:uid="{B37F48FE-A12C-4F11-AE28-45FB91822426}"/>
    <cellStyle name="スタイル 71" xfId="21780" xr:uid="{4EAA84EC-7240-4644-AAB2-E9B8FC43C0AB}"/>
    <cellStyle name="スタイル 72" xfId="21781" xr:uid="{71FA679C-150A-48D6-A46E-CB39E42B6EBB}"/>
    <cellStyle name="スタイル 73" xfId="21782" xr:uid="{D75F5309-1D90-44B1-97B4-58C59F872F93}"/>
    <cellStyle name="スタイル 74" xfId="21783" xr:uid="{EBFDCCE2-2A33-4831-A955-3DD24A5AD6D4}"/>
    <cellStyle name="スタイル 75" xfId="21784" xr:uid="{E37B2E26-4D32-4372-9C19-DDA115BF059D}"/>
    <cellStyle name="スタイル 76" xfId="21785" xr:uid="{F15C1234-4130-4061-8772-AF417F1C6F38}"/>
    <cellStyle name="スタイル 77" xfId="21786" xr:uid="{C12FF7E5-80B1-4857-B960-E912CEF44D57}"/>
    <cellStyle name="スタイル 78" xfId="21787" xr:uid="{089449FF-C57A-4430-9FCC-2015CAB0B0C2}"/>
    <cellStyle name="スタイル 79" xfId="21788" xr:uid="{ACFC01BD-3F32-45CC-B698-32BFC53D62E7}"/>
    <cellStyle name="スタイル 8" xfId="21789" xr:uid="{C644D413-EE65-44F7-9BF4-FF6D44D53AF9}"/>
    <cellStyle name="スタイル 8 2" xfId="21790" xr:uid="{3F32715F-A346-4770-9FD8-90D83DC2BAAB}"/>
    <cellStyle name="スタイル 80" xfId="21791" xr:uid="{B0E3D082-24D6-4782-9D0E-A99F3EAC4200}"/>
    <cellStyle name="スタイル 81" xfId="21792" xr:uid="{2CDFE3DC-F9D3-418C-842D-4076B4249C04}"/>
    <cellStyle name="スタイル 82" xfId="21793" xr:uid="{CBCBF491-6597-47DD-ACC5-1D4C89149670}"/>
    <cellStyle name="スタイル 83" xfId="21794" xr:uid="{4947ACFD-4A34-4B76-AA88-03ADA11BF9D5}"/>
    <cellStyle name="スタイル 84" xfId="21795" xr:uid="{90216939-4AC4-4219-BC0E-5232383BC586}"/>
    <cellStyle name="スタイル 85" xfId="21796" xr:uid="{66EEAA21-6262-45CC-AC84-26CBF4E64438}"/>
    <cellStyle name="スタイル 86" xfId="21797" xr:uid="{DCEAE7EC-762F-4FC8-9C55-5D18EC7B5AB1}"/>
    <cellStyle name="スタイル 87" xfId="21798" xr:uid="{02A30FBA-597E-467C-B93C-D6C56B4F1CBE}"/>
    <cellStyle name="スタイル 88" xfId="21799" xr:uid="{C99AD71A-EE2A-4764-A169-5E80E4F5EE39}"/>
    <cellStyle name="スタイル 89" xfId="21800" xr:uid="{FDF1E3B9-5AD8-4047-931C-A3CC463023C8}"/>
    <cellStyle name="スタイル 9" xfId="21801" xr:uid="{4B5A9FFE-3133-4D62-A086-0CC18E4EBCF6}"/>
    <cellStyle name="スタイル 9 2" xfId="21802" xr:uid="{3E9655F2-75B4-48AA-820C-C8BDC377DBD7}"/>
    <cellStyle name="スタイル 90" xfId="21803" xr:uid="{768B31B7-347A-475E-B47A-B457F32AB0A4}"/>
    <cellStyle name="スタイル 91" xfId="21804" xr:uid="{BB9FCE07-AF0C-44B2-9B06-3DF837DC0602}"/>
    <cellStyle name="スタイル 92" xfId="21805" xr:uid="{18C632B8-AC1C-4F83-8A90-173923B2F127}"/>
    <cellStyle name="スタイル 93" xfId="21806" xr:uid="{CAE5FD11-DF72-46E8-A854-A5BB26B1F71F}"/>
    <cellStyle name="スタイル 94" xfId="21807" xr:uid="{2870F442-1594-49E0-B3C9-E4F2297F2356}"/>
    <cellStyle name="スタイル 95" xfId="21808" xr:uid="{E03569C5-35D8-4F99-B88D-05F53D0047CE}"/>
    <cellStyle name="スタイル 96" xfId="21809" xr:uid="{B4A27FF9-3E1B-46DE-AAF3-B8FCFA4778DD}"/>
    <cellStyle name="スタイル 97" xfId="21810" xr:uid="{360E7B2E-3B36-48B6-A3DE-1680E36131F3}"/>
    <cellStyle name="スタイル 98" xfId="21811" xr:uid="{16C05B21-948B-4DEF-92B2-940CED8510DD}"/>
    <cellStyle name="スタイル 99" xfId="21812" xr:uid="{F10742B3-A014-4620-9F16-F99DDEAC2709}"/>
    <cellStyle name="ﾀHｫ皙ｺｶWｳsｵｲ" xfId="21813" xr:uid="{55C0CFE4-35E3-40EC-ADE7-81AC166FCB1E}"/>
    <cellStyle name="タイトル 2" xfId="21814" xr:uid="{1421665B-CA1D-453C-A4BB-59E9F863B5F9}"/>
    <cellStyle name="タイトル 2 2" xfId="21815" xr:uid="{87918A3A-FD33-4298-B744-9CE00592466C}"/>
    <cellStyle name="タイトル 3" xfId="21816" xr:uid="{5B631D76-CBE0-48C7-8985-4100AF8BADE9}"/>
    <cellStyle name="チェック セル 2" xfId="21817" xr:uid="{31C2DDB6-6440-4301-8581-772618BE49BF}"/>
    <cellStyle name="チェック セル 2 2" xfId="21818" xr:uid="{B3F1A1EE-BB1F-4EDF-8FE6-AB6DB828A89A}"/>
    <cellStyle name="チェック セル 3" xfId="21819" xr:uid="{2C934BCD-BE4D-4D99-9ACC-9FBD87F515A5}"/>
    <cellStyle name="テーブル 1" xfId="21820" xr:uid="{0DCF2FE6-96EF-44EE-AEF8-0BB583DBCFE6}"/>
    <cellStyle name="ﾄﾞｸｶ [0]_ｰ豼ｵﾃﾟﾁ " xfId="21821" xr:uid="{1415CAB2-4186-4E21-AD8C-1A5C4FA97667}"/>
    <cellStyle name="ﾄﾞｸｶ_ｰ豼ｵﾃﾟﾁ " xfId="21822" xr:uid="{A451DF4B-9104-4BDF-87D2-8CC13F7A7F86}"/>
    <cellStyle name="どちらでもない 2" xfId="21823" xr:uid="{C352E2A1-7F57-43D1-AF65-AF0E185DE187}"/>
    <cellStyle name="どちらでもない 2 2" xfId="21824" xr:uid="{19A2D36D-9A40-4B3F-824E-ECA6AC3D7F2F}"/>
    <cellStyle name="どちらでもない 3" xfId="21825" xr:uid="{A62771CC-DBC6-4714-9132-3B087615F1C3}"/>
    <cellStyle name="ﾅ・ｭ [0]_ｰ豼ｵﾃﾟﾁ " xfId="21826" xr:uid="{10A2DAD5-91A6-4BF5-B070-CF56AB39E16A}"/>
    <cellStyle name="ﾅ・ｭ_ｰ豼ｵﾃﾟﾁ " xfId="21827" xr:uid="{C379DC89-9E81-4013-A7FE-7C4A31288BA9}"/>
    <cellStyle name="ﾇ･ﾁﾘ_ｰ霾ｹ" xfId="21828" xr:uid="{08BDD5A4-D253-405E-A910-A210D0428E15}"/>
    <cellStyle name="ﾇﾏﾀﾌﾆﾛｸｵﾅｩ" xfId="21829" xr:uid="{24927568-A7F6-4DC4-9B33-48A1DEEFAB6D}"/>
    <cellStyle name="パーセント 10" xfId="21830" xr:uid="{F794F301-D1AD-4C61-8455-E9AE926D1DBC}"/>
    <cellStyle name="パーセント 11" xfId="21831" xr:uid="{389E1D37-B0D2-4BE2-B082-2AFD1EEE88E2}"/>
    <cellStyle name="パーセント 12" xfId="21832" xr:uid="{1FC46C25-9FBE-4C8E-BB66-3A7A4CF9ABD4}"/>
    <cellStyle name="パーセント 2" xfId="21833" xr:uid="{A6BFE721-1125-42A2-B93C-5B9B1E08039B}"/>
    <cellStyle name="パーセント 2 2" xfId="21834" xr:uid="{6203E86B-76FA-48D0-AA7C-A30A7271C7F9}"/>
    <cellStyle name="パーセント 2 2 2" xfId="21835" xr:uid="{BB53B327-A622-4DF2-9F51-6419C7FE6E94}"/>
    <cellStyle name="パーセント 2 2 3" xfId="21836" xr:uid="{61095D19-AFB0-4284-954E-0DD71DAFCCEB}"/>
    <cellStyle name="パーセント 2 2 4" xfId="21837" xr:uid="{93F1FCF6-1CA5-47A0-82C3-C0FB47836CBE}"/>
    <cellStyle name="パーセント 2 3" xfId="21838" xr:uid="{8D1F46FE-256F-4DD7-B75F-6BD0730AADE5}"/>
    <cellStyle name="パーセント 2 4" xfId="21839" xr:uid="{E8399311-E614-4095-B9B9-CCBA98E1C48B}"/>
    <cellStyle name="パーセント 2 5" xfId="21840" xr:uid="{E8377A9B-E224-4D1B-BACD-B8003293FA61}"/>
    <cellStyle name="パーセント 3" xfId="9" xr:uid="{8E406860-D6DC-447D-AF21-3BA8A5CD20D3}"/>
    <cellStyle name="パーセント 3 2" xfId="21842" xr:uid="{F6FAE0BE-D1F7-41D0-9319-18A38BEC4B13}"/>
    <cellStyle name="パーセント 3 3" xfId="21843" xr:uid="{1D31E7FC-461C-4157-8624-4A283D6A180B}"/>
    <cellStyle name="パーセント 3 4" xfId="21844" xr:uid="{3A5C1068-D79A-45FC-BC48-B7B56F46C0AC}"/>
    <cellStyle name="パーセント 3 5" xfId="21845" xr:uid="{6CB5CB46-D96D-43E9-B30C-ABE8E5202960}"/>
    <cellStyle name="パーセント 3 6" xfId="21841" xr:uid="{3827E68B-88BC-4CDC-AD9F-382C31EAF8DF}"/>
    <cellStyle name="パーセント 4" xfId="21846" xr:uid="{4DDBBED1-13A6-41A9-9CE3-F28CBFC97A65}"/>
    <cellStyle name="パーセント 4 2" xfId="21847" xr:uid="{25AF3F65-135A-4D48-B827-8316A672C2CD}"/>
    <cellStyle name="パーセント 4 3" xfId="21848" xr:uid="{125433E6-34D0-4F64-9B8A-FE4DC6C8C86D}"/>
    <cellStyle name="パーセント 5" xfId="21849" xr:uid="{764607B8-5CD2-428B-BE06-1FE208541076}"/>
    <cellStyle name="パーセント 5 2" xfId="21850" xr:uid="{A113B0F8-C8CB-4FE5-85B1-804918644368}"/>
    <cellStyle name="パーセント 5 3" xfId="21851" xr:uid="{49E80188-F9B7-4506-87BB-E431E9CF0A4E}"/>
    <cellStyle name="パーセント 5 3 2" xfId="21852" xr:uid="{A07C53FC-75AD-44F6-BC94-795E2451AE83}"/>
    <cellStyle name="パーセント 5 3 2 2" xfId="21853" xr:uid="{469DBCBB-40E8-4666-AFC6-2F33E5CDBAFC}"/>
    <cellStyle name="パーセント 5 3 3" xfId="21854" xr:uid="{D3272B5D-C560-4A91-8A0F-D79B4FE5661B}"/>
    <cellStyle name="パーセント 5 4" xfId="21855" xr:uid="{90A8951B-24F5-46DB-8A04-8610E5C9CEF0}"/>
    <cellStyle name="パーセント 5 5" xfId="21856" xr:uid="{0C6646EB-1120-4EC4-8688-DA2C22CD9E6F}"/>
    <cellStyle name="パーセント 6" xfId="21857" xr:uid="{99CB2F3A-8997-4EDE-8B36-06C01C3F3E1F}"/>
    <cellStyle name="パーセント 7" xfId="21858" xr:uid="{45C19247-370A-465A-AD77-FF2556735A09}"/>
    <cellStyle name="パーセント 8" xfId="21859" xr:uid="{0F9FBD97-F832-45AB-87CC-F4F64EE8EB70}"/>
    <cellStyle name="パーセント 9" xfId="21860" xr:uid="{BC5D5448-A918-4D07-A744-2020EE81B761}"/>
    <cellStyle name="ハイパー??ク" xfId="21861" xr:uid="{D1C3EEC7-EB15-4611-9911-5E230C494463}"/>
    <cellStyle name="ハイパー??ク 2" xfId="21862" xr:uid="{AC47118D-1839-409B-A40B-82EAF0901E3B}"/>
    <cellStyle name="ハイパー??ク 3" xfId="21863" xr:uid="{848DA675-82F7-4B40-9971-9CDC759DC1DB}"/>
    <cellStyle name="ハイパーリンク_x0003_" xfId="21864" xr:uid="{6A0BA17A-A9D8-4EC7-B194-B0F82D8D4385}"/>
    <cellStyle name="ハイパーリンク??" xfId="21865" xr:uid="{7ABE9DE8-C921-4F11-9C06-2B58933A3C68}"/>
    <cellStyle name="ハイパーリンク??MSOBA" xfId="21866" xr:uid="{6DB7CFB3-CF1D-4B7F-9495-C4AFE616BB6A}"/>
    <cellStyle name="ハイパーリンク??_x0019_太尺" xfId="21867" xr:uid="{D374D6B2-FC68-4D8E-94C8-3C98FA2B0EC5}"/>
    <cellStyle name="ハイパーリンク?AWINNOre open" xfId="21868" xr:uid="{848114F5-CAC0-4E66-A57E-46C14276C6D2}"/>
    <cellStyle name="ハイパーリンク?AWINNO慨敲䑤ㅧ㔹䴲瑵" xfId="21869" xr:uid="{11B66E4F-E937-4975-B4BC-40ADE35E8B96}"/>
    <cellStyle name="ハイパーリンクCCMos" xfId="21870" xr:uid="{0B7223D2-7377-400D-8333-BD59B1C836DE}"/>
    <cellStyle name="ハイパーリンクTF Mix " xfId="21871" xr:uid="{CA2F285D-F8E8-439C-9054-D25B87C0B4F9}"/>
    <cellStyle name="ハイパーリンクuscodes" xfId="21872" xr:uid="{0E73C9D3-892F-461D-A990-2617BEF980CD}"/>
    <cellStyle name="ハイパーリンクXterra " xfId="21873" xr:uid="{5D9B604A-90FF-488C-840E-ACA2976B073C}"/>
    <cellStyle name="ハイパーリンクｹｰ霾ｹｹ1t" xfId="21874" xr:uid="{6432BC73-0B6F-466A-B61C-925E20B7438F}"/>
    <cellStyle name="ハイパーリンクｹｰ霾ｹｹle" xfId="21875" xr:uid="{5860D181-F694-4A41-9979-0CC3C8EDD210}"/>
    <cellStyle name="ハイパーリンク샀ÀWINNO" xfId="21876" xr:uid="{2604DE99-49A9-43CF-A305-F2787CEA5C8B}"/>
    <cellStyle name="ハイパーリンク탔ÈkMoni" xfId="21877" xr:uid="{B21B7015-083E-4055-9AE8-466A58B0B29C}"/>
    <cellStyle name="まんなか" xfId="21878" xr:uid="{909A9A5A-CAE1-44BE-AC1B-C208036A0975}"/>
    <cellStyle name="メモ 10" xfId="21879" xr:uid="{9A391D22-5B39-4AA1-97D9-FABB5DEB7976}"/>
    <cellStyle name="メモ 11" xfId="21880" xr:uid="{071E6EA2-35BC-4296-BFA8-004F6CE9EB94}"/>
    <cellStyle name="メモ 2" xfId="21881" xr:uid="{D26A8CAD-7FA0-44D5-814E-B52D0C6AD5FD}"/>
    <cellStyle name="メモ 2 10" xfId="21882" xr:uid="{AD65AC55-E3B2-4643-AEE2-6A74054AE02B}"/>
    <cellStyle name="メモ 2 10 2" xfId="37782" xr:uid="{F354A2B1-C349-4717-B459-9C87CF698411}"/>
    <cellStyle name="メモ 2 11" xfId="21883" xr:uid="{2C2B7EDB-7BF0-4C34-8913-6AADAD7991FD}"/>
    <cellStyle name="メモ 2 11 2" xfId="35097" xr:uid="{52216D0D-9D3D-4836-A74E-B5BF6C8693FC}"/>
    <cellStyle name="メモ 2 12" xfId="21884" xr:uid="{F41CE85E-077B-4E89-A157-C8A257E2DF1E}"/>
    <cellStyle name="メモ 2 12 2" xfId="35098" xr:uid="{A51E8412-76F5-4DE3-B6E9-705572FDE867}"/>
    <cellStyle name="メモ 2 13" xfId="21885" xr:uid="{0343B2DE-8183-42A0-A9C2-400D5B2FCAD7}"/>
    <cellStyle name="メモ 2 13 2" xfId="27773" xr:uid="{32F863C0-F41F-440B-99C3-82F873AA512C}"/>
    <cellStyle name="メモ 2 14" xfId="21886" xr:uid="{92925E41-A14C-4B7A-B051-F4034328ECD5}"/>
    <cellStyle name="メモ 2 14 2" xfId="35099" xr:uid="{391D8B62-92E6-4820-9653-75F710802917}"/>
    <cellStyle name="メモ 2 15" xfId="21887" xr:uid="{0CC05570-3C6B-44E1-A601-75AF8E7DC60A}"/>
    <cellStyle name="メモ 2 15 2" xfId="35100" xr:uid="{7DBADF68-E552-4779-91D8-983B7C5CB3DE}"/>
    <cellStyle name="メモ 2 16" xfId="21888" xr:uid="{D8866B63-D306-4C76-96EE-738FB78C57D0}"/>
    <cellStyle name="メモ 2 16 2" xfId="35101" xr:uid="{92378438-317C-496F-978D-6911877181FD}"/>
    <cellStyle name="メモ 2 17" xfId="21889" xr:uid="{5EAF10FA-0472-47B9-9619-178C245581F1}"/>
    <cellStyle name="メモ 2 17 2" xfId="35102" xr:uid="{50E01821-0915-4F49-B990-0C59737BAFC9}"/>
    <cellStyle name="メモ 2 18" xfId="21890" xr:uid="{9DAC73CD-3F29-4A20-8185-8F0081AD3904}"/>
    <cellStyle name="メモ 2 18 2" xfId="27774" xr:uid="{0B4B83D1-15EE-4D37-9111-98CD64029182}"/>
    <cellStyle name="メモ 2 19" xfId="21891" xr:uid="{2327C6B1-3CC3-4A27-9105-96D9E121E3C1}"/>
    <cellStyle name="メモ 2 19 2" xfId="35103" xr:uid="{C4E0C5C3-24D4-4EAC-A28B-774951E6ECD4}"/>
    <cellStyle name="メモ 2 2" xfId="21892" xr:uid="{7D39A2BA-9BC8-4B95-829A-71C48991CA76}"/>
    <cellStyle name="メモ 2 2 10" xfId="21893" xr:uid="{63029168-9C6A-4F5E-9339-295793000B02}"/>
    <cellStyle name="メモ 2 2 10 2" xfId="35105" xr:uid="{D823BEC3-E072-4BCB-B0BE-D1C252C49411}"/>
    <cellStyle name="メモ 2 2 11" xfId="21894" xr:uid="{1B60A0E0-22B9-4E6A-A112-09DE3A9AFEBA}"/>
    <cellStyle name="メモ 2 2 11 2" xfId="27775" xr:uid="{F63F6888-075C-4AB9-B8F6-136466327127}"/>
    <cellStyle name="メモ 2 2 12" xfId="21895" xr:uid="{B04EC44F-114D-45AF-809A-992827EC1D3A}"/>
    <cellStyle name="メモ 2 2 12 2" xfId="35106" xr:uid="{E7DED781-0586-4C0A-AD98-C3A6A49B254D}"/>
    <cellStyle name="メモ 2 2 13" xfId="21896" xr:uid="{97CE62E6-74E1-4D26-9351-D22368C6880A}"/>
    <cellStyle name="メモ 2 2 13 2" xfId="27776" xr:uid="{7AEFD096-01A5-4CD4-B284-40910EC9DE40}"/>
    <cellStyle name="メモ 2 2 14" xfId="21897" xr:uid="{8069D4B0-81BD-4C33-B224-6245E9E78AEF}"/>
    <cellStyle name="メモ 2 2 14 2" xfId="35107" xr:uid="{66E2FC2F-1F80-4820-8324-B1F742D1C8F2}"/>
    <cellStyle name="メモ 2 2 15" xfId="21898" xr:uid="{BF7AF74B-1835-4A6E-8B0D-39C48E8D5449}"/>
    <cellStyle name="メモ 2 2 15 2" xfId="35108" xr:uid="{41FEAF76-68FE-4FED-80FE-017ABFB98EA5}"/>
    <cellStyle name="メモ 2 2 16" xfId="21899" xr:uid="{55EBF3A5-E62E-42E7-B8DA-B0C699182172}"/>
    <cellStyle name="メモ 2 2 16 2" xfId="37783" xr:uid="{B060311F-014C-4577-9065-1DC321B84D4A}"/>
    <cellStyle name="メモ 2 2 17" xfId="21900" xr:uid="{79427D4D-D992-4E18-AE05-201B243FA18A}"/>
    <cellStyle name="メモ 2 2 17 2" xfId="35109" xr:uid="{CB4155B2-B0FF-4CBA-B23C-E688E673A643}"/>
    <cellStyle name="メモ 2 2 18" xfId="21901" xr:uid="{3F316210-7C92-4FF3-A44E-13F539EBB9A3}"/>
    <cellStyle name="メモ 2 2 18 2" xfId="35110" xr:uid="{B0F7B568-0F6C-4A92-BF8B-66F042575860}"/>
    <cellStyle name="メモ 2 2 19" xfId="21902" xr:uid="{9336AA28-EE09-4980-AE0D-5AA2CA42F790}"/>
    <cellStyle name="メモ 2 2 19 2" xfId="35111" xr:uid="{38FC8C95-F83E-4878-90F3-15CE98958F15}"/>
    <cellStyle name="メモ 2 2 2" xfId="21903" xr:uid="{FBD56B53-02C7-45AF-8306-8AEF18F030C2}"/>
    <cellStyle name="メモ 2 2 2 10" xfId="21904" xr:uid="{6CC49135-292D-45E0-8DA5-F79E1F2137F8}"/>
    <cellStyle name="メモ 2 2 2 10 2" xfId="35113" xr:uid="{F16F8A64-CFAF-4BEC-88A4-692425B0353B}"/>
    <cellStyle name="メモ 2 2 2 11" xfId="21905" xr:uid="{9BF64F2B-0467-49D9-9D36-1D5B97218FB4}"/>
    <cellStyle name="メモ 2 2 2 11 2" xfId="27777" xr:uid="{21CD38F4-D9F7-4586-9057-669B8029C695}"/>
    <cellStyle name="メモ 2 2 2 12" xfId="21906" xr:uid="{1D91272B-DC27-4F3C-BE66-4227A34C683A}"/>
    <cellStyle name="メモ 2 2 2 12 2" xfId="35114" xr:uid="{54A48AC9-6390-476A-AF68-5442D9819ECD}"/>
    <cellStyle name="メモ 2 2 2 13" xfId="21907" xr:uid="{1DBD6520-4108-4CF2-8B89-0428DF57C8C2}"/>
    <cellStyle name="メモ 2 2 2 13 2" xfId="35115" xr:uid="{2B124D65-0957-4181-B4C2-17F1D02FD7DE}"/>
    <cellStyle name="メモ 2 2 2 14" xfId="21908" xr:uid="{B4028189-8FBC-4821-B6BE-7DD33570B1CF}"/>
    <cellStyle name="メモ 2 2 2 14 2" xfId="35116" xr:uid="{61DB4CDE-4BFB-426F-9CEB-57F61889BCEB}"/>
    <cellStyle name="メモ 2 2 2 15" xfId="21909" xr:uid="{3611E730-3C78-445F-B8DA-FC15C9F4EB1C}"/>
    <cellStyle name="メモ 2 2 2 15 2" xfId="35117" xr:uid="{C678C067-0807-460B-882B-EE3F14CC58E9}"/>
    <cellStyle name="メモ 2 2 2 16" xfId="35112" xr:uid="{8654D6DE-5718-4786-A6BC-3B1BAEDC2F91}"/>
    <cellStyle name="メモ 2 2 2 2" xfId="21910" xr:uid="{BC62EC1F-1371-43B2-A218-2C58C902FF52}"/>
    <cellStyle name="メモ 2 2 2 2 2" xfId="35118" xr:uid="{02D2D344-C995-459A-BD3A-DC6BBCC7530A}"/>
    <cellStyle name="メモ 2 2 2 3" xfId="21911" xr:uid="{FA218402-33CA-487D-AFCB-76708DCB0373}"/>
    <cellStyle name="メモ 2 2 2 3 2" xfId="35119" xr:uid="{15366507-30E7-4F7F-B5B9-132BA7E473E1}"/>
    <cellStyle name="メモ 2 2 2 4" xfId="21912" xr:uid="{8D67B5A3-FA92-4653-A8CD-54DB72E4401B}"/>
    <cellStyle name="メモ 2 2 2 4 2" xfId="35120" xr:uid="{CE83D976-0D76-47F6-A75B-A03A9F2B2CEE}"/>
    <cellStyle name="メモ 2 2 2 5" xfId="21913" xr:uid="{3C930981-9823-43F8-967B-26AC4F3DF611}"/>
    <cellStyle name="メモ 2 2 2 5 2" xfId="35121" xr:uid="{0DAE784E-F008-4D91-9F05-46B04E6C09D1}"/>
    <cellStyle name="メモ 2 2 2 6" xfId="21914" xr:uid="{711BEBE2-F89B-42C6-AE78-1843622B0708}"/>
    <cellStyle name="メモ 2 2 2 6 2" xfId="35122" xr:uid="{C9B5A4EE-41C5-40C6-9D58-31495D09D57E}"/>
    <cellStyle name="メモ 2 2 2 7" xfId="21915" xr:uid="{7F0B203E-E89E-4EFF-979A-9006CE203757}"/>
    <cellStyle name="メモ 2 2 2 7 2" xfId="35123" xr:uid="{6B966DB9-F6F7-4071-9F92-E58547773D21}"/>
    <cellStyle name="メモ 2 2 2 8" xfId="21916" xr:uid="{FB4C3347-A28F-4F4D-8FED-F343FF2F3BA3}"/>
    <cellStyle name="メモ 2 2 2 8 2" xfId="35124" xr:uid="{D3C5B629-BAF1-4815-A445-F66BCE3803D7}"/>
    <cellStyle name="メモ 2 2 2 9" xfId="21917" xr:uid="{0F001EE7-B4EB-4D67-B260-4386766EFF55}"/>
    <cellStyle name="メモ 2 2 2 9 2" xfId="35125" xr:uid="{0E165137-B067-4108-8483-069E4D37E5AC}"/>
    <cellStyle name="メモ 2 2 20" xfId="21918" xr:uid="{F8FDF1EF-51EB-4A96-9CFD-5A13B223045A}"/>
    <cellStyle name="メモ 2 2 20 2" xfId="35126" xr:uid="{4DCEE3F2-2155-452B-B965-25AF24F6B269}"/>
    <cellStyle name="メモ 2 2 21" xfId="21919" xr:uid="{BC4F8305-605E-4F41-9030-A249E9F07BA0}"/>
    <cellStyle name="メモ 2 2 21 2" xfId="35127" xr:uid="{2AD40F13-FFB3-4410-94B9-4814147EDE3C}"/>
    <cellStyle name="メモ 2 2 22" xfId="21920" xr:uid="{C3CCCE44-BB37-4C07-A3AE-D17ACA51A66C}"/>
    <cellStyle name="メモ 2 2 22 2" xfId="35128" xr:uid="{53F96BE5-23C3-4194-93B5-55B6FF12A6CA}"/>
    <cellStyle name="メモ 2 2 23" xfId="35104" xr:uid="{B4A18AFD-B4B6-45E0-A09E-5AE63D42FBA9}"/>
    <cellStyle name="メモ 2 2 3" xfId="21921" xr:uid="{77FA0F4F-A232-44BB-8448-77CA88087D27}"/>
    <cellStyle name="メモ 2 2 3 2" xfId="35129" xr:uid="{486FC238-E2CF-4803-9588-BF7F8FEB0A77}"/>
    <cellStyle name="メモ 2 2 4" xfId="21922" xr:uid="{EDDCCFC9-483D-425B-84D6-1721F2F8356F}"/>
    <cellStyle name="メモ 2 2 4 2" xfId="35130" xr:uid="{9A8DEFE7-763B-4A31-9398-91A6C345262B}"/>
    <cellStyle name="メモ 2 2 5" xfId="21923" xr:uid="{D4016215-A5AD-4FD4-A788-CACC03DF1827}"/>
    <cellStyle name="メモ 2 2 5 2" xfId="35131" xr:uid="{330C0AB2-11E2-4EC0-ACAA-B8750D92662E}"/>
    <cellStyle name="メモ 2 2 6" xfId="21924" xr:uid="{45A4F298-B0B3-4DE3-B930-D4EDD80CBAA9}"/>
    <cellStyle name="メモ 2 2 6 2" xfId="35132" xr:uid="{EAA8BE21-7ABB-4B55-AC66-1918DEA79474}"/>
    <cellStyle name="メモ 2 2 7" xfId="21925" xr:uid="{9F19B3C6-7509-4D5E-8A7E-CF8A54D4F978}"/>
    <cellStyle name="メモ 2 2 7 2" xfId="35133" xr:uid="{E96986FB-3AAC-4B50-ADEE-72CD67D9214D}"/>
    <cellStyle name="メモ 2 2 8" xfId="21926" xr:uid="{8B2AF3B8-4856-4C2F-AE22-F55EA0DE8583}"/>
    <cellStyle name="メモ 2 2 8 2" xfId="35134" xr:uid="{E9DEBB41-94F4-4D52-A80E-EB403F8EDEEE}"/>
    <cellStyle name="メモ 2 2 9" xfId="21927" xr:uid="{D32952CB-6E0C-404D-B193-2200AA147A64}"/>
    <cellStyle name="メモ 2 2 9 2" xfId="35135" xr:uid="{E4E93806-8A76-446A-9F96-2F7AAF9C3AA7}"/>
    <cellStyle name="メモ 2 20" xfId="21928" xr:uid="{FAC1E7B0-55B3-4A3B-9723-955BF5946D3C}"/>
    <cellStyle name="メモ 2 20 2" xfId="35136" xr:uid="{67178F3C-EEFA-4A3C-A5E0-E56E09F25D47}"/>
    <cellStyle name="メモ 2 21" xfId="21929" xr:uid="{DCE0B52A-A841-4088-994E-2B9B165CC1FE}"/>
    <cellStyle name="メモ 2 21 2" xfId="35137" xr:uid="{5B11F762-D49E-47B9-8200-5432DC9A2EDC}"/>
    <cellStyle name="メモ 2 22" xfId="35096" xr:uid="{C808242A-7E29-4673-A92A-2A45EBDD0E79}"/>
    <cellStyle name="メモ 2 3" xfId="21930" xr:uid="{BA0E52A6-0CB8-4276-B5AE-7944B0F8681E}"/>
    <cellStyle name="メモ 2 3 10" xfId="21931" xr:uid="{049D81F7-75FD-4BED-81FE-5F69C6BE8853}"/>
    <cellStyle name="メモ 2 3 10 2" xfId="35139" xr:uid="{B5EC66BD-D2F7-497F-98A5-8A76C4CC934D}"/>
    <cellStyle name="メモ 2 3 11" xfId="21932" xr:uid="{5E391637-B327-4B1E-B21C-C57A9EBADF13}"/>
    <cellStyle name="メモ 2 3 11 2" xfId="35140" xr:uid="{DC924589-FBA0-44FB-B3D4-43DC5D6CD092}"/>
    <cellStyle name="メモ 2 3 12" xfId="21933" xr:uid="{B10D93BB-7588-4A0A-AADF-81AC710B3B5C}"/>
    <cellStyle name="メモ 2 3 12 2" xfId="35141" xr:uid="{80D34584-4D2B-43E1-9625-E7D5DDF7D1A5}"/>
    <cellStyle name="メモ 2 3 13" xfId="21934" xr:uid="{1630D510-64C7-4713-97E7-5632E366E46F}"/>
    <cellStyle name="メモ 2 3 13 2" xfId="35142" xr:uid="{0E5AD2FD-21DF-4075-916B-B9866B9047EC}"/>
    <cellStyle name="メモ 2 3 14" xfId="21935" xr:uid="{686E6C0F-D334-40AE-BAA9-1CB81ED03D01}"/>
    <cellStyle name="メモ 2 3 14 2" xfId="35143" xr:uid="{B7F9CBF0-F74C-4280-8203-2188C9B546AB}"/>
    <cellStyle name="メモ 2 3 15" xfId="21936" xr:uid="{1D2B44FD-B6E4-4243-ACF5-A99864065F2D}"/>
    <cellStyle name="メモ 2 3 15 2" xfId="35144" xr:uid="{458A0BA9-E2EB-4811-BDE6-77E52CD3938F}"/>
    <cellStyle name="メモ 2 3 16" xfId="35138" xr:uid="{724FC013-4E34-4FF8-ACC3-B9E3627FDEF6}"/>
    <cellStyle name="メモ 2 3 2" xfId="21937" xr:uid="{F1BDC41C-246B-48C1-BE9D-C1A19A5B226D}"/>
    <cellStyle name="メモ 2 3 2 2" xfId="35145" xr:uid="{A9CA248E-4012-4071-87D7-C1B1469E156D}"/>
    <cellStyle name="メモ 2 3 3" xfId="21938" xr:uid="{68D7D663-D4D7-4D35-8907-ACE1037EE4B0}"/>
    <cellStyle name="メモ 2 3 3 2" xfId="35146" xr:uid="{5C517408-74D9-4A43-8936-F04D7097F499}"/>
    <cellStyle name="メモ 2 3 4" xfId="21939" xr:uid="{2387CC05-AF25-4A6C-98D5-D28AB85C3E30}"/>
    <cellStyle name="メモ 2 3 4 2" xfId="35147" xr:uid="{FACAD267-4DA1-48F7-9556-6E965123C6B5}"/>
    <cellStyle name="メモ 2 3 5" xfId="21940" xr:uid="{C81DE202-7402-4702-B22E-0BFFCC0B20E9}"/>
    <cellStyle name="メモ 2 3 5 2" xfId="35148" xr:uid="{7EC9331E-FC74-4B52-8F31-06760224425D}"/>
    <cellStyle name="メモ 2 3 6" xfId="21941" xr:uid="{2A4C55F7-3FE2-428A-A79E-DBDEA861B251}"/>
    <cellStyle name="メモ 2 3 6 2" xfId="35149" xr:uid="{198FC0AE-F42A-4EDB-A255-7135DE6BD85A}"/>
    <cellStyle name="メモ 2 3 7" xfId="21942" xr:uid="{C6E28A00-DF7D-4B1F-9465-B46365DC1167}"/>
    <cellStyle name="メモ 2 3 7 2" xfId="35150" xr:uid="{AD4B9845-0224-40CD-BED5-6A199588F1A4}"/>
    <cellStyle name="メモ 2 3 8" xfId="21943" xr:uid="{23059F5E-EAEB-4FB3-8607-3EAAC2F1A532}"/>
    <cellStyle name="メモ 2 3 8 2" xfId="35151" xr:uid="{D721AC1B-0F27-471A-9BAF-93CF15F40DF2}"/>
    <cellStyle name="メモ 2 3 9" xfId="21944" xr:uid="{82822BC9-44E6-4EE7-B301-3DF720C88931}"/>
    <cellStyle name="メモ 2 3 9 2" xfId="35152" xr:uid="{F2C6E61D-E6DE-4854-894C-AB2F223958B4}"/>
    <cellStyle name="メモ 2 4" xfId="21945" xr:uid="{ACB796D3-CB5F-4A17-AC1B-20DE43F2562F}"/>
    <cellStyle name="メモ 2 4 2" xfId="35153" xr:uid="{7B862CDA-E8A9-4C97-9E07-E86C81110249}"/>
    <cellStyle name="メモ 2 5" xfId="21946" xr:uid="{646C1873-4ADF-4C02-88A9-3CD11A1A9A5B}"/>
    <cellStyle name="メモ 2 5 2" xfId="35154" xr:uid="{F0725BC6-31E2-45F9-B167-2356A5A8B839}"/>
    <cellStyle name="メモ 2 6" xfId="21947" xr:uid="{55070D0A-7BBB-4BB1-8085-9F7BBB96AD5D}"/>
    <cellStyle name="メモ 2 6 2" xfId="35165" xr:uid="{25C9E913-2D74-4FFF-8B82-57C97938FC1F}"/>
    <cellStyle name="メモ 2 7" xfId="21948" xr:uid="{3EB8FE99-8944-41F9-B098-0D07936FFE7F}"/>
    <cellStyle name="メモ 2 7 2" xfId="35166" xr:uid="{0FBB0CC3-B03A-4204-B145-0F5DD9FA19C7}"/>
    <cellStyle name="メモ 2 8" xfId="21949" xr:uid="{12655AA2-A846-4BF8-8E62-5C82C937E9C9}"/>
    <cellStyle name="メモ 2 8 2" xfId="35167" xr:uid="{5659E384-B56E-4BA5-B9AC-B3FE6CC9BA92}"/>
    <cellStyle name="メモ 2 9" xfId="21950" xr:uid="{97955D47-EC53-4E32-8D64-F734EB8F7FA6}"/>
    <cellStyle name="メモ 2 9 2" xfId="35168" xr:uid="{8FCF4C55-BA28-4EC7-A20D-78228C0120EE}"/>
    <cellStyle name="メモ 3" xfId="21951" xr:uid="{3B1C7EB0-260B-4DBE-82D3-F8B6A33E3BDD}"/>
    <cellStyle name="メモ 3 10" xfId="21952" xr:uid="{2040936E-3908-4F30-AD24-FAD22D75A7D0}"/>
    <cellStyle name="メモ 3 10 2" xfId="27778" xr:uid="{779C1316-C11F-4731-AF62-A456EF7F2CA7}"/>
    <cellStyle name="メモ 3 11" xfId="21953" xr:uid="{105F9C3C-0F92-4043-BAA5-83B27746089F}"/>
    <cellStyle name="メモ 3 11 2" xfId="35169" xr:uid="{A9E54828-E1AF-4779-99E5-B7FCBADC15C6}"/>
    <cellStyle name="メモ 3 12" xfId="21954" xr:uid="{E0A88A7D-7F45-43BA-B241-8AE2EF112C8B}"/>
    <cellStyle name="メモ 3 12 2" xfId="35170" xr:uid="{E788CA9A-8625-4C3A-B968-25A0C7876AE4}"/>
    <cellStyle name="メモ 3 13" xfId="21955" xr:uid="{39C250F4-E6B2-4E49-8CB7-C39690DBC3DE}"/>
    <cellStyle name="メモ 3 13 2" xfId="35171" xr:uid="{6EA43D1F-FF11-45DC-81AB-6511915E4FC3}"/>
    <cellStyle name="メモ 3 14" xfId="21956" xr:uid="{FE3175C5-21BF-4096-A34C-BDF379CC3E90}"/>
    <cellStyle name="メモ 3 14 2" xfId="37784" xr:uid="{A924B5C6-6E2D-4551-9F42-6421B314A937}"/>
    <cellStyle name="メモ 3 15" xfId="21957" xr:uid="{EDD40261-8D86-49D5-81B4-81BFF1A27B0E}"/>
    <cellStyle name="メモ 3 15 2" xfId="35172" xr:uid="{5070D14B-A8CD-4664-A9A2-3F34BBA3A2FF}"/>
    <cellStyle name="メモ 3 16" xfId="21958" xr:uid="{B0B1DCAF-F962-4C18-9E80-92567CEFDFCE}"/>
    <cellStyle name="メモ 3 16 2" xfId="35173" xr:uid="{22346D8E-F49D-42E4-BB0C-A73E8B6139AA}"/>
    <cellStyle name="メモ 3 17" xfId="21959" xr:uid="{3476BE97-25CC-4821-87C6-1FDB338C0641}"/>
    <cellStyle name="メモ 3 17 2" xfId="35174" xr:uid="{2446BD15-8861-427E-9BD4-007A4CEC8096}"/>
    <cellStyle name="メモ 3 18" xfId="21960" xr:uid="{676AE3E8-F83B-4868-A184-760F98B1AE29}"/>
    <cellStyle name="メモ 3 18 2" xfId="35175" xr:uid="{B77A40A7-1A30-4600-946C-7F124E5C7C5D}"/>
    <cellStyle name="メモ 3 19" xfId="21961" xr:uid="{B0F4F372-681B-45F0-BA04-567D753B8872}"/>
    <cellStyle name="メモ 3 19 2" xfId="35176" xr:uid="{8926F9B5-BB8C-4455-905E-2ADD32514E59}"/>
    <cellStyle name="メモ 3 2" xfId="21962" xr:uid="{4A9C9384-95D7-4168-BB2A-789B7DC3DA96}"/>
    <cellStyle name="メモ 3 2 10" xfId="21963" xr:uid="{4BF0AEF1-9FA4-4C15-9F37-AD78A98B4896}"/>
    <cellStyle name="メモ 3 2 10 2" xfId="35178" xr:uid="{8BD73825-6230-4DBA-9D17-C5C587D14ED1}"/>
    <cellStyle name="メモ 3 2 11" xfId="21964" xr:uid="{09A8E577-532E-447E-80D5-7C408C085E7A}"/>
    <cellStyle name="メモ 3 2 11 2" xfId="35181" xr:uid="{56F44AD9-2DF0-4D4E-BA25-5E642CF73591}"/>
    <cellStyle name="メモ 3 2 12" xfId="21965" xr:uid="{93DE1B8D-5FD1-4697-A2D4-7A8CE899A6D9}"/>
    <cellStyle name="メモ 3 2 12 2" xfId="35180" xr:uid="{060F12ED-3E40-4D37-87E1-7A9BE3EDA1E5}"/>
    <cellStyle name="メモ 3 2 13" xfId="21966" xr:uid="{7E43B0ED-060E-4233-B328-2BB786D13F5D}"/>
    <cellStyle name="メモ 3 2 13 2" xfId="35179" xr:uid="{61E9097E-89EB-4468-A804-5609583FA79B}"/>
    <cellStyle name="メモ 3 2 14" xfId="21967" xr:uid="{625E6AFC-38AD-4333-B1B6-45440BE069E4}"/>
    <cellStyle name="メモ 3 2 14 2" xfId="35182" xr:uid="{D6109018-B234-46A4-B192-FE7968010C12}"/>
    <cellStyle name="メモ 3 2 15" xfId="21968" xr:uid="{E5E8E4F8-AE42-4BD6-AA32-DC98E97F0C2A}"/>
    <cellStyle name="メモ 3 2 15 2" xfId="35183" xr:uid="{3B13B1FA-7F71-4DC9-94F9-FC167D9DF893}"/>
    <cellStyle name="メモ 3 2 16" xfId="21969" xr:uid="{9D41906C-9C2B-4F1C-922E-E7520F1068F7}"/>
    <cellStyle name="メモ 3 2 16 2" xfId="35184" xr:uid="{E09ECDEB-A49A-43AF-9438-1362707F23F6}"/>
    <cellStyle name="メモ 3 2 17" xfId="21970" xr:uid="{073388FB-9F77-491F-8CF8-821DC0F26484}"/>
    <cellStyle name="メモ 3 2 17 2" xfId="35185" xr:uid="{316B8C72-B195-4F03-8D63-ED32874AD876}"/>
    <cellStyle name="メモ 3 2 18" xfId="21971" xr:uid="{0C63B581-599A-4D49-961A-157F62065019}"/>
    <cellStyle name="メモ 3 2 18 2" xfId="35186" xr:uid="{1FAFEF9F-615F-4F7B-831E-151A0A12AE0E}"/>
    <cellStyle name="メモ 3 2 19" xfId="35177" xr:uid="{CB956FBF-6423-4B6B-8448-5F9F16F3B655}"/>
    <cellStyle name="メモ 3 2 2" xfId="21972" xr:uid="{B64D2145-D045-4309-8D09-29767BD55637}"/>
    <cellStyle name="メモ 3 2 2 10" xfId="21973" xr:uid="{E35114BA-6899-4B0A-907D-A990C37E45B6}"/>
    <cellStyle name="メモ 3 2 2 10 2" xfId="35187" xr:uid="{2067711A-6BEA-4ADB-95FB-B818234743A1}"/>
    <cellStyle name="メモ 3 2 2 11" xfId="21974" xr:uid="{BE8003B3-34E4-4D2A-8986-69048DAAD095}"/>
    <cellStyle name="メモ 3 2 2 11 2" xfId="35188" xr:uid="{8D3468AF-9E8E-4A9F-AFE6-1B1705BFE954}"/>
    <cellStyle name="メモ 3 2 2 12" xfId="21975" xr:uid="{A625782D-4523-4423-A009-85AD2DC58D31}"/>
    <cellStyle name="メモ 3 2 2 12 2" xfId="35189" xr:uid="{55DA913E-669C-4A36-9DB8-B29305E9F005}"/>
    <cellStyle name="メモ 3 2 2 13" xfId="21976" xr:uid="{780A868A-ED64-4A28-BAD9-BAA0C56F809A}"/>
    <cellStyle name="メモ 3 2 2 13 2" xfId="35190" xr:uid="{A1A010EB-DD53-4E70-BCEC-9751A07B3B93}"/>
    <cellStyle name="メモ 3 2 2 14" xfId="21977" xr:uid="{2B4211D5-BA5C-4053-A4E6-AB5EC0768A8C}"/>
    <cellStyle name="メモ 3 2 2 14 2" xfId="35191" xr:uid="{02354F04-69E6-4CC0-B147-79F7054B0991}"/>
    <cellStyle name="メモ 3 2 2 15" xfId="21978" xr:uid="{72656A83-DBD3-4B7B-8BB3-F91474BCCE83}"/>
    <cellStyle name="メモ 3 2 2 15 2" xfId="35192" xr:uid="{7E72DBE5-1B0E-4EA5-BA57-339022522F7B}"/>
    <cellStyle name="メモ 3 2 2 16" xfId="27779" xr:uid="{89C5057C-CA59-40A1-848E-820EF2900A76}"/>
    <cellStyle name="メモ 3 2 2 2" xfId="21979" xr:uid="{24DE2781-43C4-497E-AC15-4D93C69E44AB}"/>
    <cellStyle name="メモ 3 2 2 2 2" xfId="35193" xr:uid="{04F5FACE-CDE4-4F11-BD63-145C2AFA324D}"/>
    <cellStyle name="メモ 3 2 2 3" xfId="21980" xr:uid="{616D8196-E3BE-4D99-9A79-D4DF47D70C28}"/>
    <cellStyle name="メモ 3 2 2 3 2" xfId="35194" xr:uid="{3F9F2D7C-EACC-43F9-9EEC-32AA620828CF}"/>
    <cellStyle name="メモ 3 2 2 4" xfId="21981" xr:uid="{0C218F3D-A074-4789-8711-EE1302FBC606}"/>
    <cellStyle name="メモ 3 2 2 4 2" xfId="35195" xr:uid="{505B691E-F4A8-49B7-A9AA-C0255619C214}"/>
    <cellStyle name="メモ 3 2 2 5" xfId="21982" xr:uid="{21A6D4D7-0BE0-450A-944E-811218DAE933}"/>
    <cellStyle name="メモ 3 2 2 5 2" xfId="35239" xr:uid="{B3B347D5-7255-49D1-94F6-D8C6A5387067}"/>
    <cellStyle name="メモ 3 2 2 6" xfId="21983" xr:uid="{5CBE2B3B-A445-41CD-9753-1BB15244F662}"/>
    <cellStyle name="メモ 3 2 2 6 2" xfId="35240" xr:uid="{00C23F06-313A-4F47-BBE1-3B4B0D5EE99F}"/>
    <cellStyle name="メモ 3 2 2 7" xfId="21984" xr:uid="{79A500CD-D2B9-4583-B310-93B65713B874}"/>
    <cellStyle name="メモ 3 2 2 7 2" xfId="35241" xr:uid="{BF455FBE-0A74-4352-AA12-B1360F57A106}"/>
    <cellStyle name="メモ 3 2 2 8" xfId="21985" xr:uid="{A4C5324B-4380-49C9-942C-041E60F13A97}"/>
    <cellStyle name="メモ 3 2 2 8 2" xfId="35242" xr:uid="{85562D64-B130-40B3-B2BA-143DE9D80AF6}"/>
    <cellStyle name="メモ 3 2 2 9" xfId="21986" xr:uid="{C6D6640E-1F2A-41B1-8ABC-F527FA475C69}"/>
    <cellStyle name="メモ 3 2 2 9 2" xfId="35243" xr:uid="{BB123537-F32C-4FE3-ADFB-BD8AA74E2B89}"/>
    <cellStyle name="メモ 3 2 3" xfId="21987" xr:uid="{855E288D-716F-4ECF-A547-45E21A822B38}"/>
    <cellStyle name="メモ 3 2 3 2" xfId="35201" xr:uid="{3DEA6461-3BFB-4428-91CF-92F3E9C61127}"/>
    <cellStyle name="メモ 3 2 4" xfId="21988" xr:uid="{63F31FEA-CAB1-4602-85A9-A52832403C67}"/>
    <cellStyle name="メモ 3 2 4 2" xfId="35202" xr:uid="{989B61C1-5F34-4FB9-AC41-69B236A91A13}"/>
    <cellStyle name="メモ 3 2 5" xfId="21989" xr:uid="{5284BA0D-6B32-4F5A-B8CF-914527772CCD}"/>
    <cellStyle name="メモ 3 2 5 2" xfId="37785" xr:uid="{7047A42B-E075-4263-AB92-5BF26C8101E4}"/>
    <cellStyle name="メモ 3 2 6" xfId="21990" xr:uid="{1CA6E2DD-7B8E-4AF6-B1AA-A511B1AF449A}"/>
    <cellStyle name="メモ 3 2 6 2" xfId="35203" xr:uid="{2BF58F1A-BEC8-42A0-9C8F-C0182308C323}"/>
    <cellStyle name="メモ 3 2 7" xfId="21991" xr:uid="{A6E09B8E-9339-4909-87A2-D79C7C7914D2}"/>
    <cellStyle name="メモ 3 2 7 2" xfId="27780" xr:uid="{0EA699F7-C3A4-4C81-84F9-F4A2A777E2CC}"/>
    <cellStyle name="メモ 3 2 8" xfId="21992" xr:uid="{190AFF36-5E99-4EF5-8606-0160127D4840}"/>
    <cellStyle name="メモ 3 2 8 2" xfId="35204" xr:uid="{0DB8B16F-1F6C-48F3-B2C0-1F02910E0F38}"/>
    <cellStyle name="メモ 3 2 9" xfId="21993" xr:uid="{B2A4F068-D6BE-4A39-9E23-3BDC3F322396}"/>
    <cellStyle name="メモ 3 2 9 2" xfId="35205" xr:uid="{FBCDD609-932E-4082-AFEF-708E2305D656}"/>
    <cellStyle name="メモ 3 20" xfId="21994" xr:uid="{C1D808D6-22B2-4777-A75D-472B3E8F283B}"/>
    <cellStyle name="メモ 3 20 2" xfId="27781" xr:uid="{D27D08CF-B19A-4835-A1E0-464F2A2EA87E}"/>
    <cellStyle name="メモ 3 21" xfId="21995" xr:uid="{A8B5572A-F608-44F4-B342-C9C2F315A2D0}"/>
    <cellStyle name="メモ 3 3" xfId="21996" xr:uid="{8965C87A-57CF-48B9-B38F-C38948F34312}"/>
    <cellStyle name="メモ 3 3 10" xfId="21997" xr:uid="{474FFBC7-18D1-4087-B7F8-48B239E47775}"/>
    <cellStyle name="メモ 3 3 10 2" xfId="35207" xr:uid="{B1C7B8A2-9664-489D-8D44-AB0F2F9D3989}"/>
    <cellStyle name="メモ 3 3 11" xfId="21998" xr:uid="{57208EC3-36C2-47A2-A4F4-6491DAC5924A}"/>
    <cellStyle name="メモ 3 3 11 2" xfId="35208" xr:uid="{7FCD0377-D9FF-4D37-B817-48B6A01268AC}"/>
    <cellStyle name="メモ 3 3 12" xfId="21999" xr:uid="{F1A14322-D207-46D3-93BC-112E4C743C8D}"/>
    <cellStyle name="メモ 3 3 12 2" xfId="27782" xr:uid="{45292239-C5C4-44C7-A2FE-278373F19B23}"/>
    <cellStyle name="メモ 3 3 13" xfId="22000" xr:uid="{FD5F9EEF-CE6F-47A1-A901-EA0A703BA7A4}"/>
    <cellStyle name="メモ 3 3 13 2" xfId="35209" xr:uid="{E1397D0B-B614-4DD2-8018-9377BBB72909}"/>
    <cellStyle name="メモ 3 3 14" xfId="22001" xr:uid="{F8D573DD-336B-4DB8-8B87-89037D11EA05}"/>
    <cellStyle name="メモ 3 3 14 2" xfId="35210" xr:uid="{1849419B-A5F6-4523-91E1-E49EC987D955}"/>
    <cellStyle name="メモ 3 3 15" xfId="22002" xr:uid="{667DA6FB-AF31-4BA4-AF20-AA2AF3B77C46}"/>
    <cellStyle name="メモ 3 3 15 2" xfId="35211" xr:uid="{CE804CF3-C9BC-4433-B47B-A10D8396E3F0}"/>
    <cellStyle name="メモ 3 3 16" xfId="35206" xr:uid="{8A4D068F-B31D-4144-BEB4-0BFB2BDF60FB}"/>
    <cellStyle name="メモ 3 3 2" xfId="22003" xr:uid="{95DC6789-8060-4C04-AC61-C188BF6A7BF2}"/>
    <cellStyle name="メモ 3 3 2 2" xfId="27783" xr:uid="{19B9DF25-D384-4F9B-9DAE-5AF9F6A60139}"/>
    <cellStyle name="メモ 3 3 3" xfId="22004" xr:uid="{C505BBDF-0B5F-4131-B5BB-E20C463DAB71}"/>
    <cellStyle name="メモ 3 3 3 2" xfId="35212" xr:uid="{F83AFB71-B3B7-4CD4-8572-9F47FF6179BD}"/>
    <cellStyle name="メモ 3 3 4" xfId="22005" xr:uid="{BC4CBADC-C7D9-432E-86F9-5060A7B1D1D0}"/>
    <cellStyle name="メモ 3 3 4 2" xfId="27784" xr:uid="{87864145-E520-4286-9C04-BA57F2153975}"/>
    <cellStyle name="メモ 3 3 5" xfId="22006" xr:uid="{08DEE0EB-37A7-40BF-B900-F79D9684AA28}"/>
    <cellStyle name="メモ 3 3 5 2" xfId="35213" xr:uid="{3AA00FD8-DA97-466E-8578-03F63B50258C}"/>
    <cellStyle name="メモ 3 3 6" xfId="22007" xr:uid="{83E4EFCD-DA82-4D4B-89A8-89252958BF32}"/>
    <cellStyle name="メモ 3 3 6 2" xfId="35214" xr:uid="{B1230F80-C749-458B-AE21-AAB29B913248}"/>
    <cellStyle name="メモ 3 3 7" xfId="22008" xr:uid="{6137B493-EAE7-4C2A-B633-A889B77517A2}"/>
    <cellStyle name="メモ 3 3 7 2" xfId="27785" xr:uid="{0BF96FC1-FFE5-4B39-A752-E0B7BA87530A}"/>
    <cellStyle name="メモ 3 3 8" xfId="22009" xr:uid="{805F9F10-1140-485E-A196-9CE467CC581D}"/>
    <cellStyle name="メモ 3 3 8 2" xfId="35215" xr:uid="{E0C671B5-46FD-4D74-AA96-02904173CA16}"/>
    <cellStyle name="メモ 3 3 9" xfId="22010" xr:uid="{50A4F3C6-5061-4739-BB2B-F268206E5094}"/>
    <cellStyle name="メモ 3 3 9 2" xfId="35216" xr:uid="{541831F4-C486-414E-8F82-E2C492F2789C}"/>
    <cellStyle name="メモ 3 4" xfId="22011" xr:uid="{ABB44277-0ADA-46CA-95E5-403BB91CD675}"/>
    <cellStyle name="メモ 3 4 2" xfId="35217" xr:uid="{876BE84B-7B1E-48F6-8159-E9B8CD53C95F}"/>
    <cellStyle name="メモ 3 5" xfId="22012" xr:uid="{9FDB6727-BCC8-4464-AEEC-8F1105CEAA50}"/>
    <cellStyle name="メモ 3 5 2" xfId="35218" xr:uid="{65B32411-4838-48FD-8648-BDE5DA47D3EB}"/>
    <cellStyle name="メモ 3 6" xfId="22013" xr:uid="{3F0A0346-B58F-4C24-AB72-ABDF6D32362E}"/>
    <cellStyle name="メモ 3 6 2" xfId="35219" xr:uid="{E3A73B9D-B336-45A5-AB97-E34F1DBABDE9}"/>
    <cellStyle name="メモ 3 7" xfId="22014" xr:uid="{5EB236CB-5BE2-4F8D-8C9D-D98BDC27BB26}"/>
    <cellStyle name="メモ 3 7 2" xfId="35220" xr:uid="{06756546-689B-4A7B-A0CD-F49D0CAFD6F5}"/>
    <cellStyle name="メモ 3 8" xfId="22015" xr:uid="{7A4BA470-A1A8-4BEB-BCC0-4E49AC45CD0B}"/>
    <cellStyle name="メモ 3 8 2" xfId="35221" xr:uid="{BB5CBAA7-3D9A-4CE3-8E20-164713B360A2}"/>
    <cellStyle name="メモ 3 9" xfId="22016" xr:uid="{02BE04F5-7C79-4205-A405-703BFD2034C9}"/>
    <cellStyle name="メモ 3 9 2" xfId="27786" xr:uid="{D6239460-E2A1-4B93-AB8A-15FA10241B60}"/>
    <cellStyle name="メモ 4" xfId="22017" xr:uid="{EAEA3204-AC88-4C73-BF33-4A9451C4C8DD}"/>
    <cellStyle name="メモ 4 10" xfId="22018" xr:uid="{2B60B062-ED15-4F7C-AC37-C9EF8EEF65AC}"/>
    <cellStyle name="メモ 4 10 2" xfId="27787" xr:uid="{656AD8ED-853C-44EF-9E1C-9223916BA211}"/>
    <cellStyle name="メモ 4 11" xfId="22019" xr:uid="{B7CCAA73-0811-4017-B3D5-EEDEE0FA73CE}"/>
    <cellStyle name="メモ 4 11 2" xfId="35223" xr:uid="{62B4430B-CE0B-43D5-8F63-76CEF4312026}"/>
    <cellStyle name="メモ 4 12" xfId="22020" xr:uid="{C37FD1FA-C77D-4F6C-A18C-195BBA9BF728}"/>
    <cellStyle name="メモ 4 12 2" xfId="35224" xr:uid="{7803A9B3-AD60-4523-AABA-69A34E08C23F}"/>
    <cellStyle name="メモ 4 13" xfId="22021" xr:uid="{509130FF-3861-46A5-A4CD-EA3BA44BC0EC}"/>
    <cellStyle name="メモ 4 13 2" xfId="27788" xr:uid="{9DF37064-5014-4CC3-B196-14AB69B63FB5}"/>
    <cellStyle name="メモ 4 14" xfId="22022" xr:uid="{50CAE5BE-BCDA-490C-8731-55649E3D1F66}"/>
    <cellStyle name="メモ 4 14 2" xfId="35225" xr:uid="{C3479FA7-5E08-4343-80CC-BECB1A488A8F}"/>
    <cellStyle name="メモ 4 15" xfId="22023" xr:uid="{1281DEAC-E49C-4130-A613-EE4301FB2EC7}"/>
    <cellStyle name="メモ 4 15 2" xfId="35226" xr:uid="{4555B789-59C4-466F-A6EB-1B5129ACC824}"/>
    <cellStyle name="メモ 4 16" xfId="22024" xr:uid="{9AA4757E-9E3F-4D39-83FC-644F41ADC5AA}"/>
    <cellStyle name="メモ 4 16 2" xfId="35227" xr:uid="{074A8A69-ADC6-422A-A765-FD1590DC4E55}"/>
    <cellStyle name="メモ 4 17" xfId="22025" xr:uid="{A588C8E7-1BC2-4997-8227-7BB36D4CE63B}"/>
    <cellStyle name="メモ 4 17 2" xfId="35228" xr:uid="{2A54C3F2-87CF-414B-A41E-5FBA59857544}"/>
    <cellStyle name="メモ 4 18" xfId="22026" xr:uid="{5B038FA7-7F1C-439A-A5D8-F57AF713EB5D}"/>
    <cellStyle name="メモ 4 18 2" xfId="35229" xr:uid="{FE6CB645-2369-4C98-9AD0-5A002DAD17CE}"/>
    <cellStyle name="メモ 4 19" xfId="35222" xr:uid="{06AE8A0A-1B2D-4CB3-B3B8-0FFBD1922A91}"/>
    <cellStyle name="メモ 4 2" xfId="22027" xr:uid="{42CC33FC-FD56-437B-8CB8-450FEBAA1E9E}"/>
    <cellStyle name="メモ 4 2 10" xfId="22028" xr:uid="{9F75286E-50C9-4B69-9663-392C265E421E}"/>
    <cellStyle name="メモ 4 2 10 2" xfId="27789" xr:uid="{8FAAD612-7EC3-4225-A526-A1C02AA3368A}"/>
    <cellStyle name="メモ 4 2 11" xfId="22029" xr:uid="{5A5D9336-3736-42F6-8D7D-C845D05726ED}"/>
    <cellStyle name="メモ 4 2 11 2" xfId="35231" xr:uid="{6BA154E6-F8AE-4A58-8A49-DF6AE367D8A3}"/>
    <cellStyle name="メモ 4 2 12" xfId="22030" xr:uid="{4A835E62-D1CA-4B14-9012-244492C2630B}"/>
    <cellStyle name="メモ 4 2 12 2" xfId="27790" xr:uid="{6C70F26C-A5E8-4F4C-9B08-079E5B05A928}"/>
    <cellStyle name="メモ 4 2 13" xfId="22031" xr:uid="{81A97974-0C07-4A57-88FB-B0E6F003AAB5}"/>
    <cellStyle name="メモ 4 2 13 2" xfId="35232" xr:uid="{C5255CE5-F3CF-4490-ACD2-8351B730802F}"/>
    <cellStyle name="メモ 4 2 14" xfId="22032" xr:uid="{954025EA-7C75-441E-B81B-E59AB1255E37}"/>
    <cellStyle name="メモ 4 2 14 2" xfId="35233" xr:uid="{CD9FD748-0723-453F-8834-7A623ECF7830}"/>
    <cellStyle name="メモ 4 2 15" xfId="22033" xr:uid="{725ED63A-D04D-43F8-BC1D-381553CCB825}"/>
    <cellStyle name="メモ 4 2 15 2" xfId="27791" xr:uid="{AA82E9A5-9617-43AC-940C-5F532AD4E79F}"/>
    <cellStyle name="メモ 4 2 16" xfId="35230" xr:uid="{B02E38A9-A005-48A3-9724-816013C4A32C}"/>
    <cellStyle name="メモ 4 2 2" xfId="22034" xr:uid="{5C3FB416-29B4-4540-B172-2745DC332232}"/>
    <cellStyle name="メモ 4 2 2 2" xfId="35234" xr:uid="{165A03F2-F941-41D3-9EBD-F8F8E5BF2D52}"/>
    <cellStyle name="メモ 4 2 3" xfId="22035" xr:uid="{E941ED6E-448F-4F6C-BD8D-CB006411F0B0}"/>
    <cellStyle name="メモ 4 2 3 2" xfId="35235" xr:uid="{4F888EE8-3890-456F-9A54-AC9ED8A4E009}"/>
    <cellStyle name="メモ 4 2 4" xfId="22036" xr:uid="{59FBBAA0-055A-4D77-9999-F43B63043A37}"/>
    <cellStyle name="メモ 4 2 4 2" xfId="35236" xr:uid="{1A31EBF4-9C8D-4C32-BCCC-2B8D09DD8EC4}"/>
    <cellStyle name="メモ 4 2 5" xfId="22037" xr:uid="{E1E44F18-FCCB-459C-B96B-D3744816679A}"/>
    <cellStyle name="メモ 4 2 5 2" xfId="35237" xr:uid="{9E516644-96B1-49AD-9D1A-0143DF66F813}"/>
    <cellStyle name="メモ 4 2 6" xfId="22038" xr:uid="{6833F584-1D34-44CE-B9C3-159E411ADEC4}"/>
    <cellStyle name="メモ 4 2 6 2" xfId="35238" xr:uid="{E948F501-27D8-4984-AC87-E0171C31F0E8}"/>
    <cellStyle name="メモ 4 2 7" xfId="22039" xr:uid="{3E747F23-603F-402D-A20F-3E48D9906DE8}"/>
    <cellStyle name="メモ 4 2 7 2" xfId="35196" xr:uid="{9E90737B-0C4C-4EB0-90F3-74E93CB255A8}"/>
    <cellStyle name="メモ 4 2 8" xfId="22040" xr:uid="{69B2ABB9-D5C1-4861-85C2-52F232BE5F38}"/>
    <cellStyle name="メモ 4 2 8 2" xfId="35197" xr:uid="{288C9021-1FB6-4387-9973-3694707340B8}"/>
    <cellStyle name="メモ 4 2 9" xfId="22041" xr:uid="{A60F24F1-4225-4814-B06B-5BF42A157DA6}"/>
    <cellStyle name="メモ 4 2 9 2" xfId="35198" xr:uid="{A356C56B-88E0-4D5F-B071-BF01B5B79B4F}"/>
    <cellStyle name="メモ 4 3" xfId="22042" xr:uid="{C5B0A219-A35C-4798-9E74-A050BA4A0A77}"/>
    <cellStyle name="メモ 4 3 2" xfId="35199" xr:uid="{0826F5E5-E6F5-4AD9-A49C-F86990BDBDBF}"/>
    <cellStyle name="メモ 4 4" xfId="22043" xr:uid="{D44796E8-F634-4770-AAB5-2702FDAF209F}"/>
    <cellStyle name="メモ 4 4 2" xfId="35200" xr:uid="{7382AE66-8E8B-45DC-81D0-AC1AEA5EB0C3}"/>
    <cellStyle name="メモ 4 5" xfId="22044" xr:uid="{CD6AF8D4-2A07-46B3-A3DA-F5C4549E03EB}"/>
    <cellStyle name="メモ 4 5 2" xfId="35244" xr:uid="{19BB90AC-8F91-4AA5-B260-C2ADC1D03D3A}"/>
    <cellStyle name="メモ 4 6" xfId="22045" xr:uid="{24AC65C2-6444-4E86-B1C6-032D74A7D3B5}"/>
    <cellStyle name="メモ 4 6 2" xfId="35245" xr:uid="{7492D77E-C465-41DA-B62D-EA5666E8B039}"/>
    <cellStyle name="メモ 4 7" xfId="22046" xr:uid="{25A8544E-4C92-4E31-B5A3-4C75647E1706}"/>
    <cellStyle name="メモ 4 7 2" xfId="27792" xr:uid="{7BA23161-EB7C-4F73-99D5-66B2457B0888}"/>
    <cellStyle name="メモ 4 8" xfId="22047" xr:uid="{5FE0E3AC-332D-4324-BFEE-61B3B137BB3A}"/>
    <cellStyle name="メモ 4 8 2" xfId="35246" xr:uid="{015EA2D6-8C32-4CEB-B352-35AB2654B598}"/>
    <cellStyle name="メモ 4 9" xfId="22048" xr:uid="{87585582-3264-4239-8EC6-8DA01419BD49}"/>
    <cellStyle name="メモ 4 9 2" xfId="27793" xr:uid="{E3A2EB8F-173F-49D2-B223-FCD2DFB3DEA1}"/>
    <cellStyle name="メモ 5" xfId="22049" xr:uid="{6DC62969-15A6-4DD3-ADD7-C02016E965E4}"/>
    <cellStyle name="メモ 5 2" xfId="35247" xr:uid="{9BE3D73F-F42A-42E1-A74E-0BF668C96592}"/>
    <cellStyle name="メモ 6" xfId="22050" xr:uid="{F801378C-61B9-4710-B4D5-8AECCB3BE4A6}"/>
    <cellStyle name="メモ 6 2" xfId="35248" xr:uid="{7A0207DC-A421-4C4B-80BF-7010915CE1F2}"/>
    <cellStyle name="メモ 7" xfId="22051" xr:uid="{F4990D40-7AC4-417E-8642-D165D291D7CC}"/>
    <cellStyle name="メモ 7 2" xfId="27794" xr:uid="{2AF96CA6-FAF2-4062-B326-2A95F975FB82}"/>
    <cellStyle name="メモ 8" xfId="22052" xr:uid="{2CFA7B98-2295-4B8E-BD36-59B9C683CFA3}"/>
    <cellStyle name="メモ 9" xfId="22053" xr:uid="{01DE7599-6B4A-46B0-9290-87719C473B05}"/>
    <cellStyle name="ﾗｬ" xfId="22054" xr:uid="{EE4F60D7-5F60-4376-8C40-0E66A9172C83}"/>
    <cellStyle name="ﾗｬ 2" xfId="22055" xr:uid="{FA3D9303-9F2C-4ED3-9545-D54A12BFAB0A}"/>
    <cellStyle name="ﾗｬ 3" xfId="22056" xr:uid="{A110F8C0-7692-4E76-8F72-28F990C19215}"/>
    <cellStyle name="リンク セル 2" xfId="22057" xr:uid="{B7F65367-FD93-429A-BB1F-40A28F358292}"/>
    <cellStyle name="リンク セル 2 2" xfId="22058" xr:uid="{0B0A526E-4A1A-4249-9C30-5F870C3D7ACC}"/>
    <cellStyle name="リンク セル 2 2 2" xfId="28063" xr:uid="{06921801-507E-448B-A0D5-94492B5E96C7}"/>
    <cellStyle name="リンク セル 2 3" xfId="28064" xr:uid="{704375FE-8E52-48D6-B12B-2CEFBB018EDB}"/>
    <cellStyle name="リンク セル 3" xfId="22059" xr:uid="{F88A72CE-81F0-4CDC-A30F-2D59F6094484}"/>
    <cellStyle name="リンク セル 3 2" xfId="28062" xr:uid="{98D8B7F3-B945-4037-924A-51375FF8DC49}"/>
    <cellStyle name="เครื่องหมายจุลภาค [0]_midyear-02" xfId="22060" xr:uid="{C77B14F6-E192-481C-A0D9-1E02C4136799}"/>
    <cellStyle name="เครื่องหมายจุลภาค_Actual Mar'09 Edit-value" xfId="22061" xr:uid="{7FEC1BA5-E4D9-4FA7-A1AD-003D8B24199E}"/>
    <cellStyle name="เครื่องหมายสกุลเงิน [0]_midyear-02" xfId="22062" xr:uid="{6E9820A2-5FD6-4000-9F06-92E4B1C3F950}"/>
    <cellStyle name="เครื่องหมายสกุลเงิน_midyear-02" xfId="22063" xr:uid="{E16B99C5-AFBC-4D49-8601-728F533ED77B}"/>
    <cellStyle name="เชื่อมโยงหลายมิติ" xfId="22064" xr:uid="{2E99EF7F-AB0C-4377-9618-A47020DC8790}"/>
    <cellStyle name="ตามการเชื่อมโยงหลายมิติ" xfId="22065" xr:uid="{A11D1F31-2288-4D55-B8BC-B5E7A137F532}"/>
    <cellStyle name="ปกติ_10 DAYS STOCK  APR" xfId="22066" xr:uid="{8565B7DC-52DC-436A-A470-AE0A841EF945}"/>
    <cellStyle name="" xfId="22067" xr:uid="{2AA390BB-6D23-47A2-9B3B-5AF3E4F4CD5C}"/>
    <cellStyle name=" 2" xfId="22068" xr:uid="{E7501D8A-4ED9-41E7-890F-9A7FEB354E64}"/>
    <cellStyle name=" 2 2" xfId="22069" xr:uid="{8775FF8B-E767-42FA-AC62-DD5E5CA2321A}"/>
    <cellStyle name=" 2 2 2" xfId="22070" xr:uid="{002B9357-2C3E-4546-A241-A8A56537F1DE}"/>
    <cellStyle name=" 2 2 3" xfId="22071" xr:uid="{6BDE49CB-2C83-4658-BB71-34CF91352E4E}"/>
    <cellStyle name=" 2 2 4" xfId="22072" xr:uid="{F9E908BB-41E8-4FC4-AB75-39E2DF34D99A}"/>
    <cellStyle name=" 2 2 5" xfId="22073" xr:uid="{0B3DD5F6-8BB3-4107-BE7D-812D1EB47B1D}"/>
    <cellStyle name=" 2 3" xfId="22074" xr:uid="{3B194EE4-CACD-4ED8-9C51-8DE14A87F013}"/>
    <cellStyle name=" 2 3 2" xfId="22075" xr:uid="{7B29000E-4F40-421B-AEFE-ABBAAAD11030}"/>
    <cellStyle name=" 2 3 3" xfId="22076" xr:uid="{C816C517-2442-409D-970E-53F02F2780D3}"/>
    <cellStyle name=" 2 3 4" xfId="22077" xr:uid="{BF9839E0-851E-4018-9F46-6F3328DB8D95}"/>
    <cellStyle name=" 2 3 5" xfId="22078" xr:uid="{E1D66D2E-7955-4F2F-BD8E-FB7664D6817E}"/>
    <cellStyle name=" 2 4" xfId="22079" xr:uid="{56DA67C7-8997-4071-8684-1BC119F1BAB3}"/>
    <cellStyle name=" 3" xfId="22080" xr:uid="{E02C293B-C38B-4B4D-B509-DEC01AD97CFA}"/>
    <cellStyle name="" xfId="22081" xr:uid="{00D3E699-58BD-479C-AA53-20D4A7097440}"/>
    <cellStyle name="??[0]_M0CCB011" xfId="22082" xr:uid="{ED53117E-4313-4133-94F3-2CCA88BFE385}"/>
    <cellStyle name="??_M0CCB011" xfId="22083" xr:uid="{6AA23E93-4BDA-4BCC-8BA5-E46AB6C7D469}"/>
    <cellStyle name="[0]_M0CCB011" xfId="22084" xr:uid="{B5AD56C1-B091-49FC-BAC2-9FADEF1D32EA}"/>
    <cellStyle name="_M0CCB011" xfId="22085" xr:uid="{20DA4F77-6F6C-40B8-BCD4-28487AE4C9F7}"/>
    <cellStyle name=" [0.00]_Attachment 2 (2)" xfId="22086" xr:uid="{233DEF10-89A2-47A7-B43C-73D018570EAB}"/>
    <cellStyle name="_Attachment 2 (2)" xfId="22087" xr:uid="{3D907319-D914-4E67-BAA4-430202FADE80}"/>
    <cellStyle name="? [0.00]_NR??????" xfId="22088" xr:uid="{B26E9F20-3DF4-4574-B63F-BB84CC423766}"/>
    <cellStyle name="?_NR??????" xfId="22089" xr:uid="{E94B6F1B-A179-4C9C-BCEE-7B19580BD3CE}"/>
    <cellStyle name=" [0.00]_NR?" xfId="22090" xr:uid="{60CFC2E5-5375-4BEC-8A82-B122B90EC54A}"/>
    <cellStyle name="_NR?" xfId="22091" xr:uid="{1B6FE89B-9DCA-45D4-979C-1E70A176F7DE}"/>
    <cellStyle name="00" xfId="22092" xr:uid="{CCBA0FAE-7D41-4EB9-A0DE-F6B08EB06DB2}"/>
    <cellStyle name="?_??" xfId="22093" xr:uid="{8C418310-0836-4E8B-88BC-BA788D66A57D}"/>
    <cellStyle name="??" xfId="22094" xr:uid="{41443C2E-2F82-4950-85A7-940AE2B706C8}"/>
    <cellStyle name="?? 2" xfId="22095" xr:uid="{A5E5C5E7-1C60-41A5-A1AF-1AC820EDD275}"/>
    <cellStyle name="?? 3" xfId="22096" xr:uid="{1D7924FC-5665-4017-858B-75B9CC778A6C}"/>
    <cellStyle name="?? 4" xfId="22097" xr:uid="{166F438D-81C2-4249-96BB-3F484022A205}"/>
    <cellStyle name="璍櫔??" xfId="22098" xr:uid="{2F67A1FD-93F9-4690-A6EE-02557152E8DA}"/>
    <cellStyle name="??" xfId="22099" xr:uid="{B075B8F3-D623-4307-9631-1D1F5004BF2B}"/>
    <cellStyle name="?? 2" xfId="22100" xr:uid="{62285F11-32FF-45C9-B069-174498F13125}"/>
    <cellStyle name="?? 3" xfId="22101" xr:uid="{1973621D-BA52-48E4-9C54-56DE29002AFC}"/>
    <cellStyle name="?? 4" xfId="22102" xr:uid="{7CD4D3C1-ADCC-40B0-8BE3-A424F081C370}"/>
    <cellStyle name="_#1?BEO" xfId="22103" xr:uid="{6E5F4B72-6AA9-49DA-9BF6-688D9DCAA893}"/>
    <cellStyle name=" [0]_M0CCB011" xfId="22104" xr:uid="{3A5681AF-9E39-4ABF-A8E3-EF638B7D7D49}"/>
    <cellStyle name="_M0CCB011" xfId="22105" xr:uid="{F9683AB3-9272-4D19-92E1-FE31572B97ED}"/>
    <cellStyle name="遽_啗" xfId="22106" xr:uid="{6F6A0196-6C81-4ECB-89BB-75375180442C}"/>
    <cellStyle name="" xfId="22107" xr:uid="{F83F3791-BA87-45AF-8F8D-7589349EC81F}"/>
    <cellStyle name=" 2" xfId="22108" xr:uid="{88D3BB35-44C0-441F-A47E-B0BF53B75B90}"/>
    <cellStyle name=" 3" xfId="22109" xr:uid="{42D89F5B-B2CD-413A-947D-88D2CF3665FD}"/>
    <cellStyle name=" 4" xfId="22110" xr:uid="{951368AD-D9DB-4F29-A040-D298ABDF745E}"/>
    <cellStyle name=" 5" xfId="22111" xr:uid="{01B52B17-E891-4AB3-8932-9543198373F9}"/>
    <cellStyle name="_Book3" xfId="22112" xr:uid="{8C92FD2B-9A31-4AB3-A54D-969BA3195764}"/>
    <cellStyle name="_B-PF FY09BP 3rdReply  ROP Financial 090416" xfId="22113" xr:uid="{BB5A67D7-4FB5-4A49-A868-F45110C2D4C2}"/>
    <cellStyle name="_B-PF FY09BP 3rdReply  ROP Financial 090416_Agreed FY09 ITP Adjustments (NML CBUs) for NCI v5 090424 - NCI Confirmation" xfId="22114" xr:uid="{C2204D62-F2B2-4A6D-8D12-55A3CDA58922}"/>
    <cellStyle name="_B-PF FY09BP 3rdReply  ROP Financial 090416_FY09 ITP Adjustments (NML CBUs) for NNA v2" xfId="22115" xr:uid="{9EACC14C-AB4B-4EB2-93AA-0F29F96A286E}"/>
    <cellStyle name="_B-PF FY09BP 3rdReply  ROP Financial 090416_NNA marginal Profit FY09 Sub#3c Final rates" xfId="22116" xr:uid="{7F044A0C-D27C-4BA1-B4E9-0085E9F5A7CE}"/>
    <cellStyle name="_B-PF FY09BP 3rdReply  ROP Financial 090416_コピーFY09 ITP Adjustments (NML CBUs) for NNA (2)" xfId="22117" xr:uid="{35DD33E5-4C82-436E-A4C0-F39552C80002}"/>
    <cellStyle name="_C-PF FY09BP 3rdReply  ROP Financial 090416" xfId="22118" xr:uid="{3704FE45-05D1-4B57-97E0-BB3C54D8654A}"/>
    <cellStyle name="_C-PF FY09BP 3rdReply  ROP Financial 090416_Agreed FY09 ITP Adjustments (NML CBUs) for NCI v5 090424 - NCI Confirmation" xfId="22119" xr:uid="{852451AA-007E-4577-A045-D2FEF1B7E0F7}"/>
    <cellStyle name="_C-PF FY09BP 3rdReply  ROP Financial 090416_FY09 ITP Adjustments (NML CBUs) for NNA v2" xfId="22120" xr:uid="{73690492-8DEA-4340-B1AB-B9B33641254E}"/>
    <cellStyle name="_C-PF FY09BP 3rdReply  ROP Financial 090416_NNA marginal Profit FY09 Sub#3c Final rates" xfId="22121" xr:uid="{FAE23886-F106-4E83-8DC2-09B01FDD150A}"/>
    <cellStyle name="_C-PF FY09BP 3rdReply  ROP Financial 090416_コピーFY09 ITP Adjustments (NML CBUs) for NNA (2)" xfId="22122" xr:uid="{2E764153-CA57-4E41-83CB-E2A0B526B02C}"/>
    <cellStyle name="_D-PF FY09BP 3rdReply  ROP Financial 090416" xfId="22123" xr:uid="{9D4BDA75-1C99-4D8C-9BBB-8FF9E9199891}"/>
    <cellStyle name="_D-PF FY09BP 3rdReply  ROP Financial 090416_Agreed FY09 ITP Adjustments (NML CBUs) for NCI v5 090424 - NCI Confirmation" xfId="22124" xr:uid="{16AB52C0-8ECC-4551-86B6-6E192B8E4FF4}"/>
    <cellStyle name="_D-PF FY09BP 3rdReply  ROP Financial 090416_FY09 ITP Adjustments (NML CBUs) for NNA v2" xfId="22125" xr:uid="{630ED305-C675-484F-B0AB-6455B6623306}"/>
    <cellStyle name="_D-PF FY09BP 3rdReply  ROP Financial 090416_NNA marginal Profit FY09 Sub#3c Final rates" xfId="22126" xr:uid="{BE7376E5-57FD-414C-80F6-9A86440B1D59}"/>
    <cellStyle name="_D-PF FY09BP 3rdReply  ROP Financial 090416_コピーFY09 ITP Adjustments (NML CBUs) for NNA (2)" xfId="22127" xr:uid="{08D69FBA-962F-44C5-8EF7-A27231ED0B87}"/>
    <cellStyle name="_E-PF FY09BP 3rdReply  ROP Financial 090416" xfId="22128" xr:uid="{21B9E868-1B83-47DB-883B-BF6F237A7D0D}"/>
    <cellStyle name="_E-PF FY09BP 3rdReply  ROP Financial 090416_Agreed FY09 ITP Adjustments (NML CBUs) for NCI v5 090424 - NCI Confirmation" xfId="22129" xr:uid="{AC32CFE9-1F7C-4BF4-88A1-1D02FA70F088}"/>
    <cellStyle name="_E-PF FY09BP 3rdReply  ROP Financial 090416_FY09 ITP Adjustments (NML CBUs) for NNA v2" xfId="22130" xr:uid="{A0629395-ADA9-4AA2-B75B-D316200968F1}"/>
    <cellStyle name="_E-PF FY09BP 3rdReply  ROP Financial 090416_NNA marginal Profit FY09 Sub#3c Final rates" xfId="22131" xr:uid="{91206BD7-6647-4863-A1BA-F471BB156EAB}"/>
    <cellStyle name="_E-PF FY09BP 3rdReply  ROP Financial 090416_コピーFY09 ITP Adjustments (NML CBUs) for NNA (2)" xfId="22132" xr:uid="{6227B180-113D-4C57-8C2E-489C33B084C1}"/>
    <cellStyle name="_FRAME FY09BP 3rdReply  ROP Financial 090416" xfId="22133" xr:uid="{9FB43058-A64E-4373-8AFB-B05ED665FE98}"/>
    <cellStyle name="_FRAME FY09BP 3rdReply  ROP Financial 090416_Agreed FY09 ITP Adjustments (NML CBUs) for NCI v5 090424 - NCI Confirmation" xfId="22134" xr:uid="{66AABA8E-A9FF-448C-8A5E-556F22FBADE0}"/>
    <cellStyle name="_FRAME FY09BP 3rdReply  ROP Financial 090416_FY09 ITP Adjustments (NML CBUs) for NNA v2" xfId="22135" xr:uid="{A9B3BAEB-D8AF-4F5B-8DC7-6F784312CB6F}"/>
    <cellStyle name="_FRAME FY09BP 3rdReply  ROP Financial 090416_NNA marginal Profit FY09 Sub#3c Final rates" xfId="22136" xr:uid="{6A7AF984-289A-4072-88D9-277B8462DCF9}"/>
    <cellStyle name="_FRAME FY09BP 3rdReply  ROP Financial 090416_コピーFY09 ITP Adjustments (NML CBUs) for NNA (2)" xfId="22137" xr:uid="{4346919A-7E06-4EA7-A082-F22FDDFFD780}"/>
    <cellStyle name="_FY09 ITP Adjustments (NML CBUs) for NNA v2" xfId="22138" xr:uid="{C0F25989-292A-4990-A379-44A6E3C4C67C}"/>
    <cellStyle name="_x001d_・_x000c_" xfId="22139" xr:uid="{92D5B0D7-9FA6-45C6-97DB-2D8B9764DA0A}"/>
    <cellStyle name="_x001d_・_x000c_ﾏ" xfId="22140" xr:uid="{4283668E-E725-4284-969F-415EBC8714F1}"/>
    <cellStyle name="_x001d_・_x000c_ﾏ 2" xfId="22141" xr:uid="{E5F32A7A-7755-417A-96E1-D7F880DD1D9B}"/>
    <cellStyle name="_x001d_・_x000c_ﾏ・_x000a_ﾂ・_x0001__x0016__x0011_F5_x0007__x0001__x0001_" xfId="22142" xr:uid="{C0312453-CFA3-49B2-B4C5-BAB8BD07D4FC}"/>
    <cellStyle name="_x001d_・_x000c_ﾏ・_x000a_ﾂ・_x0001__x0016__x0011_F5_x0007__x0001__x0001_ 2" xfId="22143" xr:uid="{F20CF413-DCFE-40D7-B741-76FF1818D787}"/>
    <cellStyle name="_x001d_・_x000c_ﾏ・_x000a_ﾂ・_x0001__x0016__x0011_F5_x0007__x0001__x0001__AESC FY14BP Simulation Excel PKG for Auto v1" xfId="22144" xr:uid="{2C3D321C-FDFA-4E98-958B-45DA5F55D1BC}"/>
    <cellStyle name="_x001d_・_x000c_ﾏ・_x000d_ﾂ・_x0001_" xfId="22145" xr:uid="{451A44D5-1909-4953-A49E-71C44A452395}"/>
    <cellStyle name="_x001d_・_x000c_ﾏ・_x000d_ﾂ・_x0001__x0016_" xfId="22146" xr:uid="{C669C5EC-3042-4175-9F50-92475F350C99}"/>
    <cellStyle name="_x001d_・_x000c_ﾏ・_x000d_ﾂ・_x0001__x0016__x0011_" xfId="22147" xr:uid="{F883F59C-B1EE-44EC-9DE9-9436884F92F2}"/>
    <cellStyle name="_x001d_・_x000c_ﾏ・_x000d_ﾂ・_x0001_ 2" xfId="22148" xr:uid="{F936E846-BEB6-4DCF-89FB-F912AD8566D3}"/>
    <cellStyle name="_x001d_・_x000c_ﾏ・_x000d_ﾂ・_x0001__x0016__x0011_F5_x0007__x0001__x0001_" xfId="22149" xr:uid="{740DB9F6-E525-491E-A32C-E3CFD6C2002E}"/>
    <cellStyle name="_x001d_・_x000c_ﾏ・_x000d_ﾂ・_x0001__x0016__x0011_F5_x0007__x0001__x0001_ 2" xfId="22150" xr:uid="{49665821-C7E7-4F82-8DC4-D99E621C7E22}"/>
    <cellStyle name="_x001d_・_x000c_ﾏ・_x000d_ﾂ・_x0001__x0016__x0011_F5_x0007__x0001__x0001_ 2 2" xfId="22151" xr:uid="{83184468-E3CF-41DD-B8C2-F76DD9E98DCE}"/>
    <cellStyle name="_x001d_・_x000c_ﾏ・_x000d_ﾂ・_x0001__x0016__x0011_F5_x0007__x0001__x0001_ 3" xfId="22152" xr:uid="{4D897512-83A2-4D15-A854-9C50AA1FCFB6}"/>
    <cellStyle name="_x001d_・_x000c_ﾏ・_x000d_ﾂ・_x0001__x0016__x0011_F5_x0007__x0001__x0001_ 4" xfId="22153" xr:uid="{636117E6-E19C-4510-AE84-8AAAA09A6976}"/>
    <cellStyle name="_x001d_・&amp;・・・G_x0008__x0009_X_x000a__x0007__x0001__x0001_" xfId="22154" xr:uid="{AA6314B3-6F2B-4A45-9F31-6AD7A93BF52E}"/>
    <cellStyle name="_x001d_・&amp;・・・G_x0008__x0009_X_x000a__x0007__x0001__x0001_ 2" xfId="26432" xr:uid="{937586A2-EC0D-4895-BB1E-B4CCFDE565CE}"/>
    <cellStyle name="긪귽긬?깏깛긏" xfId="22155" xr:uid="{E4CBEE44-1C7B-462A-A509-76E9CC0A168F}"/>
    <cellStyle name="뒤에 오는 하이퍼링크" xfId="22544" xr:uid="{F212ADBE-7AE9-4E64-85F3-FCF87EBC1F81}"/>
    <cellStyle name="똿뗦먛귟 [0.00]_12-e-i~1 (1)" xfId="22894" xr:uid="{B01D7EEF-D41F-45AB-AAD6-9E34092A536E}"/>
    <cellStyle name="똿뗦먛귟_12-e-i~1 (1)" xfId="22895" xr:uid="{BFA042D4-6C69-4404-8E08-C9FDDEA40A30}"/>
    <cellStyle name="믅됞 [0.00]_12-e-i~1 (1)" xfId="23863" xr:uid="{3C58FDE1-7149-42AE-AA3E-D2C630344C34}"/>
    <cellStyle name="믅됞_12-e-i~1 (1)" xfId="23864" xr:uid="{F19E1FEE-DA0E-4DF9-982D-6B3367364DBF}"/>
    <cellStyle name="백분율_HOBONG" xfId="23865" xr:uid="{622094A9-F620-419C-BDB1-760A1A0D83BA}"/>
    <cellStyle name="뷭?_12-e-i~1 (1)" xfId="23867" xr:uid="{94D105A0-9959-40FA-A6B4-CF3AF8496DBF}"/>
    <cellStyle name="셈迷?XLS!check_filesche|_x0005_" xfId="23871" xr:uid="{F66891F9-E350-4128-9F38-EBBB2AAC8BD9}"/>
    <cellStyle name="쉼표 [0]_(NKL) FY08 Fcst #1 Reply PKG" xfId="23872" xr:uid="{903E284B-AD01-4CB5-80DE-CC4724FF729D}"/>
    <cellStyle name="콤마 [0]_  종  합  " xfId="23884" xr:uid="{F8141DAE-B3C7-46F9-AF3A-42716D64635F}"/>
    <cellStyle name="콤마,_x0005__x0014_" xfId="23885" xr:uid="{D4209D65-045D-4270-AE50-5287880BA7D4}"/>
    <cellStyle name="콤마,_x0005__x0014_ 2" xfId="26703" xr:uid="{36D982D1-6C9C-49B9-9CBD-676B92A9F2D8}"/>
    <cellStyle name="콤마_  종  합  " xfId="23886" xr:uid="{EEC5F9F2-BDE2-49F4-B63B-80B769FDEEA9}"/>
    <cellStyle name="통화 [0]_1202" xfId="23887" xr:uid="{14D1EFA6-2909-4F6A-8435-E1529BBE29C6}"/>
    <cellStyle name="통화_1202" xfId="23888" xr:uid="{1FF624D4-0377-49AB-AA50-7361A1230102}"/>
    <cellStyle name="표준_(NKL) FY08 Fcst #1 Reply PKG" xfId="23889" xr:uid="{6CAAAE45-AC14-4889-A7BA-DC589053C9CB}"/>
    <cellStyle name="하이퍼링크_P32E RFQ Package(제출)" xfId="23890" xr:uid="{F358DCFF-2DB4-430F-9F5D-532B811A45CE}"/>
    <cellStyle name="一般_~5804094" xfId="22160" xr:uid="{A9E4882C-2501-4EAD-BD2A-44C4559D25E7}"/>
    <cellStyle name="一行" xfId="22159" xr:uid="{C8672CB9-0DC5-41C3-9A97-1D162BAEC3AA}"/>
    <cellStyle name="下点線" xfId="22161" xr:uid="{700542A0-0726-46C6-AB40-B3140055A67F}"/>
    <cellStyle name="僴僀僷乕儕儞僋" xfId="23876" xr:uid="{3E45107A-C4EB-41C1-8527-C3CE4722BEA4}"/>
    <cellStyle name="僴僀僷乕儕儞僋 2" xfId="23877" xr:uid="{8E19DC99-CDAF-4F9B-8AE0-BE1A7C5E28EB}"/>
    <cellStyle name="僴僀僷乕儕儞僋 3" xfId="23878" xr:uid="{19C5073B-2419-421E-A27B-5A788A80B396}"/>
    <cellStyle name="入力 2" xfId="23419" xr:uid="{70BF7D9A-1123-4A0D-9D54-0EEEA08BF6B4}"/>
    <cellStyle name="入力 2 10" xfId="23420" xr:uid="{9CB83A53-AFEB-4FCA-9706-B855BA78E990}"/>
    <cellStyle name="入力 2 10 2" xfId="35736" xr:uid="{3E45BF47-5B18-4330-949F-CD5F5540F499}"/>
    <cellStyle name="入力 2 11" xfId="23421" xr:uid="{C0A191C7-764F-49E8-BED7-5B93B01B4407}"/>
    <cellStyle name="入力 2 11 2" xfId="35737" xr:uid="{305A12E4-AD4A-400D-95B4-85C386F89779}"/>
    <cellStyle name="入力 2 12" xfId="23422" xr:uid="{40D5D22D-A1DB-4057-85C0-8429871D7488}"/>
    <cellStyle name="入力 2 12 2" xfId="35738" xr:uid="{0AD13491-193C-42FB-A6A0-3033233A2F96}"/>
    <cellStyle name="入力 2 13" xfId="23423" xr:uid="{A2AA3792-B741-43A0-9CE3-BBD32E9B6B9E}"/>
    <cellStyle name="入力 2 13 2" xfId="35739" xr:uid="{3375295E-4369-4A86-AD12-E3B9DD0FC39F}"/>
    <cellStyle name="入力 2 14" xfId="23424" xr:uid="{D85EB58D-66BE-4FD3-8304-BB6EFB10E93F}"/>
    <cellStyle name="入力 2 14 2" xfId="35740" xr:uid="{943945DB-B49F-4D71-BF38-26013FBD98D1}"/>
    <cellStyle name="入力 2 15" xfId="23425" xr:uid="{D4CA50D7-0114-43CC-B07A-612374CBEBE3}"/>
    <cellStyle name="入力 2 15 2" xfId="35741" xr:uid="{FFEF1689-A4F4-4CC3-8127-CFED12DFC39A}"/>
    <cellStyle name="入力 2 16" xfId="23426" xr:uid="{765D364B-1419-411F-BFBA-7EAA166A43C7}"/>
    <cellStyle name="入力 2 16 2" xfId="35742" xr:uid="{762B3D9B-B9BE-4D3F-BEA5-291EEB6EC2E5}"/>
    <cellStyle name="入力 2 17" xfId="23427" xr:uid="{6EF52996-5A2F-460A-9635-395CB4D2B6DA}"/>
    <cellStyle name="入力 2 17 2" xfId="35743" xr:uid="{A4043D01-0EC1-40B5-BF95-D2F298EA0FE2}"/>
    <cellStyle name="入力 2 18" xfId="23428" xr:uid="{19FC2FF2-915F-478D-B349-4ADBA46CA994}"/>
    <cellStyle name="入力 2 18 2" xfId="35744" xr:uid="{96159822-661C-4AA2-AB03-198FA5200D20}"/>
    <cellStyle name="入力 2 19" xfId="35735" xr:uid="{8F1FE8A2-931C-49AB-82E5-B2868D1B2FA9}"/>
    <cellStyle name="入力 2 2" xfId="23429" xr:uid="{E5BAE691-641B-4EF6-8E09-E7473CD19A5C}"/>
    <cellStyle name="入力 2 2 10" xfId="23430" xr:uid="{43464B54-B341-4B28-8A3C-801CC5AB5F3C}"/>
    <cellStyle name="入力 2 2 10 2" xfId="35746" xr:uid="{52546149-FF66-4CF5-BA33-B0AA6E5780B3}"/>
    <cellStyle name="入力 2 2 11" xfId="23431" xr:uid="{7214A040-3101-4055-B948-7F358FD04ADA}"/>
    <cellStyle name="入力 2 2 11 2" xfId="35747" xr:uid="{06F12A6B-7F2A-48C4-8AD4-BBAA3F2D5AC7}"/>
    <cellStyle name="入力 2 2 12" xfId="23432" xr:uid="{E0800FD8-80DA-4951-93B0-435668FC482A}"/>
    <cellStyle name="入力 2 2 12 2" xfId="35748" xr:uid="{A135EA54-75CA-4AB6-8E17-CE9B78386667}"/>
    <cellStyle name="入力 2 2 13" xfId="23433" xr:uid="{5F26F3F6-CE96-4015-83B5-A2E4F153839A}"/>
    <cellStyle name="入力 2 2 13 2" xfId="35749" xr:uid="{7C05F1CD-F294-4FFA-9264-6142B8942F41}"/>
    <cellStyle name="入力 2 2 14" xfId="23434" xr:uid="{64252B64-9BFF-4FC8-829D-33EAD9FA592E}"/>
    <cellStyle name="入力 2 2 14 2" xfId="35750" xr:uid="{C84D1635-B72A-40BB-A5C5-0E0477B2B047}"/>
    <cellStyle name="入力 2 2 15" xfId="23435" xr:uid="{8A6B2B95-6B8C-4151-912A-A4D8DED9A2CA}"/>
    <cellStyle name="入力 2 2 15 2" xfId="35751" xr:uid="{BD4C3048-39B7-4A98-9F0F-ACF2E9D78719}"/>
    <cellStyle name="入力 2 2 16" xfId="23436" xr:uid="{26CCBE7A-235D-4AAC-879B-06AEAEBE1718}"/>
    <cellStyle name="入力 2 2 16 2" xfId="35752" xr:uid="{691F7039-1786-4573-97DB-6DDF3C9401F9}"/>
    <cellStyle name="入力 2 2 17" xfId="35745" xr:uid="{81565B94-657E-4BA7-8AEF-E7E7F9A45E5E}"/>
    <cellStyle name="入力 2 2 2" xfId="23437" xr:uid="{4D2503B9-1138-4D40-B8C7-F425E8515E54}"/>
    <cellStyle name="入力 2 2 2 10" xfId="23438" xr:uid="{24036732-C17B-4D7E-9716-E68F105C662D}"/>
    <cellStyle name="入力 2 2 2 10 2" xfId="35754" xr:uid="{43A766D5-471B-4E0B-B40D-75706CB4F082}"/>
    <cellStyle name="入力 2 2 2 11" xfId="23439" xr:uid="{57A7E9A8-E71C-4C27-BEF0-DF516E35C648}"/>
    <cellStyle name="入力 2 2 2 11 2" xfId="35755" xr:uid="{7969C9ED-25A2-4A66-ACC4-10E599B43307}"/>
    <cellStyle name="入力 2 2 2 12" xfId="23440" xr:uid="{97B47EB3-7BC8-483B-A9B9-43A4CFAE2E11}"/>
    <cellStyle name="入力 2 2 2 12 2" xfId="35756" xr:uid="{8C905B97-D7AE-4F0E-B5D3-4F6BD659B9C0}"/>
    <cellStyle name="入力 2 2 2 13" xfId="23441" xr:uid="{023A7DE9-D4CE-4C60-8962-8D07C2E1E4DC}"/>
    <cellStyle name="入力 2 2 2 13 2" xfId="35757" xr:uid="{2CA1A814-5306-4C5F-84E8-F6908334ED60}"/>
    <cellStyle name="入力 2 2 2 14" xfId="23442" xr:uid="{724612AA-2AEB-487F-AB42-3B344854BBBF}"/>
    <cellStyle name="入力 2 2 2 14 2" xfId="35758" xr:uid="{126B5D89-D565-4D9A-8E12-331305F5788D}"/>
    <cellStyle name="入力 2 2 2 15" xfId="35753" xr:uid="{F79348D2-4070-491A-8413-DAAA61679A5A}"/>
    <cellStyle name="入力 2 2 2 2" xfId="23443" xr:uid="{5D927630-2597-4D37-BAAD-99DE522B3AFB}"/>
    <cellStyle name="入力 2 2 2 2 2" xfId="35759" xr:uid="{017B049D-2F5A-4093-BC46-8B6D8B61B79E}"/>
    <cellStyle name="入力 2 2 2 3" xfId="23444" xr:uid="{0A861D21-1AC0-43D3-86D3-C4DFEBF9F6AD}"/>
    <cellStyle name="入力 2 2 2 3 2" xfId="35760" xr:uid="{23F56EC2-4BF7-4D01-A80C-71F0ACA26D29}"/>
    <cellStyle name="入力 2 2 2 4" xfId="23445" xr:uid="{3A68FCF7-D42F-4B2D-BCB2-F3A44EBADE4C}"/>
    <cellStyle name="入力 2 2 2 4 2" xfId="35761" xr:uid="{1290CE4C-E6E3-425D-B96C-CECD599CE039}"/>
    <cellStyle name="入力 2 2 2 5" xfId="23446" xr:uid="{63681D89-1CC2-4355-A001-9402167F7730}"/>
    <cellStyle name="入力 2 2 2 5 2" xfId="35762" xr:uid="{4E81D38A-339C-4E98-9D27-6C19D8679BAC}"/>
    <cellStyle name="入力 2 2 2 6" xfId="23447" xr:uid="{EFC39A19-4278-4F2F-9573-2323735E2D1C}"/>
    <cellStyle name="入力 2 2 2 6 2" xfId="35763" xr:uid="{10804868-3E17-41A2-85BA-A528F111A9ED}"/>
    <cellStyle name="入力 2 2 2 7" xfId="23448" xr:uid="{6E5D95B5-2AF1-4166-AD77-B2B54AF82832}"/>
    <cellStyle name="入力 2 2 2 7 2" xfId="35764" xr:uid="{D1257EC7-CF89-4872-A3A1-A6D7550783E2}"/>
    <cellStyle name="入力 2 2 2 8" xfId="23449" xr:uid="{7AAAD3DE-077A-4DF7-AC93-9623CB642474}"/>
    <cellStyle name="入力 2 2 2 8 2" xfId="35765" xr:uid="{73B86566-3F6E-44C1-8967-6C1703731874}"/>
    <cellStyle name="入力 2 2 2 9" xfId="23450" xr:uid="{09987D70-995A-4657-8CCB-DE29C56DE8E3}"/>
    <cellStyle name="入力 2 2 2 9 2" xfId="35766" xr:uid="{B524382A-CDFC-47FD-804E-EFEAC4558C2A}"/>
    <cellStyle name="入力 2 2 3" xfId="23451" xr:uid="{B801F7AE-6FCB-4098-A017-5C9A475950D4}"/>
    <cellStyle name="入力 2 2 3 2" xfId="35767" xr:uid="{A207794E-DF46-45D1-A8FA-5E062ED83D49}"/>
    <cellStyle name="入力 2 2 4" xfId="23452" xr:uid="{8F211763-F457-419A-A9C9-93B4DC91BE46}"/>
    <cellStyle name="入力 2 2 4 2" xfId="35768" xr:uid="{6259925F-BE49-477C-B458-3ACEC1EE3331}"/>
    <cellStyle name="入力 2 2 5" xfId="23453" xr:uid="{367A59B6-993A-4792-9AE5-9F8E20DD52F7}"/>
    <cellStyle name="入力 2 2 5 2" xfId="35769" xr:uid="{174B5629-2BD0-432C-B4E1-F6580DC93188}"/>
    <cellStyle name="入力 2 2 6" xfId="23454" xr:uid="{F9DDD9DE-48AA-4382-9ED2-3B7249F7C0E3}"/>
    <cellStyle name="入力 2 2 6 2" xfId="35770" xr:uid="{88E6E43C-D65D-4A1D-851F-5B97475C9525}"/>
    <cellStyle name="入力 2 2 7" xfId="23455" xr:uid="{A2CEA51A-2A95-413F-BCEF-63B415E5D839}"/>
    <cellStyle name="入力 2 2 7 2" xfId="35771" xr:uid="{B1626BE1-C829-4E90-B4BB-AA48445B04A4}"/>
    <cellStyle name="入力 2 2 8" xfId="23456" xr:uid="{885BC634-9972-47B1-9AC4-C507EE6B6EDD}"/>
    <cellStyle name="入力 2 2 8 2" xfId="35772" xr:uid="{42AAFAAE-C20A-4510-9B83-DADB4E641B4C}"/>
    <cellStyle name="入力 2 2 9" xfId="23457" xr:uid="{9A90508E-9EEE-488D-B44B-3FA39900386E}"/>
    <cellStyle name="入力 2 2 9 2" xfId="35773" xr:uid="{3C9BDDBE-B958-49CC-8AB6-642782F8BDB2}"/>
    <cellStyle name="入力 2 3" xfId="23458" xr:uid="{8887FEA3-1EC3-493B-A450-8B0ABFCEDFF4}"/>
    <cellStyle name="入力 2 3 10" xfId="23459" xr:uid="{E9F151FB-E6CC-43B0-8644-355EB210D5A8}"/>
    <cellStyle name="入力 2 3 10 2" xfId="35775" xr:uid="{3965AE2F-E612-4941-9ED8-20F52C9098A6}"/>
    <cellStyle name="入力 2 3 11" xfId="23460" xr:uid="{D0EBC725-54E2-4876-8E51-D3FA219ACBCB}"/>
    <cellStyle name="入力 2 3 11 2" xfId="35776" xr:uid="{83061252-2843-48F6-ABF0-DD50A91FF10F}"/>
    <cellStyle name="入力 2 3 12" xfId="23461" xr:uid="{754B2D21-6762-471A-9D42-782D20AECCF7}"/>
    <cellStyle name="入力 2 3 12 2" xfId="35777" xr:uid="{A7FBF42D-12F6-4DB9-96C3-50764D592B3D}"/>
    <cellStyle name="入力 2 3 13" xfId="23462" xr:uid="{B4C2D34C-8F19-4833-A7B0-3D79C0683B10}"/>
    <cellStyle name="入力 2 3 13 2" xfId="35778" xr:uid="{F78E2317-FE87-4FF3-89E1-5E64AF100AA5}"/>
    <cellStyle name="入力 2 3 14" xfId="23463" xr:uid="{D6C7B05E-0C41-40F9-96EC-5613955B7239}"/>
    <cellStyle name="入力 2 3 14 2" xfId="35779" xr:uid="{09B22666-42D9-44D6-AA7F-BE48C38C90F7}"/>
    <cellStyle name="入力 2 3 15" xfId="35774" xr:uid="{EE9CC1EB-CEEE-4D4A-A4AD-05CA9B22C71C}"/>
    <cellStyle name="入力 2 3 2" xfId="23464" xr:uid="{BB01CA1C-986D-4696-956A-A70BBDDA1902}"/>
    <cellStyle name="入力 2 3 2 2" xfId="37745" xr:uid="{89D2C86C-B77E-4B8B-B087-83DCC81FFCE5}"/>
    <cellStyle name="入力 2 3 3" xfId="23465" xr:uid="{3FE6CBFD-A4E1-41FB-9606-2CB0A0AC4B10}"/>
    <cellStyle name="入力 2 3 3 2" xfId="37757" xr:uid="{330CF675-9E0B-40FD-AEEC-12EFC23AB8A4}"/>
    <cellStyle name="入力 2 3 4" xfId="23466" xr:uid="{16FC4A05-6406-4100-A2F0-DA1EFED31718}"/>
    <cellStyle name="入力 2 3 4 2" xfId="38748" xr:uid="{8124F0C1-C63A-4B61-9C99-C00232EFC402}"/>
    <cellStyle name="入力 2 3 5" xfId="23467" xr:uid="{EE87C95C-5D8C-46A9-A184-3F39C5EC2C41}"/>
    <cellStyle name="入力 2 3 5 2" xfId="37762" xr:uid="{F31DDB14-A5F5-41DE-84E9-116A6B2F3B53}"/>
    <cellStyle name="入力 2 3 6" xfId="23468" xr:uid="{931F2DB6-23A7-4A2A-AEC5-8052AEC6B15F}"/>
    <cellStyle name="入力 2 3 6 2" xfId="35780" xr:uid="{3D0CA22C-F3F6-40DF-813C-50ED53239ED7}"/>
    <cellStyle name="入力 2 3 7" xfId="23469" xr:uid="{88719347-25AB-45AC-BD56-E992961ED877}"/>
    <cellStyle name="入力 2 3 7 2" xfId="35781" xr:uid="{6F91829B-5FB6-429C-8B60-80AFC200B9A1}"/>
    <cellStyle name="入力 2 3 8" xfId="23470" xr:uid="{C8881F19-C267-4B6F-81CE-DA759BDDA123}"/>
    <cellStyle name="入力 2 3 8 2" xfId="35782" xr:uid="{FEB23DE2-9207-4436-AB71-26849E71A842}"/>
    <cellStyle name="入力 2 3 9" xfId="23471" xr:uid="{70DCE907-E110-44F8-AFE3-2BD9198F089A}"/>
    <cellStyle name="入力 2 3 9 2" xfId="35783" xr:uid="{35F623EE-C605-424A-9B3F-8D91436FF79F}"/>
    <cellStyle name="入力 2 4" xfId="23472" xr:uid="{2AD169D4-EEB7-4A74-B0F2-7A94262915F2}"/>
    <cellStyle name="入力 2 4 2" xfId="35784" xr:uid="{B9DD0D52-9B66-4C54-8171-2D0D20352828}"/>
    <cellStyle name="入力 2 5" xfId="23473" xr:uid="{BFDCB63E-8F0C-4F70-AEC1-040265E1B1A8}"/>
    <cellStyle name="入力 2 5 2" xfId="35785" xr:uid="{E57ADD8D-5FAB-47E9-B103-709CF9B5E05A}"/>
    <cellStyle name="入力 2 6" xfId="23474" xr:uid="{C92207B3-1C49-41DC-A3DC-CA64541ED796}"/>
    <cellStyle name="入力 2 6 2" xfId="35786" xr:uid="{6728FE7F-EF92-4D24-B8C3-2D847B8D0EAF}"/>
    <cellStyle name="入力 2 7" xfId="23475" xr:uid="{A8E33DE7-21F4-4FBA-92EA-7B680A7C220E}"/>
    <cellStyle name="入力 2 7 2" xfId="35787" xr:uid="{172F8A8C-AD63-42EF-875D-B6119CFB8E74}"/>
    <cellStyle name="入力 2 8" xfId="23476" xr:uid="{CDD84C4D-3550-4770-B194-26B147B13370}"/>
    <cellStyle name="入力 2 8 2" xfId="35788" xr:uid="{CC9EB2F4-835B-4935-97B7-E1A1033A3518}"/>
    <cellStyle name="入力 2 9" xfId="23477" xr:uid="{9C075A8E-790A-490A-BEB2-8219C641C500}"/>
    <cellStyle name="入力 2 9 2" xfId="35789" xr:uid="{61ABCF6D-5C5E-47B9-8B64-092EBB5F483C}"/>
    <cellStyle name="入力 3" xfId="23478" xr:uid="{D58AB089-F014-4F4E-83D7-20515000397D}"/>
    <cellStyle name="入力 3 10" xfId="23479" xr:uid="{DB9F66D0-229D-4393-8D94-F0D90C867B28}"/>
    <cellStyle name="入力 3 10 2" xfId="35617" xr:uid="{9FF4BCF2-A45B-425A-BFD1-4AFB9FF97DB5}"/>
    <cellStyle name="入力 3 11" xfId="23480" xr:uid="{12B41F07-00CD-4ABE-A2E8-6F3F1C7F6384}"/>
    <cellStyle name="入力 3 11 2" xfId="35618" xr:uid="{0EE11F50-9CB7-41C4-8657-083C063D9570}"/>
    <cellStyle name="入力 3 12" xfId="23481" xr:uid="{AC6B68E0-B4EA-4F8F-B8A9-C8238A71F31D}"/>
    <cellStyle name="入力 3 12 2" xfId="37135" xr:uid="{C314B82D-3B14-42BD-9D79-FFA55AEE7768}"/>
    <cellStyle name="入力 3 13" xfId="23482" xr:uid="{C7330957-2037-4D0E-A2A8-AECF9BD5B71A}"/>
    <cellStyle name="入力 3 13 2" xfId="37136" xr:uid="{076FFAF3-7D68-4D82-8B78-59AAA6061E33}"/>
    <cellStyle name="入力 3 14" xfId="23483" xr:uid="{8A169428-7405-4541-BEB1-603A59E3D74F}"/>
    <cellStyle name="入力 3 14 2" xfId="37137" xr:uid="{21382952-1188-4C22-A76D-BCCA67A7F68A}"/>
    <cellStyle name="入力 3 15" xfId="23484" xr:uid="{404A7D35-1155-4325-ADE3-75DD02F898C6}"/>
    <cellStyle name="入力 3 15 2" xfId="37138" xr:uid="{D19DC8D3-49A1-43C9-8E8D-DAA43404113D}"/>
    <cellStyle name="入力 3 16" xfId="23485" xr:uid="{3D9E44D5-0F7D-41CC-B1B2-D74620791ABF}"/>
    <cellStyle name="入力 3 16 2" xfId="38454" xr:uid="{25AA9971-DF61-4B6A-99B5-D89E5FB3178B}"/>
    <cellStyle name="入力 3 17" xfId="23486" xr:uid="{08454E8A-665A-4975-8811-030043284BCC}"/>
    <cellStyle name="入力 3 17 2" xfId="37139" xr:uid="{FF2A9A91-83CC-4792-A869-0529A0BEDB8A}"/>
    <cellStyle name="入力 3 18" xfId="27435" xr:uid="{A5BA6B5A-93DA-4E6D-B5C7-82D2EDE3C5FA}"/>
    <cellStyle name="入力 3 2" xfId="23487" xr:uid="{BD729458-A543-4FC1-A073-AB13083353A6}"/>
    <cellStyle name="入力 3 2 10" xfId="23488" xr:uid="{B0502EDE-D30F-4491-968F-965D5824AA57}"/>
    <cellStyle name="入力 3 2 10 2" xfId="38455" xr:uid="{34D9726E-5973-4660-816D-3E548FD54903}"/>
    <cellStyle name="入力 3 2 11" xfId="23489" xr:uid="{8EE13760-CCD1-469D-B302-D24EC515947D}"/>
    <cellStyle name="入力 3 2 11 2" xfId="37141" xr:uid="{A298599F-3450-4933-A69D-08862856C835}"/>
    <cellStyle name="入力 3 2 12" xfId="23490" xr:uid="{38DD2706-4ADE-4BDB-9B0D-F6F2DB79F10D}"/>
    <cellStyle name="入力 3 2 12 2" xfId="38456" xr:uid="{550251A6-4D90-46A9-8A17-EB9252AEB925}"/>
    <cellStyle name="入力 3 2 13" xfId="23491" xr:uid="{D7C34688-FFF6-4932-97EA-3077266A25C2}"/>
    <cellStyle name="入力 3 2 13 2" xfId="36884" xr:uid="{A532FCB2-ABD1-4D85-94FB-78C0D4BBDEF1}"/>
    <cellStyle name="入力 3 2 14" xfId="23492" xr:uid="{37F91977-166B-4E3D-B760-075C0D983E56}"/>
    <cellStyle name="入力 3 2 14 2" xfId="36885" xr:uid="{770FDE75-1A4C-4D62-8505-9B75C6B985BD}"/>
    <cellStyle name="入力 3 2 15" xfId="23493" xr:uid="{839A91B6-FC3F-445A-A64E-4C0CB3E37E72}"/>
    <cellStyle name="入力 3 2 15 2" xfId="36886" xr:uid="{F1C4B0E4-9C19-4A03-BC7A-DD6AD9CD9D08}"/>
    <cellStyle name="入力 3 2 16" xfId="23494" xr:uid="{B4ECD9A8-2AFC-470B-81C4-84C3DDE3A128}"/>
    <cellStyle name="入力 3 2 16 2" xfId="36887" xr:uid="{99D4A745-EC11-4B30-AB68-3D4EEBD8EB81}"/>
    <cellStyle name="入力 3 2 17" xfId="37140" xr:uid="{D71E22BC-0F19-4E6F-A36E-D5B56784EA6F}"/>
    <cellStyle name="入力 3 2 2" xfId="23495" xr:uid="{903C0059-2E18-4CB2-AB0F-840176CCB497}"/>
    <cellStyle name="入力 3 2 2 10" xfId="23496" xr:uid="{0AF76E04-F23D-4C8F-8555-C7F7CC4436E1}"/>
    <cellStyle name="入力 3 2 2 10 2" xfId="36889" xr:uid="{33EC9A5B-25F2-4031-8D03-63839513F2E1}"/>
    <cellStyle name="入力 3 2 2 11" xfId="23497" xr:uid="{9BC87EDA-2635-48B4-9EE6-42CE672EFED6}"/>
    <cellStyle name="入力 3 2 2 11 2" xfId="36890" xr:uid="{0E7DC3F2-B053-4E92-BB66-DD7153082BB3}"/>
    <cellStyle name="入力 3 2 2 12" xfId="23498" xr:uid="{4EC3346B-710B-494D-9587-55EAE6482FA0}"/>
    <cellStyle name="入力 3 2 2 12 2" xfId="36891" xr:uid="{69F8251F-0CE9-4F58-8244-2FAE227B9EBF}"/>
    <cellStyle name="入力 3 2 2 13" xfId="23499" xr:uid="{08A05B7D-A12E-4A7C-ADF7-8F0196E12271}"/>
    <cellStyle name="入力 3 2 2 13 2" xfId="36892" xr:uid="{590CA595-3868-47A8-8C00-9930A4F235A3}"/>
    <cellStyle name="入力 3 2 2 14" xfId="23500" xr:uid="{F1C83330-4049-4CF6-AEFE-FBB08CF48D98}"/>
    <cellStyle name="入力 3 2 2 14 2" xfId="36893" xr:uid="{FA6756AC-04D2-4751-A60A-B7E6F1C480FA}"/>
    <cellStyle name="入力 3 2 2 15" xfId="36888" xr:uid="{FF3C6F5D-356A-41FC-A5B8-EB07A82D7D6C}"/>
    <cellStyle name="入力 3 2 2 2" xfId="23501" xr:uid="{16535BD0-39A4-4DD5-89D8-863CF424B3F5}"/>
    <cellStyle name="入力 3 2 2 2 2" xfId="36894" xr:uid="{F226D57F-2E41-47D2-9A60-78328F8D6989}"/>
    <cellStyle name="入力 3 2 2 3" xfId="23502" xr:uid="{A29C1174-9B42-4C91-B9A9-61F964B3A27D}"/>
    <cellStyle name="入力 3 2 2 3 2" xfId="36895" xr:uid="{69BA914A-8408-459B-BD74-8A361EED4936}"/>
    <cellStyle name="入力 3 2 2 4" xfId="23503" xr:uid="{96A90585-7503-435B-9FAB-EB477357146C}"/>
    <cellStyle name="入力 3 2 2 4 2" xfId="36896" xr:uid="{94D7984E-659F-41C4-B259-BF27C6D0BC4B}"/>
    <cellStyle name="入力 3 2 2 5" xfId="23504" xr:uid="{4282AA31-2942-4F57-9EA9-CA85A066B19B}"/>
    <cellStyle name="入力 3 2 2 5 2" xfId="36897" xr:uid="{AC3025AF-865C-40B3-891D-A9E56CE76682}"/>
    <cellStyle name="入力 3 2 2 6" xfId="23505" xr:uid="{A59D3666-3EA6-4D25-9D7F-DDA5503F1271}"/>
    <cellStyle name="入力 3 2 2 6 2" xfId="36898" xr:uid="{5297F3BE-ECCA-429A-8D06-935E0AC832C3}"/>
    <cellStyle name="入力 3 2 2 7" xfId="23506" xr:uid="{C1C1C967-6A9B-4FDC-A909-30900E811A99}"/>
    <cellStyle name="入力 3 2 2 7 2" xfId="36899" xr:uid="{64EABDE3-BFCC-4C75-BAE4-AE572A69E500}"/>
    <cellStyle name="入力 3 2 2 8" xfId="23507" xr:uid="{EC011F9B-D826-4BD4-935F-5538B941C213}"/>
    <cellStyle name="入力 3 2 2 8 2" xfId="36900" xr:uid="{811EDE55-32DE-40EE-9E0F-DE443C1384A1}"/>
    <cellStyle name="入力 3 2 2 9" xfId="23508" xr:uid="{554C0135-1060-4889-BA0E-FC0B9FBB729A}"/>
    <cellStyle name="入力 3 2 2 9 2" xfId="36901" xr:uid="{1C77A4E2-D623-4924-83C5-57778E3FE51F}"/>
    <cellStyle name="入力 3 2 3" xfId="23509" xr:uid="{43D3520B-3DD4-493B-BCED-25C91886C216}"/>
    <cellStyle name="入力 3 2 3 2" xfId="36902" xr:uid="{FF9F71AC-BA59-42B4-9EB4-D88593953E08}"/>
    <cellStyle name="入力 3 2 4" xfId="23510" xr:uid="{37FC0FA0-C7FF-411B-AEF1-C33D1DCA2FED}"/>
    <cellStyle name="入力 3 2 4 2" xfId="36903" xr:uid="{226D502C-1B71-469D-9647-78675ED93A6C}"/>
    <cellStyle name="入力 3 2 5" xfId="23511" xr:uid="{474ED330-84F9-49DC-841C-D15519198830}"/>
    <cellStyle name="入力 3 2 5 2" xfId="36904" xr:uid="{A94C81EB-ACEA-47DB-B19C-5DE469B9F984}"/>
    <cellStyle name="入力 3 2 6" xfId="23512" xr:uid="{9FB6BA2F-BC45-41F3-A016-CAE2E1F60E83}"/>
    <cellStyle name="入力 3 2 6 2" xfId="36905" xr:uid="{BC3F1D94-9671-4A7E-AD0B-C756B65FD48C}"/>
    <cellStyle name="入力 3 2 7" xfId="23513" xr:uid="{A3B5B24A-6BAC-4355-9C98-D9563030E99A}"/>
    <cellStyle name="入力 3 2 7 2" xfId="36906" xr:uid="{C6E6C61A-073A-4F0A-BE60-0BFE33A75864}"/>
    <cellStyle name="入力 3 2 8" xfId="23514" xr:uid="{BA70081B-9C48-4125-86A5-8A55D7DF290A}"/>
    <cellStyle name="入力 3 2 8 2" xfId="36907" xr:uid="{2AC6D522-2F93-40E3-B1B8-412E117A6545}"/>
    <cellStyle name="入力 3 2 9" xfId="23515" xr:uid="{574D3F3E-F301-4203-9894-3E714F0215B5}"/>
    <cellStyle name="入力 3 2 9 2" xfId="36908" xr:uid="{1164753A-C612-4536-9C21-58A35AEEE3F7}"/>
    <cellStyle name="入力 3 3" xfId="23516" xr:uid="{4CA5658A-2022-42C5-90E5-B46DF0029E18}"/>
    <cellStyle name="入力 3 3 10" xfId="23517" xr:uid="{A082B334-6140-48AA-A32F-3A7D6C2DC8DF}"/>
    <cellStyle name="入力 3 3 10 2" xfId="36910" xr:uid="{78228C12-EB0C-4CC4-86D2-BAA46C5374AA}"/>
    <cellStyle name="入力 3 3 11" xfId="23518" xr:uid="{0EE56FBF-749B-42FB-882E-261F22BB7B7A}"/>
    <cellStyle name="入力 3 3 11 2" xfId="36911" xr:uid="{68362DC8-C91A-466A-871F-2D0CC3C939FE}"/>
    <cellStyle name="入力 3 3 12" xfId="23519" xr:uid="{ECFA17B3-6FB1-4AA5-9C82-FA11B8D5E658}"/>
    <cellStyle name="入力 3 3 12 2" xfId="36912" xr:uid="{436F0934-EB72-4C56-984A-A74F2FC5DFED}"/>
    <cellStyle name="入力 3 3 13" xfId="23520" xr:uid="{BE1882FE-7282-498C-AD5B-BC02A2DCB523}"/>
    <cellStyle name="入力 3 3 13 2" xfId="36913" xr:uid="{AB1DFCE8-09A8-4675-999D-6FB7ACEE858C}"/>
    <cellStyle name="入力 3 3 14" xfId="23521" xr:uid="{DDF0663F-1339-4E63-8B40-B985053CF889}"/>
    <cellStyle name="入力 3 3 14 2" xfId="36914" xr:uid="{CCF1AC61-1657-433D-9990-64FB7393CB3F}"/>
    <cellStyle name="入力 3 3 15" xfId="36909" xr:uid="{D83DD3D2-40E8-462F-8807-3A0E0A1A4879}"/>
    <cellStyle name="入力 3 3 2" xfId="23522" xr:uid="{9E5DE1A6-6E51-4DC8-9BA4-8E04C756DCE7}"/>
    <cellStyle name="入力 3 3 2 2" xfId="36915" xr:uid="{823D5DA5-22C5-47E1-84A7-ED03FB379592}"/>
    <cellStyle name="入力 3 3 3" xfId="23523" xr:uid="{5A36E4E5-EF69-4F4F-B3FE-D9660F6F9E69}"/>
    <cellStyle name="入力 3 3 3 2" xfId="36916" xr:uid="{1EFF0E52-F72F-494A-8463-E65C8B04DC90}"/>
    <cellStyle name="入力 3 3 4" xfId="23524" xr:uid="{DA82E0CF-4B79-4393-9EBA-0885C0C51C6F}"/>
    <cellStyle name="入力 3 3 4 2" xfId="36917" xr:uid="{4206F5D4-CD8E-4AED-81E7-BE954B64E58C}"/>
    <cellStyle name="入力 3 3 5" xfId="23525" xr:uid="{E4D776EE-5905-4FAE-97A2-E8F09DE73E47}"/>
    <cellStyle name="入力 3 3 5 2" xfId="27434" xr:uid="{D2A67B51-A655-4746-8DE1-832C1D20CFE2}"/>
    <cellStyle name="入力 3 3 6" xfId="23526" xr:uid="{4AC0EE00-CD2C-4D8D-9BC8-1915142667C7}"/>
    <cellStyle name="入力 3 3 6 2" xfId="27437" xr:uid="{8BCE3113-77B6-4A85-B3AC-A5289EA94228}"/>
    <cellStyle name="入力 3 3 7" xfId="23527" xr:uid="{58F9CF57-CC15-4A35-A48D-25002A39FB6A}"/>
    <cellStyle name="入力 3 3 7 2" xfId="36919" xr:uid="{F7908F88-01B3-4630-88A0-E89D1C62FA3F}"/>
    <cellStyle name="入力 3 3 8" xfId="23528" xr:uid="{6F7B1E79-FB33-426B-9CB1-AF8FCCEB8A12}"/>
    <cellStyle name="入力 3 3 8 2" xfId="36920" xr:uid="{C27E0016-A893-4322-9403-64EF45BAD3B8}"/>
    <cellStyle name="入力 3 3 9" xfId="23529" xr:uid="{714D6894-28B6-4B47-BB03-F6A9C0A03939}"/>
    <cellStyle name="入力 3 3 9 2" xfId="36921" xr:uid="{162DC492-5AA5-4CE8-B35A-F31B0175207A}"/>
    <cellStyle name="入力 3 4" xfId="23530" xr:uid="{9C26DA85-397E-428A-863D-47C25C06BFFD}"/>
    <cellStyle name="入力 3 4 2" xfId="36922" xr:uid="{2BED6F60-58DA-4A6F-9E88-2140E420A0F6}"/>
    <cellStyle name="入力 3 5" xfId="23531" xr:uid="{DC27E028-9648-4F90-9F26-93A0477970A4}"/>
    <cellStyle name="入力 3 5 2" xfId="36923" xr:uid="{4F7F348E-03B4-4393-A6DD-9A44B00695E8}"/>
    <cellStyle name="入力 3 6" xfId="23532" xr:uid="{1B7A7D56-740B-4021-8F35-A51A0C7ED3D6}"/>
    <cellStyle name="入力 3 6 2" xfId="36924" xr:uid="{9EF63C98-81A1-41C1-9221-0EB2DC686665}"/>
    <cellStyle name="入力 3 7" xfId="23533" xr:uid="{8BE30378-23E7-4108-8B9C-2F35432A4359}"/>
    <cellStyle name="入力 3 7 2" xfId="36925" xr:uid="{414136C2-B964-490D-8864-81E387E20F35}"/>
    <cellStyle name="入力 3 8" xfId="23534" xr:uid="{21E53F93-9CE2-445F-8580-B39C6644FF50}"/>
    <cellStyle name="入力 3 8 2" xfId="36918" xr:uid="{41B90CDA-B258-4191-A57E-A883D203F36C}"/>
    <cellStyle name="入力 3 9" xfId="23535" xr:uid="{9B97FB7B-555B-463B-BBA0-CE07E9E3BBCF}"/>
    <cellStyle name="入力 3 9 2" xfId="36926" xr:uid="{5E1ACD30-1499-4825-A179-C827BF1E5D9F}"/>
    <cellStyle name="入力 4" xfId="23536" xr:uid="{B36AC867-0EFD-48AF-BD64-38793AB5DAAC}"/>
    <cellStyle name="入力 4 10" xfId="23537" xr:uid="{5C292E3A-503B-4910-80A3-B0BA25393BCA}"/>
    <cellStyle name="入力 4 10 2" xfId="36928" xr:uid="{22C5DB3F-9230-4D60-BCB0-5435F81FAEC0}"/>
    <cellStyle name="入力 4 11" xfId="23538" xr:uid="{03B6366D-20A7-4019-BE0A-B643F7C3471F}"/>
    <cellStyle name="入力 4 11 2" xfId="36929" xr:uid="{473D7A78-6272-4975-808A-C93C0A02CAFE}"/>
    <cellStyle name="入力 4 12" xfId="23539" xr:uid="{560714A9-25B0-418A-B806-4B56C054A218}"/>
    <cellStyle name="入力 4 12 2" xfId="36930" xr:uid="{2C99DD58-626D-4A00-9E0F-7EDDC2CBC3D3}"/>
    <cellStyle name="入力 4 13" xfId="23540" xr:uid="{368E7AE8-89E0-4D4C-8773-3179FF8BAE07}"/>
    <cellStyle name="入力 4 13 2" xfId="36931" xr:uid="{1D481ED1-22CD-4EDA-86F9-4D74F656A563}"/>
    <cellStyle name="入力 4 14" xfId="23541" xr:uid="{4E122487-65F0-4E36-9C48-5CF63703C7FD}"/>
    <cellStyle name="入力 4 14 2" xfId="36932" xr:uid="{F4C50948-418A-4C1F-A928-FAC9644540D5}"/>
    <cellStyle name="入力 4 15" xfId="23542" xr:uid="{91637C51-5077-441B-983B-0782EFFF0A99}"/>
    <cellStyle name="入力 4 15 2" xfId="36933" xr:uid="{12C94833-7154-42F5-8132-6806F85E7597}"/>
    <cellStyle name="入力 4 16" xfId="23543" xr:uid="{48A0A563-2E32-4C08-980E-05AC5F184360}"/>
    <cellStyle name="入力 4 16 2" xfId="36934" xr:uid="{0D99DE4D-4932-45B3-9F9F-29486CDECE18}"/>
    <cellStyle name="入力 4 17" xfId="36927" xr:uid="{A1B11CEE-ED56-492A-BBB8-0C4CAA51BC09}"/>
    <cellStyle name="入力 4 2" xfId="23544" xr:uid="{0A923318-80E3-410C-9C13-16ACFCD6DC0A}"/>
    <cellStyle name="入力 4 2 10" xfId="23545" xr:uid="{92AC6FED-6AEB-4162-A31D-F1F5B2A433F6}"/>
    <cellStyle name="入力 4 2 10 2" xfId="36936" xr:uid="{D2ED419B-463E-4795-B158-DABED63768DD}"/>
    <cellStyle name="入力 4 2 11" xfId="23546" xr:uid="{A61DC0E6-7344-4CCA-ABC0-EB07582B86B0}"/>
    <cellStyle name="入力 4 2 11 2" xfId="36937" xr:uid="{0DBB2830-8F3E-45C7-8823-C1C61C767F18}"/>
    <cellStyle name="入力 4 2 12" xfId="23547" xr:uid="{B6F83154-AC84-4C35-8225-1D16DB7BDDA2}"/>
    <cellStyle name="入力 4 2 12 2" xfId="36938" xr:uid="{230341F9-B33A-48AE-8720-71157CA9C78C}"/>
    <cellStyle name="入力 4 2 13" xfId="23548" xr:uid="{D4A8F549-D234-47E8-B54E-006B8D1B3370}"/>
    <cellStyle name="入力 4 2 13 2" xfId="36939" xr:uid="{36BA732A-FCA8-4D6B-BCE8-7B6C560C3ADE}"/>
    <cellStyle name="入力 4 2 14" xfId="23549" xr:uid="{6B8BDAB2-FAF4-4F4F-AF1F-48CE0F00AC38}"/>
    <cellStyle name="入力 4 2 14 2" xfId="27433" xr:uid="{5C7B6457-7CD4-4AB9-A325-A99E4F31A7C5}"/>
    <cellStyle name="入力 4 2 15" xfId="36935" xr:uid="{D2E00D9E-6562-4648-8738-97E31811E446}"/>
    <cellStyle name="入力 4 2 2" xfId="23550" xr:uid="{4F748250-A459-47A1-B21A-85768CED0402}"/>
    <cellStyle name="入力 4 2 2 2" xfId="36941" xr:uid="{1585F9C7-3345-41CC-8825-E0CE383F78FA}"/>
    <cellStyle name="入力 4 2 3" xfId="23551" xr:uid="{E868B988-4EA4-4257-8B7C-DD3E278BDA69}"/>
    <cellStyle name="入力 4 2 3 2" xfId="36942" xr:uid="{A28E2A52-9EBF-4B05-BE21-54F001441E63}"/>
    <cellStyle name="入力 4 2 4" xfId="23552" xr:uid="{4DBE82BA-2B14-4D36-8853-D50688D81EFB}"/>
    <cellStyle name="入力 4 2 4 2" xfId="36943" xr:uid="{35B46C6C-2F51-4AED-A874-82BBCE9EE66F}"/>
    <cellStyle name="入力 4 2 5" xfId="23553" xr:uid="{86122C3F-0BA0-40B1-9FFD-B8CDE0BFC0F6}"/>
    <cellStyle name="入力 4 2 5 2" xfId="37760" xr:uid="{FD46B310-BBB1-42C9-BD84-35360467F3A5}"/>
    <cellStyle name="入力 4 2 6" xfId="23554" xr:uid="{9E3D6949-5693-4B52-952D-E0AD120DD853}"/>
    <cellStyle name="入力 4 2 6 2" xfId="36940" xr:uid="{F5860314-0F63-433E-9CEF-CCB433BD215E}"/>
    <cellStyle name="入力 4 2 7" xfId="23555" xr:uid="{AEB17837-BA25-4092-BE46-666201FFA451}"/>
    <cellStyle name="入力 4 2 7 2" xfId="37758" xr:uid="{D19B721B-F295-4AB0-8FCD-A9449E774925}"/>
    <cellStyle name="入力 4 2 8" xfId="23556" xr:uid="{94955281-4FE6-4AF5-AFE7-52B33B898267}"/>
    <cellStyle name="入力 4 2 8 2" xfId="37761" xr:uid="{EAB609C1-5BA1-4820-B946-EEAE7A45D611}"/>
    <cellStyle name="入力 4 2 9" xfId="23557" xr:uid="{70BA92C4-E6FC-4298-8B0F-841036A4798A}"/>
    <cellStyle name="入力 4 2 9 2" xfId="36944" xr:uid="{194BAF3A-0E3B-4829-AEFC-31208B01451E}"/>
    <cellStyle name="入力 4 3" xfId="23558" xr:uid="{8525EB6C-0019-4183-845D-7995EED263B7}"/>
    <cellStyle name="入力 4 3 2" xfId="36945" xr:uid="{77BA77B9-E639-4E97-8D02-0DE6B084C618}"/>
    <cellStyle name="入力 4 4" xfId="23559" xr:uid="{8B2D2540-B2A7-47DF-933D-7DB345333009}"/>
    <cellStyle name="入力 4 4 2" xfId="36946" xr:uid="{2AC6C1C8-4F22-4D73-8D62-13946474CCC1}"/>
    <cellStyle name="入力 4 5" xfId="23560" xr:uid="{76E51E03-A54A-499E-A67E-AAB1872DD186}"/>
    <cellStyle name="入力 4 5 2" xfId="36947" xr:uid="{C4ECCDF6-5708-40C2-8947-EE51018F24B1}"/>
    <cellStyle name="入力 4 6" xfId="23561" xr:uid="{93BB49D7-1112-45BB-A32A-EC69C81E43F5}"/>
    <cellStyle name="入力 4 6 2" xfId="38419" xr:uid="{5C19BE8B-3F49-4BD5-9855-3D02D1F415FE}"/>
    <cellStyle name="入力 4 7" xfId="23562" xr:uid="{42AF5382-E2CA-4C14-BACE-438BB9E9F29D}"/>
    <cellStyle name="入力 4 7 2" xfId="36948" xr:uid="{2CBFD098-1502-466A-B7D3-61E6A3019AAA}"/>
    <cellStyle name="入力 4 8" xfId="23563" xr:uid="{3758651C-F46D-46C7-819E-59F5682AD912}"/>
    <cellStyle name="入力 4 8 2" xfId="36949" xr:uid="{D31C790B-3B12-4FA8-A6B9-F9D1107F5E70}"/>
    <cellStyle name="入力 4 9" xfId="23564" xr:uid="{8015C94E-BB34-410C-9C91-FD176E3B36DA}"/>
    <cellStyle name="入力 4 9 2" xfId="36950" xr:uid="{FEC30A65-3B2B-43C3-8F8E-018D51310C21}"/>
    <cellStyle name="入力 5" xfId="23565" xr:uid="{D62874EF-9FBA-4A56-81E5-1C238FC02082}"/>
    <cellStyle name="入力 5 2" xfId="36951" xr:uid="{C3107362-2ECB-406C-AF85-B03AE67A41F8}"/>
    <cellStyle name="入力 6" xfId="23566" xr:uid="{7FD70CB1-D7B7-4C6D-BE45-AAAE636AB8CD}"/>
    <cellStyle name="入力 6 2" xfId="36952" xr:uid="{F19779B8-A90B-4EDF-AED0-BE293985A1B9}"/>
    <cellStyle name="出力 2" xfId="22713" xr:uid="{946975B7-3748-4AC9-8600-CF60FB36B0EF}"/>
    <cellStyle name="出力 2 10" xfId="22714" xr:uid="{AF535417-6A9D-4F63-A735-1A43A4AFE963}"/>
    <cellStyle name="出力 2 10 2" xfId="36666" xr:uid="{B5EFA2E5-BA4B-4E45-B575-03E8F50AAF5A}"/>
    <cellStyle name="出力 2 11" xfId="22715" xr:uid="{2A618B3E-F2D7-4729-993B-5F5C697E30E5}"/>
    <cellStyle name="出力 2 11 2" xfId="36667" xr:uid="{D6CDD286-20E6-4646-AFE4-A08B3E355652}"/>
    <cellStyle name="出力 2 12" xfId="22716" xr:uid="{A198D99F-6959-4D4A-80CF-630E4C13471B}"/>
    <cellStyle name="出力 2 12 2" xfId="36668" xr:uid="{724FE26C-89A2-41B4-BD4E-7ECF387156D1}"/>
    <cellStyle name="出力 2 13" xfId="22717" xr:uid="{F7BD4344-8C01-46C5-BD07-CACBB6B8D383}"/>
    <cellStyle name="出力 2 13 2" xfId="36669" xr:uid="{6132FE65-A28F-4245-95CB-F7581951AB6F}"/>
    <cellStyle name="出力 2 14" xfId="22718" xr:uid="{6910A776-87FE-487A-B03D-5163114331C9}"/>
    <cellStyle name="出力 2 14 2" xfId="36670" xr:uid="{434AB790-0041-4975-8CE6-C9322FA75684}"/>
    <cellStyle name="出力 2 15" xfId="22719" xr:uid="{3817D5E0-082B-4D0A-970B-75256E73E42C}"/>
    <cellStyle name="出力 2 15 2" xfId="36671" xr:uid="{A69A5943-257F-4B9E-88C8-CE92AA314522}"/>
    <cellStyle name="出力 2 16" xfId="22720" xr:uid="{6CFDDEC2-6565-4002-AA25-D242E7D2096F}"/>
    <cellStyle name="出力 2 16 2" xfId="36672" xr:uid="{02871349-4D0E-4880-BEA7-FF0ACAF98C91}"/>
    <cellStyle name="出力 2 17" xfId="22721" xr:uid="{8AFDBE2A-22BB-4AA9-8F1A-8A76F6990CC4}"/>
    <cellStyle name="出力 2 17 2" xfId="36673" xr:uid="{8E1EE7BF-C4E4-465E-AF4B-FFB48FC6ADE9}"/>
    <cellStyle name="出力 2 18" xfId="22722" xr:uid="{A694D4B2-1DC6-465A-9C2F-52B30DE4D5A3}"/>
    <cellStyle name="出力 2 18 2" xfId="36674" xr:uid="{9C1A625C-A442-4388-8D7F-8AD79716B149}"/>
    <cellStyle name="出力 2 19" xfId="22723" xr:uid="{172B1F66-8C0C-4E40-94C7-278729877DCA}"/>
    <cellStyle name="出力 2 19 2" xfId="36675" xr:uid="{39EA2784-6FDA-4CFF-9CC0-1B63BC1ED273}"/>
    <cellStyle name="出力 2 2" xfId="22724" xr:uid="{477283E5-6A8C-4E7D-BF22-4030AAABC294}"/>
    <cellStyle name="出力 2 2 10" xfId="22725" xr:uid="{F7DF0096-57D7-4D0E-B6F6-0C31DCCA5821}"/>
    <cellStyle name="出力 2 2 10 2" xfId="36677" xr:uid="{E5F4AF55-25D5-4196-9CF1-FADB4CEA16C1}"/>
    <cellStyle name="出力 2 2 11" xfId="22726" xr:uid="{497354EC-ACB2-4937-A471-0106F164635A}"/>
    <cellStyle name="出力 2 2 11 2" xfId="36678" xr:uid="{CEB2FE43-144A-4471-AC67-39A9C5FCDE66}"/>
    <cellStyle name="出力 2 2 12" xfId="22727" xr:uid="{5B77D178-1528-4D0D-B1AF-586137DAA132}"/>
    <cellStyle name="出力 2 2 12 2" xfId="36679" xr:uid="{A44E7364-C276-428F-A8D5-1D07392B90ED}"/>
    <cellStyle name="出力 2 2 13" xfId="22728" xr:uid="{9CF1B914-94C5-4D8D-9FB7-75E35FAFF6E1}"/>
    <cellStyle name="出力 2 2 13 2" xfId="36680" xr:uid="{3FC17613-429E-4A15-9A2B-EBE560F5D682}"/>
    <cellStyle name="出力 2 2 14" xfId="22729" xr:uid="{726DD46A-A057-41B9-8E31-A84D43B56B44}"/>
    <cellStyle name="出力 2 2 14 2" xfId="36681" xr:uid="{CC02CFB3-D33A-4097-AA78-A3302025478E}"/>
    <cellStyle name="出力 2 2 15" xfId="22730" xr:uid="{55C942D4-95A9-4842-96BC-FF00C58F3C75}"/>
    <cellStyle name="出力 2 2 15 2" xfId="36682" xr:uid="{C4679DEA-0A7C-4A1C-B4A9-C184078809DA}"/>
    <cellStyle name="出力 2 2 16" xfId="22731" xr:uid="{CB93021F-CBC1-4A6C-9252-13A99CFE4349}"/>
    <cellStyle name="出力 2 2 16 2" xfId="36683" xr:uid="{2EE65E14-E57D-4C74-AA9E-216FF4BC3B59}"/>
    <cellStyle name="出力 2 2 17" xfId="22732" xr:uid="{B2880027-F8A6-4D04-B972-3098BEF58C4C}"/>
    <cellStyle name="出力 2 2 17 2" xfId="36684" xr:uid="{B9411CAC-5B3D-4599-9D3B-32AB075F93CD}"/>
    <cellStyle name="出力 2 2 18" xfId="22733" xr:uid="{E0EC18D1-7779-4655-BF6D-80CCB46CC386}"/>
    <cellStyle name="出力 2 2 18 2" xfId="36685" xr:uid="{99898B4A-5BDC-43C0-9ABE-4CBC933384ED}"/>
    <cellStyle name="出力 2 2 19" xfId="36676" xr:uid="{2C7AE379-43A0-4F25-B570-65827C10F9B2}"/>
    <cellStyle name="出力 2 2 2" xfId="22734" xr:uid="{5834A1B2-1BC8-40F0-81FC-19248EE7B2A8}"/>
    <cellStyle name="出力 2 2 2 10" xfId="22735" xr:uid="{73B45126-5447-4E91-AD38-222C597F5332}"/>
    <cellStyle name="出力 2 2 2 10 2" xfId="36687" xr:uid="{B024CC86-74D3-4DA9-9763-F7770940BECA}"/>
    <cellStyle name="出力 2 2 2 11" xfId="22736" xr:uid="{7183E853-B6B9-4E06-9F62-12E0A1A2DB8E}"/>
    <cellStyle name="出力 2 2 2 11 2" xfId="36688" xr:uid="{9ECA687D-0C14-4457-8AD8-0463D194CEAF}"/>
    <cellStyle name="出力 2 2 2 12" xfId="22737" xr:uid="{B9408C7B-332D-492A-9FF6-FE31EF551154}"/>
    <cellStyle name="出力 2 2 2 12 2" xfId="36689" xr:uid="{6312229E-F6BF-46DB-AE32-9DE3E5506D5D}"/>
    <cellStyle name="出力 2 2 2 13" xfId="22738" xr:uid="{402266CC-1173-47D7-9ECE-871B49795D9E}"/>
    <cellStyle name="出力 2 2 2 13 2" xfId="36690" xr:uid="{07FCFC6B-BD16-42F6-9133-5DF15BFC57F2}"/>
    <cellStyle name="出力 2 2 2 14" xfId="22739" xr:uid="{BB994027-8266-4C65-9462-0D65B9CEBFC3}"/>
    <cellStyle name="出力 2 2 2 14 2" xfId="36691" xr:uid="{C444FBDC-5C14-473B-9C4A-9D2B69EE3DB2}"/>
    <cellStyle name="出力 2 2 2 15" xfId="36686" xr:uid="{0860824B-F92D-4DE6-BC2C-858326342B51}"/>
    <cellStyle name="出力 2 2 2 2" xfId="22740" xr:uid="{BFE6B1F1-80D0-4A4F-89EF-1F25B0D629F1}"/>
    <cellStyle name="出力 2 2 2 2 2" xfId="36692" xr:uid="{F31EE2FA-AE75-4170-9B30-4816448006A2}"/>
    <cellStyle name="出力 2 2 2 3" xfId="22741" xr:uid="{3EE3EA41-D540-4EA7-98AF-2FFE0756CE10}"/>
    <cellStyle name="出力 2 2 2 3 2" xfId="36693" xr:uid="{8BDDCE2F-0578-4C9D-BF85-623ADB82C210}"/>
    <cellStyle name="出力 2 2 2 4" xfId="22742" xr:uid="{0D33039D-0C67-4F87-BFE8-E90D2D7534D0}"/>
    <cellStyle name="出力 2 2 2 4 2" xfId="36694" xr:uid="{B2C262B7-8FF0-4532-9375-43E37678753F}"/>
    <cellStyle name="出力 2 2 2 5" xfId="22743" xr:uid="{A394C8C5-E741-403B-8C48-C44744F953ED}"/>
    <cellStyle name="出力 2 2 2 5 2" xfId="36695" xr:uid="{FB203E7C-0E88-4098-9A78-2FC9FCC1E23F}"/>
    <cellStyle name="出力 2 2 2 6" xfId="22744" xr:uid="{08FEB1E2-6F32-4461-ABA0-59582016389E}"/>
    <cellStyle name="出力 2 2 2 6 2" xfId="36696" xr:uid="{71BD8707-7146-4076-8DAA-1D6200867E66}"/>
    <cellStyle name="出力 2 2 2 7" xfId="22745" xr:uid="{D084D60A-08BA-4DD1-8F1A-A8FAF0193FA5}"/>
    <cellStyle name="出力 2 2 2 7 2" xfId="36697" xr:uid="{D2B8561A-1AE4-45A6-BFE9-2AC8461F32A7}"/>
    <cellStyle name="出力 2 2 2 8" xfId="22746" xr:uid="{2DB71991-2D05-4436-AFCD-A882A546FBFA}"/>
    <cellStyle name="出力 2 2 2 8 2" xfId="36698" xr:uid="{27315407-A021-4E0B-AB3A-41568981FF88}"/>
    <cellStyle name="出力 2 2 2 9" xfId="22747" xr:uid="{411BF336-190D-4B3F-8D61-1D57DBEDC553}"/>
    <cellStyle name="出力 2 2 2 9 2" xfId="36699" xr:uid="{0F38922F-54CD-4FA1-AE72-F82FF910F517}"/>
    <cellStyle name="出力 2 2 3" xfId="22748" xr:uid="{08B45737-C43A-4989-856C-880BAAD9CDBA}"/>
    <cellStyle name="出力 2 2 3 2" xfId="36700" xr:uid="{4B4F6415-9B35-4AA3-B3C4-DCF024F301E0}"/>
    <cellStyle name="出力 2 2 4" xfId="22749" xr:uid="{68866E0C-3B30-4B06-9D36-217E4EDCBF67}"/>
    <cellStyle name="出力 2 2 4 2" xfId="36701" xr:uid="{6A84E0F1-B729-40D4-BDF3-3A58F25A7B52}"/>
    <cellStyle name="出力 2 2 5" xfId="22750" xr:uid="{08188B07-4ECC-4AAA-9CE5-DEF11D5D878F}"/>
    <cellStyle name="出力 2 2 5 2" xfId="36702" xr:uid="{10827B7E-98A2-4722-8C3A-0F98A432C4C2}"/>
    <cellStyle name="出力 2 2 6" xfId="22751" xr:uid="{F2E3828D-459C-48FD-9954-1AB06BB46DEF}"/>
    <cellStyle name="出力 2 2 6 2" xfId="36703" xr:uid="{4C213281-28BF-4C1F-A2B0-F3F8ADFC0C95}"/>
    <cellStyle name="出力 2 2 7" xfId="22752" xr:uid="{362DC14B-8714-4CC6-ABA3-8C1FB4726BAB}"/>
    <cellStyle name="出力 2 2 7 2" xfId="36704" xr:uid="{721BA6FC-3725-4A49-B5E0-34ECC8771ED0}"/>
    <cellStyle name="出力 2 2 8" xfId="22753" xr:uid="{4D10D24D-A08F-4CEC-A36F-FE916EFE09EB}"/>
    <cellStyle name="出力 2 2 8 2" xfId="36705" xr:uid="{3C48D793-6D57-4F8D-9782-093E51463C92}"/>
    <cellStyle name="出力 2 2 9" xfId="22754" xr:uid="{09C6CF46-12E7-47CD-B052-43646CAD5C96}"/>
    <cellStyle name="出力 2 2 9 2" xfId="36706" xr:uid="{AB9B285C-EE77-4AD1-8144-8F4DAD2AC7C9}"/>
    <cellStyle name="出力 2 20" xfId="22755" xr:uid="{06D1CC7C-67F6-4156-9143-CD6EE6350FBD}"/>
    <cellStyle name="出力 2 20 2" xfId="36707" xr:uid="{0414DE18-4D8F-43C2-B66F-34D233B7ADDA}"/>
    <cellStyle name="出力 2 21" xfId="36665" xr:uid="{53B1CEAC-D0C9-4E40-9E2F-2738CAB3B7F3}"/>
    <cellStyle name="出力 2 3" xfId="22756" xr:uid="{2E24B464-E395-4C8D-9DAC-23B098565A9E}"/>
    <cellStyle name="出力 2 3 10" xfId="22757" xr:uid="{325E8910-F221-41A2-B1FF-602085C70177}"/>
    <cellStyle name="出力 2 3 10 2" xfId="36709" xr:uid="{16B4A5F9-8BDB-4438-9A01-ACC1CFED5937}"/>
    <cellStyle name="出力 2 3 11" xfId="22758" xr:uid="{1AE9A715-82C9-471E-84FD-D944719458DC}"/>
    <cellStyle name="出力 2 3 11 2" xfId="36710" xr:uid="{5D467367-8D6B-4970-9726-343C45C9EBDD}"/>
    <cellStyle name="出力 2 3 12" xfId="22759" xr:uid="{6CADCF48-625E-4DF7-806D-2933683D0BFA}"/>
    <cellStyle name="出力 2 3 12 2" xfId="36711" xr:uid="{104743CB-567C-4B73-BA8A-4201A48A49C9}"/>
    <cellStyle name="出力 2 3 13" xfId="22760" xr:uid="{640E7A4A-AA02-4A03-96F6-BAB923EA8C39}"/>
    <cellStyle name="出力 2 3 13 2" xfId="36712" xr:uid="{ECD8DDD8-1C88-45D1-B3F8-9AF08CFC1D05}"/>
    <cellStyle name="出力 2 3 14" xfId="22761" xr:uid="{AAE68E36-C4F7-40D0-AB9E-E355BE04A70D}"/>
    <cellStyle name="出力 2 3 14 2" xfId="36713" xr:uid="{67967B32-8499-4DDB-9532-C22322C67F6B}"/>
    <cellStyle name="出力 2 3 15" xfId="36708" xr:uid="{475AA1D9-6501-432B-AF09-81009573EBEE}"/>
    <cellStyle name="出力 2 3 2" xfId="22762" xr:uid="{6F2E0212-E42B-4CB4-AF47-AAD5260F3DA3}"/>
    <cellStyle name="出力 2 3 2 2" xfId="36714" xr:uid="{A605EB74-097D-408D-B5FB-30186D7BC0B8}"/>
    <cellStyle name="出力 2 3 3" xfId="22763" xr:uid="{72EBB18B-A24B-4BFA-9BA7-C818A4382A7C}"/>
    <cellStyle name="出力 2 3 3 2" xfId="36715" xr:uid="{6DD81AD3-467D-48A1-9722-E8F738E9E062}"/>
    <cellStyle name="出力 2 3 4" xfId="22764" xr:uid="{B85FB571-9D08-4FCF-B5C9-B1155C6FB995}"/>
    <cellStyle name="出力 2 3 4 2" xfId="36716" xr:uid="{5D706DC8-EC60-4279-BB4D-70D9F9F3982F}"/>
    <cellStyle name="出力 2 3 5" xfId="22765" xr:uid="{01C378B8-7F52-4644-BDFB-C77587C0EBA9}"/>
    <cellStyle name="出力 2 3 5 2" xfId="36717" xr:uid="{5D4095C6-23A6-40F6-BC2D-D1C717C31ECD}"/>
    <cellStyle name="出力 2 3 6" xfId="22766" xr:uid="{BFE9D6B8-CD60-45B5-9734-4491A28BE064}"/>
    <cellStyle name="出力 2 3 6 2" xfId="36718" xr:uid="{8876A7E1-E18E-49BD-9C90-7B6ADDB3C472}"/>
    <cellStyle name="出力 2 3 7" xfId="22767" xr:uid="{BF7F4E2A-CEAA-4BD8-B0B6-1FF44EE3A22E}"/>
    <cellStyle name="出力 2 3 7 2" xfId="36719" xr:uid="{E9873CC0-CAFD-4045-BA76-43B234093A7E}"/>
    <cellStyle name="出力 2 3 8" xfId="22768" xr:uid="{5E392204-D853-4DE1-8FDB-606954412981}"/>
    <cellStyle name="出力 2 3 8 2" xfId="36720" xr:uid="{4CA3DA95-4C22-461C-AF74-E75B9400186C}"/>
    <cellStyle name="出力 2 3 9" xfId="22769" xr:uid="{4084FC31-BE31-4CFF-A3C4-4BBAE7382482}"/>
    <cellStyle name="出力 2 3 9 2" xfId="36721" xr:uid="{CB5AD132-C50E-47EF-B91B-921ED9754522}"/>
    <cellStyle name="出力 2 4" xfId="22770" xr:uid="{EBED638E-D0C7-4696-81F5-2CA08E45D7BA}"/>
    <cellStyle name="出力 2 4 2" xfId="36722" xr:uid="{AE629748-CC9E-492A-97D9-2F9342E6BC5E}"/>
    <cellStyle name="出力 2 5" xfId="22771" xr:uid="{CDE81E47-7B65-4353-9D7C-14E46E6C100C}"/>
    <cellStyle name="出力 2 5 2" xfId="36723" xr:uid="{126CB588-3CE6-4078-872A-BD9F575828B6}"/>
    <cellStyle name="出力 2 6" xfId="22772" xr:uid="{0CB4D353-BD21-42AB-93BF-354F6FA608C5}"/>
    <cellStyle name="出力 2 6 2" xfId="36724" xr:uid="{25B68D9A-A8DE-4840-BDA4-59F5F072A2DC}"/>
    <cellStyle name="出力 2 7" xfId="22773" xr:uid="{7354E0B7-12F2-4B62-A226-AAB407E3B50D}"/>
    <cellStyle name="出力 2 7 2" xfId="36725" xr:uid="{FCE4F39F-5820-409B-AE6A-E27ECA61ED6D}"/>
    <cellStyle name="出力 2 8" xfId="22774" xr:uid="{C4ACE71C-B3A0-4224-9152-843095E90938}"/>
    <cellStyle name="出力 2 8 2" xfId="36726" xr:uid="{B7772507-0254-4EBE-8ABE-8A4F16B7C417}"/>
    <cellStyle name="出力 2 9" xfId="22775" xr:uid="{2ADF2747-4620-4A27-AF1C-B2F343F08D5F}"/>
    <cellStyle name="出力 2 9 2" xfId="36727" xr:uid="{9BDD053A-EEC7-416E-91D1-C31519D13678}"/>
    <cellStyle name="出力 3" xfId="22776" xr:uid="{858EF7E7-6B86-4F7F-84C9-2B60D5FE186C}"/>
    <cellStyle name="出力 3 10" xfId="22777" xr:uid="{215C781A-B3A2-4A76-922E-C990FC16B337}"/>
    <cellStyle name="出力 3 10 2" xfId="36729" xr:uid="{3423C1F6-84C2-43F1-AB26-4509C0010A3A}"/>
    <cellStyle name="出力 3 11" xfId="22778" xr:uid="{8073E194-924F-44FD-8F10-3D08AF6F2303}"/>
    <cellStyle name="出力 3 11 2" xfId="36730" xr:uid="{35256B97-F1BB-4FE4-B08A-B862E548DCCD}"/>
    <cellStyle name="出力 3 12" xfId="22779" xr:uid="{CD822221-6ACF-4F6F-BC7C-1CBE7CBAAF6E}"/>
    <cellStyle name="出力 3 12 2" xfId="36731" xr:uid="{BD82F120-3467-4D90-97C9-006B0F14D7ED}"/>
    <cellStyle name="出力 3 13" xfId="22780" xr:uid="{FEDAECAB-B893-4564-AC83-4F30A1C7A2DD}"/>
    <cellStyle name="出力 3 13 2" xfId="36732" xr:uid="{21D9D45C-C663-405E-AED7-3E9B62FE536E}"/>
    <cellStyle name="出力 3 14" xfId="22781" xr:uid="{93891C1A-1EB5-4384-868A-454D854C9EE9}"/>
    <cellStyle name="出力 3 14 2" xfId="36733" xr:uid="{519E38A7-5E18-47ED-9675-9793FDF6233F}"/>
    <cellStyle name="出力 3 15" xfId="22782" xr:uid="{62829797-4D60-422E-BD7D-974E1F8EC279}"/>
    <cellStyle name="出力 3 15 2" xfId="36734" xr:uid="{77CBD415-6BE3-423E-9984-B97D77AB8B1C}"/>
    <cellStyle name="出力 3 16" xfId="22783" xr:uid="{E70AB41D-DC47-4A80-BCFA-9969CE9FABF0}"/>
    <cellStyle name="出力 3 16 2" xfId="36735" xr:uid="{7D3095FF-8746-4977-9C70-2C226B02F9F4}"/>
    <cellStyle name="出力 3 17" xfId="22784" xr:uid="{6ADD8290-7EA2-48BA-B19A-3F01C874D1F5}"/>
    <cellStyle name="出力 3 17 2" xfId="36736" xr:uid="{9086FC66-5956-442D-B7D2-769B5B02290D}"/>
    <cellStyle name="出力 3 18" xfId="22785" xr:uid="{932434F3-58E9-431D-A5FC-56D711060B6F}"/>
    <cellStyle name="出力 3 18 2" xfId="36737" xr:uid="{03509294-062E-4F19-B8D1-3FAADE3EB1DC}"/>
    <cellStyle name="出力 3 19" xfId="22786" xr:uid="{C55EBA9F-D9D2-4786-83A4-7892581556F6}"/>
    <cellStyle name="出力 3 19 2" xfId="36738" xr:uid="{1ACD1884-22E5-4A17-8656-1C471E3A924A}"/>
    <cellStyle name="出力 3 2" xfId="22787" xr:uid="{44EB66C1-4A85-4A73-97F4-5B891F0434DF}"/>
    <cellStyle name="出力 3 2 10" xfId="22788" xr:uid="{D6B11872-2D6A-494E-8DDD-AED1F52C49FC}"/>
    <cellStyle name="出力 3 2 10 2" xfId="36740" xr:uid="{467F7BBB-3345-43AE-98E1-DA3A01E463E0}"/>
    <cellStyle name="出力 3 2 11" xfId="22789" xr:uid="{4838D641-F130-45E3-A537-8C8C1B9BB489}"/>
    <cellStyle name="出力 3 2 11 2" xfId="36741" xr:uid="{7BDE9E8A-9655-4D87-BB8F-162A74EFA859}"/>
    <cellStyle name="出力 3 2 12" xfId="22790" xr:uid="{089FC8A6-3193-4D27-823F-E677E82DFBDD}"/>
    <cellStyle name="出力 3 2 12 2" xfId="36742" xr:uid="{2C56D51E-E14D-4194-8700-8403CEC5B61F}"/>
    <cellStyle name="出力 3 2 13" xfId="22791" xr:uid="{5D68EBD3-8341-40A1-B841-27B214F8C824}"/>
    <cellStyle name="出力 3 2 13 2" xfId="36743" xr:uid="{829D45BD-B2BB-41E1-A6D2-320F60CEC646}"/>
    <cellStyle name="出力 3 2 14" xfId="22792" xr:uid="{69094EF5-DBB4-41EC-B51C-D12BFD4E207C}"/>
    <cellStyle name="出力 3 2 14 2" xfId="36744" xr:uid="{C3DD3FA9-EED3-46A4-9773-071BCEF87FD9}"/>
    <cellStyle name="出力 3 2 15" xfId="22793" xr:uid="{8BB6A6FD-E05A-4024-8296-772CCF8DE218}"/>
    <cellStyle name="出力 3 2 15 2" xfId="36745" xr:uid="{18C7757B-E979-478C-9896-7001EC660258}"/>
    <cellStyle name="出力 3 2 16" xfId="22794" xr:uid="{5754754F-F6CD-4F2E-8672-65FD3B8EA336}"/>
    <cellStyle name="出力 3 2 16 2" xfId="36746" xr:uid="{995BCA59-FFF7-4E6B-B5D3-FDEDE5367DC5}"/>
    <cellStyle name="出力 3 2 17" xfId="22795" xr:uid="{EB72AD1A-B280-4C28-969D-D3D4FECA1206}"/>
    <cellStyle name="出力 3 2 17 2" xfId="36747" xr:uid="{77D74C49-C9DC-4C56-B5EC-3EF1E6FE9F2B}"/>
    <cellStyle name="出力 3 2 18" xfId="22796" xr:uid="{EEFF1BE6-EF90-453F-A217-5A76F3DE735A}"/>
    <cellStyle name="出力 3 2 18 2" xfId="36748" xr:uid="{B7800BDE-E23A-412C-8B9A-C20A3769E9EC}"/>
    <cellStyle name="出力 3 2 19" xfId="36739" xr:uid="{2B68F478-8A0D-4435-A25B-CFACF3CA1CB2}"/>
    <cellStyle name="出力 3 2 2" xfId="22797" xr:uid="{0DEF2631-AFC2-48BF-814C-228D726397F3}"/>
    <cellStyle name="出力 3 2 2 10" xfId="22798" xr:uid="{E5CC301D-289A-414A-B303-4DCFB77933C9}"/>
    <cellStyle name="出力 3 2 2 10 2" xfId="36750" xr:uid="{5D5F3EDD-5448-4D69-A5D6-75343CBC17CC}"/>
    <cellStyle name="出力 3 2 2 11" xfId="22799" xr:uid="{5FE9C2D6-8F2A-4F97-9768-69DB336D0895}"/>
    <cellStyle name="出力 3 2 2 11 2" xfId="36751" xr:uid="{78E71919-D7ED-494F-B5E0-F0343828C939}"/>
    <cellStyle name="出力 3 2 2 12" xfId="22800" xr:uid="{72421499-4205-4AB4-BEC9-0DBCCDB36AFA}"/>
    <cellStyle name="出力 3 2 2 12 2" xfId="36752" xr:uid="{ACA81731-CA15-48ED-B37B-E1E6A74C80BF}"/>
    <cellStyle name="出力 3 2 2 13" xfId="22801" xr:uid="{DB0483F7-E2D9-4CFC-8FC7-2367B399CED6}"/>
    <cellStyle name="出力 3 2 2 13 2" xfId="36753" xr:uid="{18EAB06E-C04D-4549-BB96-81ACE119A254}"/>
    <cellStyle name="出力 3 2 2 14" xfId="22802" xr:uid="{428BA898-CF04-4032-979D-0687123C80C3}"/>
    <cellStyle name="出力 3 2 2 14 2" xfId="36754" xr:uid="{D3BA4B78-CBCC-4011-9BCF-A5FB7AC47FBB}"/>
    <cellStyle name="出力 3 2 2 15" xfId="36749" xr:uid="{3474D8B9-4736-4CA2-AC34-A11BE28BA64D}"/>
    <cellStyle name="出力 3 2 2 2" xfId="22803" xr:uid="{27EFDE49-71EE-497B-896C-8E0ACE09AA62}"/>
    <cellStyle name="出力 3 2 2 2 2" xfId="36755" xr:uid="{55CB7506-5EF3-4211-8044-260D0EB0D021}"/>
    <cellStyle name="出力 3 2 2 3" xfId="22804" xr:uid="{10FAF1F3-C0A2-44CC-9049-3EF60C5A9808}"/>
    <cellStyle name="出力 3 2 2 3 2" xfId="36756" xr:uid="{FF050451-2D09-41D8-BB02-3F2108B449D9}"/>
    <cellStyle name="出力 3 2 2 4" xfId="22805" xr:uid="{558ABB69-41D6-469C-9238-CB4369D90C6C}"/>
    <cellStyle name="出力 3 2 2 4 2" xfId="36757" xr:uid="{27ACE500-EEC0-4136-9412-9BC812B77B79}"/>
    <cellStyle name="出力 3 2 2 5" xfId="22806" xr:uid="{DAC9BEEB-5CD5-471B-8F03-B26999C0E34E}"/>
    <cellStyle name="出力 3 2 2 5 2" xfId="36758" xr:uid="{0740CA4D-DA42-4F6B-BC1B-4522407BB302}"/>
    <cellStyle name="出力 3 2 2 6" xfId="22807" xr:uid="{A4E8F3CF-8479-44F8-A709-00D3CB187E2E}"/>
    <cellStyle name="出力 3 2 2 6 2" xfId="36759" xr:uid="{48228664-68F2-41E0-8B01-BDD6E4C212B3}"/>
    <cellStyle name="出力 3 2 2 7" xfId="22808" xr:uid="{609B53FB-4325-4F11-910A-30DCD3B5DDB1}"/>
    <cellStyle name="出力 3 2 2 7 2" xfId="36760" xr:uid="{810CF0A5-7997-4B17-A2A9-39FC4CBCAC6C}"/>
    <cellStyle name="出力 3 2 2 8" xfId="22809" xr:uid="{CEBEAAAA-09A2-404B-AD9A-1ED3EB3D204D}"/>
    <cellStyle name="出力 3 2 2 8 2" xfId="36761" xr:uid="{24832F47-78D6-411E-AAB1-4ACB966A9EFD}"/>
    <cellStyle name="出力 3 2 2 9" xfId="22810" xr:uid="{E7E32A4E-D3BF-48E4-B5DA-88A08E217444}"/>
    <cellStyle name="出力 3 2 2 9 2" xfId="36762" xr:uid="{7833D529-C448-4FD7-B2A8-5327D2EC7738}"/>
    <cellStyle name="出力 3 2 3" xfId="22811" xr:uid="{BA39F886-496F-4915-9697-EF191E7FD2A0}"/>
    <cellStyle name="出力 3 2 3 2" xfId="36763" xr:uid="{88B9FBDF-FF03-41CD-B92C-E05FAA964330}"/>
    <cellStyle name="出力 3 2 4" xfId="22812" xr:uid="{9EB1A692-C424-44A9-A7F9-CC8BCDC4A428}"/>
    <cellStyle name="出力 3 2 4 2" xfId="36764" xr:uid="{12763C28-FFFB-4AE5-82B8-6784ED6304F8}"/>
    <cellStyle name="出力 3 2 5" xfId="22813" xr:uid="{676EE303-F011-41F8-AF2F-8B665C90054D}"/>
    <cellStyle name="出力 3 2 5 2" xfId="36765" xr:uid="{F17E3925-41EC-4102-9F7C-5776692DDD01}"/>
    <cellStyle name="出力 3 2 6" xfId="22814" xr:uid="{E7B49B5E-9689-490A-8FF3-F45B4DE677BD}"/>
    <cellStyle name="出力 3 2 6 2" xfId="36766" xr:uid="{0E51A058-A13B-415F-9973-E51B54BBD95F}"/>
    <cellStyle name="出力 3 2 7" xfId="22815" xr:uid="{37DC38F2-4AC6-4C25-AFE9-6E804573A916}"/>
    <cellStyle name="出力 3 2 7 2" xfId="36767" xr:uid="{3DCE50DC-4133-4FF2-A40B-F9589BB21621}"/>
    <cellStyle name="出力 3 2 8" xfId="22816" xr:uid="{42A486BF-1F88-4221-9FB4-6957FDD8F357}"/>
    <cellStyle name="出力 3 2 8 2" xfId="36768" xr:uid="{399D91B8-44D9-4A4D-A264-1E7111A1DB2F}"/>
    <cellStyle name="出力 3 2 9" xfId="22817" xr:uid="{5C365DA0-A967-4E79-88F1-F5BB36066093}"/>
    <cellStyle name="出力 3 2 9 2" xfId="36769" xr:uid="{001BD9B0-4570-4D6C-B4F5-287B750ECD7C}"/>
    <cellStyle name="出力 3 20" xfId="36728" xr:uid="{1E3322D2-DBCA-43CE-9E0A-A598AF0BB613}"/>
    <cellStyle name="出力 3 3" xfId="22818" xr:uid="{C62201CF-B821-4F97-BEEE-7946663D8011}"/>
    <cellStyle name="出力 3 3 10" xfId="22819" xr:uid="{31FFC9CC-AD7D-4050-A103-D0B665A08106}"/>
    <cellStyle name="出力 3 3 10 2" xfId="36771" xr:uid="{BDEB0D2C-52F0-43E6-81F5-DF6159A8B3FB}"/>
    <cellStyle name="出力 3 3 11" xfId="22820" xr:uid="{2A386720-E61F-429E-99F4-47588DBEFFDF}"/>
    <cellStyle name="出力 3 3 11 2" xfId="36772" xr:uid="{777B67AD-9BB9-4B78-9010-C4EF27C305DC}"/>
    <cellStyle name="出力 3 3 12" xfId="22821" xr:uid="{9A68F87B-158E-4574-AB97-33CAE16285C6}"/>
    <cellStyle name="出力 3 3 12 2" xfId="36773" xr:uid="{12DF1D10-910D-4B68-9794-4FEEBA38023E}"/>
    <cellStyle name="出力 3 3 13" xfId="22822" xr:uid="{37D10826-7BDA-4544-B7DA-B78D40B61BE2}"/>
    <cellStyle name="出力 3 3 13 2" xfId="36774" xr:uid="{21498816-81B4-4279-8D7B-32A341F2DB3D}"/>
    <cellStyle name="出力 3 3 14" xfId="22823" xr:uid="{A91F6E75-4EAA-4EC7-92C1-9CEC314CDD03}"/>
    <cellStyle name="出力 3 3 14 2" xfId="36775" xr:uid="{EC0F3233-E981-4496-97EE-141927C05028}"/>
    <cellStyle name="出力 3 3 15" xfId="36770" xr:uid="{50F5F3D3-114A-453E-B221-53B7FCF48B41}"/>
    <cellStyle name="出力 3 3 2" xfId="22824" xr:uid="{E3F014FB-97ED-451F-9975-CA96A675734F}"/>
    <cellStyle name="出力 3 3 2 2" xfId="35981" xr:uid="{9BD657A1-861B-4011-8E7F-522D9C05B699}"/>
    <cellStyle name="出力 3 3 3" xfId="22825" xr:uid="{0B02E4F2-49D3-487F-AEE2-A1CD1F5B1EE1}"/>
    <cellStyle name="出力 3 3 3 2" xfId="35982" xr:uid="{093B42AF-7956-46E3-B9B7-94C22BB4CE00}"/>
    <cellStyle name="出力 3 3 4" xfId="22826" xr:uid="{F1286E44-A4E3-4F84-8F73-699BA93BA3EB}"/>
    <cellStyle name="出力 3 3 4 2" xfId="35983" xr:uid="{DE26F214-5B15-4981-8D7A-E05C28667451}"/>
    <cellStyle name="出力 3 3 5" xfId="22827" xr:uid="{56422419-C667-47E1-8A1F-568FC4541D2D}"/>
    <cellStyle name="出力 3 3 5 2" xfId="35984" xr:uid="{7B6BDDCD-7F48-47D1-AAF9-7946F22A2495}"/>
    <cellStyle name="出力 3 3 6" xfId="22828" xr:uid="{AD86C712-EE48-4C98-9FD7-1BC666036EF8}"/>
    <cellStyle name="出力 3 3 6 2" xfId="35985" xr:uid="{D4181D56-EC0F-459D-87F2-3A2F2E5542EF}"/>
    <cellStyle name="出力 3 3 7" xfId="22829" xr:uid="{7386C78E-4B61-4FA5-AD72-0DC1C6D38725}"/>
    <cellStyle name="出力 3 3 7 2" xfId="35986" xr:uid="{48FB9E42-BCE5-4C63-8B87-EED7DC7E8935}"/>
    <cellStyle name="出力 3 3 8" xfId="22830" xr:uid="{DB5BAC0C-5DB3-41AE-8E0B-F791B137914D}"/>
    <cellStyle name="出力 3 3 8 2" xfId="35987" xr:uid="{DE66A58C-2DE1-46B5-98B4-DB7EC2F1261B}"/>
    <cellStyle name="出力 3 3 9" xfId="22831" xr:uid="{6F6BB9EA-40B5-489D-924F-366EE48A382C}"/>
    <cellStyle name="出力 3 3 9 2" xfId="35988" xr:uid="{34464946-24D6-4056-A459-671E2E7B38B4}"/>
    <cellStyle name="出力 3 4" xfId="22832" xr:uid="{A8F12350-B931-440B-B33F-8CFE67DBB10A}"/>
    <cellStyle name="出力 3 4 2" xfId="35989" xr:uid="{CD81163C-06EA-48E1-A85A-CC64284D61BD}"/>
    <cellStyle name="出力 3 5" xfId="22833" xr:uid="{3177B3D3-1740-4136-86FB-A81BB91E49DB}"/>
    <cellStyle name="出力 3 5 2" xfId="35990" xr:uid="{5D44E24B-473D-4101-81A4-8B4FD5C574BA}"/>
    <cellStyle name="出力 3 6" xfId="22834" xr:uid="{B0EE92D0-8187-47AD-9DD1-7CE34EDFF11E}"/>
    <cellStyle name="出力 3 6 2" xfId="35991" xr:uid="{A5B63359-19DD-4D43-A0ED-661FC14F0AC4}"/>
    <cellStyle name="出力 3 7" xfId="22835" xr:uid="{4BFAF537-94F0-41D6-B22E-E77629D991E5}"/>
    <cellStyle name="出力 3 7 2" xfId="35992" xr:uid="{8E062EB9-D49B-4325-BEDC-FF56BCCFF590}"/>
    <cellStyle name="出力 3 8" xfId="22836" xr:uid="{A1B37497-435B-4834-AAC4-F8C6702694A3}"/>
    <cellStyle name="出力 3 8 2" xfId="35993" xr:uid="{63911B1C-FD7C-4C47-9D60-A3B1D77C5536}"/>
    <cellStyle name="出力 3 9" xfId="22837" xr:uid="{44385966-4792-4A1E-B484-E6169304E10E}"/>
    <cellStyle name="出力 3 9 2" xfId="35994" xr:uid="{FE6DEF7E-4F66-412F-AC22-5B463BA56235}"/>
    <cellStyle name="出力 4" xfId="22838" xr:uid="{C70AD866-F0ED-4723-85E2-F4A6153C1D0D}"/>
    <cellStyle name="出力 4 10" xfId="22839" xr:uid="{4A874CEA-87DA-48C8-80F3-540520716FD7}"/>
    <cellStyle name="出力 4 10 2" xfId="35996" xr:uid="{B935E996-E110-4F4A-B78E-F7EC6B6E3028}"/>
    <cellStyle name="出力 4 11" xfId="22840" xr:uid="{CFAC227B-2DA3-4347-8A09-65DCCAA8EB13}"/>
    <cellStyle name="出力 4 11 2" xfId="35997" xr:uid="{399E5FD8-F8C0-4B5E-80FC-C4D0AB723040}"/>
    <cellStyle name="出力 4 12" xfId="22841" xr:uid="{0FF0C859-C75E-4D15-9288-DD59DB6024DB}"/>
    <cellStyle name="出力 4 12 2" xfId="35998" xr:uid="{33C9775A-AC15-4EB2-80BD-9C068ABC0AC8}"/>
    <cellStyle name="出力 4 13" xfId="22842" xr:uid="{85E8F41C-A9F4-48E5-B710-413C9A0B1E2F}"/>
    <cellStyle name="出力 4 13 2" xfId="35999" xr:uid="{E66C0A35-643A-40B3-8E24-A7CFD4F429F6}"/>
    <cellStyle name="出力 4 14" xfId="22843" xr:uid="{CC3214AF-F6AA-4FD2-A2DD-B00998E63E5A}"/>
    <cellStyle name="出力 4 14 2" xfId="36000" xr:uid="{CFB802E2-02C1-4829-A076-17C0EFDC455E}"/>
    <cellStyle name="出力 4 15" xfId="22844" xr:uid="{AF10E815-AF80-4E3E-B6B6-EBF8DEE9DC35}"/>
    <cellStyle name="出力 4 15 2" xfId="36001" xr:uid="{313D9D64-77CE-45F6-905B-23A8D73DCFEB}"/>
    <cellStyle name="出力 4 16" xfId="22845" xr:uid="{5BBE2D5E-D682-4E79-8FA6-F082A08378FD}"/>
    <cellStyle name="出力 4 16 2" xfId="36002" xr:uid="{CAF65BEA-33B0-4DDA-9CCD-2D430B503564}"/>
    <cellStyle name="出力 4 17" xfId="22846" xr:uid="{4B8A54E3-4454-43F4-A340-09C7620F3DD4}"/>
    <cellStyle name="出力 4 17 2" xfId="36003" xr:uid="{10DB5B09-185E-43FD-88C8-401993C608B5}"/>
    <cellStyle name="出力 4 18" xfId="22847" xr:uid="{6B3B93CE-9FFF-42D4-AC56-5B52377BFDF9}"/>
    <cellStyle name="出力 4 18 2" xfId="36004" xr:uid="{D94EDD30-7AB6-4945-A019-193985280EF2}"/>
    <cellStyle name="出力 4 19" xfId="35995" xr:uid="{BB837A49-4BE4-4B90-AC80-B5ABD95042D7}"/>
    <cellStyle name="出力 4 2" xfId="22848" xr:uid="{78F586EF-7679-4C79-B559-F8B8E687BECC}"/>
    <cellStyle name="出力 4 2 10" xfId="22849" xr:uid="{B5C251AF-FFDA-418C-BD0C-712FCED6ED2A}"/>
    <cellStyle name="出力 4 2 10 2" xfId="36006" xr:uid="{D6E75EC3-54E7-47F0-8F67-D8FC3ABCC61E}"/>
    <cellStyle name="出力 4 2 11" xfId="22850" xr:uid="{22B361AB-3F31-4740-BE10-69AC0B4BF662}"/>
    <cellStyle name="出力 4 2 11 2" xfId="36007" xr:uid="{150E63B0-2506-4E04-972B-750C8913C133}"/>
    <cellStyle name="出力 4 2 12" xfId="22851" xr:uid="{7A33A128-A8E8-4A9F-9378-EDC28164BED5}"/>
    <cellStyle name="出力 4 2 12 2" xfId="36008" xr:uid="{18424D34-8BC1-47E6-AB50-27E54EC8F08F}"/>
    <cellStyle name="出力 4 2 13" xfId="22852" xr:uid="{0A49F46A-2272-448A-A1D9-91469E319787}"/>
    <cellStyle name="出力 4 2 13 2" xfId="36009" xr:uid="{3A391F8D-A0EB-42CF-83AB-7C2779B6379F}"/>
    <cellStyle name="出力 4 2 14" xfId="22853" xr:uid="{3B6C6768-7C49-49FF-96F4-86EB35817544}"/>
    <cellStyle name="出力 4 2 14 2" xfId="36010" xr:uid="{DD156890-5298-4740-B464-A4F54A18B3A5}"/>
    <cellStyle name="出力 4 2 15" xfId="36005" xr:uid="{9C7AEECF-D122-44C5-BEEA-AA5E49ACB1DA}"/>
    <cellStyle name="出力 4 2 2" xfId="22854" xr:uid="{AACF5232-9A06-40CD-BD66-87F8DE3B763C}"/>
    <cellStyle name="出力 4 2 2 2" xfId="36011" xr:uid="{D7E438FA-B2B1-4064-8128-A7B23C9620BC}"/>
    <cellStyle name="出力 4 2 3" xfId="22855" xr:uid="{2C78A298-F16A-4A7F-B7C7-75C6F7A184C6}"/>
    <cellStyle name="出力 4 2 3 2" xfId="36012" xr:uid="{DA2D3B87-CAE0-4D4F-B1DF-A84764A42500}"/>
    <cellStyle name="出力 4 2 4" xfId="22856" xr:uid="{7D3C9EE9-706C-46C1-9EC6-8D3D49011C87}"/>
    <cellStyle name="出力 4 2 4 2" xfId="36013" xr:uid="{2B9C9EDC-18A7-4398-83B7-B39367705D31}"/>
    <cellStyle name="出力 4 2 5" xfId="22857" xr:uid="{E37D8C43-E3C8-468B-A796-42B7D1061CF2}"/>
    <cellStyle name="出力 4 2 5 2" xfId="36014" xr:uid="{4BDFFC41-2A08-485F-92AE-F5A5B378BA6A}"/>
    <cellStyle name="出力 4 2 6" xfId="22858" xr:uid="{77A94479-388F-4984-A2A8-11F41B13C591}"/>
    <cellStyle name="出力 4 2 6 2" xfId="36015" xr:uid="{E4ACA443-96FC-4F2D-816A-FBB1926162D3}"/>
    <cellStyle name="出力 4 2 7" xfId="22859" xr:uid="{DA490109-4AB4-4810-9241-298775C8138D}"/>
    <cellStyle name="出力 4 2 7 2" xfId="36016" xr:uid="{EE05391C-DDAB-4342-A612-A55AFB4970B1}"/>
    <cellStyle name="出力 4 2 8" xfId="22860" xr:uid="{E390ADC3-ADD1-4F28-B17D-43FB3477447B}"/>
    <cellStyle name="出力 4 2 8 2" xfId="36017" xr:uid="{D055325E-1BB2-4CD4-9EEF-203CAF904FE2}"/>
    <cellStyle name="出力 4 2 9" xfId="22861" xr:uid="{839A9EBA-CBE4-43FA-8F5D-D43EE171B1DD}"/>
    <cellStyle name="出力 4 2 9 2" xfId="36018" xr:uid="{43AFD9EF-81E0-4BED-9DDB-20B48A05CD92}"/>
    <cellStyle name="出力 4 3" xfId="22862" xr:uid="{C26F3B17-0662-4715-9B00-2B3036CE1B35}"/>
    <cellStyle name="出力 4 3 2" xfId="36019" xr:uid="{624F61C3-306B-4D0C-AFA4-74ADC7355279}"/>
    <cellStyle name="出力 4 4" xfId="22863" xr:uid="{2ED0C10A-F782-4F07-8402-C7DED5E33620}"/>
    <cellStyle name="出力 4 4 2" xfId="36020" xr:uid="{45E154C8-72B6-4D2D-BDAF-65221A0E3C8B}"/>
    <cellStyle name="出力 4 5" xfId="22864" xr:uid="{052FB977-1E75-4D87-B9E3-2AE949D9D1A3}"/>
    <cellStyle name="出力 4 5 2" xfId="36021" xr:uid="{65A56411-44BE-45B1-ACFE-071F4FE1F305}"/>
    <cellStyle name="出力 4 6" xfId="22865" xr:uid="{74DE6156-5F2D-453E-8DB2-B72762F22C54}"/>
    <cellStyle name="出力 4 6 2" xfId="36022" xr:uid="{5F404EA0-E882-47BA-A9E9-1516736F186D}"/>
    <cellStyle name="出力 4 7" xfId="22866" xr:uid="{B803EDB9-19D2-427B-8B5A-7093F02BBC4D}"/>
    <cellStyle name="出力 4 7 2" xfId="36023" xr:uid="{00B455F8-2A2A-4104-A30C-FB2ADCAB17A6}"/>
    <cellStyle name="出力 4 8" xfId="22867" xr:uid="{C0AF8F6B-0B8E-4432-A12E-2F8945EAC8AE}"/>
    <cellStyle name="出力 4 8 2" xfId="36024" xr:uid="{5BD1C4C3-BFB8-4E06-9499-76B05BF0C607}"/>
    <cellStyle name="出力 4 9" xfId="22868" xr:uid="{10A8DC7D-09BD-4991-B498-12953B1A41BC}"/>
    <cellStyle name="出力 4 9 2" xfId="36025" xr:uid="{7F9EAD1E-916E-4032-8175-17382FF218D6}"/>
    <cellStyle name="出力 5" xfId="22869" xr:uid="{91CCF26B-109D-4F73-A9FB-CEB2C7F00F4E}"/>
    <cellStyle name="出力 5 2" xfId="36026" xr:uid="{295209B7-C4C2-4802-986B-A28DC1902B9E}"/>
    <cellStyle name="出力 6" xfId="22870" xr:uid="{FC7AAD71-9918-47DA-BD3A-D4A156E7B692}"/>
    <cellStyle name="出力 6 2" xfId="36027" xr:uid="{EDC9ED6B-F183-4EDA-945F-36E2CFDAA1B0}"/>
    <cellStyle name="千位[0]_98年1-3月完工产品成本、收入统计" xfId="22899" xr:uid="{A1D0AB43-58CA-40CB-A6A2-A210008499E8}"/>
    <cellStyle name="千位_98年1-3月完工产品成本、收入统计" xfId="22900" xr:uid="{B39C19FF-395C-4D43-8D1F-BC58EE6D7BA9}"/>
    <cellStyle name="千位分隔 2" xfId="22901" xr:uid="{5F45FCDF-3463-4EE4-B0D1-6D437DD9AA5D}"/>
    <cellStyle name="千位分隔[0] 2" xfId="22902" xr:uid="{EE4C56FC-C543-4ECE-AA5B-AD6577A27066}"/>
    <cellStyle name="千位分隔[0] 2 2" xfId="22903" xr:uid="{E30F8A6D-3E80-43DB-A800-42D734AC958F}"/>
    <cellStyle name="千位分隔[0] 2 2 2" xfId="22904" xr:uid="{BA322BA4-C152-4109-92CC-084EE097A8EA}"/>
    <cellStyle name="千位分隔[0] 2 2 2 2" xfId="22905" xr:uid="{5005C40F-DD15-4290-8A98-79F9BD7A8AF4}"/>
    <cellStyle name="千位分隔[0] 2 2 2 2 2" xfId="22906" xr:uid="{E1FD8723-84DE-41D8-B8A9-D1C6FB6D11DC}"/>
    <cellStyle name="千位分隔[0] 2 2 2 2 2 2" xfId="26465" xr:uid="{7E4818E0-A4F0-4BCF-8F16-BCF7397A31DB}"/>
    <cellStyle name="千位分隔[0] 2 2 2 2 3" xfId="26464" xr:uid="{8771CFAB-52BA-4EAF-ABE5-2F75D31F9C82}"/>
    <cellStyle name="千位分隔[0] 2 2 2 3" xfId="22907" xr:uid="{5D105ECE-8E78-4811-9F4E-A2AC7D4BFA2F}"/>
    <cellStyle name="千位分隔[0] 2 2 2 3 2" xfId="26466" xr:uid="{B6EB59E1-EC4E-4354-B0A5-E311E67078FB}"/>
    <cellStyle name="千位分隔[0] 2 2 2 4" xfId="22908" xr:uid="{D6E2FC82-6E9D-48E7-8732-455BFAB128F9}"/>
    <cellStyle name="千位分隔[0] 2 2 2 4 2" xfId="26467" xr:uid="{C67F27D3-4EEE-42EE-A2FF-7BB46A90D26C}"/>
    <cellStyle name="千位分隔[0] 2 2 2 5" xfId="26463" xr:uid="{A05D95B1-AA49-48DA-B234-0511261DADFD}"/>
    <cellStyle name="千位分隔[0] 2 2 3" xfId="22909" xr:uid="{7B8B6F7A-8BB8-4888-8899-6729B0D1E9B3}"/>
    <cellStyle name="千位分隔[0] 2 2 3 2" xfId="26468" xr:uid="{B5BF4375-D35B-41B8-B979-335D0EE20573}"/>
    <cellStyle name="千位分隔[0] 2 2 4" xfId="26462" xr:uid="{A9F9B007-B44F-4C41-A2EF-21B40B93C2AE}"/>
    <cellStyle name="千位分隔[0] 2 3" xfId="22910" xr:uid="{61DB32CA-ADE2-457A-A456-79B6392CDB9C}"/>
    <cellStyle name="千位分隔[0] 2 3 2" xfId="26469" xr:uid="{A29A0F6A-C4F2-443F-9B07-6CDFD0BC352E}"/>
    <cellStyle name="千位分隔[0] 2 4" xfId="22911" xr:uid="{8FB7B9C6-584D-423C-A832-4AE26C6C0D38}"/>
    <cellStyle name="千位分隔[0] 2 4 2" xfId="26470" xr:uid="{CD982C5B-0092-4A4D-BE43-8845782F9634}"/>
    <cellStyle name="千位分隔[0] 2 5" xfId="26461" xr:uid="{F39BF2ED-2F93-4C85-86B5-2202676F59DD}"/>
    <cellStyle name="千位分隔[0]_05PLAN #1 (EN) 5.31.05" xfId="22912" xr:uid="{B35020EE-108B-46CD-8445-0C36C831413E}"/>
    <cellStyle name="千位分隔_05PLAN #1 (EN) 5.31.05" xfId="22913" xr:uid="{2287656E-CF76-45E7-91A1-B42558F2D06C}"/>
    <cellStyle name="千分位[0]_ 白土" xfId="22914" xr:uid="{657EC91F-1FD1-4AA1-A381-80BBBD08DC11}"/>
    <cellStyle name="千分位_ 白土" xfId="22915" xr:uid="{5F7EC3D0-52CB-4ED3-ADE4-19E991BC3B11}"/>
    <cellStyle name="半角" xfId="23567" xr:uid="{90ACCF08-95E2-402A-A9C2-3587A78AC0D3}"/>
    <cellStyle name="半角 2" xfId="23568" xr:uid="{0A36EA2D-652C-446D-B882-7ADD2A1093B5}"/>
    <cellStyle name="半角 2 2" xfId="23569" xr:uid="{69A9809B-FA78-4792-8B11-8D49D9A83185}"/>
    <cellStyle name="半角 2 2 10" xfId="23570" xr:uid="{A741A7D7-AE7D-43F8-9ACE-1F63E6DE3A41}"/>
    <cellStyle name="半角 2 2 10 2" xfId="23571" xr:uid="{F02A7863-E60A-4BD4-A201-B3DE9C98D897}"/>
    <cellStyle name="半角 2 2 11" xfId="23572" xr:uid="{02BDE714-E96B-443F-A76C-E20102444B89}"/>
    <cellStyle name="半角 2 2 11 2" xfId="23573" xr:uid="{057AD2FB-1307-4046-9EE5-2F3B30EC9C3F}"/>
    <cellStyle name="半角 2 2 12" xfId="23574" xr:uid="{68BD8BB0-AAB8-4497-8E5C-277EB26EBD6C}"/>
    <cellStyle name="半角 2 2 12 2" xfId="23575" xr:uid="{1555D047-B82E-44AC-94E2-54CF6A033576}"/>
    <cellStyle name="半角 2 2 13" xfId="23576" xr:uid="{212CDE15-15B6-4DD5-9D9B-4FBAF140FB97}"/>
    <cellStyle name="半角 2 2 13 2" xfId="23577" xr:uid="{0D625E87-2F74-4416-B609-C316817169AF}"/>
    <cellStyle name="半角 2 2 14" xfId="23578" xr:uid="{AD73CB7E-111A-4924-B057-0F0FC387779C}"/>
    <cellStyle name="半角 2 2 14 2" xfId="23579" xr:uid="{ECC81B67-0D87-40B6-B060-5C88878E5F33}"/>
    <cellStyle name="半角 2 2 15" xfId="23580" xr:uid="{4EE7250E-E5D3-4415-B2EB-C0C504397DE6}"/>
    <cellStyle name="半角 2 2 15 2" xfId="23581" xr:uid="{F5657EC7-DF5B-4CEE-8814-194DDD8278CF}"/>
    <cellStyle name="半角 2 2 16" xfId="23582" xr:uid="{7214611A-25DA-4531-8C06-35CCE0338449}"/>
    <cellStyle name="半角 2 2 16 2" xfId="23583" xr:uid="{23B3CA36-B8E7-4417-B9F0-6507B9B0EE7B}"/>
    <cellStyle name="半角 2 2 17" xfId="23584" xr:uid="{4D9ABE28-9E22-45AB-B915-F112B31984DB}"/>
    <cellStyle name="半角 2 2 17 2" xfId="23585" xr:uid="{4915F2B5-7AF9-473A-9C13-CD6161B5FC2E}"/>
    <cellStyle name="半角 2 2 18" xfId="23586" xr:uid="{D4F808BD-87FB-4922-97D0-7C33B655117A}"/>
    <cellStyle name="半角 2 2 18 2" xfId="23587" xr:uid="{AF2B9219-0E58-49F0-A021-14C08363127E}"/>
    <cellStyle name="半角 2 2 19" xfId="23588" xr:uid="{1FA9BB1E-E670-4378-842D-D60D8325E004}"/>
    <cellStyle name="半角 2 2 19 2" xfId="23589" xr:uid="{4D921637-85CB-4AF0-858C-F6FB35BF1C93}"/>
    <cellStyle name="半角 2 2 2" xfId="23590" xr:uid="{F6F1944D-91A8-46BB-AC86-298313B61822}"/>
    <cellStyle name="半角 2 2 2 2" xfId="23591" xr:uid="{F3C21EDC-3D1A-423B-9480-D5E4E6204EE1}"/>
    <cellStyle name="半角 2 2 20" xfId="23592" xr:uid="{40D0A426-1BDF-473E-A960-E0F035AD3122}"/>
    <cellStyle name="半角 2 2 20 2" xfId="23593" xr:uid="{A3C2DCD5-2FE5-4223-820C-1E911AB27B46}"/>
    <cellStyle name="半角 2 2 21" xfId="23594" xr:uid="{FCC6AF14-5246-4BD2-9B59-C7D6E4672C6A}"/>
    <cellStyle name="半角 2 2 21 2" xfId="23595" xr:uid="{FA59AE29-8C52-4A77-9072-34792B580EE7}"/>
    <cellStyle name="半角 2 2 22" xfId="23596" xr:uid="{E986CECC-7DF2-47F8-B58C-CECC7D88B97A}"/>
    <cellStyle name="半角 2 2 3" xfId="23597" xr:uid="{410056FB-A33C-4483-A043-9E44EBB09E1C}"/>
    <cellStyle name="半角 2 2 3 2" xfId="23598" xr:uid="{D44AC711-99BF-4CAB-8EDF-C2696EB66DAD}"/>
    <cellStyle name="半角 2 2 4" xfId="23599" xr:uid="{1E0AD604-539F-4F37-9287-7EE0CF863F92}"/>
    <cellStyle name="半角 2 2 4 2" xfId="23600" xr:uid="{30C643F3-0D5A-49F6-AA1C-D8A0CAA2C59D}"/>
    <cellStyle name="半角 2 2 5" xfId="23601" xr:uid="{74E06DF8-EE01-4565-B0AF-8094D37897FB}"/>
    <cellStyle name="半角 2 2 5 2" xfId="23602" xr:uid="{4CFCEB8B-2CEA-4F35-8332-75BCB709F012}"/>
    <cellStyle name="半角 2 2 6" xfId="23603" xr:uid="{56BCB08F-1F30-4097-895F-46493E0577A7}"/>
    <cellStyle name="半角 2 2 6 2" xfId="23604" xr:uid="{4B1CF48F-23DB-45AF-9AA3-297BFF2B1829}"/>
    <cellStyle name="半角 2 2 7" xfId="23605" xr:uid="{57573F72-16F9-4E62-8F10-0CBD2E870D84}"/>
    <cellStyle name="半角 2 2 7 2" xfId="23606" xr:uid="{5D4231D5-B4B2-4DE4-808A-0327D624342E}"/>
    <cellStyle name="半角 2 2 8" xfId="23607" xr:uid="{180A2397-8E62-4940-BCD1-9F15742BA200}"/>
    <cellStyle name="半角 2 2 8 2" xfId="23608" xr:uid="{BBDE7DC6-FCE8-43B0-BC18-B36A45864AEC}"/>
    <cellStyle name="半角 2 2 9" xfId="23609" xr:uid="{8C99BAD4-05BF-409D-84F7-8A74DB1C38BE}"/>
    <cellStyle name="半角 2 2 9 2" xfId="23610" xr:uid="{4188473F-D270-44F9-B796-83C058253530}"/>
    <cellStyle name="半角 2 3" xfId="23611" xr:uid="{11AA271A-3AF5-4365-9482-38F9F1F3A6D7}"/>
    <cellStyle name="半角 2 3 2" xfId="23612" xr:uid="{D115ED38-F6D4-43BC-9CED-8A886AAC59B4}"/>
    <cellStyle name="半角 2 4" xfId="23613" xr:uid="{C187E706-4652-4054-A6C1-EC81BA2156B2}"/>
    <cellStyle name="半角 2 4 2" xfId="23614" xr:uid="{B6A7C9DE-7AEF-4224-ADE0-E7476C99DF38}"/>
    <cellStyle name="半角 2 5" xfId="23615" xr:uid="{2E850A75-DEDD-4281-80DF-E0A5D01E583C}"/>
    <cellStyle name="半角 2 5 2" xfId="23616" xr:uid="{A7D685AE-504B-4B22-A85F-92FA492CDA95}"/>
    <cellStyle name="半角 2 6" xfId="23617" xr:uid="{65F3B831-4F8E-4C71-AF73-34F308886F45}"/>
    <cellStyle name="半角 3" xfId="23618" xr:uid="{8F6B3165-355A-435C-94BF-0252EE487C7E}"/>
    <cellStyle name="半角 3 10" xfId="23619" xr:uid="{3BC81469-1455-4C26-9009-4AC679145477}"/>
    <cellStyle name="半角 3 10 2" xfId="23620" xr:uid="{24111FEC-F772-4D04-ACBB-6816559723EB}"/>
    <cellStyle name="半角 3 11" xfId="23621" xr:uid="{A0E677FB-EA88-4442-99E2-67F4AB8559AF}"/>
    <cellStyle name="半角 3 11 2" xfId="23622" xr:uid="{1601825F-8170-4DBF-A4D9-C009D5F6C548}"/>
    <cellStyle name="半角 3 12" xfId="23623" xr:uid="{6A61E19D-688E-46E5-BFD1-FF456297E9E6}"/>
    <cellStyle name="半角 3 12 2" xfId="23624" xr:uid="{C449B117-EE30-477D-AE49-8EE4EE8B53F5}"/>
    <cellStyle name="半角 3 13" xfId="23625" xr:uid="{E9139A4E-85D2-455D-AB64-141BD406BACF}"/>
    <cellStyle name="半角 3 13 2" xfId="23626" xr:uid="{85FF8788-451C-450F-BB33-D2972EBEE81B}"/>
    <cellStyle name="半角 3 14" xfId="23627" xr:uid="{06897BD7-5568-4941-95E4-790093EABE5F}"/>
    <cellStyle name="半角 3 14 2" xfId="23628" xr:uid="{FA606240-AF08-43D5-9514-1C56BC02B2EA}"/>
    <cellStyle name="半角 3 15" xfId="23629" xr:uid="{FD6296D9-6EB1-4A6B-AEEC-41AEDEFC50CA}"/>
    <cellStyle name="半角 3 15 2" xfId="23630" xr:uid="{0A717113-8A2C-4968-9BE8-48ACF436C195}"/>
    <cellStyle name="半角 3 16" xfId="23631" xr:uid="{D0D1AF0A-A321-4EE6-9EEA-F693853B42C7}"/>
    <cellStyle name="半角 3 16 2" xfId="23632" xr:uid="{B2D7DB19-B448-4A38-971E-988322B7062E}"/>
    <cellStyle name="半角 3 17" xfId="23633" xr:uid="{FA965FDC-8B74-4F23-83D7-738BBD7C74EE}"/>
    <cellStyle name="半角 3 17 2" xfId="23634" xr:uid="{CA9808AF-CBA3-4B4A-AB1D-D973246247F6}"/>
    <cellStyle name="半角 3 18" xfId="23635" xr:uid="{090E3D22-5A17-433D-9BDB-A6BD21167876}"/>
    <cellStyle name="半角 3 18 2" xfId="23636" xr:uid="{4FD165F5-FF0E-4526-8635-4F9110CD2157}"/>
    <cellStyle name="半角 3 19" xfId="23637" xr:uid="{1CCE727E-D4B2-43EB-BE7E-AF7B373028F9}"/>
    <cellStyle name="半角 3 19 2" xfId="23638" xr:uid="{F90A7D2F-9B57-4CCB-93E4-72B6C035A17F}"/>
    <cellStyle name="半角 3 2" xfId="23639" xr:uid="{D188699B-C5A6-4FA7-A982-51A82570C8F3}"/>
    <cellStyle name="半角 3 2 2" xfId="23640" xr:uid="{8846E0BF-1712-431A-BB8D-9983FA98263F}"/>
    <cellStyle name="半角 3 20" xfId="23641" xr:uid="{A77838B5-66DA-4148-9325-64B9E6B3D9BA}"/>
    <cellStyle name="半角 3 20 2" xfId="23642" xr:uid="{78945F11-CABF-4FD5-A1DF-08B8E6A3430E}"/>
    <cellStyle name="半角 3 21" xfId="23643" xr:uid="{48D9DB82-D54B-4960-8B31-E3214693CD98}"/>
    <cellStyle name="半角 3 21 2" xfId="23644" xr:uid="{231B8ECB-4BDF-48E5-A707-C0CB410CA10B}"/>
    <cellStyle name="半角 3 22" xfId="23645" xr:uid="{3AD27DFB-5710-4098-8733-D049A852AC39}"/>
    <cellStyle name="半角 3 3" xfId="23646" xr:uid="{6ADC69A1-4509-4DDB-A8DB-DB9A790AC3CE}"/>
    <cellStyle name="半角 3 3 2" xfId="23647" xr:uid="{510B9989-1DAC-4CBC-8AB7-91C720C75F96}"/>
    <cellStyle name="半角 3 4" xfId="23648" xr:uid="{967A954B-6107-48BB-81CC-43F9DEAFF44E}"/>
    <cellStyle name="半角 3 4 2" xfId="23649" xr:uid="{F4E0330F-D75F-40CF-972A-9D00064B282F}"/>
    <cellStyle name="半角 3 5" xfId="23650" xr:uid="{012230E6-0271-4359-A363-64BE9C50DB34}"/>
    <cellStyle name="半角 3 5 2" xfId="23651" xr:uid="{B032D748-6873-4151-826B-87E9ACD9AB1E}"/>
    <cellStyle name="半角 3 6" xfId="23652" xr:uid="{915BCFE8-7039-4514-A605-6D16FDFCC60D}"/>
    <cellStyle name="半角 3 6 2" xfId="23653" xr:uid="{43C0CF01-9E5E-4AF3-B64D-CFF1B14DFE9F}"/>
    <cellStyle name="半角 3 7" xfId="23654" xr:uid="{F22EA69C-D431-4F02-AA2D-508323C61FAB}"/>
    <cellStyle name="半角 3 7 2" xfId="23655" xr:uid="{39DA42A1-D35E-4975-842F-B43C786CC5FF}"/>
    <cellStyle name="半角 3 8" xfId="23656" xr:uid="{A49CC408-4AD7-4D48-83C1-8D2BA3014164}"/>
    <cellStyle name="半角 3 8 2" xfId="23657" xr:uid="{62A45CA9-D56A-45D9-B678-51AF284114A3}"/>
    <cellStyle name="半角 3 9" xfId="23658" xr:uid="{0326E0A2-864F-414F-8207-B02324B3680C}"/>
    <cellStyle name="半角 3 9 2" xfId="23659" xr:uid="{3879AA63-014A-4543-B07E-F0795AF48B84}"/>
    <cellStyle name="半角 4" xfId="23660" xr:uid="{51478D2B-F748-4276-B3B7-036FE76B350F}"/>
    <cellStyle name="台数" xfId="22916" xr:uid="{479C876B-9164-4D95-9F33-CAE0C2E68FAC}"/>
    <cellStyle name="后继超级链接_财务公司2004年损益预算" xfId="22529" xr:uid="{A6EB1308-7C39-466B-9BA2-32D762BED04F}"/>
    <cellStyle name="和文標準" xfId="23866" xr:uid="{DCC889C7-64ED-489E-BA1B-4D56DD6AE293}"/>
    <cellStyle name="好" xfId="22530" xr:uid="{F1441017-2111-45EB-96D0-C5B576C954BF}"/>
    <cellStyle name="好 2" xfId="22531" xr:uid="{5001C305-4A64-4C63-9AD8-33F6B32EBAB2}"/>
    <cellStyle name="好 2 2" xfId="22532" xr:uid="{A1FC795C-C097-404D-859E-3E7E3240657B}"/>
    <cellStyle name="好 2 2 2" xfId="22533" xr:uid="{FCE1FD75-C430-4C2A-954D-9E7E85CA67E7}"/>
    <cellStyle name="好 2 2 2 2" xfId="26447" xr:uid="{1E37A504-1C41-4566-BFA5-29AA66E02437}"/>
    <cellStyle name="好 2 3" xfId="22534" xr:uid="{E433F2D6-6611-49FC-A259-56092558F40A}"/>
    <cellStyle name="好 2 4" xfId="22535" xr:uid="{109C37B3-F1AA-484F-9A52-EFACC1170987}"/>
    <cellStyle name="好 2 4 2" xfId="26448" xr:uid="{1687641F-4F72-40F8-B275-F61D74B741E9}"/>
    <cellStyle name="好 3" xfId="22536" xr:uid="{425484C7-ED8B-409D-B1B2-382C09BA65A8}"/>
    <cellStyle name="好 3 2" xfId="26449" xr:uid="{F54ABCC5-CB4B-4AE9-A6BE-2A0E033CBA55}"/>
    <cellStyle name="寘嬫愗傝_Volume Plan (FS-BP)030710" xfId="23879" xr:uid="{B6F5F83A-916F-4BA8-AEC0-2C2B8282415E}"/>
    <cellStyle name="寥碟徽_唳艙雖ォ" xfId="23868" xr:uid="{C1597D9C-32E1-4533-A334-DF4B18C4BBE5}"/>
    <cellStyle name="巍葆 [0]_啗" xfId="23869" xr:uid="{BE602C5B-2D5F-48D9-95CC-FF7458C83BB4}"/>
    <cellStyle name="巍葆_啗" xfId="23870" xr:uid="{DCF692C4-32DD-4AB1-9788-6FD76207A152}"/>
    <cellStyle name="差" xfId="22537" xr:uid="{1A759762-9C2A-4F20-A1C4-FF0767058330}"/>
    <cellStyle name="差 2" xfId="22538" xr:uid="{CEE9111E-A49D-4826-9905-32FD84ECEDB2}"/>
    <cellStyle name="差 2 2" xfId="22539" xr:uid="{98AC0F6A-B8FE-4366-90E1-89BBD14EE2E0}"/>
    <cellStyle name="差 2 2 2" xfId="22540" xr:uid="{DE84E0D1-5442-4C86-AC92-E53246B75951}"/>
    <cellStyle name="差 2 2 2 2" xfId="26450" xr:uid="{5C1AE3EF-75A5-4ED7-9392-DEAD2CC2A66E}"/>
    <cellStyle name="差 2 3" xfId="22541" xr:uid="{44AD759E-E224-40B8-9DDD-10A65729A268}"/>
    <cellStyle name="差 2 4" xfId="22542" xr:uid="{43A74120-62CE-4E4A-94CE-77BEB3B3619A}"/>
    <cellStyle name="差 2 4 2" xfId="26451" xr:uid="{0DAD48C1-9125-4C1B-8801-E25D741AFC1C}"/>
    <cellStyle name="差 3" xfId="22543" xr:uid="{A8DFCF5E-376A-4F2A-B454-8853C09D14E5}"/>
    <cellStyle name="差 3 2" xfId="26452" xr:uid="{049D0376-9067-4621-A73E-62B54D398537}"/>
    <cellStyle name="常?_CY05-plan(PINK)1215(Final ver.）" xfId="22871" xr:uid="{CB79F8C0-9BFB-4B30-9B17-9E06DFFC12F1}"/>
    <cellStyle name="常规 2" xfId="22872" xr:uid="{432E08A1-5852-4F8A-A592-E791CFFF8190}"/>
    <cellStyle name="常规 2 2" xfId="22873" xr:uid="{7004C3C4-9B93-4524-9F5F-EFFE708AE873}"/>
    <cellStyle name="常规 2 2 2" xfId="22874" xr:uid="{733E5DB1-6101-47B4-93D0-296950BEF73D}"/>
    <cellStyle name="常规 2 2 2 2" xfId="22875" xr:uid="{BEDA2BE9-FDDB-4ED5-B04D-B318C437CF91}"/>
    <cellStyle name="常规 2 2 2 2 2" xfId="22876" xr:uid="{18A228FD-0018-41D0-AE16-FB0FF2379647}"/>
    <cellStyle name="常规 2 2 2 2 2 2" xfId="26453" xr:uid="{B83BDE73-6059-4EDC-8C1C-8DE1C3D93762}"/>
    <cellStyle name="常规 2 2 2 3" xfId="22877" xr:uid="{8B13496F-BAE5-44D3-AA61-4A991BE0CD1C}"/>
    <cellStyle name="常规 2 2 2 4" xfId="22878" xr:uid="{2A46E2A8-C7C1-4826-8376-E5ADA7C4D723}"/>
    <cellStyle name="常规 2 2 2 4 2" xfId="26454" xr:uid="{24F8EFA0-C655-42B3-BDC7-DF1BF65EE535}"/>
    <cellStyle name="常规 2 2 3" xfId="22879" xr:uid="{8CFC9498-B42B-48E2-91D2-E2EA57C28F2E}"/>
    <cellStyle name="常规 2 2 3 2" xfId="26455" xr:uid="{09190028-7552-46BA-AF7E-53BDE805FF5B}"/>
    <cellStyle name="常规 2 3" xfId="22880" xr:uid="{96DEEEF6-7F43-43B5-A8A7-D6B2B1718062}"/>
    <cellStyle name="常规 2 3 2" xfId="22881" xr:uid="{8FF2F80B-710B-4BAB-B91B-41FF9D82E105}"/>
    <cellStyle name="常规 2 3 2 2" xfId="22882" xr:uid="{7BB9918B-AACA-4A2D-AF86-EAABF5B52CF6}"/>
    <cellStyle name="常规 2 3 2 2 2" xfId="26456" xr:uid="{52BC1D68-D7DD-4196-9721-8C6D32B732F9}"/>
    <cellStyle name="常规 2 3 3" xfId="22883" xr:uid="{DE6653A9-3ED7-434A-877E-3A377D48A7B0}"/>
    <cellStyle name="常规 2 3 4" xfId="22884" xr:uid="{64F0DC28-45D3-4B3D-B013-20E49BEB3679}"/>
    <cellStyle name="常规 2 3 4 2" xfId="26457" xr:uid="{79A97BBB-81B8-4DAB-A0AB-171035B54DFB}"/>
    <cellStyle name="常规 2 4" xfId="22885" xr:uid="{033EA54B-BA11-462E-A735-AA7A7757AB24}"/>
    <cellStyle name="常规 2 4 2" xfId="26458" xr:uid="{09CDCF16-2DEF-4EF8-8700-125F83371702}"/>
    <cellStyle name="常规 2_FY13 Budget Simulation Excel PKG for Auto by company" xfId="22886" xr:uid="{06257DC1-5AD6-4EBA-9BF5-C840E7D42796}"/>
    <cellStyle name="常规 3" xfId="22887" xr:uid="{1B614200-425A-420F-B097-587F0A5D1B2F}"/>
    <cellStyle name="常规 3 2" xfId="22888" xr:uid="{410A04D2-95BA-49F6-ABB1-9640DCFD972B}"/>
    <cellStyle name="常规 3 2 2" xfId="22889" xr:uid="{53AD792B-517C-43CF-9E13-A3F8F0CAB181}"/>
    <cellStyle name="常规 3 2 2 2" xfId="26459" xr:uid="{52325C54-44B8-42E5-B443-4D8A6899A327}"/>
    <cellStyle name="常规 4" xfId="22890" xr:uid="{7A629206-ABC2-467F-A035-262BFAFCED48}"/>
    <cellStyle name="常规 4 2" xfId="22891" xr:uid="{5FF37B42-6918-4EE1-87A5-1E78B83B988E}"/>
    <cellStyle name="常规 4 2 2" xfId="22892" xr:uid="{C1A0F5D6-F317-4173-9B90-45D5501F50EF}"/>
    <cellStyle name="常规 4 2 2 2" xfId="26460" xr:uid="{990D0755-C1C7-4FFD-8178-926FD53650C7}"/>
    <cellStyle name="常规_【GOM】FY09BP Reply#1 Pkg (DFL CV Reply 081020 exclude SS)" xfId="22893" xr:uid="{F527A16D-E2F7-41B7-98A1-A395328269EC}"/>
    <cellStyle name="强调文字颜色 1" xfId="23891" xr:uid="{5D98ABCF-F551-48FF-AFC2-334B9823767C}"/>
    <cellStyle name="强调文字颜色 1 2" xfId="23892" xr:uid="{3031AE8C-18D9-42B2-8747-BD0AB0961A4C}"/>
    <cellStyle name="强调文字颜色 1 2 2" xfId="23893" xr:uid="{9BC85623-DE8C-4675-9479-EED06EC1C329}"/>
    <cellStyle name="强调文字颜色 1 2 2 2" xfId="23894" xr:uid="{11BBF299-B151-4B9A-84CE-551E214FB963}"/>
    <cellStyle name="强调文字颜色 1 2 2 2 2" xfId="26704" xr:uid="{C780196B-A40B-435C-AA31-A0BE9D47078D}"/>
    <cellStyle name="强调文字颜色 1 2 3" xfId="23895" xr:uid="{DCE47227-0CEA-484A-9D57-59CE4C6F4F38}"/>
    <cellStyle name="强调文字颜色 1 2 4" xfId="23896" xr:uid="{008BDA8A-3019-4AF3-9AA6-8418D94FEE60}"/>
    <cellStyle name="强调文字颜色 1 2 4 2" xfId="26705" xr:uid="{EDB9B1C5-CACF-4276-8F64-36273A73B29F}"/>
    <cellStyle name="强调文字颜色 1 3" xfId="23897" xr:uid="{75E81F58-048B-4D86-872F-6D61A78C9711}"/>
    <cellStyle name="强调文字颜色 1 3 2" xfId="26706" xr:uid="{796F9A35-7739-4BA2-AE9F-F373F3778C67}"/>
    <cellStyle name="强调文字颜色 2" xfId="23898" xr:uid="{BEB47D1E-AA64-4E9E-A2D3-F3A9E5DAC0E1}"/>
    <cellStyle name="强调文字颜色 2 2" xfId="23899" xr:uid="{CF5B95ED-29EE-44C0-B1F4-2F9389FDC822}"/>
    <cellStyle name="强调文字颜色 2 2 2" xfId="23900" xr:uid="{CC2BA4BD-DBEF-47D1-BBAA-CB0808908B06}"/>
    <cellStyle name="强调文字颜色 2 2 2 2" xfId="23901" xr:uid="{02C24EAD-01AE-4029-9EBE-578D915CC80D}"/>
    <cellStyle name="强调文字颜色 2 2 2 2 2" xfId="26707" xr:uid="{C8CFD688-B05D-4CA0-B5E5-DF3B12A0CDE9}"/>
    <cellStyle name="强调文字颜色 2 2 3" xfId="23902" xr:uid="{2FB389B1-74A0-41E9-8A1A-4179DA695466}"/>
    <cellStyle name="强调文字颜色 2 2 4" xfId="23903" xr:uid="{95734092-5E5A-4919-BA93-9BB220FF5407}"/>
    <cellStyle name="强调文字颜色 2 2 4 2" xfId="26708" xr:uid="{67D54293-46FF-4BFA-9836-E2105DB1E034}"/>
    <cellStyle name="强调文字颜色 2 3" xfId="23904" xr:uid="{899DF13C-4BE0-47EE-895C-5E899F1732F7}"/>
    <cellStyle name="强调文字颜色 2 3 2" xfId="26709" xr:uid="{5EA22B94-543C-477E-9217-ED657948DBE0}"/>
    <cellStyle name="强调文字颜色 3" xfId="23905" xr:uid="{8782A971-E484-4BBB-97BF-C2F1A699504B}"/>
    <cellStyle name="强调文字颜色 3 2" xfId="23906" xr:uid="{AE9B8765-9314-4D46-AF20-DF1A8569D570}"/>
    <cellStyle name="强调文字颜色 3 2 2" xfId="23907" xr:uid="{7E083474-145B-40E3-A8A2-B99680B32530}"/>
    <cellStyle name="强调文字颜色 3 2 2 2" xfId="23908" xr:uid="{0DC47272-2C2F-4B1D-930F-E0BE8375B7CE}"/>
    <cellStyle name="强调文字颜色 3 2 2 2 2" xfId="26710" xr:uid="{C4D4C2A1-BAE0-4BE2-8B18-8363C7BA89BF}"/>
    <cellStyle name="强调文字颜色 3 2 3" xfId="23909" xr:uid="{7EBE7C54-C53E-45A8-8023-58EBF3DFF596}"/>
    <cellStyle name="强调文字颜色 3 2 4" xfId="23910" xr:uid="{0A846666-4F16-4DDA-A1D7-5CEC066E9B55}"/>
    <cellStyle name="强调文字颜色 3 2 4 2" xfId="26711" xr:uid="{CC78C65E-7116-4920-B965-BB1E48042F14}"/>
    <cellStyle name="强调文字颜色 3 3" xfId="23911" xr:uid="{41AFC484-21ED-42B5-9EDE-412441EEC77D}"/>
    <cellStyle name="强调文字颜色 3 3 2" xfId="26712" xr:uid="{9E06D82B-85C0-4305-B1AD-531D968F3D91}"/>
    <cellStyle name="强调文字颜色 4" xfId="23912" xr:uid="{82F88A71-5A68-400C-9C2C-023FC7097B36}"/>
    <cellStyle name="强调文字颜色 4 2" xfId="23913" xr:uid="{1D349DAD-4DDD-4D01-B195-67954DBF66AF}"/>
    <cellStyle name="强调文字颜色 4 2 2" xfId="23914" xr:uid="{CFA11867-2C12-46EC-BD1B-A4C419DB2FC5}"/>
    <cellStyle name="强调文字颜色 4 2 2 2" xfId="23915" xr:uid="{D44D66F8-756E-436D-BC13-C4CA448AA458}"/>
    <cellStyle name="强调文字颜色 4 2 2 2 2" xfId="26713" xr:uid="{F4ACC888-9FA1-4258-A4F3-1945D5A627E2}"/>
    <cellStyle name="强调文字颜色 4 2 3" xfId="23916" xr:uid="{2AECC220-21E6-40E9-AE52-0D3F53076541}"/>
    <cellStyle name="强调文字颜色 4 2 4" xfId="23917" xr:uid="{EDB3F9C0-F3AC-4A2B-9E49-D30E0781C6BA}"/>
    <cellStyle name="强调文字颜色 4 2 4 2" xfId="26714" xr:uid="{C526599D-5FBA-49E6-B613-DDF067B17603}"/>
    <cellStyle name="强调文字颜色 4 3" xfId="23918" xr:uid="{FCDBCB72-416E-4FA2-83C3-7156932300B0}"/>
    <cellStyle name="强调文字颜色 4 3 2" xfId="26715" xr:uid="{90DE9F88-54EA-47ED-9FCF-AA5A7B908523}"/>
    <cellStyle name="强调文字颜色 5" xfId="23919" xr:uid="{B121D07B-BA85-43F3-968A-1EFDA6FC0F9C}"/>
    <cellStyle name="强调文字颜色 5 2" xfId="23920" xr:uid="{2DB358E9-005A-46B5-BEC2-0C29C0D02075}"/>
    <cellStyle name="强调文字颜色 5 2 2" xfId="23921" xr:uid="{8838138E-E542-4194-B4EC-15090939C76A}"/>
    <cellStyle name="强调文字颜色 5 2 2 2" xfId="23922" xr:uid="{19F9B19E-4E46-4FFF-B080-F77CB5574C1D}"/>
    <cellStyle name="强调文字颜色 5 2 2 2 2" xfId="26716" xr:uid="{9672046A-BBD9-4654-AE6A-07D683DD9796}"/>
    <cellStyle name="强调文字颜色 5 2 3" xfId="23923" xr:uid="{B12EA3F3-544A-4956-A749-8BBD84148B0C}"/>
    <cellStyle name="强调文字颜色 5 2 4" xfId="23924" xr:uid="{A28AB8AE-C363-4258-951B-8C3084C8E330}"/>
    <cellStyle name="强调文字颜色 5 2 4 2" xfId="26717" xr:uid="{FAC0EB56-9172-4174-9B91-60BAE37904A4}"/>
    <cellStyle name="强调文字颜色 5 3" xfId="23925" xr:uid="{825BCD33-CFE2-4157-B0A8-CBC11E0ADB42}"/>
    <cellStyle name="强调文字颜色 5 3 2" xfId="26718" xr:uid="{4A356BDD-CF20-4A17-99CB-0781AFF6F608}"/>
    <cellStyle name="强调文字颜色 6" xfId="23926" xr:uid="{F1728110-568C-4DD0-96B4-0A132736E46B}"/>
    <cellStyle name="强调文字颜色 6 2" xfId="23927" xr:uid="{79CA76FE-CB58-4F30-89B2-EFC3D8EFA2AD}"/>
    <cellStyle name="强调文字颜色 6 2 2" xfId="23928" xr:uid="{488DC822-6D53-402E-8DB8-D756E8EE36AA}"/>
    <cellStyle name="强调文字颜色 6 2 2 2" xfId="23929" xr:uid="{6C7FC7BB-25FE-4BBB-843B-86F49D40AB56}"/>
    <cellStyle name="强调文字颜色 6 2 2 2 2" xfId="26719" xr:uid="{593882C7-A717-4192-8BE4-D39B17BFB415}"/>
    <cellStyle name="强调文字颜色 6 2 3" xfId="23930" xr:uid="{F55291D8-C50A-42AA-85A8-D7962E1FD73D}"/>
    <cellStyle name="强调文字颜色 6 2 4" xfId="23931" xr:uid="{11C6415D-F895-486C-A62B-D503144BB61C}"/>
    <cellStyle name="强调文字颜色 6 2 4 2" xfId="26720" xr:uid="{B7E7ECC3-D875-49F6-B25A-31B912301EC0}"/>
    <cellStyle name="强调文字颜色 6 3" xfId="23932" xr:uid="{4D605FE5-F3D7-4222-81DD-CAD7DA1D709C}"/>
    <cellStyle name="强调文字颜色 6 3 2" xfId="26721" xr:uid="{36C30D9A-0D08-4759-9F2E-39F0151837B3}"/>
    <cellStyle name="悪い 2" xfId="22156" xr:uid="{EF2443A6-DA24-4D4D-B503-F942D5C754EF}"/>
    <cellStyle name="悪い 2 2" xfId="22157" xr:uid="{14F72C1A-2662-4C58-BBC7-DA80B9625400}"/>
    <cellStyle name="悪い 3" xfId="22158" xr:uid="{F69CFC77-3FAF-4ADD-8BC7-309C2F61EBE9}"/>
    <cellStyle name="日付yyyy/mm/dd" xfId="23418" xr:uid="{AAB582D0-E29A-4053-A19C-900A3EDDEA07}"/>
    <cellStyle name="昗弨_China Model SOS sched" xfId="23933" xr:uid="{44C12434-4E7F-4D1D-8394-F727876D2138}"/>
    <cellStyle name="昞????僴僀僷乕儕儞僋" xfId="23880" xr:uid="{6875B2DC-2E2C-4821-98BB-72D0C52CACF2}"/>
    <cellStyle name="昞帵嵪傒偺僴僀僷乕儕儞僋" xfId="23881" xr:uid="{36FC69FD-5E54-46E9-BC21-37B989BA9756}"/>
    <cellStyle name="昞帵嵪傒偺僴僀僷乕儕儞僋 2" xfId="23882" xr:uid="{551B1E13-2EB4-4534-A616-9DDE674D0F6A}"/>
    <cellStyle name="昞帵嵪傒偺僴僀僷乕儕儞僋 3" xfId="23883" xr:uid="{51FC5DD4-DCAA-4B7A-9192-D768FDADCEB5}"/>
    <cellStyle name="普通_ 白土" xfId="23852" xr:uid="{868EB01C-7B06-428E-A1EB-ADCCAF1A8632}"/>
    <cellStyle name="未定義" xfId="23857" xr:uid="{7A4D7E40-0105-4997-ABF0-57FB179F8D46}"/>
    <cellStyle name="未定義 2" xfId="23858" xr:uid="{45862A8F-D7B0-4216-893C-4FF0FF477C7B}"/>
    <cellStyle name="未定義 3" xfId="23859" xr:uid="{2C31C772-1480-44FF-9684-1675E8DB4DCB}"/>
    <cellStyle name="本文" xfId="23855" xr:uid="{EA8CF3EA-3703-407A-9CA4-95F14CC8532A}"/>
    <cellStyle name="标题" xfId="23934" xr:uid="{4B1673C4-5416-4F81-9DF2-57EE8427D740}"/>
    <cellStyle name="标题 1" xfId="23935" xr:uid="{4C4DFAC9-A023-4E40-BE77-6CB7189AE9EA}"/>
    <cellStyle name="标题 1 2" xfId="23936" xr:uid="{3EBFB80A-0086-4AC8-A7C5-911892FD7FDB}"/>
    <cellStyle name="标题 1 2 2" xfId="23937" xr:uid="{F59AD8A9-F9EC-4149-AA6E-93F1C0C53B1F}"/>
    <cellStyle name="标题 1 2 2 2" xfId="23938" xr:uid="{47D1EA7C-706C-406A-B9ED-329BBD0E0AAF}"/>
    <cellStyle name="标题 1 2 2 2 2" xfId="26722" xr:uid="{4CF683CE-D18A-43F6-BCC8-EFE5B84682DA}"/>
    <cellStyle name="标题 1 2 3" xfId="23939" xr:uid="{543829EB-99FF-4807-8321-7076CD995F50}"/>
    <cellStyle name="标题 1 2 3 2" xfId="26723" xr:uid="{F24B6303-622E-4607-A31B-3D51CC40E2B5}"/>
    <cellStyle name="标题 1 3" xfId="23940" xr:uid="{1A5A745A-54C4-4190-8A0D-8A32F1A2D397}"/>
    <cellStyle name="标题 1 4" xfId="23941" xr:uid="{3A4E4A2E-308C-4E7F-B5DF-24FBB5B57484}"/>
    <cellStyle name="标题 1 4 2" xfId="26724" xr:uid="{4D4C6EB0-0D55-4392-9F2F-CFD99E1C827A}"/>
    <cellStyle name="标题 2" xfId="23942" xr:uid="{FC3F1B16-F7A6-4146-B6DB-9F5F910A3CF6}"/>
    <cellStyle name="标题 2 2" xfId="23943" xr:uid="{BFC14E0D-D127-4A48-BD44-BB4D1DFDF5C5}"/>
    <cellStyle name="标题 2 2 2" xfId="23944" xr:uid="{FEC781EC-4BB5-4EE7-A292-38FD4105F794}"/>
    <cellStyle name="标题 2 2 2 2" xfId="23945" xr:uid="{945B21A4-9B31-4720-8894-7228B504C194}"/>
    <cellStyle name="标题 2 2 2 2 2" xfId="26725" xr:uid="{5F4B41FA-F4A0-4193-BD22-3406AB1B051A}"/>
    <cellStyle name="标题 2 2 3" xfId="23946" xr:uid="{5F9E0D99-D4D5-4CC4-90E2-1ABF6F5BFFC6}"/>
    <cellStyle name="标题 2 2 3 2" xfId="26726" xr:uid="{EAD1BD84-3667-4E93-82BD-08EB79050767}"/>
    <cellStyle name="标题 2 3" xfId="23947" xr:uid="{D41401FF-E5FC-4284-A68D-119DE6513C98}"/>
    <cellStyle name="标题 2 4" xfId="23948" xr:uid="{102A7DF2-31EA-4D12-8B80-F348D283141B}"/>
    <cellStyle name="标题 2 4 2" xfId="26727" xr:uid="{F225FCF0-B5CD-4A6B-9EBB-57CF28407967}"/>
    <cellStyle name="标题 3" xfId="23949" xr:uid="{55EB0095-4C49-4DF8-8D1A-744026EA22F2}"/>
    <cellStyle name="标题 3 2" xfId="23950" xr:uid="{D154687C-EEA3-4E36-A17C-DDBC1F631685}"/>
    <cellStyle name="标题 3 2 2" xfId="23951" xr:uid="{D18778D4-D932-4F83-9B17-FA64084B3B93}"/>
    <cellStyle name="标题 3 2 2 2" xfId="23952" xr:uid="{7057B48C-8071-40D0-BB13-4B399F80CF47}"/>
    <cellStyle name="标题 3 2 2 2 2" xfId="26728" xr:uid="{1CA543E8-A5DA-409C-A76C-40ED3EDCCC9B}"/>
    <cellStyle name="标题 3 2 3" xfId="23953" xr:uid="{854E433D-F2CA-48E8-9050-FEBF5E1EBCEB}"/>
    <cellStyle name="标题 3 2 4" xfId="23954" xr:uid="{A54D7403-D3EF-4516-9168-F19F15E11905}"/>
    <cellStyle name="标题 3 2 4 2" xfId="26729" xr:uid="{F700ACA1-D346-4D58-9DC0-44D72106F852}"/>
    <cellStyle name="标题 3 3" xfId="23955" xr:uid="{3272C0C7-9144-4C00-B4C6-37F6FB4993CD}"/>
    <cellStyle name="标题 3 3 2" xfId="26730" xr:uid="{2FD3D99F-13F0-434B-9819-BB6D593F2703}"/>
    <cellStyle name="标题 4" xfId="23956" xr:uid="{E0ED6E75-446F-411D-A632-76A3D4DCF09D}"/>
    <cellStyle name="标题 4 2" xfId="23957" xr:uid="{892B84D8-83E9-4C73-8030-256F7C99D929}"/>
    <cellStyle name="标题 4 2 2" xfId="23958" xr:uid="{FBB04FC0-9C97-4B95-9B31-81B0B2E22CB9}"/>
    <cellStyle name="标题 4 2 2 2" xfId="23959" xr:uid="{964F85DB-63CD-465D-BDE8-DC4D9DE97846}"/>
    <cellStyle name="标题 4 2 2 2 2" xfId="26731" xr:uid="{CB2FBE9A-8AAE-4775-940A-CECA73BD64E3}"/>
    <cellStyle name="标题 4 2 3" xfId="23960" xr:uid="{C02EB39C-E771-4A0B-A3F5-E49C8405D8E7}"/>
    <cellStyle name="标题 4 2 4" xfId="23961" xr:uid="{5887E4E3-AF44-4B9B-84FB-DE5F4E81456F}"/>
    <cellStyle name="标题 4 2 4 2" xfId="26732" xr:uid="{192D745F-B254-43E9-B1BB-80929226639E}"/>
    <cellStyle name="标题 4 3" xfId="23962" xr:uid="{CAB5EFCC-2064-41FD-B82F-67E003520897}"/>
    <cellStyle name="标题 4 3 2" xfId="26733" xr:uid="{4053F1C5-05B2-4233-8C18-7EE5F75321F0}"/>
    <cellStyle name="标题 5" xfId="23963" xr:uid="{2EC7F849-BCCF-4CC6-8ABE-3ECF2AD09AA1}"/>
    <cellStyle name="标题 5 2" xfId="23964" xr:uid="{FF81A47E-FD83-4CCF-8E42-F1B777904794}"/>
    <cellStyle name="标题 5 2 2" xfId="23965" xr:uid="{414F18A1-4C63-4DB4-96BA-08E14FF8F967}"/>
    <cellStyle name="标题 5 2 2 2" xfId="26734" xr:uid="{934F0572-B31C-4FBC-9B50-6A5C5533C686}"/>
    <cellStyle name="标题 5 3" xfId="23966" xr:uid="{BAF0771F-4608-424C-B24C-349ECF6A85F1}"/>
    <cellStyle name="标题 5 4" xfId="23967" xr:uid="{FE1F49F9-96E2-4669-B177-B7D15703EDCF}"/>
    <cellStyle name="标题 5 4 2" xfId="26735" xr:uid="{C3D0A054-2FCF-4568-AB4D-01CCD3958892}"/>
    <cellStyle name="标题 6" xfId="23968" xr:uid="{C80DC82D-2F64-49F8-BEA6-F7DF47B258CD}"/>
    <cellStyle name="标题 6 2" xfId="26736" xr:uid="{7B2DD9E5-9D8B-4192-AA00-303F1F00D0CE}"/>
    <cellStyle name="标题_Book1" xfId="23969" xr:uid="{6AE67C42-9CEF-4298-BB98-BFDAD0ADE7A1}"/>
    <cellStyle name="样式 1" xfId="23970" xr:uid="{9D78DB47-2951-4CDF-8C7C-FD701D602659}"/>
    <cellStyle name="样式 1 2" xfId="23971" xr:uid="{325B067E-5DD0-4EA1-B2D1-C666FA0391B7}"/>
    <cellStyle name="样式 1 3" xfId="23972" xr:uid="{D55962B4-1637-4EC4-AA13-DE4A857BAD10}"/>
    <cellStyle name="桁・・・ [0.00]_(Prod parts)" xfId="22333" xr:uid="{E8B76A6A-6BDA-4C11-895B-6CD1E0387F1D}"/>
    <cellStyle name="桁・・・_(Prod parts)" xfId="22334" xr:uid="{DB5754D4-14ED-4D97-9D1D-98E8FEF523B3}"/>
    <cellStyle name="桁区切り [0.00] 2" xfId="22337" xr:uid="{A9D14D4E-1E47-4A33-9104-BACB84F1843D}"/>
    <cellStyle name="桁区切り [0.00] 2 2" xfId="22338" xr:uid="{575F0376-96FC-4D4C-98C0-4803E2EBF29D}"/>
    <cellStyle name="桁区切り [0.00] 2 2 2" xfId="26439" xr:uid="{AD1DEBF4-7CA1-4579-AA36-3A11BC1129EA}"/>
    <cellStyle name="桁区切り [0.00] 2 3" xfId="22339" xr:uid="{3DC3CBFB-4250-4205-A0D3-F6C001AB99F4}"/>
    <cellStyle name="桁区切り [0.00] 2 4" xfId="22340" xr:uid="{3F40E18C-8715-424E-A44A-A0B46F998FB7}"/>
    <cellStyle name="桁区切り [0.00] 2 4 2" xfId="26440" xr:uid="{D3885A16-4211-4265-9363-7C6780B6063B}"/>
    <cellStyle name="桁区切り [0.00] 2 5" xfId="22341" xr:uid="{55E437B6-75EA-4ED9-B746-2A219BAB1FAE}"/>
    <cellStyle name="桁区切り [0.00] 2 6" xfId="22342" xr:uid="{736C6283-B5AA-45DC-B227-829F71D7C2A7}"/>
    <cellStyle name="桁区切り [0.00] 3" xfId="22343" xr:uid="{0C34F365-519C-46C8-8BB6-0DB8C3A4EFCB}"/>
    <cellStyle name="桁区切り [0.00] 3 2" xfId="22344" xr:uid="{716474DA-F5C6-4DFB-8E42-877E6B223574}"/>
    <cellStyle name="桁区切り [0.00] 3 2 2" xfId="22345" xr:uid="{5EA2001D-1946-42B3-8F32-4BA92A865A00}"/>
    <cellStyle name="桁区切り [0.00] 3 2 2 2" xfId="22346" xr:uid="{84CC8E61-1214-4D8E-8FF7-FD5AB678665D}"/>
    <cellStyle name="桁区切り [0.00] 3 2 3" xfId="22347" xr:uid="{8CE5CBE9-7F26-45C2-A222-38DBCD51A061}"/>
    <cellStyle name="桁区切り [0.00] 3 2 3 2" xfId="22348" xr:uid="{E863E83E-0048-44A5-A867-BA65A2661743}"/>
    <cellStyle name="桁区切り [0.00] 3 2 4" xfId="22349" xr:uid="{EC228AD5-C414-480E-B8AA-D04E6F00A0C3}"/>
    <cellStyle name="桁区切り [0.00] 3 3" xfId="22350" xr:uid="{DADF8879-F006-449A-9C92-DDE9FA8C88D4}"/>
    <cellStyle name="桁区切り [0.00] 3 3 2" xfId="22351" xr:uid="{6EFE6E53-36EC-4386-AA3A-79C4922B305D}"/>
    <cellStyle name="桁区切り [0.00] 3 4" xfId="22352" xr:uid="{F08A1951-0526-4F19-9918-7F7779DFAF0D}"/>
    <cellStyle name="桁区切り [0.00] 3 4 2" xfId="26441" xr:uid="{CD8CC5A5-C01C-4353-BA7E-C79485F9945A}"/>
    <cellStyle name="桁区切り [0.00] 3 5" xfId="22353" xr:uid="{84C4A446-5180-4A1B-B2C1-ACE5A7F07373}"/>
    <cellStyle name="桁区切り [0.00] 3 5 2" xfId="22354" xr:uid="{FD53CFFE-AE3B-42E9-BCEF-3E8BF834BD85}"/>
    <cellStyle name="桁区切り [0.00] 3 6" xfId="22355" xr:uid="{95651CB1-095C-4AB9-A7D7-4EEEF2053A4D}"/>
    <cellStyle name="桁区切り [0.00] 3 6 2" xfId="26442" xr:uid="{D7D8823A-5679-4019-B056-CF2C6FD0C8AC}"/>
    <cellStyle name="桁区切り [0.00] 4" xfId="22356" xr:uid="{89E13AB1-9396-467E-B60B-156D0EF38055}"/>
    <cellStyle name="桁区切り [0.00] 4 2" xfId="22357" xr:uid="{D8524964-9D14-4E88-8ED4-1D60BA53EDDD}"/>
    <cellStyle name="桁区切り [0.00] 4 2 2" xfId="26444" xr:uid="{988FAFCB-194B-4283-9369-CBCEA3E78502}"/>
    <cellStyle name="桁区切り [0.00] 4 3" xfId="26443" xr:uid="{546EFFA7-5BF5-4A63-94BD-693EC811F3D9}"/>
    <cellStyle name="桁区切り 10" xfId="22358" xr:uid="{AD65DD64-2A90-4A83-AC29-BE0BB6C94A05}"/>
    <cellStyle name="桁区切り 10 2" xfId="22359" xr:uid="{582D3B16-D3F9-4B89-B55B-A8BB3F48571C}"/>
    <cellStyle name="桁区切り 10 3" xfId="22360" xr:uid="{612F2010-0B81-476D-8810-8051BBF6952B}"/>
    <cellStyle name="桁区切り 10 4" xfId="22361" xr:uid="{3CE2E4DF-B405-4777-B6DB-D149B1888F4B}"/>
    <cellStyle name="桁区切り 10 5" xfId="22362" xr:uid="{E39EDB19-B4B3-4369-B87A-A9E869479F98}"/>
    <cellStyle name="桁区切り 11" xfId="22363" xr:uid="{2A645CDE-5861-4D7F-A3F9-9CA981B2E4C7}"/>
    <cellStyle name="桁区切り 11 2" xfId="22364" xr:uid="{3E6AD7FB-6E97-46E4-8EEE-E8E1BE8311B3}"/>
    <cellStyle name="桁区切り 11 3" xfId="22365" xr:uid="{8C58CA90-A2F5-4985-BEEA-5BD5976EADDD}"/>
    <cellStyle name="桁区切り 11 4" xfId="22366" xr:uid="{5F128090-F930-4A56-B4DA-AC689A7071B6}"/>
    <cellStyle name="桁区切り 11 4 2" xfId="26445" xr:uid="{19D8D878-22C1-4875-9716-B8100BC250D6}"/>
    <cellStyle name="桁区切り 12" xfId="22367" xr:uid="{56F92C24-047B-42FE-8F48-2E7F3E64BF4E}"/>
    <cellStyle name="桁区切り 12 2" xfId="22368" xr:uid="{49A69FD0-B227-4250-8D0A-ACA04899E662}"/>
    <cellStyle name="桁区切り 12 3" xfId="22369" xr:uid="{B9A4BE96-DD08-4C25-BA6E-1704701F0190}"/>
    <cellStyle name="桁区切り 13" xfId="22370" xr:uid="{818651E7-CB60-4A2F-A505-7ED258DFFA59}"/>
    <cellStyle name="桁区切り 13 2" xfId="22371" xr:uid="{F265D8D3-256F-4539-BDAD-78E46AA89137}"/>
    <cellStyle name="桁区切り 13 3" xfId="22372" xr:uid="{0624FF79-77C9-4FD3-8A07-BC26E95BF7E6}"/>
    <cellStyle name="桁区切り 14" xfId="22373" xr:uid="{32A0882C-C452-4055-845C-B01FDE888E3D}"/>
    <cellStyle name="桁区切り 14 2" xfId="22374" xr:uid="{9D1BAE79-1AFA-4E87-8598-FD7ABB1DBE4C}"/>
    <cellStyle name="桁区切り 14 3" xfId="22375" xr:uid="{68A29B07-3E71-450B-956C-27DFBAA46550}"/>
    <cellStyle name="桁区切り 15" xfId="22376" xr:uid="{21FEF46D-0B10-486A-B675-D77779991BEE}"/>
    <cellStyle name="桁区切り 15 2" xfId="22377" xr:uid="{F2FAD1B3-730A-43CC-82D4-C24B0267EBB1}"/>
    <cellStyle name="桁区切り 15 3" xfId="22378" xr:uid="{9D2A8567-A40D-4726-929B-C81BE693302C}"/>
    <cellStyle name="桁区切り 15 3 2" xfId="22379" xr:uid="{1649332C-1E8A-4F5C-85BA-C3D9ADCADC9C}"/>
    <cellStyle name="桁区切り 16" xfId="22380" xr:uid="{E8FD9CA0-BCB9-4B3A-966F-3FFBA7227985}"/>
    <cellStyle name="桁区切り 17" xfId="22381" xr:uid="{B455E8FA-9CDE-4BF8-AF81-B18E9A2BC909}"/>
    <cellStyle name="桁区切り 18" xfId="22382" xr:uid="{9C2115BA-6460-44E7-BAE5-5028B24AE023}"/>
    <cellStyle name="桁区切り 19" xfId="22383" xr:uid="{25E92521-757E-453C-8CAC-5FF2177BE2D9}"/>
    <cellStyle name="桁区切り 2" xfId="35" xr:uid="{AC21E313-E4DF-43AE-AA9F-739FA3C1BFFD}"/>
    <cellStyle name="桁区切り 2 2" xfId="22384" xr:uid="{42D9A2F1-843A-4CB4-87AE-253684AAFF5F}"/>
    <cellStyle name="桁区切り 2 2 2" xfId="22385" xr:uid="{554BE9C7-B5BB-4A6E-BA53-27F24D11ECCB}"/>
    <cellStyle name="桁区切り 2 2 3" xfId="22386" xr:uid="{CC8A72A4-DDF3-49EB-B1E7-AE763FA3E7B4}"/>
    <cellStyle name="桁区切り 2 3" xfId="22387" xr:uid="{7653E8B0-4495-438E-A6CA-B7C9A156E8BA}"/>
    <cellStyle name="桁区切り 2 4" xfId="22388" xr:uid="{421FDDF1-7123-425B-8982-25B4B28363DA}"/>
    <cellStyle name="桁区切り 2 5" xfId="22389" xr:uid="{58F1C1CC-3638-4F83-A87D-55076F2358DF}"/>
    <cellStyle name="桁区切り 2 6" xfId="22390" xr:uid="{4DC8C1CF-4CB7-4FB3-A708-341274C12F01}"/>
    <cellStyle name="桁区切り 2 7" xfId="22391" xr:uid="{E85DB6BD-2610-4647-8DC8-818473AAAFC3}"/>
    <cellStyle name="桁区切り 20" xfId="22392" xr:uid="{24A4D55E-0BF4-4F2C-A3FF-5E78B40F5516}"/>
    <cellStyle name="桁区切り 21" xfId="22393" xr:uid="{687416D2-11B9-4C22-9E81-B43365F8D0AB}"/>
    <cellStyle name="桁区切り 22" xfId="22394" xr:uid="{C4573168-3745-4C68-A997-F086874BB551}"/>
    <cellStyle name="桁区切り 22 2" xfId="22395" xr:uid="{DCE80F84-0F40-48F7-BE2C-4E07564BECB8}"/>
    <cellStyle name="桁区切り 22 2 2" xfId="22396" xr:uid="{7D973171-D17B-48F5-962E-7D83A471F437}"/>
    <cellStyle name="桁区切り 22 3" xfId="22397" xr:uid="{66365BDB-0083-448C-9C87-AE6FA29D4D81}"/>
    <cellStyle name="桁区切り 22 4" xfId="22398" xr:uid="{8FD512F7-2E53-493D-9444-50E45AF9766B}"/>
    <cellStyle name="桁区切り 23" xfId="22399" xr:uid="{94145EE0-86CB-416C-BA0E-B7862B9B0CED}"/>
    <cellStyle name="桁区切り 23 2" xfId="22400" xr:uid="{878FF6CE-5AE3-41AA-93C7-4A1992002222}"/>
    <cellStyle name="桁区切り 23 3" xfId="22401" xr:uid="{3BEB8483-65F5-4CBF-8EF8-2F7D60F2C381}"/>
    <cellStyle name="桁区切り 24" xfId="22402" xr:uid="{7C141638-0F9B-48AA-8237-73F2D698FA19}"/>
    <cellStyle name="桁区切り 25" xfId="22403" xr:uid="{3A97D0E5-1E4A-46CA-9ED8-990A7585657B}"/>
    <cellStyle name="桁区切り 26" xfId="22404" xr:uid="{324387FC-A20E-423F-80E5-6C6EBA35429F}"/>
    <cellStyle name="桁区切り 27" xfId="22405" xr:uid="{6D0E6A6D-5E4E-431F-861C-C70E0FEA05CC}"/>
    <cellStyle name="桁区切り 28" xfId="22406" xr:uid="{B9560DB9-1766-47A0-A8EE-D9E9A12138F6}"/>
    <cellStyle name="桁区切り 29" xfId="22407" xr:uid="{6C6666B1-7CAA-4780-8306-C3B0F2C41BC3}"/>
    <cellStyle name="桁区切り 3" xfId="22408" xr:uid="{A8758D7D-4A7E-4407-96DB-F02F769EE058}"/>
    <cellStyle name="桁区切り 3 2" xfId="22409" xr:uid="{ADB47E7A-B421-4116-B63D-33C95C57817C}"/>
    <cellStyle name="桁区切り 3 2 2" xfId="22410" xr:uid="{1598D29A-FE67-4882-B120-26164BC13154}"/>
    <cellStyle name="桁区切り 3 2 2 2" xfId="22411" xr:uid="{93CA5A75-EE95-4B74-B308-B5EF1D767D83}"/>
    <cellStyle name="桁区切り 3 2 2 3" xfId="22412" xr:uid="{89825F47-5A25-462F-9E7A-2953440A3FFE}"/>
    <cellStyle name="桁区切り 3 2 3" xfId="22413" xr:uid="{1C4053A2-323F-4CE0-87E9-10DFB09888FA}"/>
    <cellStyle name="桁区切り 3 2 4" xfId="22414" xr:uid="{9FCD1568-5CE0-4C1A-ADC5-619307581F21}"/>
    <cellStyle name="桁区切り 3 2 5" xfId="22415" xr:uid="{DA6A1DCC-1ECB-49D9-B024-507D36A00B12}"/>
    <cellStyle name="桁区切り 3 2 5 2" xfId="22416" xr:uid="{CAD8B2E9-D251-47D3-AF73-BAC4C227DF83}"/>
    <cellStyle name="桁区切り 3 2 6" xfId="22417" xr:uid="{2C2E5551-FBB6-4B93-A277-81F72EF50DFC}"/>
    <cellStyle name="桁区切り 3 3" xfId="22418" xr:uid="{9640FB82-C1A3-463C-821E-DC4EF029EEB0}"/>
    <cellStyle name="桁区切り 3 3 2" xfId="22419" xr:uid="{32C0CE7E-C8A7-449A-9300-114FA35073C7}"/>
    <cellStyle name="桁区切り 3 4" xfId="22420" xr:uid="{B984BF3B-6AEE-4109-8617-18BF8E7D7A76}"/>
    <cellStyle name="桁区切り 3 5" xfId="22421" xr:uid="{96D0AA63-CD0E-4629-9490-8B067C4D833E}"/>
    <cellStyle name="桁区切り 3 5 2" xfId="22422" xr:uid="{184C3867-6D1B-401C-9715-B6A49D2353C4}"/>
    <cellStyle name="桁区切り 3 6" xfId="22423" xr:uid="{D3DDBC2C-38B3-4368-9605-1EDE7C5F7CCD}"/>
    <cellStyle name="桁区切り 30" xfId="22424" xr:uid="{B1F5F4D5-A2DF-422F-A139-831AF18FBC13}"/>
    <cellStyle name="桁区切り 31" xfId="22425" xr:uid="{0F44EBD3-C708-4575-B299-7C159A29BC27}"/>
    <cellStyle name="桁区切り 32" xfId="22426" xr:uid="{70AD6116-74D1-4C78-B84C-79380CFF99DA}"/>
    <cellStyle name="桁区切り 33" xfId="22427" xr:uid="{48927E77-2738-476D-A806-72895AE92439}"/>
    <cellStyle name="桁区切り 34" xfId="22428" xr:uid="{52352A3D-D930-4677-953B-3E5B7422BB7F}"/>
    <cellStyle name="桁区切り 35" xfId="22429" xr:uid="{4ACBC8D5-C846-4E3E-8382-B72315DFC20C}"/>
    <cellStyle name="桁区切り 36" xfId="22430" xr:uid="{6F9E0211-F679-45DE-979B-71FD25EF1B57}"/>
    <cellStyle name="桁区切り 37" xfId="22431" xr:uid="{B750A8EB-E962-4596-8257-FD3704F1B6C1}"/>
    <cellStyle name="桁区切り 38" xfId="22432" xr:uid="{DB53A0A9-4DFB-46C8-ACBB-0066C0AE61ED}"/>
    <cellStyle name="桁区切り 39" xfId="22433" xr:uid="{4267DA30-5E80-40E1-A692-09D865BF69E7}"/>
    <cellStyle name="桁区切り 4" xfId="22434" xr:uid="{12AED87E-CF82-4231-8019-F93FE0C796E9}"/>
    <cellStyle name="桁区切り 4 2" xfId="22435" xr:uid="{169761B4-4E2F-4C87-8DDC-70FBE82B2AFF}"/>
    <cellStyle name="桁区切り 4 2 2" xfId="22436" xr:uid="{003AC2BF-5374-427D-86A2-953C138C9132}"/>
    <cellStyle name="桁区切り 4 2 2 2" xfId="22437" xr:uid="{81DFED73-38F8-45D2-A5D4-6391C95DBD7E}"/>
    <cellStyle name="桁区切り 4 2 3" xfId="22438" xr:uid="{02929541-D5D1-4D65-8A93-9E8016F27F74}"/>
    <cellStyle name="桁区切り 4 2 3 2" xfId="22439" xr:uid="{20EED91B-62D3-4E32-830D-215BE8F42A13}"/>
    <cellStyle name="桁区切り 4 2 4" xfId="22440" xr:uid="{D7C97BD7-74AC-4E1D-8C37-40BCF9A31C2B}"/>
    <cellStyle name="桁区切り 4 3" xfId="22441" xr:uid="{C1C33DE7-2ADE-4C77-ADCE-77A7F91F744B}"/>
    <cellStyle name="桁区切り 4 3 2" xfId="22442" xr:uid="{EE044653-ADE6-434E-98D9-C5477F09FB99}"/>
    <cellStyle name="桁区切り 4 4" xfId="22443" xr:uid="{985E5240-E55C-4C55-999E-E8A2160BD694}"/>
    <cellStyle name="桁区切り 4 4 2" xfId="26446" xr:uid="{9689E3E3-9B1A-4252-9664-DEA87098D783}"/>
    <cellStyle name="桁区切り 4 5" xfId="22444" xr:uid="{BB21C84D-5B96-4751-840F-6C52D9684D0E}"/>
    <cellStyle name="桁区切り 4 6" xfId="22445" xr:uid="{20C69D3E-43EB-45BA-87F1-40B493E52092}"/>
    <cellStyle name="桁区切り 4 7" xfId="22446" xr:uid="{73B5024C-5180-444C-BF7A-3A9AAF640FCA}"/>
    <cellStyle name="桁区切り 4 7 2" xfId="22447" xr:uid="{251FDD0B-60B7-43BB-8EAB-DF3247ABAC9D}"/>
    <cellStyle name="桁区切り 40" xfId="22448" xr:uid="{F7FE7F5A-BEE7-4EF6-9D22-0B560281CC51}"/>
    <cellStyle name="桁区切り 40 2" xfId="22449" xr:uid="{19D58322-3879-45CC-8882-8AD3631F99D2}"/>
    <cellStyle name="桁区切り 41" xfId="22450" xr:uid="{61913985-3FCA-483C-B637-0D09E1F2EE4B}"/>
    <cellStyle name="桁区切り 42" xfId="22451" xr:uid="{478C4EFB-D863-438F-9105-E016377E5577}"/>
    <cellStyle name="桁区切り 42 2" xfId="22452" xr:uid="{5CB8B6E1-925B-41A4-942D-5BA220ECA9E9}"/>
    <cellStyle name="桁区切り 43" xfId="22453" xr:uid="{2D96FD47-DF46-4A93-93B5-02FF7E37085F}"/>
    <cellStyle name="桁区切り 44" xfId="22454" xr:uid="{7F602132-D7C6-4157-A9CA-B91AD0B5C0B3}"/>
    <cellStyle name="桁区切り 45" xfId="22455" xr:uid="{4D4DF70D-E1ED-4C21-A4CA-960791E05C5D}"/>
    <cellStyle name="桁区切り 46" xfId="22456" xr:uid="{4089FE3F-DE59-4E70-AC75-B2D8F64A6D04}"/>
    <cellStyle name="桁区切り 47" xfId="22457" xr:uid="{91B92176-42D9-4A3C-B3F9-965F5669CE47}"/>
    <cellStyle name="桁区切り 48" xfId="22458" xr:uid="{DDF6F3DF-21A6-49C6-A5BE-20CBB1DBC961}"/>
    <cellStyle name="桁区切り 49" xfId="22459" xr:uid="{1A5C6156-8479-4526-865F-5E77A90FC415}"/>
    <cellStyle name="桁区切り 5" xfId="22460" xr:uid="{58504979-C63D-494B-B337-AEFC1CB1E2D8}"/>
    <cellStyle name="桁区切り 5 2" xfId="22461" xr:uid="{AF328743-745E-4DE2-89D9-5D87E8385893}"/>
    <cellStyle name="桁区切り 5 3" xfId="22462" xr:uid="{4B279EAC-2A3B-48BC-800D-D9FE57CA2972}"/>
    <cellStyle name="桁区切り 5 3 2" xfId="22463" xr:uid="{618E866E-7F65-456A-83ED-F35D406754DC}"/>
    <cellStyle name="桁区切り 5 3 3" xfId="22464" xr:uid="{545D32EE-B60E-4D89-A2D7-651EEA9CF27F}"/>
    <cellStyle name="桁区切り 50" xfId="22465" xr:uid="{E96390FA-2A2E-4039-892E-9DFBA7EEABCE}"/>
    <cellStyle name="桁区切り 51" xfId="22466" xr:uid="{8AFF7880-CB2C-4FBE-8591-0CB6226B8B46}"/>
    <cellStyle name="桁区切り 52" xfId="22467" xr:uid="{AA467348-3519-4103-BEBF-F80264E1E5A9}"/>
    <cellStyle name="桁区切り 53" xfId="22468" xr:uid="{FA7B7F07-8BA2-4CC2-B135-05829FAB9FBA}"/>
    <cellStyle name="桁区切り 54" xfId="22469" xr:uid="{804ABE2C-80F3-4C08-9502-743F79D07230}"/>
    <cellStyle name="桁区切り 55" xfId="22470" xr:uid="{688D7B18-1D81-4BBE-958F-8AA3E0CD8737}"/>
    <cellStyle name="桁区切り 56" xfId="22471" xr:uid="{12B18C91-50E7-4076-9D81-EB9A82D338E0}"/>
    <cellStyle name="桁区切り 57" xfId="22472" xr:uid="{02A2132E-3CAB-4342-978B-7D5AC46348F7}"/>
    <cellStyle name="桁区切り 58" xfId="22473" xr:uid="{2BC8C408-5A45-4F55-84DC-CB5A6FD04FB5}"/>
    <cellStyle name="桁区切り 59" xfId="22474" xr:uid="{139FCC77-9C1E-45C8-8AE0-6EE937E84332}"/>
    <cellStyle name="桁区切り 6" xfId="22475" xr:uid="{64BDE498-AC43-498E-89F6-CE0972E26BF0}"/>
    <cellStyle name="桁区切り 6 2" xfId="22476" xr:uid="{BC255B70-CB1A-4426-B5E1-F02F91789C27}"/>
    <cellStyle name="桁区切り 6 3" xfId="22477" xr:uid="{F7778A54-F348-4C32-87BA-57C425DD2E5D}"/>
    <cellStyle name="桁区切り 6 4" xfId="22478" xr:uid="{9CE135C3-0E69-4D75-B81B-CE5CF42E1D49}"/>
    <cellStyle name="桁区切り 60" xfId="22479" xr:uid="{F6D23C98-CD52-4DA9-8428-24DE163848EA}"/>
    <cellStyle name="桁区切り 61" xfId="22480" xr:uid="{0DB42E23-9885-422C-A7B6-36EA821DBDEE}"/>
    <cellStyle name="桁区切り 62" xfId="22481" xr:uid="{BD3EE681-02E1-4548-8931-43B0DBA334C9}"/>
    <cellStyle name="桁区切り 63" xfId="22482" xr:uid="{B8FB2FA4-C31E-445C-84CA-F0155CBE3FC2}"/>
    <cellStyle name="桁区切り 64" xfId="22483" xr:uid="{E2C5A70E-E357-45D1-B90A-7257CE9A7239}"/>
    <cellStyle name="桁区切り 65" xfId="22484" xr:uid="{B9C28AAB-599D-4155-BD58-AF39D2F1F8A2}"/>
    <cellStyle name="桁区切り 66" xfId="22485" xr:uid="{0B24CC81-8966-449D-85D8-17453AA8A147}"/>
    <cellStyle name="桁区切り 67" xfId="22486" xr:uid="{0037BBDF-B694-4C5A-815E-CCE5AB5BEE1F}"/>
    <cellStyle name="桁区切り 68" xfId="22487" xr:uid="{742BD2DB-A646-4AD2-9564-37AA39D33A0C}"/>
    <cellStyle name="桁区切り 69" xfId="22488" xr:uid="{8F43CB12-0332-46DF-B657-0C61B016E7E5}"/>
    <cellStyle name="桁区切り 7" xfId="22489" xr:uid="{05F554A2-9C18-4F41-BADC-BFDB5DFC31AC}"/>
    <cellStyle name="桁区切り 7 2" xfId="22490" xr:uid="{0C0CBF22-802B-4AA8-99F4-3234C0C86BD2}"/>
    <cellStyle name="桁区切り 7 3" xfId="22491" xr:uid="{D968015F-CE1F-4D1D-8074-208BB90F7A74}"/>
    <cellStyle name="桁区切り 7 4" xfId="22492" xr:uid="{EB9346EC-BA6C-431E-A4AC-4A74B1D6C246}"/>
    <cellStyle name="桁区切り 7 5" xfId="22493" xr:uid="{2680958F-26C2-471E-B0AA-66C687CBCD72}"/>
    <cellStyle name="桁区切り 7 6" xfId="22494" xr:uid="{A8678698-5B4C-4981-BE01-02EC82515F45}"/>
    <cellStyle name="桁区切り 70" xfId="22495" xr:uid="{72330CBD-8B6A-4079-8DBD-B1EA44D3D0D3}"/>
    <cellStyle name="桁区切り 71" xfId="22496" xr:uid="{6A4FD0A0-F940-4E63-A4B3-6F884CC4EBA9}"/>
    <cellStyle name="桁区切り 72" xfId="22497" xr:uid="{9506A25B-7794-47AF-A361-D8E9CFEB1BA1}"/>
    <cellStyle name="桁区切り 72 2" xfId="22498" xr:uid="{93BECAF5-43DB-4091-B796-1062B0EC02CD}"/>
    <cellStyle name="桁区切り 73" xfId="22499" xr:uid="{70AD7441-BC0F-49D1-8EC1-E3AA314FCAA1}"/>
    <cellStyle name="桁区切り 74" xfId="22500" xr:uid="{FE3C6499-B739-430B-B81F-4B44E20782E4}"/>
    <cellStyle name="桁区切り 75" xfId="25424" xr:uid="{AD0D45B2-2FDB-4FA0-89E8-6418D9369CA0}"/>
    <cellStyle name="桁区切り 75 2" xfId="25440" xr:uid="{83448E8E-BF59-4E19-8109-DF109A2133AC}"/>
    <cellStyle name="桁区切り 75 2 2" xfId="27425" xr:uid="{EDD17E06-C72F-487C-8399-E9D83F6377B7}"/>
    <cellStyle name="桁区切り 75 3" xfId="25445" xr:uid="{D1F120EC-5535-4D1D-AE60-81BB7291CB69}"/>
    <cellStyle name="桁区切り 8" xfId="22501" xr:uid="{53061985-046B-4117-A786-7034457A8949}"/>
    <cellStyle name="桁区切り 8 2" xfId="22502" xr:uid="{B49075B5-57BA-4737-A4D4-3D49D9C55F99}"/>
    <cellStyle name="桁区切り 8 3" xfId="22503" xr:uid="{F8E61957-FB2D-46C8-82B2-EACEE7882E98}"/>
    <cellStyle name="桁区切り 8 3 2" xfId="22504" xr:uid="{1D1C4E53-994A-4B41-829F-4CB8E5A0C4AA}"/>
    <cellStyle name="桁区切り 8 4" xfId="22505" xr:uid="{F2FA346B-A457-452D-942E-DE462283756C}"/>
    <cellStyle name="桁区切り 9" xfId="22506" xr:uid="{461A25C0-4519-4AC2-8038-1B0884D97D96}"/>
    <cellStyle name="桁区切り 9 2" xfId="22507" xr:uid="{CBB4B76E-0494-44A4-8193-7D934D1379AE}"/>
    <cellStyle name="桁区切り 9 2 2" xfId="22508" xr:uid="{889EB121-D59F-4B86-9010-D8009010A326}"/>
    <cellStyle name="桁区切り 9 3" xfId="22509" xr:uid="{766AA22C-FC6E-4841-859D-981821DCA89E}"/>
    <cellStyle name="桁区切り 9 4" xfId="22510" xr:uid="{A3FFAF3D-F688-4CF2-B637-66A372256241}"/>
    <cellStyle name="桁区切り_FY09 COP by MC(Sample) 2" xfId="32" xr:uid="{44B4A13D-2698-4D7B-9C3A-9D5852DAF31B}"/>
    <cellStyle name="桁蟻唇Ｆ [0.00]_11th Dec. (2)" xfId="22335" xr:uid="{C43F0DDC-C1BB-4783-82C1-933FA76A3135}"/>
    <cellStyle name="桁蟻唇Ｆ_11th Dec. (2)" xfId="22336" xr:uid="{EBEFC27C-68C4-4D37-B870-A3C98EF5A0A3}"/>
    <cellStyle name="检查单元格" xfId="23973" xr:uid="{F07ED7BE-5BC5-48E4-B6F0-DEEB1707C0E9}"/>
    <cellStyle name="检查单元格 2" xfId="23974" xr:uid="{0E785883-694B-4D01-A3D3-F359DFFBF3E1}"/>
    <cellStyle name="检查单元格 2 2" xfId="23975" xr:uid="{50532CAA-19EA-46B8-B3B2-B2D30477D7AF}"/>
    <cellStyle name="检查单元格 2 2 2" xfId="23976" xr:uid="{580F60AE-E613-47BF-9D90-57A56F4D7536}"/>
    <cellStyle name="检查单元格 2 2 2 2" xfId="26737" xr:uid="{7877AEA2-6111-4A09-A4CA-8738B42D95A1}"/>
    <cellStyle name="检查单元格 2 3" xfId="23977" xr:uid="{4A20F27B-8E92-464B-9E8A-7061DC29A58E}"/>
    <cellStyle name="检查单元格 2 4" xfId="23978" xr:uid="{7F8C763E-1FB0-4C2D-9176-EF8095B0F708}"/>
    <cellStyle name="检查单元格 2 4 2" xfId="26738" xr:uid="{C463ABD9-AD14-4462-B9F4-1043B7623304}"/>
    <cellStyle name="检查单元格 3" xfId="23979" xr:uid="{4808F48B-AA40-4CB0-A424-168A223A883F}"/>
    <cellStyle name="检查单元格 3 2" xfId="26739" xr:uid="{29A8640E-45D8-4411-8499-6E7EFC327EFE}"/>
    <cellStyle name="標?_Read me first" xfId="23675" xr:uid="{0349909A-72D2-4096-B9AE-EE271A7A345F}"/>
    <cellStyle name="標・_国ZY化リスト" xfId="23676" xr:uid="{A530D36B-AA7B-4E62-8502-85AA9970A088}"/>
    <cellStyle name="標準 10" xfId="23677" xr:uid="{98E51E95-2A86-4A85-AEA7-B78B2BE0CEC4}"/>
    <cellStyle name="標準 10 2" xfId="23678" xr:uid="{1DFF5E53-A19C-4522-84FC-71E96C0B59C9}"/>
    <cellStyle name="標準 10 2 2" xfId="23679" xr:uid="{9478D70B-CF1A-4140-B531-55DCB1256795}"/>
    <cellStyle name="標準 10 2 2 2" xfId="23680" xr:uid="{8E147E6A-2FB7-458C-8DF5-BB96CEEFF47B}"/>
    <cellStyle name="標準 10 2 3" xfId="23681" xr:uid="{6A730063-A6FC-4C06-AF73-1FA452AEB35D}"/>
    <cellStyle name="標準 10 3" xfId="23682" xr:uid="{C1FF0DFC-3D2B-4488-8175-F4FBE4DFACC5}"/>
    <cellStyle name="標準 10 4" xfId="23683" xr:uid="{776786FB-182E-4CCB-AA34-13A4CDE35FCD}"/>
    <cellStyle name="標準 11" xfId="23684" xr:uid="{AB5810D4-2F70-43F1-9DCE-64A779D4AB66}"/>
    <cellStyle name="標準 11 2" xfId="23685" xr:uid="{5FDCAA8D-B3D5-4FE1-AA12-BE8D3B7561D8}"/>
    <cellStyle name="標準 11 3" xfId="23686" xr:uid="{439D952E-0656-43B1-BE23-92248FC940FF}"/>
    <cellStyle name="標準 12" xfId="23687" xr:uid="{6D12CEE0-3E2A-469B-BB99-66824C32DDAA}"/>
    <cellStyle name="標準 12 2" xfId="23688" xr:uid="{368ECCC9-E6F4-4874-A61D-54AF2477CA4C}"/>
    <cellStyle name="標準 12 3" xfId="23689" xr:uid="{59751EA0-119B-40E7-8672-EA2E295AE1EE}"/>
    <cellStyle name="標準 13" xfId="23690" xr:uid="{158616B8-0F15-4B2C-9E0D-4A86AAECFF96}"/>
    <cellStyle name="標準 13 2" xfId="23691" xr:uid="{3535465A-263C-4F66-B306-AF2280639F10}"/>
    <cellStyle name="標準 13 2 2" xfId="23692" xr:uid="{D0BE1E62-B363-4F8D-9535-54D80ADCEA20}"/>
    <cellStyle name="標準 13 3" xfId="23693" xr:uid="{5897F3F2-CF37-4E3F-B96C-CEE5FE52EC97}"/>
    <cellStyle name="標準 13 4" xfId="23694" xr:uid="{EC3923D8-DF9D-4BB1-8598-7FC51739DD0E}"/>
    <cellStyle name="標準 13 5" xfId="23695" xr:uid="{3888C9CD-B573-431E-AB79-BFB349832DF9}"/>
    <cellStyle name="標準 14" xfId="23696" xr:uid="{EF21B786-277D-46F3-B98F-DC95AFE2EC91}"/>
    <cellStyle name="標準 14 2" xfId="23697" xr:uid="{6654628F-338A-4C65-AFED-896FD019D165}"/>
    <cellStyle name="標準 14 2 2" xfId="23698" xr:uid="{E2FE6FA3-8924-4B3F-A599-E72C1C2A9917}"/>
    <cellStyle name="標準 14 3" xfId="23699" xr:uid="{5A92F4CC-DE29-4705-AFAA-339CBA5D32F6}"/>
    <cellStyle name="標準 14 4" xfId="23700" xr:uid="{DC79EF5B-1FC6-4A9B-BE41-BD29B1275C34}"/>
    <cellStyle name="標準 15" xfId="23701" xr:uid="{18A294B1-682D-412F-8F1A-F64F1C86C44D}"/>
    <cellStyle name="標準 15 2" xfId="23702" xr:uid="{D313286C-A05E-452A-BCEA-14C5246FBA56}"/>
    <cellStyle name="標準 16" xfId="23703" xr:uid="{6E3EC2E7-D20A-4105-A75B-A518E2E52088}"/>
    <cellStyle name="標準 16 2" xfId="23704" xr:uid="{DD612BB2-F047-4191-B77C-5195F5AA8098}"/>
    <cellStyle name="標準 17" xfId="23705" xr:uid="{7C128E8C-6569-452B-A901-2B1B1DA8B8C9}"/>
    <cellStyle name="標準 17 2" xfId="23706" xr:uid="{0B815993-2DF7-454C-8B6B-F08D73BD9D59}"/>
    <cellStyle name="標準 18" xfId="23707" xr:uid="{750484FC-22F2-46F8-85E1-6B931E5A8077}"/>
    <cellStyle name="標準 19" xfId="23708" xr:uid="{B3205495-B344-4E7D-B14B-A6752975EBDC}"/>
    <cellStyle name="標準 2" xfId="5" xr:uid="{5992E077-6888-4AE7-888C-454E72F767FE}"/>
    <cellStyle name="標準 2 2" xfId="4" xr:uid="{C8D1C887-4AB1-491E-B924-95B10FF11AFA}"/>
    <cellStyle name="標準 2 2 2" xfId="23710" xr:uid="{BCE32AE5-6865-4708-82BE-97C8A4F10322}"/>
    <cellStyle name="標準 2 2 2 2" xfId="23711" xr:uid="{C24A0326-7CE1-424D-A032-9847BE383E87}"/>
    <cellStyle name="標準 2 2 2 2 2" xfId="23712" xr:uid="{9A1E4447-B367-4B63-8D94-CE004CFE7FB7}"/>
    <cellStyle name="標準 2 2 2 3" xfId="23713" xr:uid="{064B18BF-3FD8-49F7-87CD-AD14178DAA81}"/>
    <cellStyle name="標準 2 2 3" xfId="23714" xr:uid="{CB12AEB8-F7D4-481A-8B4D-834723A2EB5A}"/>
    <cellStyle name="標準 2 2 4" xfId="23715" xr:uid="{188A8B35-385B-451E-BE8E-DC84ECB1475A}"/>
    <cellStyle name="標準 2 2 5" xfId="23716" xr:uid="{1F8BF999-A242-4A8E-AFB1-EE3C97880B4B}"/>
    <cellStyle name="標準 2 2 6" xfId="23709" xr:uid="{FAB5F97F-633A-4579-95A5-744B47520CA3}"/>
    <cellStyle name="標準 2 3" xfId="23717" xr:uid="{BC87F4A6-940D-4865-BB26-80FABCCF0A36}"/>
    <cellStyle name="標準 2 3 2" xfId="23718" xr:uid="{06F2BC70-018F-4F78-9BE1-2CDA0A791083}"/>
    <cellStyle name="標準 2 3 3" xfId="23719" xr:uid="{89F81314-6F5E-47FB-BF7F-375700BC00ED}"/>
    <cellStyle name="標準 2 3 4" xfId="23720" xr:uid="{2C1E6FCA-C3C0-4C53-9896-EACF04E8960C}"/>
    <cellStyle name="標準 2 4" xfId="23721" xr:uid="{C4F4B341-D817-41B9-BD1D-0C3B9753F4EC}"/>
    <cellStyle name="標準 2 5" xfId="23722" xr:uid="{9767BC4A-FCF8-497A-B03B-0FABF30A236B}"/>
    <cellStyle name="標準 2 6" xfId="23723" xr:uid="{EAA95695-8700-44B2-A053-60F58F79DE7D}"/>
    <cellStyle name="標準 2 7" xfId="31" xr:uid="{CE664C17-F784-4067-A1C0-E2C76A740C02}"/>
    <cellStyle name="標準 2_Fcst#2　FY13台数諸元表13 9 19" xfId="23724" xr:uid="{78956C8B-D90F-4FC6-86BA-B156204DC0B6}"/>
    <cellStyle name="標準 20" xfId="23725" xr:uid="{F41141EC-4485-4751-A635-9691F82B2BAB}"/>
    <cellStyle name="標準 21" xfId="23726" xr:uid="{DFCE6C78-0B36-4549-BE47-4BC40195E783}"/>
    <cellStyle name="標準 22" xfId="23727" xr:uid="{43EE7397-142A-44CC-9083-CC51AD2AAD93}"/>
    <cellStyle name="標準 23" xfId="23728" xr:uid="{32BFB2B0-B31E-4D30-98B1-6BDE23F5D925}"/>
    <cellStyle name="標準 24" xfId="23729" xr:uid="{5531D63E-4F30-462D-9F3E-BB1FB171473B}"/>
    <cellStyle name="標準 3" xfId="11" xr:uid="{70CB15B0-7367-4841-8EBB-B0A3E2D43F60}"/>
    <cellStyle name="標準 3 2" xfId="12" xr:uid="{534A2767-9B79-4793-8497-41C5D540C9F0}"/>
    <cellStyle name="標準 3 2 2" xfId="23732" xr:uid="{272F7645-CFCC-4A42-B1DC-E86024A0FA4F}"/>
    <cellStyle name="標準 3 2 3" xfId="23733" xr:uid="{80BAE9E3-D81C-451D-9C24-AF8C6D5EBA96}"/>
    <cellStyle name="標準 3 2 4" xfId="23734" xr:uid="{064EBD46-E520-4021-8D64-E07995FC50E2}"/>
    <cellStyle name="標準 3 2 5" xfId="25443" xr:uid="{AA44EB65-5AD6-4BA0-837B-3E53E3E54378}"/>
    <cellStyle name="標準 3 2 6" xfId="23731" xr:uid="{1D1D7B5D-071C-4B94-B771-99D9D57587FF}"/>
    <cellStyle name="標準 3 2 7" xfId="25441" xr:uid="{3FEBB1DC-C8F3-45D0-8BD2-102F8373F33F}"/>
    <cellStyle name="標準 3 2 7 2" xfId="25444" xr:uid="{F8A77102-6A1A-464A-AF45-AB9FAE468BB6}"/>
    <cellStyle name="標準 3 3" xfId="23735" xr:uid="{5ECBE43B-049F-4B2C-BDD5-727148663FD2}"/>
    <cellStyle name="標準 3 4" xfId="23736" xr:uid="{59110E94-2509-42B4-B973-38FFFDEBDEEC}"/>
    <cellStyle name="標準 3 5" xfId="13" xr:uid="{36ED0E07-129B-4C7D-9471-272EC02AB456}"/>
    <cellStyle name="標準 3 6" xfId="23738" xr:uid="{10E3F1FE-71E5-4FF0-9C2A-33712785FEF7}"/>
    <cellStyle name="標準 3 6 2" xfId="26702" xr:uid="{2F515B66-1D80-4CD3-97C9-285139FF1E54}"/>
    <cellStyle name="標準 3 7" xfId="23739" xr:uid="{B23EF523-D37A-4C42-8307-38FA916A70FE}"/>
    <cellStyle name="標準 3 8" xfId="23730" xr:uid="{89A9E581-9813-4D2C-B187-71A783DBCE98}"/>
    <cellStyle name="標準 4" xfId="23740" xr:uid="{0EB158D2-DB13-46EE-863B-AF74C3C3771F}"/>
    <cellStyle name="標準 4 2" xfId="23741" xr:uid="{8955C399-0E24-4B68-968A-683DFA68F40A}"/>
    <cellStyle name="標準 4 2 2" xfId="23742" xr:uid="{89632B9B-5EA5-4DF1-BCA9-F74306E19006}"/>
    <cellStyle name="標準 4 2 3" xfId="23743" xr:uid="{E9EDDD7A-65F5-43E3-99C2-3DDF772A077F}"/>
    <cellStyle name="標準 4 3" xfId="23744" xr:uid="{BEC72E1D-DAD4-4B2D-80EF-545663D45DBA}"/>
    <cellStyle name="標準 4 3 2" xfId="23745" xr:uid="{DB40BC4F-7D51-4C2A-A22A-996636290400}"/>
    <cellStyle name="標準 4 4" xfId="23746" xr:uid="{57CDD14A-396D-4699-A064-EC8A267927D8}"/>
    <cellStyle name="標準 4 5" xfId="23747" xr:uid="{D1EA1999-4DB8-4844-995B-B97A0C901A82}"/>
    <cellStyle name="標準 4_FY13 Budget Simulation Excel PKG for Auto by company" xfId="23748" xr:uid="{243DC019-8E31-4527-B989-065C384A3289}"/>
    <cellStyle name="標準 5" xfId="23749" xr:uid="{34F3E592-27D7-4352-A720-D841A402C807}"/>
    <cellStyle name="標準 5 2" xfId="23750" xr:uid="{7CA0912B-4046-47C7-A06D-FA0FC3DE2A50}"/>
    <cellStyle name="標準 5 2 2" xfId="23751" xr:uid="{D4B172D9-8235-49AA-9F81-82A170198D13}"/>
    <cellStyle name="標準 5 2 3" xfId="23752" xr:uid="{D15412A8-5639-4672-B5A2-D8989494E019}"/>
    <cellStyle name="標準 5 2 4" xfId="23753" xr:uid="{E99DD819-95F8-4CD4-8170-0571B19F2410}"/>
    <cellStyle name="標準 5 3" xfId="23754" xr:uid="{991B5B6C-52AE-4A7F-937F-D2499F67EEA7}"/>
    <cellStyle name="標準 5 3 2" xfId="23755" xr:uid="{EE40511A-3522-4C36-93E0-42CFFB425F0C}"/>
    <cellStyle name="標準 5 4" xfId="23756" xr:uid="{180C66AE-7767-4402-8883-A343765BDBFC}"/>
    <cellStyle name="標準 5 5" xfId="23757" xr:uid="{5B327978-544E-4AD1-A6BA-19CA7C00A00E}"/>
    <cellStyle name="標準 5 6" xfId="23758" xr:uid="{A0EDAB89-C9E7-4C31-AED2-16A8294EE263}"/>
    <cellStyle name="標準 6" xfId="23759" xr:uid="{D21E0AD3-36CB-41DF-A3F9-F24302D8B590}"/>
    <cellStyle name="標準 6 2" xfId="23760" xr:uid="{5A725262-937E-4D9A-9254-E65E7241F597}"/>
    <cellStyle name="標準 6 3" xfId="23761" xr:uid="{279BE80D-FBF4-4A1B-B5FE-41E0B874849B}"/>
    <cellStyle name="標準 6 4" xfId="23762" xr:uid="{FA314702-7A1F-4937-A2FE-E1CDA494A65E}"/>
    <cellStyle name="標準 6 5" xfId="23763" xr:uid="{0A7AEC17-5049-4186-9AAF-F9C3752A8D3D}"/>
    <cellStyle name="標準 6 6" xfId="23764" xr:uid="{E85EA9F1-8AD2-4EAC-A976-BE694FDE01B1}"/>
    <cellStyle name="標準 7" xfId="23765" xr:uid="{45FC0D4E-678E-497A-B0E1-83AD14544CB9}"/>
    <cellStyle name="標準 7 2" xfId="23766" xr:uid="{14997A45-C7CD-49B4-847B-491FA8D7897E}"/>
    <cellStyle name="標準 8" xfId="23767" xr:uid="{6FA81F72-4009-496B-ADE9-E1466EE214CB}"/>
    <cellStyle name="標準 8 2" xfId="23768" xr:uid="{CD183A91-10C9-448F-93FE-B9A49F830DA7}"/>
    <cellStyle name="標準 8 2 2" xfId="23769" xr:uid="{5E901167-02BC-422C-9160-FEE9DF766171}"/>
    <cellStyle name="標準 8 3" xfId="23770" xr:uid="{8DDE7892-7854-4259-B7BE-19F91C340FF7}"/>
    <cellStyle name="標準 8 3 2 2" xfId="23771" xr:uid="{D52DD3CF-E414-49C3-AF87-5CD9E689245C}"/>
    <cellStyle name="標準 9" xfId="23772" xr:uid="{E8308D3C-C718-4B2A-8D7D-B8F31EB52C80}"/>
    <cellStyle name="標準 9 2" xfId="23773" xr:uid="{E4D7A182-01E2-4474-ACBE-3FD89F19A05A}"/>
    <cellStyle name="標準 9 2 2" xfId="23774" xr:uid="{D014494D-7F40-4092-B58E-ED4838ACD106}"/>
    <cellStyle name="標準 9 2 2 2" xfId="23775" xr:uid="{3F4B3D0A-DAA7-48FE-B6F7-22E01BE02033}"/>
    <cellStyle name="標準 9 2 3" xfId="23776" xr:uid="{0852B8AC-6880-4E0A-A075-3B3974A1255A}"/>
    <cellStyle name="標準 9 3" xfId="23777" xr:uid="{402C0365-421D-405A-8E92-5BB2D3D45F58}"/>
    <cellStyle name="標準 9 3 2" xfId="23778" xr:uid="{87493258-5D6C-4EAC-8AFB-DAA1691AD375}"/>
    <cellStyle name="標準 9 4" xfId="23779" xr:uid="{1F80F1D2-83F4-4AF7-935A-2F5D6FAFAA40}"/>
    <cellStyle name="標準 9 5" xfId="23780" xr:uid="{2607F47B-77A7-4B1C-98E5-8CB111A01D6E}"/>
    <cellStyle name="標準(本明朝)" xfId="23785" xr:uid="{62B238DD-54F8-45CD-B807-5E6A72A8F18E}"/>
    <cellStyle name="標準(本明朝) 2" xfId="23786" xr:uid="{34E32A07-F2FC-47CE-995A-3D307D457249}"/>
    <cellStyle name="標準(本明朝) 3" xfId="23787" xr:uid="{8DFB68E7-5402-4AC3-8EFB-E882286025F9}"/>
    <cellStyle name="標準(細明朝)" xfId="23781" xr:uid="{F3DD9A6E-E11C-425B-B962-185BFDD5D02C}"/>
    <cellStyle name="標準(細明朝) 2" xfId="23782" xr:uid="{B3C7CCAC-A499-4C08-B705-6073163E0A1F}"/>
    <cellStyle name="標準(細明朝) 2 2" xfId="23783" xr:uid="{787FE778-F602-4826-B61E-72637CAE7D41}"/>
    <cellStyle name="標準(細明朝) 3" xfId="23784" xr:uid="{425764AD-9C48-4BEA-B179-E2A87584E907}"/>
    <cellStyle name="標準_Fixed 0904 Master" xfId="10" xr:uid="{A295B4EE-3BFE-40F7-8005-7C6ADB951B76}"/>
    <cellStyle name="標準_FY07 Bud Reply#1 as of Dec.22" xfId="7" xr:uid="{AF8F3856-D478-4761-AD08-2C0E6F8AE4E0}"/>
    <cellStyle name="標準1" xfId="23788" xr:uid="{E549ACEB-0A20-470E-85A1-916BAE1334FC}"/>
    <cellStyle name="標準-NDS" xfId="23789" xr:uid="{568078F1-349C-40CF-9A08-96A1AFA509F5}"/>
    <cellStyle name="標準事業検討" xfId="23790" xr:uid="{DF6B063C-4835-4B0C-AFE3-5F41DE4596F3}"/>
    <cellStyle name="汇总" xfId="23980" xr:uid="{43EB8E4E-BC10-43DE-8480-27998E6C3283}"/>
    <cellStyle name="汇总 10" xfId="23981" xr:uid="{CEED1C91-1A49-4B0F-9EB9-A280989FB344}"/>
    <cellStyle name="汇总 10 2" xfId="23982" xr:uid="{E686D740-5D15-4DA6-AFA4-E73C44F51A5A}"/>
    <cellStyle name="汇总 10 2 2" xfId="26740" xr:uid="{3B972B14-B2D0-48BE-9CF2-EC026D2C3287}"/>
    <cellStyle name="汇总 10 2 2 2" xfId="38532" xr:uid="{5CCA55CB-3442-4C4B-9D69-F0C1AA2D063D}"/>
    <cellStyle name="汇总 10 2 3" xfId="37143" xr:uid="{A6C8E579-052E-4B37-947A-630378F639AE}"/>
    <cellStyle name="汇总 10 3" xfId="38457" xr:uid="{B3AFB17D-B530-461D-A2EC-5902D2E4D346}"/>
    <cellStyle name="汇总 11" xfId="23983" xr:uid="{D83D23FA-22BB-4E5F-957A-46F2B91F2256}"/>
    <cellStyle name="汇总 11 2" xfId="23984" xr:uid="{D8D35BAC-F2E6-476D-BC4E-75535E80A57D}"/>
    <cellStyle name="汇总 11 2 2" xfId="26741" xr:uid="{32B95F3A-CDE5-4F02-B212-1CDE97B46F3C}"/>
    <cellStyle name="汇总 11 2 2 2" xfId="37298" xr:uid="{DF668C0C-373B-4491-ABD3-5D787E9BCA63}"/>
    <cellStyle name="汇总 11 2 3" xfId="38458" xr:uid="{8C00B91E-6A32-44E8-8F18-A525395BBE5D}"/>
    <cellStyle name="汇总 11 3" xfId="37144" xr:uid="{09F59038-BB50-496D-BC61-BC1F25EC1312}"/>
    <cellStyle name="汇总 12" xfId="23985" xr:uid="{54C05A36-F6C5-404D-8247-3886653FF048}"/>
    <cellStyle name="汇总 12 2" xfId="23986" xr:uid="{1B5825C5-0914-4D09-80C6-0C73FD0439CE}"/>
    <cellStyle name="汇总 12 2 2" xfId="26742" xr:uid="{DE5E57E5-B4F7-4D5C-AFBD-EC0F5BFB06A6}"/>
    <cellStyle name="汇总 12 2 2 2" xfId="37299" xr:uid="{97D1FD04-37E0-483C-B66F-45E44F778AE2}"/>
    <cellStyle name="汇总 12 2 3" xfId="37146" xr:uid="{DAE60960-42B1-444A-9426-59581A8CD1DF}"/>
    <cellStyle name="汇总 12 3" xfId="37145" xr:uid="{D74EED92-9952-4FE1-86B6-6CA54CBE28F5}"/>
    <cellStyle name="汇总 13" xfId="23987" xr:uid="{38FEBAE0-DB25-4DCC-AFAD-60EF4B03680C}"/>
    <cellStyle name="汇总 13 2" xfId="23988" xr:uid="{734E1BDE-DF5E-4D37-806A-56F6096BF1DB}"/>
    <cellStyle name="汇总 13 2 2" xfId="26743" xr:uid="{F27185FE-8D97-49F7-89F8-94AB94012781}"/>
    <cellStyle name="汇总 13 2 2 2" xfId="37300" xr:uid="{D0E63E17-ECEC-444B-A3ED-59611611D948}"/>
    <cellStyle name="汇总 13 2 3" xfId="37147" xr:uid="{C84E299B-5E22-45A7-B095-7103D6E94F75}"/>
    <cellStyle name="汇总 13 3" xfId="38459" xr:uid="{FF069736-4766-4B73-94FA-F95803D88786}"/>
    <cellStyle name="汇总 14" xfId="23989" xr:uid="{D7FD67A4-9424-4297-8707-C74C29DCC00B}"/>
    <cellStyle name="汇总 14 2" xfId="23990" xr:uid="{9DAB769C-FB24-43BF-B880-9E8020F423DE}"/>
    <cellStyle name="汇总 14 2 2" xfId="26744" xr:uid="{B69808FE-FE74-4470-AF7C-11EBAAA9A9E9}"/>
    <cellStyle name="汇总 14 2 2 2" xfId="38533" xr:uid="{03286074-2B41-4F90-959C-CA7500F70EB8}"/>
    <cellStyle name="汇总 14 2 3" xfId="38460" xr:uid="{DE496172-C8E2-4243-ACA9-881D8D7AF558}"/>
    <cellStyle name="汇总 14 3" xfId="37148" xr:uid="{43BBEDCB-1503-4DB4-8BB6-6994DD2FBB0D}"/>
    <cellStyle name="汇总 15" xfId="23991" xr:uid="{A9695148-A65D-4F9D-BF9E-FC68F2F6CB41}"/>
    <cellStyle name="汇总 15 2" xfId="23992" xr:uid="{8FC5C444-6B03-4E05-88C8-D2174640AD4A}"/>
    <cellStyle name="汇总 15 2 2" xfId="26745" xr:uid="{B9EA0ECF-F692-47F6-AFCC-55C56BBB820B}"/>
    <cellStyle name="汇总 15 2 2 2" xfId="37301" xr:uid="{5F594847-0C14-4568-AF55-4A703D69C564}"/>
    <cellStyle name="汇总 15 2 3" xfId="37150" xr:uid="{BA353047-EF3F-46CC-A698-32942639D48D}"/>
    <cellStyle name="汇总 15 3" xfId="37149" xr:uid="{4186E95F-3E32-469B-B6F9-5C8E6FEFF14A}"/>
    <cellStyle name="汇总 16" xfId="23993" xr:uid="{5FCE27F6-7CC7-40DC-8810-92B77A24C88C}"/>
    <cellStyle name="汇总 16 2" xfId="23994" xr:uid="{668F38A9-9DA4-4F94-9FD8-3626F61E96B4}"/>
    <cellStyle name="汇总 16 2 2" xfId="26746" xr:uid="{34FE400B-695F-405E-A62E-82654C6CC47E}"/>
    <cellStyle name="汇总 16 2 2 2" xfId="37302" xr:uid="{55AF184D-C438-4183-952C-6EDD12F95EDF}"/>
    <cellStyle name="汇总 16 2 3" xfId="37151" xr:uid="{0A143A04-1B9D-43A9-B6FB-E97DA427F131}"/>
    <cellStyle name="汇总 16 3" xfId="38461" xr:uid="{F87AF7EE-1688-42AB-A6D5-8BEBE8AD987F}"/>
    <cellStyle name="汇总 17" xfId="23995" xr:uid="{129DAE40-5413-4F67-AD37-1BEB844B939D}"/>
    <cellStyle name="汇总 17 2" xfId="23996" xr:uid="{84FF0ED2-7D3B-4AAB-B076-FA0ECB8EDF25}"/>
    <cellStyle name="汇总 17 2 2" xfId="26747" xr:uid="{1FF2613C-B502-47D2-8F88-24E3F4076FE3}"/>
    <cellStyle name="汇总 17 2 2 2" xfId="38534" xr:uid="{3B7EE9EA-BE4E-4972-AEAA-F1C81F65A3A7}"/>
    <cellStyle name="汇总 17 2 3" xfId="37152" xr:uid="{6CE4D642-B90E-45E7-B92B-999667310C33}"/>
    <cellStyle name="汇总 17 3" xfId="38462" xr:uid="{460A4152-7649-47FD-A9EE-64B7AE2ABA78}"/>
    <cellStyle name="汇总 18" xfId="23997" xr:uid="{9CE94C79-C798-4CFC-BB6B-9ACE8E54F28F}"/>
    <cellStyle name="汇总 18 2" xfId="23998" xr:uid="{6E47C741-D8A9-4331-95E5-6105D759AD39}"/>
    <cellStyle name="汇总 18 2 2" xfId="26748" xr:uid="{64172F06-07D2-40D7-A404-836A79C2E5A9}"/>
    <cellStyle name="汇总 18 2 2 2" xfId="37303" xr:uid="{953F29A5-608D-4A42-90CF-486A1B221C16}"/>
    <cellStyle name="汇总 18 2 3" xfId="38463" xr:uid="{B105B3DD-ECAA-4E97-A854-8BD5F661673A}"/>
    <cellStyle name="汇总 18 3" xfId="37153" xr:uid="{2B81FF0C-3FA7-459B-B744-E75058CD0539}"/>
    <cellStyle name="汇总 19" xfId="23999" xr:uid="{2EB7B946-0EB0-4985-809D-0FCAE271377E}"/>
    <cellStyle name="汇总 19 2" xfId="24000" xr:uid="{F730E44D-3507-456C-B738-E8A370844B6A}"/>
    <cellStyle name="汇总 19 2 2" xfId="26749" xr:uid="{0AF91F25-0439-48D8-81D8-5FB4D6D85446}"/>
    <cellStyle name="汇总 19 2 2 2" xfId="37304" xr:uid="{F93FC224-F18C-4E2D-8952-C7DE7293F217}"/>
    <cellStyle name="汇总 19 2 3" xfId="37155" xr:uid="{EFEA57D5-6086-4A41-881B-C26C36737DB5}"/>
    <cellStyle name="汇总 19 3" xfId="37154" xr:uid="{373E815C-D600-4261-9972-E3BDAC796F05}"/>
    <cellStyle name="汇总 2" xfId="24001" xr:uid="{CC2AED43-F6FD-490A-A1E8-0CA2AC3CED4F}"/>
    <cellStyle name="汇总 2 10" xfId="24002" xr:uid="{ECD4500A-CC93-4180-A40F-E6586822C101}"/>
    <cellStyle name="汇总 2 10 2" xfId="24003" xr:uid="{1E748B6B-4B67-400D-9CDF-1D10BE1695EF}"/>
    <cellStyle name="汇总 2 10 2 2" xfId="26750" xr:uid="{D452BEA1-4D43-498E-9D6E-33131F6D407C}"/>
    <cellStyle name="汇总 2 10 2 2 2" xfId="38535" xr:uid="{CC01D2D1-F188-48DD-92A8-94E78CD2C8D2}"/>
    <cellStyle name="汇总 2 10 2 3" xfId="37157" xr:uid="{D88C4E3C-241C-4371-B93A-FB2F682E9261}"/>
    <cellStyle name="汇总 2 10 3" xfId="37156" xr:uid="{B1F0997D-B242-437F-BBE5-A3FD8FDA7BDE}"/>
    <cellStyle name="汇总 2 11" xfId="24004" xr:uid="{F27F99C2-F75C-4126-BCD5-0019B6BC716F}"/>
    <cellStyle name="汇总 2 11 2" xfId="24005" xr:uid="{3F585904-442C-49FE-8A9E-D5B52C7CF3CA}"/>
    <cellStyle name="汇总 2 11 2 2" xfId="26751" xr:uid="{87FFCC0A-AE2A-465F-A895-D53050D9F780}"/>
    <cellStyle name="汇总 2 11 2 2 2" xfId="37305" xr:uid="{85C5DBE4-01F7-4D26-8836-DD0B53E01114}"/>
    <cellStyle name="汇总 2 11 2 3" xfId="37158" xr:uid="{FDCD8E11-8D0C-43C9-A99F-044BBAE88085}"/>
    <cellStyle name="汇总 2 11 3" xfId="38465" xr:uid="{6DC41D56-7571-44C1-A0A4-05B11959545E}"/>
    <cellStyle name="汇总 2 12" xfId="24006" xr:uid="{1268780E-B283-4103-A7D5-44993791CE4A}"/>
    <cellStyle name="汇总 2 12 2" xfId="24007" xr:uid="{71487214-D5AE-47D2-8D48-C85359285523}"/>
    <cellStyle name="汇总 2 12 2 2" xfId="26752" xr:uid="{167C68BA-4D78-48F2-80BA-020689C390AA}"/>
    <cellStyle name="汇总 2 12 2 2 2" xfId="37306" xr:uid="{3AD047AF-2DAE-49B4-93CF-751A803EB7D3}"/>
    <cellStyle name="汇总 2 12 2 3" xfId="38466" xr:uid="{96A45442-31BA-4A90-AACF-9B7AF7DA71B4}"/>
    <cellStyle name="汇总 2 12 3" xfId="37159" xr:uid="{DF8F0D68-3688-4D5A-B58F-504A266F752C}"/>
    <cellStyle name="汇总 2 13" xfId="24008" xr:uid="{510D2112-234C-4E08-9E8D-47450551E41D}"/>
    <cellStyle name="汇总 2 13 2" xfId="24009" xr:uid="{CCC9210F-EB41-4A24-997B-E1DAC69FA08D}"/>
    <cellStyle name="汇总 2 13 2 2" xfId="26753" xr:uid="{48437C10-A261-4FAF-A38F-868137EAA97F}"/>
    <cellStyle name="汇总 2 13 2 2 2" xfId="38536" xr:uid="{861A4275-5EEF-4797-9F6E-7ECEACB1F1CE}"/>
    <cellStyle name="汇总 2 13 2 3" xfId="37161" xr:uid="{5AE2864D-8BA2-4C94-965A-5F2B8883850B}"/>
    <cellStyle name="汇总 2 13 3" xfId="37160" xr:uid="{2B4CB776-3286-471E-BEA5-2EBAAA850589}"/>
    <cellStyle name="汇总 2 14" xfId="24010" xr:uid="{C8386F07-A89D-49F8-A00B-1A0CB9DD01C3}"/>
    <cellStyle name="汇总 2 14 2" xfId="24011" xr:uid="{8757B17E-F066-433D-8CE6-106BC104E1DA}"/>
    <cellStyle name="汇总 2 14 2 2" xfId="26754" xr:uid="{05ECFB9F-5847-49B7-B46B-ABDBAAD4DD3F}"/>
    <cellStyle name="汇总 2 14 2 2 2" xfId="37307" xr:uid="{9D69712F-1E7E-45F6-9C9F-CED17E4A2A04}"/>
    <cellStyle name="汇总 2 14 2 3" xfId="37162" xr:uid="{2A9F065E-5526-476F-9F5F-503010AA4027}"/>
    <cellStyle name="汇总 2 14 3" xfId="38467" xr:uid="{4B1E66A7-76C2-4A8A-9AD0-3E0E115AD001}"/>
    <cellStyle name="汇总 2 15" xfId="24012" xr:uid="{20ACD9FF-C617-4363-8BBE-0A4061CB6A41}"/>
    <cellStyle name="汇总 2 15 2" xfId="24013" xr:uid="{D427367B-00E2-4902-96D7-0DC236CEDF33}"/>
    <cellStyle name="汇总 2 15 2 2" xfId="26755" xr:uid="{C0369CBA-3B47-42E1-958F-8654639986E7}"/>
    <cellStyle name="汇总 2 15 2 2 2" xfId="37308" xr:uid="{E8F078D3-8C60-4E27-96B1-B96138E0F992}"/>
    <cellStyle name="汇总 2 15 2 3" xfId="38468" xr:uid="{BED6FE7A-8999-4A61-B8C3-0899D910DA00}"/>
    <cellStyle name="汇总 2 15 3" xfId="37163" xr:uid="{F0B52B95-F9B0-4079-B20D-514561FD8489}"/>
    <cellStyle name="汇总 2 16" xfId="24014" xr:uid="{2FC27A92-5D03-4B9D-812B-73B7C8A499B9}"/>
    <cellStyle name="汇总 2 16 2" xfId="24015" xr:uid="{2198BFA9-2548-4C88-A470-E7BBB198B1EF}"/>
    <cellStyle name="汇总 2 16 2 2" xfId="26756" xr:uid="{3E84326B-DE2C-40EA-BF70-F2635C90E2E5}"/>
    <cellStyle name="汇总 2 16 2 2 2" xfId="38537" xr:uid="{14D94F0E-165E-4204-8FB2-52CA0009A013}"/>
    <cellStyle name="汇总 2 16 2 3" xfId="37165" xr:uid="{CB2DE546-5283-46B6-8646-C77DF20CDA44}"/>
    <cellStyle name="汇总 2 16 3" xfId="37164" xr:uid="{0A222ED0-DBC9-4361-95C7-CFFFBE0DFD3F}"/>
    <cellStyle name="汇总 2 17" xfId="24016" xr:uid="{CC1E9CE9-EADF-4F28-BE51-DF12ABD491E2}"/>
    <cellStyle name="汇总 2 17 2" xfId="24017" xr:uid="{897E9889-AE59-47FB-AF09-4AC5B577A47D}"/>
    <cellStyle name="汇总 2 17 2 2" xfId="26757" xr:uid="{82E0AC35-DB2C-4340-ACAD-51640185F7DB}"/>
    <cellStyle name="汇总 2 17 2 2 2" xfId="37309" xr:uid="{45D8E7B6-F596-43C8-BF93-E609AF84C08B}"/>
    <cellStyle name="汇总 2 17 2 3" xfId="37166" xr:uid="{2C76DBCC-9EB0-428B-AA91-925F4AC0B39D}"/>
    <cellStyle name="汇总 2 17 3" xfId="38469" xr:uid="{01352A39-0F5C-4336-AD3B-B7117549078A}"/>
    <cellStyle name="汇总 2 18" xfId="24018" xr:uid="{078F1D7C-4E1B-4AAC-B843-DADCF5AB84ED}"/>
    <cellStyle name="汇总 2 18 2" xfId="24019" xr:uid="{50960DA1-CB66-4DFF-A98A-15FA9677362B}"/>
    <cellStyle name="汇总 2 18 2 2" xfId="26758" xr:uid="{D498027A-5AB0-4090-A1AC-3270A8D376BD}"/>
    <cellStyle name="汇总 2 18 2 2 2" xfId="37310" xr:uid="{F48ABB76-19CA-42FC-88A8-846113ADD9E1}"/>
    <cellStyle name="汇总 2 18 2 3" xfId="38470" xr:uid="{B555CB74-D67B-47CE-945E-8A038449B2F6}"/>
    <cellStyle name="汇总 2 18 3" xfId="37167" xr:uid="{823E3E3E-DBEF-4940-B8E8-52A4234CA25C}"/>
    <cellStyle name="汇总 2 19" xfId="24020" xr:uid="{B74518D8-1FCA-4E5F-8110-66346B268D2E}"/>
    <cellStyle name="汇总 2 19 2" xfId="24021" xr:uid="{EC1681B6-F554-432E-B9DA-D11BC5092EA3}"/>
    <cellStyle name="汇总 2 19 2 2" xfId="26759" xr:uid="{64C16656-E4C4-4FD5-AC74-8E942BC62956}"/>
    <cellStyle name="汇总 2 19 2 2 2" xfId="38538" xr:uid="{CA1E31B2-6D32-4001-BD30-2EDEA44B9F5B}"/>
    <cellStyle name="汇总 2 19 2 3" xfId="37169" xr:uid="{D3B18384-2209-427C-AD23-0FC68129BD6F}"/>
    <cellStyle name="汇总 2 19 3" xfId="37168" xr:uid="{49F219EA-0A51-4379-990F-B103CEE8EEA4}"/>
    <cellStyle name="汇总 2 2" xfId="24022" xr:uid="{32DCE5F3-AC47-4603-9295-32256F5273DD}"/>
    <cellStyle name="汇总 2 2 10" xfId="24023" xr:uid="{FE4389E3-C279-4DD1-8261-1A4151A800F1}"/>
    <cellStyle name="汇总 2 2 10 2" xfId="24024" xr:uid="{745E1A0D-6987-415C-93ED-9BBD123B0BA3}"/>
    <cellStyle name="汇总 2 2 10 2 2" xfId="26760" xr:uid="{F7497B3A-CC9D-4049-9859-C2691EF3371D}"/>
    <cellStyle name="汇总 2 2 10 2 2 2" xfId="37311" xr:uid="{3D80CF0A-5250-4057-9AA8-937A86A7BD8A}"/>
    <cellStyle name="汇总 2 2 10 2 3" xfId="37172" xr:uid="{8AB2DCB2-EBBA-4E7B-AF7E-FD66E7D88D4C}"/>
    <cellStyle name="汇总 2 2 10 3" xfId="37171" xr:uid="{5FDDFC4D-05F4-4B54-8FE3-2790B2CC4E16}"/>
    <cellStyle name="汇总 2 2 11" xfId="24025" xr:uid="{E7D0631E-983A-4202-A798-1BA337862166}"/>
    <cellStyle name="汇总 2 2 11 2" xfId="24026" xr:uid="{3C44F58D-BAEC-41E8-81C5-B8CC5065BFD2}"/>
    <cellStyle name="汇总 2 2 11 2 2" xfId="26761" xr:uid="{474BF0B7-CA04-4456-ACF0-7F6B3A68D411}"/>
    <cellStyle name="汇总 2 2 11 2 2 2" xfId="37312" xr:uid="{EDDEA8A6-8058-431A-B909-2BFCDBF51411}"/>
    <cellStyle name="汇总 2 2 11 2 3" xfId="37174" xr:uid="{49739FAF-3D94-4931-85B0-17CCEE6F6540}"/>
    <cellStyle name="汇总 2 2 11 3" xfId="37173" xr:uid="{E55A050C-6193-42F6-97B1-FB4A027FC7B8}"/>
    <cellStyle name="汇总 2 2 12" xfId="24027" xr:uid="{ABC62DAE-AF99-42CA-97A1-15D4FADC768C}"/>
    <cellStyle name="汇总 2 2 12 2" xfId="24028" xr:uid="{65A779BA-511A-48CB-86E9-EC69341DB684}"/>
    <cellStyle name="汇总 2 2 12 2 2" xfId="26762" xr:uid="{BA719F64-CA4E-4572-80F9-D763BCC1AB69}"/>
    <cellStyle name="汇总 2 2 12 2 2 2" xfId="38539" xr:uid="{6C8C2D67-B4A3-4982-AA1E-B87C230CE8F7}"/>
    <cellStyle name="汇总 2 2 12 2 3" xfId="37176" xr:uid="{9F29306F-B9CD-4A4A-BE09-4DB6D3817632}"/>
    <cellStyle name="汇总 2 2 12 3" xfId="37175" xr:uid="{DDE1CD94-0DDE-48B1-B428-98E83BC6E10E}"/>
    <cellStyle name="汇总 2 2 13" xfId="24029" xr:uid="{DE04AE8A-ED06-49E1-BEF3-19CCC1C0D086}"/>
    <cellStyle name="汇总 2 2 13 2" xfId="24030" xr:uid="{CD39E6D0-A97B-4A47-ADE6-7D8F811520A9}"/>
    <cellStyle name="汇总 2 2 13 2 2" xfId="26763" xr:uid="{B0153A13-E4D0-4D64-B2C1-88288454C747}"/>
    <cellStyle name="汇总 2 2 13 2 2 2" xfId="37316" xr:uid="{FC49D7BF-2176-4AC5-A94A-B24DAF8C3885}"/>
    <cellStyle name="汇总 2 2 13 2 3" xfId="37177" xr:uid="{A52F3B29-8E7C-467B-AE5F-80B5B0D240C8}"/>
    <cellStyle name="汇总 2 2 13 3" xfId="38471" xr:uid="{AE987D22-721F-4732-8609-F35202074012}"/>
    <cellStyle name="汇总 2 2 14" xfId="24031" xr:uid="{152BBC6A-DEC7-4490-82F2-0CA9515F753A}"/>
    <cellStyle name="汇总 2 2 14 2" xfId="24032" xr:uid="{32C411D2-47DC-4C48-A9C0-8AA8D08E76F5}"/>
    <cellStyle name="汇总 2 2 14 2 2" xfId="26764" xr:uid="{9045F018-2EEC-40BC-840C-438031EAEF2C}"/>
    <cellStyle name="汇总 2 2 14 2 2 2" xfId="37313" xr:uid="{68AAC148-33E0-4EC8-8699-659AAA316483}"/>
    <cellStyle name="汇总 2 2 14 2 3" xfId="38472" xr:uid="{383BA808-18C1-4BDB-ABE7-96D38D148E4B}"/>
    <cellStyle name="汇总 2 2 14 3" xfId="37178" xr:uid="{EEEAE02C-A84F-48DD-88A4-164928B5763F}"/>
    <cellStyle name="汇总 2 2 15" xfId="24033" xr:uid="{BD0F9012-4397-4364-B166-7A77A61EC6F2}"/>
    <cellStyle name="汇总 2 2 15 2" xfId="24034" xr:uid="{A0139317-94A7-463C-9F76-AA4F9B8C8E07}"/>
    <cellStyle name="汇总 2 2 15 2 2" xfId="26765" xr:uid="{F365DF43-2F99-4FEF-A473-E4044ED08865}"/>
    <cellStyle name="汇总 2 2 15 2 2 2" xfId="37314" xr:uid="{C7424082-F079-4E3D-B1B8-0AFFDBBD0A05}"/>
    <cellStyle name="汇总 2 2 15 2 3" xfId="37179" xr:uid="{1CD9775D-3B40-40C0-8836-44FCEAB84DAA}"/>
    <cellStyle name="汇总 2 2 15 3" xfId="27823" xr:uid="{E62E08F1-2B81-4664-B45C-859511FF2A95}"/>
    <cellStyle name="汇总 2 2 16" xfId="24035" xr:uid="{49722EC0-892B-402F-B7C4-FB9B3C06579A}"/>
    <cellStyle name="汇总 2 2 16 2" xfId="24036" xr:uid="{EF1835AF-0016-497C-AA86-29B8BD6556CC}"/>
    <cellStyle name="汇总 2 2 16 2 2" xfId="26766" xr:uid="{8CB49E05-E993-4D8C-B31B-959A2A375BB6}"/>
    <cellStyle name="汇总 2 2 16 2 2 2" xfId="37317" xr:uid="{45FD9666-3830-4DD3-B589-3A895FB27D05}"/>
    <cellStyle name="汇总 2 2 16 2 3" xfId="37180" xr:uid="{06E73E11-8286-4B58-97FA-AC6CB00E4BC2}"/>
    <cellStyle name="汇总 2 2 16 3" xfId="37787" xr:uid="{4C48F1FB-3D98-4367-834E-91C5482B4237}"/>
    <cellStyle name="汇总 2 2 17" xfId="24037" xr:uid="{F90B1740-C886-46A4-A540-72E8475132F6}"/>
    <cellStyle name="汇总 2 2 17 2" xfId="24038" xr:uid="{0F26623C-52E8-40B9-B648-1D68583FA316}"/>
    <cellStyle name="汇总 2 2 17 2 2" xfId="26767" xr:uid="{97CD3E4F-7E80-408B-8790-75FDE29D9389}"/>
    <cellStyle name="汇总 2 2 17 2 2 2" xfId="38542" xr:uid="{E1E6CA86-4D81-43A1-BE40-B95E6B5957DC}"/>
    <cellStyle name="汇总 2 2 17 2 3" xfId="37181" xr:uid="{320EC969-A15F-4E58-BA42-C4888F0DA257}"/>
    <cellStyle name="汇总 2 2 17 3" xfId="38473" xr:uid="{C1E143C4-9C38-4FFB-B963-11271C400D48}"/>
    <cellStyle name="汇总 2 2 18" xfId="24039" xr:uid="{610213E7-8FCC-4580-9CBA-577E9B952CA0}"/>
    <cellStyle name="汇总 2 2 18 2" xfId="24040" xr:uid="{EA6B0506-60D7-4BAE-9ADD-FD39133F2BF2}"/>
    <cellStyle name="汇总 2 2 18 2 2" xfId="26768" xr:uid="{4950DF3D-0B10-4893-96BB-62334C9EECA0}"/>
    <cellStyle name="汇总 2 2 18 2 2 2" xfId="38540" xr:uid="{E8EE7EB0-8BE5-4C4E-8CBF-3FBABE3A6ED7}"/>
    <cellStyle name="汇总 2 2 18 2 3" xfId="38474" xr:uid="{453DF556-07F1-4CAB-87FB-E82EFE078C2D}"/>
    <cellStyle name="汇总 2 2 18 3" xfId="37182" xr:uid="{71F6530F-73F4-485F-B7A6-2B7C60AC8EC3}"/>
    <cellStyle name="汇总 2 2 19" xfId="24041" xr:uid="{9FCC548A-63DA-48FE-B26F-BD9775D72516}"/>
    <cellStyle name="汇总 2 2 19 2" xfId="24042" xr:uid="{668D87C6-BF5B-4BF1-80AD-B710A120CA5B}"/>
    <cellStyle name="汇总 2 2 19 2 2" xfId="26769" xr:uid="{897501F4-5E44-4223-A5FF-452F93765BAF}"/>
    <cellStyle name="汇总 2 2 19 2 2 2" xfId="37315" xr:uid="{505A25E8-E967-4EC5-A91C-8E5F438A2B4F}"/>
    <cellStyle name="汇总 2 2 19 2 3" xfId="37184" xr:uid="{5A56DB8C-EE1C-47EA-8CD0-A72A5CE38376}"/>
    <cellStyle name="汇总 2 2 19 3" xfId="37183" xr:uid="{C9FAB948-ADCA-43C7-BAC4-F6DAEAD33CFD}"/>
    <cellStyle name="汇总 2 2 2" xfId="24043" xr:uid="{E9AAE821-F0AF-4C09-B0D0-F8CC1ABC3106}"/>
    <cellStyle name="汇总 2 2 2 10" xfId="24044" xr:uid="{630C18EE-4C43-4AE1-B417-C413F6BF2920}"/>
    <cellStyle name="汇总 2 2 2 10 2" xfId="24045" xr:uid="{40E7EDB4-BD02-4AD0-A8C3-15DF81765911}"/>
    <cellStyle name="汇总 2 2 2 10 2 2" xfId="26770" xr:uid="{441ADDC3-B240-495C-B796-FCD9B075AC0A}"/>
    <cellStyle name="汇总 2 2 2 10 2 2 2" xfId="38541" xr:uid="{A31DC985-8A6E-400B-8D33-5D8902BD6900}"/>
    <cellStyle name="汇总 2 2 2 10 2 3" xfId="37186" xr:uid="{3A93E83E-7B05-4F4A-9D5F-4A782FB12590}"/>
    <cellStyle name="汇总 2 2 2 10 3" xfId="37185" xr:uid="{D7BB8DF2-176C-4762-B4B9-3F419E4F1C29}"/>
    <cellStyle name="汇总 2 2 2 11" xfId="24046" xr:uid="{60CFACCB-076A-48EE-A02B-C6D432AC24BA}"/>
    <cellStyle name="汇总 2 2 2 11 2" xfId="24047" xr:uid="{9A79ED0A-3C4C-4A44-A684-1C730B7D8948}"/>
    <cellStyle name="汇总 2 2 2 11 2 2" xfId="26771" xr:uid="{E9194BED-3354-42D7-82A7-4297D3EF67D9}"/>
    <cellStyle name="汇总 2 2 2 11 2 2 2" xfId="37318" xr:uid="{61CDCA44-66F7-4179-AB6F-C4B1C56E5AF0}"/>
    <cellStyle name="汇总 2 2 2 11 2 3" xfId="37187" xr:uid="{B8F61F1A-5C80-43AB-87BA-77D646F2D934}"/>
    <cellStyle name="汇总 2 2 2 11 3" xfId="38476" xr:uid="{79183FD2-E50D-411A-B0B0-8F14AFFEF0BF}"/>
    <cellStyle name="汇总 2 2 2 12" xfId="24048" xr:uid="{8882288C-ED46-4952-9E48-B4652551746A}"/>
    <cellStyle name="汇总 2 2 2 12 2" xfId="24049" xr:uid="{B16F1A48-503D-4AAD-91DB-1A68EE9435D7}"/>
    <cellStyle name="汇总 2 2 2 12 2 2" xfId="26772" xr:uid="{581D5A55-CDE3-4FF5-B243-4B010BE44BD6}"/>
    <cellStyle name="汇总 2 2 2 12 2 2 2" xfId="37319" xr:uid="{24E475E7-2109-446C-95C7-FBBBEA9B6E57}"/>
    <cellStyle name="汇总 2 2 2 12 2 3" xfId="38477" xr:uid="{BCCFB4C5-9797-48EB-BEE9-08CCC3A36120}"/>
    <cellStyle name="汇总 2 2 2 12 3" xfId="37188" xr:uid="{C8377AC8-1F3F-4A13-87B2-E1CB232225C9}"/>
    <cellStyle name="汇总 2 2 2 13" xfId="24050" xr:uid="{47C533A8-DA75-4303-82D1-38105DDEA420}"/>
    <cellStyle name="汇总 2 2 2 13 2" xfId="24051" xr:uid="{2AE9E551-8085-4395-8456-5392502C0033}"/>
    <cellStyle name="汇总 2 2 2 13 2 2" xfId="26773" xr:uid="{B35E35E3-FD53-4AB8-A5D4-FAFDF2444E70}"/>
    <cellStyle name="汇总 2 2 2 13 2 2 2" xfId="37320" xr:uid="{203AA94B-ED39-42D0-8914-A606C40521CB}"/>
    <cellStyle name="汇总 2 2 2 13 2 3" xfId="37190" xr:uid="{37E6CC78-8D49-45D5-A839-8E378CC602CA}"/>
    <cellStyle name="汇总 2 2 2 13 3" xfId="37189" xr:uid="{6B7ED5B0-BFE9-4D0D-936F-8182680F3B87}"/>
    <cellStyle name="汇总 2 2 2 14" xfId="24052" xr:uid="{38F1C561-3CCC-485D-B229-A4941249277E}"/>
    <cellStyle name="汇总 2 2 2 14 2" xfId="24053" xr:uid="{C46B3191-9BF5-49DA-90E8-4DE55E932B53}"/>
    <cellStyle name="汇总 2 2 2 14 2 2" xfId="26774" xr:uid="{F4483724-B194-413E-B064-D5CAE69524F2}"/>
    <cellStyle name="汇总 2 2 2 14 2 2 2" xfId="38543" xr:uid="{FA58FB94-1159-4586-872C-D1156D495DB4}"/>
    <cellStyle name="汇总 2 2 2 14 2 3" xfId="37191" xr:uid="{CE03E419-548A-4EBC-A2CB-1E5DC497A1E1}"/>
    <cellStyle name="汇总 2 2 2 14 3" xfId="38478" xr:uid="{FCAB0751-3CE7-44C0-851B-4C5A74564036}"/>
    <cellStyle name="汇总 2 2 2 15" xfId="24054" xr:uid="{A50B428A-EAB6-4BC4-AAC7-E97A474A5FD8}"/>
    <cellStyle name="汇总 2 2 2 15 2" xfId="24055" xr:uid="{E182B8AF-188A-4765-82E7-52A1C8611F94}"/>
    <cellStyle name="汇总 2 2 2 15 2 2" xfId="26775" xr:uid="{A20781CE-6DEE-444A-B1BF-63A1D05D3578}"/>
    <cellStyle name="汇总 2 2 2 15 2 2 2" xfId="37321" xr:uid="{95B2FF71-E977-4996-A0E1-B276AB66C96B}"/>
    <cellStyle name="汇总 2 2 2 15 2 3" xfId="38479" xr:uid="{E6C79FAF-F39A-4F57-A8E7-29F9B62AC8E2}"/>
    <cellStyle name="汇总 2 2 2 15 3" xfId="37192" xr:uid="{AC039FC2-3E49-482C-8BD5-72D62716C83A}"/>
    <cellStyle name="汇总 2 2 2 16" xfId="24056" xr:uid="{9C05203D-ADB7-4F9E-A829-0E23FCE58122}"/>
    <cellStyle name="汇总 2 2 2 16 2" xfId="26776" xr:uid="{0560886B-72A7-4634-AF7B-6B84AB6DF1A1}"/>
    <cellStyle name="汇总 2 2 2 16 2 2" xfId="37322" xr:uid="{9E5912AA-7592-4BD6-A162-12EAE102A181}"/>
    <cellStyle name="汇总 2 2 2 16 3" xfId="37193" xr:uid="{BE58ED4C-9BC0-4671-B33E-161A5AA7986F}"/>
    <cellStyle name="汇总 2 2 2 17" xfId="38475" xr:uid="{69AA727E-C09A-4EB0-A450-03A54FE1A233}"/>
    <cellStyle name="汇总 2 2 2 2" xfId="24057" xr:uid="{C23CB2C8-5100-44A3-BCBD-94B8B9E5CF94}"/>
    <cellStyle name="汇总 2 2 2 2 2" xfId="24058" xr:uid="{1FED09C6-E0DA-40DF-8C1A-D42AABE05715}"/>
    <cellStyle name="汇总 2 2 2 2 2 2" xfId="26777" xr:uid="{8A31B094-2511-4C8F-B658-834DBB804B08}"/>
    <cellStyle name="汇总 2 2 2 2 2 2 2" xfId="38544" xr:uid="{5AD36E0D-603F-46AF-A483-9FB5C40AD6E4}"/>
    <cellStyle name="汇总 2 2 2 2 2 3" xfId="37195" xr:uid="{EB5F25AD-94FB-42D6-9318-FBEFCAF29F67}"/>
    <cellStyle name="汇总 2 2 2 2 3" xfId="37194" xr:uid="{7DC0B2AA-30B6-4FAE-A12D-5BF97F2031D2}"/>
    <cellStyle name="汇总 2 2 2 3" xfId="24059" xr:uid="{981DECB6-486A-4A78-BF7C-AB313FE28AC7}"/>
    <cellStyle name="汇总 2 2 2 3 2" xfId="24060" xr:uid="{B4737D1C-7C0E-4F6D-BEE3-7889765A905B}"/>
    <cellStyle name="汇总 2 2 2 3 2 2" xfId="26778" xr:uid="{A6F1AAEA-737D-4476-8FE7-3AF9BA280670}"/>
    <cellStyle name="汇总 2 2 2 3 2 2 2" xfId="37323" xr:uid="{B55851DD-CC73-4DB5-9516-192CD9A91064}"/>
    <cellStyle name="汇总 2 2 2 3 2 3" xfId="37196" xr:uid="{BCF62718-47D0-4F75-A07F-4DE169C65B11}"/>
    <cellStyle name="汇总 2 2 2 3 3" xfId="38480" xr:uid="{3CF58FD2-1735-44AE-88BF-4DA3332A01F0}"/>
    <cellStyle name="汇总 2 2 2 4" xfId="24061" xr:uid="{242A2FA9-F72B-4DAC-B0B7-61853AF81D8F}"/>
    <cellStyle name="汇总 2 2 2 4 2" xfId="24062" xr:uid="{82096F82-2712-4AE6-8067-91F6D433253A}"/>
    <cellStyle name="汇总 2 2 2 4 2 2" xfId="26779" xr:uid="{73CD51CA-2DE9-4C48-9B74-61863C9B2B76}"/>
    <cellStyle name="汇总 2 2 2 4 2 2 2" xfId="37324" xr:uid="{F284AA76-70AB-4B50-80D4-71DD82E8A8BF}"/>
    <cellStyle name="汇总 2 2 2 4 2 3" xfId="38481" xr:uid="{581C7C5C-E7FF-4751-A759-C89350329336}"/>
    <cellStyle name="汇总 2 2 2 4 3" xfId="37197" xr:uid="{A7FB3741-BB0B-40B6-B786-DB749FCC7084}"/>
    <cellStyle name="汇总 2 2 2 5" xfId="24063" xr:uid="{5B507EB7-EBD4-4BA2-BE2C-D34CAA1B5F45}"/>
    <cellStyle name="汇总 2 2 2 5 2" xfId="24064" xr:uid="{70800FD2-F5D0-4EAC-95E8-F37A61E47F3A}"/>
    <cellStyle name="汇总 2 2 2 5 2 2" xfId="26780" xr:uid="{AEED1505-FC47-45EB-8916-6664A332499F}"/>
    <cellStyle name="汇总 2 2 2 5 2 2 2" xfId="38545" xr:uid="{9F75AD80-00D4-4A36-ACF2-27777781A4B0}"/>
    <cellStyle name="汇总 2 2 2 5 2 3" xfId="37199" xr:uid="{D4287615-C4B6-4436-B4A8-72BAB1EFF246}"/>
    <cellStyle name="汇总 2 2 2 5 3" xfId="37198" xr:uid="{18DD0530-C235-4D40-9D48-6C75B3F70F13}"/>
    <cellStyle name="汇总 2 2 2 6" xfId="24065" xr:uid="{BA7849A0-F374-4FE4-BD6E-7F6FB5373B0B}"/>
    <cellStyle name="汇总 2 2 2 6 2" xfId="24066" xr:uid="{5D9C31B1-71ED-44D1-9EDE-B6FB1E90DBA4}"/>
    <cellStyle name="汇总 2 2 2 6 2 2" xfId="26781" xr:uid="{2FF8FECD-51B7-4772-90E7-D0EBDC585A05}"/>
    <cellStyle name="汇总 2 2 2 6 2 2 2" xfId="37325" xr:uid="{1541483E-1184-422A-B01E-BB081583F8C6}"/>
    <cellStyle name="汇总 2 2 2 6 2 3" xfId="37200" xr:uid="{3811A162-2AE6-495B-A910-FFD2DE15DEB1}"/>
    <cellStyle name="汇总 2 2 2 6 3" xfId="38482" xr:uid="{C6238BAD-4ADC-4733-9463-297055B3EA2F}"/>
    <cellStyle name="汇总 2 2 2 7" xfId="24067" xr:uid="{15AE5F9C-8943-4898-855B-4AC69A38E6D1}"/>
    <cellStyle name="汇总 2 2 2 7 2" xfId="24068" xr:uid="{181DD1AB-41DD-4DED-B8AF-E3BF4BA44ECD}"/>
    <cellStyle name="汇总 2 2 2 7 2 2" xfId="26782" xr:uid="{8EBA11FB-7115-4D1E-8412-2178E4CB1291}"/>
    <cellStyle name="汇总 2 2 2 7 2 2 2" xfId="37326" xr:uid="{9B1A7305-4642-43C3-BEDB-B37ADC1E1485}"/>
    <cellStyle name="汇总 2 2 2 7 2 3" xfId="38483" xr:uid="{F35197F7-FB68-4D87-8412-23E5DA25AF3A}"/>
    <cellStyle name="汇总 2 2 2 7 3" xfId="37201" xr:uid="{7F7501FA-6524-4A78-B4D8-650C498BDCC4}"/>
    <cellStyle name="汇总 2 2 2 8" xfId="24069" xr:uid="{4A0EB32C-FABE-454E-9E38-77BA1F04C49A}"/>
    <cellStyle name="汇总 2 2 2 8 2" xfId="24070" xr:uid="{F2BD8A8D-AFB6-4375-AD89-035ABD0CEAEB}"/>
    <cellStyle name="汇总 2 2 2 8 2 2" xfId="26783" xr:uid="{2346F4BE-ADDC-415D-B3DC-B20E100B361E}"/>
    <cellStyle name="汇总 2 2 2 8 2 2 2" xfId="38546" xr:uid="{52DEEAFF-8624-49B7-94BD-C32B9C212A1D}"/>
    <cellStyle name="汇总 2 2 2 8 2 3" xfId="37203" xr:uid="{53E009D0-37B1-40E1-9C2C-64D841A0BD63}"/>
    <cellStyle name="汇总 2 2 2 8 3" xfId="37202" xr:uid="{219BA987-7D2A-43B0-859E-8998FD8EEC0C}"/>
    <cellStyle name="汇总 2 2 2 9" xfId="24071" xr:uid="{80B59AF8-D75A-41A2-9939-FD9652AA39C3}"/>
    <cellStyle name="汇总 2 2 2 9 2" xfId="24072" xr:uid="{B69505EA-873C-4D40-AD60-4FB2A4ECBE6D}"/>
    <cellStyle name="汇总 2 2 2 9 2 2" xfId="26784" xr:uid="{08AB3711-4D8A-40E2-A9EC-09D3E8C15D02}"/>
    <cellStyle name="汇总 2 2 2 9 2 2 2" xfId="37327" xr:uid="{0306ADDC-A06B-4AC6-ABC9-8AF281095114}"/>
    <cellStyle name="汇总 2 2 2 9 2 3" xfId="37204" xr:uid="{F27441EF-AF95-4B74-8ADA-DAB6C6486F8F}"/>
    <cellStyle name="汇总 2 2 2 9 3" xfId="38484" xr:uid="{290A2CC5-5498-40ED-9793-A46E1124B2B8}"/>
    <cellStyle name="汇总 2 2 20" xfId="24073" xr:uid="{20002519-4862-405E-9066-4B3A8E59FE88}"/>
    <cellStyle name="汇总 2 2 20 2" xfId="26785" xr:uid="{5F43C188-9D7E-4FD4-9858-DA321E3BFC10}"/>
    <cellStyle name="汇总 2 2 20 2 2" xfId="37328" xr:uid="{02528082-1BB0-4586-B71E-BF862AD786C8}"/>
    <cellStyle name="汇总 2 2 20 3" xfId="37205" xr:uid="{F7EF4602-F767-4E46-A169-8C39FEF712A0}"/>
    <cellStyle name="汇总 2 2 21" xfId="37170" xr:uid="{C7379631-8984-4E69-BB98-146427CE27A4}"/>
    <cellStyle name="汇总 2 2 3" xfId="24074" xr:uid="{860681EE-66C8-47B4-A9AF-DE44878BA19C}"/>
    <cellStyle name="汇总 2 2 3 2" xfId="24075" xr:uid="{37E3DD59-6ADC-437B-9A89-88A678898414}"/>
    <cellStyle name="汇总 2 2 3 2 2" xfId="26786" xr:uid="{5B12EAE7-8E10-4633-87B7-388B4D8771B7}"/>
    <cellStyle name="汇总 2 2 3 2 2 2" xfId="38547" xr:uid="{7702CD72-C7FE-4F31-85FB-000FC4B0AC0C}"/>
    <cellStyle name="汇总 2 2 3 2 3" xfId="37206" xr:uid="{E3AAF4B1-C50E-4F6B-AA2B-30EB5365FE9D}"/>
    <cellStyle name="汇总 2 2 3 3" xfId="38485" xr:uid="{E6BBD346-200B-454E-A50B-C47A116900DF}"/>
    <cellStyle name="汇总 2 2 4" xfId="24076" xr:uid="{D39FC0EF-0DC9-48D0-872B-FA5293763763}"/>
    <cellStyle name="汇总 2 2 4 2" xfId="24077" xr:uid="{8F53FD64-BC45-48CC-B5DF-FEA401F3BB2C}"/>
    <cellStyle name="汇总 2 2 4 2 2" xfId="26787" xr:uid="{EFA894D4-0ADB-49FC-9150-E22FED4D8BA2}"/>
    <cellStyle name="汇总 2 2 4 2 2 2" xfId="37329" xr:uid="{EA97A711-D15D-4AF0-9319-F28A27EDBB35}"/>
    <cellStyle name="汇总 2 2 4 2 3" xfId="38486" xr:uid="{220DE899-EB59-43DC-9886-C19714890032}"/>
    <cellStyle name="汇总 2 2 4 3" xfId="37207" xr:uid="{1BD5E941-5360-40D2-BAE9-4B1C9F22F389}"/>
    <cellStyle name="汇总 2 2 5" xfId="24078" xr:uid="{4EFB2A0F-5E99-4AC8-9BDA-B56B9625ACF7}"/>
    <cellStyle name="汇总 2 2 5 2" xfId="24079" xr:uid="{F9EE8D0D-23FC-4BAB-95ED-947A9B90B726}"/>
    <cellStyle name="汇总 2 2 5 2 2" xfId="26788" xr:uid="{231639A7-DCF0-444F-982A-9B6152C264DD}"/>
    <cellStyle name="汇总 2 2 5 2 2 2" xfId="38548" xr:uid="{AC7F39A7-9A15-424D-A635-1FD5266F13CE}"/>
    <cellStyle name="汇总 2 2 5 2 3" xfId="38487" xr:uid="{B7F7E942-12E9-46BD-B06F-BC447E0E36E1}"/>
    <cellStyle name="汇总 2 2 5 3" xfId="37208" xr:uid="{82A7B535-5956-4091-BD11-9D32ED0E73C7}"/>
    <cellStyle name="汇总 2 2 6" xfId="24080" xr:uid="{796A3CCF-7D11-4516-954C-6F46C1591FE7}"/>
    <cellStyle name="汇总 2 2 6 2" xfId="24081" xr:uid="{05653068-FE21-4AC3-9B8B-90E7D8813638}"/>
    <cellStyle name="汇总 2 2 6 2 2" xfId="26789" xr:uid="{A682F648-2EF5-4802-8C08-B38A14BD1E93}"/>
    <cellStyle name="汇总 2 2 6 2 2 2" xfId="37330" xr:uid="{BA4104D2-56C9-4FF3-BD70-F0F0AFC3E7B2}"/>
    <cellStyle name="汇总 2 2 6 2 3" xfId="37210" xr:uid="{30D9CB4C-C0DF-4C78-A784-C2AAC8564A70}"/>
    <cellStyle name="汇总 2 2 6 3" xfId="37209" xr:uid="{36E6C0DC-E95F-494B-A0F9-FC4D4BDF2741}"/>
    <cellStyle name="汇总 2 2 7" xfId="24082" xr:uid="{1F624172-D048-406D-AD17-AA3F34FFD91A}"/>
    <cellStyle name="汇总 2 2 7 2" xfId="24083" xr:uid="{BF05CD04-EB62-4F4B-BBF4-1F2D3F9BAE0F}"/>
    <cellStyle name="汇总 2 2 7 2 2" xfId="26790" xr:uid="{EA80DE6A-4C41-499F-AB8A-14B237562421}"/>
    <cellStyle name="汇总 2 2 7 2 2 2" xfId="37331" xr:uid="{323F659F-0A62-40FA-9E89-B934DF43B43A}"/>
    <cellStyle name="汇总 2 2 7 2 3" xfId="27824" xr:uid="{C38CC8E1-8E01-4122-A126-5B81FD940076}"/>
    <cellStyle name="汇总 2 2 7 3" xfId="38488" xr:uid="{3EB712DE-ED1A-40E9-9BAE-88011DD9AAA6}"/>
    <cellStyle name="汇总 2 2 8" xfId="24084" xr:uid="{C1F69A69-3249-45E1-8E1F-95A6E03DA53E}"/>
    <cellStyle name="汇总 2 2 8 2" xfId="24085" xr:uid="{69CC5B59-488B-4D5F-AA0D-39874FA30F6D}"/>
    <cellStyle name="汇总 2 2 8 2 2" xfId="26791" xr:uid="{08CDBEDB-18EC-41F0-92EE-1D665B327BD4}"/>
    <cellStyle name="汇总 2 2 8 2 2 2" xfId="38549" xr:uid="{66DD7E26-37C0-4B66-B5E3-CD9E82DB45FC}"/>
    <cellStyle name="汇总 2 2 8 2 3" xfId="37212" xr:uid="{3A418726-698F-4FD4-869F-B0EF2C92EBF9}"/>
    <cellStyle name="汇总 2 2 8 3" xfId="37211" xr:uid="{34B807C9-3ACB-4E6B-96CF-21291A91C034}"/>
    <cellStyle name="汇总 2 2 9" xfId="24086" xr:uid="{AFC937F3-CB71-40FC-9657-79B9005CA125}"/>
    <cellStyle name="汇总 2 2 9 2" xfId="24087" xr:uid="{3DE3AE82-AAAB-4E03-998F-341374DDAE5A}"/>
    <cellStyle name="汇总 2 2 9 2 2" xfId="26792" xr:uid="{64674856-E43D-47C7-921D-1EC50E25381D}"/>
    <cellStyle name="汇总 2 2 9 2 2 2" xfId="37332" xr:uid="{EB381E33-AF88-4374-AC8B-34F9ADF7487B}"/>
    <cellStyle name="汇总 2 2 9 2 3" xfId="37213" xr:uid="{BF1EEBB1-1214-4978-98DB-06F5DD63765E}"/>
    <cellStyle name="汇总 2 2 9 3" xfId="38489" xr:uid="{4070A28A-1C03-4991-B1A7-39CCE4A1891F}"/>
    <cellStyle name="汇总 2 20" xfId="24088" xr:uid="{49330C06-565F-4B6E-B150-81AD03F164DC}"/>
    <cellStyle name="汇总 2 20 2" xfId="24089" xr:uid="{EBEE4192-9A61-4F79-88B7-7260C05DE500}"/>
    <cellStyle name="汇总 2 20 2 2" xfId="26793" xr:uid="{03EB1502-AFA6-4C61-B144-6A12BE1E3A51}"/>
    <cellStyle name="汇总 2 20 2 2 2" xfId="37333" xr:uid="{7429C126-BDC7-45A6-A1D5-124B798CAB45}"/>
    <cellStyle name="汇总 2 20 2 3" xfId="27825" xr:uid="{50261042-F429-46AF-A488-CAE96CA6AB71}"/>
    <cellStyle name="汇总 2 20 3" xfId="37214" xr:uid="{C1633858-01FA-431F-9E4F-7B4A2B37F802}"/>
    <cellStyle name="汇总 2 21" xfId="24090" xr:uid="{44F9E748-970B-4A93-B78E-D3EE293DD6A4}"/>
    <cellStyle name="汇总 2 21 2" xfId="26794" xr:uid="{B1FE3FDC-3ACA-42A1-A364-19C024AC7F8F}"/>
    <cellStyle name="汇总 2 21 2 2" xfId="38550" xr:uid="{231B06F1-F84A-49E1-AB09-8998FAE5FB41}"/>
    <cellStyle name="汇总 2 21 3" xfId="38490" xr:uid="{1C0E7B95-DAAE-4EFF-88AB-082872205402}"/>
    <cellStyle name="汇总 2 22" xfId="38464" xr:uid="{281A86DD-C773-4CAA-B183-4C3875FC108A}"/>
    <cellStyle name="汇总 2 3" xfId="24091" xr:uid="{92D5ED70-10C0-4B2A-8A11-53586390F0B4}"/>
    <cellStyle name="汇总 2 3 10" xfId="24092" xr:uid="{682301FC-A6CD-476C-926F-0D681BE57DC9}"/>
    <cellStyle name="汇总 2 3 10 2" xfId="24093" xr:uid="{625DAA6D-5952-462B-A097-86FC71B18782}"/>
    <cellStyle name="汇总 2 3 10 2 2" xfId="26795" xr:uid="{53EB5083-D621-462E-86F3-B6F91E01F1C5}"/>
    <cellStyle name="汇总 2 3 10 2 2 2" xfId="37334" xr:uid="{517BADE6-7B52-4782-B363-B0B991EFB772}"/>
    <cellStyle name="汇总 2 3 10 2 3" xfId="37216" xr:uid="{A6400C6A-68D4-4A29-A2A7-DA48A03351AA}"/>
    <cellStyle name="汇总 2 3 10 3" xfId="37215" xr:uid="{69588F42-7973-4D71-BC18-BA5FFCAD146C}"/>
    <cellStyle name="汇总 2 3 11" xfId="24094" xr:uid="{66ACE123-1F4F-45F6-A00A-027591CF8967}"/>
    <cellStyle name="汇总 2 3 11 2" xfId="24095" xr:uid="{24EE058B-898D-4FFD-8E1D-53283340C309}"/>
    <cellStyle name="汇总 2 3 11 2 2" xfId="26796" xr:uid="{347268AC-82BC-4C2F-B1C5-876DD09547BF}"/>
    <cellStyle name="汇总 2 3 11 2 2 2" xfId="37335" xr:uid="{A0D77F5D-76D9-4415-9587-BA3BAFEE8B42}"/>
    <cellStyle name="汇总 2 3 11 2 3" xfId="38491" xr:uid="{1E900E5F-A7A0-42EB-94E7-8F96690BD00A}"/>
    <cellStyle name="汇总 2 3 11 3" xfId="27827" xr:uid="{3F6C3222-C893-4981-8CF1-762BB7E632DD}"/>
    <cellStyle name="汇总 2 3 12" xfId="24096" xr:uid="{2E8DB3CF-E560-4947-840D-4978A2204A6B}"/>
    <cellStyle name="汇总 2 3 12 2" xfId="24097" xr:uid="{BF913A88-8859-4CC3-BD94-C22C90033C8B}"/>
    <cellStyle name="汇总 2 3 12 2 2" xfId="26797" xr:uid="{DCE5C611-D793-48A6-8ADB-5B3B7F84D0C4}"/>
    <cellStyle name="汇总 2 3 12 2 2 2" xfId="38551" xr:uid="{E4C877C3-A38F-4E9C-9A87-FB3759E7B52E}"/>
    <cellStyle name="汇总 2 3 12 2 3" xfId="37218" xr:uid="{36E4CA6B-9F17-4FA1-A39A-84DA0A8ABB7B}"/>
    <cellStyle name="汇总 2 3 12 3" xfId="37217" xr:uid="{33A97836-FA2C-4CFD-AF08-89BEEE4B07B8}"/>
    <cellStyle name="汇总 2 3 13" xfId="24098" xr:uid="{D894457B-3869-499C-BAB4-4A3D440ECE36}"/>
    <cellStyle name="汇总 2 3 13 2" xfId="24099" xr:uid="{C882045A-0C3B-460D-A442-4AE31EE2DA73}"/>
    <cellStyle name="汇总 2 3 13 2 2" xfId="26798" xr:uid="{C636E181-8F90-4741-96D3-79D01F4186E3}"/>
    <cellStyle name="汇总 2 3 13 2 2 2" xfId="37336" xr:uid="{E185567C-0953-4250-85AF-38CB8446252D}"/>
    <cellStyle name="汇总 2 3 13 2 3" xfId="27828" xr:uid="{D8E067F8-E952-4932-9EEE-28A095A2FA60}"/>
    <cellStyle name="汇总 2 3 13 3" xfId="38492" xr:uid="{A5F70C34-9EEA-4F8E-9AB3-7CF5F684E5D8}"/>
    <cellStyle name="汇总 2 3 14" xfId="24100" xr:uid="{26CB294F-3F29-4DA4-9CC2-F3D9958BAD14}"/>
    <cellStyle name="汇总 2 3 14 2" xfId="24101" xr:uid="{1FD1BFFF-D9E9-4492-87F1-2E86052C7AE9}"/>
    <cellStyle name="汇总 2 3 14 2 2" xfId="26799" xr:uid="{2F52064D-A994-4B33-A1DE-2794FACD17D8}"/>
    <cellStyle name="汇总 2 3 14 2 2 2" xfId="37337" xr:uid="{A01275E1-279C-4B52-856A-ED571DE3F821}"/>
    <cellStyle name="汇总 2 3 14 2 3" xfId="37220" xr:uid="{D58CBB61-96DA-464E-8978-028E81384F09}"/>
    <cellStyle name="汇总 2 3 14 3" xfId="37219" xr:uid="{8B8044AB-0830-45AA-B496-9914B875EA1C}"/>
    <cellStyle name="汇总 2 3 15" xfId="24102" xr:uid="{83F3AA20-3745-4C40-88B0-7D85C4AB8C1D}"/>
    <cellStyle name="汇总 2 3 15 2" xfId="24103" xr:uid="{1F472000-1669-4534-B90C-3B4F0F78798F}"/>
    <cellStyle name="汇总 2 3 15 2 2" xfId="26800" xr:uid="{78652D56-85D2-45D2-B928-B757F0000E9E}"/>
    <cellStyle name="汇总 2 3 15 2 2 2" xfId="38552" xr:uid="{0E8995C1-881B-4AF2-BA04-B941CF7D9990}"/>
    <cellStyle name="汇总 2 3 15 2 3" xfId="27829" xr:uid="{839A5498-493C-4AE0-849C-22D975C9325C}"/>
    <cellStyle name="汇总 2 3 15 3" xfId="38493" xr:uid="{12A40A5A-D582-4796-964A-6121C1CF8D0F}"/>
    <cellStyle name="汇总 2 3 16" xfId="24104" xr:uid="{B33E4928-9772-428E-88AD-6454C1EFDB07}"/>
    <cellStyle name="汇总 2 3 16 2" xfId="26801" xr:uid="{40C741E6-D838-431D-939E-F467C78914CE}"/>
    <cellStyle name="汇总 2 3 16 2 2" xfId="37338" xr:uid="{D262631D-439B-4B7A-AEE1-94044E275A97}"/>
    <cellStyle name="汇总 2 3 16 3" xfId="37221" xr:uid="{73C07352-1F4F-4D90-AD9B-6DC0C293E2ED}"/>
    <cellStyle name="汇总 2 3 17" xfId="27826" xr:uid="{8441BD54-6662-4A4C-8B4B-6CD20E8E1D71}"/>
    <cellStyle name="汇总 2 3 2" xfId="24105" xr:uid="{8D59CA59-7532-46EC-9A8B-DA4C7676F161}"/>
    <cellStyle name="汇总 2 3 2 2" xfId="24106" xr:uid="{8EE42A0B-7930-4739-82DA-F26594FBA66E}"/>
    <cellStyle name="汇总 2 3 2 2 2" xfId="26802" xr:uid="{659A4649-397F-458F-8B49-8917E63F9DCB}"/>
    <cellStyle name="汇总 2 3 2 2 2 2" xfId="37339" xr:uid="{1132FB52-4E52-4FEA-9977-D9709C70B91D}"/>
    <cellStyle name="汇总 2 3 2 2 3" xfId="37222" xr:uid="{CFCFE64A-7867-4441-9EDC-3ADF1369B21E}"/>
    <cellStyle name="汇总 2 3 2 3" xfId="27830" xr:uid="{A0D8D2F6-E4B5-4606-8426-AEF4FDC6D00E}"/>
    <cellStyle name="汇总 2 3 3" xfId="24107" xr:uid="{BBFD768F-F302-498B-BF95-539FB6D4FE2E}"/>
    <cellStyle name="汇总 2 3 3 2" xfId="24108" xr:uid="{BE13AD78-8F22-401E-A633-B82F8553EA71}"/>
    <cellStyle name="汇总 2 3 3 2 2" xfId="26803" xr:uid="{5137C023-5334-4CF6-A9AB-F0E428E2CB85}"/>
    <cellStyle name="汇总 2 3 3 2 2 2" xfId="38553" xr:uid="{45AFA59E-DD28-441C-82AF-6DEE8D3E91A9}"/>
    <cellStyle name="汇总 2 3 3 2 3" xfId="27831" xr:uid="{635A6BCB-F9DF-4892-B7B7-D70CFB334FD2}"/>
    <cellStyle name="汇总 2 3 3 3" xfId="38494" xr:uid="{99B74981-E49B-4A1E-AF76-9876A34EB869}"/>
    <cellStyle name="汇总 2 3 4" xfId="24109" xr:uid="{F8000540-0527-4893-A180-5704B1FA506E}"/>
    <cellStyle name="汇总 2 3 4 2" xfId="24110" xr:uid="{C84CEAA2-09B1-4BBF-AF4D-2BA03FBB0BD8}"/>
    <cellStyle name="汇总 2 3 4 2 2" xfId="26804" xr:uid="{FBF99AC9-94CF-4E36-A828-4AB69A091A76}"/>
    <cellStyle name="汇总 2 3 4 2 2 2" xfId="37340" xr:uid="{EF69FD27-C59E-463D-98AA-E5F54167ED64}"/>
    <cellStyle name="汇总 2 3 4 2 3" xfId="37224" xr:uid="{BBD45A9C-DA60-4ABC-A1C1-9F06152E7434}"/>
    <cellStyle name="汇总 2 3 4 3" xfId="37223" xr:uid="{BABBEC15-133F-45BD-9B03-7D6BE347BC5C}"/>
    <cellStyle name="汇总 2 3 5" xfId="24111" xr:uid="{527293CE-5C1E-49AC-ACC0-91301287D9B3}"/>
    <cellStyle name="汇总 2 3 5 2" xfId="24112" xr:uid="{F5EA8D16-4BC3-4B7D-AD22-F757E89EB2C4}"/>
    <cellStyle name="汇总 2 3 5 2 2" xfId="26805" xr:uid="{725BDD7D-01D9-4698-A94D-516B40CEFCDC}"/>
    <cellStyle name="汇总 2 3 5 2 2 2" xfId="37341" xr:uid="{01C15809-D2BD-41E9-8130-EF8E73E99FE3}"/>
    <cellStyle name="汇总 2 3 5 2 3" xfId="37225" xr:uid="{9E96D082-91C8-4CEF-AFBA-165A5A913275}"/>
    <cellStyle name="汇总 2 3 5 3" xfId="38495" xr:uid="{634F3EB6-0693-45B5-967B-EC82635BA748}"/>
    <cellStyle name="汇总 2 3 6" xfId="24113" xr:uid="{76D67681-5243-449E-8247-32CEF8AA7726}"/>
    <cellStyle name="汇总 2 3 6 2" xfId="24114" xr:uid="{20BE4EE5-A5E2-4A0C-B61B-87864476BEA8}"/>
    <cellStyle name="汇总 2 3 6 2 2" xfId="26806" xr:uid="{F39346DC-1073-4587-BD81-F5E3BE712D3C}"/>
    <cellStyle name="汇总 2 3 6 2 2 2" xfId="38554" xr:uid="{4992E4D0-F90A-4899-B97E-CBDC669C7807}"/>
    <cellStyle name="汇总 2 3 6 2 3" xfId="37788" xr:uid="{3FE079D5-1CDD-4D88-9A8E-F4FA9FDD4062}"/>
    <cellStyle name="汇总 2 3 6 3" xfId="38496" xr:uid="{FC1FBA6A-0D6B-4A0F-9DA0-B92870A54B1E}"/>
    <cellStyle name="汇总 2 3 7" xfId="24115" xr:uid="{C0158BA2-B3B9-4DCF-B058-6FC5DFAFA1AC}"/>
    <cellStyle name="汇总 2 3 7 2" xfId="24116" xr:uid="{FF612A6C-0628-4E20-86A2-A3FED551EE8C}"/>
    <cellStyle name="汇总 2 3 7 2 2" xfId="26807" xr:uid="{602584E1-5004-4BD2-B455-C8D48CF6F696}"/>
    <cellStyle name="汇总 2 3 7 2 2 2" xfId="37342" xr:uid="{B7BF9D68-0753-415D-A1B7-A3EED04DCEC9}"/>
    <cellStyle name="汇总 2 3 7 2 3" xfId="27832" xr:uid="{A7C41EAF-159E-4C3A-8105-16A3946FB3C2}"/>
    <cellStyle name="汇总 2 3 7 3" xfId="37226" xr:uid="{19EDB2E1-83C6-43C2-9BE6-54E156B8E9EA}"/>
    <cellStyle name="汇总 2 3 8" xfId="24117" xr:uid="{F3EA419D-C9FB-4761-9731-0DA5C5FC4A4F}"/>
    <cellStyle name="汇总 2 3 8 2" xfId="24118" xr:uid="{C054496B-8B9C-4C59-81F0-FD007EA95294}"/>
    <cellStyle name="汇总 2 3 8 2 2" xfId="26808" xr:uid="{37B5B6A8-2244-4278-9A07-CCE8314F10F0}"/>
    <cellStyle name="汇总 2 3 8 2 2 2" xfId="37343" xr:uid="{8C8F717F-EE5E-4494-9DBE-EAC7B61EA09D}"/>
    <cellStyle name="汇总 2 3 8 2 3" xfId="38497" xr:uid="{870ABB7B-9490-446C-AD95-557C9D41E60D}"/>
    <cellStyle name="汇总 2 3 8 3" xfId="37227" xr:uid="{54777A52-9679-445D-A51F-00154B0C01C9}"/>
    <cellStyle name="汇总 2 3 9" xfId="24119" xr:uid="{EE668A99-9E28-436D-A400-C188508851D3}"/>
    <cellStyle name="汇总 2 3 9 2" xfId="24120" xr:uid="{39820243-CC37-4827-8BB8-D49B328D4E34}"/>
    <cellStyle name="汇总 2 3 9 2 2" xfId="26809" xr:uid="{5A52D384-25DA-4443-8B02-6EC140096254}"/>
    <cellStyle name="汇总 2 3 9 2 2 2" xfId="38555" xr:uid="{99D70007-0FC9-444A-AAA9-CB9D2DD066B3}"/>
    <cellStyle name="汇总 2 3 9 2 3" xfId="37229" xr:uid="{C7294AE9-33D1-41C5-A08C-F03A1A8425CB}"/>
    <cellStyle name="汇总 2 3 9 3" xfId="37228" xr:uid="{1D175470-7CEA-4108-B774-B2D6F39EB02C}"/>
    <cellStyle name="汇总 2 4" xfId="24121" xr:uid="{463A67F1-673A-47F2-909F-A2BCCE626CA6}"/>
    <cellStyle name="汇总 2 4 2" xfId="24122" xr:uid="{990C2D18-A712-4D01-B661-73856D690BE1}"/>
    <cellStyle name="汇总 2 4 2 2" xfId="26810" xr:uid="{8B57A014-F65F-4AE1-9FAA-FF5276E70AA2}"/>
    <cellStyle name="汇总 2 4 2 2 2" xfId="37344" xr:uid="{170BE37F-771D-42CE-9960-358BCE81F3F2}"/>
    <cellStyle name="汇总 2 4 2 3" xfId="37230" xr:uid="{9CD900EE-25AC-456C-94B1-F89C6E0092D9}"/>
    <cellStyle name="汇总 2 4 3" xfId="38498" xr:uid="{C04640ED-7199-4272-A531-74CCFA927B98}"/>
    <cellStyle name="汇总 2 5" xfId="24123" xr:uid="{D14E9BFB-6ABA-4474-9273-26B88F5299AD}"/>
    <cellStyle name="汇总 2 5 2" xfId="24124" xr:uid="{DA1CEE83-1B1E-4E8D-A54B-CC9F68173374}"/>
    <cellStyle name="汇总 2 5 2 2" xfId="26811" xr:uid="{517C00C9-C4EC-407B-8DDA-062A688C22F6}"/>
    <cellStyle name="汇总 2 5 2 2 2" xfId="37345" xr:uid="{27E8091A-4651-47E5-8F51-22FA60F31502}"/>
    <cellStyle name="汇总 2 5 2 3" xfId="38499" xr:uid="{59585816-5F94-432B-88E8-DEF8C4577427}"/>
    <cellStyle name="汇总 2 5 3" xfId="37231" xr:uid="{F56DFEE0-D580-4362-964E-EF161BAC2922}"/>
    <cellStyle name="汇总 2 6" xfId="24125" xr:uid="{7035C7C4-D0C0-4940-A3B1-C28C151265AB}"/>
    <cellStyle name="汇总 2 6 2" xfId="24126" xr:uid="{14BCCF95-79BD-47E9-BE56-E9791F98475C}"/>
    <cellStyle name="汇总 2 6 2 2" xfId="26812" xr:uid="{7DD0B5D9-BBA9-4A1B-AAB3-D5B761745A86}"/>
    <cellStyle name="汇总 2 6 2 2 2" xfId="38556" xr:uid="{D1DCC931-A71B-46B7-8CC3-07F7F3A09166}"/>
    <cellStyle name="汇总 2 6 2 3" xfId="37232" xr:uid="{3C192702-6E50-4A5D-9A15-BB5535318C56}"/>
    <cellStyle name="汇总 2 6 3" xfId="27833" xr:uid="{0A447ABA-518E-4D14-B41E-C5553A2C4B5A}"/>
    <cellStyle name="汇总 2 7" xfId="24127" xr:uid="{E0DAEF0B-CECD-4597-85BE-F07C99B2AD83}"/>
    <cellStyle name="汇总 2 7 2" xfId="24128" xr:uid="{11AC2937-20F5-4A8A-B448-139054A63780}"/>
    <cellStyle name="汇总 2 7 2 2" xfId="26813" xr:uid="{2F590832-1EF2-4BCD-AD50-BC1CC2DE30C8}"/>
    <cellStyle name="汇总 2 7 2 2 2" xfId="37346" xr:uid="{80222F3A-52EE-419D-A6B9-8F23416945AD}"/>
    <cellStyle name="汇总 2 7 2 3" xfId="37233" xr:uid="{5BC70A5E-964C-4871-9B2C-96E67430BA9C}"/>
    <cellStyle name="汇总 2 7 3" xfId="37789" xr:uid="{2E2B78C8-E32B-4859-9206-1AE3CAEFBBAB}"/>
    <cellStyle name="汇总 2 8" xfId="24129" xr:uid="{D4513E1D-B6A8-4BEE-B8BA-29E1E4179E0F}"/>
    <cellStyle name="汇总 2 8 2" xfId="24130" xr:uid="{82EDEF09-9239-48C4-A16A-6D35F898F52E}"/>
    <cellStyle name="汇总 2 8 2 2" xfId="26814" xr:uid="{302D0F03-1B84-4A0E-94D2-B4C0BD91D6E0}"/>
    <cellStyle name="汇总 2 8 2 2 2" xfId="37347" xr:uid="{0DD57043-6C0C-45F3-AD84-92604E98B5FC}"/>
    <cellStyle name="汇总 2 8 2 3" xfId="27834" xr:uid="{0741BB84-DA80-4279-BD35-7D35A98B36D8}"/>
    <cellStyle name="汇总 2 8 3" xfId="38500" xr:uid="{B85A9B40-2A36-4DE6-B4AB-72B28BC79A5E}"/>
    <cellStyle name="汇总 2 9" xfId="24131" xr:uid="{969EB266-0E99-44CD-94E1-DFE74D5932C4}"/>
    <cellStyle name="汇总 2 9 2" xfId="24132" xr:uid="{A45232B0-B602-484D-BF90-ADEF4335D513}"/>
    <cellStyle name="汇总 2 9 2 2" xfId="26815" xr:uid="{C52AB1C5-1C2D-41CE-9993-24E0F6BFEE9D}"/>
    <cellStyle name="汇总 2 9 2 2 2" xfId="38557" xr:uid="{B7C30034-6139-4F97-B041-9E3430EDA34A}"/>
    <cellStyle name="汇总 2 9 2 3" xfId="37235" xr:uid="{D723B448-783E-41B4-BC94-14CE24FE895E}"/>
    <cellStyle name="汇总 2 9 3" xfId="37234" xr:uid="{62D7D60E-5823-4EA5-A51F-F94EED958BE2}"/>
    <cellStyle name="汇总 20" xfId="24133" xr:uid="{F4DDCFA8-7D4B-434D-8754-EE6310814211}"/>
    <cellStyle name="汇总 20 2" xfId="24134" xr:uid="{5225EFA5-E4C8-44B1-A8F6-D5B00F928B4F}"/>
    <cellStyle name="汇总 20 2 2" xfId="26816" xr:uid="{81C42061-4C36-48DB-A089-1A3DD79053D7}"/>
    <cellStyle name="汇总 20 2 2 2" xfId="37348" xr:uid="{84761BA9-C2A8-4F5E-865A-BB7233099440}"/>
    <cellStyle name="汇总 20 2 3" xfId="37236" xr:uid="{D03CBC03-B35A-4B83-A1E1-B34AAC67EE61}"/>
    <cellStyle name="汇总 20 3" xfId="38501" xr:uid="{32384D54-74CF-480E-9095-3D3040E02FBE}"/>
    <cellStyle name="汇总 21" xfId="24135" xr:uid="{B3598899-F0BD-408D-A935-C8163751E7FD}"/>
    <cellStyle name="汇总 21 2" xfId="24136" xr:uid="{C6F632F8-19CC-49E6-B46F-E5FB2B398371}"/>
    <cellStyle name="汇总 21 2 2" xfId="26817" xr:uid="{C363C21B-5DE7-4FAF-8062-75282DA34BA4}"/>
    <cellStyle name="汇总 21 2 2 2" xfId="37349" xr:uid="{5C1EBE24-4792-41A0-B1AC-0FB57952C6C6}"/>
    <cellStyle name="汇总 21 2 3" xfId="37237" xr:uid="{4BDD9674-27EB-45D2-A187-BDAB57A7480D}"/>
    <cellStyle name="汇总 21 3" xfId="27835" xr:uid="{DF92134F-A61F-4776-B9EC-704553D30448}"/>
    <cellStyle name="汇总 22" xfId="24137" xr:uid="{B4F9FD36-36BA-45DF-92A0-5C8555B858DB}"/>
    <cellStyle name="汇总 22 2" xfId="24138" xr:uid="{AAC6B06C-F9F8-4EF1-A624-E6D8021D1044}"/>
    <cellStyle name="汇总 22 2 2" xfId="26818" xr:uid="{799A60EB-2BE2-4464-A0FA-7E907067CA71}"/>
    <cellStyle name="汇总 22 2 2 2" xfId="38558" xr:uid="{DCDA0916-A9E3-4AD8-AE17-EB4ED37D7A03}"/>
    <cellStyle name="汇总 22 2 3" xfId="37238" xr:uid="{3A110F8C-9715-428F-957C-6A512B49D5A1}"/>
    <cellStyle name="汇总 22 3" xfId="38502" xr:uid="{3498AC31-252E-4290-90F1-9125996E3923}"/>
    <cellStyle name="汇总 23" xfId="24139" xr:uid="{08ED8E11-4360-468E-8F3D-7DFBFD925A07}"/>
    <cellStyle name="汇总 23 2" xfId="26819" xr:uid="{C44248D3-5F66-4621-9843-ECC8A4E65309}"/>
    <cellStyle name="汇总 23 2 2" xfId="37350" xr:uid="{D1BE82AA-9579-4597-9C5B-581E5D2C8D88}"/>
    <cellStyle name="汇总 23 3" xfId="27836" xr:uid="{00087966-CCEC-4403-A127-202B46AE1DA9}"/>
    <cellStyle name="汇总 24" xfId="37142" xr:uid="{EF26B22E-AE36-4027-B15F-F1916CD35147}"/>
    <cellStyle name="汇总 3" xfId="24140" xr:uid="{16AFAB46-DADA-4C9C-9E9E-CE2F5E387B0A}"/>
    <cellStyle name="汇总 3 10" xfId="24141" xr:uid="{BAC8248F-020B-47B5-B1F2-83F923169EAF}"/>
    <cellStyle name="汇总 3 10 2" xfId="27837" xr:uid="{0162E266-DA3A-4BD3-A412-4F115D3CB735}"/>
    <cellStyle name="汇总 3 11" xfId="24142" xr:uid="{58E2D357-A4F9-457F-A981-6880D96B90E8}"/>
    <cellStyle name="汇总 3 11 2" xfId="38503" xr:uid="{C5804461-6644-4365-8D32-0D29061AB42D}"/>
    <cellStyle name="汇总 3 12" xfId="24143" xr:uid="{1F692977-9CED-4C30-B8D4-6C8081FF4272}"/>
    <cellStyle name="汇总 3 12 2" xfId="37240" xr:uid="{8EDB5E03-87D2-488C-A531-CE794D58BC91}"/>
    <cellStyle name="汇总 3 13" xfId="24144" xr:uid="{EAC93671-06E3-4304-976F-427096C69956}"/>
    <cellStyle name="汇总 3 13 2" xfId="27838" xr:uid="{ED72F592-120B-4C08-8C3A-13F025E0C82D}"/>
    <cellStyle name="汇总 3 14" xfId="24145" xr:uid="{F6068F78-D597-4B04-9F1B-DFFA010D67EC}"/>
    <cellStyle name="汇总 3 14 2" xfId="37241" xr:uid="{F1260195-00A2-4A21-996B-58D04B642116}"/>
    <cellStyle name="汇总 3 15" xfId="24146" xr:uid="{4AD8A3E7-91E0-4774-A2B5-08714011D914}"/>
    <cellStyle name="汇总 3 15 2" xfId="37242" xr:uid="{9219C639-2A80-48BA-9177-EAF0D1A9E49F}"/>
    <cellStyle name="汇总 3 16" xfId="24147" xr:uid="{D83D250C-6F94-4070-95B5-B8002D300A4A}"/>
    <cellStyle name="汇总 3 16 2" xfId="38504" xr:uid="{34E607F1-6848-4DB2-A965-CCDF4F8DB531}"/>
    <cellStyle name="汇总 3 17" xfId="24148" xr:uid="{E863922A-9CEA-45E5-B93E-83EBA3E151B0}"/>
    <cellStyle name="汇总 3 17 2" xfId="37243" xr:uid="{9A482764-A84E-4FB7-B478-BFF55256BB5C}"/>
    <cellStyle name="汇总 3 18" xfId="24149" xr:uid="{DC727013-44A7-4913-8C8F-D8B4AB9FF189}"/>
    <cellStyle name="汇总 3 18 2" xfId="37244" xr:uid="{BA665CB8-4B32-4E56-9838-EDDA9A61433F}"/>
    <cellStyle name="汇总 3 19" xfId="24150" xr:uid="{A495F34A-2AE8-485B-BE25-87A915F2CB48}"/>
    <cellStyle name="汇总 3 19 2" xfId="38505" xr:uid="{54F65FF1-07F2-4F3B-9537-D566DAF3843A}"/>
    <cellStyle name="汇总 3 2" xfId="24151" xr:uid="{3BF5C5C4-3690-46AF-A685-AD9E1D24F8F4}"/>
    <cellStyle name="汇总 3 2 10" xfId="24152" xr:uid="{2B6AA1A3-7BB0-446F-98C5-ACB847D1FCE4}"/>
    <cellStyle name="汇总 3 2 10 2" xfId="24153" xr:uid="{B7FE27C0-972A-4706-835B-699CEAED15FA}"/>
    <cellStyle name="汇总 3 2 10 2 2" xfId="26820" xr:uid="{63A1C62C-0C7B-4A58-96D9-746176BAB6D9}"/>
    <cellStyle name="汇总 3 2 10 2 2 2" xfId="37351" xr:uid="{8746350D-94B2-41F8-9F88-AB79A68E0227}"/>
    <cellStyle name="汇总 3 2 10 2 3" xfId="38506" xr:uid="{2D0FB753-90F6-46CD-824B-D349CC5F216E}"/>
    <cellStyle name="汇总 3 2 10 3" xfId="37246" xr:uid="{58B8931D-00C5-4BAC-8FC6-B6975554BCD5}"/>
    <cellStyle name="汇总 3 2 11" xfId="24154" xr:uid="{3AA99654-D262-428E-89D5-0EEBD700BAF1}"/>
    <cellStyle name="汇总 3 2 11 2" xfId="24155" xr:uid="{D685A06F-07DA-49E4-8C17-D564BFA07838}"/>
    <cellStyle name="汇总 3 2 11 2 2" xfId="26821" xr:uid="{3C39E47A-FF88-43C1-B03C-7D2F69BE0058}"/>
    <cellStyle name="汇总 3 2 11 2 2 2" xfId="38559" xr:uid="{F87DE6B4-4E16-4A58-B25C-8FF3127D9D8D}"/>
    <cellStyle name="汇总 3 2 11 2 3" xfId="37248" xr:uid="{01E5876C-64A7-4A9A-A076-59DED32D7763}"/>
    <cellStyle name="汇总 3 2 11 3" xfId="37247" xr:uid="{2BAC7345-F12D-4B7C-A82C-66E2091BEA36}"/>
    <cellStyle name="汇总 3 2 12" xfId="24156" xr:uid="{2E7ACF18-5400-48A5-A16B-664E51DCB940}"/>
    <cellStyle name="汇总 3 2 12 2" xfId="24157" xr:uid="{A92F16B7-B6AA-4595-93A0-211BEB0C0ADC}"/>
    <cellStyle name="汇总 3 2 12 2 2" xfId="26822" xr:uid="{D347C89F-58D0-4EE4-BB77-C448E8F3D8D1}"/>
    <cellStyle name="汇总 3 2 12 2 2 2" xfId="37352" xr:uid="{6FCF5DB0-C53E-4CF2-A00F-7897C7157C0C}"/>
    <cellStyle name="汇总 3 2 12 2 3" xfId="27839" xr:uid="{0E7C9A51-0A4D-44D8-B8F1-4A90AEA11D15}"/>
    <cellStyle name="汇总 3 2 12 3" xfId="38507" xr:uid="{AD33CCFC-F059-4A78-97EE-B42F949D5ADE}"/>
    <cellStyle name="汇总 3 2 13" xfId="24158" xr:uid="{31505AE0-6711-4BA6-93F3-7FB0C46E3EB4}"/>
    <cellStyle name="汇总 3 2 13 2" xfId="24159" xr:uid="{13684165-B891-438A-BBAA-7BF62CB028FD}"/>
    <cellStyle name="汇总 3 2 13 2 2" xfId="26823" xr:uid="{7362B5EC-F2A3-4641-8817-F3915D04BF59}"/>
    <cellStyle name="汇总 3 2 13 2 2 2" xfId="37353" xr:uid="{99C48AB8-C957-4A82-930B-B09F11EF069C}"/>
    <cellStyle name="汇总 3 2 13 2 3" xfId="37790" xr:uid="{38448FF8-5D24-4321-AD16-688430C2E7F0}"/>
    <cellStyle name="汇总 3 2 13 3" xfId="37249" xr:uid="{AF5DD4FB-202E-45C3-9EB6-FDDC7AE77981}"/>
    <cellStyle name="汇总 3 2 14" xfId="24160" xr:uid="{09AA9412-637E-4C07-98DD-EBDE772AA42F}"/>
    <cellStyle name="汇总 3 2 14 2" xfId="24161" xr:uid="{1B59093E-BF1F-4E41-A71A-E23FC9D781C4}"/>
    <cellStyle name="汇总 3 2 14 2 2" xfId="26824" xr:uid="{0BB041D2-6594-4681-8540-517483FE00BB}"/>
    <cellStyle name="汇总 3 2 14 2 2 2" xfId="38560" xr:uid="{5EE68206-0E73-4552-9C54-302D6BF2E5CF}"/>
    <cellStyle name="汇总 3 2 14 2 3" xfId="38508" xr:uid="{E48BD64F-75BF-45AD-A83B-787F80F7CC28}"/>
    <cellStyle name="汇总 3 2 14 3" xfId="37250" xr:uid="{3E2F10FA-184A-48A9-8866-E6D3D7D06250}"/>
    <cellStyle name="汇总 3 2 15" xfId="24162" xr:uid="{83616C54-F7E6-4255-9F6B-4960C48E28F6}"/>
    <cellStyle name="汇总 3 2 15 2" xfId="24163" xr:uid="{3C4A09E4-C8D3-4CF9-96B7-6EF586933B96}"/>
    <cellStyle name="汇总 3 2 15 2 2" xfId="26825" xr:uid="{CEBD4CFA-C027-4CE1-AE0C-F8CF6E19B766}"/>
    <cellStyle name="汇总 3 2 15 2 2 2" xfId="37354" xr:uid="{25DC25BB-B709-4BEE-B5CD-F7E301598913}"/>
    <cellStyle name="汇总 3 2 15 2 3" xfId="37251" xr:uid="{66AFCFB5-77C5-4D80-B51F-6C66698CEA43}"/>
    <cellStyle name="汇总 3 2 15 3" xfId="27840" xr:uid="{CE51FB17-67BA-4EB6-81B9-A817DCF2214F}"/>
    <cellStyle name="汇总 3 2 16" xfId="24164" xr:uid="{1897A2F9-C34B-4256-A6C1-184EE26BCF6E}"/>
    <cellStyle name="汇总 3 2 16 2" xfId="24165" xr:uid="{15E5DEC6-DCCE-4FFB-9AC0-A60FEB77D0D4}"/>
    <cellStyle name="汇总 3 2 16 2 2" xfId="26826" xr:uid="{D82B1992-C8A9-4384-8D1D-5C497F20DBC0}"/>
    <cellStyle name="汇总 3 2 16 2 2 2" xfId="37355" xr:uid="{520D3E34-0F41-4216-A0B1-419A6D94F412}"/>
    <cellStyle name="汇总 3 2 16 2 3" xfId="38509" xr:uid="{54049F4A-08EB-47E9-8BAA-ED6E3753E29E}"/>
    <cellStyle name="汇总 3 2 16 3" xfId="37252" xr:uid="{FC09512C-2597-4C4B-9AD2-B6A576329D66}"/>
    <cellStyle name="汇总 3 2 17" xfId="24166" xr:uid="{58A2735E-E949-437D-B921-5C36A1ADBF88}"/>
    <cellStyle name="汇总 3 2 17 2" xfId="24167" xr:uid="{6240E2BA-9C62-4C2B-860B-D7B24EC35721}"/>
    <cellStyle name="汇总 3 2 17 2 2" xfId="26827" xr:uid="{7C889F90-2C76-434B-9DAA-05F94EEFF47F}"/>
    <cellStyle name="汇总 3 2 17 2 2 2" xfId="38561" xr:uid="{8CF3920B-8E88-46B7-A2CF-33BCA4C37E85}"/>
    <cellStyle name="汇总 3 2 17 2 3" xfId="27841" xr:uid="{40310B44-8801-4033-A31C-C2A412301558}"/>
    <cellStyle name="汇总 3 2 17 3" xfId="37253" xr:uid="{92CE5569-AF98-4E47-849C-2109C257DDBB}"/>
    <cellStyle name="汇总 3 2 18" xfId="24168" xr:uid="{3D33FD8D-3814-445B-B754-964F81D4292E}"/>
    <cellStyle name="汇总 3 2 18 2" xfId="24169" xr:uid="{DA1820EB-4CB6-454D-8516-A7F66BF73B23}"/>
    <cellStyle name="汇总 3 2 18 2 2" xfId="26828" xr:uid="{84CE6576-F5B5-43B9-BE41-C616D047C341}"/>
    <cellStyle name="汇总 3 2 18 2 2 2" xfId="37851" xr:uid="{0D9547AA-DDD5-4B20-8552-32632F2C7B38}"/>
    <cellStyle name="汇总 3 2 18 2 3" xfId="37254" xr:uid="{559EC2CB-3DD6-4C50-BD96-5EA2D87C03E8}"/>
    <cellStyle name="汇总 3 2 18 3" xfId="38510" xr:uid="{99CD7858-EBF3-4EF2-9183-4395182BA8C5}"/>
    <cellStyle name="汇总 3 2 19" xfId="24170" xr:uid="{1DB34CD0-938D-45FC-AF7D-3C43257E7FDE}"/>
    <cellStyle name="汇总 3 2 19 2" xfId="24171" xr:uid="{AC3278D0-5229-4762-BBC3-C30B97E6A1D0}"/>
    <cellStyle name="汇总 3 2 19 2 2" xfId="26829" xr:uid="{428AC681-E7E3-4BA5-AFA1-194D64A0A6C0}"/>
    <cellStyle name="汇总 3 2 19 2 2 2" xfId="37356" xr:uid="{42B83B88-45D9-4358-8666-C211AAEE0D11}"/>
    <cellStyle name="汇总 3 2 19 2 3" xfId="27842" xr:uid="{6C4C28D9-EDE7-4A04-B99D-65A433D87B8A}"/>
    <cellStyle name="汇总 3 2 19 3" xfId="37255" xr:uid="{CF1C38BD-D4EA-4ACD-9F5E-ED3A93CD9D00}"/>
    <cellStyle name="汇总 3 2 2" xfId="24172" xr:uid="{7BC020E9-7C97-42F8-A678-F7AD83B7E49A}"/>
    <cellStyle name="汇总 3 2 2 10" xfId="24173" xr:uid="{599D5A4B-7D48-4397-A312-BBF94C169296}"/>
    <cellStyle name="汇总 3 2 2 10 2" xfId="24174" xr:uid="{345603CB-CFAE-4C40-AB8E-E539265F994B}"/>
    <cellStyle name="汇总 3 2 2 10 2 2" xfId="26830" xr:uid="{8125012A-8715-4814-A0D3-DEF1AF777BC1}"/>
    <cellStyle name="汇总 3 2 2 10 2 2 2" xfId="28052" xr:uid="{5A28F782-010D-4526-8519-27D88BF0651E}"/>
    <cellStyle name="汇总 3 2 2 10 2 3" xfId="37256" xr:uid="{7A7A40C9-16DE-4C63-B2D4-7F6A2EBCECB9}"/>
    <cellStyle name="汇总 3 2 2 10 3" xfId="37791" xr:uid="{D1CEE370-1769-46D7-9A32-A9911E86A3CD}"/>
    <cellStyle name="汇总 3 2 2 11" xfId="24175" xr:uid="{D3F2B6A7-3F0F-4818-8682-C367714469D2}"/>
    <cellStyle name="汇总 3 2 2 11 2" xfId="24176" xr:uid="{47FE107C-5A26-4D24-A534-DA3AAD9C32A6}"/>
    <cellStyle name="汇总 3 2 2 11 2 2" xfId="26831" xr:uid="{B3C19DBD-835E-441E-91BE-7558F23D8D85}"/>
    <cellStyle name="汇总 3 2 2 11 2 2 2" xfId="28050" xr:uid="{B98BB670-6248-4282-8B96-899B7968E13E}"/>
    <cellStyle name="汇总 3 2 2 11 2 3" xfId="27843" xr:uid="{E7674E76-FA83-4530-A7BB-8F01DE50B773}"/>
    <cellStyle name="汇总 3 2 2 11 3" xfId="37257" xr:uid="{FDE9ABF4-EE36-4BC5-9D75-B8061456293A}"/>
    <cellStyle name="汇总 3 2 2 12" xfId="24177" xr:uid="{276E35A6-CC06-4CA0-A3E0-A6F4C69436F7}"/>
    <cellStyle name="汇总 3 2 2 12 2" xfId="24178" xr:uid="{40957401-9F0A-4311-9C5A-C74628BD5D67}"/>
    <cellStyle name="汇总 3 2 2 12 2 2" xfId="26832" xr:uid="{430A4A03-D24F-4004-ABA5-8C021BFC4AF3}"/>
    <cellStyle name="汇总 3 2 2 12 2 2 2" xfId="37357" xr:uid="{7C50DBAB-1AF6-47F5-9769-2FD694A87BD1}"/>
    <cellStyle name="汇总 3 2 2 12 2 3" xfId="37258" xr:uid="{6231C0EE-E842-405D-9504-4285F86A5705}"/>
    <cellStyle name="汇总 3 2 2 12 3" xfId="38512" xr:uid="{70B9349F-6A6A-4B5C-AEB8-80B387EE97EB}"/>
    <cellStyle name="汇总 3 2 2 13" xfId="24179" xr:uid="{28A4D28B-F2F8-4E6C-8BDA-5A4E59DAA7BE}"/>
    <cellStyle name="汇总 3 2 2 13 2" xfId="24180" xr:uid="{922FF9E2-EE5E-4B67-86B3-60458DDCE49D}"/>
    <cellStyle name="汇总 3 2 2 13 2 2" xfId="26833" xr:uid="{FFF044EF-3985-4B15-9B60-5333ECEC1355}"/>
    <cellStyle name="汇总 3 2 2 13 2 2 2" xfId="28051" xr:uid="{AED2130B-37CC-45AC-98E8-1CBA2C6EED4C}"/>
    <cellStyle name="汇总 3 2 2 13 2 3" xfId="38513" xr:uid="{533FC39F-AD99-4F67-8796-24427D84E679}"/>
    <cellStyle name="汇总 3 2 2 13 3" xfId="37259" xr:uid="{F80D4623-6CEC-43BE-80D3-DBBB1BF62C99}"/>
    <cellStyle name="汇总 3 2 2 14" xfId="24181" xr:uid="{5C498479-F9F0-4006-A5A6-120A7ACC08E4}"/>
    <cellStyle name="汇总 3 2 2 14 2" xfId="24182" xr:uid="{2BA7C8A1-030C-455F-95B0-1ABD851901B3}"/>
    <cellStyle name="汇总 3 2 2 14 2 2" xfId="26834" xr:uid="{B6E3CACE-80FE-4B61-89E1-9A53C0D1E93A}"/>
    <cellStyle name="汇总 3 2 2 14 2 2 2" xfId="38562" xr:uid="{E5CF27B7-E4DE-455D-B257-C46ECAEBBF63}"/>
    <cellStyle name="汇总 3 2 2 14 2 3" xfId="37261" xr:uid="{0BD7D278-7D3A-4366-AFC7-346DE29B45EE}"/>
    <cellStyle name="汇总 3 2 2 14 3" xfId="37260" xr:uid="{22501391-E736-40A3-8352-EC614567FA4B}"/>
    <cellStyle name="汇总 3 2 2 15" xfId="24183" xr:uid="{C922AA37-EDDB-464C-9C0D-5C2785DA5886}"/>
    <cellStyle name="汇总 3 2 2 15 2" xfId="24184" xr:uid="{C102D0FE-4774-4B82-8576-EB58FAAABBE2}"/>
    <cellStyle name="汇总 3 2 2 15 2 2" xfId="26835" xr:uid="{D4635209-FDA3-4895-B60F-CF212E3B4A8F}"/>
    <cellStyle name="汇总 3 2 2 15 2 2 2" xfId="37358" xr:uid="{8274B066-1A7B-4CDF-82F5-CA59E2184841}"/>
    <cellStyle name="汇总 3 2 2 15 2 3" xfId="27844" xr:uid="{EE334243-245D-4082-B0D1-F2602F922EA6}"/>
    <cellStyle name="汇总 3 2 2 15 3" xfId="38514" xr:uid="{AF7D257D-3A65-4508-BEA3-6AD56CE2FBE7}"/>
    <cellStyle name="汇总 3 2 2 16" xfId="24185" xr:uid="{AE5931F9-1F48-4881-BE2C-2414901F71E5}"/>
    <cellStyle name="汇总 3 2 2 16 2" xfId="26836" xr:uid="{4CBC4E31-4879-4D33-9541-90FC586BC6DA}"/>
    <cellStyle name="汇总 3 2 2 16 2 2" xfId="37359" xr:uid="{A99AC06B-A453-4024-A176-C5962F33746E}"/>
    <cellStyle name="汇总 3 2 2 16 3" xfId="37262" xr:uid="{3E1AD0B4-E341-44DB-A0E5-5A25B7F52338}"/>
    <cellStyle name="汇总 3 2 2 17" xfId="38511" xr:uid="{299158EB-7C6C-47BE-851D-28DF5AD7BEC5}"/>
    <cellStyle name="汇总 3 2 2 2" xfId="24186" xr:uid="{9797BE99-9B07-4105-8C1B-BA55B72C86C5}"/>
    <cellStyle name="汇总 3 2 2 2 2" xfId="24187" xr:uid="{E8CBB38D-9443-42B0-8122-4311131D194E}"/>
    <cellStyle name="汇总 3 2 2 2 2 2" xfId="26837" xr:uid="{54BF396B-C1B4-4BA1-B513-60551B1E2FF8}"/>
    <cellStyle name="汇总 3 2 2 2 2 2 2" xfId="38563" xr:uid="{9C13AA43-90D3-43CF-BE77-1154B086B84E}"/>
    <cellStyle name="汇总 3 2 2 2 2 3" xfId="37263" xr:uid="{F30BE71A-128A-4154-8BEF-AB00EE124C95}"/>
    <cellStyle name="汇总 3 2 2 2 3" xfId="27845" xr:uid="{3E2AF98E-90E4-4718-ADB6-6C5424482889}"/>
    <cellStyle name="汇总 3 2 2 3" xfId="24188" xr:uid="{9DE2721B-9A6D-4426-B27C-0404DB1720B8}"/>
    <cellStyle name="汇总 3 2 2 3 2" xfId="24189" xr:uid="{524DA410-7BF1-46F5-98F2-7421A60287FB}"/>
    <cellStyle name="汇总 3 2 2 3 2 2" xfId="26838" xr:uid="{723C1AD1-96D4-47BA-B83E-A62882ED6894}"/>
    <cellStyle name="汇总 3 2 2 3 2 2 2" xfId="37360" xr:uid="{D33CBD0E-BCED-4637-9C3D-C7AC951F8680}"/>
    <cellStyle name="汇总 3 2 2 3 2 3" xfId="27846" xr:uid="{B8BE8BAA-9070-4869-BC2A-244B08F96F80}"/>
    <cellStyle name="汇总 3 2 2 3 3" xfId="38515" xr:uid="{64C68AA6-CE1D-48B6-9B77-9DF43F409E79}"/>
    <cellStyle name="汇总 3 2 2 4" xfId="24190" xr:uid="{06557D70-7472-4210-B141-00E87B978B74}"/>
    <cellStyle name="汇总 3 2 2 4 2" xfId="24191" xr:uid="{E43C7FA8-D716-4BC0-8BDD-523F092195C5}"/>
    <cellStyle name="汇总 3 2 2 4 2 2" xfId="26839" xr:uid="{614BA4CE-9CE0-4039-973A-526197EA0CB5}"/>
    <cellStyle name="汇总 3 2 2 4 2 2 2" xfId="38564" xr:uid="{0B1AAA15-A637-48E0-A23E-9E4B17040E2B}"/>
    <cellStyle name="汇总 3 2 2 4 2 3" xfId="37265" xr:uid="{0C0A10C4-3968-4BE4-8F9C-D09D64540051}"/>
    <cellStyle name="汇总 3 2 2 4 3" xfId="37264" xr:uid="{5579F6DB-B4A6-45BD-8CDD-7F7FC0A95663}"/>
    <cellStyle name="汇总 3 2 2 5" xfId="24192" xr:uid="{36C2C100-1215-40C5-80D2-9F4FF7D880DD}"/>
    <cellStyle name="汇总 3 2 2 5 2" xfId="24193" xr:uid="{C6BF78D9-A927-4B31-9B05-0C5D3A884DE1}"/>
    <cellStyle name="汇总 3 2 2 5 2 2" xfId="26840" xr:uid="{F34F6778-2DA4-4D18-8193-3112E4987F8E}"/>
    <cellStyle name="汇总 3 2 2 5 2 2 2" xfId="37361" xr:uid="{89BAF1F4-1AF9-4C29-B316-BCBDD9768B03}"/>
    <cellStyle name="汇总 3 2 2 5 2 3" xfId="37266" xr:uid="{EF4DCE73-9E8B-4FB4-AAB3-634A95C9C587}"/>
    <cellStyle name="汇总 3 2 2 5 3" xfId="38516" xr:uid="{57EBD98A-FFF5-4CB2-B007-174088C09960}"/>
    <cellStyle name="汇总 3 2 2 6" xfId="24194" xr:uid="{75F3944F-45A7-48A3-BA64-72DD078563C8}"/>
    <cellStyle name="汇总 3 2 2 6 2" xfId="24195" xr:uid="{BDA4084B-6F8D-4E41-BCF5-2C55FD9C76B6}"/>
    <cellStyle name="汇总 3 2 2 6 2 2" xfId="26841" xr:uid="{F88725EC-24AB-4AC1-A465-BA0DC652625B}"/>
    <cellStyle name="汇总 3 2 2 6 2 2 2" xfId="37362" xr:uid="{3C7A01D4-C677-4079-A31D-2658B491E1AB}"/>
    <cellStyle name="汇总 3 2 2 6 2 3" xfId="37267" xr:uid="{E210BDB0-E9F2-46D8-AF13-A604A29AE077}"/>
    <cellStyle name="汇总 3 2 2 6 3" xfId="37792" xr:uid="{32EC921B-A03F-45AD-A7B9-B5F838824C51}"/>
    <cellStyle name="汇总 3 2 2 7" xfId="24196" xr:uid="{ED124667-76E2-4F74-A505-2FC0ADD37386}"/>
    <cellStyle name="汇总 3 2 2 7 2" xfId="24197" xr:uid="{0F916016-DE43-411E-AB43-5C4B09172462}"/>
    <cellStyle name="汇总 3 2 2 7 2 2" xfId="26842" xr:uid="{6A3307AD-0273-4F82-856D-874D4967BA54}"/>
    <cellStyle name="汇总 3 2 2 7 2 2 2" xfId="37363" xr:uid="{87953CC3-6BD5-46DA-BFEF-7D7628894AA7}"/>
    <cellStyle name="汇总 3 2 2 7 2 3" xfId="37268" xr:uid="{919D6C8B-F972-4088-808E-4D8250770C63}"/>
    <cellStyle name="汇总 3 2 2 7 3" xfId="38517" xr:uid="{90611F56-E116-4BD9-9572-E5E0E93A95E3}"/>
    <cellStyle name="汇总 3 2 2 8" xfId="24198" xr:uid="{A79DF7AE-B31F-45F0-B1A9-5311F836BCFC}"/>
    <cellStyle name="汇总 3 2 2 8 2" xfId="24199" xr:uid="{8B8EB4D2-B37D-4020-992F-5CA492DEDAEF}"/>
    <cellStyle name="汇总 3 2 2 8 2 2" xfId="26843" xr:uid="{3D0F57C1-AD0E-45A0-A55F-6DE20EB4F58A}"/>
    <cellStyle name="汇总 3 2 2 8 2 2 2" xfId="38565" xr:uid="{CBF36E40-75F1-4FAA-913A-6E2D3AB3786F}"/>
    <cellStyle name="汇总 3 2 2 8 2 3" xfId="37269" xr:uid="{8345B88F-A877-4BDA-A13A-1018FCBD8DE4}"/>
    <cellStyle name="汇总 3 2 2 8 3" xfId="27847" xr:uid="{E2CE75B5-DED7-43A3-82B4-58447F3D4C06}"/>
    <cellStyle name="汇总 3 2 2 9" xfId="24200" xr:uid="{2CDFE6F9-D0D2-4E8A-8E79-09FB21224DB8}"/>
    <cellStyle name="汇总 3 2 2 9 2" xfId="24201" xr:uid="{6375F301-7E51-4999-9E6A-4E3B9A81BC38}"/>
    <cellStyle name="汇总 3 2 2 9 2 2" xfId="26844" xr:uid="{E63B6BE6-6FB2-4BCD-B814-763E54855C08}"/>
    <cellStyle name="汇总 3 2 2 9 2 2 2" xfId="37364" xr:uid="{179D6A84-998B-414A-8DD4-41ED3FA9C48C}"/>
    <cellStyle name="汇总 3 2 2 9 2 3" xfId="38518" xr:uid="{3A5F5A28-E531-4BCA-A0A3-79026164EF98}"/>
    <cellStyle name="汇总 3 2 2 9 3" xfId="27848" xr:uid="{D60A3CB3-2295-4001-8A1C-3D9F82CEFC2E}"/>
    <cellStyle name="汇总 3 2 20" xfId="24202" xr:uid="{45BDAEBD-73A9-4761-9E08-1E245F22BF96}"/>
    <cellStyle name="汇总 3 2 20 2" xfId="26845" xr:uid="{87CEABCE-DDCB-4E21-9B74-9CA73E9CE64E}"/>
    <cellStyle name="汇总 3 2 20 2 2" xfId="37365" xr:uid="{44A701AD-40E4-4296-8642-52B70FBDC480}"/>
    <cellStyle name="汇总 3 2 20 3" xfId="37270" xr:uid="{BB72CEA6-BF84-4DAE-9F60-CA4DAD363C10}"/>
    <cellStyle name="汇总 3 2 21" xfId="37245" xr:uid="{CE64ACB5-C2F2-4CB0-AF6C-E0FE4F2C9A75}"/>
    <cellStyle name="汇总 3 2 3" xfId="24203" xr:uid="{8AD0B0DC-B9D6-45F8-99AE-AD753B5541C8}"/>
    <cellStyle name="汇总 3 2 3 2" xfId="24204" xr:uid="{471B43F4-D21B-4C14-843B-27C01F968114}"/>
    <cellStyle name="汇总 3 2 3 2 2" xfId="26846" xr:uid="{F6250DCB-0519-4B13-914A-3B7548FE760B}"/>
    <cellStyle name="汇总 3 2 3 2 2 2" xfId="38566" xr:uid="{C13C0DC2-1334-4385-9D2A-A90EBD812936}"/>
    <cellStyle name="汇总 3 2 3 2 3" xfId="37271" xr:uid="{289300F8-ED31-4FEF-AAFE-468DC33331B6}"/>
    <cellStyle name="汇总 3 2 3 3" xfId="37793" xr:uid="{B5DA1BB9-46C6-47AB-B976-C2C7EC22EDD1}"/>
    <cellStyle name="汇总 3 2 4" xfId="24205" xr:uid="{B2F37CA0-C617-473D-A395-1BAE2B03A387}"/>
    <cellStyle name="汇总 3 2 4 2" xfId="24206" xr:uid="{A6D33911-27D7-40E8-9A20-EEE50C957C4F}"/>
    <cellStyle name="汇总 3 2 4 2 2" xfId="26847" xr:uid="{0E9A8ED1-8058-4366-BC12-B7033BA2AE5C}"/>
    <cellStyle name="汇总 3 2 4 2 2 2" xfId="37366" xr:uid="{26D5B15D-BBE9-4B2E-9AAF-9E96966D301B}"/>
    <cellStyle name="汇总 3 2 4 2 3" xfId="37272" xr:uid="{A6510C0C-CC4E-4EEB-93A7-ED7347C7FA6D}"/>
    <cellStyle name="汇总 3 2 4 3" xfId="38519" xr:uid="{26065509-697E-4077-A6EA-100BDD4B36BA}"/>
    <cellStyle name="汇总 3 2 5" xfId="24207" xr:uid="{50CB43DB-4D36-4B27-9B52-B9ACD472C3D9}"/>
    <cellStyle name="汇总 3 2 5 2" xfId="24208" xr:uid="{712A4B48-DC52-4BB4-AB21-8AB881D51B2E}"/>
    <cellStyle name="汇总 3 2 5 2 2" xfId="26848" xr:uid="{81DCB41F-E873-4607-97DA-D301A5EB28D8}"/>
    <cellStyle name="汇总 3 2 5 2 2 2" xfId="37367" xr:uid="{CFE00502-EB38-44CA-8F52-DAB9A0997268}"/>
    <cellStyle name="汇总 3 2 5 2 3" xfId="38520" xr:uid="{A02502CA-49FC-461C-9B86-E9F34198DC55}"/>
    <cellStyle name="汇总 3 2 5 3" xfId="37273" xr:uid="{A2F152A9-7F7B-4E7D-A283-B3FBF579485F}"/>
    <cellStyle name="汇总 3 2 6" xfId="24209" xr:uid="{086F995B-2A6F-426D-94A6-8962FF048272}"/>
    <cellStyle name="汇总 3 2 6 2" xfId="24210" xr:uid="{02C79C9B-58B2-4833-8E33-B7CFE85DF18E}"/>
    <cellStyle name="汇总 3 2 6 2 2" xfId="26849" xr:uid="{314A4A4F-4C61-4600-B16C-55470309768C}"/>
    <cellStyle name="汇总 3 2 6 2 2 2" xfId="38567" xr:uid="{211465D1-A0E6-4622-A4B6-9305ED699C61}"/>
    <cellStyle name="汇总 3 2 6 2 3" xfId="37275" xr:uid="{96D3EB96-3760-4811-857A-9D1E3C907D65}"/>
    <cellStyle name="汇总 3 2 6 3" xfId="37274" xr:uid="{932737E6-9159-4FA8-B37D-EFD4D2E9E323}"/>
    <cellStyle name="汇总 3 2 7" xfId="24211" xr:uid="{5E6F27C1-AE80-4638-BB56-EFBB88F9A94C}"/>
    <cellStyle name="汇总 3 2 7 2" xfId="24212" xr:uid="{CC014261-4861-4AA9-AB49-D6D219EA07E0}"/>
    <cellStyle name="汇总 3 2 7 2 2" xfId="26850" xr:uid="{BA57A4A4-41ED-4F28-B065-9140D9E20F29}"/>
    <cellStyle name="汇总 3 2 7 2 2 2" xfId="37368" xr:uid="{BF0B62B5-9290-4567-ABC6-BBD6AC825B70}"/>
    <cellStyle name="汇总 3 2 7 2 3" xfId="38521" xr:uid="{674AF793-1F30-4121-B48E-6B43AAC824ED}"/>
    <cellStyle name="汇总 3 2 7 3" xfId="27849" xr:uid="{F9A775BE-B1FE-46A6-A122-54C80AFEC191}"/>
    <cellStyle name="汇总 3 2 8" xfId="24213" xr:uid="{6EA2C859-5B4B-4AE1-8A1A-D78F1F3C37EB}"/>
    <cellStyle name="汇总 3 2 8 2" xfId="24214" xr:uid="{FFC522D8-7486-40E5-B32C-D5CCDEB5A7FD}"/>
    <cellStyle name="汇总 3 2 8 2 2" xfId="26851" xr:uid="{D09B5988-435C-4B18-9237-5C80E3385EAE}"/>
    <cellStyle name="汇总 3 2 8 2 2 2" xfId="37369" xr:uid="{6C0DFEFC-D160-471F-8D6A-32AF78C1E748}"/>
    <cellStyle name="汇总 3 2 8 2 3" xfId="37276" xr:uid="{2C745E0A-F76D-4DE6-910C-7CAA590E37F5}"/>
    <cellStyle name="汇总 3 2 8 3" xfId="37794" xr:uid="{0ABF58B9-D5B7-46DE-A773-58D73A451944}"/>
    <cellStyle name="汇总 3 2 9" xfId="24215" xr:uid="{5510C93D-8775-41FC-B289-0B7C4532A9DA}"/>
    <cellStyle name="汇总 3 2 9 2" xfId="24216" xr:uid="{E00A4254-8B86-4BF8-B511-E64B45425F89}"/>
    <cellStyle name="汇总 3 2 9 2 2" xfId="26852" xr:uid="{85DC41EA-EA88-41D9-9710-F3E2A041AF2B}"/>
    <cellStyle name="汇总 3 2 9 2 2 2" xfId="38568" xr:uid="{CE70CA92-BDD4-4C2A-85E3-6F3BE0E52934}"/>
    <cellStyle name="汇总 3 2 9 2 3" xfId="27850" xr:uid="{A7B0DEE4-8245-43A3-B503-E205C6A43AFE}"/>
    <cellStyle name="汇总 3 2 9 3" xfId="37277" xr:uid="{31AA9B5E-AABE-4D53-944B-4E1759F92F50}"/>
    <cellStyle name="汇总 3 20" xfId="24217" xr:uid="{A4CDB8EB-39D8-4AB4-B74E-FBD565F07A37}"/>
    <cellStyle name="汇总 3 20 2" xfId="38522" xr:uid="{3AE2B581-155A-4561-AA6B-05FDEFAD5E16}"/>
    <cellStyle name="汇总 3 21" xfId="24218" xr:uid="{3905BD72-7097-4DC4-8780-2A8C21558715}"/>
    <cellStyle name="汇总 3 21 2" xfId="36135" xr:uid="{9EA62D7B-D92B-42A6-9952-6DA418B07C65}"/>
    <cellStyle name="汇总 3 22" xfId="24219" xr:uid="{390AF8BF-38D9-47CB-9BB6-A7062843C415}"/>
    <cellStyle name="汇总 3 22 2" xfId="36136" xr:uid="{E29B0F4D-EE75-4A25-9835-7C3F2DD60709}"/>
    <cellStyle name="汇总 3 23" xfId="24220" xr:uid="{829025BE-C29F-41DA-9428-A0965DE8779B}"/>
    <cellStyle name="汇总 3 23 2" xfId="36137" xr:uid="{02A64655-1D7D-436D-9DFD-0AADFDA507A1}"/>
    <cellStyle name="汇总 3 24" xfId="24221" xr:uid="{917427D5-6A8B-4443-B606-ADCBEB4B7FF4}"/>
    <cellStyle name="汇总 3 24 2" xfId="38190" xr:uid="{EDB35F5E-02C4-4EE5-8863-6089123A24F0}"/>
    <cellStyle name="汇总 3 25" xfId="24222" xr:uid="{5C1635F3-748F-419D-B46D-966FF9A945A6}"/>
    <cellStyle name="汇总 3 25 2" xfId="24223" xr:uid="{6D38465A-4AC7-4924-AC3C-C7FFA1326A46}"/>
    <cellStyle name="汇总 3 25 2 2" xfId="26853" xr:uid="{C5777ECF-47D6-4543-84D2-4EC93640BC91}"/>
    <cellStyle name="汇总 3 25 2 2 2" xfId="37370" xr:uid="{B7DCA312-EC0A-406D-B9B8-5F0E77BB7D63}"/>
    <cellStyle name="汇总 3 25 2 3" xfId="27851" xr:uid="{B2C4E21D-6ADC-4D43-B769-3AB0B177C98B}"/>
    <cellStyle name="汇总 3 25 3" xfId="36138" xr:uid="{310EF860-3E7E-4673-8AD8-B6B2A13DD283}"/>
    <cellStyle name="汇总 3 26" xfId="24224" xr:uid="{43402A78-D0D3-4F4D-9FB0-08F665DE4EDE}"/>
    <cellStyle name="汇总 3 26 2" xfId="26854" xr:uid="{EED1E155-00BF-451B-BACE-7190D4D0A0FF}"/>
    <cellStyle name="汇总 3 26 2 2" xfId="37371" xr:uid="{746991FC-A3E7-4FF8-807B-79C201D4DED6}"/>
    <cellStyle name="汇总 3 26 3" xfId="36139" xr:uid="{1996EB67-2FB5-4EE1-98D1-7D391E7FB241}"/>
    <cellStyle name="汇总 3 27" xfId="37239" xr:uid="{FB9C8760-EE4B-45F4-9454-DA0C136149CF}"/>
    <cellStyle name="汇总 3 3" xfId="24225" xr:uid="{3CA9EDFB-EBDD-4499-B13B-00FF4F61507C}"/>
    <cellStyle name="汇总 3 3 10" xfId="24226" xr:uid="{F10155FB-E04B-413E-8FF7-B603402D784B}"/>
    <cellStyle name="汇总 3 3 10 2" xfId="24227" xr:uid="{17CBD9DF-3D1D-4AFC-AD68-9CE8CFE7EE8C}"/>
    <cellStyle name="汇总 3 3 10 2 2" xfId="26855" xr:uid="{DFC8E364-ECFC-4C50-B92A-91A8D430D0DE}"/>
    <cellStyle name="汇总 3 3 10 2 2 2" xfId="38569" xr:uid="{5BF7F096-FC1C-4DB6-99E7-04CE187EA1C0}"/>
    <cellStyle name="汇总 3 3 10 2 3" xfId="36140" xr:uid="{6ECCA996-C904-40DC-B9FC-E1FE4EC21DE5}"/>
    <cellStyle name="汇总 3 3 10 3" xfId="38191" xr:uid="{24A40BE9-84AE-4F1C-97DE-AAFE71A7806E}"/>
    <cellStyle name="汇总 3 3 11" xfId="24228" xr:uid="{50DCE3E1-CA9B-4A8A-BB1A-604511CC9EA4}"/>
    <cellStyle name="汇总 3 3 11 2" xfId="24229" xr:uid="{8C58F96E-F708-4F08-B34D-D740AF755B47}"/>
    <cellStyle name="汇总 3 3 11 2 2" xfId="26856" xr:uid="{9CAF9622-A5A7-40F8-8455-CA46F819FE06}"/>
    <cellStyle name="汇总 3 3 11 2 2 2" xfId="37372" xr:uid="{C89DB8D6-752D-47E8-A6BA-513D0DBDA0C9}"/>
    <cellStyle name="汇总 3 3 11 2 3" xfId="36141" xr:uid="{76FCF1CD-C0A9-4F6F-AFCE-7ECF9A5DCA69}"/>
    <cellStyle name="汇总 3 3 11 3" xfId="37795" xr:uid="{070C3F15-1A12-46F2-8ACF-36CBEAD17CBE}"/>
    <cellStyle name="汇总 3 3 12" xfId="24230" xr:uid="{93B65BE6-732B-457D-ADE8-0E120D3365AE}"/>
    <cellStyle name="汇总 3 3 12 2" xfId="24231" xr:uid="{739382B3-51A4-4AEA-A957-7D4A76C74037}"/>
    <cellStyle name="汇总 3 3 12 2 2" xfId="26857" xr:uid="{CCF5D7DB-F7FD-4930-B084-FA7FFA5AB35F}"/>
    <cellStyle name="汇总 3 3 12 2 2 2" xfId="38570" xr:uid="{4BDF3AE1-A5C9-437E-9137-E12A5A393BFC}"/>
    <cellStyle name="汇总 3 3 12 2 3" xfId="36142" xr:uid="{30D52C70-3C57-4D4C-9B67-8A441745A625}"/>
    <cellStyle name="汇总 3 3 12 3" xfId="38192" xr:uid="{BD122ECB-E41E-468A-B3D6-88AB35873CED}"/>
    <cellStyle name="汇总 3 3 13" xfId="24232" xr:uid="{E9C50A72-D26C-4A95-BA4F-67457556FCE0}"/>
    <cellStyle name="汇总 3 3 13 2" xfId="24233" xr:uid="{E818541E-84F5-479E-8E8C-ED0372F0E0AA}"/>
    <cellStyle name="汇总 3 3 13 2 2" xfId="26858" xr:uid="{1B031458-6457-4C74-A245-A2348E104FA7}"/>
    <cellStyle name="汇总 3 3 13 2 2 2" xfId="37373" xr:uid="{704C0020-0E10-4E01-8932-DCCBEF98EC56}"/>
    <cellStyle name="汇总 3 3 13 2 3" xfId="27853" xr:uid="{2D027309-436D-44A6-AC5B-0F5925271EF5}"/>
    <cellStyle name="汇总 3 3 13 3" xfId="36143" xr:uid="{D8628DBA-38DB-49F3-9B18-25B6EE85EDAD}"/>
    <cellStyle name="汇总 3 3 14" xfId="24234" xr:uid="{FD598F35-F7D2-40AE-A039-C727EB7CF013}"/>
    <cellStyle name="汇总 3 3 14 2" xfId="24235" xr:uid="{9FD8A227-765D-48FB-A279-1742451A3F35}"/>
    <cellStyle name="汇总 3 3 14 2 2" xfId="26859" xr:uid="{C6C4856E-4C09-4E4E-B6D0-187EADC85D96}"/>
    <cellStyle name="汇总 3 3 14 2 2 2" xfId="37374" xr:uid="{579AD305-51F3-4BF4-80AA-99C2D2DD9FAF}"/>
    <cellStyle name="汇总 3 3 14 2 3" xfId="36144" xr:uid="{4DAE908E-B5E7-42EA-81F1-0671EE4BB939}"/>
    <cellStyle name="汇总 3 3 14 3" xfId="38193" xr:uid="{116A0440-EF04-48FF-A977-8DFF201025F1}"/>
    <cellStyle name="汇总 3 3 15" xfId="24236" xr:uid="{E3BD539D-8DF8-4318-98C2-8E65F2D7C995}"/>
    <cellStyle name="汇总 3 3 15 2" xfId="24237" xr:uid="{9EDE46A1-08D9-48F2-A247-7B5CAFB86751}"/>
    <cellStyle name="汇总 3 3 15 2 2" xfId="26860" xr:uid="{C266F2FE-890B-400E-B134-123D347924FA}"/>
    <cellStyle name="汇总 3 3 15 2 2 2" xfId="38571" xr:uid="{D01FD758-D2EA-497C-8727-EE32CD7AFEA4}"/>
    <cellStyle name="汇总 3 3 15 2 3" xfId="27854" xr:uid="{331B6F7E-E3DB-4602-8598-C56B351A3967}"/>
    <cellStyle name="汇总 3 3 15 3" xfId="36145" xr:uid="{0BEEE3BC-1167-472B-B347-C161650AC7ED}"/>
    <cellStyle name="汇总 3 3 16" xfId="24238" xr:uid="{561A7DEC-FEF2-4521-989E-B027D384F6D8}"/>
    <cellStyle name="汇总 3 3 16 2" xfId="26861" xr:uid="{807D204F-DB5D-4C3F-91A3-0A2B5A754438}"/>
    <cellStyle name="汇总 3 3 16 2 2" xfId="37375" xr:uid="{99450CD7-178E-494B-86CF-DAF655A2BBA9}"/>
    <cellStyle name="汇总 3 3 16 3" xfId="38194" xr:uid="{513CC5FE-F867-463E-9E80-DB86E193183C}"/>
    <cellStyle name="汇总 3 3 17" xfId="27852" xr:uid="{AED5B2A9-D5CB-4CCF-AA37-837C96E82B3D}"/>
    <cellStyle name="汇总 3 3 2" xfId="24239" xr:uid="{8F45FA21-182E-4C55-B0DE-E27D9AE6C123}"/>
    <cellStyle name="汇总 3 3 2 2" xfId="24240" xr:uid="{553C8646-5644-4A4E-93B7-972739FC894F}"/>
    <cellStyle name="汇总 3 3 2 2 2" xfId="26862" xr:uid="{00968AD3-76CB-4D9B-9F4F-9A0B0CF3FA62}"/>
    <cellStyle name="汇总 3 3 2 2 2 2" xfId="37376" xr:uid="{E9098C3A-9222-40C7-A29A-81479B6F1439}"/>
    <cellStyle name="汇总 3 3 2 2 3" xfId="36146" xr:uid="{2FEC7414-5D97-482F-B98D-0813AFE9A18E}"/>
    <cellStyle name="汇总 3 3 2 3" xfId="27855" xr:uid="{79B1252D-C881-43C8-A86B-768096AC6B4B}"/>
    <cellStyle name="汇总 3 3 3" xfId="24241" xr:uid="{87DB4A37-9392-42ED-8C9C-40C7092A8146}"/>
    <cellStyle name="汇总 3 3 3 2" xfId="24242" xr:uid="{89DCC4AC-2C17-4E81-B9B3-3EBFBE3E1522}"/>
    <cellStyle name="汇总 3 3 3 2 2" xfId="26863" xr:uid="{75E15BEC-1141-45C1-9F66-0A23AB23F392}"/>
    <cellStyle name="汇总 3 3 3 2 2 2" xfId="38572" xr:uid="{472C685B-4B2E-4D74-9713-985A0BEA3A5B}"/>
    <cellStyle name="汇总 3 3 3 2 3" xfId="27856" xr:uid="{C326BDBA-E56F-44B5-B347-D09DB7010F2C}"/>
    <cellStyle name="汇总 3 3 3 3" xfId="36147" xr:uid="{3014CDF1-DCC4-4F07-9CC7-2B967CE26918}"/>
    <cellStyle name="汇总 3 3 4" xfId="24243" xr:uid="{1AD49758-86DE-45FB-A384-2542C3B9CFC8}"/>
    <cellStyle name="汇总 3 3 4 2" xfId="24244" xr:uid="{5AB5B21E-A37A-4EB0-BC20-94932A33A844}"/>
    <cellStyle name="汇总 3 3 4 2 2" xfId="26864" xr:uid="{D79EB3BE-0838-4401-A129-7FA1F6AD0984}"/>
    <cellStyle name="汇总 3 3 4 2 2 2" xfId="37377" xr:uid="{179B8C92-8274-48AE-BCC5-1349D06DBF26}"/>
    <cellStyle name="汇总 3 3 4 2 3" xfId="36148" xr:uid="{9FCA26AA-1C7C-409C-A369-45C84EB2A79D}"/>
    <cellStyle name="汇总 3 3 4 3" xfId="38195" xr:uid="{CB83EBC7-627E-43D0-A18C-71E23458F7A2}"/>
    <cellStyle name="汇总 3 3 5" xfId="24245" xr:uid="{6F8DB21F-9AA8-46EB-869A-D9ECF5ADF367}"/>
    <cellStyle name="汇总 3 3 5 2" xfId="24246" xr:uid="{66574783-8C25-40DE-869F-DD37CB1B763C}"/>
    <cellStyle name="汇总 3 3 5 2 2" xfId="26865" xr:uid="{A5A5EE2B-5F9D-4A78-A82B-35A2A65660DE}"/>
    <cellStyle name="汇总 3 3 5 2 2 2" xfId="37378" xr:uid="{B5E9ED79-3F66-42F9-8EA7-3D32C796270C}"/>
    <cellStyle name="汇总 3 3 5 2 3" xfId="38196" xr:uid="{71BD11E4-FBFA-411C-8371-88B619E3691A}"/>
    <cellStyle name="汇总 3 3 5 3" xfId="36149" xr:uid="{705F18CB-BA86-4111-8EE6-902B0D0A9AE9}"/>
    <cellStyle name="汇总 3 3 6" xfId="24247" xr:uid="{DF59613A-E085-4FD1-95B1-353B5D662A17}"/>
    <cellStyle name="汇总 3 3 6 2" xfId="24248" xr:uid="{19FA4B53-69AD-4E75-9B95-63EE00A1E0DC}"/>
    <cellStyle name="汇总 3 3 6 2 2" xfId="26866" xr:uid="{AC75ABB7-8E5E-47F7-B671-6F8E4B391FD7}"/>
    <cellStyle name="汇总 3 3 6 2 2 2" xfId="38573" xr:uid="{0D9E4678-D6B7-4BAC-AF1C-15EA20FAE984}"/>
    <cellStyle name="汇总 3 3 6 2 3" xfId="27857" xr:uid="{B50EC152-B118-42C1-96E7-3F050B4DCAEF}"/>
    <cellStyle name="汇总 3 3 6 3" xfId="36150" xr:uid="{3C51ABC7-96C1-47F2-9E1E-5E3EAA37E29D}"/>
    <cellStyle name="汇总 3 3 7" xfId="24249" xr:uid="{4EAB6841-BE0A-4C59-BA76-5482A56DE8A8}"/>
    <cellStyle name="汇总 3 3 7 2" xfId="24250" xr:uid="{76841FB8-992A-4A47-B13C-91D9DF7A5301}"/>
    <cellStyle name="汇总 3 3 7 2 2" xfId="26867" xr:uid="{714BEADA-6B40-4EEA-8CD9-8740641FB851}"/>
    <cellStyle name="汇总 3 3 7 2 2 2" xfId="37379" xr:uid="{C70B5912-CD4F-4D88-A65D-9F746A7F5D48}"/>
    <cellStyle name="汇总 3 3 7 2 3" xfId="38197" xr:uid="{60236D34-A49E-4383-902C-A31E2B5CE4DB}"/>
    <cellStyle name="汇总 3 3 7 3" xfId="36151" xr:uid="{62F45B25-0885-4487-8088-AB7C97BE4A79}"/>
    <cellStyle name="汇总 3 3 8" xfId="24251" xr:uid="{66053C2C-DE4E-4D85-8DFE-F3ECBBC03DA7}"/>
    <cellStyle name="汇总 3 3 8 2" xfId="24252" xr:uid="{06C50300-A288-43BB-BBE1-7C5711FD1C53}"/>
    <cellStyle name="汇总 3 3 8 2 2" xfId="26868" xr:uid="{11F9E02D-B2F7-4400-B2B0-7142839989DC}"/>
    <cellStyle name="汇总 3 3 8 2 2 2" xfId="37380" xr:uid="{7464E3D9-CFC5-4890-8EF5-A72F42E74D34}"/>
    <cellStyle name="汇总 3 3 8 2 3" xfId="27858" xr:uid="{F2333FD4-4022-494B-AAC7-949BEB8F582C}"/>
    <cellStyle name="汇总 3 3 8 3" xfId="36152" xr:uid="{B9A4AC56-DFB4-40AA-A56F-29414DBCF0F1}"/>
    <cellStyle name="汇总 3 3 9" xfId="24253" xr:uid="{960D4DF1-E361-48F9-BF32-81804C944FEF}"/>
    <cellStyle name="汇总 3 3 9 2" xfId="24254" xr:uid="{BF51A2D9-E71F-4D2B-9E19-7E8FD22BA309}"/>
    <cellStyle name="汇总 3 3 9 2 2" xfId="26869" xr:uid="{B8C3B03F-6807-430D-9526-9E6324472235}"/>
    <cellStyle name="汇总 3 3 9 2 2 2" xfId="38574" xr:uid="{BF744D5C-57C8-4B37-A2E1-5008071982B4}"/>
    <cellStyle name="汇总 3 3 9 2 3" xfId="27859" xr:uid="{B4EC2E8D-3149-4E22-B93A-87FF9057EA77}"/>
    <cellStyle name="汇总 3 3 9 3" xfId="36153" xr:uid="{C8A0810C-E8E9-47B9-BBE6-386D5616604C}"/>
    <cellStyle name="汇总 3 4" xfId="24255" xr:uid="{13EEA6EF-6B8A-4818-9AA2-7FBC870E9D36}"/>
    <cellStyle name="汇总 3 4 2" xfId="38198" xr:uid="{145C109B-E589-4715-B25F-58D12DE8464D}"/>
    <cellStyle name="汇总 3 5" xfId="24256" xr:uid="{728F117E-0D45-4CC1-B031-F2310737BF32}"/>
    <cellStyle name="汇总 3 5 2" xfId="36154" xr:uid="{89869659-95E4-4D4D-9315-3D0ACF3BA1A1}"/>
    <cellStyle name="汇总 3 6" xfId="24257" xr:uid="{57438A65-53D8-4904-8E76-13FA3387CB13}"/>
    <cellStyle name="汇总 3 6 2" xfId="27860" xr:uid="{7586F0E3-CA9A-40A3-95B0-43034ECB051D}"/>
    <cellStyle name="汇总 3 7" xfId="24258" xr:uid="{D26BE36D-B150-4DB9-8A98-4829177A8EE6}"/>
    <cellStyle name="汇总 3 7 2" xfId="36155" xr:uid="{72BC37D8-8B4D-4A0D-9C89-84981E7690D3}"/>
    <cellStyle name="汇总 3 8" xfId="24259" xr:uid="{BC3AE4A4-C0A9-4DE5-8020-56671176751B}"/>
    <cellStyle name="汇总 3 8 2" xfId="38199" xr:uid="{92F3AFFE-091E-4A32-914E-B72C5D318E6F}"/>
    <cellStyle name="汇总 3 9" xfId="24260" xr:uid="{D796CB9A-52A8-480E-8FED-B9193757FC64}"/>
    <cellStyle name="汇总 3 9 2" xfId="36156" xr:uid="{4739D13C-2D3E-498F-99C5-055F00E50287}"/>
    <cellStyle name="汇总 4" xfId="24261" xr:uid="{599CF6A3-69C1-4617-BFEB-076AAE55A768}"/>
    <cellStyle name="汇总 4 10" xfId="24262" xr:uid="{AEE4AEB3-1C6D-4C5E-A51B-09C3DFD3D842}"/>
    <cellStyle name="汇总 4 10 2" xfId="24263" xr:uid="{92D6B789-C031-492E-85E9-C917D30E33A4}"/>
    <cellStyle name="汇总 4 10 2 2" xfId="26870" xr:uid="{ABF84BF8-0A49-4803-8AB1-F7FB051E26C9}"/>
    <cellStyle name="汇总 4 10 2 2 2" xfId="37381" xr:uid="{BE420FFF-66C9-4E03-89A8-DF97A64F2FD5}"/>
    <cellStyle name="汇总 4 10 2 3" xfId="38200" xr:uid="{E49211CF-32C2-40A1-A1CE-D29CC79F2BFE}"/>
    <cellStyle name="汇总 4 10 3" xfId="36158" xr:uid="{0AACC596-648F-4DE3-B852-9858BC4F21B2}"/>
    <cellStyle name="汇总 4 11" xfId="24264" xr:uid="{2164F08B-20B8-43FA-854E-B2314F8E7936}"/>
    <cellStyle name="汇总 4 11 2" xfId="24265" xr:uid="{2070EEFF-324C-4801-B63A-E9323F0DD921}"/>
    <cellStyle name="汇总 4 11 2 2" xfId="26871" xr:uid="{3B5E0C85-BA3F-4B08-94D6-DD1CB46A1F5E}"/>
    <cellStyle name="汇总 4 11 2 2 2" xfId="37382" xr:uid="{E8974139-04A7-42FB-9416-2A9071B772C6}"/>
    <cellStyle name="汇总 4 11 2 3" xfId="27861" xr:uid="{4CF1E579-3FC6-4D73-98CB-562412939692}"/>
    <cellStyle name="汇总 4 11 3" xfId="36159" xr:uid="{34326D80-3815-4EFE-AEAE-2431F9C99952}"/>
    <cellStyle name="汇总 4 12" xfId="24266" xr:uid="{12695CB3-8375-4F4C-BEB0-72D94AC0B07C}"/>
    <cellStyle name="汇总 4 12 2" xfId="24267" xr:uid="{800A9C53-0DFC-4A4B-A073-1F7BB7B3DE60}"/>
    <cellStyle name="汇总 4 12 2 2" xfId="26872" xr:uid="{E4FB8C1D-FABA-43DD-BCEF-2C9A7DD6F3CF}"/>
    <cellStyle name="汇总 4 12 2 2 2" xfId="38575" xr:uid="{C4811A61-3AF8-459C-9DE1-7E741A0C635E}"/>
    <cellStyle name="汇总 4 12 2 3" xfId="27862" xr:uid="{A52BA3D3-391B-411D-9972-13E9B61131CC}"/>
    <cellStyle name="汇总 4 12 3" xfId="36160" xr:uid="{E2429CF0-E0D9-488D-BF70-96013BD8F3FF}"/>
    <cellStyle name="汇总 4 13" xfId="24268" xr:uid="{FC2EFB77-3D72-406E-A5F3-517DD913A8A0}"/>
    <cellStyle name="汇总 4 13 2" xfId="24269" xr:uid="{A03D17E3-B343-442A-957E-0132AE626643}"/>
    <cellStyle name="汇总 4 13 2 2" xfId="26873" xr:uid="{2DE313E0-8934-4635-BEEF-07B5B42BA97F}"/>
    <cellStyle name="汇总 4 13 2 2 2" xfId="37383" xr:uid="{32D99BDA-8496-46BD-95BC-28DAC50FB165}"/>
    <cellStyle name="汇总 4 13 2 3" xfId="36161" xr:uid="{5B19D0EE-5F97-487B-B7E3-B1D5F1F02A30}"/>
    <cellStyle name="汇总 4 13 3" xfId="38201" xr:uid="{5F736F5E-59E0-42F2-B570-BBEEB5AAC783}"/>
    <cellStyle name="汇总 4 14" xfId="24270" xr:uid="{218E9596-D595-48F3-8289-FD663D024E90}"/>
    <cellStyle name="汇总 4 14 2" xfId="24271" xr:uid="{B4C9EAFF-947A-4D35-91A5-25CD6483B3CF}"/>
    <cellStyle name="汇总 4 14 2 2" xfId="26874" xr:uid="{5CF3D498-667E-4ADE-9062-30E67A65C2C0}"/>
    <cellStyle name="汇总 4 14 2 2 2" xfId="37384" xr:uid="{98E743A5-FD12-4BF5-9B8A-CA51E196A30E}"/>
    <cellStyle name="汇总 4 14 2 3" xfId="36162" xr:uid="{2881B055-3990-4E87-AF7B-ACBAA2F059E4}"/>
    <cellStyle name="汇总 4 14 3" xfId="37796" xr:uid="{9273536C-41B6-4F5A-88ED-2E263890E250}"/>
    <cellStyle name="汇总 4 15" xfId="24272" xr:uid="{55204984-C796-4505-AEB9-2A8F58C9FC7A}"/>
    <cellStyle name="汇总 4 15 2" xfId="24273" xr:uid="{9FC53198-DC2E-43E6-B191-873C5481E4B7}"/>
    <cellStyle name="汇总 4 15 2 2" xfId="26875" xr:uid="{BF42CA89-ADD8-40B6-A1F2-6434FC24863D}"/>
    <cellStyle name="汇总 4 15 2 2 2" xfId="38576" xr:uid="{B756D695-DA73-404A-8A4E-24AF46E53DE8}"/>
    <cellStyle name="汇总 4 15 2 3" xfId="36163" xr:uid="{489069F0-F6CA-41AF-99CD-42F72921F6E7}"/>
    <cellStyle name="汇总 4 15 3" xfId="38202" xr:uid="{EBB62AA0-7913-4C7F-8892-9A30A9BDD3FA}"/>
    <cellStyle name="汇总 4 16" xfId="24274" xr:uid="{848D47C8-90DB-41D5-BBFE-0615878C88CC}"/>
    <cellStyle name="汇总 4 16 2" xfId="24275" xr:uid="{FBA5677D-22EB-4E88-84F8-8A91D206FD24}"/>
    <cellStyle name="汇总 4 16 2 2" xfId="26876" xr:uid="{6C9DA7E3-D5C0-4D2E-9871-B5D2194A80A7}"/>
    <cellStyle name="汇总 4 16 2 2 2" xfId="37385" xr:uid="{46E6B5DE-EC72-4654-A562-F26E0D2A8B0D}"/>
    <cellStyle name="汇总 4 16 2 3" xfId="27863" xr:uid="{EF807A5C-8387-4025-B151-DB80E4A38C69}"/>
    <cellStyle name="汇总 4 16 3" xfId="36164" xr:uid="{49DF970E-332C-4937-AD1F-C9861C194959}"/>
    <cellStyle name="汇总 4 17" xfId="24276" xr:uid="{699630B1-E79F-40CD-9589-D0C1DAEE1273}"/>
    <cellStyle name="汇总 4 17 2" xfId="24277" xr:uid="{C400E0CD-8629-41D6-A1E6-4035D2EBDA65}"/>
    <cellStyle name="汇总 4 17 2 2" xfId="26877" xr:uid="{BBDAB73A-3179-4B97-A79D-0E6FE6B4E23D}"/>
    <cellStyle name="汇总 4 17 2 2 2" xfId="37386" xr:uid="{F907F9F3-B144-412F-BE76-ADCABA02BDBC}"/>
    <cellStyle name="汇总 4 17 2 3" xfId="36165" xr:uid="{E10BFEF1-CA1F-4399-A76C-42EBC6B37F70}"/>
    <cellStyle name="汇总 4 17 3" xfId="38203" xr:uid="{649061F3-C676-4267-B867-D8A2ABA47048}"/>
    <cellStyle name="汇总 4 18" xfId="24278" xr:uid="{C8707CF4-C43B-4BD6-A26F-1F5F3CC57DDF}"/>
    <cellStyle name="汇总 4 18 2" xfId="24279" xr:uid="{2288FB7A-D82D-434E-A1E0-A3F67819C545}"/>
    <cellStyle name="汇总 4 18 2 2" xfId="26878" xr:uid="{D07DE62E-A627-4A68-A55E-78C0BB036BC0}"/>
    <cellStyle name="汇总 4 18 2 2 2" xfId="38577" xr:uid="{BAC804C4-85D2-43DE-A146-BAAE9B15A74C}"/>
    <cellStyle name="汇总 4 18 2 3" xfId="27864" xr:uid="{9AD46C72-A341-4FB3-A95C-15B7BEFAC9EE}"/>
    <cellStyle name="汇总 4 18 3" xfId="36166" xr:uid="{037A754B-EB08-4452-A003-0E83367AD6BA}"/>
    <cellStyle name="汇总 4 19" xfId="24280" xr:uid="{ADBA969E-4137-4C95-81FC-49582CB6B4C4}"/>
    <cellStyle name="汇总 4 19 2" xfId="24281" xr:uid="{3B3EA2A4-2CB6-4EFB-8ED4-EB9EA309DCCD}"/>
    <cellStyle name="汇总 4 19 2 2" xfId="26879" xr:uid="{FEA39796-7417-4624-8349-14048DEE724A}"/>
    <cellStyle name="汇总 4 19 2 2 2" xfId="37387" xr:uid="{F20BD127-BC19-4041-9077-E638E0E4B4A9}"/>
    <cellStyle name="汇总 4 19 2 3" xfId="27865" xr:uid="{F5873286-9221-4A01-8FDC-4EE776F1B329}"/>
    <cellStyle name="汇总 4 19 3" xfId="38204" xr:uid="{260053B1-754E-4AA4-9E2F-B4322AF6622E}"/>
    <cellStyle name="汇总 4 2" xfId="24282" xr:uid="{8C08A51B-3672-43F2-9963-B9E93D720728}"/>
    <cellStyle name="汇总 4 2 10" xfId="24283" xr:uid="{E9EEE935-8804-423C-A0CF-5CA89751C047}"/>
    <cellStyle name="汇总 4 2 10 2" xfId="24284" xr:uid="{F1A0CD93-0A43-43D8-8BC2-A8D32B415D69}"/>
    <cellStyle name="汇总 4 2 10 2 2" xfId="26880" xr:uid="{DF7ECA9F-D805-42EA-9F16-06627C092DAA}"/>
    <cellStyle name="汇总 4 2 10 2 2 2" xfId="37388" xr:uid="{42C615FA-7962-4230-98A3-5CEBA70287EC}"/>
    <cellStyle name="汇总 4 2 10 2 3" xfId="27866" xr:uid="{BB558E06-F459-45C4-882C-3E1C9F78CD5A}"/>
    <cellStyle name="汇总 4 2 10 3" xfId="36168" xr:uid="{19E07432-36A1-474D-A532-1D6A5A68B0F1}"/>
    <cellStyle name="汇总 4 2 11" xfId="24285" xr:uid="{05916DE4-F1A8-4FD7-85F1-6A8A8895018C}"/>
    <cellStyle name="汇总 4 2 11 2" xfId="24286" xr:uid="{AA7F04A3-75D8-46F4-B311-53B141D8A068}"/>
    <cellStyle name="汇总 4 2 11 2 2" xfId="26881" xr:uid="{EAD388C2-7DDC-4972-8C59-70687399BE37}"/>
    <cellStyle name="汇总 4 2 11 2 2 2" xfId="38578" xr:uid="{9A07AABC-73AE-4ED5-8D97-549B336975F0}"/>
    <cellStyle name="汇总 4 2 11 2 3" xfId="36169" xr:uid="{C2F427D7-FB5F-404A-9F2D-DC396EC7353C}"/>
    <cellStyle name="汇总 4 2 11 3" xfId="38205" xr:uid="{75AE4A56-7238-48CC-8631-39F8E759C8C6}"/>
    <cellStyle name="汇总 4 2 12" xfId="24287" xr:uid="{E1191C10-3772-43EF-98E3-1038FEF14BA3}"/>
    <cellStyle name="汇总 4 2 12 2" xfId="24288" xr:uid="{68E576DB-0E30-4D21-9A98-AB4B0DA3B69D}"/>
    <cellStyle name="汇总 4 2 12 2 2" xfId="26882" xr:uid="{A5252437-7820-4FB3-9072-31DE4C827625}"/>
    <cellStyle name="汇总 4 2 12 2 2 2" xfId="37389" xr:uid="{EBE75B41-6F45-46E1-B8A2-617D62CA80E6}"/>
    <cellStyle name="汇总 4 2 12 2 3" xfId="38206" xr:uid="{2DC3FE83-0DF6-4554-9BC1-F92E811C7781}"/>
    <cellStyle name="汇总 4 2 12 3" xfId="36170" xr:uid="{64ADDA8B-D190-4983-94BF-C012B1AE4CCB}"/>
    <cellStyle name="汇总 4 2 13" xfId="24289" xr:uid="{B58D4E50-C13C-4497-8A54-DA39807039D1}"/>
    <cellStyle name="汇总 4 2 13 2" xfId="24290" xr:uid="{E233D8C0-7525-4451-A1FE-4F0AA46EE12C}"/>
    <cellStyle name="汇总 4 2 13 2 2" xfId="26883" xr:uid="{E6176E37-2D7D-4A64-BE4F-FD70C715463F}"/>
    <cellStyle name="汇总 4 2 13 2 2 2" xfId="37390" xr:uid="{97589347-C319-49C2-97FE-EDFF9CD450B3}"/>
    <cellStyle name="汇总 4 2 13 2 3" xfId="27867" xr:uid="{24667797-176C-42CC-BA0E-79847ED2C077}"/>
    <cellStyle name="汇总 4 2 13 3" xfId="36171" xr:uid="{82C86832-7222-4134-9EFA-37C7D1977C11}"/>
    <cellStyle name="汇总 4 2 14" xfId="24291" xr:uid="{02973B18-4FAA-4869-9ADA-88D230497C8A}"/>
    <cellStyle name="汇总 4 2 14 2" xfId="24292" xr:uid="{2192790D-CA32-4C4A-94E8-F0CC1A5471DA}"/>
    <cellStyle name="汇总 4 2 14 2 2" xfId="26884" xr:uid="{97753DEC-89F7-475B-8F41-A89A45DC81F3}"/>
    <cellStyle name="汇总 4 2 14 2 2 2" xfId="38579" xr:uid="{C98EA83A-58CB-4A6E-8B76-CE277E5AB74B}"/>
    <cellStyle name="汇总 4 2 14 2 3" xfId="38207" xr:uid="{FDB8A6FF-09F6-48F1-B11B-DFF695D2D89E}"/>
    <cellStyle name="汇总 4 2 14 3" xfId="36172" xr:uid="{A7342102-C951-4B81-AAB1-AA8EE1423D46}"/>
    <cellStyle name="汇总 4 2 15" xfId="24293" xr:uid="{D7A8E7B4-735D-40A5-A336-16A95330D151}"/>
    <cellStyle name="汇总 4 2 15 2" xfId="24294" xr:uid="{C2AE6EE4-F6B2-4CD0-8CD6-A1936E89B85A}"/>
    <cellStyle name="汇总 4 2 15 2 2" xfId="26885" xr:uid="{01752650-13E7-47A5-B983-8F770A0325F5}"/>
    <cellStyle name="汇总 4 2 15 2 2 2" xfId="37391" xr:uid="{CA5DE07A-BFCB-4B01-812F-15B8B615808F}"/>
    <cellStyle name="汇总 4 2 15 2 3" xfId="27868" xr:uid="{C92B7B38-0E53-4DC8-BB92-7D2AB8195CC6}"/>
    <cellStyle name="汇总 4 2 15 3" xfId="36173" xr:uid="{C350B938-0873-46A7-A8CE-0CA331D6A6A4}"/>
    <cellStyle name="汇总 4 2 16" xfId="24295" xr:uid="{A36C5E78-F290-42C7-B0D6-0F8409B11F91}"/>
    <cellStyle name="汇总 4 2 16 2" xfId="26886" xr:uid="{F7094655-DD42-4570-A38D-A7A269017118}"/>
    <cellStyle name="汇总 4 2 16 2 2" xfId="37392" xr:uid="{EBEFD73B-DC31-43F4-8AE0-AAAAB93F4E26}"/>
    <cellStyle name="汇总 4 2 16 3" xfId="36174" xr:uid="{DB2C62D2-0848-49C4-8551-5A9609345C0F}"/>
    <cellStyle name="汇总 4 2 17" xfId="36167" xr:uid="{DF4E232C-5FBA-4A3A-8578-3F5A7B736978}"/>
    <cellStyle name="汇总 4 2 2" xfId="24296" xr:uid="{7321AC83-7DB9-473D-9650-251AF0679D77}"/>
    <cellStyle name="汇总 4 2 2 2" xfId="24297" xr:uid="{DC3A08DB-D343-453B-BC0A-3A7719DF3DB9}"/>
    <cellStyle name="汇总 4 2 2 2 2" xfId="26887" xr:uid="{DA1E21A2-9BEF-4BBF-96AF-2F67EC81FA5A}"/>
    <cellStyle name="汇总 4 2 2 2 2 2" xfId="38580" xr:uid="{9EEDE426-719D-4F34-98E3-7B31F4CD87E0}"/>
    <cellStyle name="汇总 4 2 2 2 3" xfId="27869" xr:uid="{C91A29DA-0529-489B-BA01-ED9A6AD0B8B8}"/>
    <cellStyle name="汇总 4 2 2 3" xfId="38208" xr:uid="{2592F3F2-F30C-4373-A59B-CD893BBCA11A}"/>
    <cellStyle name="汇总 4 2 3" xfId="24298" xr:uid="{85366AC2-DF81-44FC-B80F-FE9C67E70D92}"/>
    <cellStyle name="汇总 4 2 3 2" xfId="24299" xr:uid="{0C570296-D5DA-4058-899C-C71825F9709F}"/>
    <cellStyle name="汇总 4 2 3 2 2" xfId="26888" xr:uid="{490E7B80-C9D6-4F0D-B986-759E41A98069}"/>
    <cellStyle name="汇总 4 2 3 2 2 2" xfId="37405" xr:uid="{BF39835C-EC93-47E5-90E2-7BC7350951F1}"/>
    <cellStyle name="汇总 4 2 3 2 3" xfId="36176" xr:uid="{BF39EA2C-361B-4295-A8B8-C8251A9A8FBD}"/>
    <cellStyle name="汇总 4 2 3 3" xfId="36175" xr:uid="{C23D111D-E716-4F7F-8864-513D808FFD72}"/>
    <cellStyle name="汇总 4 2 4" xfId="24300" xr:uid="{74C3C449-AF6D-4C6C-B9B6-4F0FFF8BA9B9}"/>
    <cellStyle name="汇总 4 2 4 2" xfId="24301" xr:uid="{D4CCD247-581B-41F8-A577-99BBD371D6C7}"/>
    <cellStyle name="汇总 4 2 4 2 2" xfId="26889" xr:uid="{C765F261-FBD6-4417-9E5A-037AF0BAB8B6}"/>
    <cellStyle name="汇总 4 2 4 2 2 2" xfId="38587" xr:uid="{FBACEAB6-6354-4F96-B9B1-11A359E1747F}"/>
    <cellStyle name="汇总 4 2 4 2 3" xfId="27870" xr:uid="{3F347274-8F06-4E03-A989-0BAAE1D6A183}"/>
    <cellStyle name="汇总 4 2 4 3" xfId="38209" xr:uid="{A32A80F7-E111-4413-8D69-6A3F163C4F74}"/>
    <cellStyle name="汇总 4 2 5" xfId="24302" xr:uid="{4F2DCDFA-E24B-43E4-9F72-B7EB34A99DDA}"/>
    <cellStyle name="汇总 4 2 5 2" xfId="24303" xr:uid="{4572C5DD-79D5-4B0C-A569-D7D2AD779D0D}"/>
    <cellStyle name="汇总 4 2 5 2 2" xfId="26890" xr:uid="{704FFEAA-0B88-421A-8784-782C3DE93097}"/>
    <cellStyle name="汇总 4 2 5 2 2 2" xfId="37393" xr:uid="{72B5BFBA-B59D-47D1-B796-76E9FA9BC36B}"/>
    <cellStyle name="汇总 4 2 5 2 3" xfId="36178" xr:uid="{4C6EC9F6-FB41-4E4E-AC63-ECA348D91B1C}"/>
    <cellStyle name="汇总 4 2 5 3" xfId="36177" xr:uid="{520C9EFC-F24E-4972-A988-1EE96AF3ADDA}"/>
    <cellStyle name="汇总 4 2 6" xfId="24304" xr:uid="{3F8D0904-4AAE-451E-9E49-6775287AA2C4}"/>
    <cellStyle name="汇总 4 2 6 2" xfId="24305" xr:uid="{36EC9831-1159-4583-A13B-E7C1467C93FB}"/>
    <cellStyle name="汇总 4 2 6 2 2" xfId="26891" xr:uid="{16F22BF5-C361-4272-8F4C-545E59AF36A0}"/>
    <cellStyle name="汇总 4 2 6 2 2 2" xfId="37394" xr:uid="{7F0BEF08-FA71-4409-8D4E-1A08FF713F8F}"/>
    <cellStyle name="汇总 4 2 6 2 3" xfId="27871" xr:uid="{6E1BFA42-8262-432F-8A37-C8C90A2A10C5}"/>
    <cellStyle name="汇总 4 2 6 3" xfId="36179" xr:uid="{465E7E66-F2AF-446D-BCD0-1242065F3CC0}"/>
    <cellStyle name="汇总 4 2 7" xfId="24306" xr:uid="{01763F82-1757-4A16-A50E-2CE57E8F0BCC}"/>
    <cellStyle name="汇总 4 2 7 2" xfId="24307" xr:uid="{A0AD35F8-B982-462A-83B6-E4D96FE6237F}"/>
    <cellStyle name="汇总 4 2 7 2 2" xfId="26892" xr:uid="{9701798F-53E3-460D-9E4F-39E8A799876E}"/>
    <cellStyle name="汇总 4 2 7 2 2 2" xfId="38581" xr:uid="{6F6E1EAF-54E0-4C82-B6A9-9883627FB4CF}"/>
    <cellStyle name="汇总 4 2 7 2 3" xfId="36181" xr:uid="{DF6B8859-034C-4801-956C-8C3218E3FD45}"/>
    <cellStyle name="汇总 4 2 7 3" xfId="36180" xr:uid="{35944167-9942-4A1A-A369-A149985D7557}"/>
    <cellStyle name="汇总 4 2 8" xfId="24308" xr:uid="{290F291C-CBFF-4445-88CB-C653B45A2350}"/>
    <cellStyle name="汇总 4 2 8 2" xfId="24309" xr:uid="{0D0CBC89-16BF-47D3-85F5-42A13548635E}"/>
    <cellStyle name="汇总 4 2 8 2 2" xfId="26893" xr:uid="{3E67ADCA-A006-45FE-926A-FB5FB09BC170}"/>
    <cellStyle name="汇总 4 2 8 2 2 2" xfId="37395" xr:uid="{EB550B16-0354-47A9-906A-6EB85FC20D15}"/>
    <cellStyle name="汇总 4 2 8 2 3" xfId="27872" xr:uid="{1788123F-79E4-4DF3-82EF-80694C03E6B3}"/>
    <cellStyle name="汇总 4 2 8 3" xfId="36182" xr:uid="{EB32E9E8-2205-4D81-AEE5-349FE165BCD4}"/>
    <cellStyle name="汇总 4 2 9" xfId="24310" xr:uid="{C5C22616-A4FF-44BC-8D26-CE8A4A31B96B}"/>
    <cellStyle name="汇总 4 2 9 2" xfId="24311" xr:uid="{0BDF38B5-92A5-4D44-8A78-BC6E2232C78B}"/>
    <cellStyle name="汇总 4 2 9 2 2" xfId="26894" xr:uid="{680EBAFD-F277-4B44-8B32-828D5EE9C6F1}"/>
    <cellStyle name="汇总 4 2 9 2 2 2" xfId="37396" xr:uid="{3B391205-978F-457B-8A9D-00EA0DA249BD}"/>
    <cellStyle name="汇总 4 2 9 2 3" xfId="36184" xr:uid="{50B6418A-71BA-4C12-A8D9-C307F87C1DDF}"/>
    <cellStyle name="汇总 4 2 9 3" xfId="36183" xr:uid="{9B7A35BE-BF8F-4885-A433-5CAF68E05C9A}"/>
    <cellStyle name="汇总 4 20" xfId="24312" xr:uid="{6E5D713C-0D64-4FF4-9F0F-A87C43DDF6AF}"/>
    <cellStyle name="汇总 4 20 2" xfId="26895" xr:uid="{EBD9B941-A883-48D1-BB0A-55A4AAF69534}"/>
    <cellStyle name="汇总 4 20 2 2" xfId="38582" xr:uid="{2D889CBB-6A2F-48ED-A639-AC03B353420A}"/>
    <cellStyle name="汇总 4 20 3" xfId="36185" xr:uid="{2335E203-CCC5-43B2-89AF-6F1A3738734B}"/>
    <cellStyle name="汇总 4 21" xfId="36157" xr:uid="{C02383DD-737A-45FE-B889-BE3D46548DF3}"/>
    <cellStyle name="汇总 4 3" xfId="24313" xr:uid="{BFB0D693-7961-4051-8C31-885623536490}"/>
    <cellStyle name="汇总 4 3 2" xfId="24314" xr:uid="{4865E1C8-C6D3-401A-A3FB-55B1AC02C45E}"/>
    <cellStyle name="汇总 4 3 2 2" xfId="26896" xr:uid="{5095A329-AB9E-4F31-A055-3CF839C24792}"/>
    <cellStyle name="汇总 4 3 2 2 2" xfId="37397" xr:uid="{7FF32AF4-21D1-4750-8E57-08AC40B1D76F}"/>
    <cellStyle name="汇总 4 3 2 3" xfId="36186" xr:uid="{4F644E4F-54B0-4AD4-847B-40DBEDF0DE1C}"/>
    <cellStyle name="汇总 4 3 3" xfId="37797" xr:uid="{0FCB0AA0-3B9A-4884-9C15-2151CCCE6089}"/>
    <cellStyle name="汇总 4 4" xfId="24315" xr:uid="{E69AE7B7-9AC8-4E08-BF19-8651A05F162F}"/>
    <cellStyle name="汇总 4 4 2" xfId="24316" xr:uid="{E1218BA4-A05A-48D6-8F49-A9329D8244B4}"/>
    <cellStyle name="汇总 4 4 2 2" xfId="26897" xr:uid="{0ECECAB3-D9FA-4F6D-93D9-7A935C72D95E}"/>
    <cellStyle name="汇总 4 4 2 2 2" xfId="37398" xr:uid="{6405E4F7-FFAA-40F5-8931-98AB209BF0FA}"/>
    <cellStyle name="汇总 4 4 2 3" xfId="36188" xr:uid="{167892B8-D6F5-48C9-AC50-51ED743D4FD3}"/>
    <cellStyle name="汇总 4 4 3" xfId="36187" xr:uid="{1AD4C700-B85D-4C1A-8A6A-531E1ACEC700}"/>
    <cellStyle name="汇总 4 5" xfId="24317" xr:uid="{BFCAB5CD-2E84-4AA9-8810-9CE82FADB123}"/>
    <cellStyle name="汇总 4 5 2" xfId="24318" xr:uid="{6155FB90-D9B2-4BD2-B774-CBA48ADF2445}"/>
    <cellStyle name="汇总 4 5 2 2" xfId="26898" xr:uid="{AE650671-C733-4152-8D33-B537213D9FFD}"/>
    <cellStyle name="汇总 4 5 2 2 2" xfId="38583" xr:uid="{1A436B47-A0C4-4D2E-ADB0-3F500DC953D9}"/>
    <cellStyle name="汇总 4 5 2 3" xfId="36189" xr:uid="{5C8388BD-BFB0-430B-A6AA-90DA576DCB91}"/>
    <cellStyle name="汇总 4 5 3" xfId="27873" xr:uid="{601E2266-63FF-4D8B-879F-34A1EA44711E}"/>
    <cellStyle name="汇总 4 6" xfId="24319" xr:uid="{24299E4A-6738-4DB2-BDCD-D94829EADC72}"/>
    <cellStyle name="汇总 4 6 2" xfId="24320" xr:uid="{93A02C84-BD56-44E2-AC0D-ADFE77E32DD4}"/>
    <cellStyle name="汇总 4 6 2 2" xfId="26899" xr:uid="{C0529C5D-C054-44CD-87F7-61EDB84F59C3}"/>
    <cellStyle name="汇总 4 6 2 2 2" xfId="37399" xr:uid="{E8606C28-75C7-4BFA-9FC9-D3599115BBB6}"/>
    <cellStyle name="汇总 4 6 2 3" xfId="38210" xr:uid="{EFDD0B7A-9C3B-4BA3-9BD9-BD3175856F4C}"/>
    <cellStyle name="汇总 4 6 3" xfId="36190" xr:uid="{105B5A80-E47E-42EB-B61F-8E261CB0405F}"/>
    <cellStyle name="汇总 4 7" xfId="24321" xr:uid="{CF6AF503-00B1-4F10-BD44-C3AB8E268224}"/>
    <cellStyle name="汇总 4 7 2" xfId="24322" xr:uid="{D3396910-1FDC-4975-B72B-4A0FAFAD7B40}"/>
    <cellStyle name="汇总 4 7 2 2" xfId="26900" xr:uid="{82D22A5C-8A54-42FA-9305-F27EACAAC312}"/>
    <cellStyle name="汇总 4 7 2 2 2" xfId="37400" xr:uid="{48F65A2B-6843-4FE7-9717-D14D04631E3D}"/>
    <cellStyle name="汇总 4 7 2 3" xfId="36191" xr:uid="{80669E7E-BAC4-44FE-ADE1-051DE787F505}"/>
    <cellStyle name="汇总 4 7 3" xfId="27874" xr:uid="{0675483C-2629-437D-8DD0-B7C1DF7E6EE2}"/>
    <cellStyle name="汇总 4 8" xfId="24323" xr:uid="{AD5D5C69-2D4B-40EF-9A35-2274FA7314D3}"/>
    <cellStyle name="汇总 4 8 2" xfId="24324" xr:uid="{39EC8ACD-AF20-4D43-AAF4-5F971C46B3AD}"/>
    <cellStyle name="汇总 4 8 2 2" xfId="26901" xr:uid="{83CD0DAC-6236-4A93-B1FB-A7FE89D37D84}"/>
    <cellStyle name="汇总 4 8 2 2 2" xfId="38584" xr:uid="{497BB416-D7D5-4E20-9573-85737AF82D7E}"/>
    <cellStyle name="汇总 4 8 2 3" xfId="38211" xr:uid="{FA601C18-19AF-4582-8A39-5CDB66A91DE8}"/>
    <cellStyle name="汇总 4 8 3" xfId="36192" xr:uid="{4D69D2E7-00C0-43AF-909F-B0CC4FF5C10C}"/>
    <cellStyle name="汇总 4 9" xfId="24325" xr:uid="{0BA9C610-A33D-45D5-AA7D-7DC4C180F92A}"/>
    <cellStyle name="汇总 4 9 2" xfId="24326" xr:uid="{4588908F-4EE5-417B-B26E-62585645EE52}"/>
    <cellStyle name="汇总 4 9 2 2" xfId="26902" xr:uid="{24CAD239-47FB-48C2-9516-3F231442F53E}"/>
    <cellStyle name="汇总 4 9 2 2 2" xfId="37401" xr:uid="{DE7FDCF6-FAC7-49DD-B1E9-6E3CD0642F34}"/>
    <cellStyle name="汇总 4 9 2 3" xfId="36194" xr:uid="{F009EE1A-8182-42FD-AA1C-D95749B953B5}"/>
    <cellStyle name="汇总 4 9 3" xfId="36193" xr:uid="{22F61DC7-FAC0-437D-BEF9-A438ABE646CA}"/>
    <cellStyle name="汇总 5" xfId="24327" xr:uid="{D4E51107-E2D5-44A8-92F9-93D3B4C9B439}"/>
    <cellStyle name="汇总 5 10" xfId="24328" xr:uid="{4C7FB753-A348-45F8-A1FC-0E6DE624765B}"/>
    <cellStyle name="汇总 5 10 2" xfId="24329" xr:uid="{9CEE136E-BB2A-46DE-B830-1154EB368DF4}"/>
    <cellStyle name="汇总 5 10 2 2" xfId="26903" xr:uid="{DC841870-E7F8-4D95-898E-6FB467540F1E}"/>
    <cellStyle name="汇总 5 10 2 2 2" xfId="37402" xr:uid="{FFE43086-2419-4AB9-B634-7FD6A9B69080}"/>
    <cellStyle name="汇总 5 10 2 3" xfId="36195" xr:uid="{3C4C9396-0E2C-45A2-AD56-1B53821F0121}"/>
    <cellStyle name="汇总 5 10 3" xfId="38212" xr:uid="{15AC590E-1E45-40D3-ADDA-0515ED160A50}"/>
    <cellStyle name="汇总 5 11" xfId="24330" xr:uid="{5D984372-FA88-4A22-AE77-631B39F84B4B}"/>
    <cellStyle name="汇总 5 11 2" xfId="24331" xr:uid="{EFDC935D-CBB4-4BD7-9A86-346D34A4FFC8}"/>
    <cellStyle name="汇总 5 11 2 2" xfId="26904" xr:uid="{CDD9C95C-63A8-4EDF-BBE5-49F592E51182}"/>
    <cellStyle name="汇总 5 11 2 2 2" xfId="38585" xr:uid="{E3FEA201-7414-42A0-B58A-5818EB0583CC}"/>
    <cellStyle name="汇总 5 11 2 3" xfId="38213" xr:uid="{A84C5B9A-0416-407D-B299-374366E83FC0}"/>
    <cellStyle name="汇总 5 11 3" xfId="36196" xr:uid="{9F5A6E5F-D4F4-4943-80D0-00401BA8DAEE}"/>
    <cellStyle name="汇总 5 12" xfId="24332" xr:uid="{8F478548-52B2-42AA-99B8-569032F0E0D5}"/>
    <cellStyle name="汇总 5 12 2" xfId="24333" xr:uid="{908C2EAD-45CB-494F-8B22-2ABFC18444F7}"/>
    <cellStyle name="汇总 5 12 2 2" xfId="26905" xr:uid="{9E7E7222-9016-4C05-9CA8-0C54DC9705C6}"/>
    <cellStyle name="汇总 5 12 2 2 2" xfId="37403" xr:uid="{BC500223-28B9-4337-B2D9-8ACA7A9D99A6}"/>
    <cellStyle name="汇总 5 12 2 3" xfId="36198" xr:uid="{3EB93860-4724-476F-8FCE-2D9BADF77895}"/>
    <cellStyle name="汇总 5 12 3" xfId="36197" xr:uid="{9B803441-2229-487E-8CFB-52AE68B2DD94}"/>
    <cellStyle name="汇总 5 13" xfId="24334" xr:uid="{EC1843BE-F2D3-4BD3-A05C-9567A5BB905E}"/>
    <cellStyle name="汇总 5 13 2" xfId="24335" xr:uid="{1063F067-178C-4769-9EB6-65EAAB054D60}"/>
    <cellStyle name="汇总 5 13 2 2" xfId="26906" xr:uid="{A7890C11-EDDE-4E30-BD88-30DC15B2747D}"/>
    <cellStyle name="汇总 5 13 2 2 2" xfId="37404" xr:uid="{8F7D616B-AE34-43CA-B3CF-7E1B61C0D788}"/>
    <cellStyle name="汇总 5 13 2 3" xfId="36199" xr:uid="{5579A4DA-26C9-4076-8460-59AA02FCC3B6}"/>
    <cellStyle name="汇总 5 13 3" xfId="38214" xr:uid="{44993119-E64E-4E44-A58D-88453FC5FB29}"/>
    <cellStyle name="汇总 5 14" xfId="24336" xr:uid="{20E5D5F5-8046-4811-9ADB-E6A67A9F4F99}"/>
    <cellStyle name="汇总 5 14 2" xfId="24337" xr:uid="{86FE0C06-0BAF-41BB-9C6D-DC72AD6CC520}"/>
    <cellStyle name="汇总 5 14 2 2" xfId="26907" xr:uid="{6C5BB8E7-3075-4A0D-A158-3F02A1935283}"/>
    <cellStyle name="汇总 5 14 2 2 2" xfId="38586" xr:uid="{B83ED5B9-0E3D-401E-955A-1593DD5639C1}"/>
    <cellStyle name="汇总 5 14 2 3" xfId="38215" xr:uid="{71BF4AD2-7D77-4BB8-87E2-9A0CC55703CF}"/>
    <cellStyle name="汇总 5 14 3" xfId="36200" xr:uid="{EE3E0200-04ED-43C4-B40A-67E9CF972460}"/>
    <cellStyle name="汇总 5 15" xfId="24338" xr:uid="{31FB0A21-C102-4059-B779-A678164C2B8D}"/>
    <cellStyle name="汇总 5 15 2" xfId="24339" xr:uid="{BABFF9CF-571C-4339-875D-FCD136752FD9}"/>
    <cellStyle name="汇总 5 15 2 2" xfId="26908" xr:uid="{328628E5-70BC-4BBE-85BB-29BAC6E27FDC}"/>
    <cellStyle name="汇总 5 15 2 2 2" xfId="37406" xr:uid="{4BB0B40F-1219-42EB-8D17-C470EE7ADBE9}"/>
    <cellStyle name="汇总 5 15 2 3" xfId="36201" xr:uid="{C83BC66D-2A7C-4472-952D-F1404A5F7BCD}"/>
    <cellStyle name="汇总 5 15 3" xfId="27876" xr:uid="{626E9391-9CD6-47A7-9865-58E708FFBA38}"/>
    <cellStyle name="汇总 5 16" xfId="24340" xr:uid="{EE764C2A-D446-4EDD-BD8A-FD5F56C935CB}"/>
    <cellStyle name="汇总 5 16 2" xfId="26909" xr:uid="{0BC5752C-5CEA-4AFA-A93A-7C8B9F1FEF71}"/>
    <cellStyle name="汇总 5 16 2 2" xfId="37407" xr:uid="{DBD16D4B-9BCC-4542-9A4B-6FFED784BC80}"/>
    <cellStyle name="汇总 5 16 3" xfId="36202" xr:uid="{A4980CAD-D360-48F4-9000-2B6E375B2751}"/>
    <cellStyle name="汇总 5 17" xfId="27875" xr:uid="{58DFE4F0-6411-4A47-B5CA-B9D2DCB5B5F0}"/>
    <cellStyle name="汇总 5 2" xfId="24341" xr:uid="{1ADB7C4E-3942-46E4-8DB5-8E80A7249DCF}"/>
    <cellStyle name="汇总 5 2 2" xfId="24342" xr:uid="{0C38D170-0507-4904-A19B-F4A118798C3E}"/>
    <cellStyle name="汇总 5 2 2 2" xfId="26910" xr:uid="{75E16930-6951-4F3F-B7CB-11F5170048CE}"/>
    <cellStyle name="汇总 5 2 2 2 2" xfId="37408" xr:uid="{1DC091B0-7B39-48AC-A8A0-CB44CBA626C9}"/>
    <cellStyle name="汇总 5 2 2 3" xfId="36203" xr:uid="{F692C6B0-D5D1-431C-980E-2740FCC462A5}"/>
    <cellStyle name="汇总 5 2 3" xfId="38216" xr:uid="{3D044A6A-0B7B-4AE5-BF0F-AD0CEB23F05B}"/>
    <cellStyle name="汇总 5 3" xfId="24343" xr:uid="{F0ACEADA-AE6B-417E-B33C-C01E9C81AC13}"/>
    <cellStyle name="汇总 5 3 2" xfId="24344" xr:uid="{CC9BDF06-830D-4441-AF79-39B2AFD4F444}"/>
    <cellStyle name="汇总 5 3 2 2" xfId="26911" xr:uid="{05DB2B10-E272-46DF-98AB-CD74A1FC98F3}"/>
    <cellStyle name="汇总 5 3 2 2 2" xfId="37409" xr:uid="{3B65A53F-4966-4D7C-83C5-F1A9C99F86EC}"/>
    <cellStyle name="汇总 5 3 2 3" xfId="38217" xr:uid="{C86ADF21-622D-483C-AC1B-F499AD41672E}"/>
    <cellStyle name="汇总 5 3 3" xfId="36204" xr:uid="{8ED247D6-8A36-48DE-87ED-2B5856AE6B41}"/>
    <cellStyle name="汇总 5 4" xfId="24345" xr:uid="{2A077C4D-F561-48CA-AF8A-8C2B56FE67DA}"/>
    <cellStyle name="汇总 5 4 2" xfId="24346" xr:uid="{735020D5-106F-4AF9-B988-D8547E1EB628}"/>
    <cellStyle name="汇总 5 4 2 2" xfId="26912" xr:uid="{41CF091F-3FAC-4840-A3FB-24C240366F1C}"/>
    <cellStyle name="汇总 5 4 2 2 2" xfId="37410" xr:uid="{D63D5DF1-8ABD-467D-A32E-683383C8BB8F}"/>
    <cellStyle name="汇总 5 4 2 3" xfId="36206" xr:uid="{A7BCCD23-C75D-4EBB-86DF-A74467E17BFB}"/>
    <cellStyle name="汇总 5 4 3" xfId="36205" xr:uid="{26412E14-C500-49EE-80A1-E2A8B7E6AC87}"/>
    <cellStyle name="汇总 5 5" xfId="24347" xr:uid="{59471B00-819B-4399-B342-C523435C504E}"/>
    <cellStyle name="汇总 5 5 2" xfId="24348" xr:uid="{C8FBB074-139E-4AA0-A426-2FBABCF49A5B}"/>
    <cellStyle name="汇总 5 5 2 2" xfId="26913" xr:uid="{AA1AF6EB-2F7D-488D-B293-F1A09B2C3AE4}"/>
    <cellStyle name="汇总 5 5 2 2 2" xfId="37411" xr:uid="{F59EBAF2-6C69-4ED4-984F-0D765228ED9F}"/>
    <cellStyle name="汇总 5 5 2 3" xfId="36207" xr:uid="{2E75C67A-823C-4614-8BCC-A91C883A0B79}"/>
    <cellStyle name="汇总 5 5 3" xfId="38218" xr:uid="{09EE46A0-D550-40E5-85A6-A105A8D5C363}"/>
    <cellStyle name="汇总 5 6" xfId="24349" xr:uid="{B823487E-2E37-4827-BC13-C9C7350E1C09}"/>
    <cellStyle name="汇总 5 6 2" xfId="24350" xr:uid="{4D72D535-DA18-42EA-8875-C7E8D0A80B61}"/>
    <cellStyle name="汇总 5 6 2 2" xfId="26914" xr:uid="{CEA0EDE0-41BA-453B-85DD-345C7BE42413}"/>
    <cellStyle name="汇总 5 6 2 2 2" xfId="37412" xr:uid="{342CA671-DB59-42CB-8E5E-80BA35B46CC7}"/>
    <cellStyle name="汇总 5 6 2 3" xfId="38219" xr:uid="{E7111D4A-CF72-4BDD-B09F-1614069F91DD}"/>
    <cellStyle name="汇总 5 6 3" xfId="27877" xr:uid="{300448D4-E6CC-4094-B3AB-322DDEC8BE74}"/>
    <cellStyle name="汇总 5 7" xfId="24351" xr:uid="{DD7A8A01-2AE7-48AE-AED0-6ECD4FC04E30}"/>
    <cellStyle name="汇总 5 7 2" xfId="24352" xr:uid="{C5C6F33C-4CF4-4A04-8CC8-9E5DA411370E}"/>
    <cellStyle name="汇总 5 7 2 2" xfId="26915" xr:uid="{F48BF0E6-7581-43C4-B87C-1C9CDBBB2620}"/>
    <cellStyle name="汇总 5 7 2 2 2" xfId="37413" xr:uid="{EA4ADA98-5CCE-4817-BB78-B97AC3D2457C}"/>
    <cellStyle name="汇总 5 7 2 3" xfId="36209" xr:uid="{D31DDA67-9C3C-458E-B5F8-73E9C8383908}"/>
    <cellStyle name="汇总 5 7 3" xfId="36208" xr:uid="{E997D4B9-5F20-4431-860C-670C64561236}"/>
    <cellStyle name="汇总 5 8" xfId="24353" xr:uid="{DE0D7546-66DA-481D-9929-F387F8144947}"/>
    <cellStyle name="汇总 5 8 2" xfId="24354" xr:uid="{A750ACEA-612C-4303-999C-FD2804755BAB}"/>
    <cellStyle name="汇总 5 8 2 2" xfId="26916" xr:uid="{B47F1036-8ADE-4874-B46A-935B570DA4C0}"/>
    <cellStyle name="汇总 5 8 2 2 2" xfId="37414" xr:uid="{C8EAD88E-F7CF-4349-82A7-4769A364FEB0}"/>
    <cellStyle name="汇总 5 8 2 3" xfId="36210" xr:uid="{6CD5771D-8382-4A84-AD89-5F50013C5A21}"/>
    <cellStyle name="汇总 5 8 3" xfId="37798" xr:uid="{1B58D773-5DFD-4139-B5F4-BFA4AE53CD01}"/>
    <cellStyle name="汇总 5 9" xfId="24355" xr:uid="{6F5F1FB7-1B77-4B1F-ABE0-9704B939B89D}"/>
    <cellStyle name="汇总 5 9 2" xfId="24356" xr:uid="{829712DE-55F1-4565-BDA9-A94BEA5A1519}"/>
    <cellStyle name="汇总 5 9 2 2" xfId="26917" xr:uid="{D32B841E-4124-40D7-806C-93F5D65CCE3F}"/>
    <cellStyle name="汇总 5 9 2 2 2" xfId="37415" xr:uid="{C74AF22D-6A1A-4EC3-9351-EB2C8332BDD6}"/>
    <cellStyle name="汇总 5 9 2 3" xfId="38220" xr:uid="{B54456E9-7240-42FE-B7C5-BC3F07CC7783}"/>
    <cellStyle name="汇总 5 9 3" xfId="27878" xr:uid="{8ECE078D-B018-4F94-80A3-A179B8D2B784}"/>
    <cellStyle name="汇总 6" xfId="24357" xr:uid="{0BAC73A3-2DEE-40C5-AC75-100B09ED212B}"/>
    <cellStyle name="汇总 6 2" xfId="24358" xr:uid="{3FBAF933-4AB3-4616-AB69-614F921E0633}"/>
    <cellStyle name="汇总 6 2 2" xfId="26918" xr:uid="{6148107B-0D6B-4DA0-9C67-B9A693610AC9}"/>
    <cellStyle name="汇总 6 2 2 2" xfId="37416" xr:uid="{C618371B-E562-4D4A-9998-8AE5BB9855EB}"/>
    <cellStyle name="汇总 6 2 3" xfId="27879" xr:uid="{8F85EAB0-6752-45F2-AB2E-F4188FE1FE51}"/>
    <cellStyle name="汇总 6 3" xfId="36211" xr:uid="{D7F6300C-00B0-432C-B6A8-892993440B40}"/>
    <cellStyle name="汇总 7" xfId="24359" xr:uid="{3BE7D525-B35C-4E60-B03E-D1BD507A5BCE}"/>
    <cellStyle name="汇总 7 2" xfId="24360" xr:uid="{FFC86235-3E42-405F-A132-E1CABE106310}"/>
    <cellStyle name="汇总 7 2 2" xfId="26919" xr:uid="{708B859F-2FDE-44E5-9B53-0F2121149284}"/>
    <cellStyle name="汇总 7 2 2 2" xfId="37417" xr:uid="{29BB4DAF-19CF-49DC-B54A-B7A2E5D620F8}"/>
    <cellStyle name="汇总 7 2 3" xfId="38221" xr:uid="{BCFDE436-89B5-42AB-9536-D848DAEE3F9A}"/>
    <cellStyle name="汇总 7 3" xfId="36212" xr:uid="{07445935-4CB1-40BD-AA92-71E23FED02F4}"/>
    <cellStyle name="汇总 8" xfId="24361" xr:uid="{8FADB749-2DA8-49C6-A9E9-52A4707938A1}"/>
    <cellStyle name="汇总 8 2" xfId="24362" xr:uid="{A5E3F4A4-7327-4836-844E-CEDFFAD15356}"/>
    <cellStyle name="汇总 8 2 2" xfId="26920" xr:uid="{0C666008-286A-477C-BB63-F0C85A336BAA}"/>
    <cellStyle name="汇总 8 2 2 2" xfId="37418" xr:uid="{6AB3694F-706B-490D-8110-2E39974CBF69}"/>
    <cellStyle name="汇总 8 2 3" xfId="36214" xr:uid="{7A56D3D5-1731-41A3-A378-E657689C0AE6}"/>
    <cellStyle name="汇总 8 3" xfId="36213" xr:uid="{43B6AC89-3AEC-4BD8-81E0-D0595A1A29BF}"/>
    <cellStyle name="汇总 9" xfId="24363" xr:uid="{4523540B-F42F-4086-8D17-24A54C90706A}"/>
    <cellStyle name="汇总 9 2" xfId="24364" xr:uid="{6A728299-BB4E-49C1-AF89-1CAA1624A77D}"/>
    <cellStyle name="汇总 9 2 2" xfId="26921" xr:uid="{1AD14CAC-7F24-4924-AF6A-48AB9A729AF0}"/>
    <cellStyle name="汇总 9 2 2 2" xfId="37419" xr:uid="{ADD58779-4C73-471C-8DD8-C00E0B19B71E}"/>
    <cellStyle name="汇总 9 2 3" xfId="36215" xr:uid="{B9503EAE-75C2-46DD-A117-61115FDA6B62}"/>
    <cellStyle name="汇总 9 3" xfId="38222" xr:uid="{45787DF6-5DB0-4C12-BB31-E73CA7A48364}"/>
    <cellStyle name="注释" xfId="22925" xr:uid="{A12E9F05-062D-4F6D-8515-DAAB30396F7B}"/>
    <cellStyle name="注释 10" xfId="22926" xr:uid="{1E37F6F9-13FA-44D5-B27D-057158ADA1A5}"/>
    <cellStyle name="注释 10 2" xfId="22927" xr:uid="{4147952F-A0FD-4068-9CA5-9871466856E1}"/>
    <cellStyle name="注释 10 2 2" xfId="26473" xr:uid="{6D62A3CC-9B6B-4357-BDA7-7E5777340D0F}"/>
    <cellStyle name="注释 10 2 2 2" xfId="37617" xr:uid="{DDCFFAE5-C8AB-4B2D-B9E0-A7CA666611E4}"/>
    <cellStyle name="注释 10 2 3" xfId="36030" xr:uid="{252AE772-B9B3-44AE-97ED-B43666B5E606}"/>
    <cellStyle name="注释 10 3" xfId="36029" xr:uid="{19D5E6D7-39E9-4AA7-B31B-57AF81F19DD0}"/>
    <cellStyle name="注释 11" xfId="22928" xr:uid="{8C20BBA1-619E-4683-937E-EF6151CC6C57}"/>
    <cellStyle name="注释 11 2" xfId="22929" xr:uid="{C1928385-2DC2-478E-9462-71B8F0A7D976}"/>
    <cellStyle name="注释 11 2 2" xfId="26474" xr:uid="{BCB297F7-7C79-4634-915E-1ACC1E3D5478}"/>
    <cellStyle name="注释 11 2 2 2" xfId="38683" xr:uid="{DFEDF65D-D1D9-40C0-9C17-4C9B4A3ED243}"/>
    <cellStyle name="注释 11 2 3" xfId="36032" xr:uid="{159797DA-0610-4321-B974-14953C92CAF0}"/>
    <cellStyle name="注释 11 3" xfId="36031" xr:uid="{BFB64714-DBB2-4A17-BDB2-819B10F3A0E2}"/>
    <cellStyle name="注释 12" xfId="22930" xr:uid="{4DA1268D-0747-4F41-811D-4FF8AA0AFD29}"/>
    <cellStyle name="注释 12 2" xfId="22931" xr:uid="{2E765588-461A-48D2-9F45-C29A25439E65}"/>
    <cellStyle name="注释 12 2 2" xfId="26475" xr:uid="{935368F3-167C-49A6-8A54-FB8792CD3E87}"/>
    <cellStyle name="注释 12 2 2 2" xfId="37618" xr:uid="{1B5A45CC-F73D-4B94-93F2-796052AA9084}"/>
    <cellStyle name="注释 12 2 3" xfId="36034" xr:uid="{4402D779-2809-40B1-A4B2-72E369062516}"/>
    <cellStyle name="注释 12 3" xfId="36033" xr:uid="{AB012C2A-3313-461C-90E0-B0121FF1B85E}"/>
    <cellStyle name="注释 13" xfId="22932" xr:uid="{169A0CDD-FF3C-4B1F-A843-C7ED1EF851A7}"/>
    <cellStyle name="注释 13 2" xfId="22933" xr:uid="{A17397F2-C64F-44E7-BDE3-E5CD30C3D135}"/>
    <cellStyle name="注释 13 2 2" xfId="26476" xr:uid="{8A44A5EA-4962-4A55-8D00-D2621E021A19}"/>
    <cellStyle name="注释 13 2 2 2" xfId="37842" xr:uid="{4D9865E2-774D-4E73-B9DF-E568D05A6651}"/>
    <cellStyle name="注释 13 2 3" xfId="36036" xr:uid="{763E5814-9B69-43EC-BCF5-80F7B8DCD854}"/>
    <cellStyle name="注释 13 3" xfId="36035" xr:uid="{81D6FB55-7B47-4E33-8464-CA8A95D33CF3}"/>
    <cellStyle name="注释 14" xfId="22934" xr:uid="{D01990FD-4B5E-4424-A8DD-0B6A0A4EB0BD}"/>
    <cellStyle name="注释 14 2" xfId="22935" xr:uid="{C5A4192D-F321-4B00-9340-AE7D8CFFFABE}"/>
    <cellStyle name="注释 14 2 2" xfId="26477" xr:uid="{8403D385-1A9B-4D41-AA4A-AAF07B2D193D}"/>
    <cellStyle name="注释 14 2 2 2" xfId="37619" xr:uid="{6005AE46-3F12-4C49-B76B-65802D4EC161}"/>
    <cellStyle name="注释 14 2 3" xfId="36038" xr:uid="{734C244F-EFF0-4A83-AD7A-A8B9720D54DA}"/>
    <cellStyle name="注释 14 3" xfId="36037" xr:uid="{51B00746-1CF8-41E2-915D-151C113645C8}"/>
    <cellStyle name="注释 15" xfId="22936" xr:uid="{439CDB4B-C52B-43C5-AA17-79D6EFF1C488}"/>
    <cellStyle name="注释 15 2" xfId="22937" xr:uid="{5B54EF2B-59A0-4027-ACBB-24A501B00604}"/>
    <cellStyle name="注释 15 2 2" xfId="26478" xr:uid="{96C47E61-B3EB-41DB-9EB0-38C8E9848CAE}"/>
    <cellStyle name="注释 15 2 2 2" xfId="28025" xr:uid="{6F584E89-4575-45EB-A7CC-D4365C9506B8}"/>
    <cellStyle name="注释 15 2 3" xfId="36040" xr:uid="{6EFABB82-7ACD-4457-9B4B-F9A82780EDDC}"/>
    <cellStyle name="注释 15 3" xfId="36039" xr:uid="{6FC41108-4F52-414A-9B54-497143E09859}"/>
    <cellStyle name="注释 16" xfId="22938" xr:uid="{C8838C69-4E21-471D-8073-4DA56AA5024A}"/>
    <cellStyle name="注释 16 2" xfId="22939" xr:uid="{BCA2ECBD-B95F-49E9-9A18-1F1C51165337}"/>
    <cellStyle name="注释 16 2 2" xfId="26479" xr:uid="{580F4A0D-E2C1-4349-9505-949C4189FD24}"/>
    <cellStyle name="注释 16 2 2 2" xfId="38684" xr:uid="{8E5F97A3-0E75-4910-BB95-58F09A3F658B}"/>
    <cellStyle name="注释 16 2 3" xfId="36042" xr:uid="{00063CF5-80A9-4A8D-B8AF-4802CDDB5C07}"/>
    <cellStyle name="注释 16 3" xfId="36041" xr:uid="{05491C26-79AC-4F58-9D28-657E56223E93}"/>
    <cellStyle name="注释 17" xfId="22940" xr:uid="{7617FF61-F7DC-4AFB-9284-F2CD8CD60250}"/>
    <cellStyle name="注释 17 2" xfId="22941" xr:uid="{CE26D0D5-FEEB-48FF-B2B1-F8BCE757FA15}"/>
    <cellStyle name="注释 17 2 2" xfId="26480" xr:uid="{B17292B3-A8AE-436C-AA3C-E3C6331592C9}"/>
    <cellStyle name="注释 17 2 2 2" xfId="37620" xr:uid="{976EF2C4-D3DA-4BFB-891F-F718A9DCB87F}"/>
    <cellStyle name="注释 17 2 3" xfId="36044" xr:uid="{AAC8FF41-48E2-404D-96FA-165D0F6DFBDB}"/>
    <cellStyle name="注释 17 3" xfId="36043" xr:uid="{AC6EAF8F-1071-4827-B8C4-9E0F638FC491}"/>
    <cellStyle name="注释 18" xfId="22942" xr:uid="{D66F0904-BEDC-4D9A-98D6-7FFB3FA65DF5}"/>
    <cellStyle name="注释 18 2" xfId="22943" xr:uid="{92E20D31-F2F1-480C-A85C-2AC90565EA83}"/>
    <cellStyle name="注释 18 2 2" xfId="26481" xr:uid="{AE4C6101-FB30-4FB6-B0EC-AB79A8A039EA}"/>
    <cellStyle name="注释 18 2 2 2" xfId="28026" xr:uid="{31DFDBBA-B4E6-476F-8122-7C13BAE0772F}"/>
    <cellStyle name="注释 18 2 3" xfId="36046" xr:uid="{41716E93-3018-4451-87B9-5A7114D6369D}"/>
    <cellStyle name="注释 18 3" xfId="36045" xr:uid="{8AC1FE9C-E71E-4F55-BA80-A43E8835024A}"/>
    <cellStyle name="注释 19" xfId="22944" xr:uid="{B8E3BDFE-D51D-4AB4-9B78-DAF0F21B5F28}"/>
    <cellStyle name="注释 19 2" xfId="22945" xr:uid="{B94A7E9C-CD5E-4B4C-A1DF-93DFCEB0F2B1}"/>
    <cellStyle name="注释 19 2 2" xfId="26482" xr:uid="{4A5D4E60-7265-47F7-848D-A888416DD46B}"/>
    <cellStyle name="注释 19 2 2 2" xfId="37621" xr:uid="{3EAA112B-3116-4E94-A261-041CCC0B56B6}"/>
    <cellStyle name="注释 19 2 3" xfId="36048" xr:uid="{EC31E49C-38D8-4725-813D-DD4CCDB95404}"/>
    <cellStyle name="注释 19 3" xfId="36047" xr:uid="{E7982DA4-D2BE-44B2-A36D-54DD4F4AEA44}"/>
    <cellStyle name="注释 2" xfId="22946" xr:uid="{4788BAE8-1D88-4E0B-9711-095FCD259A00}"/>
    <cellStyle name="注释 2 10" xfId="22947" xr:uid="{BF83232F-EE6B-4381-A5F6-37829B212627}"/>
    <cellStyle name="注释 2 10 2" xfId="22948" xr:uid="{73DD9970-B432-4CC7-8A6A-3F36C3B04ACB}"/>
    <cellStyle name="注释 2 10 2 2" xfId="26483" xr:uid="{4C50C50A-1EB8-4802-A648-6B6DD4207BDB}"/>
    <cellStyle name="注释 2 10 2 2 2" xfId="38685" xr:uid="{0C1E0372-3F9E-4FD1-A15B-43A88EA6BFF1}"/>
    <cellStyle name="注释 2 10 2 3" xfId="36051" xr:uid="{DEED6636-8E49-4678-B64A-11ED2ED57886}"/>
    <cellStyle name="注释 2 10 3" xfId="36050" xr:uid="{7440184E-8E45-4DD8-9C89-5470366867A2}"/>
    <cellStyle name="注释 2 11" xfId="22949" xr:uid="{9F8B863C-6271-4954-AC6B-0778A3838D1B}"/>
    <cellStyle name="注释 2 11 2" xfId="22950" xr:uid="{92ADDEE9-674A-4C57-A998-6B45BF2D36FD}"/>
    <cellStyle name="注释 2 11 2 2" xfId="26484" xr:uid="{F1D59852-DC5A-42C4-9DB4-767AB38EC76C}"/>
    <cellStyle name="注释 2 11 2 2 2" xfId="37622" xr:uid="{1A514135-3E42-4183-8CE4-68B016961ECA}"/>
    <cellStyle name="注释 2 11 2 3" xfId="36053" xr:uid="{74D4FBE2-AD64-46E1-8027-0D5E1E9C2E6D}"/>
    <cellStyle name="注释 2 11 3" xfId="36052" xr:uid="{16FE6F1B-BEBD-4420-9530-AB5FA1081563}"/>
    <cellStyle name="注释 2 12" xfId="22951" xr:uid="{6946CE8D-AD85-4EA6-841D-693DDDFB6085}"/>
    <cellStyle name="注释 2 12 2" xfId="22952" xr:uid="{11694474-E56D-4A51-A05C-3D51912F0EE8}"/>
    <cellStyle name="注释 2 12 2 2" xfId="26485" xr:uid="{05E82910-8734-4CB3-991D-30FEE87A959D}"/>
    <cellStyle name="注释 2 12 2 2 2" xfId="37623" xr:uid="{D757B031-9A4E-447E-87E6-ED3902B3F84C}"/>
    <cellStyle name="注释 2 12 2 3" xfId="36055" xr:uid="{0BFA277E-2DBB-4A39-B83F-4A4E614DD0A1}"/>
    <cellStyle name="注释 2 12 3" xfId="36054" xr:uid="{2885E0B0-FCB6-4A9A-8816-335DF19BF054}"/>
    <cellStyle name="注释 2 13" xfId="22953" xr:uid="{F74D919C-C42F-4D52-9326-26EEFD6088CA}"/>
    <cellStyle name="注释 2 13 2" xfId="22954" xr:uid="{F70F82B0-11FD-4D9B-A13D-920CC0AD6329}"/>
    <cellStyle name="注释 2 13 2 2" xfId="26486" xr:uid="{8020B9EA-D5E9-4423-8B0B-0C290E87DE12}"/>
    <cellStyle name="注释 2 13 2 2 2" xfId="38686" xr:uid="{2B7311C8-4F3E-4F17-B7A5-5D8AF493085A}"/>
    <cellStyle name="注释 2 13 2 3" xfId="36057" xr:uid="{1FFBC1C1-317C-4360-860C-7F69FB3314D4}"/>
    <cellStyle name="注释 2 13 3" xfId="36056" xr:uid="{1554A5EC-FEE3-4843-8447-172C7823D636}"/>
    <cellStyle name="注释 2 14" xfId="22955" xr:uid="{B82F31BB-BD13-4754-931E-7EB9BB34D378}"/>
    <cellStyle name="注释 2 14 2" xfId="22956" xr:uid="{33599B1C-464E-4029-9578-E545A6B42680}"/>
    <cellStyle name="注释 2 14 2 2" xfId="26487" xr:uid="{3922D137-738E-4038-83D7-6E8080975767}"/>
    <cellStyle name="注释 2 14 2 2 2" xfId="28027" xr:uid="{AD198EA7-3758-4530-B12D-C5ABD987809B}"/>
    <cellStyle name="注释 2 14 2 3" xfId="36059" xr:uid="{276EBDA8-5336-421B-A86C-CB01DDC8552A}"/>
    <cellStyle name="注释 2 14 3" xfId="36058" xr:uid="{6D6674D4-0260-43B2-ACF4-CE4C8C2D2F1A}"/>
    <cellStyle name="注释 2 15" xfId="22957" xr:uid="{86F98788-2B69-4D30-AF74-ED9367BF4E6F}"/>
    <cellStyle name="注释 2 15 2" xfId="22958" xr:uid="{37E901E5-541C-4298-9683-C5175E99B95E}"/>
    <cellStyle name="注释 2 15 2 2" xfId="26488" xr:uid="{5DD403E3-D074-4C22-AF17-8075B3C322FB}"/>
    <cellStyle name="注释 2 15 2 2 2" xfId="37624" xr:uid="{964C5615-5F13-4D26-8564-B20DCA196072}"/>
    <cellStyle name="注释 2 15 2 3" xfId="36061" xr:uid="{D76A5CF2-B572-4B56-BD5A-444052E3063D}"/>
    <cellStyle name="注释 2 15 3" xfId="36060" xr:uid="{34263012-78FB-4CAB-93C6-E513B9AD1598}"/>
    <cellStyle name="注释 2 16" xfId="22959" xr:uid="{1D8A9876-3C81-4DBE-9179-02B3CA7A920C}"/>
    <cellStyle name="注释 2 16 2" xfId="22960" xr:uid="{B348A12F-C4D2-4E85-99F7-2CB8E49F2148}"/>
    <cellStyle name="注释 2 16 2 2" xfId="26489" xr:uid="{49233DD0-94DB-4040-9A73-7631EB8558D7}"/>
    <cellStyle name="注释 2 16 2 2 2" xfId="37625" xr:uid="{2F224473-0616-4057-A2E6-D4CEEB331FC8}"/>
    <cellStyle name="注释 2 16 2 3" xfId="36063" xr:uid="{DFFF30B3-35A0-41F1-92F8-B0AD9208D785}"/>
    <cellStyle name="注释 2 16 3" xfId="36062" xr:uid="{BFF4227C-705A-4D58-BC2E-01E7DE75673B}"/>
    <cellStyle name="注释 2 17" xfId="22961" xr:uid="{CB14276A-667F-4E4A-B5DC-F91F60179C9F}"/>
    <cellStyle name="注释 2 17 2" xfId="22962" xr:uid="{3015B8EF-8C46-4058-97F9-FF79D93C6E16}"/>
    <cellStyle name="注释 2 17 2 2" xfId="26490" xr:uid="{80AFB910-AC1C-43A5-A385-FD19D698D304}"/>
    <cellStyle name="注释 2 17 2 2 2" xfId="38687" xr:uid="{4744FA6E-E3A5-4739-AD4B-22FBB6D0CD21}"/>
    <cellStyle name="注释 2 17 2 3" xfId="36065" xr:uid="{E971AD21-4538-4CA1-B604-493B8CF98C8B}"/>
    <cellStyle name="注释 2 17 3" xfId="36064" xr:uid="{BDEE8F5E-3470-4322-B9E4-8F0CE17CB7CB}"/>
    <cellStyle name="注释 2 18" xfId="22963" xr:uid="{C3C4E552-B837-4937-B73B-7107B16592FE}"/>
    <cellStyle name="注释 2 18 2" xfId="22964" xr:uid="{CADCDF69-DC92-415D-96E3-A2393AD000F4}"/>
    <cellStyle name="注释 2 18 2 2" xfId="26491" xr:uid="{79576CCA-D510-46D5-9641-7047011E8C0A}"/>
    <cellStyle name="注释 2 18 2 2 2" xfId="28028" xr:uid="{B15C8366-6A72-4E59-82E0-F680C0DFD3A1}"/>
    <cellStyle name="注释 2 18 2 3" xfId="36067" xr:uid="{E4FAB669-EF92-414E-9B27-8F753D59EB76}"/>
    <cellStyle name="注释 2 18 3" xfId="36066" xr:uid="{EE86C7C5-989E-4E62-8F9A-4611DB32A470}"/>
    <cellStyle name="注释 2 19" xfId="22965" xr:uid="{07B8EB86-3777-419C-8DA8-777F5A0AE7B1}"/>
    <cellStyle name="注释 2 19 2" xfId="22966" xr:uid="{5B5F5115-7168-4437-8369-26AE5ED65C82}"/>
    <cellStyle name="注释 2 19 2 2" xfId="26492" xr:uid="{1BC2D429-9B2E-4B30-AFA6-628FD83B9AEF}"/>
    <cellStyle name="注释 2 19 2 2 2" xfId="37626" xr:uid="{BECEC991-6654-41C9-9A28-100C7E5A7E29}"/>
    <cellStyle name="注释 2 19 2 3" xfId="36069" xr:uid="{332E7530-7401-47D5-A128-C3D449A93996}"/>
    <cellStyle name="注释 2 19 3" xfId="36068" xr:uid="{1E1FEBC8-D31D-458E-ABF1-75A3B3EB1089}"/>
    <cellStyle name="注释 2 2" xfId="22967" xr:uid="{5CA88EA0-FBFA-4A3F-9D0D-96505AE4A845}"/>
    <cellStyle name="注释 2 2 10" xfId="22968" xr:uid="{431E7362-6EE1-4C48-A212-2B494C248285}"/>
    <cellStyle name="注释 2 2 10 2" xfId="36071" xr:uid="{5EB64E44-616D-4E2F-8230-9211C9B75250}"/>
    <cellStyle name="注释 2 2 11" xfId="22969" xr:uid="{A96FBA03-7AD6-4F9F-BF16-D8FA9E740000}"/>
    <cellStyle name="注释 2 2 11 2" xfId="36072" xr:uid="{230FF52E-431B-451B-ACAF-F67FE6196065}"/>
    <cellStyle name="注释 2 2 12" xfId="22970" xr:uid="{F2611F13-6E98-4E7A-B62C-9F8161DD15D1}"/>
    <cellStyle name="注释 2 2 12 2" xfId="36073" xr:uid="{0C2AFF0A-1B52-4190-922B-5E65631B6C9D}"/>
    <cellStyle name="注释 2 2 13" xfId="22971" xr:uid="{ED57E4B0-B35E-49C9-A485-754E613C7FE6}"/>
    <cellStyle name="注释 2 2 13 2" xfId="36074" xr:uid="{6FD8C881-B48A-45BE-966E-A62684C9A1A8}"/>
    <cellStyle name="注释 2 2 14" xfId="22972" xr:uid="{6E6DC9E7-6D6B-4918-99A3-9C4392A1CAA4}"/>
    <cellStyle name="注释 2 2 14 2" xfId="36075" xr:uid="{50BDA555-4F74-4009-AD81-5FEB4392B758}"/>
    <cellStyle name="注释 2 2 15" xfId="22973" xr:uid="{69D05D5B-2FB7-47D2-B109-8B3FF3C369BD}"/>
    <cellStyle name="注释 2 2 15 2" xfId="36076" xr:uid="{D165C51B-05CF-44A5-85D9-1938FB63650F}"/>
    <cellStyle name="注释 2 2 16" xfId="22974" xr:uid="{A6FD8FE1-01EF-4192-B4A9-F07821E458E5}"/>
    <cellStyle name="注释 2 2 16 2" xfId="36077" xr:uid="{644552CC-F0BA-4BB9-8B4F-61289D35AD05}"/>
    <cellStyle name="注释 2 2 17" xfId="22975" xr:uid="{CBC5B895-442C-45E9-BFB3-9A515BE8D936}"/>
    <cellStyle name="注释 2 2 17 2" xfId="36078" xr:uid="{47F4DD5A-8244-4980-B3DC-75423D6ACCA3}"/>
    <cellStyle name="注释 2 2 18" xfId="22976" xr:uid="{0C91B6D2-34D6-4674-8F89-58F584DAC1B1}"/>
    <cellStyle name="注释 2 2 18 2" xfId="36079" xr:uid="{729BB445-44D3-417A-8E69-74DDA2B887C7}"/>
    <cellStyle name="注释 2 2 19" xfId="22977" xr:uid="{27FEB323-3946-4847-A1E7-AF203C49A3B1}"/>
    <cellStyle name="注释 2 2 19 2" xfId="36080" xr:uid="{F791576F-04B4-4050-93A0-14324520A1F5}"/>
    <cellStyle name="注释 2 2 2" xfId="22978" xr:uid="{B3C95A34-F789-413E-887B-B95B7AC8BDB5}"/>
    <cellStyle name="注释 2 2 2 10" xfId="22979" xr:uid="{9A00C73C-DCA5-4253-ADA0-72859CAEE576}"/>
    <cellStyle name="注释 2 2 2 10 2" xfId="22980" xr:uid="{41EF6493-49BD-4B71-A99F-226185D289EB}"/>
    <cellStyle name="注释 2 2 2 10 2 2" xfId="26493" xr:uid="{DA27673E-3433-4517-AE66-1571AA1837D3}"/>
    <cellStyle name="注释 2 2 2 10 2 2 2" xfId="37627" xr:uid="{25E1F437-82A8-45B0-9C9B-D09DBA248D30}"/>
    <cellStyle name="注释 2 2 2 10 2 3" xfId="36083" xr:uid="{5D9B1CBD-A2B8-4837-A0BD-1D72EB9156DE}"/>
    <cellStyle name="注释 2 2 2 10 3" xfId="36082" xr:uid="{A2048468-9F16-4F05-A5CB-085CB89A3E89}"/>
    <cellStyle name="注释 2 2 2 11" xfId="22981" xr:uid="{41CBBDAC-EAA0-43B5-8F74-25C7A5FE7512}"/>
    <cellStyle name="注释 2 2 2 11 2" xfId="22982" xr:uid="{E5774D66-ADF7-415D-8BCD-C9CF234BB76F}"/>
    <cellStyle name="注释 2 2 2 11 2 2" xfId="26494" xr:uid="{71FF3677-B8E6-4342-9F0B-1A752BF4B136}"/>
    <cellStyle name="注释 2 2 2 11 2 2 2" xfId="28029" xr:uid="{DCD30D9D-CC14-44CD-A850-A015766A84C6}"/>
    <cellStyle name="注释 2 2 2 11 2 3" xfId="36110" xr:uid="{7944AD99-79F9-410C-81A0-2A214EA74A19}"/>
    <cellStyle name="注释 2 2 2 11 3" xfId="36084" xr:uid="{935F194F-F09B-460D-86CD-CAAF84A91342}"/>
    <cellStyle name="注释 2 2 2 12" xfId="22983" xr:uid="{0D5B7453-64E8-4819-B3FD-96CA37F9732B}"/>
    <cellStyle name="注释 2 2 2 12 2" xfId="22984" xr:uid="{06A94A07-607F-4AEB-B7DB-0A025F4A2355}"/>
    <cellStyle name="注释 2 2 2 12 2 2" xfId="26495" xr:uid="{048A7546-1DD5-4F1D-A959-739AC40FEACE}"/>
    <cellStyle name="注释 2 2 2 12 2 2 2" xfId="37628" xr:uid="{3113ADC9-6734-464F-99CB-546E8C23FA81}"/>
    <cellStyle name="注释 2 2 2 12 2 3" xfId="36112" xr:uid="{6ACC7B01-0B18-4AC1-B49E-B439753930C2}"/>
    <cellStyle name="注释 2 2 2 12 3" xfId="36111" xr:uid="{3C47FE9F-FEED-4D34-B3CE-8C447CE3B00C}"/>
    <cellStyle name="注释 2 2 2 13" xfId="22985" xr:uid="{8297D437-D9B7-4CC7-8BE5-6C02FE643CBC}"/>
    <cellStyle name="注释 2 2 2 13 2" xfId="22986" xr:uid="{71C1D839-AE26-4280-BD2C-4169D7E26F4D}"/>
    <cellStyle name="注释 2 2 2 13 2 2" xfId="26496" xr:uid="{FC46FB95-9D3E-4DC2-82DD-36BC87BEF0A3}"/>
    <cellStyle name="注释 2 2 2 13 2 2 2" xfId="37629" xr:uid="{1C3E0B21-7907-4F2E-92F2-FF6C1B578048}"/>
    <cellStyle name="注释 2 2 2 13 2 3" xfId="36114" xr:uid="{CE5498F7-E9D9-4ECD-AEE2-13A789F62C25}"/>
    <cellStyle name="注释 2 2 2 13 3" xfId="36113" xr:uid="{3F9811C9-96E6-4D7A-96E2-374A04872DD3}"/>
    <cellStyle name="注释 2 2 2 14" xfId="22987" xr:uid="{7A3F9CED-CDF6-407C-B94B-427C54E52D27}"/>
    <cellStyle name="注释 2 2 2 14 2" xfId="22988" xr:uid="{A84388B4-995D-4162-9C54-E1DB18546D0C}"/>
    <cellStyle name="注释 2 2 2 14 2 2" xfId="26497" xr:uid="{741D38D3-F5CC-46C3-A517-17EFF2DD7219}"/>
    <cellStyle name="注释 2 2 2 14 2 2 2" xfId="37630" xr:uid="{192EF494-2236-4AFD-B42F-B36923150952}"/>
    <cellStyle name="注释 2 2 2 14 2 3" xfId="36116" xr:uid="{7AA4E95B-C31C-4A10-BBF7-402E0F2B51AE}"/>
    <cellStyle name="注释 2 2 2 14 3" xfId="36115" xr:uid="{6D6FF224-8B6C-4420-B6F9-BD81080F3A7D}"/>
    <cellStyle name="注释 2 2 2 15" xfId="22989" xr:uid="{D09C8AA8-16DC-4B6B-BE25-F3BCC684D7D0}"/>
    <cellStyle name="注释 2 2 2 15 2" xfId="22990" xr:uid="{D59A54CE-F80C-430E-90CE-5BDFBAEEC64F}"/>
    <cellStyle name="注释 2 2 2 15 2 2" xfId="26498" xr:uid="{65526A8C-7A17-4A39-9191-0623AC39FDBA}"/>
    <cellStyle name="注释 2 2 2 15 2 2 2" xfId="37843" xr:uid="{D8ED8FFE-F5B8-4684-94ED-7824901BCD6C}"/>
    <cellStyle name="注释 2 2 2 15 2 3" xfId="38182" xr:uid="{5D11D6E6-DC46-4DA0-9BA1-819BDC1E6576}"/>
    <cellStyle name="注释 2 2 2 15 3" xfId="36117" xr:uid="{4E4EF9F6-0920-44A1-9CE2-E84E2B91AA4C}"/>
    <cellStyle name="注释 2 2 2 16" xfId="22991" xr:uid="{F55DA665-FF4A-4416-A053-712E8CA291C5}"/>
    <cellStyle name="注释 2 2 2 16 2" xfId="22992" xr:uid="{1AD6FA37-C103-4A07-968A-29B6B14F01D9}"/>
    <cellStyle name="注释 2 2 2 16 2 2" xfId="26499" xr:uid="{785B008B-2394-4B50-9325-C2DAF0016CFB}"/>
    <cellStyle name="注释 2 2 2 16 2 2 2" xfId="37631" xr:uid="{4BE6A4EB-85F5-42DE-A508-49C133A5FAC0}"/>
    <cellStyle name="注释 2 2 2 16 2 3" xfId="36118" xr:uid="{7F7FFB03-4CD1-46C8-BE9E-505E3ABD0504}"/>
    <cellStyle name="注释 2 2 2 16 3" xfId="38181" xr:uid="{51B07B37-4A80-410A-83A9-F83174730103}"/>
    <cellStyle name="注释 2 2 2 17" xfId="22993" xr:uid="{526C79B4-6647-4940-BE17-DC41B02DD92E}"/>
    <cellStyle name="注释 2 2 2 17 2" xfId="22994" xr:uid="{2641AC62-FDAB-4120-808C-47563F4D97A6}"/>
    <cellStyle name="注释 2 2 2 17 2 2" xfId="26500" xr:uid="{CC4E9595-6C32-45E9-B95C-D413C4AE8EED}"/>
    <cellStyle name="注释 2 2 2 17 2 2 2" xfId="37632" xr:uid="{E2436573-ED40-485D-8611-55C9F7509FA3}"/>
    <cellStyle name="注释 2 2 2 17 2 3" xfId="36119" xr:uid="{4F3301FB-9A61-4D56-B769-71D391772BD8}"/>
    <cellStyle name="注释 2 2 2 17 3" xfId="38183" xr:uid="{57A99A5E-ADED-4B35-ADA9-47E4DC0044E3}"/>
    <cellStyle name="注释 2 2 2 18" xfId="22995" xr:uid="{13570027-4485-4876-803E-4A6D7D8B3B11}"/>
    <cellStyle name="注释 2 2 2 18 2" xfId="22996" xr:uid="{2A0EE43E-9E68-4A89-955D-1EDF5E6AF7E3}"/>
    <cellStyle name="注释 2 2 2 18 2 2" xfId="26501" xr:uid="{5B249D2C-147E-4526-BA9B-89056CF507F3}"/>
    <cellStyle name="注释 2 2 2 18 2 2 2" xfId="37633" xr:uid="{EE15DFAF-18D5-4824-939F-3D323A6945E1}"/>
    <cellStyle name="注释 2 2 2 18 2 3" xfId="38180" xr:uid="{D8E23AA9-2F0E-4D25-A47B-C0EE77C8C76D}"/>
    <cellStyle name="注释 2 2 2 18 3" xfId="38184" xr:uid="{DAC175B8-2F87-424B-9220-3140F2B3B440}"/>
    <cellStyle name="注释 2 2 2 19" xfId="22997" xr:uid="{149A2B84-C619-4309-95EB-113FFF08AC55}"/>
    <cellStyle name="注释 2 2 2 19 2" xfId="26502" xr:uid="{C284C39C-4D20-4429-B6E1-DCE6F13A8F6F}"/>
    <cellStyle name="注释 2 2 2 19 2 2" xfId="28030" xr:uid="{CA73BA8D-BD73-4E04-8A1D-A4E91EA2AF68}"/>
    <cellStyle name="注释 2 2 2 19 3" xfId="36120" xr:uid="{7F2C2B38-35F8-4829-B9DD-CBFE4E04123A}"/>
    <cellStyle name="注释 2 2 2 2" xfId="22998" xr:uid="{B1233F53-0183-4FAF-8E4A-3C5CC51A5998}"/>
    <cellStyle name="注释 2 2 2 2 10" xfId="22999" xr:uid="{E413B59A-AF49-405F-9140-7A7CD73FCE07}"/>
    <cellStyle name="注释 2 2 2 2 10 2" xfId="23000" xr:uid="{3E28D0C4-0E31-4435-B4A6-01F1BF65F714}"/>
    <cellStyle name="注释 2 2 2 2 10 2 2" xfId="26503" xr:uid="{07B3AD8E-4265-4899-B88B-8988E99192D6}"/>
    <cellStyle name="注释 2 2 2 2 10 2 2 2" xfId="37634" xr:uid="{F9C14306-7158-49F5-BA5D-F4C71D3B6D46}"/>
    <cellStyle name="注释 2 2 2 2 10 2 3" xfId="36121" xr:uid="{3DE7750F-B43A-456C-9D44-5B990FE2BB85}"/>
    <cellStyle name="注释 2 2 2 2 10 3" xfId="38179" xr:uid="{B153CC03-254C-414F-8B54-8B99B8C6F481}"/>
    <cellStyle name="注释 2 2 2 2 11" xfId="23001" xr:uid="{F87CB0D6-BD4D-42B6-B224-6C1F2DB56AB5}"/>
    <cellStyle name="注释 2 2 2 2 11 2" xfId="23002" xr:uid="{4CE02E46-124D-483D-94B0-3C7264B202CB}"/>
    <cellStyle name="注释 2 2 2 2 11 2 2" xfId="26504" xr:uid="{BCC98400-CD55-4C6A-8838-D78B682D4B62}"/>
    <cellStyle name="注释 2 2 2 2 11 2 2 2" xfId="38688" xr:uid="{64BD0F21-05A1-46B7-92CD-D0CD3B007546}"/>
    <cellStyle name="注释 2 2 2 2 11 2 3" xfId="36122" xr:uid="{6BA36462-0BC6-46AE-B182-3554318A57D8}"/>
    <cellStyle name="注释 2 2 2 2 11 3" xfId="38186" xr:uid="{01E72788-8DEB-4AAB-A09B-A7F86F78AC0A}"/>
    <cellStyle name="注释 2 2 2 2 12" xfId="23003" xr:uid="{A220D0EC-755E-489E-8C77-E7B8C5EF71EF}"/>
    <cellStyle name="注释 2 2 2 2 12 2" xfId="23004" xr:uid="{9EA0266B-77E1-4418-BAAF-29945AD1390B}"/>
    <cellStyle name="注释 2 2 2 2 12 2 2" xfId="26505" xr:uid="{64ED6D23-D9BE-435E-8ED9-5A487D4325A3}"/>
    <cellStyle name="注释 2 2 2 2 12 2 2 2" xfId="37635" xr:uid="{DA56C246-E02E-470B-9C47-59BF78DC88F0}"/>
    <cellStyle name="注释 2 2 2 2 12 2 3" xfId="38178" xr:uid="{898932F6-5E91-4EF4-815C-A4447B05ED18}"/>
    <cellStyle name="注释 2 2 2 2 12 3" xfId="38187" xr:uid="{7B919879-760F-4A61-93DF-B3A4A112E249}"/>
    <cellStyle name="注释 2 2 2 2 13" xfId="23005" xr:uid="{81EADF16-C442-495A-B78D-7A7286540C7E}"/>
    <cellStyle name="注释 2 2 2 2 13 2" xfId="23006" xr:uid="{83591744-5E3F-4279-B692-A319149F8EE2}"/>
    <cellStyle name="注释 2 2 2 2 13 2 2" xfId="26506" xr:uid="{B682D232-116C-468C-BF04-C99DDBBB4EE7}"/>
    <cellStyle name="注释 2 2 2 2 13 2 2 2" xfId="28031" xr:uid="{511AD67A-456E-4CF9-80BA-04C99CBD0EE7}"/>
    <cellStyle name="注释 2 2 2 2 13 2 3" xfId="36124" xr:uid="{A026B767-8401-41EA-9642-222EC3D7E1AE}"/>
    <cellStyle name="注释 2 2 2 2 13 3" xfId="36123" xr:uid="{946E8581-52A6-49BE-B4FA-56B8D878C480}"/>
    <cellStyle name="注释 2 2 2 2 14" xfId="23007" xr:uid="{5423A55E-DEB5-4F0B-BEE8-F0C7B3249EED}"/>
    <cellStyle name="注释 2 2 2 2 14 2" xfId="23008" xr:uid="{626C8BF5-6147-4757-9994-0FE2845B7C3F}"/>
    <cellStyle name="注释 2 2 2 2 14 2 2" xfId="26507" xr:uid="{E790E57A-0FD5-4341-B899-3987F4BBF586}"/>
    <cellStyle name="注释 2 2 2 2 14 2 2 2" xfId="37636" xr:uid="{5D3B7857-38F3-4D02-A6CE-629B6EFB35A0}"/>
    <cellStyle name="注释 2 2 2 2 14 2 3" xfId="36126" xr:uid="{DE9A79C3-2D8B-45EB-87C2-5B82BB1EBC94}"/>
    <cellStyle name="注释 2 2 2 2 14 3" xfId="36125" xr:uid="{2EDE5D78-284C-4D02-A72E-54BFD653E3C3}"/>
    <cellStyle name="注释 2 2 2 2 15" xfId="23009" xr:uid="{4AA5AC8F-AD81-4DB8-92E2-0B4D83454096}"/>
    <cellStyle name="注释 2 2 2 2 15 2" xfId="23010" xr:uid="{294AA76C-0419-46AE-9E04-043E1FC5942A}"/>
    <cellStyle name="注释 2 2 2 2 15 2 2" xfId="26508" xr:uid="{E1D17020-40CC-4198-99F5-0FCFCCE550F9}"/>
    <cellStyle name="注释 2 2 2 2 15 2 2 2" xfId="38689" xr:uid="{21DF1EB0-7CA2-4E2F-991A-4B4417637A2E}"/>
    <cellStyle name="注释 2 2 2 2 15 2 3" xfId="36777" xr:uid="{230D7B38-3640-4ADD-A72E-E5D537BC9B45}"/>
    <cellStyle name="注释 2 2 2 2 15 3" xfId="36776" xr:uid="{FEF4691D-48E0-4534-BFA1-E731E94731A1}"/>
    <cellStyle name="注释 2 2 2 2 16" xfId="23011" xr:uid="{554F06B3-E11D-405D-9921-46D8AF1CDF94}"/>
    <cellStyle name="注释 2 2 2 2 16 2" xfId="26509" xr:uid="{FD64B85B-1357-462B-B2F3-44E7822BA0DD}"/>
    <cellStyle name="注释 2 2 2 2 16 2 2" xfId="37637" xr:uid="{100E62CE-CCBB-4933-99EC-59D26A202039}"/>
    <cellStyle name="注释 2 2 2 2 16 3" xfId="36778" xr:uid="{280E680E-CC43-4955-9698-2735057BAE2F}"/>
    <cellStyle name="注释 2 2 2 2 17" xfId="38185" xr:uid="{F6F1D154-26B1-48FC-BCBD-DCC4F521884A}"/>
    <cellStyle name="注释 2 2 2 2 2" xfId="23012" xr:uid="{5D8CEF85-3F40-430E-8C45-89307AB2D2FC}"/>
    <cellStyle name="注释 2 2 2 2 2 2" xfId="23013" xr:uid="{777D7D0D-D598-4112-8EE5-EE0D0E414F4E}"/>
    <cellStyle name="注释 2 2 2 2 2 2 2" xfId="26510" xr:uid="{43A2206C-8F82-4F6D-8CC4-9B31D88D4F93}"/>
    <cellStyle name="注释 2 2 2 2 2 2 2 2" xfId="37844" xr:uid="{75A27021-EC35-4D80-8D94-109AAD5F2983}"/>
    <cellStyle name="注释 2 2 2 2 2 2 3" xfId="36780" xr:uid="{DEF0C783-25B4-4363-8ABB-53F43B041757}"/>
    <cellStyle name="注释 2 2 2 2 2 3" xfId="36779" xr:uid="{269349C1-44EA-45BC-A29C-F42890896D50}"/>
    <cellStyle name="注释 2 2 2 2 3" xfId="23014" xr:uid="{E0427120-4B48-4F26-83A8-337D698427E4}"/>
    <cellStyle name="注释 2 2 2 2 3 2" xfId="23015" xr:uid="{F76343D3-5BE1-4E18-86E6-9079E95978C0}"/>
    <cellStyle name="注释 2 2 2 2 3 2 2" xfId="26511" xr:uid="{5BD1F3EF-3939-41BE-97FE-50DD94702925}"/>
    <cellStyle name="注释 2 2 2 2 3 2 2 2" xfId="37638" xr:uid="{A73AF824-499E-4246-A78C-C5CC8C53416F}"/>
    <cellStyle name="注释 2 2 2 2 3 2 3" xfId="36782" xr:uid="{8FAF950E-40AB-476D-BF65-434EA924A40D}"/>
    <cellStyle name="注释 2 2 2 2 3 3" xfId="36781" xr:uid="{ECDFEDDB-5B40-40CB-BA13-DA58BA2074F2}"/>
    <cellStyle name="注释 2 2 2 2 4" xfId="23016" xr:uid="{603F01DF-FB5E-4673-9989-EA1005F17AAE}"/>
    <cellStyle name="注释 2 2 2 2 4 2" xfId="23017" xr:uid="{5061F077-7E1E-4949-88CA-BF55662712AF}"/>
    <cellStyle name="注释 2 2 2 2 4 2 2" xfId="26512" xr:uid="{9E7596DC-4FC2-4A57-8F8E-C3EF2F784FE2}"/>
    <cellStyle name="注释 2 2 2 2 4 2 2 2" xfId="38690" xr:uid="{D794A3A7-7F74-44E7-88BC-3622621180B9}"/>
    <cellStyle name="注释 2 2 2 2 4 2 3" xfId="36784" xr:uid="{3E15B535-B6A4-411D-8660-479D1504E3DD}"/>
    <cellStyle name="注释 2 2 2 2 4 3" xfId="36783" xr:uid="{8BC9227B-F2D7-4FC7-B38A-92B47BDB4F13}"/>
    <cellStyle name="注释 2 2 2 2 5" xfId="23018" xr:uid="{D6D5DD5D-BA1A-4370-B384-BB6D4916BA07}"/>
    <cellStyle name="注释 2 2 2 2 5 2" xfId="23019" xr:uid="{C6CAD568-CD4C-4485-8C77-2CAB1F7A6EF4}"/>
    <cellStyle name="注释 2 2 2 2 5 2 2" xfId="26513" xr:uid="{A87BDD00-8D0A-49BD-A7F0-2C730380942D}"/>
    <cellStyle name="注释 2 2 2 2 5 2 2 2" xfId="37639" xr:uid="{ACCA56C0-1007-433D-9B4E-0E233E7A7BF5}"/>
    <cellStyle name="注释 2 2 2 2 5 2 3" xfId="36786" xr:uid="{57871808-ADC4-491E-8E4D-7DCF8959DD6B}"/>
    <cellStyle name="注释 2 2 2 2 5 3" xfId="36785" xr:uid="{84E1F0F9-F948-4D83-A0B3-1CFE84476D7F}"/>
    <cellStyle name="注释 2 2 2 2 6" xfId="23020" xr:uid="{371E0E2B-2889-4081-A036-1C61E46F8B8C}"/>
    <cellStyle name="注释 2 2 2 2 6 2" xfId="23021" xr:uid="{A9B8C9FA-DD75-473C-BA8C-92B0921F4DB4}"/>
    <cellStyle name="注释 2 2 2 2 6 2 2" xfId="26514" xr:uid="{0DB238D3-5E28-4B45-A222-D685E0AFBC48}"/>
    <cellStyle name="注释 2 2 2 2 6 2 2 2" xfId="28032" xr:uid="{569A7442-C4C3-45BA-920B-CD296ED57E24}"/>
    <cellStyle name="注释 2 2 2 2 6 2 3" xfId="36788" xr:uid="{66FEBB3A-A24B-4782-BD3E-1190A4AB6D20}"/>
    <cellStyle name="注释 2 2 2 2 6 3" xfId="36787" xr:uid="{12D921DB-746F-4847-95A4-E23741770E7B}"/>
    <cellStyle name="注释 2 2 2 2 7" xfId="23022" xr:uid="{F1138582-1CE4-4FF2-8CCB-E6115DF80A3B}"/>
    <cellStyle name="注释 2 2 2 2 7 2" xfId="23023" xr:uid="{CE2B3D91-C815-4A3F-B313-8BBE548F97BF}"/>
    <cellStyle name="注释 2 2 2 2 7 2 2" xfId="26515" xr:uid="{A7AD0C3C-9D30-419D-9109-60D6F9106C8D}"/>
    <cellStyle name="注释 2 2 2 2 7 2 2 2" xfId="37640" xr:uid="{D77C7749-E990-4E31-8FCE-8906E8D6F691}"/>
    <cellStyle name="注释 2 2 2 2 7 2 3" xfId="36790" xr:uid="{675FCC9B-6A65-4172-8545-5897FA666564}"/>
    <cellStyle name="注释 2 2 2 2 7 3" xfId="36789" xr:uid="{A210C12A-13D4-41F9-9E58-D2A57FD0B319}"/>
    <cellStyle name="注释 2 2 2 2 8" xfId="23024" xr:uid="{FEBFEA00-596D-468D-B692-846328686279}"/>
    <cellStyle name="注释 2 2 2 2 8 2" xfId="23025" xr:uid="{7CF2B707-0689-4EC3-9982-3E97CE8D5580}"/>
    <cellStyle name="注释 2 2 2 2 8 2 2" xfId="26516" xr:uid="{53818EF7-DD30-4905-832B-1C9A46B9B8B9}"/>
    <cellStyle name="注释 2 2 2 2 8 2 2 2" xfId="38691" xr:uid="{50A341C5-3BFD-48F8-8B34-5F0C463CDBEA}"/>
    <cellStyle name="注释 2 2 2 2 8 2 3" xfId="36792" xr:uid="{E385C011-0185-49A8-B227-D4539F42F869}"/>
    <cellStyle name="注释 2 2 2 2 8 3" xfId="36791" xr:uid="{AF957734-848E-45BB-923A-E5F8E2F6DBCC}"/>
    <cellStyle name="注释 2 2 2 2 9" xfId="23026" xr:uid="{CC2C25C7-3A51-47DC-B667-87A2C06FF847}"/>
    <cellStyle name="注释 2 2 2 2 9 2" xfId="23027" xr:uid="{A6C78C23-8F24-4879-B992-782D501477FD}"/>
    <cellStyle name="注释 2 2 2 2 9 2 2" xfId="26517" xr:uid="{9014ED13-713F-4057-96DC-AB5148E6A872}"/>
    <cellStyle name="注释 2 2 2 2 9 2 2 2" xfId="37641" xr:uid="{2FAA87E7-EEE6-4CF9-94B2-11DD2D6719CD}"/>
    <cellStyle name="注释 2 2 2 2 9 2 3" xfId="36794" xr:uid="{9656BAE8-E06D-4F68-840D-8C6AF6427C9A}"/>
    <cellStyle name="注释 2 2 2 2 9 3" xfId="36793" xr:uid="{9E9BF2BD-284B-49D7-969E-EF60DB3C699D}"/>
    <cellStyle name="注释 2 2 2 20" xfId="36081" xr:uid="{E6C80301-F6AF-403F-8A8F-598D399D0F6F}"/>
    <cellStyle name="注释 2 2 2 3" xfId="23028" xr:uid="{BA0F5514-E1BB-48CC-863E-6BEDE8481631}"/>
    <cellStyle name="注释 2 2 2 3 2" xfId="23029" xr:uid="{C6B57E6A-9A31-4260-8773-6DC7E8E39E53}"/>
    <cellStyle name="注释 2 2 2 3 2 2" xfId="26518" xr:uid="{8DC85233-BF36-4BF4-B07B-55A85BAD04E1}"/>
    <cellStyle name="注释 2 2 2 3 2 2 2" xfId="37845" xr:uid="{DCDA291D-B87B-488C-826D-CD5D323F9A61}"/>
    <cellStyle name="注释 2 2 2 3 2 3" xfId="36796" xr:uid="{08BC2208-EF8C-4D18-BB83-8696F8679F99}"/>
    <cellStyle name="注释 2 2 2 3 3" xfId="36795" xr:uid="{6EBAAE74-7540-4409-A7F4-7BCF35A4821D}"/>
    <cellStyle name="注释 2 2 2 4" xfId="23030" xr:uid="{75C491B6-4242-4848-ADA2-8A201B827192}"/>
    <cellStyle name="注释 2 2 2 4 2" xfId="23031" xr:uid="{8E158FBE-82F5-471D-9549-D2C23676A370}"/>
    <cellStyle name="注释 2 2 2 4 2 2" xfId="26519" xr:uid="{D829F02B-ABE7-4C88-BD01-EDD5349985B9}"/>
    <cellStyle name="注释 2 2 2 4 2 2 2" xfId="37642" xr:uid="{CBF53456-7B2E-41D7-B65F-54DE3F8344BD}"/>
    <cellStyle name="注释 2 2 2 4 2 3" xfId="36798" xr:uid="{7B6C94B7-F751-42F3-9297-EB16E41C50EC}"/>
    <cellStyle name="注释 2 2 2 4 3" xfId="36797" xr:uid="{0E6246B3-022D-483B-97FF-256F89E147D3}"/>
    <cellStyle name="注释 2 2 2 5" xfId="23032" xr:uid="{E47041CF-BD3B-47A6-8E04-6CFF5E8E8D5F}"/>
    <cellStyle name="注释 2 2 2 5 2" xfId="23033" xr:uid="{550D2DFB-B3F7-4D1D-8534-3E3996A8EA7E}"/>
    <cellStyle name="注释 2 2 2 5 2 2" xfId="26520" xr:uid="{AD223631-55E6-44F9-9715-3F0F7EA4DF22}"/>
    <cellStyle name="注释 2 2 2 5 2 2 2" xfId="38692" xr:uid="{BB74653E-2D0D-4DFC-8CA3-B686FF5D7FA1}"/>
    <cellStyle name="注释 2 2 2 5 2 3" xfId="36800" xr:uid="{81818E2C-9A77-400D-AC8D-2D216460037D}"/>
    <cellStyle name="注释 2 2 2 5 3" xfId="36799" xr:uid="{19DEF992-708C-45B4-86F9-344354EA6870}"/>
    <cellStyle name="注释 2 2 2 6" xfId="23034" xr:uid="{BF6A5D37-9198-49AF-97E7-BACB78C5E1B5}"/>
    <cellStyle name="注释 2 2 2 6 2" xfId="23035" xr:uid="{D6262D33-B590-4E41-8AB0-D3AE86F4A7DD}"/>
    <cellStyle name="注释 2 2 2 6 2 2" xfId="26521" xr:uid="{D1D698AA-CF23-4E02-8901-612636998668}"/>
    <cellStyle name="注释 2 2 2 6 2 2 2" xfId="37643" xr:uid="{849EB384-EDF5-4667-BD93-A5AB2F598EE8}"/>
    <cellStyle name="注释 2 2 2 6 2 3" xfId="36802" xr:uid="{63B5A7F4-7D78-4E43-BD41-AEB4DD00FC4E}"/>
    <cellStyle name="注释 2 2 2 6 3" xfId="36801" xr:uid="{A3983563-63AC-43B5-B1FF-A13BB8E6391A}"/>
    <cellStyle name="注释 2 2 2 7" xfId="23036" xr:uid="{F49477FF-8AE6-437A-BB4C-919CC3335366}"/>
    <cellStyle name="注释 2 2 2 7 2" xfId="23037" xr:uid="{8736EBBD-6ED6-4B22-93B1-85B37A12F953}"/>
    <cellStyle name="注释 2 2 2 7 2 2" xfId="26522" xr:uid="{66111C4B-83BB-481D-8C05-9CBAF8A17317}"/>
    <cellStyle name="注释 2 2 2 7 2 2 2" xfId="37644" xr:uid="{66B09A2E-169C-48D6-B808-E5F9714B8817}"/>
    <cellStyle name="注释 2 2 2 7 2 3" xfId="36804" xr:uid="{03ACA3B9-B8B3-4B59-B60D-29236FE9BCD7}"/>
    <cellStyle name="注释 2 2 2 7 3" xfId="36803" xr:uid="{505DB5E5-B59C-4AF9-9838-E6E3F64A9D3F}"/>
    <cellStyle name="注释 2 2 2 8" xfId="23038" xr:uid="{A70E7338-6386-4761-9218-3D38C66D6F44}"/>
    <cellStyle name="注释 2 2 2 8 2" xfId="23039" xr:uid="{EFC6D7AC-3684-4BE5-AFEA-E013C534FC09}"/>
    <cellStyle name="注释 2 2 2 8 2 2" xfId="26523" xr:uid="{ED9789B0-330B-4F5D-8FC2-9534ECFD39EE}"/>
    <cellStyle name="注释 2 2 2 8 2 2 2" xfId="38693" xr:uid="{C29210C6-AF55-46A1-A386-E792BD728587}"/>
    <cellStyle name="注释 2 2 2 8 2 3" xfId="36806" xr:uid="{6A2A868A-4B0F-4F15-B930-F71E7B2A6BD1}"/>
    <cellStyle name="注释 2 2 2 8 3" xfId="36805" xr:uid="{7F247486-D24F-420B-A934-8FA599B1B2F0}"/>
    <cellStyle name="注释 2 2 2 9" xfId="23040" xr:uid="{51465E91-AF30-48B6-B369-B2D1529ED670}"/>
    <cellStyle name="注释 2 2 2 9 2" xfId="23041" xr:uid="{041FBB14-623C-4CD2-BE6E-2E62582FF801}"/>
    <cellStyle name="注释 2 2 2 9 2 2" xfId="26524" xr:uid="{FFF5FDF7-4E4E-47E1-B835-F93F598839CD}"/>
    <cellStyle name="注释 2 2 2 9 2 2 2" xfId="28033" xr:uid="{8800691D-843F-4EB9-8ED3-A4BE33F94A92}"/>
    <cellStyle name="注释 2 2 2 9 2 3" xfId="36808" xr:uid="{A15BF3B5-7AC1-4FEA-B937-4A66F84E38D9}"/>
    <cellStyle name="注释 2 2 2 9 3" xfId="36807" xr:uid="{43B1FA46-D2E6-480B-9DD4-DD9550DE1054}"/>
    <cellStyle name="注释 2 2 20" xfId="23042" xr:uid="{B3C58962-02F3-423B-B573-031398B28245}"/>
    <cellStyle name="注释 2 2 20 2" xfId="36809" xr:uid="{0AEA02A6-2D75-47D4-BF65-094C5BB4DB48}"/>
    <cellStyle name="注释 2 2 21" xfId="23043" xr:uid="{B017ED2F-8853-47BD-877C-46265994E87E}"/>
    <cellStyle name="注释 2 2 21 2" xfId="36810" xr:uid="{BDD9DB64-882B-4891-99AB-DEE5D45C98EE}"/>
    <cellStyle name="注释 2 2 22" xfId="23044" xr:uid="{58B798B8-E214-4B5F-9AD9-A5851EC5BED2}"/>
    <cellStyle name="注释 2 2 22 2" xfId="36811" xr:uid="{AEC9B415-697C-41D4-9B69-9FDAE6154518}"/>
    <cellStyle name="注释 2 2 23" xfId="23045" xr:uid="{686C3432-B963-4531-9633-81673E4544FC}"/>
    <cellStyle name="注释 2 2 23 2" xfId="23046" xr:uid="{1C8170A4-7D8D-43A4-BA45-7A4282939588}"/>
    <cellStyle name="注释 2 2 23 2 2" xfId="26525" xr:uid="{60CDF9F8-1083-4DF1-ADC0-30C45177C508}"/>
    <cellStyle name="注释 2 2 23 2 2 2" xfId="37645" xr:uid="{E3714E66-6201-4F2C-91E6-30C81CCEFF83}"/>
    <cellStyle name="注释 2 2 23 2 3" xfId="36813" xr:uid="{4D6DDE24-B7A0-4829-ADEB-F53E4CC44FD1}"/>
    <cellStyle name="注释 2 2 23 3" xfId="36812" xr:uid="{0D9AB6FD-6DBA-460A-B5F9-E0865262B04A}"/>
    <cellStyle name="注释 2 2 24" xfId="23047" xr:uid="{8F566274-E694-409B-A911-18AD4A18A3D8}"/>
    <cellStyle name="注释 2 2 24 2" xfId="26526" xr:uid="{BA785FFB-5F29-461F-AC94-2B69BFDD6B6F}"/>
    <cellStyle name="注释 2 2 24 2 2" xfId="37646" xr:uid="{73E2691C-A220-471A-B0B9-2D3B2BFB1D70}"/>
    <cellStyle name="注释 2 2 24 3" xfId="36814" xr:uid="{E0B9AB15-1F12-471A-B091-A3F75C669DD9}"/>
    <cellStyle name="注释 2 2 25" xfId="36070" xr:uid="{5983A78E-4F49-4314-891E-594C9BE29C7A}"/>
    <cellStyle name="注释 2 2 3" xfId="23048" xr:uid="{0A306564-B9A8-4243-AD4C-DDC2F75ACC2F}"/>
    <cellStyle name="注释 2 2 3 10" xfId="23049" xr:uid="{52F03504-11AF-4438-8514-16367FDB458F}"/>
    <cellStyle name="注释 2 2 3 10 2" xfId="23050" xr:uid="{73A98B6D-1EC9-4476-9794-2708EC06CD35}"/>
    <cellStyle name="注释 2 2 3 10 2 2" xfId="26527" xr:uid="{17AFE587-087A-4D89-B542-98C0EC24DA9D}"/>
    <cellStyle name="注释 2 2 3 10 2 2 2" xfId="38694" xr:uid="{3C3267B8-71BC-481B-953C-858F3C72F2A8}"/>
    <cellStyle name="注释 2 2 3 10 2 3" xfId="36817" xr:uid="{10979D85-0248-48F4-BE98-76C2F7F4F561}"/>
    <cellStyle name="注释 2 2 3 10 3" xfId="36816" xr:uid="{E40B852D-D826-4F8C-9E12-B23C7AFEF39A}"/>
    <cellStyle name="注释 2 2 3 11" xfId="23051" xr:uid="{CCB6C3EC-682F-4371-9144-BAA77D126D1D}"/>
    <cellStyle name="注释 2 2 3 11 2" xfId="23052" xr:uid="{FB3A6AF2-1876-4D25-982D-1A4B2C6360C7}"/>
    <cellStyle name="注释 2 2 3 11 2 2" xfId="26528" xr:uid="{EEE4FFC2-0E22-4FD4-BD17-B538F0CC4F87}"/>
    <cellStyle name="注释 2 2 3 11 2 2 2" xfId="37647" xr:uid="{144126EE-FF60-485F-A188-01D3A232FF07}"/>
    <cellStyle name="注释 2 2 3 11 2 3" xfId="36819" xr:uid="{CC3D4777-AD73-4646-B619-0A705C081449}"/>
    <cellStyle name="注释 2 2 3 11 3" xfId="36818" xr:uid="{EF3C6FAD-0C29-47A1-97D0-AA0B15AA7CBC}"/>
    <cellStyle name="注释 2 2 3 12" xfId="23053" xr:uid="{6C101E61-127F-46E7-97EF-D47F5A6EF15F}"/>
    <cellStyle name="注释 2 2 3 12 2" xfId="23054" xr:uid="{A7EE3849-0ACA-4159-95B9-FD65A40D52BB}"/>
    <cellStyle name="注释 2 2 3 12 2 2" xfId="26529" xr:uid="{4ECCE239-F905-449B-9112-9837393C5345}"/>
    <cellStyle name="注释 2 2 3 12 2 2 2" xfId="38695" xr:uid="{89EB84CB-87BE-40C3-B750-515DBD0CB0E2}"/>
    <cellStyle name="注释 2 2 3 12 2 3" xfId="36821" xr:uid="{4123AA03-EBF1-4113-A8A9-4E2FE47D4DBB}"/>
    <cellStyle name="注释 2 2 3 12 3" xfId="36820" xr:uid="{E13FF7B9-C2DF-444F-BCCD-93014751EFD4}"/>
    <cellStyle name="注释 2 2 3 13" xfId="23055" xr:uid="{06622EC5-62CB-4379-B571-55FE82EC3EDF}"/>
    <cellStyle name="注释 2 2 3 13 2" xfId="23056" xr:uid="{5FB58CE8-C372-457F-940E-C65772772A7D}"/>
    <cellStyle name="注释 2 2 3 13 2 2" xfId="26530" xr:uid="{01AE8508-585A-44A7-B751-859933353D2C}"/>
    <cellStyle name="注释 2 2 3 13 2 2 2" xfId="37648" xr:uid="{CBC05793-3602-49B2-88F8-2B9AD135AC73}"/>
    <cellStyle name="注释 2 2 3 13 2 3" xfId="36823" xr:uid="{114CA6CA-EEB9-4D73-A013-ABF82F209420}"/>
    <cellStyle name="注释 2 2 3 13 3" xfId="36822" xr:uid="{7FD80E91-E994-4186-95E6-DEAAAAC2A648}"/>
    <cellStyle name="注释 2 2 3 14" xfId="23057" xr:uid="{4DF450F7-280E-4DCC-80B5-625D075F24B8}"/>
    <cellStyle name="注释 2 2 3 14 2" xfId="23058" xr:uid="{F895E4C6-1E40-4FD8-80BA-571D84E18B5C}"/>
    <cellStyle name="注释 2 2 3 14 2 2" xfId="26531" xr:uid="{BF168ED6-E2BA-4F22-A5AA-2D688EA42B77}"/>
    <cellStyle name="注释 2 2 3 14 2 2 2" xfId="37649" xr:uid="{E671CFF8-0675-4152-AF19-D0F3DC79D79E}"/>
    <cellStyle name="注释 2 2 3 14 2 3" xfId="36825" xr:uid="{361E89B9-B83E-4D98-8430-051DF4B291A4}"/>
    <cellStyle name="注释 2 2 3 14 3" xfId="36824" xr:uid="{817983A8-5BF0-4D28-AEC7-4E1429AEB9DA}"/>
    <cellStyle name="注释 2 2 3 15" xfId="23059" xr:uid="{C43CEF48-6CD5-4ECC-94C6-01F9AF7765A5}"/>
    <cellStyle name="注释 2 2 3 15 2" xfId="23060" xr:uid="{86923AC0-86BE-43AB-817F-7EF36EE184FE}"/>
    <cellStyle name="注释 2 2 3 15 2 2" xfId="26532" xr:uid="{D5F0DCD4-6CED-492E-B922-6A2D4E462D50}"/>
    <cellStyle name="注释 2 2 3 15 2 2 2" xfId="37650" xr:uid="{2B9C5B4F-0AEB-4509-9D86-5261EE9E0266}"/>
    <cellStyle name="注释 2 2 3 15 2 3" xfId="36827" xr:uid="{84C6EA77-7BCB-4837-8E69-BEAC70F50F99}"/>
    <cellStyle name="注释 2 2 3 15 3" xfId="36826" xr:uid="{4113849A-66F9-41E8-89B4-C0D6737CDBE4}"/>
    <cellStyle name="注释 2 2 3 16" xfId="23061" xr:uid="{BBEB0FC3-D654-4706-BE1D-4E51C98B0E4E}"/>
    <cellStyle name="注释 2 2 3 16 2" xfId="26533" xr:uid="{1E81D2BF-8E04-4A2C-9B67-BA611D40DEA2}"/>
    <cellStyle name="注释 2 2 3 16 2 2" xfId="38696" xr:uid="{647BB950-2D91-4C56-AD8F-AE36878B5CDB}"/>
    <cellStyle name="注释 2 2 3 16 3" xfId="36828" xr:uid="{942DA323-8C26-498E-93AC-814D263E984A}"/>
    <cellStyle name="注释 2 2 3 17" xfId="36815" xr:uid="{EBBB3E3F-2EB3-44CB-A6FE-688D5972A239}"/>
    <cellStyle name="注释 2 2 3 2" xfId="23062" xr:uid="{BC6B437D-2423-40DD-851A-A807B59A2A57}"/>
    <cellStyle name="注释 2 2 3 2 2" xfId="23063" xr:uid="{D9B724EC-B2E6-4725-9BB0-D959B6BDB594}"/>
    <cellStyle name="注释 2 2 3 2 2 2" xfId="26534" xr:uid="{5D513456-3BDA-43AA-8947-4C3AD461FACF}"/>
    <cellStyle name="注释 2 2 3 2 2 2 2" xfId="37651" xr:uid="{CD055389-FE35-45F2-B624-0B7E10ACD83F}"/>
    <cellStyle name="注释 2 2 3 2 2 3" xfId="36830" xr:uid="{F720ED2F-576E-47EE-9514-298940951B6B}"/>
    <cellStyle name="注释 2 2 3 2 3" xfId="36829" xr:uid="{BBA82908-73A3-4C27-85EC-442241F5FC82}"/>
    <cellStyle name="注释 2 2 3 3" xfId="23064" xr:uid="{80CCC8AA-A9EA-4E54-978F-6DCFFEE78BFD}"/>
    <cellStyle name="注释 2 2 3 3 2" xfId="23065" xr:uid="{03075E95-0CE8-45E9-A17E-C8B93B1C8FE3}"/>
    <cellStyle name="注释 2 2 3 3 2 2" xfId="26535" xr:uid="{909F407C-812E-43A7-A492-AC0290C148C2}"/>
    <cellStyle name="注释 2 2 3 3 2 2 2" xfId="28034" xr:uid="{CDDD05A0-63B1-4494-954D-7FFE26C9E48C}"/>
    <cellStyle name="注释 2 2 3 3 2 3" xfId="36832" xr:uid="{CCAD1E5A-B311-464B-B9ED-BC40658ABF86}"/>
    <cellStyle name="注释 2 2 3 3 3" xfId="36831" xr:uid="{F5B66B38-DF69-48A7-A793-D9BD35D13799}"/>
    <cellStyle name="注释 2 2 3 4" xfId="23066" xr:uid="{3F157430-F2B2-4E72-9B0F-5D103DC97D22}"/>
    <cellStyle name="注释 2 2 3 4 2" xfId="23067" xr:uid="{E9AD6A51-C615-4E0A-AE10-880E3F944145}"/>
    <cellStyle name="注释 2 2 3 4 2 2" xfId="26536" xr:uid="{6C381FE0-1DB3-4517-A335-823988CB880F}"/>
    <cellStyle name="注释 2 2 3 4 2 2 2" xfId="37652" xr:uid="{50AB90B4-B291-4535-8A2D-9EEC361F2BB0}"/>
    <cellStyle name="注释 2 2 3 4 2 3" xfId="36834" xr:uid="{E63A830E-6F96-4E11-BFDA-63D466D3E68A}"/>
    <cellStyle name="注释 2 2 3 4 3" xfId="36833" xr:uid="{479A75D7-6019-4F40-B642-CF0FB5DAA0EE}"/>
    <cellStyle name="注释 2 2 3 5" xfId="23068" xr:uid="{4BB4C09A-8C0B-4072-BB44-0B6BD10B820E}"/>
    <cellStyle name="注释 2 2 3 5 2" xfId="23069" xr:uid="{2D38F4D4-A724-466D-9A3F-EB5CDCB59B2A}"/>
    <cellStyle name="注释 2 2 3 5 2 2" xfId="26537" xr:uid="{0B67FDE0-9487-4C14-A5A1-26783164F56D}"/>
    <cellStyle name="注释 2 2 3 5 2 2 2" xfId="38697" xr:uid="{BB81AB58-BC41-44DA-9EDD-E96B17DC89BE}"/>
    <cellStyle name="注释 2 2 3 5 2 3" xfId="36836" xr:uid="{6FA6CD88-949B-470F-A017-CB8767D78F90}"/>
    <cellStyle name="注释 2 2 3 5 3" xfId="36835" xr:uid="{351C9D95-A62E-4F1B-92F3-943DDA5A64AF}"/>
    <cellStyle name="注释 2 2 3 6" xfId="23070" xr:uid="{34B8301F-5D65-4F9C-B76A-DD292AF62DED}"/>
    <cellStyle name="注释 2 2 3 6 2" xfId="23071" xr:uid="{FB436EA5-4B47-4B8B-A49B-4D991E421D0A}"/>
    <cellStyle name="注释 2 2 3 6 2 2" xfId="26538" xr:uid="{49658485-5D63-4F5F-9C11-79AC95E5745B}"/>
    <cellStyle name="注释 2 2 3 6 2 2 2" xfId="37653" xr:uid="{E2AA659F-BA25-406E-99F3-8855287C3686}"/>
    <cellStyle name="注释 2 2 3 6 2 3" xfId="36838" xr:uid="{B80232A5-C347-41BA-9AB5-3D278916E09A}"/>
    <cellStyle name="注释 2 2 3 6 3" xfId="36837" xr:uid="{032114FA-4F19-46D1-9A40-9F80106F5BBC}"/>
    <cellStyle name="注释 2 2 3 7" xfId="23072" xr:uid="{AF591B40-6E30-4FD3-A520-571537B08A67}"/>
    <cellStyle name="注释 2 2 3 7 2" xfId="23073" xr:uid="{BEEC042D-3307-4803-B134-4FE642532619}"/>
    <cellStyle name="注释 2 2 3 7 2 2" xfId="26539" xr:uid="{34203662-1620-48B5-A237-3646277682A9}"/>
    <cellStyle name="注释 2 2 3 7 2 2 2" xfId="37654" xr:uid="{B8042100-0786-452F-906D-5D1A5C1B2F51}"/>
    <cellStyle name="注释 2 2 3 7 2 3" xfId="36840" xr:uid="{D0256B07-178F-4B22-9346-4AA40647D5D0}"/>
    <cellStyle name="注释 2 2 3 7 3" xfId="36839" xr:uid="{ED59B4D7-CA7F-476E-BC99-4A04C3525515}"/>
    <cellStyle name="注释 2 2 3 8" xfId="23074" xr:uid="{C95070BB-BB45-419D-9DD6-0B01A6A4185E}"/>
    <cellStyle name="注释 2 2 3 8 2" xfId="23075" xr:uid="{82DD1A00-202F-4E0D-B101-F64D0E2E1AC4}"/>
    <cellStyle name="注释 2 2 3 8 2 2" xfId="26540" xr:uid="{887DCF12-0453-4B0A-B818-3666B76B2ECC}"/>
    <cellStyle name="注释 2 2 3 8 2 2 2" xfId="38698" xr:uid="{D260EEB5-F9F7-43AD-A6D0-A8810844A1B3}"/>
    <cellStyle name="注释 2 2 3 8 2 3" xfId="36842" xr:uid="{53E66AFB-C4F2-4353-A529-3CBDFBB44A61}"/>
    <cellStyle name="注释 2 2 3 8 3" xfId="36841" xr:uid="{70484439-681C-498E-8D2A-819D7BBF5D99}"/>
    <cellStyle name="注释 2 2 3 9" xfId="23076" xr:uid="{08761445-2E81-4C5E-91F0-BFF486182010}"/>
    <cellStyle name="注释 2 2 3 9 2" xfId="23077" xr:uid="{F99CF768-C075-4C80-8B44-1C8E837E0011}"/>
    <cellStyle name="注释 2 2 3 9 2 2" xfId="26541" xr:uid="{E3EDDCDE-552C-4E91-A4C7-BC262DB30A01}"/>
    <cellStyle name="注释 2 2 3 9 2 2 2" xfId="37655" xr:uid="{9F83A6DA-02A3-4CA4-902B-840CC93ECB71}"/>
    <cellStyle name="注释 2 2 3 9 2 3" xfId="36844" xr:uid="{4A22A4DB-DC03-4883-9049-BB01FE6D15AE}"/>
    <cellStyle name="注释 2 2 3 9 3" xfId="36843" xr:uid="{30FE1C95-D60C-4E3E-A3A8-FE965E8287FC}"/>
    <cellStyle name="注释 2 2 4" xfId="23078" xr:uid="{D37BCE90-FD32-4D1E-A238-D8F13B8C2F47}"/>
    <cellStyle name="注释 2 2 4 2" xfId="36845" xr:uid="{A0167CC2-8721-423C-A507-E9BC57FF5A96}"/>
    <cellStyle name="注释 2 2 5" xfId="23079" xr:uid="{06F42A8E-C65B-4122-A3C3-BE6E16901E0B}"/>
    <cellStyle name="注释 2 2 5 2" xfId="36846" xr:uid="{80B66BF7-D1FB-49D6-86CB-94C01161CBB4}"/>
    <cellStyle name="注释 2 2 6" xfId="23080" xr:uid="{4DED2EEC-0249-462D-9A67-8B2A1EC6D7F7}"/>
    <cellStyle name="注释 2 2 6 2" xfId="36847" xr:uid="{34CF0F1E-3FCF-4F09-B549-1F7E76996762}"/>
    <cellStyle name="注释 2 2 7" xfId="23081" xr:uid="{C6D7BC12-EEDA-42E1-9699-D1CA616DE0C5}"/>
    <cellStyle name="注释 2 2 7 2" xfId="36848" xr:uid="{FFA2C3D8-88BF-47A4-9B89-165DBD12530B}"/>
    <cellStyle name="注释 2 2 8" xfId="23082" xr:uid="{5D42B594-D981-49B9-8CA1-218CC2E71D1E}"/>
    <cellStyle name="注释 2 2 8 2" xfId="36849" xr:uid="{8B629C99-BC3A-4EB8-B381-37DE89066EF9}"/>
    <cellStyle name="注释 2 2 9" xfId="23083" xr:uid="{0CDB6B57-3CBC-493F-BF4F-A0572C152C5B}"/>
    <cellStyle name="注释 2 2 9 2" xfId="36850" xr:uid="{66506376-955E-41B5-BF87-2818C72C7CE3}"/>
    <cellStyle name="注释 2 20" xfId="23084" xr:uid="{127FE46E-0DDF-453E-8A44-A251FF9523C9}"/>
    <cellStyle name="注释 2 20 2" xfId="23085" xr:uid="{4494D934-C592-4610-9232-7853227DC162}"/>
    <cellStyle name="注释 2 20 2 2" xfId="26542" xr:uid="{8DB09A89-FB18-46F8-BC8A-911A5B65F10C}"/>
    <cellStyle name="注释 2 20 2 2 2" xfId="37656" xr:uid="{2F4D6C06-7D33-45DA-B64D-B5EA57B2A5B4}"/>
    <cellStyle name="注释 2 20 2 3" xfId="36852" xr:uid="{464BC23B-66B7-44C4-A777-44FAD1A5DFB3}"/>
    <cellStyle name="注释 2 20 3" xfId="36851" xr:uid="{7A216832-9AF9-470B-BB2A-BFB4A5D72DD3}"/>
    <cellStyle name="注释 2 21" xfId="23086" xr:uid="{D677817B-A592-4FE2-BBAF-C21FD2D86EB2}"/>
    <cellStyle name="注释 2 21 2" xfId="26543" xr:uid="{690334B3-3FB9-47A2-941F-CFCF4ED7BF98}"/>
    <cellStyle name="注释 2 21 2 2" xfId="38699" xr:uid="{FFDB7B7A-8608-4E62-ABA7-6AC5EEAC4298}"/>
    <cellStyle name="注释 2 21 3" xfId="36853" xr:uid="{A897E045-5F08-4E86-9A52-233D290AA9AE}"/>
    <cellStyle name="注释 2 22" xfId="36049" xr:uid="{095606E5-5D76-403B-BA8C-B020554FBDB5}"/>
    <cellStyle name="注释 2 3" xfId="23087" xr:uid="{244C0B69-A97B-4227-8F74-7F588F895D09}"/>
    <cellStyle name="注释 2 3 10" xfId="23088" xr:uid="{5A25FA68-8E6F-4AC2-9A4B-A4995016135D}"/>
    <cellStyle name="注释 2 3 10 2" xfId="23089" xr:uid="{0FD0C532-363E-47E9-BCC7-BE90B0F6EB6D}"/>
    <cellStyle name="注释 2 3 10 2 2" xfId="26544" xr:uid="{1F47B855-C389-4557-9DBE-C085040BB86A}"/>
    <cellStyle name="注释 2 3 10 2 2 2" xfId="37657" xr:uid="{1F3D93A7-06AA-48C3-843D-E02F96E48C5F}"/>
    <cellStyle name="注释 2 3 10 2 3" xfId="36856" xr:uid="{71355758-55A6-4AB5-A59D-5F7176EFFE72}"/>
    <cellStyle name="注释 2 3 10 3" xfId="36855" xr:uid="{9BF55019-44D3-4E00-95D7-B6EA72F0E746}"/>
    <cellStyle name="注释 2 3 11" xfId="23090" xr:uid="{72DC198E-C1C6-4698-831A-AD37F5226391}"/>
    <cellStyle name="注释 2 3 11 2" xfId="23091" xr:uid="{3C836E91-AA00-486F-BDF1-C8AF4300BB9A}"/>
    <cellStyle name="注释 2 3 11 2 2" xfId="26545" xr:uid="{86BA6505-0FE4-41D4-AAC7-7B986140E63E}"/>
    <cellStyle name="注释 2 3 11 2 2 2" xfId="37658" xr:uid="{50C49599-F430-49A9-B130-7AB45362CE41}"/>
    <cellStyle name="注释 2 3 11 2 3" xfId="36858" xr:uid="{60CA2036-64E5-4E77-8859-66B512442479}"/>
    <cellStyle name="注释 2 3 11 3" xfId="36857" xr:uid="{C8410362-0EB3-4BF1-9DAE-2776BDDC60AF}"/>
    <cellStyle name="注释 2 3 12" xfId="23092" xr:uid="{E8F7B3AC-F0F4-420A-99BD-DD9A801AD409}"/>
    <cellStyle name="注释 2 3 12 2" xfId="23093" xr:uid="{5C835B9E-98C2-4BC8-8599-55B49AEE2266}"/>
    <cellStyle name="注释 2 3 12 2 2" xfId="26546" xr:uid="{3418EB47-20CD-4180-96AE-132758F27C38}"/>
    <cellStyle name="注释 2 3 12 2 2 2" xfId="28035" xr:uid="{97E83505-E36F-4170-8A8F-EB6744CF1117}"/>
    <cellStyle name="注释 2 3 12 2 3" xfId="36860" xr:uid="{8ED2508D-61CF-4458-9CF9-F49ACF545D75}"/>
    <cellStyle name="注释 2 3 12 3" xfId="36859" xr:uid="{6BB1DF9C-3572-43C3-91E0-EADD1032201A}"/>
    <cellStyle name="注释 2 3 13" xfId="23094" xr:uid="{BC5B5A6E-6F1C-4FEB-89B5-17C16DFBB881}"/>
    <cellStyle name="注释 2 3 13 2" xfId="23095" xr:uid="{D50DA2DF-62BD-4B4F-9237-25487C9F1A7B}"/>
    <cellStyle name="注释 2 3 13 2 2" xfId="26547" xr:uid="{D0DCEDEC-E14F-4DC4-A711-E70BF79A87B4}"/>
    <cellStyle name="注释 2 3 13 2 2 2" xfId="38700" xr:uid="{68CB807D-560F-4792-A466-9106811BD95B}"/>
    <cellStyle name="注释 2 3 13 2 3" xfId="36862" xr:uid="{1AAF565F-2558-4D52-9263-9A468ACC8685}"/>
    <cellStyle name="注释 2 3 13 3" xfId="36861" xr:uid="{DFF1BB93-DDAF-422F-B13E-0B345B6AC0C3}"/>
    <cellStyle name="注释 2 3 14" xfId="23096" xr:uid="{87F364A4-9F67-4E41-89C4-B94BBA51A97F}"/>
    <cellStyle name="注释 2 3 14 2" xfId="23097" xr:uid="{F5E614CA-917A-471C-AA6F-580B04FE3F21}"/>
    <cellStyle name="注释 2 3 14 2 2" xfId="26548" xr:uid="{FF2E95AD-5345-48F7-880B-B587238C2873}"/>
    <cellStyle name="注释 2 3 14 2 2 2" xfId="37659" xr:uid="{3BE0A9AF-9F48-4BA0-9985-AF0CD7FD3E17}"/>
    <cellStyle name="注释 2 3 14 2 3" xfId="36864" xr:uid="{DAB112A9-12FD-4B96-ACA1-6741B767E15D}"/>
    <cellStyle name="注释 2 3 14 3" xfId="36863" xr:uid="{148DF9C1-0B0F-4A56-94B0-E4A670C1781C}"/>
    <cellStyle name="注释 2 3 15" xfId="23098" xr:uid="{1D8F1178-64F9-4075-91FC-47A0747D7911}"/>
    <cellStyle name="注释 2 3 15 2" xfId="23099" xr:uid="{FD494C01-E408-4F18-8ED4-21935B8E969D}"/>
    <cellStyle name="注释 2 3 15 2 2" xfId="26549" xr:uid="{4D724096-A649-483C-B917-EF1055B43E3B}"/>
    <cellStyle name="注释 2 3 15 2 2 2" xfId="38701" xr:uid="{4B4ABB8F-0658-40BC-988D-443182D1592C}"/>
    <cellStyle name="注释 2 3 15 2 3" xfId="36866" xr:uid="{4C6CCF56-05FD-46D4-88F9-BC82452D107F}"/>
    <cellStyle name="注释 2 3 15 3" xfId="36865" xr:uid="{5673BD47-9233-43C7-99AB-AEC14FA98808}"/>
    <cellStyle name="注释 2 3 16" xfId="23100" xr:uid="{1D0642E8-E6CD-483C-958E-A8B4B2B1D0CC}"/>
    <cellStyle name="注释 2 3 16 2" xfId="23101" xr:uid="{4E6FD8FC-959F-4A5A-9CBF-0FA8766C7C47}"/>
    <cellStyle name="注释 2 3 16 2 2" xfId="26550" xr:uid="{718D65B0-C829-48E9-BC2F-82F84113014B}"/>
    <cellStyle name="注释 2 3 16 2 2 2" xfId="37846" xr:uid="{D4129D1C-20F3-48F3-8FA3-14109CFBD4E7}"/>
    <cellStyle name="注释 2 3 16 2 3" xfId="36868" xr:uid="{0F038A8C-12B9-43D6-BBBB-74BF8D0A58E7}"/>
    <cellStyle name="注释 2 3 16 3" xfId="36867" xr:uid="{52361262-CCB9-4B0F-850C-405E1FF6817C}"/>
    <cellStyle name="注释 2 3 17" xfId="23102" xr:uid="{6E4C4012-1042-41A6-A7D3-8B338409B869}"/>
    <cellStyle name="注释 2 3 17 2" xfId="23103" xr:uid="{9277209E-FD34-488C-82B0-002413902901}"/>
    <cellStyle name="注释 2 3 17 2 2" xfId="26551" xr:uid="{6D16954C-99A9-4B0C-9A1C-45FA5EA2CB01}"/>
    <cellStyle name="注释 2 3 17 2 2 2" xfId="37660" xr:uid="{43A4DA97-4FEA-455E-9887-2AE2B9434E1F}"/>
    <cellStyle name="注释 2 3 17 2 3" xfId="36127" xr:uid="{43A85874-77B4-4E5F-97B5-08E2729F099D}"/>
    <cellStyle name="注释 2 3 17 3" xfId="36869" xr:uid="{84A9A7FF-3D0B-4169-9BB1-83506A63F967}"/>
    <cellStyle name="注释 2 3 18" xfId="23104" xr:uid="{E905FE6D-F86D-47FA-BDB3-7FFF66DDBCD2}"/>
    <cellStyle name="注释 2 3 18 2" xfId="23105" xr:uid="{2A0C6D70-7FD8-4325-9B10-FAC4D7A82BF5}"/>
    <cellStyle name="注释 2 3 18 2 2" xfId="26552" xr:uid="{2CA7D385-FDD2-4E8D-BF90-6E75FCA4CB5B}"/>
    <cellStyle name="注释 2 3 18 2 2 2" xfId="28036" xr:uid="{D275CB93-7C7D-46C5-B29F-07E24C5C6AE4}"/>
    <cellStyle name="注释 2 3 18 2 3" xfId="37028" xr:uid="{930796F0-7598-45F5-84E3-D0D974012AA2}"/>
    <cellStyle name="注释 2 3 18 3" xfId="35808" xr:uid="{C23EF1BD-DD42-4C7C-AA50-23C7339A8F37}"/>
    <cellStyle name="注释 2 3 19" xfId="23106" xr:uid="{3E568ECB-17E4-4928-8F40-AF150D8D5097}"/>
    <cellStyle name="注释 2 3 19 2" xfId="26553" xr:uid="{D6D3F326-644E-455E-BABF-8419A09E1D9E}"/>
    <cellStyle name="注释 2 3 19 2 2" xfId="37661" xr:uid="{D3D80260-0832-4B97-A468-42B58DDC19D7}"/>
    <cellStyle name="注释 2 3 19 3" xfId="35809" xr:uid="{0FBBE1AD-3AC4-4525-BA4B-954EF02C5C02}"/>
    <cellStyle name="注释 2 3 2" xfId="23107" xr:uid="{7600695E-B468-473E-97D9-4C49C6CB33C4}"/>
    <cellStyle name="注释 2 3 2 10" xfId="23108" xr:uid="{FE44885B-B6F6-4AD4-8D69-6C8964B8B714}"/>
    <cellStyle name="注释 2 3 2 10 2" xfId="23109" xr:uid="{020BB7EF-0440-4C75-8ECF-3F3F96F67147}"/>
    <cellStyle name="注释 2 3 2 10 2 2" xfId="26554" xr:uid="{41C85503-CF33-4E89-A784-0C40C00F41A3}"/>
    <cellStyle name="注释 2 3 2 10 2 2 2" xfId="38702" xr:uid="{696B6DB2-8476-42E8-8AB5-8A83A1206616}"/>
    <cellStyle name="注释 2 3 2 10 2 3" xfId="35812" xr:uid="{25ECD887-34B6-4C06-87CB-6BF3A89EA289}"/>
    <cellStyle name="注释 2 3 2 10 3" xfId="35811" xr:uid="{FEFA6803-DD20-4771-8E1E-6B06A9A521E2}"/>
    <cellStyle name="注释 2 3 2 11" xfId="23110" xr:uid="{2A5B8903-4332-4A96-B9F5-EDBF8D990B65}"/>
    <cellStyle name="注释 2 3 2 11 2" xfId="23111" xr:uid="{414A575F-A5FF-4D18-8A8A-D6DDF2FC9E49}"/>
    <cellStyle name="注释 2 3 2 11 2 2" xfId="26555" xr:uid="{D3B36E00-5A2E-47DF-8029-FD55B534FFD5}"/>
    <cellStyle name="注释 2 3 2 11 2 2 2" xfId="28037" xr:uid="{DAA8FD97-F6A7-40A7-89C5-C25DC5AD8132}"/>
    <cellStyle name="注释 2 3 2 11 2 3" xfId="35813" xr:uid="{B85C4847-9AD2-47C0-B3B0-533278CD03A0}"/>
    <cellStyle name="注释 2 3 2 11 3" xfId="38164" xr:uid="{98A519AC-29BF-4233-8E5B-8D9F341E8FBC}"/>
    <cellStyle name="注释 2 3 2 12" xfId="23112" xr:uid="{29F37024-2334-4375-98A3-84183B3ED628}"/>
    <cellStyle name="注释 2 3 2 12 2" xfId="23113" xr:uid="{A4F3951A-B8E1-4938-B781-45DDA4F2E5FF}"/>
    <cellStyle name="注释 2 3 2 12 2 2" xfId="26556" xr:uid="{9F0EF29F-3DEA-48A3-9B92-25B24F777B70}"/>
    <cellStyle name="注释 2 3 2 12 2 2 2" xfId="37662" xr:uid="{455144B5-6CBE-4D53-A581-1AC59CFEF70E}"/>
    <cellStyle name="注释 2 3 2 12 2 3" xfId="38165" xr:uid="{64428B52-EDC3-4D8C-A8F3-030A8B2DFB96}"/>
    <cellStyle name="注释 2 3 2 12 3" xfId="35814" xr:uid="{505A0467-455D-40C5-ABC9-4D624828DF5D}"/>
    <cellStyle name="注释 2 3 2 13" xfId="23114" xr:uid="{87AF6A9C-2FE5-4A96-AFDA-FFE93964A788}"/>
    <cellStyle name="注释 2 3 2 13 2" xfId="23115" xr:uid="{CAD7EBAC-BCCA-40DF-B13E-CF290CD61BED}"/>
    <cellStyle name="注释 2 3 2 13 2 2" xfId="26557" xr:uid="{C71B39F1-D2D3-4881-8782-BB09DD53FE38}"/>
    <cellStyle name="注释 2 3 2 13 2 2 2" xfId="37663" xr:uid="{4A38EF2B-4E49-4995-A2AA-0827F2EBEDCE}"/>
    <cellStyle name="注释 2 3 2 13 2 3" xfId="38166" xr:uid="{C7B76D79-88AF-4521-A258-836B2DE7AA2F}"/>
    <cellStyle name="注释 2 3 2 13 3" xfId="35815" xr:uid="{66CC9826-034C-4A9D-B6BF-E6A51187A9D9}"/>
    <cellStyle name="注释 2 3 2 14" xfId="23116" xr:uid="{A4F0EBF8-6A47-4A3E-A26A-B9410B741DBF}"/>
    <cellStyle name="注释 2 3 2 14 2" xfId="23117" xr:uid="{58275B77-F184-4A95-8398-E6B2E50836BC}"/>
    <cellStyle name="注释 2 3 2 14 2 2" xfId="26558" xr:uid="{A4A79AE9-6303-4D53-945F-90EC02004C6C}"/>
    <cellStyle name="注释 2 3 2 14 2 2 2" xfId="38703" xr:uid="{66DB3887-967C-495C-B1BE-92C1379CE074}"/>
    <cellStyle name="注释 2 3 2 14 2 3" xfId="37030" xr:uid="{49A359BD-20A1-427A-8CF9-2589C5AABA74}"/>
    <cellStyle name="注释 2 3 2 14 3" xfId="37041" xr:uid="{CC81CC53-095F-470C-8787-F5F83F1DFF58}"/>
    <cellStyle name="注释 2 3 2 15" xfId="23118" xr:uid="{1D4CD3F2-B5EF-4082-99DD-EC4CE75312C0}"/>
    <cellStyle name="注释 2 3 2 15 2" xfId="23119" xr:uid="{48396AA9-A2DC-4F65-AB21-B39097F675F9}"/>
    <cellStyle name="注释 2 3 2 15 2 2" xfId="26559" xr:uid="{8CD52EB7-47CA-4CB1-9820-FF86A19C2765}"/>
    <cellStyle name="注释 2 3 2 15 2 2 2" xfId="37664" xr:uid="{3871CD77-877D-42FB-8703-314DDC657FBC}"/>
    <cellStyle name="注释 2 3 2 15 2 3" xfId="37032" xr:uid="{D7F03D9C-FD55-4C59-862D-D5819F08DEAE}"/>
    <cellStyle name="注释 2 3 2 15 3" xfId="37031" xr:uid="{5FD3CFBA-C21C-43A8-836F-D768991F44BE}"/>
    <cellStyle name="注释 2 3 2 16" xfId="23120" xr:uid="{EAE509FE-79D3-444B-BDA3-97CF3CFEAFD2}"/>
    <cellStyle name="注释 2 3 2 16 2" xfId="26560" xr:uid="{530BA05E-853D-47DE-9AF9-95DBCDB2FDA4}"/>
    <cellStyle name="注释 2 3 2 16 2 2" xfId="28038" xr:uid="{8B6A5B4D-A428-465B-A7D2-A39CB988E4FE}"/>
    <cellStyle name="注释 2 3 2 16 3" xfId="35816" xr:uid="{7BB8FBBD-F294-4A6F-8F6F-2F8B98AD4E71}"/>
    <cellStyle name="注释 2 3 2 17" xfId="35810" xr:uid="{BF3E4C07-6287-4339-ABDE-0EB82B27F0F7}"/>
    <cellStyle name="注释 2 3 2 2" xfId="23121" xr:uid="{4E81BD42-B1B5-4471-B183-4EAB9DC612BC}"/>
    <cellStyle name="注释 2 3 2 2 2" xfId="23122" xr:uid="{28A9BAE4-6B7A-4160-97ED-9B85C2C7A47D}"/>
    <cellStyle name="注释 2 3 2 2 2 2" xfId="26561" xr:uid="{6B9E4219-3A59-4A05-953F-3AB32E3EF520}"/>
    <cellStyle name="注释 2 3 2 2 2 2 2" xfId="37665" xr:uid="{CFCAB1D2-2799-4701-9982-B65DBF9C32EC}"/>
    <cellStyle name="注释 2 3 2 2 2 3" xfId="35818" xr:uid="{4FEF90DF-FB83-47B5-B50C-57DED7E48437}"/>
    <cellStyle name="注释 2 3 2 2 3" xfId="35817" xr:uid="{EFCE1CB9-42CD-43D2-8BA1-D45102830FF7}"/>
    <cellStyle name="注释 2 3 2 3" xfId="23123" xr:uid="{BB034B53-F4D0-4C64-B324-51BBAE12E889}"/>
    <cellStyle name="注释 2 3 2 3 2" xfId="23124" xr:uid="{A0A22FB6-54DE-41B7-90C5-9937A600621F}"/>
    <cellStyle name="注释 2 3 2 3 2 2" xfId="26562" xr:uid="{5ED692B0-F6DA-4FC0-AADE-3591BD5F7FED}"/>
    <cellStyle name="注释 2 3 2 3 2 2 2" xfId="38704" xr:uid="{DA5DC4A6-9A3A-446F-8091-402FBE2DEB39}"/>
    <cellStyle name="注释 2 3 2 3 2 3" xfId="38167" xr:uid="{040BE41C-4A1F-42B5-8BF2-E71C02D6AB8E}"/>
    <cellStyle name="注释 2 3 2 3 3" xfId="35819" xr:uid="{D47DAFD1-70E2-4353-802D-C50A10A398F5}"/>
    <cellStyle name="注释 2 3 2 4" xfId="23125" xr:uid="{AE1A29FF-2798-4183-93F7-8F3423E7A563}"/>
    <cellStyle name="注释 2 3 2 4 2" xfId="23126" xr:uid="{2B12B77F-46CE-42DE-BA57-9B704BD5CDCC}"/>
    <cellStyle name="注释 2 3 2 4 2 2" xfId="26563" xr:uid="{A0AAB5BB-5257-47F3-8F6F-C3F02E3C7BA8}"/>
    <cellStyle name="注释 2 3 2 4 2 2 2" xfId="37666" xr:uid="{2151BF2D-10DA-4D8A-8FDE-238B6AD83EAD}"/>
    <cellStyle name="注释 2 3 2 4 2 3" xfId="35821" xr:uid="{0D295BBD-50FB-452A-AFBF-AEFF9024D779}"/>
    <cellStyle name="注释 2 3 2 4 3" xfId="35820" xr:uid="{240C1FCC-7370-4A4C-BD1E-8FAFF3C36615}"/>
    <cellStyle name="注释 2 3 2 5" xfId="23127" xr:uid="{8EC5814A-DCE2-4D37-A045-3FA6E452304E}"/>
    <cellStyle name="注释 2 3 2 5 2" xfId="23128" xr:uid="{3AA63749-EE28-43AA-A561-E522A696B86F}"/>
    <cellStyle name="注释 2 3 2 5 2 2" xfId="26564" xr:uid="{D756D4A8-30E9-450D-A466-3ADFC8FD7806}"/>
    <cellStyle name="注释 2 3 2 5 2 2 2" xfId="28039" xr:uid="{BD052714-FF84-4502-B14C-670C1C52AB2E}"/>
    <cellStyle name="注释 2 3 2 5 2 3" xfId="35822" xr:uid="{DFA6F9BA-EC62-4B8D-9A4F-3916D3741ECB}"/>
    <cellStyle name="注释 2 3 2 5 3" xfId="38168" xr:uid="{348C1461-0A81-468F-8C18-8A4B7A8BDFCD}"/>
    <cellStyle name="注释 2 3 2 6" xfId="23129" xr:uid="{46ACE5B4-23E1-4A2D-A8E9-3E907D1907FD}"/>
    <cellStyle name="注释 2 3 2 6 2" xfId="23130" xr:uid="{D897E286-4538-4F87-8C48-15278C35CC36}"/>
    <cellStyle name="注释 2 3 2 6 2 2" xfId="26565" xr:uid="{586823CB-C499-4ED8-9978-931FEB650623}"/>
    <cellStyle name="注释 2 3 2 6 2 2 2" xfId="37667" xr:uid="{CFFC30A2-5ACB-4C03-8071-BF1E8BBB5E42}"/>
    <cellStyle name="注释 2 3 2 6 2 3" xfId="36085" xr:uid="{DC7A80DB-534F-4061-ACAF-67FDEDE4F9F0}"/>
    <cellStyle name="注释 2 3 2 6 3" xfId="38169" xr:uid="{69EE1594-12C9-4B3B-A3DC-D83C01B40FB1}"/>
    <cellStyle name="注释 2 3 2 7" xfId="23131" xr:uid="{87C60DC9-D892-438A-8BC4-1E661C88C252}"/>
    <cellStyle name="注释 2 3 2 7 2" xfId="23132" xr:uid="{ED72C1A0-4E88-4C39-87A4-81CB9BB4DFD2}"/>
    <cellStyle name="注释 2 3 2 7 2 2" xfId="26566" xr:uid="{67C4ACDC-74EA-4B20-A760-C08AA2896496}"/>
    <cellStyle name="注释 2 3 2 7 2 2 2" xfId="38705" xr:uid="{CBA602F3-CB68-46D0-95E1-5FA2B548A732}"/>
    <cellStyle name="注释 2 3 2 7 2 3" xfId="36087" xr:uid="{6DD0895D-55BC-4FDD-8336-EBF552660FA5}"/>
    <cellStyle name="注释 2 3 2 7 3" xfId="36086" xr:uid="{02BDDA12-32A6-41B9-85E4-58FE1B1B0C43}"/>
    <cellStyle name="注释 2 3 2 8" xfId="23133" xr:uid="{5B5CF030-3CED-4995-A7F7-A2E698C28A9F}"/>
    <cellStyle name="注释 2 3 2 8 2" xfId="23134" xr:uid="{531274E3-C9CD-46D0-BA96-66914D410C78}"/>
    <cellStyle name="注释 2 3 2 8 2 2" xfId="26567" xr:uid="{223F5EAB-251A-41D1-97B5-CCBCEF658F71}"/>
    <cellStyle name="注释 2 3 2 8 2 2 2" xfId="37668" xr:uid="{43A88F65-65B7-4576-A6F8-662E43A812B3}"/>
    <cellStyle name="注释 2 3 2 8 2 3" xfId="36089" xr:uid="{B3F23CB6-21FF-423D-8555-488484825AED}"/>
    <cellStyle name="注释 2 3 2 8 3" xfId="36088" xr:uid="{9B7F808D-41F7-4C97-98B9-655A36AD5C5C}"/>
    <cellStyle name="注释 2 3 2 9" xfId="23135" xr:uid="{1C16FC3F-DFCC-4806-ABBA-A1815238F2B5}"/>
    <cellStyle name="注释 2 3 2 9 2" xfId="23136" xr:uid="{9B937BEA-A4A1-4D65-93B7-7803C28B4881}"/>
    <cellStyle name="注释 2 3 2 9 2 2" xfId="26568" xr:uid="{2F8161A7-70B6-4CF7-96DF-E2544A13695B}"/>
    <cellStyle name="注释 2 3 2 9 2 2 2" xfId="37669" xr:uid="{43796F21-5C40-4B33-B166-2146707C6A29}"/>
    <cellStyle name="注释 2 3 2 9 2 3" xfId="38170" xr:uid="{DC9B89D3-7DC4-42F7-8C57-1BA799BE9214}"/>
    <cellStyle name="注释 2 3 2 9 3" xfId="36090" xr:uid="{02E0AAC4-6C03-455C-A1D2-8F3CFD2E4F47}"/>
    <cellStyle name="注释 2 3 20" xfId="36854" xr:uid="{9FDBC6AA-8473-4C0C-90E9-C2D2FA14A31B}"/>
    <cellStyle name="注释 2 3 3" xfId="23137" xr:uid="{B92AE3D7-0A3B-401B-AE6E-4B43F0654FF7}"/>
    <cellStyle name="注释 2 3 3 2" xfId="23138" xr:uid="{20F7161E-87D2-495E-B7BF-47746EE9A479}"/>
    <cellStyle name="注释 2 3 3 2 2" xfId="26569" xr:uid="{62D2B11E-A71A-4B76-9C27-1793C5E7F53A}"/>
    <cellStyle name="注释 2 3 3 2 2 2" xfId="38706" xr:uid="{85E730E5-A252-4403-9BDE-70E6D469843F}"/>
    <cellStyle name="注释 2 3 3 2 3" xfId="36092" xr:uid="{D6443D3C-5E74-4DFB-AA09-92ECE972B741}"/>
    <cellStyle name="注释 2 3 3 3" xfId="36091" xr:uid="{09CDD6F3-2710-41CE-B967-10C3655F8B64}"/>
    <cellStyle name="注释 2 3 4" xfId="23139" xr:uid="{3498E36E-4CE3-4F67-B433-C9C6FDFEA505}"/>
    <cellStyle name="注释 2 3 4 2" xfId="23140" xr:uid="{CCE6D837-DAEF-4CC2-BBAD-EAC779A019FB}"/>
    <cellStyle name="注释 2 3 4 2 2" xfId="26570" xr:uid="{81200AB5-1913-41C6-9B7D-06F233FA8C9D}"/>
    <cellStyle name="注释 2 3 4 2 2 2" xfId="37670" xr:uid="{3A1F34DC-0E7A-418C-9074-6511A644B23A}"/>
    <cellStyle name="注释 2 3 4 2 3" xfId="36093" xr:uid="{247ADEAC-02C1-485F-BD90-BCD3249111EA}"/>
    <cellStyle name="注释 2 3 4 3" xfId="38171" xr:uid="{25FFF34D-C076-47DC-843E-102731F8AA9F}"/>
    <cellStyle name="注释 2 3 5" xfId="23141" xr:uid="{EB1AF264-BC02-46C6-9AC3-03A4302BD8ED}"/>
    <cellStyle name="注释 2 3 5 2" xfId="23142" xr:uid="{5DE36E2F-1F38-4EDB-991E-C394E3F882C4}"/>
    <cellStyle name="注释 2 3 5 2 2" xfId="26571" xr:uid="{E27149A1-2AB6-4342-A885-503AF5F28E16}"/>
    <cellStyle name="注释 2 3 5 2 2 2" xfId="37847" xr:uid="{6BAEBFBA-2EE0-4F12-8608-C8BFFA024E82}"/>
    <cellStyle name="注释 2 3 5 2 3" xfId="36094" xr:uid="{685B849A-AAF9-4DAD-8764-7C5E64A5F8D9}"/>
    <cellStyle name="注释 2 3 5 3" xfId="38172" xr:uid="{79B2FE2F-CBB3-4389-9EE9-57F374205ACC}"/>
    <cellStyle name="注释 2 3 6" xfId="23143" xr:uid="{BF8CD3FE-8235-4BAA-B4ED-02149889BEDD}"/>
    <cellStyle name="注释 2 3 6 2" xfId="23144" xr:uid="{08A8E12B-438C-4A41-AAD1-299D362521AA}"/>
    <cellStyle name="注释 2 3 6 2 2" xfId="26572" xr:uid="{A4DE3CBF-4ECA-4B7D-8C72-6B68BB25656E}"/>
    <cellStyle name="注释 2 3 6 2 2 2" xfId="37671" xr:uid="{992A061D-C1AC-4A36-8895-B8DCA44291D4}"/>
    <cellStyle name="注释 2 3 6 2 3" xfId="36096" xr:uid="{07B7BA24-34A1-4344-ACE9-81F6460C3093}"/>
    <cellStyle name="注释 2 3 6 3" xfId="36095" xr:uid="{934EF004-21D4-4670-A173-798E6FB4F0FA}"/>
    <cellStyle name="注释 2 3 7" xfId="23145" xr:uid="{5B58B3B0-6290-4351-9B2F-C42C579D8DF6}"/>
    <cellStyle name="注释 2 3 7 2" xfId="23146" xr:uid="{8C693FD6-DA1A-440E-9A69-C05F8FB27E56}"/>
    <cellStyle name="注释 2 3 7 2 2" xfId="26573" xr:uid="{D08ED848-459B-42CA-B0F5-A9E863C5DCF5}"/>
    <cellStyle name="注释 2 3 7 2 2 2" xfId="38707" xr:uid="{53176285-01F0-4487-983B-C97CC6FD91BC}"/>
    <cellStyle name="注释 2 3 7 2 3" xfId="36097" xr:uid="{F8478E29-6C52-44C1-BEA0-4216F242A837}"/>
    <cellStyle name="注释 2 3 7 3" xfId="38173" xr:uid="{D126D06E-7789-40BC-A1C6-597D16BB4956}"/>
    <cellStyle name="注释 2 3 8" xfId="23147" xr:uid="{4A634613-EA22-4D29-8666-3EB3A6E147D0}"/>
    <cellStyle name="注释 2 3 8 2" xfId="23148" xr:uid="{ED84E5B7-2E0D-4783-A340-D860F73AF028}"/>
    <cellStyle name="注释 2 3 8 2 2" xfId="26574" xr:uid="{A0610641-68D7-4117-BB04-850B1D84CA6B}"/>
    <cellStyle name="注释 2 3 8 2 2 2" xfId="28040" xr:uid="{EFB8A2BC-C11B-41EB-9E0A-29BDEC698846}"/>
    <cellStyle name="注释 2 3 8 2 3" xfId="38174" xr:uid="{66ECB1C5-E1D4-40C9-A592-D2C50899C65A}"/>
    <cellStyle name="注释 2 3 8 3" xfId="36098" xr:uid="{CC3CC3C5-D994-46B8-AAF0-17312221EAFA}"/>
    <cellStyle name="注释 2 3 9" xfId="23149" xr:uid="{BFED308D-69D1-4CFB-BEDE-87F12D55613E}"/>
    <cellStyle name="注释 2 3 9 2" xfId="23150" xr:uid="{3CEB7145-6E54-4608-8FAE-73075D2B8751}"/>
    <cellStyle name="注释 2 3 9 2 2" xfId="26575" xr:uid="{67B2334B-CC88-4A3D-B3EC-EA7A19139457}"/>
    <cellStyle name="注释 2 3 9 2 2 2" xfId="37672" xr:uid="{F901CA77-E426-42BA-A5FD-99983216BB4B}"/>
    <cellStyle name="注释 2 3 9 2 3" xfId="38175" xr:uid="{0F8CF937-3036-4A13-BE20-C9EA91458DB3}"/>
    <cellStyle name="注释 2 3 9 3" xfId="36099" xr:uid="{E77D6903-9CBE-402D-93CE-E5DA530930E2}"/>
    <cellStyle name="注释 2 4" xfId="23151" xr:uid="{8CB3B86B-C7AE-4C00-9C24-618F44D9DA3D}"/>
    <cellStyle name="注释 2 4 10" xfId="23152" xr:uid="{59DB2A23-912C-408C-8E1B-D919D388EA12}"/>
    <cellStyle name="注释 2 4 10 2" xfId="23153" xr:uid="{5FBAA1AE-C426-4B0C-B501-039DF69D306B}"/>
    <cellStyle name="注释 2 4 10 2 2" xfId="26576" xr:uid="{CE44483B-A88F-4348-87D9-168637061F4B}"/>
    <cellStyle name="注释 2 4 10 2 2 2" xfId="37673" xr:uid="{D047D8AD-A3C8-44B5-84E9-6221AC72F850}"/>
    <cellStyle name="注释 2 4 10 2 3" xfId="36102" xr:uid="{EC9D6D62-1E14-40F6-93CA-1800029DEC95}"/>
    <cellStyle name="注释 2 4 10 3" xfId="36101" xr:uid="{943518FB-6EA5-46E7-8F7F-B647057C4AC1}"/>
    <cellStyle name="注释 2 4 11" xfId="23154" xr:uid="{ADBB37E0-4346-4BD7-99FD-89F2C44A2C9A}"/>
    <cellStyle name="注释 2 4 11 2" xfId="23155" xr:uid="{6EBA2F2F-BC7E-4EED-850A-B36433844A50}"/>
    <cellStyle name="注释 2 4 11 2 2" xfId="26577" xr:uid="{5C15AE83-A4AF-4347-950A-5FB9DB7C971C}"/>
    <cellStyle name="注释 2 4 11 2 2 2" xfId="38708" xr:uid="{C78C4BFE-31AF-404D-962B-3610F0BF4B79}"/>
    <cellStyle name="注释 2 4 11 2 3" xfId="38176" xr:uid="{603C315E-0064-4E49-AB87-4421F9C9D95C}"/>
    <cellStyle name="注释 2 4 11 3" xfId="36103" xr:uid="{EA2BFEF3-1447-4F9B-BA1E-21C2A31F97C1}"/>
    <cellStyle name="注释 2 4 12" xfId="23156" xr:uid="{00C49C5A-DF5F-4659-BB1A-0C3D7CD55847}"/>
    <cellStyle name="注释 2 4 12 2" xfId="23157" xr:uid="{6675EF10-455F-4034-B29D-F6E67FB6F438}"/>
    <cellStyle name="注释 2 4 12 2 2" xfId="26578" xr:uid="{81BBAF61-173D-4B73-A22E-1955FD4A4F57}"/>
    <cellStyle name="注释 2 4 12 2 2 2" xfId="37674" xr:uid="{47BA412A-AB32-4570-9100-B74AD0869D21}"/>
    <cellStyle name="注释 2 4 12 2 3" xfId="36105" xr:uid="{3972D609-4E10-46BD-B649-2A2D5834BFD6}"/>
    <cellStyle name="注释 2 4 12 3" xfId="36104" xr:uid="{36FD8117-3B75-4DE5-84BE-B5A3F51F73EA}"/>
    <cellStyle name="注释 2 4 13" xfId="23158" xr:uid="{8AC02FBD-20CD-4654-8ABA-158690835908}"/>
    <cellStyle name="注释 2 4 13 2" xfId="23159" xr:uid="{E27C96C8-1AF7-4221-AF1C-44DE8C77BA65}"/>
    <cellStyle name="注释 2 4 13 2 2" xfId="26579" xr:uid="{194D38C7-A3FC-4828-A6D3-EA784E940B12}"/>
    <cellStyle name="注释 2 4 13 2 2 2" xfId="37675" xr:uid="{106734C5-DA88-4793-9989-9D550C41E774}"/>
    <cellStyle name="注释 2 4 13 2 3" xfId="38177" xr:uid="{002B2A5F-52BC-4D8E-A08E-EC165DF7DF72}"/>
    <cellStyle name="注释 2 4 13 3" xfId="36106" xr:uid="{53674F59-7BA8-4A5C-8FAD-209D23463D1D}"/>
    <cellStyle name="注释 2 4 14" xfId="23160" xr:uid="{EDF8479C-895E-4018-A0F8-0B9CA97C5F9E}"/>
    <cellStyle name="注释 2 4 14 2" xfId="23161" xr:uid="{B8699F50-7E83-4263-841D-FFF8EE9C0E26}"/>
    <cellStyle name="注释 2 4 14 2 2" xfId="26580" xr:uid="{30CE41E6-05CA-405E-AE38-C76F0C232457}"/>
    <cellStyle name="注释 2 4 14 2 2 2" xfId="38709" xr:uid="{5FCF5079-2C7E-4272-BAC8-74418B84B6F8}"/>
    <cellStyle name="注释 2 4 14 2 3" xfId="37053" xr:uid="{18701BE1-67BF-431E-9D9E-27F07DAE207B}"/>
    <cellStyle name="注释 2 4 14 3" xfId="36107" xr:uid="{01A52D4A-2EF9-4102-ABA6-C068BF4864F9}"/>
    <cellStyle name="注释 2 4 15" xfId="23162" xr:uid="{52E86638-5EA8-4F5F-8800-095795B0DB58}"/>
    <cellStyle name="注释 2 4 15 2" xfId="23163" xr:uid="{F55869D3-C5DA-4A7A-BED1-6CE455B28AA5}"/>
    <cellStyle name="注释 2 4 15 2 2" xfId="26581" xr:uid="{572548BB-90D0-46D3-B9FD-93037190902F}"/>
    <cellStyle name="注释 2 4 15 2 2 2" xfId="37676" xr:uid="{6C751081-DF8E-45FB-BE68-276677D8E4DA}"/>
    <cellStyle name="注释 2 4 15 2 3" xfId="37055" xr:uid="{F836262B-1380-4165-9301-A36B2E8E62E2}"/>
    <cellStyle name="注释 2 4 15 3" xfId="37054" xr:uid="{BB4D0247-5712-4A12-8DB7-1F829F4260B7}"/>
    <cellStyle name="注释 2 4 16" xfId="23164" xr:uid="{0C7B7B5C-85C2-4439-A7BB-5F831C65DCE9}"/>
    <cellStyle name="注释 2 4 16 2" xfId="26582" xr:uid="{8E5AB4D2-9DAD-498C-8123-8034CE31F39F}"/>
    <cellStyle name="注释 2 4 16 2 2" xfId="37677" xr:uid="{624A1BB1-2C3A-49C0-82DF-8521411F3697}"/>
    <cellStyle name="注释 2 4 16 3" xfId="37056" xr:uid="{5ECC655F-8C3F-4B0F-84C3-5E31F3D69552}"/>
    <cellStyle name="注释 2 4 17" xfId="36100" xr:uid="{F44EB16C-484C-4D5C-9DFB-FA4D3A784EA2}"/>
    <cellStyle name="注释 2 4 2" xfId="23165" xr:uid="{121522D0-8758-488F-BFC5-AFC2911EB392}"/>
    <cellStyle name="注释 2 4 2 2" xfId="23166" xr:uid="{C800AE4B-609E-4AA2-95F6-68073DC00484}"/>
    <cellStyle name="注释 2 4 2 2 2" xfId="26583" xr:uid="{76592E71-89B0-4874-B4D8-B53259068425}"/>
    <cellStyle name="注释 2 4 2 2 2 2" xfId="28041" xr:uid="{1E7989E2-C44D-4CF8-A94D-EA471427E436}"/>
    <cellStyle name="注释 2 4 2 2 3" xfId="37057" xr:uid="{0FE0398F-AD64-46B7-8C09-76D93D5302E0}"/>
    <cellStyle name="注释 2 4 2 3" xfId="38421" xr:uid="{E0743169-7184-4C54-9BD4-15C7DBF21BAD}"/>
    <cellStyle name="注释 2 4 3" xfId="23167" xr:uid="{7431348C-DD4A-49D1-AFD4-F6CECE86CF8C}"/>
    <cellStyle name="注释 2 4 3 2" xfId="23168" xr:uid="{8B87CF1D-C253-431B-9C31-429B2C735E2C}"/>
    <cellStyle name="注释 2 4 3 2 2" xfId="26584" xr:uid="{54AA8730-4B68-4EAA-840C-7070AF9518EA}"/>
    <cellStyle name="注释 2 4 3 2 2 2" xfId="38710" xr:uid="{7C8E2D5C-96FF-4AFA-B711-26AC04D151ED}"/>
    <cellStyle name="注释 2 4 3 2 3" xfId="38422" xr:uid="{92F7E915-2741-4EB6-AB46-A14EF86EE481}"/>
    <cellStyle name="注释 2 4 3 3" xfId="37058" xr:uid="{AA2536B9-F24C-44A2-806A-A9B7370368DA}"/>
    <cellStyle name="注释 2 4 4" xfId="23169" xr:uid="{242E62E7-2D9C-4CA8-88F7-2FA69F06B0D2}"/>
    <cellStyle name="注释 2 4 4 2" xfId="23170" xr:uid="{7B4A7C8A-2E3A-4A0F-B496-0E51F4009B23}"/>
    <cellStyle name="注释 2 4 4 2 2" xfId="26585" xr:uid="{7C910292-01A4-4A02-B196-831BF2C47487}"/>
    <cellStyle name="注释 2 4 4 2 2 2" xfId="37678" xr:uid="{A7E07982-51FC-4E34-9056-340C5EDEB0AE}"/>
    <cellStyle name="注释 2 4 4 2 3" xfId="38423" xr:uid="{2375AE78-7F1B-4BE7-B90F-25FE9DE898CA}"/>
    <cellStyle name="注释 2 4 4 3" xfId="37059" xr:uid="{D8BCFECC-8A0C-4BF3-8BE5-9AEC3002794C}"/>
    <cellStyle name="注释 2 4 5" xfId="23171" xr:uid="{5ECD16EB-7B51-407B-B4D1-C8BDF4C0CA54}"/>
    <cellStyle name="注释 2 4 5 2" xfId="23172" xr:uid="{9D836E17-B5E1-4D98-8B11-7F531C5DC174}"/>
    <cellStyle name="注释 2 4 5 2 2" xfId="26586" xr:uid="{A7796E17-B0A9-4AE8-BBFC-162E795C2B54}"/>
    <cellStyle name="注释 2 4 5 2 2 2" xfId="37848" xr:uid="{3CEFAC28-D991-4C32-8837-B92E28B9789C}"/>
    <cellStyle name="注释 2 4 5 2 3" xfId="37061" xr:uid="{63EB9925-CD28-4DEE-96DD-FD83BF41BC2C}"/>
    <cellStyle name="注释 2 4 5 3" xfId="37060" xr:uid="{E9AD24A1-E861-4BA8-9939-0A3CFAFD6718}"/>
    <cellStyle name="注释 2 4 6" xfId="23173" xr:uid="{F7FE00D6-4659-432E-8450-A6D40FFD9572}"/>
    <cellStyle name="注释 2 4 6 2" xfId="23174" xr:uid="{78AD36ED-1C10-4B83-9029-A52A5766E204}"/>
    <cellStyle name="注释 2 4 6 2 2" xfId="26587" xr:uid="{CC5BCED3-EBD2-4CB0-926A-B7EE92960D7E}"/>
    <cellStyle name="注释 2 4 6 2 2 2" xfId="37679" xr:uid="{E48CC5FE-456D-4F66-B1B8-21597F1B3B26}"/>
    <cellStyle name="注释 2 4 6 2 3" xfId="37063" xr:uid="{96EDAE5A-A145-4C65-BA4C-76C019652881}"/>
    <cellStyle name="注释 2 4 6 3" xfId="37062" xr:uid="{73AE349C-2FE4-40F7-A593-20245FA9F45D}"/>
    <cellStyle name="注释 2 4 7" xfId="23175" xr:uid="{5A4E2244-4597-4ABA-A09F-4C4D1A7AC8B8}"/>
    <cellStyle name="注释 2 4 7 2" xfId="23176" xr:uid="{A82FCFEB-BFDE-4CDE-819F-AC8821C1699C}"/>
    <cellStyle name="注释 2 4 7 2 2" xfId="26588" xr:uid="{D9FBF475-FDAD-4570-B2ED-AC8E1814511C}"/>
    <cellStyle name="注释 2 4 7 2 2 2" xfId="38711" xr:uid="{8FBB250C-ADFA-4513-98BF-E7218FCBDB97}"/>
    <cellStyle name="注释 2 4 7 2 3" xfId="37064" xr:uid="{A7E4C8AE-B2B9-4ACB-ADB5-6E0D4F91CF18}"/>
    <cellStyle name="注释 2 4 7 3" xfId="38424" xr:uid="{AA7E097A-C20E-4986-9C2A-BE594D155B58}"/>
    <cellStyle name="注释 2 4 8" xfId="23177" xr:uid="{77F9B5F0-8F86-4F9F-8C37-5B523E3E8633}"/>
    <cellStyle name="注释 2 4 8 2" xfId="23178" xr:uid="{7734A2CF-08D3-42DC-9FD7-7DD44E335CC8}"/>
    <cellStyle name="注释 2 4 8 2 2" xfId="26589" xr:uid="{153AB3F6-07DE-4906-B292-3FCCF7925E55}"/>
    <cellStyle name="注释 2 4 8 2 2 2" xfId="37680" xr:uid="{EDE7E0F8-F507-4526-B8A1-72C3712B9745}"/>
    <cellStyle name="注释 2 4 8 2 3" xfId="38425" xr:uid="{B23E3DA9-94AB-42A1-A3BB-85FC1190F869}"/>
    <cellStyle name="注释 2 4 8 3" xfId="37065" xr:uid="{D8F7547C-3D80-49EA-AED7-4BC95D1AE3CF}"/>
    <cellStyle name="注释 2 4 9" xfId="23179" xr:uid="{1BB269E7-3D3B-48AC-8B0E-830A5C272EA6}"/>
    <cellStyle name="注释 2 4 9 2" xfId="23180" xr:uid="{51679C5E-5F3E-4D49-BB55-EF9AA2327C20}"/>
    <cellStyle name="注释 2 4 9 2 2" xfId="26590" xr:uid="{248EF293-0DD3-47B5-A5F3-1DA2861BDFAB}"/>
    <cellStyle name="注释 2 4 9 2 2 2" xfId="37681" xr:uid="{14DCEF38-27C0-453A-AE2F-2BE0D30E7DA4}"/>
    <cellStyle name="注释 2 4 9 2 3" xfId="38426" xr:uid="{365BECF3-5E3B-4CB2-AFC2-87666FF4EDF5}"/>
    <cellStyle name="注释 2 4 9 3" xfId="37066" xr:uid="{ECE9CB6C-2BAF-4096-BFCE-55364185C7B4}"/>
    <cellStyle name="注释 2 5" xfId="23181" xr:uid="{321E7A61-B8DD-45FE-BF7F-C9037F33D36E}"/>
    <cellStyle name="注释 2 5 2" xfId="23182" xr:uid="{72FBC706-5464-45A0-BD12-2B6C6C960D6D}"/>
    <cellStyle name="注释 2 5 2 2" xfId="26591" xr:uid="{41859E3F-C2DE-49D2-A872-37917786186D}"/>
    <cellStyle name="注释 2 5 2 2 2" xfId="38712" xr:uid="{98AF0E42-8FDE-41B9-B992-7BCBA7A132C2}"/>
    <cellStyle name="注释 2 5 2 3" xfId="37068" xr:uid="{A5664B04-9A77-49C8-AF67-A3E026705616}"/>
    <cellStyle name="注释 2 5 3" xfId="37067" xr:uid="{6A9D013D-E74F-4474-81B7-6CB6D8A1BA97}"/>
    <cellStyle name="注释 2 6" xfId="23183" xr:uid="{7499F372-19AD-4CF1-B83F-7A9A04D76BCD}"/>
    <cellStyle name="注释 2 6 2" xfId="23184" xr:uid="{8A84B24C-96A0-4C39-BE02-F08D9FDDDAAA}"/>
    <cellStyle name="注释 2 6 2 2" xfId="26592" xr:uid="{D51A74E3-72F4-4C6F-94DB-BB6ED75B3413}"/>
    <cellStyle name="注释 2 6 2 2 2" xfId="37682" xr:uid="{CDC99FA6-38FA-4004-856A-6E4C45A5DB0F}"/>
    <cellStyle name="注释 2 6 2 3" xfId="37070" xr:uid="{7DC97F24-6B5E-461A-9340-D4A3A7EBD755}"/>
    <cellStyle name="注释 2 6 3" xfId="37069" xr:uid="{172B5440-491B-4E9F-A3F3-27274FFB836B}"/>
    <cellStyle name="注释 2 7" xfId="23185" xr:uid="{C5ADA4B7-5D7F-4EB0-B3DD-08E676C29834}"/>
    <cellStyle name="注释 2 7 2" xfId="23186" xr:uid="{F960F00F-9275-4E45-9478-8757670AA120}"/>
    <cellStyle name="注释 2 7 2 2" xfId="26593" xr:uid="{D36F1795-644E-4D33-B359-21C4052625A0}"/>
    <cellStyle name="注释 2 7 2 2 2" xfId="37683" xr:uid="{96E82959-3E33-47D2-BE0A-94CE02E6BE37}"/>
    <cellStyle name="注释 2 7 2 3" xfId="37071" xr:uid="{4CB9AFD2-6682-4C9F-9FD9-C32896D0CE4B}"/>
    <cellStyle name="注释 2 7 3" xfId="38427" xr:uid="{F94F8BDF-A3B3-4464-A304-BB3EB233FB4B}"/>
    <cellStyle name="注释 2 8" xfId="23187" xr:uid="{2BA7F24F-B51D-483C-A006-5DAA61417C90}"/>
    <cellStyle name="注释 2 8 2" xfId="23188" xr:uid="{73AD8AE7-0475-4638-918A-03F562C822BE}"/>
    <cellStyle name="注释 2 8 2 2" xfId="26594" xr:uid="{AD06A754-FB1B-421C-B92F-9D01F0B03DC3}"/>
    <cellStyle name="注释 2 8 2 2 2" xfId="38713" xr:uid="{AA8A91A4-D937-4BD7-A657-36D60391D35C}"/>
    <cellStyle name="注释 2 8 2 3" xfId="38428" xr:uid="{448CD17F-D8E5-4E02-8C77-B92C502FCCDF}"/>
    <cellStyle name="注释 2 8 3" xfId="37072" xr:uid="{35AEA469-9F97-4F19-B507-FE34A0452973}"/>
    <cellStyle name="注释 2 9" xfId="23189" xr:uid="{7EB55BB8-B332-43B6-BC78-D1D1DCAA7818}"/>
    <cellStyle name="注释 2 9 2" xfId="23190" xr:uid="{98F02C52-E4A0-441E-A67C-B79D2B87C0CD}"/>
    <cellStyle name="注释 2 9 2 2" xfId="26595" xr:uid="{D42CE707-0FF7-4E57-B60D-65FB6CC88A44}"/>
    <cellStyle name="注释 2 9 2 2 2" xfId="37684" xr:uid="{DA703B00-F0A7-4A6B-B710-2A1F2952C822}"/>
    <cellStyle name="注释 2 9 2 3" xfId="38429" xr:uid="{5C4A0C56-709A-40FA-827A-3CD66E7F7C26}"/>
    <cellStyle name="注释 2 9 3" xfId="37073" xr:uid="{1A956C98-CA2B-49F4-B890-97CD3C72E009}"/>
    <cellStyle name="注释 20" xfId="23191" xr:uid="{40BCFAFC-A14F-4BFB-A3E9-628E9E89BBE3}"/>
    <cellStyle name="注释 20 2" xfId="23192" xr:uid="{25DABED9-B3AB-4C9D-A32B-DE9CF934C9A6}"/>
    <cellStyle name="注释 20 2 2" xfId="26596" xr:uid="{5EEFC26B-EDDD-478D-B889-5ADBE5A3888D}"/>
    <cellStyle name="注释 20 2 2 2" xfId="37685" xr:uid="{BCDB128A-3B46-4742-ACEB-DA49AFDE5FC8}"/>
    <cellStyle name="注释 20 2 3" xfId="37075" xr:uid="{C1D7A227-F074-455F-9F78-C19C4A06C8DB}"/>
    <cellStyle name="注释 20 3" xfId="37074" xr:uid="{CA4B1249-5A98-4509-9A7B-0AF318F35C99}"/>
    <cellStyle name="注释 21" xfId="23193" xr:uid="{E79F3E55-4103-4441-9077-A2B9589D6F37}"/>
    <cellStyle name="注释 21 2" xfId="23194" xr:uid="{24E17A17-F442-4EFA-AA0C-DD9F01C4FCBA}"/>
    <cellStyle name="注释 21 2 2" xfId="26597" xr:uid="{609D2899-1704-4BB2-8DD7-C7AB6894665D}"/>
    <cellStyle name="注释 21 2 2 2" xfId="38714" xr:uid="{30F38BE0-E992-443E-A1D8-AEB21B2E4DDB}"/>
    <cellStyle name="注释 21 2 3" xfId="37077" xr:uid="{43BCFE54-AC62-4A71-98AF-D2EFE549A6EC}"/>
    <cellStyle name="注释 21 3" xfId="37076" xr:uid="{587F7DB7-9786-4634-922F-531794DFD75D}"/>
    <cellStyle name="注释 22" xfId="23195" xr:uid="{9AB2BE13-EB93-43CA-BA04-8C831F89598C}"/>
    <cellStyle name="注释 22 2" xfId="23196" xr:uid="{5EF19F7A-B10E-4C6A-9CBE-F156B7F8B47C}"/>
    <cellStyle name="注释 22 2 2" xfId="26598" xr:uid="{ADED0E70-8479-4CBC-AD4F-496A011C51B5}"/>
    <cellStyle name="注释 22 2 2 2" xfId="37686" xr:uid="{1604FD27-DDA1-47A3-A2DE-3325A6101F21}"/>
    <cellStyle name="注释 22 2 3" xfId="37078" xr:uid="{BC2A812B-4C22-40C0-89B2-B73FA45A4FE3}"/>
    <cellStyle name="注释 22 3" xfId="38430" xr:uid="{7582D51E-CE69-4866-B4B5-A58D304A33AC}"/>
    <cellStyle name="注释 23" xfId="23197" xr:uid="{40445A50-D8B6-497B-9D7A-B5717ED0C6FB}"/>
    <cellStyle name="注释 23 2" xfId="23198" xr:uid="{49AE30F3-C04A-4069-90CE-0CE62F1AEB51}"/>
    <cellStyle name="注释 23 2 2" xfId="26599" xr:uid="{9D262F31-81E1-46FD-A00A-303025E710D8}"/>
    <cellStyle name="注释 23 2 2 2" xfId="37687" xr:uid="{3443B14A-8A65-4549-B5C5-F1BF0766CC1F}"/>
    <cellStyle name="注释 23 2 3" xfId="38431" xr:uid="{73AE1C7F-20E4-46D2-AFCC-313B5B83A9D8}"/>
    <cellStyle name="注释 23 3" xfId="37079" xr:uid="{103F786C-E23D-4E6F-A033-32708544420E}"/>
    <cellStyle name="注释 24" xfId="23199" xr:uid="{CCDD51B7-FB35-434E-AFD3-FEB75D2C93B8}"/>
    <cellStyle name="注释 24 2" xfId="37080" xr:uid="{E277E044-CD16-48BE-AA04-6AAE82033AD2}"/>
    <cellStyle name="注释 25" xfId="36028" xr:uid="{6277EEBB-8DA8-4E2C-A07B-3E59BF275070}"/>
    <cellStyle name="注释 3" xfId="23200" xr:uid="{818C86A5-7F02-40B3-ACCF-118C69A2397A}"/>
    <cellStyle name="注释 3 10" xfId="23201" xr:uid="{2A36F394-038A-463A-A3DB-E8BA226A6964}"/>
    <cellStyle name="注释 3 10 2" xfId="37081" xr:uid="{8C3511FA-D37A-4E2A-9E87-604D9BF2A95D}"/>
    <cellStyle name="注释 3 11" xfId="23202" xr:uid="{C5D6EF30-9857-4C69-96EA-FA2EC4BE7021}"/>
    <cellStyle name="注释 3 11 2" xfId="37082" xr:uid="{098181F9-BA99-42D3-BA43-EF005F51FA8E}"/>
    <cellStyle name="注释 3 12" xfId="23203" xr:uid="{33A89DAE-A2F9-4B71-B754-B26E927D8774}"/>
    <cellStyle name="注释 3 12 2" xfId="37083" xr:uid="{F18E8E21-3391-4C6A-97C1-720880B984E6}"/>
    <cellStyle name="注释 3 13" xfId="23204" xr:uid="{C31504DA-B295-407F-840F-2CAAB4B62A8C}"/>
    <cellStyle name="注释 3 13 2" xfId="37084" xr:uid="{598A3A6A-D856-40A8-B1E6-6736B344C82E}"/>
    <cellStyle name="注释 3 14" xfId="23205" xr:uid="{01E59C60-5AA2-4163-A286-38A7273920EF}"/>
    <cellStyle name="注释 3 14 2" xfId="38433" xr:uid="{527FB87B-6D19-4381-BB84-AD830218F10A}"/>
    <cellStyle name="注释 3 15" xfId="23206" xr:uid="{22B8EA8D-48B3-4443-9695-2666AA61B707}"/>
    <cellStyle name="注释 3 15 2" xfId="37085" xr:uid="{DFB2D317-9D81-41C3-8B0A-AA76E6972D1E}"/>
    <cellStyle name="注释 3 16" xfId="23207" xr:uid="{F88EA2EF-524B-4527-8735-4E02B842EC3A}"/>
    <cellStyle name="注释 3 16 2" xfId="37086" xr:uid="{07DDE62E-68D7-4B41-BE2A-7EC4B38E38FA}"/>
    <cellStyle name="注释 3 17" xfId="23208" xr:uid="{92A017D9-D1D3-4C98-BD87-B41B3E8A0FBA}"/>
    <cellStyle name="注释 3 17 2" xfId="38434" xr:uid="{6BFFCB00-80E9-4937-A35F-1CCC37F7A921}"/>
    <cellStyle name="注释 3 18" xfId="23209" xr:uid="{AEA6EBE8-4725-4993-BB60-2C2585EE5D7A}"/>
    <cellStyle name="注释 3 18 2" xfId="37087" xr:uid="{F82BB385-9CCC-4403-A2CD-5870F8415197}"/>
    <cellStyle name="注释 3 19" xfId="23210" xr:uid="{AA29019C-C365-4023-A3CD-4A8E209B3B45}"/>
    <cellStyle name="注释 3 19 2" xfId="38435" xr:uid="{FD0C64A7-56AB-45D4-AC8F-AADBF5EB8997}"/>
    <cellStyle name="注释 3 2" xfId="23211" xr:uid="{172F1576-6CF6-47CD-98EF-1A56DE8CF204}"/>
    <cellStyle name="注释 3 2 10" xfId="23212" xr:uid="{73FFD34D-5239-49A3-943D-BF99BF115312}"/>
    <cellStyle name="注释 3 2 10 2" xfId="23213" xr:uid="{197B3376-9B66-43EB-B536-216D942844B9}"/>
    <cellStyle name="注释 3 2 10 2 2" xfId="26600" xr:uid="{FE979BD2-E926-4327-99CD-9E0CC38EDB97}"/>
    <cellStyle name="注释 3 2 10 2 2 2" xfId="38715" xr:uid="{662C383F-5507-426E-BD02-9F361B39858C}"/>
    <cellStyle name="注释 3 2 10 2 3" xfId="37090" xr:uid="{5874D4F6-9046-4FD1-97FF-1D1F9F2AF78B}"/>
    <cellStyle name="注释 3 2 10 3" xfId="37089" xr:uid="{F58C3826-CE0B-4122-8DD4-783A03FFFB65}"/>
    <cellStyle name="注释 3 2 11" xfId="23214" xr:uid="{E7103FE8-FBAA-4390-838B-6D689FB119CB}"/>
    <cellStyle name="注释 3 2 11 2" xfId="23215" xr:uid="{7A0BB485-9A3A-464C-B3A4-FF13034FC493}"/>
    <cellStyle name="注释 3 2 11 2 2" xfId="26601" xr:uid="{CCD5A310-923C-44DA-9704-3BC9AD8241C0}"/>
    <cellStyle name="注释 3 2 11 2 2 2" xfId="37688" xr:uid="{DEEE6862-E62E-47F4-AD52-8CF74905C0BF}"/>
    <cellStyle name="注释 3 2 11 2 3" xfId="38436" xr:uid="{7CDB0596-EA2B-4650-BCF9-4BDFDB1CE1C5}"/>
    <cellStyle name="注释 3 2 11 3" xfId="37091" xr:uid="{F2F2806F-5D11-4124-A76E-45FFC6EBB9BD}"/>
    <cellStyle name="注释 3 2 12" xfId="23216" xr:uid="{C9A12AAF-78CE-4852-A8C6-0198F4AB7CDC}"/>
    <cellStyle name="注释 3 2 12 2" xfId="23217" xr:uid="{2A728D66-A5E9-4562-9072-41C474775AEF}"/>
    <cellStyle name="注释 3 2 12 2 2" xfId="26602" xr:uid="{CB40FDFB-23FF-41F6-AA47-2E88B5EFB298}"/>
    <cellStyle name="注释 3 2 12 2 2 2" xfId="37689" xr:uid="{4E294EAA-F794-49EC-8944-E4347D69EA7C}"/>
    <cellStyle name="注释 3 2 12 2 3" xfId="37093" xr:uid="{B9D50D93-ADB0-490F-9F6A-EB7EE82232C7}"/>
    <cellStyle name="注释 3 2 12 3" xfId="37092" xr:uid="{83A1B917-A247-4AB8-83D5-55FFE8182ABD}"/>
    <cellStyle name="注释 3 2 13" xfId="23218" xr:uid="{388D5FAA-8765-4308-BC10-6D637BAFB882}"/>
    <cellStyle name="注释 3 2 13 2" xfId="23219" xr:uid="{D5920304-491D-432A-80D6-0EDCC0555F29}"/>
    <cellStyle name="注释 3 2 13 2 2" xfId="26603" xr:uid="{819E5045-7AEC-4A17-89C9-96D388C09587}"/>
    <cellStyle name="注释 3 2 13 2 2 2" xfId="38716" xr:uid="{CFBE00AA-5B26-4C1F-A1B8-2205E227D7E2}"/>
    <cellStyle name="注释 3 2 13 2 3" xfId="37094" xr:uid="{40A14356-E663-4B72-AB62-97CC7C4927B8}"/>
    <cellStyle name="注释 3 2 13 3" xfId="38437" xr:uid="{D92BEFB7-BC5F-4ED4-B067-13EF5DA31E98}"/>
    <cellStyle name="注释 3 2 14" xfId="23220" xr:uid="{08CE7573-5522-48EF-ACA8-3D6C5DF77D9A}"/>
    <cellStyle name="注释 3 2 14 2" xfId="23221" xr:uid="{E08E11B5-49F7-4590-A37F-A6A9E4A29CFC}"/>
    <cellStyle name="注释 3 2 14 2 2" xfId="26604" xr:uid="{2862C227-A033-4D36-B99B-78CE7DF4C7EF}"/>
    <cellStyle name="注释 3 2 14 2 2 2" xfId="37690" xr:uid="{D287FE5A-228F-4241-B9FA-B83641695165}"/>
    <cellStyle name="注释 3 2 14 2 3" xfId="35475" xr:uid="{E88D28DD-A4D8-4FC5-BE69-B3A70CF28EAA}"/>
    <cellStyle name="注释 3 2 14 3" xfId="38438" xr:uid="{AF4DFE3E-34F1-424D-B363-963172DAC360}"/>
    <cellStyle name="注释 3 2 15" xfId="23222" xr:uid="{72F4E357-30C1-431E-A1D4-8DF797FF0ABC}"/>
    <cellStyle name="注释 3 2 15 2" xfId="23223" xr:uid="{7D8C3D8B-D09A-4990-A55C-A54A16F63CCA}"/>
    <cellStyle name="注释 3 2 15 2 2" xfId="26605" xr:uid="{7ED814D7-1FFD-4282-9F55-3DCEB7E3C40F}"/>
    <cellStyle name="注释 3 2 15 2 2 2" xfId="37691" xr:uid="{E8C1645D-1E8A-4DA4-974A-B4CAA78DC376}"/>
    <cellStyle name="注释 3 2 15 2 3" xfId="35477" xr:uid="{53D9BA7F-27E1-4CDE-A48A-CF22A3311CC1}"/>
    <cellStyle name="注释 3 2 15 3" xfId="35476" xr:uid="{48D5962D-8907-470C-B5DC-44DB65124379}"/>
    <cellStyle name="注释 3 2 16" xfId="23224" xr:uid="{CE4D7258-FBE8-44EB-9298-A130A082A348}"/>
    <cellStyle name="注释 3 2 16 2" xfId="23225" xr:uid="{A958EFF9-C160-444B-832A-4C22F9234FA9}"/>
    <cellStyle name="注释 3 2 16 2 2" xfId="26606" xr:uid="{6BF844E9-C94B-4CA4-85B6-FD0B4D207D18}"/>
    <cellStyle name="注释 3 2 16 2 2 2" xfId="37692" xr:uid="{D8AA02DA-0E3F-420B-B4AE-35B57B815E0E}"/>
    <cellStyle name="注释 3 2 16 2 3" xfId="37095" xr:uid="{7718109F-5773-41F5-B8B6-8CB42F0405CD}"/>
    <cellStyle name="注释 3 2 16 3" xfId="36627" xr:uid="{D11F547D-4D3A-48A4-B671-79120DFC8F76}"/>
    <cellStyle name="注释 3 2 17" xfId="23226" xr:uid="{2A78A456-AD86-49F2-BF17-BD8BC110DF8D}"/>
    <cellStyle name="注释 3 2 17 2" xfId="23227" xr:uid="{C80A0F7B-57ED-49FC-8766-BD4425B201D4}"/>
    <cellStyle name="注释 3 2 17 2 2" xfId="26607" xr:uid="{6285362E-2818-48EA-9A51-1C60662E71AD}"/>
    <cellStyle name="注释 3 2 17 2 2 2" xfId="38717" xr:uid="{C778C343-AA79-419F-BB5C-EE84A0C93A98}"/>
    <cellStyle name="注释 3 2 17 2 3" xfId="37043" xr:uid="{B5816151-A1AB-41E1-B821-346D6D276621}"/>
    <cellStyle name="注释 3 2 17 3" xfId="37042" xr:uid="{6BBC3EFC-F928-40D9-9E26-376710587D49}"/>
    <cellStyle name="注释 3 2 18" xfId="23228" xr:uid="{D73DF4A6-8FC4-489A-A71C-C0AF528AE721}"/>
    <cellStyle name="注释 3 2 18 2" xfId="23229" xr:uid="{BA3D5923-FFBA-425C-A6F7-CE19DDD2FDC1}"/>
    <cellStyle name="注释 3 2 18 2 2" xfId="26608" xr:uid="{C6E4196F-C52F-4E1B-AC1C-AAB5F5D8191E}"/>
    <cellStyle name="注释 3 2 18 2 2 2" xfId="37693" xr:uid="{7392D896-1292-4FB3-AE3C-B1E49D163810}"/>
    <cellStyle name="注释 3 2 18 2 3" xfId="37045" xr:uid="{08760B5F-4C81-448A-A552-56579BDA8782}"/>
    <cellStyle name="注释 3 2 18 3" xfId="37044" xr:uid="{1924492E-769D-458F-8A01-2B0E78DF7C87}"/>
    <cellStyle name="注释 3 2 19" xfId="23230" xr:uid="{E7DDF756-0795-43F0-A004-819720A50D4D}"/>
    <cellStyle name="注释 3 2 19 2" xfId="26609" xr:uid="{C88E7DC7-726F-4781-B608-46E86877930F}"/>
    <cellStyle name="注释 3 2 19 2 2" xfId="37694" xr:uid="{ABCD95EC-75C4-4B9A-9770-D1E432774D55}"/>
    <cellStyle name="注释 3 2 19 3" xfId="37014" xr:uid="{BB59F1FE-C5D3-4A54-A920-AC90F16F274A}"/>
    <cellStyle name="注释 3 2 2" xfId="23231" xr:uid="{43DEA7E5-613E-48F0-88BC-71067DCBC6D4}"/>
    <cellStyle name="注释 3 2 2 10" xfId="23232" xr:uid="{D1462CA3-A6F9-402D-993E-FD0EB1069613}"/>
    <cellStyle name="注释 3 2 2 10 2" xfId="23233" xr:uid="{4EC8E55E-9DBC-47BA-A1EC-5212827D838C}"/>
    <cellStyle name="注释 3 2 2 10 2 2" xfId="26610" xr:uid="{EE6E03B4-DEFE-40B3-8986-D2696FF4C437}"/>
    <cellStyle name="注释 3 2 2 10 2 2 2" xfId="38718" xr:uid="{9F1403DE-913F-46A5-A6F7-D5BA234C39BD}"/>
    <cellStyle name="注释 3 2 2 10 2 3" xfId="37021" xr:uid="{04E0EF70-22CA-498A-ADD8-D7DC3AB05987}"/>
    <cellStyle name="注释 3 2 2 10 3" xfId="37020" xr:uid="{421E4E4F-B917-4A77-A77F-49204756C740}"/>
    <cellStyle name="注释 3 2 2 11" xfId="23234" xr:uid="{40478E8B-4940-4B51-AA5A-078F3AC7971D}"/>
    <cellStyle name="注释 3 2 2 11 2" xfId="23235" xr:uid="{5D36291B-B1EA-44CF-8E30-DEBA11340035}"/>
    <cellStyle name="注释 3 2 2 11 2 2" xfId="26611" xr:uid="{427EAACC-FEBA-4562-8CF4-28BA1B73879B}"/>
    <cellStyle name="注释 3 2 2 11 2 2 2" xfId="37695" xr:uid="{D65311C4-68A6-4BDA-88C1-6EDBA651AC0B}"/>
    <cellStyle name="注释 3 2 2 11 2 3" xfId="37096" xr:uid="{EB630F82-FCF4-4CF4-BE46-2B74E32B2295}"/>
    <cellStyle name="注释 3 2 2 11 3" xfId="37017" xr:uid="{15FE2E6E-DE27-487F-BBAB-E06ED510A0D9}"/>
    <cellStyle name="注释 3 2 2 12" xfId="23236" xr:uid="{5D16373C-07A2-47F9-8623-1E71432AFB9D}"/>
    <cellStyle name="注释 3 2 2 12 2" xfId="23237" xr:uid="{1CFD04D7-C35E-4015-94AC-9633B56EA6E4}"/>
    <cellStyle name="注释 3 2 2 12 2 2" xfId="26612" xr:uid="{0C536005-FC96-4D9A-B175-1BC1E590BD95}"/>
    <cellStyle name="注释 3 2 2 12 2 2 2" xfId="37696" xr:uid="{FB9760BC-A5FD-41DC-AF96-9D0CAE32BE7A}"/>
    <cellStyle name="注释 3 2 2 12 2 3" xfId="37098" xr:uid="{D9E3C724-129F-4C0E-8D36-38A61AD5728C}"/>
    <cellStyle name="注释 3 2 2 12 3" xfId="37097" xr:uid="{7728C724-2E55-4CD3-B87D-9C4C7D2968D3}"/>
    <cellStyle name="注释 3 2 2 13" xfId="23238" xr:uid="{B0BBD7D9-C4BC-4F7C-8BBA-7EB41649EE96}"/>
    <cellStyle name="注释 3 2 2 13 2" xfId="23239" xr:uid="{64AFD99A-51CF-4900-AF31-A13007DFA3E2}"/>
    <cellStyle name="注释 3 2 2 13 2 2" xfId="26613" xr:uid="{70240185-0BDF-45AB-9C06-C578C63F67D8}"/>
    <cellStyle name="注释 3 2 2 13 2 2 2" xfId="38719" xr:uid="{0A5048FB-8818-471E-B6B3-44FD05F2A372}"/>
    <cellStyle name="注释 3 2 2 13 2 3" xfId="37100" xr:uid="{3163C567-D739-467D-951E-789479C3B5F8}"/>
    <cellStyle name="注释 3 2 2 13 3" xfId="37099" xr:uid="{019A05E9-594F-4370-8486-FE6B682A19E6}"/>
    <cellStyle name="注释 3 2 2 14" xfId="23240" xr:uid="{1F01E03B-D137-4F7E-91F1-A4FABAC634EB}"/>
    <cellStyle name="注释 3 2 2 14 2" xfId="23241" xr:uid="{63B4C7C3-D73E-47AF-82C8-C67C475D33E2}"/>
    <cellStyle name="注释 3 2 2 14 2 2" xfId="26614" xr:uid="{1EB71594-BD81-42A0-9C2A-94512D6EA6E8}"/>
    <cellStyle name="注释 3 2 2 14 2 2 2" xfId="37697" xr:uid="{71CFD7A8-4187-4DBE-9EB6-9A5C0675C9FE}"/>
    <cellStyle name="注释 3 2 2 14 2 3" xfId="37101" xr:uid="{BD2EB6D0-7B4C-4EF8-A234-C7430015579D}"/>
    <cellStyle name="注释 3 2 2 14 3" xfId="38439" xr:uid="{9B66C6C0-6597-4422-A317-A0E9960BF829}"/>
    <cellStyle name="注释 3 2 2 15" xfId="23242" xr:uid="{8FEBA321-A1DE-48FC-83EF-E6BA406CA07A}"/>
    <cellStyle name="注释 3 2 2 15 2" xfId="23243" xr:uid="{ADD80D6F-E52B-4D09-BFE1-F624FE8CE36F}"/>
    <cellStyle name="注释 3 2 2 15 2 2" xfId="26615" xr:uid="{46B36561-4B04-4A8D-AF12-14DE9877D6F9}"/>
    <cellStyle name="注释 3 2 2 15 2 2 2" xfId="37698" xr:uid="{108FB3A5-DABC-4A79-807F-A88712128732}"/>
    <cellStyle name="注释 3 2 2 15 2 3" xfId="37102" xr:uid="{E35C052E-CDD0-460B-AC7A-97115991F42B}"/>
    <cellStyle name="注释 3 2 2 15 3" xfId="38440" xr:uid="{B8A7A134-D0E0-480C-A9FC-71B984B034AC}"/>
    <cellStyle name="注释 3 2 2 16" xfId="23244" xr:uid="{F09F3D79-0543-4FED-861C-7E60DAE4665E}"/>
    <cellStyle name="注释 3 2 2 16 2" xfId="26616" xr:uid="{649CEE28-788D-4C69-A075-E8234414AB96}"/>
    <cellStyle name="注释 3 2 2 16 2 2" xfId="38720" xr:uid="{923793FC-F80F-424E-A0F6-A2ACE823BA85}"/>
    <cellStyle name="注释 3 2 2 16 3" xfId="37103" xr:uid="{F9A15B1A-0522-4BA6-96CB-BF3DF161F6A5}"/>
    <cellStyle name="注释 3 2 2 17" xfId="37019" xr:uid="{9B95BF3F-8B34-4051-8A4E-7A8FF63BB2E7}"/>
    <cellStyle name="注释 3 2 2 2" xfId="23245" xr:uid="{14302548-6DE2-4E4C-82B3-1BDC781112AF}"/>
    <cellStyle name="注释 3 2 2 2 2" xfId="23246" xr:uid="{CAB67FD1-4726-4BAF-A082-DCAE190F0E57}"/>
    <cellStyle name="注释 3 2 2 2 2 2" xfId="26617" xr:uid="{8C4AC318-596C-4D56-A7AA-B4CE13FC71BB}"/>
    <cellStyle name="注释 3 2 2 2 2 2 2" xfId="37699" xr:uid="{71851307-9393-4FB8-8EE8-999D3BE8786A}"/>
    <cellStyle name="注释 3 2 2 2 2 3" xfId="37104" xr:uid="{B5FCAEF3-91C9-4C88-8116-470147B38B17}"/>
    <cellStyle name="注释 3 2 2 2 3" xfId="38441" xr:uid="{D4ADFD23-EBD3-4200-8416-43E3FE758FCB}"/>
    <cellStyle name="注释 3 2 2 3" xfId="23247" xr:uid="{4F674E9F-FA7E-47E4-AA09-F69B8E74FC6E}"/>
    <cellStyle name="注释 3 2 2 3 2" xfId="23248" xr:uid="{CBD0E9E1-A058-4ED5-BB0F-ADDA7CDB6F44}"/>
    <cellStyle name="注释 3 2 2 3 2 2" xfId="26618" xr:uid="{EB286D75-2F5A-4460-8EFD-A7281F7E32A1}"/>
    <cellStyle name="注释 3 2 2 3 2 2 2" xfId="37700" xr:uid="{947AC57F-4672-47A8-8286-4D602B449508}"/>
    <cellStyle name="注释 3 2 2 3 2 3" xfId="37106" xr:uid="{0825E4EB-F33C-47E5-AADE-80E886E7BDF6}"/>
    <cellStyle name="注释 3 2 2 3 3" xfId="37105" xr:uid="{107ED278-85FF-41F4-B0BA-53EF150F3DFE}"/>
    <cellStyle name="注释 3 2 2 4" xfId="23249" xr:uid="{6A1B4E6B-F587-446E-8FB2-9B3F9EB660E8}"/>
    <cellStyle name="注释 3 2 2 4 2" xfId="23250" xr:uid="{3F123B1B-992A-491F-B562-2B99CCE8C97F}"/>
    <cellStyle name="注释 3 2 2 4 2 2" xfId="26619" xr:uid="{07517F1B-1F95-486B-A11F-A478EEE0568B}"/>
    <cellStyle name="注释 3 2 2 4 2 2 2" xfId="38721" xr:uid="{2EEF44D9-B25C-4D14-A4F4-E7F759A3115C}"/>
    <cellStyle name="注释 3 2 2 4 2 3" xfId="38442" xr:uid="{7363C70E-DF55-4365-8DA0-850283B39125}"/>
    <cellStyle name="注释 3 2 2 4 3" xfId="37107" xr:uid="{B1C3EBA0-C934-41EC-AC8C-50AC1F5DA991}"/>
    <cellStyle name="注释 3 2 2 5" xfId="23251" xr:uid="{9233F764-658F-483E-B13F-33C37DD94390}"/>
    <cellStyle name="注释 3 2 2 5 2" xfId="23252" xr:uid="{7121D674-D13A-4DF5-B611-8A8AD0F65641}"/>
    <cellStyle name="注释 3 2 2 5 2 2" xfId="26620" xr:uid="{D07D3BD1-1FCE-40B3-94C1-BE8451F3BF82}"/>
    <cellStyle name="注释 3 2 2 5 2 2 2" xfId="37701" xr:uid="{EAE8940C-591A-48A3-8B07-499B82BB2BFB}"/>
    <cellStyle name="注释 3 2 2 5 2 3" xfId="38443" xr:uid="{1F2E0EA3-EA02-416C-8F61-5C5F4CB450CC}"/>
    <cellStyle name="注释 3 2 2 5 3" xfId="37108" xr:uid="{1124DD46-D523-4111-9670-670973B34EAA}"/>
    <cellStyle name="注释 3 2 2 6" xfId="23253" xr:uid="{026BC58A-91D5-4457-8C5F-26E2628C3A3B}"/>
    <cellStyle name="注释 3 2 2 6 2" xfId="23254" xr:uid="{88DC4852-C09C-4511-95D6-2E2FE7275C04}"/>
    <cellStyle name="注释 3 2 2 6 2 2" xfId="26621" xr:uid="{7D42B63E-2101-4712-954C-1BAFFD2492DB}"/>
    <cellStyle name="注释 3 2 2 6 2 2 2" xfId="38722" xr:uid="{8ECB9D8C-40C3-42A1-818D-D72B9FCF399C}"/>
    <cellStyle name="注释 3 2 2 6 2 3" xfId="37110" xr:uid="{CC710F25-19EE-48A0-AE2F-531963C7AEBC}"/>
    <cellStyle name="注释 3 2 2 6 3" xfId="37109" xr:uid="{FB96FA7B-550A-45E8-A2BF-A6F65FB6347A}"/>
    <cellStyle name="注释 3 2 2 7" xfId="23255" xr:uid="{D7041E49-FAD4-4610-A642-01CDC518AE36}"/>
    <cellStyle name="注释 3 2 2 7 2" xfId="23256" xr:uid="{D2C5E818-2E5C-4A55-A1E7-8B532AF57C58}"/>
    <cellStyle name="注释 3 2 2 7 2 2" xfId="26622" xr:uid="{E9D14FED-DBD9-4EC6-A669-040E91B90648}"/>
    <cellStyle name="注释 3 2 2 7 2 2 2" xfId="37702" xr:uid="{F8A81165-800F-4595-8E59-A2F0E0B15F52}"/>
    <cellStyle name="注释 3 2 2 7 2 3" xfId="37111" xr:uid="{D6861177-416E-42B5-9556-1F33C17FA98F}"/>
    <cellStyle name="注释 3 2 2 7 3" xfId="38444" xr:uid="{D3078419-7BA9-46D6-84C0-A836DF56ED0B}"/>
    <cellStyle name="注释 3 2 2 8" xfId="23257" xr:uid="{CC9CEB19-F8E0-40B3-A016-2218550A8FCE}"/>
    <cellStyle name="注释 3 2 2 8 2" xfId="23258" xr:uid="{18E2852A-6333-4B35-8B92-1E9E7D7FF68A}"/>
    <cellStyle name="注释 3 2 2 8 2 2" xfId="26623" xr:uid="{59BE34F6-92DE-4714-A980-02CA50C3C3FA}"/>
    <cellStyle name="注释 3 2 2 8 2 2 2" xfId="37703" xr:uid="{AB0CA973-4ABC-428C-A499-FB4C9804DB9A}"/>
    <cellStyle name="注释 3 2 2 8 2 3" xfId="37113" xr:uid="{30B78CF6-C0E4-4F06-A4F5-209E183861DE}"/>
    <cellStyle name="注释 3 2 2 8 3" xfId="37112" xr:uid="{8ACC5938-A338-4B97-8E71-24D48637DB29}"/>
    <cellStyle name="注释 3 2 2 9" xfId="23259" xr:uid="{E54D5210-AF73-4F57-B9E1-63238B364DDD}"/>
    <cellStyle name="注释 3 2 2 9 2" xfId="23260" xr:uid="{8BB93960-D751-4505-9C23-7CFA9B5C01EC}"/>
    <cellStyle name="注释 3 2 2 9 2 2" xfId="26624" xr:uid="{A7B0C414-89E6-44F2-861E-54397D47D3EA}"/>
    <cellStyle name="注释 3 2 2 9 2 2 2" xfId="38723" xr:uid="{585A3204-CFF1-43F4-97DC-C6D2321EDB67}"/>
    <cellStyle name="注释 3 2 2 9 2 3" xfId="38445" xr:uid="{3D6D1B23-76D8-434F-8C19-28E3C3B2E33E}"/>
    <cellStyle name="注释 3 2 2 9 3" xfId="37114" xr:uid="{6DEEFAEF-E8CC-4D53-BC00-74AF651C7D6D}"/>
    <cellStyle name="注释 3 2 20" xfId="37088" xr:uid="{A8DF1CC6-2D84-4AC3-B73F-8135D7509AE2}"/>
    <cellStyle name="注释 3 2 3" xfId="23261" xr:uid="{1405FCCC-6A2E-4F2D-A293-6270D6F5CCD5}"/>
    <cellStyle name="注释 3 2 3 2" xfId="23262" xr:uid="{F7A28202-0B24-40E9-8594-1877039AD94F}"/>
    <cellStyle name="注释 3 2 3 2 2" xfId="26625" xr:uid="{2B316A12-D327-49AA-94FF-3ACE4339C1B1}"/>
    <cellStyle name="注释 3 2 3 2 2 2" xfId="37704" xr:uid="{205E26CE-9072-4E1D-BC93-951F7585197D}"/>
    <cellStyle name="注释 3 2 3 2 3" xfId="37116" xr:uid="{965371CB-AABB-42C7-ABEE-BD2E7D90C90D}"/>
    <cellStyle name="注释 3 2 3 3" xfId="37115" xr:uid="{0DE0C2F3-392F-4609-A1AD-AE38EE1929A5}"/>
    <cellStyle name="注释 3 2 4" xfId="23263" xr:uid="{6F7D387E-BA36-4E05-AE68-B6B39287037F}"/>
    <cellStyle name="注释 3 2 4 2" xfId="23264" xr:uid="{16AA134B-3F0B-4821-A6DC-0F510069A3D2}"/>
    <cellStyle name="注释 3 2 4 2 2" xfId="26626" xr:uid="{570F0545-E0BF-4D3C-84EA-7AABAF820C24}"/>
    <cellStyle name="注释 3 2 4 2 2 2" xfId="37705" xr:uid="{F385E44F-1B13-42F0-97EE-13C6CC3510CC}"/>
    <cellStyle name="注释 3 2 4 2 3" xfId="37117" xr:uid="{CFA0B0FE-CEC0-4109-940C-34CC34107A23}"/>
    <cellStyle name="注释 3 2 4 3" xfId="38446" xr:uid="{0E075299-648C-48ED-9511-15A49152FB01}"/>
    <cellStyle name="注释 3 2 5" xfId="23265" xr:uid="{894C2B77-169D-48F1-BC95-D7D6EC05821A}"/>
    <cellStyle name="注释 3 2 5 2" xfId="23266" xr:uid="{DCF48A62-29F2-4B03-AC7D-6E2F5F07F611}"/>
    <cellStyle name="注释 3 2 5 2 2" xfId="26627" xr:uid="{B09591E4-9E42-44FE-9594-C815305FB633}"/>
    <cellStyle name="注释 3 2 5 2 2 2" xfId="38724" xr:uid="{689A8FC1-003D-4D79-A4A4-8DCEF053D4C7}"/>
    <cellStyle name="注释 3 2 5 2 3" xfId="37118" xr:uid="{2D9C3973-E8DA-438C-845A-3F804CFCE161}"/>
    <cellStyle name="注释 3 2 5 3" xfId="38447" xr:uid="{E0038FB4-16DD-4442-AB8A-338F30D68C63}"/>
    <cellStyle name="注释 3 2 6" xfId="23267" xr:uid="{0EAD83E4-D974-4935-B112-A9429ACB3D40}"/>
    <cellStyle name="注释 3 2 6 2" xfId="23268" xr:uid="{94A596CA-A041-4FD8-A652-AAF64FECECCE}"/>
    <cellStyle name="注释 3 2 6 2 2" xfId="26628" xr:uid="{C879ECC2-6391-41AB-9781-AF345FBF720C}"/>
    <cellStyle name="注释 3 2 6 2 2 2" xfId="37706" xr:uid="{9B87E20C-E622-4074-B5CB-8AD92819B41A}"/>
    <cellStyle name="注释 3 2 6 2 3" xfId="37120" xr:uid="{7F3B90ED-3149-45C6-9636-7F79CE8633E9}"/>
    <cellStyle name="注释 3 2 6 3" xfId="37119" xr:uid="{8FE7A496-A4AC-47FB-B1B8-1BE7F13FECDD}"/>
    <cellStyle name="注释 3 2 7" xfId="23269" xr:uid="{AEC55198-E5F3-4735-80CB-DC16B008CFB5}"/>
    <cellStyle name="注释 3 2 7 2" xfId="23270" xr:uid="{FFE8C05A-B8BF-432A-AFE9-A0D64FCB93C0}"/>
    <cellStyle name="注释 3 2 7 2 2" xfId="26629" xr:uid="{80FFAF36-67A3-44A1-866A-4512F4FB3377}"/>
    <cellStyle name="注释 3 2 7 2 2 2" xfId="37707" xr:uid="{DC2A3F4B-F9CC-43F6-AE91-CFDDF5A18752}"/>
    <cellStyle name="注释 3 2 7 2 3" xfId="38448" xr:uid="{C8EBF762-AB39-4F5E-8E36-DB3D7F051DD7}"/>
    <cellStyle name="注释 3 2 7 3" xfId="37121" xr:uid="{F8693439-4A19-40EB-9D95-817BE2DE5026}"/>
    <cellStyle name="注释 3 2 8" xfId="23271" xr:uid="{670D0E9A-7347-4E42-B6B0-2D15CF57F260}"/>
    <cellStyle name="注释 3 2 8 2" xfId="23272" xr:uid="{62E1C471-7898-4499-9691-673106C0DB6F}"/>
    <cellStyle name="注释 3 2 8 2 2" xfId="26630" xr:uid="{69B55FDF-CE0B-432E-8C57-593095811889}"/>
    <cellStyle name="注释 3 2 8 2 2 2" xfId="38725" xr:uid="{F7E4CE68-74B3-4DFB-9BF4-49CC1E76FAB8}"/>
    <cellStyle name="注释 3 2 8 2 3" xfId="37123" xr:uid="{ABECA7D8-9205-4833-800D-A7C0E7B470EB}"/>
    <cellStyle name="注释 3 2 8 3" xfId="37122" xr:uid="{13C5FE53-7ADF-4E7E-90F7-7D8F7515250F}"/>
    <cellStyle name="注释 3 2 9" xfId="23273" xr:uid="{D26D99A6-9823-4C3E-8246-17AC495B47B1}"/>
    <cellStyle name="注释 3 2 9 2" xfId="23274" xr:uid="{87E69386-9289-4F66-9CAC-17910918FB3E}"/>
    <cellStyle name="注释 3 2 9 2 2" xfId="26631" xr:uid="{4AC0122F-F4E8-4539-ABF8-651B3D4E3414}"/>
    <cellStyle name="注释 3 2 9 2 2 2" xfId="37708" xr:uid="{EF25740A-8630-4163-81CE-529AC5FD4395}"/>
    <cellStyle name="注释 3 2 9 2 3" xfId="37124" xr:uid="{670AB000-F670-48E9-BF8B-143D04543CA8}"/>
    <cellStyle name="注释 3 2 9 3" xfId="38449" xr:uid="{7915DF2B-6C29-4E97-9269-3D4C488DB078}"/>
    <cellStyle name="注释 3 20" xfId="23275" xr:uid="{CBD37781-BF95-4629-AA11-AF16A5811D3A}"/>
    <cellStyle name="注释 3 20 2" xfId="38450" xr:uid="{9F299754-48BA-45AD-A1C4-6479A07BF188}"/>
    <cellStyle name="注释 3 21" xfId="23276" xr:uid="{71EC41AF-86BD-45D4-9816-65E06812DB0E}"/>
    <cellStyle name="注释 3 21 2" xfId="37125" xr:uid="{CE52B9CD-0BEB-4DBD-A6B2-90D909C0FCDF}"/>
    <cellStyle name="注释 3 22" xfId="23277" xr:uid="{1C2E268F-8498-447E-ABC1-9C20B0F692CF}"/>
    <cellStyle name="注释 3 22 2" xfId="37126" xr:uid="{2D55DDBC-8249-41D9-9C4C-06C029DDF62F}"/>
    <cellStyle name="注释 3 23" xfId="23278" xr:uid="{FE4CC3B9-A8D3-4114-AF9B-3B0566F28BAA}"/>
    <cellStyle name="注释 3 23 2" xfId="23279" xr:uid="{67AEE916-9052-4A21-ADED-D9BCCE09FB39}"/>
    <cellStyle name="注释 3 23 2 2" xfId="26632" xr:uid="{6D2F7C21-439C-4732-88BA-C81E387CB0FF}"/>
    <cellStyle name="注释 3 23 2 2 2" xfId="37709" xr:uid="{0023F29E-2879-48E3-9744-26A993A52C37}"/>
    <cellStyle name="注释 3 23 2 3" xfId="38451" xr:uid="{2CC9A627-26AA-40FD-A587-67F99DC17D8D}"/>
    <cellStyle name="注释 3 23 3" xfId="37127" xr:uid="{F4F6AEF3-5848-4C64-9168-D30061FED870}"/>
    <cellStyle name="注释 3 24" xfId="23280" xr:uid="{CEF0EB0D-B279-4949-9F4A-1C392F516A4B}"/>
    <cellStyle name="注释 3 24 2" xfId="26633" xr:uid="{1C7DE236-ED3A-4448-926C-CA8151F3297B}"/>
    <cellStyle name="注释 3 24 2 2" xfId="38726" xr:uid="{FF2636A3-1CBE-431E-A872-AA06D30A4135}"/>
    <cellStyle name="注释 3 24 3" xfId="37128" xr:uid="{7ECBB05F-97E5-4839-AC56-40BB3F334F49}"/>
    <cellStyle name="注释 3 25" xfId="38432" xr:uid="{DB26D45F-3121-480B-963D-BA277A846CAC}"/>
    <cellStyle name="注释 3 3" xfId="23281" xr:uid="{20138482-24FC-4FA0-BE0B-EBD3E7AA3169}"/>
    <cellStyle name="注释 3 3 10" xfId="23282" xr:uid="{A83CFB00-9A19-428B-A935-E88C7738CA16}"/>
    <cellStyle name="注释 3 3 10 2" xfId="23283" xr:uid="{572B6F79-947C-4D5B-88D7-CBB4F61F75D3}"/>
    <cellStyle name="注释 3 3 10 2 2" xfId="26634" xr:uid="{F7A2CFB8-0540-45DE-B5E5-E0E3EEA6E5DB}"/>
    <cellStyle name="注释 3 3 10 2 2 2" xfId="37710" xr:uid="{BD94E451-6510-46C6-B330-ED7082CDF95C}"/>
    <cellStyle name="注释 3 3 10 2 3" xfId="37130" xr:uid="{C64C8945-151A-4DD6-B204-71989DCF5346}"/>
    <cellStyle name="注释 3 3 10 3" xfId="38452" xr:uid="{4A1F8B2E-AD1D-4904-9823-46F2A5E45B43}"/>
    <cellStyle name="注释 3 3 11" xfId="23284" xr:uid="{D4D33ABA-2B05-4668-BC11-A91E56CA4E87}"/>
    <cellStyle name="注释 3 3 11 2" xfId="23285" xr:uid="{BF7352DE-51AF-4AB1-A63C-C4CD1CFCD43A}"/>
    <cellStyle name="注释 3 3 11 2 2" xfId="26635" xr:uid="{09646D4E-2D66-4CFD-B2F0-FDC22A5C4FFC}"/>
    <cellStyle name="注释 3 3 11 2 2 2" xfId="37711" xr:uid="{5927C311-F812-4FE6-A2FF-1C0BBEE8D45A}"/>
    <cellStyle name="注释 3 3 11 2 3" xfId="37131" xr:uid="{905D4871-9DA0-41E4-8236-24C70FC869ED}"/>
    <cellStyle name="注释 3 3 11 3" xfId="38453" xr:uid="{2FBC98AE-99D7-4215-AEE0-5B5A46EFC3B4}"/>
    <cellStyle name="注释 3 3 12" xfId="23286" xr:uid="{2DE085F0-8244-4B2C-A504-A4CBC6342A41}"/>
    <cellStyle name="注释 3 3 12 2" xfId="23287" xr:uid="{12B0B17C-B0A4-439C-A695-91E3AF08A636}"/>
    <cellStyle name="注释 3 3 12 2 2" xfId="26636" xr:uid="{CEB801E2-4325-481C-9A72-E511157DCD70}"/>
    <cellStyle name="注释 3 3 12 2 2 2" xfId="38727" xr:uid="{366625B4-015E-499F-9DED-15EB0F79D6E1}"/>
    <cellStyle name="注释 3 3 12 2 3" xfId="37133" xr:uid="{8EE0F212-0FE2-4728-B954-1ABBA97C7896}"/>
    <cellStyle name="注释 3 3 12 3" xfId="37132" xr:uid="{499F973C-0677-46FB-821E-92D6ACCF44E7}"/>
    <cellStyle name="注释 3 3 13" xfId="23288" xr:uid="{B23C3B82-4C3B-45BD-8485-CECEC6F08A0B}"/>
    <cellStyle name="注释 3 3 13 2" xfId="23289" xr:uid="{5647367E-EA8F-4A5C-9447-357C9E68077E}"/>
    <cellStyle name="注释 3 3 13 2 2" xfId="26637" xr:uid="{3580A77B-82DF-4D81-A316-4BD59B1EC546}"/>
    <cellStyle name="注释 3 3 13 2 2 2" xfId="37712" xr:uid="{C20B320F-0A66-43F3-B7C6-6C986AAEDEAA}"/>
    <cellStyle name="注释 3 3 13 2 3" xfId="35615" xr:uid="{BB65DE7C-42FB-42C1-9DC0-0DACE4A6B6C5}"/>
    <cellStyle name="注释 3 3 13 3" xfId="37134" xr:uid="{8BBE2EA0-5885-4971-A046-715D19F9A443}"/>
    <cellStyle name="注释 3 3 14" xfId="23290" xr:uid="{002E680A-A088-42F9-BD43-B40AFBC4817D}"/>
    <cellStyle name="注释 3 3 14 2" xfId="23291" xr:uid="{8F663A5B-E167-43C4-93E9-F023EE0C7EB6}"/>
    <cellStyle name="注释 3 3 14 2 2" xfId="26638" xr:uid="{7E3349AF-C0C1-4800-8225-6F31CC091B48}"/>
    <cellStyle name="注释 3 3 14 2 2 2" xfId="37713" xr:uid="{35315767-664B-40EA-B951-A3FD0C3A8C61}"/>
    <cellStyle name="注释 3 3 14 2 3" xfId="35619" xr:uid="{F5407147-006A-4312-88DE-AB8417582015}"/>
    <cellStyle name="注释 3 3 14 3" xfId="35616" xr:uid="{B29F5E9E-34C0-48E3-BC52-CB52B6BCA9DD}"/>
    <cellStyle name="注释 3 3 15" xfId="23292" xr:uid="{81EF2438-C01D-4A73-8C02-6D2677CAF57E}"/>
    <cellStyle name="注释 3 3 15 2" xfId="23293" xr:uid="{0857D207-910D-4C3E-B627-DFA32D1F42DA}"/>
    <cellStyle name="注释 3 3 15 2 2" xfId="26639" xr:uid="{AC52D1B7-6564-47AA-84B3-0E207996E9FC}"/>
    <cellStyle name="注释 3 3 15 2 2 2" xfId="38728" xr:uid="{167A4E45-BB1A-48F7-9AD5-1953BA46DB9F}"/>
    <cellStyle name="注释 3 3 15 2 3" xfId="38156" xr:uid="{235AC597-F528-49CA-88CE-12FCD9EA73CD}"/>
    <cellStyle name="注释 3 3 15 3" xfId="35620" xr:uid="{21AFD608-7E99-43B1-9DEF-0D6EAB0F3AF1}"/>
    <cellStyle name="注释 3 3 16" xfId="23294" xr:uid="{64643103-C25E-40AC-9371-2894707C04D9}"/>
    <cellStyle name="注释 3 3 16 2" xfId="26640" xr:uid="{82032E5F-2DE8-4C96-9B6D-07BC98C88CC0}"/>
    <cellStyle name="注释 3 3 16 2 2" xfId="37714" xr:uid="{7C67B8E3-3572-4E9A-AED8-675D35560773}"/>
    <cellStyle name="注释 3 3 16 3" xfId="35621" xr:uid="{42D665BD-0E51-4D34-9E9A-6EDCFB74A134}"/>
    <cellStyle name="注释 3 3 17" xfId="37129" xr:uid="{D0A20886-2C3C-400A-B048-2A9B968978B7}"/>
    <cellStyle name="注释 3 3 2" xfId="23295" xr:uid="{1536CA0B-963F-423A-8D3A-97A402266747}"/>
    <cellStyle name="注释 3 3 2 2" xfId="23296" xr:uid="{1EE1C1CA-0D56-45C6-A72B-43CC1EA86F64}"/>
    <cellStyle name="注释 3 3 2 2 2" xfId="26641" xr:uid="{FBE2F1F8-19A2-4A0C-B434-6F6DB7C8C318}"/>
    <cellStyle name="注释 3 3 2 2 2 2" xfId="37715" xr:uid="{C7503EA9-D531-4E54-AC08-E9B7692854C5}"/>
    <cellStyle name="注释 3 3 2 2 3" xfId="38157" xr:uid="{893F4646-5897-4B0F-B491-1BB652173548}"/>
    <cellStyle name="注释 3 3 2 3" xfId="35622" xr:uid="{81BD4607-A222-4D39-BD47-651847527C1F}"/>
    <cellStyle name="注释 3 3 3" xfId="23297" xr:uid="{E98AC8BD-D025-4AAA-8B65-20BA3FEC32A7}"/>
    <cellStyle name="注释 3 3 3 2" xfId="23298" xr:uid="{A207FFBB-110B-49B4-9D74-29E0B3E7EBE7}"/>
    <cellStyle name="注释 3 3 3 2 2" xfId="26642" xr:uid="{FCC158AE-0F1F-4B9A-907E-3DAA96F655CF}"/>
    <cellStyle name="注释 3 3 3 2 2 2" xfId="38729" xr:uid="{FC640B26-60A9-4895-A281-22584AD03F77}"/>
    <cellStyle name="注释 3 3 3 2 3" xfId="35624" xr:uid="{9E836830-6823-4601-825F-9C47E4948670}"/>
    <cellStyle name="注释 3 3 3 3" xfId="35623" xr:uid="{1E310123-9F59-41E6-8892-112A0854551B}"/>
    <cellStyle name="注释 3 3 4" xfId="23299" xr:uid="{594005FF-FBBC-4AFC-8EC9-D924E2448BE0}"/>
    <cellStyle name="注释 3 3 4 2" xfId="23300" xr:uid="{EDD265E3-144A-4156-8039-EB4F0AF7FD61}"/>
    <cellStyle name="注释 3 3 4 2 2" xfId="26643" xr:uid="{242C218D-15CC-4AA4-9C79-3621E3C89B2E}"/>
    <cellStyle name="注释 3 3 4 2 2 2" xfId="37716" xr:uid="{F745009E-84F1-47CC-9CD1-F77F869B4F0D}"/>
    <cellStyle name="注释 3 3 4 2 3" xfId="35626" xr:uid="{94C3E908-818B-496F-BC92-2BCA7C35D3B7}"/>
    <cellStyle name="注释 3 3 4 3" xfId="35625" xr:uid="{84627659-C888-4400-9775-E8032D2F5C41}"/>
    <cellStyle name="注释 3 3 5" xfId="23301" xr:uid="{1933A4C1-C489-4D89-B0E9-FBA8D1B3A0FE}"/>
    <cellStyle name="注释 3 3 5 2" xfId="23302" xr:uid="{A16DE168-116A-4826-A30D-99F918BF492F}"/>
    <cellStyle name="注释 3 3 5 2 2" xfId="26644" xr:uid="{CEE1EE59-83A9-4445-AFF1-6411B2EC9D99}"/>
    <cellStyle name="注释 3 3 5 2 2 2" xfId="37717" xr:uid="{623ED995-36EF-4DB3-9BDE-2F85EA0F8FFF}"/>
    <cellStyle name="注释 3 3 5 2 3" xfId="35628" xr:uid="{700042FE-6E58-47D4-9E7D-D89A7134F3CC}"/>
    <cellStyle name="注释 3 3 5 3" xfId="35627" xr:uid="{8986AAD2-8FE2-4FFB-9908-A3DF5BE20E31}"/>
    <cellStyle name="注释 3 3 6" xfId="23303" xr:uid="{EA956059-0B80-4B70-8280-CF3A5EE4C8C3}"/>
    <cellStyle name="注释 3 3 6 2" xfId="23304" xr:uid="{D4C146A3-21E4-44DF-8E36-1D111C754161}"/>
    <cellStyle name="注释 3 3 6 2 2" xfId="26645" xr:uid="{9406772F-38B0-4FAB-A211-027A03C4993C}"/>
    <cellStyle name="注释 3 3 6 2 2 2" xfId="38730" xr:uid="{BCED51EA-C51E-4AA5-BC9E-2EC2281DD27B}"/>
    <cellStyle name="注释 3 3 6 2 3" xfId="35630" xr:uid="{1E496822-6B95-4A7E-AAC6-B31857D38587}"/>
    <cellStyle name="注释 3 3 6 3" xfId="35629" xr:uid="{FC7C0C25-8630-4C7C-B76D-3BD0F07DFD36}"/>
    <cellStyle name="注释 3 3 7" xfId="23305" xr:uid="{8A693069-52A2-4890-8311-3ECD48A57FA3}"/>
    <cellStyle name="注释 3 3 7 2" xfId="23306" xr:uid="{988ED870-C24D-4B46-8C4F-963081F3EE20}"/>
    <cellStyle name="注释 3 3 7 2 2" xfId="26646" xr:uid="{B2137356-7662-4063-824E-5556D414775A}"/>
    <cellStyle name="注释 3 3 7 2 2 2" xfId="37718" xr:uid="{2343CA7B-3A3E-4249-8AA1-5A348F41A83E}"/>
    <cellStyle name="注释 3 3 7 2 3" xfId="35632" xr:uid="{C3FDB58C-FACE-4AB6-BD9E-EA38FFBB359C}"/>
    <cellStyle name="注释 3 3 7 3" xfId="35631" xr:uid="{32739266-9178-4CEA-8A43-4E24A4901458}"/>
    <cellStyle name="注释 3 3 8" xfId="23307" xr:uid="{EF1EEF59-B272-4CF9-BC46-41228655568E}"/>
    <cellStyle name="注释 3 3 8 2" xfId="23308" xr:uid="{23DD9362-A28E-4849-AB7A-15546D38EC0A}"/>
    <cellStyle name="注释 3 3 8 2 2" xfId="26647" xr:uid="{DC21D88B-6851-4DEC-BC7E-E3ACA3987CA7}"/>
    <cellStyle name="注释 3 3 8 2 2 2" xfId="37719" xr:uid="{1524154D-B772-4992-98E8-92B23AB412C4}"/>
    <cellStyle name="注释 3 3 8 2 3" xfId="35634" xr:uid="{38EF6F50-4E6D-4143-B135-27BFEAC58D78}"/>
    <cellStyle name="注释 3 3 8 3" xfId="35633" xr:uid="{1227DD28-C302-4643-8647-9301FF9140D2}"/>
    <cellStyle name="注释 3 3 9" xfId="23309" xr:uid="{E6890E30-4029-426F-AACB-3AAE84C2380A}"/>
    <cellStyle name="注释 3 3 9 2" xfId="23310" xr:uid="{26DEEA5D-12E3-4632-87E6-6CAB7D0EE782}"/>
    <cellStyle name="注释 3 3 9 2 2" xfId="26648" xr:uid="{482EEEC8-2093-4028-8C98-5624E54C4639}"/>
    <cellStyle name="注释 3 3 9 2 2 2" xfId="38731" xr:uid="{4B2C58C6-B378-40AA-BE1F-17E5A42CA7E4}"/>
    <cellStyle name="注释 3 3 9 2 3" xfId="35635" xr:uid="{74D4804D-64ED-4E13-8E1D-265F1737BBAD}"/>
    <cellStyle name="注释 3 3 9 3" xfId="38158" xr:uid="{5B6E5578-AC01-4019-945B-1636F0FD58F0}"/>
    <cellStyle name="注释 3 4" xfId="23311" xr:uid="{AF6F7AAE-26D2-4E7F-A547-A870D4903D28}"/>
    <cellStyle name="注释 3 4 2" xfId="35636" xr:uid="{D408CCAA-CB54-489D-841B-BD53897E1ED0}"/>
    <cellStyle name="注释 3 5" xfId="23312" xr:uid="{D4D63173-F3AB-47FD-87EE-93B590049CFB}"/>
    <cellStyle name="注释 3 5 2" xfId="35637" xr:uid="{3A4F5867-FF4F-4EAA-9AF6-993ADB0A249E}"/>
    <cellStyle name="注释 3 6" xfId="23313" xr:uid="{F49DCDC6-08C0-4884-A066-5800A8E39114}"/>
    <cellStyle name="注释 3 6 2" xfId="38159" xr:uid="{E0D2D4A3-DD12-4CFC-8D8D-2BA73A6D53AF}"/>
    <cellStyle name="注释 3 7" xfId="23314" xr:uid="{32993585-174B-40CB-910E-A598BA5BE8D7}"/>
    <cellStyle name="注释 3 7 2" xfId="35638" xr:uid="{496E27FB-50DA-4085-891D-8167C52119E8}"/>
    <cellStyle name="注释 3 8" xfId="23315" xr:uid="{D89AC5DE-F341-49ED-9528-F19564B6E96F}"/>
    <cellStyle name="注释 3 8 2" xfId="35639" xr:uid="{265D371D-9F45-4814-9871-03423F70FDE2}"/>
    <cellStyle name="注释 3 9" xfId="23316" xr:uid="{1C69AEE9-F6CE-44BB-9D32-9601A8C423AD}"/>
    <cellStyle name="注释 3 9 2" xfId="38161" xr:uid="{171A5D1D-1106-4949-B3B2-377F480D3C19}"/>
    <cellStyle name="注释 4" xfId="23317" xr:uid="{F22CA1A6-EDF0-42C4-950A-8E05D9E79DCD}"/>
    <cellStyle name="注释 4 10" xfId="23318" xr:uid="{5D07C784-1A8D-4186-82CA-9FF0AB05DECE}"/>
    <cellStyle name="注释 4 10 2" xfId="23319" xr:uid="{F16271DA-AA61-4A5B-AB6F-15186E8C6CCA}"/>
    <cellStyle name="注释 4 10 2 2" xfId="26649" xr:uid="{7BDD0CB1-1C4F-402D-B710-FF48A34D72C2}"/>
    <cellStyle name="注释 4 10 2 2 2" xfId="37720" xr:uid="{1DBEC963-BF99-4DDC-A768-1076030367BB}"/>
    <cellStyle name="注释 4 10 2 3" xfId="35641" xr:uid="{2FB1128A-EFF8-4526-AC6C-5596C2B4CC14}"/>
    <cellStyle name="注释 4 10 3" xfId="35640" xr:uid="{4D9331A1-37A4-441F-BC14-FC8C3E5B8372}"/>
    <cellStyle name="注释 4 11" xfId="23320" xr:uid="{396DC3FD-C751-4AB4-AF4E-66B816A9D32C}"/>
    <cellStyle name="注释 4 11 2" xfId="23321" xr:uid="{6A4A32E4-8107-4EC8-A45C-4D5EFB1EA8CE}"/>
    <cellStyle name="注释 4 11 2 2" xfId="26650" xr:uid="{51399C80-71F2-4E56-A856-4B0C83D9AD75}"/>
    <cellStyle name="注释 4 11 2 2 2" xfId="37721" xr:uid="{A4CBD7B7-7163-4DAE-8F71-AFC16445536C}"/>
    <cellStyle name="注释 4 11 2 3" xfId="35643" xr:uid="{8188CB7E-93CD-4FA7-9DFD-21BB48F9EE3A}"/>
    <cellStyle name="注释 4 11 3" xfId="35642" xr:uid="{AD13E545-DA47-40C8-A546-88E71E744D4C}"/>
    <cellStyle name="注释 4 12" xfId="23322" xr:uid="{7AF2086F-E36F-4001-A02E-576F6380BA56}"/>
    <cellStyle name="注释 4 12 2" xfId="23323" xr:uid="{EC361A7D-4620-4DE6-A921-BDC573E2C6E3}"/>
    <cellStyle name="注释 4 12 2 2" xfId="26651" xr:uid="{01AF90A8-2BC9-4072-9E63-2D287AFDC623}"/>
    <cellStyle name="注释 4 12 2 2 2" xfId="38732" xr:uid="{E00856DA-F354-4E0F-8D62-4ED2D6DE51AC}"/>
    <cellStyle name="注释 4 12 2 3" xfId="35645" xr:uid="{53980E70-B633-4CAC-9FCC-357E21873AB5}"/>
    <cellStyle name="注释 4 12 3" xfId="35644" xr:uid="{4E7582CE-F70E-4A89-9AE5-19C6F0743C33}"/>
    <cellStyle name="注释 4 13" xfId="23324" xr:uid="{1F4C6EAB-0F94-47B6-9619-57A13EF1EB9E}"/>
    <cellStyle name="注释 4 13 2" xfId="23325" xr:uid="{B3226F5C-F83E-4EE0-87F9-DD3188456461}"/>
    <cellStyle name="注释 4 13 2 2" xfId="26652" xr:uid="{DF75BCC2-925A-4F3D-AF69-C4AE51A1108C}"/>
    <cellStyle name="注释 4 13 2 2 2" xfId="37722" xr:uid="{95D0C87F-A736-490B-9634-E931E91A7DA0}"/>
    <cellStyle name="注释 4 13 2 3" xfId="35647" xr:uid="{A8F0B5B5-3B81-486E-A1F6-9EE925587974}"/>
    <cellStyle name="注释 4 13 3" xfId="35646" xr:uid="{14CBF83C-B5DA-4433-B264-64CC678754EB}"/>
    <cellStyle name="注释 4 14" xfId="23326" xr:uid="{881C0B47-816C-478B-B26A-13A0A58C382F}"/>
    <cellStyle name="注释 4 14 2" xfId="23327" xr:uid="{94225766-B973-429C-A83F-1A8F85FFF058}"/>
    <cellStyle name="注释 4 14 2 2" xfId="26653" xr:uid="{3BEDA766-3B28-401A-A4D6-3CA20DA1FC18}"/>
    <cellStyle name="注释 4 14 2 2 2" xfId="37723" xr:uid="{F7EF7DBE-D66C-45F5-80F1-F21D6ACF325C}"/>
    <cellStyle name="注释 4 14 2 3" xfId="38162" xr:uid="{29632E06-B946-400D-AD39-454576289CF3}"/>
    <cellStyle name="注释 4 14 3" xfId="35648" xr:uid="{CFEFECCB-ADB0-4162-9C5C-C92857268BA2}"/>
    <cellStyle name="注释 4 15" xfId="23328" xr:uid="{F435B937-665C-4518-BCD0-3A6F2D255A36}"/>
    <cellStyle name="注释 4 15 2" xfId="23329" xr:uid="{85B09340-A864-4FF6-AE74-9EEF53B9D1CB}"/>
    <cellStyle name="注释 4 15 2 2" xfId="26654" xr:uid="{1846FDEB-CF63-497E-BA5E-518D6A420600}"/>
    <cellStyle name="注释 4 15 2 2 2" xfId="38733" xr:uid="{7E8B608C-9253-46DE-A6BC-C8E34DA8356A}"/>
    <cellStyle name="注释 4 15 2 3" xfId="35650" xr:uid="{B49FF00C-C302-4629-93DF-FF85BA49FDA5}"/>
    <cellStyle name="注释 4 15 3" xfId="35649" xr:uid="{36D3B311-E7EB-4147-92FE-795B83154049}"/>
    <cellStyle name="注释 4 16" xfId="23330" xr:uid="{422A15BA-ED6B-4492-914B-F484CE7A193E}"/>
    <cellStyle name="注释 4 16 2" xfId="23331" xr:uid="{70F1E41C-CFD8-42FE-BED7-07BB71C846A9}"/>
    <cellStyle name="注释 4 16 2 2" xfId="26655" xr:uid="{31B9712C-CC32-4623-ABC9-AED9466CAFDF}"/>
    <cellStyle name="注释 4 16 2 2 2" xfId="37724" xr:uid="{0E239874-2125-4C4E-949A-0B7FCAA2F9CA}"/>
    <cellStyle name="注释 4 16 2 3" xfId="35652" xr:uid="{E881340F-8A62-4043-93DA-BF6E05E14485}"/>
    <cellStyle name="注释 4 16 3" xfId="35651" xr:uid="{183286B7-8C54-4D6B-89E1-D1FD3F74F0A6}"/>
    <cellStyle name="注释 4 17" xfId="23332" xr:uid="{70CB630F-6356-4A7A-BC2D-CC94DB67FEA1}"/>
    <cellStyle name="注释 4 17 2" xfId="23333" xr:uid="{46774C51-2285-4636-AAEF-49895BBE090F}"/>
    <cellStyle name="注释 4 17 2 2" xfId="26656" xr:uid="{74DC60C1-7F46-4B39-AA6F-C006902343CF}"/>
    <cellStyle name="注释 4 17 2 2 2" xfId="37725" xr:uid="{CFDA1B18-FB15-469E-86CB-41110C0B87E1}"/>
    <cellStyle name="注释 4 17 2 3" xfId="35654" xr:uid="{FD220C22-7BD6-4718-B873-63E0D0943761}"/>
    <cellStyle name="注释 4 17 3" xfId="35653" xr:uid="{EFAD166D-24CE-485B-B747-9E4C4F671DFB}"/>
    <cellStyle name="注释 4 18" xfId="23334" xr:uid="{804A0E40-BC1D-4B21-96D8-4374256A4E01}"/>
    <cellStyle name="注释 4 18 2" xfId="23335" xr:uid="{F0307417-F611-45AE-9FCB-EC0568D54522}"/>
    <cellStyle name="注释 4 18 2 2" xfId="26657" xr:uid="{E8E0A9E9-A03F-4F10-B4A6-682E3BCFEBAC}"/>
    <cellStyle name="注释 4 18 2 2 2" xfId="38734" xr:uid="{BBE52ED1-A5F0-460E-BAA6-A5549A54DE8A}"/>
    <cellStyle name="注释 4 18 2 3" xfId="35656" xr:uid="{EE5FB151-1DF8-44F0-9A95-DAFADB5F51B0}"/>
    <cellStyle name="注释 4 18 3" xfId="35655" xr:uid="{B302B69F-064A-49D5-B14F-0CBD9DF91326}"/>
    <cellStyle name="注释 4 19" xfId="23336" xr:uid="{F8024E03-CBAB-4517-BF8E-B5EBD2269611}"/>
    <cellStyle name="注释 4 19 2" xfId="26658" xr:uid="{A7D0622A-8D9D-4931-BD5C-9208EFA812D9}"/>
    <cellStyle name="注释 4 19 2 2" xfId="37278" xr:uid="{FCDE58DA-886D-4F03-AFB4-1F11794724BB}"/>
    <cellStyle name="注释 4 19 3" xfId="35657" xr:uid="{1182577F-9949-49EB-AE66-30C0A5381F3B}"/>
    <cellStyle name="注释 4 2" xfId="23337" xr:uid="{80C23C43-74AA-47E1-AC15-D274627337DE}"/>
    <cellStyle name="注释 4 2 10" xfId="23338" xr:uid="{13F800E6-6B35-4881-B3B3-AA7F821ABB5E}"/>
    <cellStyle name="注释 4 2 10 2" xfId="23339" xr:uid="{FD3B3CA9-09A0-4FD3-9C53-03516D29A3B2}"/>
    <cellStyle name="注释 4 2 10 2 2" xfId="26659" xr:uid="{1A2519DA-FDE9-45D2-A5D7-8E1E4974BB0F}"/>
    <cellStyle name="注释 4 2 10 2 2 2" xfId="28042" xr:uid="{36734F99-C98A-4964-BA52-054C42C828C4}"/>
    <cellStyle name="注释 4 2 10 2 3" xfId="35660" xr:uid="{C0CE5252-C1D8-4BBD-BAD8-034B032F96D9}"/>
    <cellStyle name="注释 4 2 10 3" xfId="35659" xr:uid="{50913542-2FD0-4E7A-A222-53838F2C5CE1}"/>
    <cellStyle name="注释 4 2 11" xfId="23340" xr:uid="{D3D079DD-C188-451B-A390-0247B9B9C15E}"/>
    <cellStyle name="注释 4 2 11 2" xfId="23341" xr:uid="{D9CABA13-6673-412C-88B5-9BC858978E9E}"/>
    <cellStyle name="注释 4 2 11 2 2" xfId="26660" xr:uid="{AD19723F-C3E2-4892-95FA-41C9F3952AA4}"/>
    <cellStyle name="注释 4 2 11 2 2 2" xfId="37279" xr:uid="{0603EAB3-D752-468F-A2B8-30926D410643}"/>
    <cellStyle name="注释 4 2 11 2 3" xfId="35662" xr:uid="{C70A7960-163B-43FA-B770-E669F0EA8400}"/>
    <cellStyle name="注释 4 2 11 3" xfId="35661" xr:uid="{37BCAB8F-469B-4227-8850-8C581433952C}"/>
    <cellStyle name="注释 4 2 12" xfId="23342" xr:uid="{99F95BC7-D3B9-4F08-9607-366DE474D25D}"/>
    <cellStyle name="注释 4 2 12 2" xfId="23343" xr:uid="{4D54866C-5E9D-45ED-8EA4-0FBE0F97924D}"/>
    <cellStyle name="注释 4 2 12 2 2" xfId="26661" xr:uid="{0F246E7B-21D1-46D7-9B46-EE6FABA462B3}"/>
    <cellStyle name="注释 4 2 12 2 2 2" xfId="37849" xr:uid="{5910A99E-D2DB-4D3D-9382-2AE61A706603}"/>
    <cellStyle name="注释 4 2 12 2 3" xfId="35664" xr:uid="{0199D437-EDD9-4E95-9E3A-F11136B7177B}"/>
    <cellStyle name="注释 4 2 12 3" xfId="35663" xr:uid="{71F287CC-C862-401F-935C-47137BFDB602}"/>
    <cellStyle name="注释 4 2 13" xfId="23344" xr:uid="{F3CBCA45-AFA9-442B-A282-EBCA689A5852}"/>
    <cellStyle name="注释 4 2 13 2" xfId="23345" xr:uid="{DAA140A2-C791-4EEE-B3E3-B467436ECDB7}"/>
    <cellStyle name="注释 4 2 13 2 2" xfId="26662" xr:uid="{AED84BE0-CA86-46D7-80DA-4E9E5236BCAD}"/>
    <cellStyle name="注释 4 2 13 2 2 2" xfId="37280" xr:uid="{60601128-4844-4468-B3B9-C52BCF09FBBE}"/>
    <cellStyle name="注释 4 2 13 2 3" xfId="27438" xr:uid="{EC3A2E10-3C5A-4D50-9D0C-0AC189377FE6}"/>
    <cellStyle name="注释 4 2 13 3" xfId="35665" xr:uid="{ECDC1C0D-AE46-4763-A037-57D4846B46B7}"/>
    <cellStyle name="注释 4 2 14" xfId="23346" xr:uid="{B5B6AB2D-E73D-496C-995C-67FD7AA3C66C}"/>
    <cellStyle name="注释 4 2 14 2" xfId="23347" xr:uid="{9875E22F-82D3-43B4-93A5-551F30769F48}"/>
    <cellStyle name="注释 4 2 14 2 2" xfId="26663" xr:uid="{7F032A73-F87E-4B51-B579-22F06E06258D}"/>
    <cellStyle name="注释 4 2 14 2 2 2" xfId="38523" xr:uid="{D29933B2-1E82-4C7D-83BB-62A920BAE443}"/>
    <cellStyle name="注释 4 2 14 2 3" xfId="35667" xr:uid="{2B4685EC-0D99-488A-848A-638C0A4CB49D}"/>
    <cellStyle name="注释 4 2 14 3" xfId="35666" xr:uid="{B3811AA2-F30A-481A-AAC9-BE5AF041CDBD}"/>
    <cellStyle name="注释 4 2 15" xfId="23348" xr:uid="{67F7B63B-E119-4DFA-981A-0A1A41B10B37}"/>
    <cellStyle name="注释 4 2 15 2" xfId="23349" xr:uid="{2242D2BF-6D93-46ED-BEE1-C429C7B11D37}"/>
    <cellStyle name="注释 4 2 15 2 2" xfId="26664" xr:uid="{BA9178B3-A70C-49CF-B3FA-DEE6680FB248}"/>
    <cellStyle name="注释 4 2 15 2 2 2" xfId="28043" xr:uid="{8C991936-145D-462D-AD17-E31F3B584B93}"/>
    <cellStyle name="注释 4 2 15 2 3" xfId="35669" xr:uid="{CC47228B-C7AC-4B88-8400-4F3924AA8F9C}"/>
    <cellStyle name="注释 4 2 15 3" xfId="35668" xr:uid="{ABF352D3-5D2E-454E-B801-3F9BE09AD325}"/>
    <cellStyle name="注释 4 2 16" xfId="23350" xr:uid="{4A0022EC-F677-4227-B58D-00FCBF1FDC4C}"/>
    <cellStyle name="注释 4 2 16 2" xfId="26665" xr:uid="{94C91979-9A09-409E-B1A5-D8B1367B51D8}"/>
    <cellStyle name="注释 4 2 16 2 2" xfId="37281" xr:uid="{32570BD1-DC37-4A1E-B916-450903DBB00B}"/>
    <cellStyle name="注释 4 2 16 3" xfId="35670" xr:uid="{055F2011-DCCA-4B8F-96E5-ACAC9BB80BDF}"/>
    <cellStyle name="注释 4 2 17" xfId="35658" xr:uid="{384F19A0-25AB-4741-AEE9-B6CE3A60B4E7}"/>
    <cellStyle name="注释 4 2 2" xfId="23351" xr:uid="{7B8B1BB5-0AF8-4CC5-B060-7A95F3926091}"/>
    <cellStyle name="注释 4 2 2 2" xfId="23352" xr:uid="{4BA8A494-8739-461C-A8A2-852ACEAB920D}"/>
    <cellStyle name="注释 4 2 2 2 2" xfId="26666" xr:uid="{D35491CC-C963-4216-AA62-EBE0D09DF1CD}"/>
    <cellStyle name="注释 4 2 2 2 2 2" xfId="37282" xr:uid="{359BA044-4004-4475-B4D1-6ED5591546DB}"/>
    <cellStyle name="注释 4 2 2 2 3" xfId="35672" xr:uid="{30B4A2B4-BF73-462F-BA54-71BA1152FED0}"/>
    <cellStyle name="注释 4 2 2 3" xfId="35671" xr:uid="{CFFD3DF3-3865-4475-91C4-1EDFB6349998}"/>
    <cellStyle name="注释 4 2 3" xfId="23353" xr:uid="{67499A96-151B-4094-B1A1-1A3A04A38655}"/>
    <cellStyle name="注释 4 2 3 2" xfId="23354" xr:uid="{DBB17AFE-8297-473E-8FD9-EA8EDB7FA083}"/>
    <cellStyle name="注释 4 2 3 2 2" xfId="26667" xr:uid="{5392C5CA-3361-4B02-9396-0F2C74CAD0A6}"/>
    <cellStyle name="注释 4 2 3 2 2 2" xfId="38524" xr:uid="{6A1D599D-333B-478A-80A2-BBFB6A1A5E91}"/>
    <cellStyle name="注释 4 2 3 2 3" xfId="35674" xr:uid="{B48DF152-CA33-45F9-9D37-904784EB4756}"/>
    <cellStyle name="注释 4 2 3 3" xfId="35673" xr:uid="{4301F650-1199-466E-ACF7-11E911021C58}"/>
    <cellStyle name="注释 4 2 4" xfId="23355" xr:uid="{618FBA1F-2260-494C-86F5-F3B5D8C6F5F8}"/>
    <cellStyle name="注释 4 2 4 2" xfId="23356" xr:uid="{2F2CCFEE-325E-4A05-BA46-273054999946}"/>
    <cellStyle name="注释 4 2 4 2 2" xfId="26668" xr:uid="{B4BB4C19-138D-4F91-8AFB-E54939B05D40}"/>
    <cellStyle name="注释 4 2 4 2 2 2" xfId="37283" xr:uid="{AD755064-7CCC-4BBD-AE2D-79959E489A86}"/>
    <cellStyle name="注释 4 2 4 2 3" xfId="35676" xr:uid="{49961FCC-C534-44FD-AFD4-E94D9C12CC0A}"/>
    <cellStyle name="注释 4 2 4 3" xfId="35675" xr:uid="{F13F7781-977A-4D54-8457-5566176A7536}"/>
    <cellStyle name="注释 4 2 5" xfId="23357" xr:uid="{B49F5D4B-2704-4968-A234-F2E2B57B3937}"/>
    <cellStyle name="注释 4 2 5 2" xfId="23358" xr:uid="{9855FFD0-B9BD-436A-B0DD-FE446B227962}"/>
    <cellStyle name="注释 4 2 5 2 2" xfId="26669" xr:uid="{45AD9663-023C-418B-9CBA-CDDCC27AEC92}"/>
    <cellStyle name="注释 4 2 5 2 2 2" xfId="28044" xr:uid="{B7AC5A20-3875-4FB5-9528-FA44D88C3956}"/>
    <cellStyle name="注释 4 2 5 2 3" xfId="35678" xr:uid="{9A38E84E-F064-476B-A68A-E9122D07FF10}"/>
    <cellStyle name="注释 4 2 5 3" xfId="35677" xr:uid="{69DDEFC7-A9FF-4651-A3A4-E395295120FB}"/>
    <cellStyle name="注释 4 2 6" xfId="23359" xr:uid="{9EE8EEC8-01C9-4521-BA51-6A826732BEA0}"/>
    <cellStyle name="注释 4 2 6 2" xfId="23360" xr:uid="{1B381E96-EE82-474F-9201-E1D5BAC52492}"/>
    <cellStyle name="注释 4 2 6 2 2" xfId="26670" xr:uid="{4E007136-B849-4FCD-984A-9597E5CEC165}"/>
    <cellStyle name="注释 4 2 6 2 2 2" xfId="37284" xr:uid="{5E882911-D2D6-4932-8FD3-8CB2163D334F}"/>
    <cellStyle name="注释 4 2 6 2 3" xfId="35680" xr:uid="{8CF3C6AF-4419-46AC-9487-905E02644367}"/>
    <cellStyle name="注释 4 2 6 3" xfId="35679" xr:uid="{8BA7D0B0-33CD-4AEC-ADD6-A932EA1A670E}"/>
    <cellStyle name="注释 4 2 7" xfId="23361" xr:uid="{513A43A5-BD5A-4608-92C9-99D2568BA534}"/>
    <cellStyle name="注释 4 2 7 2" xfId="23362" xr:uid="{55A09E2A-1883-4A86-B77E-0EFEE11C3A15}"/>
    <cellStyle name="注释 4 2 7 2 2" xfId="26671" xr:uid="{5A781328-358E-4A19-AAA7-F27C9B79C8D9}"/>
    <cellStyle name="注释 4 2 7 2 2 2" xfId="38525" xr:uid="{FB0A3DAF-EA22-462E-8710-F5F621C3EBB7}"/>
    <cellStyle name="注释 4 2 7 2 3" xfId="35682" xr:uid="{10A42AEF-1D5F-4D1B-A226-4DEAFA8F4F96}"/>
    <cellStyle name="注释 4 2 7 3" xfId="35681" xr:uid="{DD515501-C7FC-4C69-BEE3-B0283F85510C}"/>
    <cellStyle name="注释 4 2 8" xfId="23363" xr:uid="{2528B70B-2776-4A8A-A173-609A679003DA}"/>
    <cellStyle name="注释 4 2 8 2" xfId="23364" xr:uid="{FC6B1C6B-BA8C-43F0-B904-F8C9291B3BD1}"/>
    <cellStyle name="注释 4 2 8 2 2" xfId="26672" xr:uid="{CB60F2D9-9522-456C-A00A-783FF4BABD6E}"/>
    <cellStyle name="注释 4 2 8 2 2 2" xfId="37285" xr:uid="{CB3149D0-4F51-4890-A3FB-DC0D3741C641}"/>
    <cellStyle name="注释 4 2 8 2 3" xfId="35684" xr:uid="{33B55168-4290-4A18-8CA5-F2A64C66B48F}"/>
    <cellStyle name="注释 4 2 8 3" xfId="35683" xr:uid="{892F2A31-3E04-4DAE-96D2-FF9F617B0E80}"/>
    <cellStyle name="注释 4 2 9" xfId="23365" xr:uid="{F7726173-AA4D-4F55-B9F0-6235DF00540D}"/>
    <cellStyle name="注释 4 2 9 2" xfId="23366" xr:uid="{AC506D8A-6110-4285-8AFE-014A6D88BE63}"/>
    <cellStyle name="注释 4 2 9 2 2" xfId="26673" xr:uid="{23569A5D-609B-4A2C-8AEA-5A069A8CEA98}"/>
    <cellStyle name="注释 4 2 9 2 2 2" xfId="28045" xr:uid="{4BA9272F-6C58-4762-82B4-1F48F89FBCB0}"/>
    <cellStyle name="注释 4 2 9 2 3" xfId="35686" xr:uid="{82F1C3EE-D975-416A-B52E-5E666A28CF4A}"/>
    <cellStyle name="注释 4 2 9 3" xfId="35685" xr:uid="{228D14A6-D5A3-49CB-9E64-8600B49AA441}"/>
    <cellStyle name="注释 4 20" xfId="38160" xr:uid="{C5E5F0F9-7E13-4680-93C6-0319C43F4015}"/>
    <cellStyle name="注释 4 3" xfId="23367" xr:uid="{08435B45-7DA3-4343-8144-7449F2CFA971}"/>
    <cellStyle name="注释 4 3 2" xfId="23368" xr:uid="{1EC9FA1F-E4FB-4403-B10C-D3A579FBBAA7}"/>
    <cellStyle name="注释 4 3 2 2" xfId="26674" xr:uid="{025EDDDF-7954-4E77-86DB-72FF241F7CBD}"/>
    <cellStyle name="注释 4 3 2 2 2" xfId="37286" xr:uid="{D49B52A8-6573-4755-8B41-B87A19B2A247}"/>
    <cellStyle name="注释 4 3 2 3" xfId="35688" xr:uid="{7C44B9C5-08B9-4C9B-ACB6-14783C863ED9}"/>
    <cellStyle name="注释 4 3 3" xfId="35687" xr:uid="{A7456B5F-7BD1-47DD-9D8E-14FFB1861822}"/>
    <cellStyle name="注释 4 4" xfId="23369" xr:uid="{9CFC101B-576F-466C-90BD-3277C53FFEBF}"/>
    <cellStyle name="注释 4 4 2" xfId="23370" xr:uid="{22064556-E937-43E4-9A5B-9C6CC2F86591}"/>
    <cellStyle name="注释 4 4 2 2" xfId="26675" xr:uid="{F62A63F8-8359-4324-930F-9553E5481A88}"/>
    <cellStyle name="注释 4 4 2 2 2" xfId="28046" xr:uid="{EBA47EE0-7F5D-490C-A4D8-ED58256B5F1B}"/>
    <cellStyle name="注释 4 4 2 3" xfId="35690" xr:uid="{EC21E184-19F0-459D-81BB-5DF6ED4FCC17}"/>
    <cellStyle name="注释 4 4 3" xfId="35689" xr:uid="{389328F6-B5A8-44B5-99AA-B445E6338761}"/>
    <cellStyle name="注释 4 5" xfId="23371" xr:uid="{C9DC11B0-AA86-4D92-B91E-E6280AE72C37}"/>
    <cellStyle name="注释 4 5 2" xfId="23372" xr:uid="{038C2FBF-14EC-4F3F-A7FA-2EB40C946DCA}"/>
    <cellStyle name="注释 4 5 2 2" xfId="26676" xr:uid="{CC0E55AA-FEAB-4CD9-B681-5C9A92611CAC}"/>
    <cellStyle name="注释 4 5 2 2 2" xfId="38526" xr:uid="{793FFA1A-ADD8-431A-9075-192B91AFB8D5}"/>
    <cellStyle name="注释 4 5 2 3" xfId="35692" xr:uid="{F9387291-4E6D-4155-858D-B4CDE12FF699}"/>
    <cellStyle name="注释 4 5 3" xfId="35691" xr:uid="{CDEC46A6-79AC-4CD9-83C0-BE449B8945DC}"/>
    <cellStyle name="注释 4 6" xfId="23373" xr:uid="{7D07245B-A713-4F62-BEFD-FAD8A77B632C}"/>
    <cellStyle name="注释 4 6 2" xfId="23374" xr:uid="{AC2A69F9-AF44-4B72-9408-60FEB060C8DE}"/>
    <cellStyle name="注释 4 6 2 2" xfId="26677" xr:uid="{37CD3F37-D2F2-410B-B36B-8AC035120AC2}"/>
    <cellStyle name="注释 4 6 2 2 2" xfId="37287" xr:uid="{A176531D-8696-45BA-A4D9-8D1C5E49B0A6}"/>
    <cellStyle name="注释 4 6 2 3" xfId="35694" xr:uid="{EF71066A-F0A3-4875-8188-057CE5EA4201}"/>
    <cellStyle name="注释 4 6 3" xfId="35693" xr:uid="{F0B13F9C-5EE3-41FE-AD8B-AC3F7607D4E0}"/>
    <cellStyle name="注释 4 7" xfId="23375" xr:uid="{D5292132-3080-4C1C-9DB4-4B43B62E1B7A}"/>
    <cellStyle name="注释 4 7 2" xfId="23376" xr:uid="{3E2B6FCC-C815-40D1-B196-53195E90377E}"/>
    <cellStyle name="注释 4 7 2 2" xfId="26678" xr:uid="{511427C6-E248-4E72-B389-67EBB9B54920}"/>
    <cellStyle name="注释 4 7 2 2 2" xfId="28047" xr:uid="{2643C61E-9C18-4698-9614-FFBF079807BB}"/>
    <cellStyle name="注释 4 7 2 3" xfId="35696" xr:uid="{7EB08DBB-B65A-46AB-9001-862B624918EB}"/>
    <cellStyle name="注释 4 7 3" xfId="35695" xr:uid="{A0DCE132-0BAC-45F8-B1B9-48FF5F1364E3}"/>
    <cellStyle name="注释 4 8" xfId="23377" xr:uid="{7C5E17A0-D002-4462-A772-E2919AA769DE}"/>
    <cellStyle name="注释 4 8 2" xfId="23378" xr:uid="{DF72B369-BB75-423B-A500-ECEDA3E2B385}"/>
    <cellStyle name="注释 4 8 2 2" xfId="26679" xr:uid="{6C2DA53C-DDCA-41E9-ACFA-4196FA4FC963}"/>
    <cellStyle name="注释 4 8 2 2 2" xfId="37288" xr:uid="{0E9073C3-3378-4319-8F21-8342732A376B}"/>
    <cellStyle name="注释 4 8 2 3" xfId="35698" xr:uid="{0D098E3D-B7DB-4798-A533-6AB3861F9BE7}"/>
    <cellStyle name="注释 4 8 3" xfId="35697" xr:uid="{43ABD0FB-A2B7-4D30-805D-106C33A42995}"/>
    <cellStyle name="注释 4 9" xfId="23379" xr:uid="{ECEDC07A-CF16-4DB3-BDA4-A623DCBE2D9E}"/>
    <cellStyle name="注释 4 9 2" xfId="23380" xr:uid="{3AC17093-921C-451D-BA66-F8DF750A1E37}"/>
    <cellStyle name="注释 4 9 2 2" xfId="26680" xr:uid="{948DB265-9B85-4DAE-8B4D-E6C085B422E3}"/>
    <cellStyle name="注释 4 9 2 2 2" xfId="38527" xr:uid="{8AFA4620-FE86-481B-82C5-5E304636895B}"/>
    <cellStyle name="注释 4 9 2 3" xfId="35700" xr:uid="{2819F74A-6CD0-4D39-9B27-950BEFE4CA6E}"/>
    <cellStyle name="注释 4 9 3" xfId="35699" xr:uid="{ADAC46F9-31A6-492E-918A-CB863AE718D1}"/>
    <cellStyle name="注释 5" xfId="23381" xr:uid="{40B1DF06-B226-471D-AD9C-2819F6AAA92D}"/>
    <cellStyle name="注释 5 10" xfId="23382" xr:uid="{72FBDC18-C48E-47FF-9187-A392C0162DC6}"/>
    <cellStyle name="注释 5 10 2" xfId="23383" xr:uid="{04F94A9F-1C78-4B11-AE62-81D8F68E0F64}"/>
    <cellStyle name="注释 5 10 2 2" xfId="26681" xr:uid="{472DB9CF-4D3D-46A3-8921-7ACEB908F660}"/>
    <cellStyle name="注释 5 10 2 2 2" xfId="37289" xr:uid="{444C0449-4974-4EF7-A170-D11E76E4C000}"/>
    <cellStyle name="注释 5 10 2 3" xfId="35703" xr:uid="{DF046836-779C-43BC-9E33-24D552D798E2}"/>
    <cellStyle name="注释 5 10 3" xfId="35702" xr:uid="{93BD9C4E-11CC-49F0-A6F6-BEBA03FA557E}"/>
    <cellStyle name="注释 5 11" xfId="23384" xr:uid="{23306220-628B-4C39-B96E-A3B452865BD6}"/>
    <cellStyle name="注释 5 11 2" xfId="23385" xr:uid="{562AD015-A78C-4D3B-888A-D409D38379C8}"/>
    <cellStyle name="注释 5 11 2 2" xfId="26682" xr:uid="{3212A782-D142-4849-8A72-EED450A42D56}"/>
    <cellStyle name="注释 5 11 2 2 2" xfId="37290" xr:uid="{FBC77C7B-9C03-4A3B-BCD9-A49359D49FB7}"/>
    <cellStyle name="注释 5 11 2 3" xfId="35705" xr:uid="{CCCB25E1-FAEE-4883-AD86-FE2CCE5668E9}"/>
    <cellStyle name="注释 5 11 3" xfId="35704" xr:uid="{FD91C910-C216-413D-8887-86892F132B40}"/>
    <cellStyle name="注释 5 12" xfId="23386" xr:uid="{6C8DFD78-FC09-413A-8570-5293BD1F113E}"/>
    <cellStyle name="注释 5 12 2" xfId="23387" xr:uid="{83374B4F-A069-4C42-B2A6-DB11DA9B043E}"/>
    <cellStyle name="注释 5 12 2 2" xfId="26683" xr:uid="{F79BC965-3458-4216-B14D-3F7D9849F883}"/>
    <cellStyle name="注释 5 12 2 2 2" xfId="38528" xr:uid="{A2EAD723-2A17-4349-9C54-90E6B085A3E0}"/>
    <cellStyle name="注释 5 12 2 3" xfId="35707" xr:uid="{FCF787CA-2DBF-4FBC-948E-48FDC304B236}"/>
    <cellStyle name="注释 5 12 3" xfId="35706" xr:uid="{D01C489D-60FA-4F78-8593-69267CCD0706}"/>
    <cellStyle name="注释 5 13" xfId="23388" xr:uid="{BDA17F4B-DBFC-4E8A-88D6-A777CDBFE261}"/>
    <cellStyle name="注释 5 13 2" xfId="23389" xr:uid="{401D4F12-3044-4D4F-9EEF-09DE0A9AEEED}"/>
    <cellStyle name="注释 5 13 2 2" xfId="26684" xr:uid="{03A0432E-70B2-4A48-99DF-CB22380F9181}"/>
    <cellStyle name="注释 5 13 2 2 2" xfId="28048" xr:uid="{5B894046-7591-4302-8206-3FE414512341}"/>
    <cellStyle name="注释 5 13 2 3" xfId="35709" xr:uid="{54A7C0BF-A2BF-4406-8665-134B8876192E}"/>
    <cellStyle name="注释 5 13 3" xfId="35708" xr:uid="{756E225B-41CD-443B-AED3-47D85F9904AE}"/>
    <cellStyle name="注释 5 14" xfId="23390" xr:uid="{E9C15331-C455-4A91-9F6A-A044A2E6BDCC}"/>
    <cellStyle name="注释 5 14 2" xfId="23391" xr:uid="{E0F458EB-CB69-4F5C-80FA-23CFD80B35DA}"/>
    <cellStyle name="注释 5 14 2 2" xfId="26685" xr:uid="{6619D124-4F77-4799-B841-142140811BB9}"/>
    <cellStyle name="注释 5 14 2 2 2" xfId="37291" xr:uid="{3ADA3302-5990-4C01-A14C-36EC7EADCE6E}"/>
    <cellStyle name="注释 5 14 2 3" xfId="35711" xr:uid="{E22F799B-FB36-434E-8BF2-B102ADC9C527}"/>
    <cellStyle name="注释 5 14 3" xfId="35710" xr:uid="{DFC10A55-0FE9-4BE2-A388-2ED3A438D469}"/>
    <cellStyle name="注释 5 15" xfId="23392" xr:uid="{40BD4015-9F8C-47F9-AC3A-956477197935}"/>
    <cellStyle name="注释 5 15 2" xfId="23393" xr:uid="{BEC28BA8-38DC-4D94-9A09-BB03E16E149A}"/>
    <cellStyle name="注释 5 15 2 2" xfId="26686" xr:uid="{22055F4E-79A9-434C-A99A-BBB15C107AC7}"/>
    <cellStyle name="注释 5 15 2 2 2" xfId="37292" xr:uid="{FA9BAA13-EA1A-4B13-A4FC-2E5348CFC92C}"/>
    <cellStyle name="注释 5 15 2 3" xfId="35713" xr:uid="{F3577DA4-80BB-4675-88B5-CB036C880FE9}"/>
    <cellStyle name="注释 5 15 3" xfId="35712" xr:uid="{695B3E00-7F14-42F6-B440-FE6B51D544F2}"/>
    <cellStyle name="注释 5 16" xfId="23394" xr:uid="{5C29251C-E4D3-4368-AD7C-3C9F4D3F6381}"/>
    <cellStyle name="注释 5 16 2" xfId="26687" xr:uid="{AF5F3135-F2D4-4A0D-BB73-633D6DF1D634}"/>
    <cellStyle name="注释 5 16 2 2" xfId="38529" xr:uid="{004F1D07-5EC2-4245-ABC8-3EFA2E05E146}"/>
    <cellStyle name="注释 5 16 3" xfId="35714" xr:uid="{A4373B28-052C-42F6-9115-C7615081BB89}"/>
    <cellStyle name="注释 5 17" xfId="35701" xr:uid="{5A2614C0-0F49-4B28-8FD0-7E61C6922477}"/>
    <cellStyle name="注释 5 2" xfId="23395" xr:uid="{77CDB3D1-0B5D-48E8-907A-2B9D2E874B47}"/>
    <cellStyle name="注释 5 2 2" xfId="23396" xr:uid="{4F6B35F2-8653-40A6-82FE-1A589ED478B8}"/>
    <cellStyle name="注释 5 2 2 2" xfId="26688" xr:uid="{0EF21262-CEFF-473A-9F28-396D8D35EC77}"/>
    <cellStyle name="注释 5 2 2 2 2" xfId="37293" xr:uid="{76BD66BF-2723-4395-B7B5-3EFDDE02FF17}"/>
    <cellStyle name="注释 5 2 2 3" xfId="35716" xr:uid="{FF58CD90-B97E-472C-83C0-5836E0E57165}"/>
    <cellStyle name="注释 5 2 3" xfId="35715" xr:uid="{7444FE33-A64F-42CC-92AB-D4584F33B722}"/>
    <cellStyle name="注释 5 3" xfId="23397" xr:uid="{D50D7DD3-0A35-470F-8B05-A6E6BF41562B}"/>
    <cellStyle name="注释 5 3 2" xfId="23398" xr:uid="{FF718F85-6EB1-454D-9390-9A252E52B656}"/>
    <cellStyle name="注释 5 3 2 2" xfId="26689" xr:uid="{E6420612-9C30-4CAC-A63A-FC43A2662B9C}"/>
    <cellStyle name="注释 5 3 2 2 2" xfId="37850" xr:uid="{F215F51B-C808-4F31-A9EA-76776B2479E3}"/>
    <cellStyle name="注释 5 3 2 3" xfId="35718" xr:uid="{AFEB04C7-8F69-41EC-954A-BBF6FF62B21F}"/>
    <cellStyle name="注释 5 3 3" xfId="35717" xr:uid="{2F895D20-7C24-4AA1-AAD1-BEDB52E4BD1D}"/>
    <cellStyle name="注释 5 4" xfId="23399" xr:uid="{F8FCF2E0-9C0A-4936-B31E-9534058FEF57}"/>
    <cellStyle name="注释 5 4 2" xfId="23400" xr:uid="{712ADACC-AF08-458B-8305-005FCAE4CB32}"/>
    <cellStyle name="注释 5 4 2 2" xfId="26690" xr:uid="{D0135CBD-0A6D-4459-A335-800F45106164}"/>
    <cellStyle name="注释 5 4 2 2 2" xfId="37294" xr:uid="{262E7199-4E7C-4371-93A5-B8A780EC8AAC}"/>
    <cellStyle name="注释 5 4 2 3" xfId="35720" xr:uid="{45180BBC-57E5-4B69-AB2C-32A260CFA2AA}"/>
    <cellStyle name="注释 5 4 3" xfId="35719" xr:uid="{D5707B33-106D-4CD6-A771-AEE831EB173A}"/>
    <cellStyle name="注释 5 5" xfId="23401" xr:uid="{5046BE4B-684D-47DF-8CEF-37ADCD3A160B}"/>
    <cellStyle name="注释 5 5 2" xfId="23402" xr:uid="{13EE6BB2-2149-4959-AA87-4E4335FF216C}"/>
    <cellStyle name="注释 5 5 2 2" xfId="26691" xr:uid="{F2298F0F-97DF-45C5-A2E2-CBC1243FCE68}"/>
    <cellStyle name="注释 5 5 2 2 2" xfId="38530" xr:uid="{2CFF8FA6-365B-4C94-ACB6-0DFC0088CC90}"/>
    <cellStyle name="注释 5 5 2 3" xfId="35722" xr:uid="{0E2C0069-F812-4592-8F94-7B82B710125C}"/>
    <cellStyle name="注释 5 5 3" xfId="35721" xr:uid="{668B7A2B-DA35-42EE-9AE0-DAEB950F936E}"/>
    <cellStyle name="注释 5 6" xfId="23403" xr:uid="{E27C2B71-B6BA-40B5-8A66-61BA6C847E35}"/>
    <cellStyle name="注释 5 6 2" xfId="23404" xr:uid="{D01A65CE-B748-4E3E-B4D8-083882D9C276}"/>
    <cellStyle name="注释 5 6 2 2" xfId="26692" xr:uid="{6B3E34A3-74C5-4381-9BDB-5CDA9129EF46}"/>
    <cellStyle name="注释 5 6 2 2 2" xfId="37295" xr:uid="{C96AE717-F441-478F-9681-DABF0E84BEBB}"/>
    <cellStyle name="注释 5 6 2 3" xfId="35724" xr:uid="{70FA98D0-1AC7-4A8B-AC16-3A82CE5788FE}"/>
    <cellStyle name="注释 5 6 3" xfId="35723" xr:uid="{DA0967CC-40CF-47BA-AE3C-46A5B76053A2}"/>
    <cellStyle name="注释 5 7" xfId="23405" xr:uid="{C4B21508-DA95-49CD-839D-F22C4F8136FF}"/>
    <cellStyle name="注释 5 7 2" xfId="23406" xr:uid="{3677EB9D-176C-4C64-A949-E137CFFE984E}"/>
    <cellStyle name="注释 5 7 2 2" xfId="26693" xr:uid="{28677A1E-5BD9-4500-8D85-3E857A5FE45F}"/>
    <cellStyle name="注释 5 7 2 2 2" xfId="28049" xr:uid="{F3F01F8E-1FEA-4679-A46E-FB28B8E59F3F}"/>
    <cellStyle name="注释 5 7 2 3" xfId="38163" xr:uid="{19A27844-5F82-4C26-9F80-474B8A84BCD0}"/>
    <cellStyle name="注释 5 7 3" xfId="35725" xr:uid="{61CBC68E-CF81-4DDD-8D66-DC047F4D185E}"/>
    <cellStyle name="注释 5 8" xfId="23407" xr:uid="{628462BF-E51C-4C73-8608-888A3B54E974}"/>
    <cellStyle name="注释 5 8 2" xfId="23408" xr:uid="{AA140E77-3AA6-4C9F-88F1-3C082D7FBEED}"/>
    <cellStyle name="注释 5 8 2 2" xfId="26694" xr:uid="{8C810C42-2C9C-4675-844C-76B3E0D204A7}"/>
    <cellStyle name="注释 5 8 2 2 2" xfId="37296" xr:uid="{59E94444-81FD-4CE1-A610-9F3C1FA5A3C4}"/>
    <cellStyle name="注释 5 8 2 3" xfId="35727" xr:uid="{05959F53-9ACF-4137-97EB-EDD1836D9B6B}"/>
    <cellStyle name="注释 5 8 3" xfId="35726" xr:uid="{5D80CEAA-FDED-4B14-9E9D-C57A0A22D7ED}"/>
    <cellStyle name="注释 5 9" xfId="23409" xr:uid="{8E2C1785-9D14-4A7A-A258-CC1B0811BF37}"/>
    <cellStyle name="注释 5 9 2" xfId="23410" xr:uid="{38FA71C8-D3C0-47D6-B8FF-1AD2CEE577E7}"/>
    <cellStyle name="注释 5 9 2 2" xfId="26695" xr:uid="{AF8B4C10-26F8-4E16-A417-9EAAC0687DD2}"/>
    <cellStyle name="注释 5 9 2 2 2" xfId="38531" xr:uid="{759D98E3-79DE-4085-BD54-7EC341512A4C}"/>
    <cellStyle name="注释 5 9 2 3" xfId="35729" xr:uid="{C2783FDA-79B1-4416-B9F6-FD4522801DB2}"/>
    <cellStyle name="注释 5 9 3" xfId="35728" xr:uid="{EEFB3000-CDD6-4835-87B7-AFFDEB602404}"/>
    <cellStyle name="注释 6" xfId="23411" xr:uid="{01409750-1FB9-4501-A3AC-DC547C5448C6}"/>
    <cellStyle name="注释 6 2" xfId="35730" xr:uid="{669D5255-25BB-4D3A-AAA5-D32B988B068D}"/>
    <cellStyle name="注释 7" xfId="23412" xr:uid="{EE1D63B1-4F1F-4B02-B52C-97692C42B2F0}"/>
    <cellStyle name="注释 7 2" xfId="35731" xr:uid="{BD3640B7-BFD6-41FE-A34A-86B271FDD92A}"/>
    <cellStyle name="注释 8" xfId="23413" xr:uid="{AFE3FB5A-1E77-44DD-8623-0A96357F320C}"/>
    <cellStyle name="注释 8 2" xfId="35732" xr:uid="{1FDA5B16-A6AB-4268-B7A6-E5B1285BA0C0}"/>
    <cellStyle name="注释 9" xfId="23414" xr:uid="{44F88EAE-438C-41CD-A09A-B55B0E0ACF28}"/>
    <cellStyle name="注释 9 2" xfId="23415" xr:uid="{535587F7-DDB9-4479-A691-869B30302466}"/>
    <cellStyle name="注释 9 2 2" xfId="26696" xr:uid="{2F2B0E47-C75E-48ED-8F85-218738AF70E2}"/>
    <cellStyle name="注释 9 2 2 2" xfId="37297" xr:uid="{7F838B93-453C-4B79-B93D-D3BC1A91CA62}"/>
    <cellStyle name="注释 9 2 3" xfId="35734" xr:uid="{216DD2B7-3749-4321-A814-FC6999A7116D}"/>
    <cellStyle name="注释 9 3" xfId="35733" xr:uid="{58235C01-D66D-4010-823C-CFD351F2E0BE}"/>
    <cellStyle name="烹拳 [0]_97MBO" xfId="23853" xr:uid="{C8FBAA88-FD5E-4A73-BD4D-BA2447C4B1D3}"/>
    <cellStyle name="烹拳_97MBO" xfId="23854" xr:uid="{C48AF2F3-864B-453E-B8E4-08B30E769F68}"/>
    <cellStyle name="百分比 3" xfId="23661" xr:uid="{16E03D84-5006-4E26-B145-32C08967D13A}"/>
    <cellStyle name="百分比 3 2" xfId="23662" xr:uid="{E8EE3E7A-37E0-4A9B-9F02-C0C4641B5D07}"/>
    <cellStyle name="百分比 3 2 2" xfId="23663" xr:uid="{BD282726-2595-4551-A040-8A81FDDD1C04}"/>
    <cellStyle name="百分比 3 2 2 2" xfId="23664" xr:uid="{6DE60FBC-BF71-40DE-BE3A-A1F1270B1609}"/>
    <cellStyle name="百分比 3 2 2 2 2" xfId="23665" xr:uid="{049CAE2B-4AFB-4EE9-98C5-3514CC9A5BCB}"/>
    <cellStyle name="百分比 3 2 2 2 2 2" xfId="26697" xr:uid="{7E266C80-F313-4568-870F-F528F43EABC1}"/>
    <cellStyle name="百分比 3 2 2 3" xfId="23666" xr:uid="{C7536BAE-57AA-4BC9-A0D0-332799837D6C}"/>
    <cellStyle name="百分比 3 2 2 4" xfId="23667" xr:uid="{6B4F8155-92B0-4B30-AE57-C94A1EB46BEC}"/>
    <cellStyle name="百分比 3 2 2 4 2" xfId="26698" xr:uid="{ABF65FC5-4BD8-4FA3-A644-2F10680FAFD7}"/>
    <cellStyle name="百分比 3 2 3" xfId="23668" xr:uid="{752AD6E2-AE3E-4761-82A3-E290F354AF8B}"/>
    <cellStyle name="百分比 3 2 3 2" xfId="26699" xr:uid="{B79D8F4D-1915-46A4-A9C1-3331D45199C8}"/>
    <cellStyle name="百分比 3 3" xfId="23669" xr:uid="{2E9C36F1-FD9E-46DE-8FB6-D36B50F1BA36}"/>
    <cellStyle name="百分比 3 4" xfId="23670" xr:uid="{E8DAD449-300E-43A5-96AD-1C55917234CE}"/>
    <cellStyle name="百分比 3 4 2" xfId="26700" xr:uid="{39B8D9FD-F367-4D9C-931B-D381189EE83C}"/>
    <cellStyle name="百分比 4" xfId="23671" xr:uid="{00C3FEFB-F2E6-4A60-B09B-927E096DAF43}"/>
    <cellStyle name="百分比 4 2" xfId="23672" xr:uid="{D6846765-FAE5-49B6-B1B5-A8D4EBDABC0A}"/>
    <cellStyle name="百分比 4 3" xfId="23673" xr:uid="{09156A8A-3006-4B26-94EF-B8697A808BB5}"/>
    <cellStyle name="百分比 4 3 2" xfId="26701" xr:uid="{A7B04097-9B42-44EF-BA96-15835C8DC4D2}"/>
    <cellStyle name="百分比00" xfId="23674" xr:uid="{3938217C-D8A8-4F2D-B3CA-C1DB96120422}"/>
    <cellStyle name="磨葬e義" xfId="23856" xr:uid="{8F962C2B-E61E-4189-A87C-771D56923F22}"/>
    <cellStyle name="脱?Y [0.00]_Ladder Report" xfId="22918" xr:uid="{E8B90426-82AC-4D05-969F-3E22A989EA4F}"/>
    <cellStyle name="脱?Y_Ladder Report" xfId="22919" xr:uid="{182DEF33-CC70-48B8-BB53-62B4A7EFCC2F}"/>
    <cellStyle name="脱]Y [0.00]_Book1li" xfId="22920" xr:uid="{120BE482-0D36-4653-B99E-98E97865B503}"/>
    <cellStyle name="脱]Y_Book1]_" xfId="22921" xr:uid="{7123DF45-9BCF-4B72-868D-727FAF45287F}"/>
    <cellStyle name="脱浦" xfId="22922" xr:uid="{503C1189-B481-4563-BEC3-D94090DCA732}"/>
    <cellStyle name="脱浦 [0.00]" xfId="22923" xr:uid="{98198719-381C-4C48-AE21-60CD3960914C}"/>
    <cellStyle name="脱浦 [0.00] 2" xfId="26472" xr:uid="{A2F93C52-3444-48B4-9D04-3AE6D244FA53}"/>
    <cellStyle name="脱浦 2" xfId="26471" xr:uid="{5DEC6F60-668C-42F9-BE8D-55639FF92DE0}"/>
    <cellStyle name="脱浦_＝Y?2" xfId="22924" xr:uid="{DD369729-4ABF-4E20-80CE-8D20316E6076}"/>
    <cellStyle name="良い 2" xfId="23860" xr:uid="{D766C32F-DE2E-4F93-B1F8-D25A2DE2CABD}"/>
    <cellStyle name="良い 2 2" xfId="23861" xr:uid="{73BC271D-2A82-4368-95F4-DB64FC9FC591}"/>
    <cellStyle name="良い 3" xfId="23862" xr:uid="{148EAE6B-CEA2-43B4-82B2-E62F7EAA42E6}"/>
    <cellStyle name="表・・・・ハイパーリンク" xfId="23791" xr:uid="{170A4E9D-37A8-44B0-B0D8-02DA3341D921}"/>
    <cellStyle name="表・・・・ハイパーリンク 2" xfId="23792" xr:uid="{F355C062-A863-4945-911E-43A9B240C325}"/>
    <cellStyle name="表・・・・ハイパーリンク 3" xfId="23793" xr:uid="{AC33220A-5277-4616-A73D-85F40FA3AE49}"/>
    <cellStyle name="表ヘッダー" xfId="23794" xr:uid="{E8D3C571-39A5-49E9-8EA1-256A9C64EC18}"/>
    <cellStyle name="表旨巧・・ハイパーリンク" xfId="23795" xr:uid="{B0D988C3-EBAD-4BFB-89F7-DEEE38198AD9}"/>
    <cellStyle name="表旨巧・・ハイパーリンク_x000f_" xfId="23796" xr:uid="{9FBDCC05-A4E5-42AE-8B56-1479A64579B5}"/>
    <cellStyle name="表旨巧・・ハイパーリンク 10" xfId="23797" xr:uid="{62C70DA3-909B-44AD-9B80-E60C3C85900B}"/>
    <cellStyle name="表旨巧・・ハイパーリンク 11" xfId="23798" xr:uid="{2D00380E-9871-4765-AB60-8C7AF5955234}"/>
    <cellStyle name="表旨巧・・ハイパーリンク 12" xfId="23799" xr:uid="{97A542F7-8F67-4350-A150-0FC25B262C8F}"/>
    <cellStyle name="表旨巧・・ハイパーリンク 13" xfId="23800" xr:uid="{12E5EBC5-9C10-4201-97BA-F0EE151615D7}"/>
    <cellStyle name="表旨巧・・ハイパーリンク 14" xfId="23801" xr:uid="{4F2747BC-D149-42E5-A9C4-576D8945F14F}"/>
    <cellStyle name="表旨巧・・ハイパーリンク 15" xfId="23802" xr:uid="{84549E33-7D9B-4878-9357-B60146A52918}"/>
    <cellStyle name="表旨巧・・ハイパーリンク 16" xfId="23803" xr:uid="{F8A59C0E-4BB7-4438-8647-0B52C3C52976}"/>
    <cellStyle name="表旨巧・・ハイパーリンク 17" xfId="23804" xr:uid="{8039E193-515F-4223-B360-5B09DFB9CA4C}"/>
    <cellStyle name="表旨巧・・ハイパーリンク 18" xfId="23805" xr:uid="{E899EA1C-3380-434E-98DD-7876E8D8DEAA}"/>
    <cellStyle name="表旨巧・・ハイパーリンク 19" xfId="23806" xr:uid="{C13B416A-D76A-4640-B1D1-3237FC325AD4}"/>
    <cellStyle name="表旨巧・・ハイパーリンク 2" xfId="23807" xr:uid="{8757EC5C-8BF6-4C20-BE88-1AC0CC00B812}"/>
    <cellStyle name="表旨巧・・ハイパーリンク 20" xfId="23808" xr:uid="{83C07E8C-6730-4067-9F9C-8C0192CB022E}"/>
    <cellStyle name="表旨巧・・ハイパーリンク 21" xfId="23809" xr:uid="{3972B323-9237-4680-AF75-1B91868BCF4A}"/>
    <cellStyle name="表旨巧・・ハイパーリンク 22" xfId="23810" xr:uid="{57BE1D93-6BF3-4A51-98A4-CC37B665072E}"/>
    <cellStyle name="表旨巧・・ハイパーリンク 23" xfId="23811" xr:uid="{A9B5EA3E-ED33-42AA-989F-24F85BDCF7C6}"/>
    <cellStyle name="表旨巧・・ハイパーリンク 24" xfId="23812" xr:uid="{2032EB45-5645-46FA-9BDA-F516B5C64345}"/>
    <cellStyle name="表旨巧・・ハイパーリンク 25" xfId="23813" xr:uid="{F9BEC1B1-54FE-4131-AA45-0D70FC619939}"/>
    <cellStyle name="表旨巧・・ハイパーリンク 26" xfId="23814" xr:uid="{ADD8B7E4-7FDF-4BCB-BD3B-AC679E2BB2A7}"/>
    <cellStyle name="表旨巧・・ハイパーリンク 27" xfId="23815" xr:uid="{02B57EDE-518D-48E9-85D5-7CE92C943058}"/>
    <cellStyle name="表旨巧・・ハイパーリンク 28" xfId="23816" xr:uid="{1491373E-3C7A-4DAB-B4A9-3F1E6055EB79}"/>
    <cellStyle name="表旨巧・・ハイパーリンク 29" xfId="23817" xr:uid="{F368E6BD-E2D7-45AD-BD73-9E7171EC0215}"/>
    <cellStyle name="表旨巧・・ハイパーリンク 3" xfId="23818" xr:uid="{79A83229-016A-43C1-BE04-64FB266224AC}"/>
    <cellStyle name="表旨巧・・ハイパーリンク 30" xfId="23819" xr:uid="{75E67054-8248-4DB1-9502-BD075F51A8DA}"/>
    <cellStyle name="表旨巧・・ハイパーリンク 31" xfId="23820" xr:uid="{EFFCE8FD-5426-469A-9F21-0BECF9E23DE6}"/>
    <cellStyle name="表旨巧・・ハイパーリンク 32" xfId="23821" xr:uid="{F8B90B81-06A8-4570-A3DD-DBA350E3A610}"/>
    <cellStyle name="表旨巧・・ハイパーリンク 33" xfId="23822" xr:uid="{EC7FE7BA-FD3B-46FD-AC40-98C48701F175}"/>
    <cellStyle name="表旨巧・・ハイパーリンク 34" xfId="23823" xr:uid="{BFE66FBF-12B9-4F4C-A3FF-CFD12268E81D}"/>
    <cellStyle name="表旨巧・・ハイパーリンク 35" xfId="23824" xr:uid="{B248F1A5-8D0B-4F06-8D47-280B4B7D625C}"/>
    <cellStyle name="表旨巧・・ハイパーリンク 36" xfId="23825" xr:uid="{8BF5111B-D0B3-4C7D-9F4F-24FC795E3F5B}"/>
    <cellStyle name="表旨巧・・ハイパーリンク 4" xfId="23826" xr:uid="{AED895A5-E37F-4F27-8391-5007AC610AB0}"/>
    <cellStyle name="表旨巧・・ハイパーリンク 5" xfId="23827" xr:uid="{0058E868-DD49-4E3E-BC21-639AAA82BBF0}"/>
    <cellStyle name="表旨巧・・ハイパーリンク 6" xfId="23828" xr:uid="{2884C446-25E8-4C3B-9FB4-A76C14814E0C}"/>
    <cellStyle name="表旨巧・・ハイパーリンク 7" xfId="23829" xr:uid="{621A441B-E919-4418-8CF1-FE67B79CF132}"/>
    <cellStyle name="表旨巧・・ハイパーリンク 8" xfId="23830" xr:uid="{AD892958-BE45-4D3A-B680-6E07A6E9AD84}"/>
    <cellStyle name="表旨巧・・ハイパーリンク 9" xfId="23831" xr:uid="{9DD5FB72-07F5-4EA5-8DE5-B2BE3A4363ED}"/>
    <cellStyle name="表旨巧・・ハイパーリンク_■■LB 生産ｽﾍﾟｯｸ表■■改" xfId="23832" xr:uid="{6F7414BD-9E7C-49BD-8003-9D24F9E38660}"/>
    <cellStyle name="表示??????????" xfId="23833" xr:uid="{D66BD4CE-AF23-49F1-9715-2B127F8B98EF}"/>
    <cellStyle name="表示済みのハイパー??ク" xfId="23834" xr:uid="{2CADC36A-AFBD-4494-9B53-8EB7E807A575}"/>
    <cellStyle name="表示済みのハイパー??ク 2" xfId="23835" xr:uid="{C1C5ACA7-D566-4AD2-B6B5-EFBB6075A954}"/>
    <cellStyle name="表示済みのハイパー??ク 3" xfId="23836" xr:uid="{DE939D12-79CC-4AA4-8C54-65EEA671E2DA}"/>
    <cellStyle name="表示済みのハイパーリンク_x000f_" xfId="23837" xr:uid="{5AD3C8E3-A922-4C25-88C0-C3125BF66EAB}"/>
    <cellStyle name="表示済みのハイパーリンク (2)ec. (2)2" xfId="23838" xr:uid="{2F286CDB-C56B-450B-9C61-8D8842F0E584}"/>
    <cellStyle name="表示済みのハイパーリンク??慨敲??????" xfId="23839" xr:uid="{16E27B43-1C54-4C49-A33E-A919660259EC}"/>
    <cellStyle name="表示済みのハイパーリンクa PRG MY02 (" xfId="23840" xr:uid="{AE0E03D4-214F-483B-901E-9E9C5B7149CC}"/>
    <cellStyle name="表示済みのハイパーリンクat書 (2)_Mast" xfId="23841" xr:uid="{471F0AD7-1B4C-48AB-9370-3C29BE7C03A7}"/>
    <cellStyle name="表示済みのハイパーリンクBALLOON" xfId="23842" xr:uid="{9D0FD086-E8A5-4A1A-A488-80B3FC3DFA86}"/>
    <cellStyle name="表示済みのハイパーリンクBALLOON 2" xfId="23843" xr:uid="{806768EC-3E3E-45FE-A3BE-E8679E07CE96}"/>
    <cellStyle name="表示済みのハイパーリンクes_Book2akdo" xfId="23844" xr:uid="{FCBDCAE9-6FF2-4D5F-80C1-FFC8500F2857}"/>
    <cellStyle name="表示済みのハイパーリンクnitorMS_WINN" xfId="23845" xr:uid="{11D90F68-7D64-4901-83EF-78547516331F}"/>
    <cellStyle name="表示済みのハイパーリンクNOTEWINNOTET" xfId="23846" xr:uid="{2189EE7C-6335-4213-9F2B-FE3D23E64F55}"/>
    <cellStyle name="表示済みのハイパーリンクNOTEWINNOTET workbooks w" xfId="23847" xr:uid="{35DBD7D8-8EA3-45A4-9AA4-156E3A13FA19}"/>
    <cellStyle name="表示済みのハイパーリンクNOTEWINNOTEW" xfId="23848" xr:uid="{70E30354-0D36-415E-A16D-E362BB89D107}"/>
    <cellStyle name="表示済みのハイパーリンクUCS変更経緯ening" xfId="23849" xr:uid="{1B0D496C-7513-4B71-9866-96801D37F50A}"/>
    <cellStyle name="表示済みのハイパーリンクx Projection" xfId="23850" xr:uid="{55677452-8AC5-47F7-9902-27F983E182C9}"/>
    <cellStyle name="表示済みのハイパーリンク説】M-METER変更e" xfId="23851" xr:uid="{461C6070-919E-4404-95F9-B2B66079B44D}"/>
    <cellStyle name="見出し 1 2" xfId="22511" xr:uid="{00533F57-BD9F-4A04-998A-557EF947FF6A}"/>
    <cellStyle name="見出し 1 2 2" xfId="22512" xr:uid="{3C44DC5B-7484-4628-AD10-E7828882DA49}"/>
    <cellStyle name="見出し 1 3" xfId="22513" xr:uid="{15D61AB4-5EA4-40B7-A936-6E1228466B5D}"/>
    <cellStyle name="見出し 2 2" xfId="22514" xr:uid="{9A641298-D834-44E6-B4F2-8590047F9BA2}"/>
    <cellStyle name="見出し 2 2 2" xfId="22515" xr:uid="{A06390A0-C13E-4388-9876-D15FC6038ADE}"/>
    <cellStyle name="見出し 2 3" xfId="22516" xr:uid="{D4CCDA7A-14CB-4C98-B661-BE5EBF807885}"/>
    <cellStyle name="見出し 3 2" xfId="22517" xr:uid="{BB2B0E50-41F2-405D-8588-2CF99F75237F}"/>
    <cellStyle name="見出し 3 2 2" xfId="22518" xr:uid="{C90C99DF-77B9-4996-9BF3-89CB30242960}"/>
    <cellStyle name="見出し 3 3" xfId="22519" xr:uid="{93C60130-1BA7-4AEC-A436-DA56B1A32103}"/>
    <cellStyle name="見出し 4 2" xfId="22520" xr:uid="{96F5DF88-DE96-4469-AB19-BC7DC1655EEA}"/>
    <cellStyle name="見出し 4 2 2" xfId="22521" xr:uid="{4624947C-BFEE-48FA-82C4-5664F0BF277F}"/>
    <cellStyle name="見出し 4 3" xfId="22522" xr:uid="{F58A89C8-682E-4E04-A80C-7FEE93089810}"/>
    <cellStyle name="見出し1" xfId="22523" xr:uid="{63B8CFBE-A568-411B-9DCE-29BEC7DEDAAC}"/>
    <cellStyle name="見出し2" xfId="22524" xr:uid="{BAD60EBA-2A4C-45AD-9FE8-408EB2618F30}"/>
    <cellStyle name="見出し3" xfId="22525" xr:uid="{519C91F7-3ACC-439E-B6F4-7A88C0D774B4}"/>
    <cellStyle name="見出し4" xfId="22526" xr:uid="{B0105993-4B25-46D3-BF43-2F634279BAB6}"/>
    <cellStyle name="見出し5" xfId="22527" xr:uid="{087A173F-E7D7-4353-BFE2-8168D747CAEB}"/>
    <cellStyle name="見出し6" xfId="22528" xr:uid="{A7107EC1-6776-46C7-8864-DFD42AEED300}"/>
    <cellStyle name="解释性文本" xfId="22168" xr:uid="{3E23EAE5-3092-44DF-9ED6-27149AD4FDD2}"/>
    <cellStyle name="解释性文本 2" xfId="22169" xr:uid="{3C774426-2230-485A-A5E2-69D7BCBA78EF}"/>
    <cellStyle name="解释性文本 2 2" xfId="22170" xr:uid="{93B9646E-0A4B-4107-B5FB-EC1A215841B2}"/>
    <cellStyle name="解释性文本 2 2 2" xfId="22171" xr:uid="{4599265C-AC1D-4ABA-9E0D-5119211A3056}"/>
    <cellStyle name="解释性文本 2 2 2 2" xfId="26433" xr:uid="{5EA1BEDD-AEFB-40AF-A963-309CC487591B}"/>
    <cellStyle name="解释性文本 2 3" xfId="22172" xr:uid="{2945E354-7C06-47FC-B71A-C4F8C70F1E9D}"/>
    <cellStyle name="解释性文本 2 4" xfId="22173" xr:uid="{AC943CAC-2131-46DF-94AB-15E417A12217}"/>
    <cellStyle name="解释性文本 2 4 2" xfId="26434" xr:uid="{7499727A-3810-4754-A023-97687A1780DF}"/>
    <cellStyle name="解释性文本 3" xfId="22174" xr:uid="{DD2A44F7-C02A-448D-921D-47441FCD2317}"/>
    <cellStyle name="解释性文本 3 2" xfId="26435" xr:uid="{E6B4B18C-93AA-4811-9609-70E4507D9733}"/>
    <cellStyle name="計算 2" xfId="22175" xr:uid="{D5E89344-A9D4-4D30-9BB4-E60A3A11D05B}"/>
    <cellStyle name="計算 2 10" xfId="22176" xr:uid="{C1AEAE30-DA1E-4AA9-892D-7310F19381DB}"/>
    <cellStyle name="計算 2 10 2" xfId="35249" xr:uid="{3F5BD06A-C8DB-441F-9B1F-D34FC721B010}"/>
    <cellStyle name="計算 2 11" xfId="22177" xr:uid="{ADE64138-1793-4E88-91F6-0A2AFF569499}"/>
    <cellStyle name="計算 2 11 2" xfId="35250" xr:uid="{A5F2CCA3-A7DF-4622-A4E0-EFF5C183723E}"/>
    <cellStyle name="計算 2 12" xfId="22178" xr:uid="{779F74F8-74E5-4B59-9AD3-4F75EF92D393}"/>
    <cellStyle name="計算 2 12 2" xfId="27796" xr:uid="{68071AAE-C29E-4B7E-816E-C66DB2FB68E8}"/>
    <cellStyle name="計算 2 13" xfId="22179" xr:uid="{F4831C0A-9FDF-49CF-B8C3-61CAE10C17F0}"/>
    <cellStyle name="計算 2 13 2" xfId="35251" xr:uid="{D91D3160-67D5-4FB0-A628-C7414D279EA9}"/>
    <cellStyle name="計算 2 14" xfId="22180" xr:uid="{00D4E195-CEA3-4623-9188-A5A0AB706EBE}"/>
    <cellStyle name="計算 2 14 2" xfId="35252" xr:uid="{E497C401-7BC7-4943-A6AB-133482A17713}"/>
    <cellStyle name="計算 2 15" xfId="22181" xr:uid="{268F4C6F-32D5-40CB-9E15-B16D7E6B2ABB}"/>
    <cellStyle name="計算 2 15 2" xfId="35253" xr:uid="{B94B95FA-0254-4DAF-AABA-FD8796D78CE8}"/>
    <cellStyle name="計算 2 16" xfId="22182" xr:uid="{393B3FE2-5F69-4221-B592-DDE994ECB1FE}"/>
    <cellStyle name="計算 2 16 2" xfId="35254" xr:uid="{2C59F25E-AE68-4D33-8919-15604C3B5FBD}"/>
    <cellStyle name="計算 2 17" xfId="22183" xr:uid="{E51EAC9B-DCF5-455F-B5E3-F700DADC5AED}"/>
    <cellStyle name="計算 2 17 2" xfId="35255" xr:uid="{8D86F5D3-43E6-47C1-B6AB-13914E10292D}"/>
    <cellStyle name="計算 2 18" xfId="22184" xr:uid="{84FDF32C-2E7F-4E38-9763-20E97B9F3447}"/>
    <cellStyle name="計算 2 18 2" xfId="35256" xr:uid="{EC5591BC-DD27-438E-807A-AD0B8F03318A}"/>
    <cellStyle name="計算 2 19" xfId="27795" xr:uid="{204E8ED8-12B6-4380-B9D6-7A67EF658BA9}"/>
    <cellStyle name="計算 2 2" xfId="22185" xr:uid="{A21070A2-57EA-4B26-A3DF-698266164828}"/>
    <cellStyle name="計算 2 2 10" xfId="22186" xr:uid="{9FCF07ED-C526-457A-966F-B6D352D09F30}"/>
    <cellStyle name="計算 2 2 10 2" xfId="27797" xr:uid="{185456A6-3346-478B-BFBB-6B726B08DA03}"/>
    <cellStyle name="計算 2 2 11" xfId="22187" xr:uid="{185CEC15-79B6-4043-BCD0-53FF611059D9}"/>
    <cellStyle name="計算 2 2 11 2" xfId="35258" xr:uid="{7F4ACC40-4A4C-4772-8D3C-91C53A9A3443}"/>
    <cellStyle name="計算 2 2 12" xfId="22188" xr:uid="{F8F6DEB4-CE05-4EAC-B11E-DA13411DE72D}"/>
    <cellStyle name="計算 2 2 12 2" xfId="27798" xr:uid="{6D719B5E-8AB4-4F36-BF9D-B3F67214EB91}"/>
    <cellStyle name="計算 2 2 13" xfId="22189" xr:uid="{4D4840E3-5FA0-4F36-A0A5-78CB006D82CF}"/>
    <cellStyle name="計算 2 2 13 2" xfId="35259" xr:uid="{52F78F3E-886E-4DFB-AE00-8CF9BF66FACB}"/>
    <cellStyle name="計算 2 2 14" xfId="22190" xr:uid="{0814B90B-34CB-4DAD-B19C-A0D3FD2C265D}"/>
    <cellStyle name="計算 2 2 14 2" xfId="35260" xr:uid="{BDD374A2-8207-43BD-85F7-0A24A2B4A2F7}"/>
    <cellStyle name="計算 2 2 15" xfId="22191" xr:uid="{77A6A60B-24EA-43C4-8EDF-410036BEDD9F}"/>
    <cellStyle name="計算 2 2 15 2" xfId="27799" xr:uid="{4FFD91FE-FE0D-4554-A663-83F828DCD7B8}"/>
    <cellStyle name="計算 2 2 16" xfId="22192" xr:uid="{C3EC2F9A-1DDB-4FD4-846D-92F9F7EB595A}"/>
    <cellStyle name="計算 2 2 16 2" xfId="35261" xr:uid="{B0AF79B9-76DA-4F0B-BD53-CA46314DD061}"/>
    <cellStyle name="計算 2 2 17" xfId="35257" xr:uid="{2BD1AE49-44CB-4DF6-AB10-5E387C643A71}"/>
    <cellStyle name="計算 2 2 2" xfId="22193" xr:uid="{35A3525B-A382-40ED-8E24-06C41FB3B1D0}"/>
    <cellStyle name="計算 2 2 2 10" xfId="22194" xr:uid="{18A71153-C291-4D36-9AC4-3B408E69C175}"/>
    <cellStyle name="計算 2 2 2 10 2" xfId="35263" xr:uid="{C00F9B7E-195F-4408-B02D-F8A97B5EB20B}"/>
    <cellStyle name="計算 2 2 2 11" xfId="22195" xr:uid="{C1897DFC-11CB-4944-B87F-1580E558C76E}"/>
    <cellStyle name="計算 2 2 2 11 2" xfId="35264" xr:uid="{AA7B0BCB-9089-45D5-9235-2A17B6FDC96B}"/>
    <cellStyle name="計算 2 2 2 12" xfId="22196" xr:uid="{3A17660A-7F76-4C86-BEDA-29A663161C1E}"/>
    <cellStyle name="計算 2 2 2 12 2" xfId="35265" xr:uid="{13BA49E6-940E-42AE-B6D4-425FB5BD33E9}"/>
    <cellStyle name="計算 2 2 2 13" xfId="22197" xr:uid="{90F9CDAB-C8CC-48B2-BF68-3694C27173A7}"/>
    <cellStyle name="計算 2 2 2 13 2" xfId="35266" xr:uid="{1CAB98CD-E058-4542-9D98-7BEF10F86706}"/>
    <cellStyle name="計算 2 2 2 14" xfId="22198" xr:uid="{050126A2-F951-47C1-A630-C3DABB664991}"/>
    <cellStyle name="計算 2 2 2 14 2" xfId="27800" xr:uid="{EDFEE968-B003-458B-8C78-27576F52D03D}"/>
    <cellStyle name="計算 2 2 2 15" xfId="35262" xr:uid="{FBE4C368-AA43-4F4C-BACD-0A16050A8D44}"/>
    <cellStyle name="計算 2 2 2 2" xfId="22199" xr:uid="{8DC84460-A21B-4CAD-A5A6-06F997F689B5}"/>
    <cellStyle name="計算 2 2 2 2 2" xfId="35267" xr:uid="{0A35D244-9B8D-4978-BA2C-3E378D0D1B7A}"/>
    <cellStyle name="計算 2 2 2 3" xfId="22200" xr:uid="{8B326E5D-FA38-4F97-8F0F-CEF45CF94922}"/>
    <cellStyle name="計算 2 2 2 3 2" xfId="27801" xr:uid="{2E499807-CBA5-48C0-AE28-D5A86EA4CED5}"/>
    <cellStyle name="計算 2 2 2 4" xfId="22201" xr:uid="{522A77C6-0A03-40DA-A576-4B601143F4B6}"/>
    <cellStyle name="計算 2 2 2 4 2" xfId="35268" xr:uid="{93B8C99F-7E15-43C1-BEA1-4ECF521DC9A4}"/>
    <cellStyle name="計算 2 2 2 5" xfId="22202" xr:uid="{886642DD-7798-4982-A9F5-853301CA2B97}"/>
    <cellStyle name="計算 2 2 2 5 2" xfId="35269" xr:uid="{3C2B7A5B-A8E1-42DF-A6F2-708485F76F7D}"/>
    <cellStyle name="計算 2 2 2 6" xfId="22203" xr:uid="{9376B5E3-9628-4296-9D1D-186D2EF46396}"/>
    <cellStyle name="計算 2 2 2 6 2" xfId="27802" xr:uid="{8703E59B-C040-4EAA-87A3-796DAB8D3E58}"/>
    <cellStyle name="計算 2 2 2 7" xfId="22204" xr:uid="{214CB942-E558-44AD-A43D-0BED1E7BD439}"/>
    <cellStyle name="計算 2 2 2 7 2" xfId="35270" xr:uid="{DFD98972-4C35-4DFF-91FB-550C552F28A5}"/>
    <cellStyle name="計算 2 2 2 8" xfId="22205" xr:uid="{BAD5ABBC-E348-4E17-AE43-8CBCE2199B06}"/>
    <cellStyle name="計算 2 2 2 8 2" xfId="35271" xr:uid="{0267C94F-495F-4E81-8AA2-2DB08CF64C54}"/>
    <cellStyle name="計算 2 2 2 9" xfId="22206" xr:uid="{6C286CB8-FB44-4DBA-96E9-AD949D32591B}"/>
    <cellStyle name="計算 2 2 2 9 2" xfId="35272" xr:uid="{7946FD6C-A26A-4668-B5D5-3E81DD44200E}"/>
    <cellStyle name="計算 2 2 3" xfId="22207" xr:uid="{61CFACE9-B480-4C3A-BD11-A09C24BF6984}"/>
    <cellStyle name="計算 2 2 3 2" xfId="35273" xr:uid="{7FBDF250-0EC3-4517-9055-F2EAC06F6ADC}"/>
    <cellStyle name="計算 2 2 4" xfId="22208" xr:uid="{FF30151F-75A8-43E6-A18C-52F71A51DCF4}"/>
    <cellStyle name="計算 2 2 4 2" xfId="35274" xr:uid="{7DC4A2E7-6EAA-4D8F-860D-CBBBFCF9D3FD}"/>
    <cellStyle name="計算 2 2 5" xfId="22209" xr:uid="{9DD33A4A-06BD-488B-84E6-57C55DDAA6D5}"/>
    <cellStyle name="計算 2 2 5 2" xfId="35275" xr:uid="{2B57C7C9-856D-48C9-93FB-1691EB13137D}"/>
    <cellStyle name="計算 2 2 6" xfId="22210" xr:uid="{44BD7F91-4E0F-4C4E-8241-F592B158F907}"/>
    <cellStyle name="計算 2 2 6 2" xfId="35276" xr:uid="{3A7ADDD1-3F4D-4674-B2C0-EDBC5D243922}"/>
    <cellStyle name="計算 2 2 7" xfId="22211" xr:uid="{B53A678A-1F14-452A-80CF-ADD9E71FA4B2}"/>
    <cellStyle name="計算 2 2 7 2" xfId="27803" xr:uid="{D6417748-802D-44A4-81E3-317F423929D9}"/>
    <cellStyle name="計算 2 2 8" xfId="22212" xr:uid="{B72CB220-6F4D-46E8-8CD7-E886D4C0F0F2}"/>
    <cellStyle name="計算 2 2 8 2" xfId="35277" xr:uid="{5F37F1E5-78EF-4065-B6F4-9BCBE33DC093}"/>
    <cellStyle name="計算 2 2 9" xfId="22213" xr:uid="{83DE6E77-2A41-4532-964D-A0D69754CB0D}"/>
    <cellStyle name="計算 2 2 9 2" xfId="27804" xr:uid="{02AB6030-7CB4-4040-A861-08B7F90A5739}"/>
    <cellStyle name="計算 2 3" xfId="22214" xr:uid="{3BA1FAC4-3733-4005-A983-2E24A2E67609}"/>
    <cellStyle name="計算 2 3 10" xfId="22215" xr:uid="{D9968506-7E32-477D-9FA3-AA8F58097537}"/>
    <cellStyle name="計算 2 3 10 2" xfId="35279" xr:uid="{27019444-F347-4417-A796-2858B75B59C8}"/>
    <cellStyle name="計算 2 3 11" xfId="22216" xr:uid="{7D3F64EC-D087-4F99-9A3D-39D0808C57B8}"/>
    <cellStyle name="計算 2 3 11 2" xfId="27805" xr:uid="{79951329-0FB9-47F6-944D-110A67E5CB94}"/>
    <cellStyle name="計算 2 3 12" xfId="22217" xr:uid="{BCCF4979-9F9B-4083-AE00-25F20C6C6A71}"/>
    <cellStyle name="計算 2 3 12 2" xfId="35280" xr:uid="{9DED09D6-7FF7-4F1E-9D20-5C182A6E1A12}"/>
    <cellStyle name="計算 2 3 13" xfId="22218" xr:uid="{41EE6F25-2A73-40A0-8F80-7B8DDEE00DE3}"/>
    <cellStyle name="計算 2 3 13 2" xfId="35281" xr:uid="{59C18208-5C40-49BE-9311-D904B62F15AC}"/>
    <cellStyle name="計算 2 3 14" xfId="22219" xr:uid="{ED092145-A827-4C0B-AFDC-CD0776CBB45D}"/>
    <cellStyle name="計算 2 3 14 2" xfId="35282" xr:uid="{49DD042F-F5CC-4470-BA22-3B27B25D0870}"/>
    <cellStyle name="計算 2 3 15" xfId="35278" xr:uid="{450650B6-D12B-41C5-BFD9-A4AD4E920DD4}"/>
    <cellStyle name="計算 2 3 2" xfId="22220" xr:uid="{848559CB-D775-42B6-A69B-1B58A6A739D2}"/>
    <cellStyle name="計算 2 3 2 2" xfId="35283" xr:uid="{F5365A39-44BE-4B49-8E84-194D18BE5885}"/>
    <cellStyle name="計算 2 3 3" xfId="22221" xr:uid="{3F67B218-D020-445F-A987-B96AD770EBFE}"/>
    <cellStyle name="計算 2 3 3 2" xfId="35284" xr:uid="{817BFD65-3ABD-4D56-923C-D60BFB906864}"/>
    <cellStyle name="計算 2 3 4" xfId="22222" xr:uid="{A1BE44AA-EB52-44B2-9AC1-78C368F6AA9E}"/>
    <cellStyle name="計算 2 3 4 2" xfId="27806" xr:uid="{33D75F1B-2631-4133-A36B-E18469EA96AE}"/>
    <cellStyle name="計算 2 3 5" xfId="22223" xr:uid="{33BDF295-D26C-48F4-BFB6-F91E4E3AC87F}"/>
    <cellStyle name="計算 2 3 5 2" xfId="35285" xr:uid="{F91388DA-7A25-474E-8328-ABA41332545B}"/>
    <cellStyle name="計算 2 3 6" xfId="22224" xr:uid="{B02217B8-C77B-4E21-BDB7-3ED91718C7DE}"/>
    <cellStyle name="計算 2 3 6 2" xfId="35286" xr:uid="{42788594-AA78-4B73-AA47-29672E13DDE6}"/>
    <cellStyle name="計算 2 3 7" xfId="22225" xr:uid="{CDE93DE2-9E50-40AF-B47B-9118E8DCECFA}"/>
    <cellStyle name="計算 2 3 7 2" xfId="35287" xr:uid="{3ECF2AA0-5ADD-4C8B-8E3F-EA95327F8585}"/>
    <cellStyle name="計算 2 3 8" xfId="22226" xr:uid="{D884D646-55EB-48DE-A297-B47120FF7FCF}"/>
    <cellStyle name="計算 2 3 8 2" xfId="27807" xr:uid="{D0AC8276-6A96-4ECE-8B11-E2AEA70F9B98}"/>
    <cellStyle name="計算 2 3 9" xfId="22227" xr:uid="{4DBB6B8F-06C0-4BF5-8823-621D707AC2E4}"/>
    <cellStyle name="計算 2 3 9 2" xfId="35288" xr:uid="{F3E0819C-04CA-44EB-9994-98A0AE27C703}"/>
    <cellStyle name="計算 2 4" xfId="22228" xr:uid="{40D56946-8F5D-439F-B252-74FFFB94B8A7}"/>
    <cellStyle name="計算 2 4 2" xfId="35289" xr:uid="{4555E268-7449-4CD8-84CC-55D442F3CD38}"/>
    <cellStyle name="計算 2 5" xfId="22229" xr:uid="{B5CB252F-B1E3-4A17-8308-E3F9B87E25E5}"/>
    <cellStyle name="計算 2 5 2" xfId="35290" xr:uid="{562021D0-B60D-4E3C-AF8A-CB84BB975BF2}"/>
    <cellStyle name="計算 2 6" xfId="22230" xr:uid="{F7311932-FC89-418A-A206-B014E8EB5B51}"/>
    <cellStyle name="計算 2 6 2" xfId="35291" xr:uid="{CBF33B37-80FE-4C5C-8595-7302F94E9B67}"/>
    <cellStyle name="計算 2 7" xfId="22231" xr:uid="{FF52B2A5-3C02-4777-93D3-0233DE5D7B26}"/>
    <cellStyle name="計算 2 7 2" xfId="35292" xr:uid="{69B2737F-ABD8-4A3C-904D-345277F43DD7}"/>
    <cellStyle name="計算 2 8" xfId="22232" xr:uid="{05D8F9D3-2820-4E6E-95A5-B2D557C72211}"/>
    <cellStyle name="計算 2 8 2" xfId="27808" xr:uid="{6B46AD46-E540-4F51-8AAD-461563D13AA6}"/>
    <cellStyle name="計算 2 9" xfId="22233" xr:uid="{AA11FE7C-F808-45A3-B124-052742B9BA89}"/>
    <cellStyle name="計算 2 9 2" xfId="35293" xr:uid="{B29DC50C-1D90-49B0-911C-45880ECF9E97}"/>
    <cellStyle name="計算 3" xfId="22234" xr:uid="{1E29A72D-39BE-4449-90AB-FFA3593540C4}"/>
    <cellStyle name="計算 3 10" xfId="22235" xr:uid="{3D59EF93-2DF3-46C3-B026-A6C511A2818E}"/>
    <cellStyle name="計算 3 10 2" xfId="35294" xr:uid="{8C955F01-07B2-4F00-A78F-EA24B290AA8E}"/>
    <cellStyle name="計算 3 11" xfId="22236" xr:uid="{93D319E7-BF84-4829-A0FA-1C0172B03E99}"/>
    <cellStyle name="計算 3 11 2" xfId="35295" xr:uid="{39157BD7-C0B6-4F3C-A97C-760E29BEC952}"/>
    <cellStyle name="計算 3 12" xfId="22237" xr:uid="{265D6E7E-C6CA-4741-8CF1-FCC6427657E0}"/>
    <cellStyle name="計算 3 12 2" xfId="27810" xr:uid="{0EDC7D59-A21C-40A1-9349-26332F1C8DFC}"/>
    <cellStyle name="計算 3 13" xfId="22238" xr:uid="{D099D48F-63D3-4523-B89B-96ECAF700E18}"/>
    <cellStyle name="計算 3 13 2" xfId="35296" xr:uid="{897B492A-E7F8-4B1E-957C-015F44EA3CE3}"/>
    <cellStyle name="計算 3 14" xfId="22239" xr:uid="{1E559597-3ADF-401B-8B1B-95E5E3E78D13}"/>
    <cellStyle name="計算 3 14 2" xfId="35297" xr:uid="{EE5BFC3C-FEA4-4946-B5F3-46A2F35D6C83}"/>
    <cellStyle name="計算 3 15" xfId="22240" xr:uid="{4D8B50F5-44B7-46DA-9202-DE14FD2FA53D}"/>
    <cellStyle name="計算 3 15 2" xfId="35298" xr:uid="{4502658B-D52D-44C2-8A4F-1D493590DA99}"/>
    <cellStyle name="計算 3 16" xfId="22241" xr:uid="{FEB42BB4-1FB5-402F-A2A3-EC812380B9EC}"/>
    <cellStyle name="計算 3 16 2" xfId="35299" xr:uid="{576DEADC-F8BA-44D0-9173-04C9988D1D9A}"/>
    <cellStyle name="計算 3 17" xfId="22242" xr:uid="{5786B171-5973-461E-9CB7-164123BBDE20}"/>
    <cellStyle name="計算 3 17 2" xfId="27811" xr:uid="{5BCB9FA0-0C29-49D3-9B39-F99E51F0CDA7}"/>
    <cellStyle name="計算 3 18" xfId="27809" xr:uid="{F133633C-B4D3-4D58-8132-9C219799553B}"/>
    <cellStyle name="計算 3 2" xfId="22243" xr:uid="{CD857D6B-5FE9-490A-986D-A64A52CA118B}"/>
    <cellStyle name="計算 3 2 10" xfId="22244" xr:uid="{46E03431-1C18-4B45-8AF2-1F980245243E}"/>
    <cellStyle name="計算 3 2 10 2" xfId="35301" xr:uid="{0507AF4E-DFE7-4593-9499-17C829F2A9C4}"/>
    <cellStyle name="計算 3 2 11" xfId="22245" xr:uid="{ED913B55-D2DD-4535-BAD6-1B9263581EF3}"/>
    <cellStyle name="計算 3 2 11 2" xfId="35302" xr:uid="{2498694A-0CCA-4A83-8CEB-61562A37563C}"/>
    <cellStyle name="計算 3 2 12" xfId="22246" xr:uid="{BCB8A0C7-6B88-41F7-804F-931DE7DD44D9}"/>
    <cellStyle name="計算 3 2 12 2" xfId="27812" xr:uid="{C847D05D-23C7-41BA-8704-E07C38AF5B8A}"/>
    <cellStyle name="計算 3 2 13" xfId="22247" xr:uid="{402DC6FD-B3AD-4DB0-A392-3D054A574D30}"/>
    <cellStyle name="計算 3 2 13 2" xfId="35303" xr:uid="{7ECF3328-B971-47E2-A0EF-1D11AEB0DD42}"/>
    <cellStyle name="計算 3 2 14" xfId="22248" xr:uid="{DD8AD720-6DFF-425F-8641-A0EF19F0E5B5}"/>
    <cellStyle name="計算 3 2 14 2" xfId="27813" xr:uid="{602AEAE3-6283-417F-9EBE-272E6C54C049}"/>
    <cellStyle name="計算 3 2 15" xfId="22249" xr:uid="{47C775B2-7E9B-4797-BD9F-BD9FD587D928}"/>
    <cellStyle name="計算 3 2 15 2" xfId="35304" xr:uid="{2C416A47-38CC-4B6B-9F90-1CD570BC7DF3}"/>
    <cellStyle name="計算 3 2 16" xfId="22250" xr:uid="{31B1288F-0C57-4222-AE2A-CBBADA03D163}"/>
    <cellStyle name="計算 3 2 16 2" xfId="35305" xr:uid="{B4B688A4-FD4C-4AF3-BC41-631D0DC3AE22}"/>
    <cellStyle name="計算 3 2 17" xfId="35300" xr:uid="{3ED978A4-5779-4DD3-848F-95003C9D1270}"/>
    <cellStyle name="計算 3 2 2" xfId="22251" xr:uid="{E277CECD-A904-4699-9A5B-875724E707F1}"/>
    <cellStyle name="計算 3 2 2 10" xfId="22252" xr:uid="{E0D95AB8-78F2-49AA-BCB3-7BA5C2A06AE3}"/>
    <cellStyle name="計算 3 2 2 10 2" xfId="35306" xr:uid="{0BB57380-56E8-4EF6-B676-8A03269DCC81}"/>
    <cellStyle name="計算 3 2 2 11" xfId="22253" xr:uid="{82BD25B1-08ED-45E8-A468-2CA7C47A127E}"/>
    <cellStyle name="計算 3 2 2 11 2" xfId="35307" xr:uid="{1CEEFC72-51CA-46B4-B55F-FB980E35AD62}"/>
    <cellStyle name="計算 3 2 2 12" xfId="22254" xr:uid="{03D685E1-1407-4100-9597-2F4B9CA3445A}"/>
    <cellStyle name="計算 3 2 2 12 2" xfId="35308" xr:uid="{83C6EB98-FB74-4048-BE98-9B895CE2A998}"/>
    <cellStyle name="計算 3 2 2 13" xfId="22255" xr:uid="{B641E72B-2EE2-4BA4-8998-4D65713A447F}"/>
    <cellStyle name="計算 3 2 2 13 2" xfId="35309" xr:uid="{AC71681C-1859-4882-8E37-D8094F337E25}"/>
    <cellStyle name="計算 3 2 2 14" xfId="22256" xr:uid="{5D0F592D-A0AC-4929-A38C-DE55F7E8AF57}"/>
    <cellStyle name="計算 3 2 2 14 2" xfId="35310" xr:uid="{FFB752A6-49A5-452F-9813-CF46815655ED}"/>
    <cellStyle name="計算 3 2 2 15" xfId="27814" xr:uid="{7115D6C3-6892-4DEE-93C0-C20189D04190}"/>
    <cellStyle name="計算 3 2 2 2" xfId="22257" xr:uid="{4EC5C335-1BBE-4C10-8A9A-EA1280BEC795}"/>
    <cellStyle name="計算 3 2 2 2 2" xfId="35311" xr:uid="{7BCFD55E-D945-4F0F-A43A-79D346DC20CF}"/>
    <cellStyle name="計算 3 2 2 3" xfId="22258" xr:uid="{9737C25D-E3D2-4F27-8010-F9214FA6AA87}"/>
    <cellStyle name="計算 3 2 2 3 2" xfId="35312" xr:uid="{A60B3654-AD75-4637-BAD0-1B7B9C45A102}"/>
    <cellStyle name="計算 3 2 2 4" xfId="22259" xr:uid="{75E3AC9F-A837-4AB2-AF4F-F96EA68C91CD}"/>
    <cellStyle name="計算 3 2 2 4 2" xfId="27815" xr:uid="{2E94F52E-291D-421F-B793-8B9EED89C17F}"/>
    <cellStyle name="計算 3 2 2 5" xfId="22260" xr:uid="{452E347E-6AD2-4D66-94D5-AA2341B25063}"/>
    <cellStyle name="計算 3 2 2 5 2" xfId="35313" xr:uid="{140087A1-D92F-459D-8CC6-481716300D05}"/>
    <cellStyle name="計算 3 2 2 6" xfId="22261" xr:uid="{BAB1B2F5-34ED-4C63-82F6-76CC4430A484}"/>
    <cellStyle name="計算 3 2 2 6 2" xfId="27816" xr:uid="{9CD416E0-31E3-4D17-9312-A6111CE0E3FE}"/>
    <cellStyle name="計算 3 2 2 7" xfId="22262" xr:uid="{148BF154-73E0-4ECA-8A35-3EC041AE7DF1}"/>
    <cellStyle name="計算 3 2 2 7 2" xfId="35314" xr:uid="{44E81CE7-1CFE-4419-A705-A93E66296856}"/>
    <cellStyle name="計算 3 2 2 8" xfId="22263" xr:uid="{421A18AE-2B28-4A67-A22E-60E8912AA303}"/>
    <cellStyle name="計算 3 2 2 8 2" xfId="35315" xr:uid="{F9FC4BAE-7D5E-4C00-99FA-268304E0DAA7}"/>
    <cellStyle name="計算 3 2 2 9" xfId="22264" xr:uid="{FDFCF723-EA53-4F4B-9545-8EA608E005E0}"/>
    <cellStyle name="計算 3 2 2 9 2" xfId="27817" xr:uid="{A630E5A1-EA99-4C6C-8C9D-85D3349175D2}"/>
    <cellStyle name="計算 3 2 3" xfId="22265" xr:uid="{74EC742D-5851-498E-B143-968595CFCC22}"/>
    <cellStyle name="計算 3 2 3 2" xfId="35316" xr:uid="{A975AA52-D52D-4B1D-A05A-F031410E3516}"/>
    <cellStyle name="計算 3 2 4" xfId="22266" xr:uid="{BD68228E-68F0-45B7-9E24-8A66ADBEFFE2}"/>
    <cellStyle name="計算 3 2 4 2" xfId="35317" xr:uid="{1A226202-6F3D-41F2-81F1-21926C13A58D}"/>
    <cellStyle name="計算 3 2 5" xfId="22267" xr:uid="{F9D2F4CA-0717-44B0-9FC8-AF72CA119106}"/>
    <cellStyle name="計算 3 2 5 2" xfId="35318" xr:uid="{7DBA6DE4-8E8A-460B-9BB1-E3F092C254AD}"/>
    <cellStyle name="計算 3 2 6" xfId="22268" xr:uid="{AEDB764F-0523-4AE9-BA1A-973CDB5D0E35}"/>
    <cellStyle name="計算 3 2 6 2" xfId="35319" xr:uid="{DF906EF1-8A3B-4B35-B122-F4B999303DA8}"/>
    <cellStyle name="計算 3 2 7" xfId="22269" xr:uid="{02C64131-657F-44BB-8509-B258D1212991}"/>
    <cellStyle name="計算 3 2 7 2" xfId="27818" xr:uid="{DF4C60AC-68DD-4624-9B06-A58517712637}"/>
    <cellStyle name="計算 3 2 8" xfId="22270" xr:uid="{93BE1284-007C-4D30-A5BF-1991B8EA05EF}"/>
    <cellStyle name="計算 3 2 8 2" xfId="35320" xr:uid="{5EF3187F-B793-4893-8A49-95847A44D31E}"/>
    <cellStyle name="計算 3 2 9" xfId="22271" xr:uid="{128F00BD-3191-4B54-A87C-DB55B1E1C745}"/>
    <cellStyle name="計算 3 2 9 2" xfId="35321" xr:uid="{F504D123-B394-459B-A4CD-BA9DC6A03BB2}"/>
    <cellStyle name="計算 3 3" xfId="22272" xr:uid="{50F39736-3DE6-4496-B599-9CD86B8DB6EC}"/>
    <cellStyle name="計算 3 3 10" xfId="22273" xr:uid="{69B46259-466C-49D4-A7A4-0E43D30A1C16}"/>
    <cellStyle name="計算 3 3 10 2" xfId="27819" xr:uid="{97CB63CB-4C46-4DFB-804A-96D11E61B897}"/>
    <cellStyle name="計算 3 3 11" xfId="22274" xr:uid="{20F32156-9E3B-401A-8FA1-7079C6FEE6E2}"/>
    <cellStyle name="計算 3 3 11 2" xfId="35323" xr:uid="{D1B03F73-45A1-49E6-A4DA-2BD801655F63}"/>
    <cellStyle name="計算 3 3 12" xfId="22275" xr:uid="{341571BD-27EF-4741-AEA3-57D78BE56866}"/>
    <cellStyle name="計算 3 3 12 2" xfId="27820" xr:uid="{07629B36-5378-4B02-83B2-6816B0F77E8B}"/>
    <cellStyle name="計算 3 3 13" xfId="22276" xr:uid="{A348206A-1D4D-48FF-8AF0-453FDFD25155}"/>
    <cellStyle name="計算 3 3 13 2" xfId="35324" xr:uid="{91376E73-4EF5-4AF7-8E34-04BC79A6BA74}"/>
    <cellStyle name="計算 3 3 14" xfId="22277" xr:uid="{11E6872F-490B-4D4E-AE90-7CEA64CC1717}"/>
    <cellStyle name="計算 3 3 14 2" xfId="35325" xr:uid="{BC0359B0-1480-463A-B545-6804447D42DA}"/>
    <cellStyle name="計算 3 3 15" xfId="35322" xr:uid="{3F0D1140-C263-4ADE-AC75-26C4BF98E0ED}"/>
    <cellStyle name="計算 3 3 2" xfId="22278" xr:uid="{2B9335D5-FC4B-4F9C-9C78-F27BA0EBEF61}"/>
    <cellStyle name="計算 3 3 2 2" xfId="27821" xr:uid="{692E6C3C-FC07-4BF4-8569-19C6B54CBB33}"/>
    <cellStyle name="計算 3 3 3" xfId="22279" xr:uid="{E3E248E3-38CB-420E-A0AA-7397C7E2361B}"/>
    <cellStyle name="計算 3 3 3 2" xfId="35326" xr:uid="{CC56124F-1A3A-4B9E-8A28-9D9108AFF600}"/>
    <cellStyle name="計算 3 3 4" xfId="22280" xr:uid="{0245E306-75CE-43CD-8BA3-2ACFBD84C13C}"/>
    <cellStyle name="計算 3 3 4 2" xfId="35327" xr:uid="{767083C9-0CC6-4139-ABAA-01A3D264CB75}"/>
    <cellStyle name="計算 3 3 5" xfId="22281" xr:uid="{91A78EBA-FB3D-4A85-8D36-5A72FD045E97}"/>
    <cellStyle name="計算 3 3 5 2" xfId="35328" xr:uid="{284547E5-D4D6-4073-85D9-820E9C1F7761}"/>
    <cellStyle name="計算 3 3 6" xfId="22282" xr:uid="{215904FE-329E-4375-8349-67803AD6D6FA}"/>
    <cellStyle name="計算 3 3 6 2" xfId="35329" xr:uid="{9B4DFA92-D85D-482D-9979-9CD85A55FBA0}"/>
    <cellStyle name="計算 3 3 7" xfId="22283" xr:uid="{9614F75E-259A-4BB2-A90B-B0774204A726}"/>
    <cellStyle name="計算 3 3 7 2" xfId="35330" xr:uid="{E9B561E8-CD6C-4837-B796-E1D9876B8806}"/>
    <cellStyle name="計算 3 3 8" xfId="22284" xr:uid="{0C0360C3-9366-47B8-8C9D-BF6E7D602769}"/>
    <cellStyle name="計算 3 3 8 2" xfId="35331" xr:uid="{D9E8062C-7C71-46A8-BB26-E09C8BA11BFD}"/>
    <cellStyle name="計算 3 3 9" xfId="22285" xr:uid="{E9E9B7EC-C044-4116-8D21-A563B4C9A7B0}"/>
    <cellStyle name="計算 3 3 9 2" xfId="35332" xr:uid="{63E6DDEC-9EC0-4A91-9730-16399027AB04}"/>
    <cellStyle name="計算 3 4" xfId="22286" xr:uid="{407C0A7D-8220-4E5A-87D2-5394A52AD5B8}"/>
    <cellStyle name="計算 3 4 2" xfId="35333" xr:uid="{F5678BCE-3C67-4395-9414-07AE7AF26B1D}"/>
    <cellStyle name="計算 3 5" xfId="22287" xr:uid="{3A8C606B-DF6D-4117-B40D-870884ACB665}"/>
    <cellStyle name="計算 3 5 2" xfId="37786" xr:uid="{3D8E7E70-151F-4E7F-A4BE-C496DB1A3EAA}"/>
    <cellStyle name="計算 3 6" xfId="22288" xr:uid="{072628BF-97C9-4BCC-9471-D00AA377AAAB}"/>
    <cellStyle name="計算 3 6 2" xfId="35334" xr:uid="{84CD2B33-6FD5-49D2-AE3C-D884BCF2306A}"/>
    <cellStyle name="計算 3 7" xfId="22289" xr:uid="{4A13FFA6-2566-4D62-B0DA-7899AC4D4D38}"/>
    <cellStyle name="計算 3 7 2" xfId="35335" xr:uid="{D8ECA69C-3A85-48E3-9FF0-CCA7B6DB5DC1}"/>
    <cellStyle name="計算 3 8" xfId="22290" xr:uid="{A9F82346-A7A7-49BD-A5D7-753E9A0E37FA}"/>
    <cellStyle name="計算 3 8 2" xfId="27822" xr:uid="{EE7F0107-E484-48FE-B989-3E6A4446066D}"/>
    <cellStyle name="計算 3 9" xfId="22291" xr:uid="{EEC32627-560B-4719-9E1D-A153D9E9012D}"/>
    <cellStyle name="計算 3 9 2" xfId="35336" xr:uid="{E9307CAF-54D4-47EB-8306-E7FA73C03140}"/>
    <cellStyle name="計算 4" xfId="22292" xr:uid="{C8891698-1327-4022-89EE-E43BFA5D922C}"/>
    <cellStyle name="計算 4 10" xfId="22293" xr:uid="{11F76127-8E91-4F68-A65C-79C97A30772B}"/>
    <cellStyle name="計算 4 10 2" xfId="35338" xr:uid="{F70B96D3-C02E-4CA3-AAC7-CD0F0834C42B}"/>
    <cellStyle name="計算 4 11" xfId="22294" xr:uid="{3D972FDB-6853-4D2C-BC7D-4C52DC550379}"/>
    <cellStyle name="計算 4 11 2" xfId="35339" xr:uid="{2846D279-4E31-44D5-84F5-99CACB0D456F}"/>
    <cellStyle name="計算 4 12" xfId="22295" xr:uid="{5D6B51F6-CDEF-43FD-B9D9-1D273BBCB8DF}"/>
    <cellStyle name="計算 4 12 2" xfId="35340" xr:uid="{C0A3517A-0B21-4B8B-A50F-22C7DBC5D385}"/>
    <cellStyle name="計算 4 13" xfId="22296" xr:uid="{7205098C-AFBB-4731-B333-9C89E3B34635}"/>
    <cellStyle name="計算 4 13 2" xfId="35341" xr:uid="{954FAFFC-B1DD-4169-AFC8-A3E104FB0D9D}"/>
    <cellStyle name="計算 4 14" xfId="22297" xr:uid="{B8399E44-689D-4ABB-A7C7-775EDF4DE1A4}"/>
    <cellStyle name="計算 4 14 2" xfId="35342" xr:uid="{AD86375D-87EA-424C-A0E1-1129B74F3771}"/>
    <cellStyle name="計算 4 15" xfId="22298" xr:uid="{A4725487-2BAE-4EA5-BE05-3BFFA6F9196D}"/>
    <cellStyle name="計算 4 15 2" xfId="35343" xr:uid="{46914B76-05A3-419F-A6E2-4F013D84AE53}"/>
    <cellStyle name="計算 4 16" xfId="22299" xr:uid="{D230EAEA-734D-4E5B-AB72-0EEBFC15833A}"/>
    <cellStyle name="計算 4 16 2" xfId="35344" xr:uid="{9A9BEAA0-7FAB-4C57-AB8F-557333A99233}"/>
    <cellStyle name="計算 4 17" xfId="35337" xr:uid="{0EF8AAD2-9717-4638-9120-581B02273615}"/>
    <cellStyle name="計算 4 2" xfId="22300" xr:uid="{665D59DA-C1D6-42CB-AD2A-8AB27A4EC613}"/>
    <cellStyle name="計算 4 2 10" xfId="22301" xr:uid="{BFBFB7F0-F66B-49B6-98AB-AF92B14CB3D5}"/>
    <cellStyle name="計算 4 2 10 2" xfId="35346" xr:uid="{5DE89DAD-5EAF-4497-A8FD-E20293C3CD5B}"/>
    <cellStyle name="計算 4 2 11" xfId="22302" xr:uid="{336B17F2-8B83-42F5-8930-BACB8364628D}"/>
    <cellStyle name="計算 4 2 11 2" xfId="35347" xr:uid="{7F75636C-9BD1-4253-9A95-975E008B6EBF}"/>
    <cellStyle name="計算 4 2 12" xfId="22303" xr:uid="{D81B5913-B702-427F-8434-643E11A54353}"/>
    <cellStyle name="計算 4 2 12 2" xfId="35348" xr:uid="{7B22EA4B-2AB8-4EB3-A4C0-A52730563732}"/>
    <cellStyle name="計算 4 2 13" xfId="22304" xr:uid="{4676069A-3130-4A57-A6A1-962BD20105C5}"/>
    <cellStyle name="計算 4 2 13 2" xfId="35349" xr:uid="{8A1945B8-6054-4E22-92B5-411EC9625F84}"/>
    <cellStyle name="計算 4 2 14" xfId="22305" xr:uid="{E5D92285-5CB0-4EE8-8AE3-5A45EDB95783}"/>
    <cellStyle name="計算 4 2 14 2" xfId="35350" xr:uid="{F12A3482-5726-43CA-85D1-E24EDC26F557}"/>
    <cellStyle name="計算 4 2 15" xfId="35345" xr:uid="{44A909F7-F530-44A6-9553-581EB5E0D5CA}"/>
    <cellStyle name="計算 4 2 2" xfId="22306" xr:uid="{BFD44A02-8A34-4ABB-B770-8D162706610B}"/>
    <cellStyle name="計算 4 2 2 2" xfId="35351" xr:uid="{1EF1F42C-80B5-4E6F-9712-0303D6640968}"/>
    <cellStyle name="計算 4 2 3" xfId="22307" xr:uid="{22198540-3CCB-4859-A18B-B89DAAD75DDC}"/>
    <cellStyle name="計算 4 2 3 2" xfId="35352" xr:uid="{8F2ECEC8-F7D2-4A6A-9612-E3E20BEC67FA}"/>
    <cellStyle name="計算 4 2 4" xfId="22308" xr:uid="{9FE9BA1E-DBEF-413D-892C-AC4BC51A451E}"/>
    <cellStyle name="計算 4 2 4 2" xfId="35353" xr:uid="{33C27CD0-1C3B-4AD5-990F-BE925F085E6A}"/>
    <cellStyle name="計算 4 2 5" xfId="22309" xr:uid="{71661187-7BC7-46D9-95FC-BDE46862DA77}"/>
    <cellStyle name="計算 4 2 5 2" xfId="35354" xr:uid="{3D8B9107-3AE5-4704-BA76-2CBFA46183A1}"/>
    <cellStyle name="計算 4 2 6" xfId="22310" xr:uid="{4F36E1A9-51AA-4A97-B2B8-45EADD4D8748}"/>
    <cellStyle name="計算 4 2 6 2" xfId="35355" xr:uid="{7165E358-89E5-43B1-92A6-B527D3A4834C}"/>
    <cellStyle name="計算 4 2 7" xfId="22311" xr:uid="{1D24EC58-E12F-4F2F-8EE5-2E661D3EF515}"/>
    <cellStyle name="計算 4 2 7 2" xfId="35356" xr:uid="{1E332A8C-15F1-4C3E-B4BA-DB07AE9C4580}"/>
    <cellStyle name="計算 4 2 8" xfId="22312" xr:uid="{9D10B145-35DA-4829-85B8-613377A4F46B}"/>
    <cellStyle name="計算 4 2 8 2" xfId="35357" xr:uid="{53B9E926-5C71-4FC2-BC75-7B895CEF30E9}"/>
    <cellStyle name="計算 4 2 9" xfId="22313" xr:uid="{B5EE42B0-1981-4A28-85E6-5A9975EE573E}"/>
    <cellStyle name="計算 4 2 9 2" xfId="35358" xr:uid="{0CFCC7EA-F34A-4F34-A816-29D3C00224CE}"/>
    <cellStyle name="計算 4 3" xfId="22314" xr:uid="{C26999AB-D04F-4EE4-80A7-9DA3A704B80B}"/>
    <cellStyle name="計算 4 3 2" xfId="35359" xr:uid="{5E2CAE8A-3D1E-47F4-8658-8213656BF63D}"/>
    <cellStyle name="計算 4 4" xfId="22315" xr:uid="{BDB3C69E-3AC7-449E-81CB-9BE397DCC771}"/>
    <cellStyle name="計算 4 4 2" xfId="35360" xr:uid="{EAF4DDC2-5F9A-4D27-BFD4-51E204F7A9B2}"/>
    <cellStyle name="計算 4 5" xfId="22316" xr:uid="{E284CAD1-5B5E-44A9-B105-5ECC461E73E7}"/>
    <cellStyle name="計算 4 5 2" xfId="35361" xr:uid="{04D51818-91CB-409D-88EC-1BDBD627D129}"/>
    <cellStyle name="計算 4 6" xfId="22317" xr:uid="{4D6831F5-5209-409B-8EF9-D124392B838C}"/>
    <cellStyle name="計算 4 6 2" xfId="35362" xr:uid="{EF1EE933-178A-43C4-9128-9FD7A4EA1754}"/>
    <cellStyle name="計算 4 7" xfId="22318" xr:uid="{D635A006-9137-4062-BC6B-9B4FF9DD147F}"/>
    <cellStyle name="計算 4 7 2" xfId="35363" xr:uid="{C17B749A-B1F8-4733-AD9E-12D6F8048669}"/>
    <cellStyle name="計算 4 8" xfId="22319" xr:uid="{24183964-DABA-46F2-A03F-3113F0265231}"/>
    <cellStyle name="計算 4 8 2" xfId="35364" xr:uid="{20E88E44-6CE4-4D0B-BF91-8C2BF0CC0E8C}"/>
    <cellStyle name="計算 4 9" xfId="22320" xr:uid="{61FC1245-464F-463A-AD90-FE6EE49F0D69}"/>
    <cellStyle name="計算 4 9 2" xfId="35365" xr:uid="{6397135B-B670-4E1D-92CF-7122CC26F5D0}"/>
    <cellStyle name="計算 5" xfId="22321" xr:uid="{4181EEC2-2375-4F91-B4A4-8ED5D7C8A2D0}"/>
    <cellStyle name="計算 5 2" xfId="35366" xr:uid="{192F0AFA-50B7-4959-B6ED-9739475C0E85}"/>
    <cellStyle name="計算 6" xfId="22322" xr:uid="{471DFBC4-3FCE-4403-A747-C51677B0D7C4}"/>
    <cellStyle name="計算 6 2" xfId="35367" xr:uid="{661207B6-2C84-450E-B87F-680FD38BE707}"/>
    <cellStyle name="説明文 2" xfId="22896" xr:uid="{E6F35E16-A0A1-4AA7-8551-2A7414409B68}"/>
    <cellStyle name="説明文 2 2" xfId="22897" xr:uid="{33BB7CD5-CAA2-4C6B-8F7F-972BB12847A8}"/>
    <cellStyle name="説明文 3" xfId="22898" xr:uid="{622572E9-B8EE-4BC5-938B-F6030EDE5693}"/>
    <cellStyle name="警告文 2" xfId="22323" xr:uid="{0FB7F62D-E0B6-4682-BC01-8C600C4A9A08}"/>
    <cellStyle name="警告文 2 2" xfId="22324" xr:uid="{1C3E6C45-0E6C-43E8-9BBA-8C926131D7D9}"/>
    <cellStyle name="警告文 3" xfId="22325" xr:uid="{63AE6674-0045-4A3E-B7A6-620EFD529A9E}"/>
    <cellStyle name="警告文本" xfId="22326" xr:uid="{DC6ACA04-8E5A-4038-8C6A-FF53C33DDDC5}"/>
    <cellStyle name="警告文本 2" xfId="22327" xr:uid="{F3E520FE-959D-43BE-872E-AD7874E467A3}"/>
    <cellStyle name="警告文本 2 2" xfId="22328" xr:uid="{1665FE86-643D-4AFF-828E-C4DB39A0AF8E}"/>
    <cellStyle name="警告文本 2 2 2" xfId="22329" xr:uid="{AE678AC9-4257-40CF-8F09-BFEF03B6AF26}"/>
    <cellStyle name="警告文本 2 2 2 2" xfId="26436" xr:uid="{98680281-F43E-42EE-886F-01FE8956119D}"/>
    <cellStyle name="警告文本 2 3" xfId="22330" xr:uid="{43CD40E6-B979-4891-A330-2F3C763D0B7E}"/>
    <cellStyle name="警告文本 2 4" xfId="22331" xr:uid="{D0F99299-B9E7-440F-B74C-FA0FA1C19A84}"/>
    <cellStyle name="警告文本 2 4 2" xfId="26437" xr:uid="{8D09AD6E-D085-4CA0-9DC4-7AA9E892AE60}"/>
    <cellStyle name="警告文本 3" xfId="22332" xr:uid="{5BB0BDB4-8DF5-4396-AC2F-2A3CCAE2115D}"/>
    <cellStyle name="警告文本 3 2" xfId="26438" xr:uid="{2E8BD187-5E8B-443C-8694-6DCB9AC0683D}"/>
    <cellStyle name="计算" xfId="24365" xr:uid="{30C98F77-F697-47AE-BC45-122810608E57}"/>
    <cellStyle name="计算 10" xfId="24366" xr:uid="{FFAAC12A-E699-4A31-81EB-5C88DAC29FB3}"/>
    <cellStyle name="计算 10 2" xfId="24367" xr:uid="{950249BE-FAD0-4B3C-B7F3-CB7400EEECEF}"/>
    <cellStyle name="计算 10 2 2" xfId="26922" xr:uid="{8D284A28-0F3A-4EA4-9ABA-4DCF6275414E}"/>
    <cellStyle name="计算 10 2 2 2" xfId="38588" xr:uid="{585F0AAD-5EBD-42F8-B31A-42CC65AE6EDD}"/>
    <cellStyle name="计算 10 2 3" xfId="37799" xr:uid="{69E906A1-84BE-4095-8D27-DF2AB922DE4C}"/>
    <cellStyle name="计算 10 3" xfId="36216" xr:uid="{A46E08B7-DAF5-475F-A7D7-505297CC6415}"/>
    <cellStyle name="计算 11" xfId="24368" xr:uid="{D8122A52-FABA-4C14-A438-C45EB0BE95CD}"/>
    <cellStyle name="计算 11 2" xfId="24369" xr:uid="{BEBCD91B-EE5B-482E-BDBC-4F95C47FF740}"/>
    <cellStyle name="计算 11 2 2" xfId="26923" xr:uid="{39703816-3644-468C-A790-BC4920E9418A}"/>
    <cellStyle name="计算 11 2 2 2" xfId="37420" xr:uid="{6C88836C-3723-4413-9565-115540306309}"/>
    <cellStyle name="计算 11 2 3" xfId="36217" xr:uid="{1C39CC79-D93E-460C-BA33-EADC586F6A9D}"/>
    <cellStyle name="计算 11 3" xfId="38223" xr:uid="{7F609307-2F37-44F8-86B0-89BCA3DC7390}"/>
    <cellStyle name="计算 12" xfId="24370" xr:uid="{CA61D492-9FC8-430F-94FC-40A0B55BFD92}"/>
    <cellStyle name="计算 12 2" xfId="24371" xr:uid="{19A1E85F-97A5-44DC-995A-E5AF6E1C85A1}"/>
    <cellStyle name="计算 12 2 2" xfId="26924" xr:uid="{16EA61EE-CFCB-4B80-A8CC-3D77DA2491D5}"/>
    <cellStyle name="计算 12 2 2 2" xfId="37421" xr:uid="{EFEC961D-2087-4FF1-9DB8-E15E1D84EF8D}"/>
    <cellStyle name="计算 12 2 3" xfId="36218" xr:uid="{19D8499E-D1CB-49E4-8E89-858040FDC87E}"/>
    <cellStyle name="计算 12 3" xfId="27881" xr:uid="{BB63FE96-FF3C-42D3-910D-31A032BF982B}"/>
    <cellStyle name="计算 13" xfId="24372" xr:uid="{9BCF796E-7489-4D1D-A07A-5026C36688A2}"/>
    <cellStyle name="计算 13 2" xfId="24373" xr:uid="{8161E3E9-F1F1-4AF4-BCCD-8F637DE5E981}"/>
    <cellStyle name="计算 13 2 2" xfId="26925" xr:uid="{4AA111CB-3A72-4EC8-8AA5-4E8762B7A8CE}"/>
    <cellStyle name="计算 13 2 2 2" xfId="38589" xr:uid="{9804E1DE-5C09-404B-A1F6-010030A19415}"/>
    <cellStyle name="计算 13 2 3" xfId="36219" xr:uid="{997D0F8F-F9D9-4F48-8E65-A7B575B4F17E}"/>
    <cellStyle name="计算 13 3" xfId="38224" xr:uid="{1BA559F0-09F7-40D5-859B-C6B950AA4319}"/>
    <cellStyle name="计算 14" xfId="24374" xr:uid="{A7ADCE1D-1EF9-4A05-B7E9-ED4D687A7C78}"/>
    <cellStyle name="计算 14 2" xfId="24375" xr:uid="{DF2E5BB3-8FCA-4228-AD48-0D0996EA7CE5}"/>
    <cellStyle name="计算 14 2 2" xfId="26926" xr:uid="{A77E4C94-1924-45EC-BAAD-0392C1AA2789}"/>
    <cellStyle name="计算 14 2 2 2" xfId="37422" xr:uid="{AD790912-6009-421C-97B9-C24638649605}"/>
    <cellStyle name="计算 14 2 3" xfId="27882" xr:uid="{78180293-BDFD-46F3-82AC-9FDD707DA89F}"/>
    <cellStyle name="计算 14 3" xfId="36220" xr:uid="{4BA087F1-BEB3-4EC5-BDC4-DFE0BD85F8D8}"/>
    <cellStyle name="计算 15" xfId="24376" xr:uid="{7DB6A5CB-7A59-4C9A-8761-5F536D7EA646}"/>
    <cellStyle name="计算 15 2" xfId="24377" xr:uid="{2C1D1C78-E546-4DD8-AA32-50A45BEB899A}"/>
    <cellStyle name="计算 15 2 2" xfId="26927" xr:uid="{7DD03E33-DF27-4660-B7A4-232E09D3AEC7}"/>
    <cellStyle name="计算 15 2 2 2" xfId="37423" xr:uid="{2E03F61A-3435-451A-A66F-B0A8358586A2}"/>
    <cellStyle name="计算 15 2 3" xfId="36221" xr:uid="{4DACAA26-005B-4E2F-A331-D73605DAACA1}"/>
    <cellStyle name="计算 15 3" xfId="38225" xr:uid="{D57092F1-475C-49BB-AEAE-C0B5D4CE64E7}"/>
    <cellStyle name="计算 16" xfId="24378" xr:uid="{F73CB04D-60FC-4788-9A60-0B0E43566FDE}"/>
    <cellStyle name="计算 16 2" xfId="24379" xr:uid="{33A79E6C-D42B-4109-A274-8B6492D98CD0}"/>
    <cellStyle name="计算 16 2 2" xfId="26928" xr:uid="{EA9369EF-3FFE-4BA3-B14F-48EC5D3F7E48}"/>
    <cellStyle name="计算 16 2 2 2" xfId="38590" xr:uid="{ABE9ED6D-8F49-4670-9F5B-D3EEF2BC62E0}"/>
    <cellStyle name="计算 16 2 3" xfId="27883" xr:uid="{16CBD157-3F95-43F7-89E9-38FF7436FE20}"/>
    <cellStyle name="计算 16 3" xfId="38226" xr:uid="{DA12890D-11A9-4A1D-99CB-98E3167C29DD}"/>
    <cellStyle name="计算 17" xfId="24380" xr:uid="{42B104E7-DC74-48E8-9E20-BF77EE148021}"/>
    <cellStyle name="计算 17 2" xfId="24381" xr:uid="{8891A031-D956-49F7-AF06-F6F177421F4A}"/>
    <cellStyle name="计算 17 2 2" xfId="26929" xr:uid="{7E088920-C7A5-41B3-A82E-D83DB5364978}"/>
    <cellStyle name="计算 17 2 2 2" xfId="37424" xr:uid="{2424F433-7E62-4D94-B61B-6B830F5EAF3E}"/>
    <cellStyle name="计算 17 2 3" xfId="37800" xr:uid="{17A4E0F0-B535-487F-9168-95EF9476B34E}"/>
    <cellStyle name="计算 17 3" xfId="36222" xr:uid="{F8D7D371-29B5-439F-965C-052373305945}"/>
    <cellStyle name="计算 18" xfId="24382" xr:uid="{A10A4294-8FA3-40E5-8539-DC9ABF65A7B1}"/>
    <cellStyle name="计算 18 2" xfId="24383" xr:uid="{AD15F835-B559-4788-A243-83D7C24D1155}"/>
    <cellStyle name="计算 18 2 2" xfId="26930" xr:uid="{0F5AD2EC-529C-49F8-B7E9-DB55F75092EE}"/>
    <cellStyle name="计算 18 2 2 2" xfId="37425" xr:uid="{7753142A-CA81-430F-B232-9F254DDBD839}"/>
    <cellStyle name="计算 18 2 3" xfId="38227" xr:uid="{07BC68CA-C994-4947-B7C6-EC4FCAE1B18E}"/>
    <cellStyle name="计算 18 3" xfId="36223" xr:uid="{F773FFFF-727D-4018-AF18-9EB6F2E4121E}"/>
    <cellStyle name="计算 19" xfId="24384" xr:uid="{4CD24A4B-3E70-45D4-A943-89299B019180}"/>
    <cellStyle name="计算 19 2" xfId="24385" xr:uid="{27CF6ACF-B8B4-4EE9-95D3-86EBEEC63598}"/>
    <cellStyle name="计算 19 2 2" xfId="26931" xr:uid="{F97EEFD7-8F7E-46F1-9E01-DB4CEBEB14C0}"/>
    <cellStyle name="计算 19 2 2 2" xfId="38591" xr:uid="{3C496B47-2FC3-494D-A9EB-480C1EDF6F4E}"/>
    <cellStyle name="计算 19 2 3" xfId="36224" xr:uid="{76D1EC40-E5D5-48BF-A34A-2A8B8D1412AA}"/>
    <cellStyle name="计算 19 3" xfId="27884" xr:uid="{2120C05E-1814-4ADD-9D2E-DAE68F14054E}"/>
    <cellStyle name="计算 2" xfId="24386" xr:uid="{2D03992C-ED2B-4AE7-9DB4-25D1559A1A10}"/>
    <cellStyle name="计算 2 10" xfId="24387" xr:uid="{49D0BBBC-1927-47F8-B31C-232C3B840ECB}"/>
    <cellStyle name="计算 2 10 2" xfId="24388" xr:uid="{951A9EB9-1892-4926-8154-C8A021287E99}"/>
    <cellStyle name="计算 2 10 2 2" xfId="26932" xr:uid="{928EFEC1-6EE0-4CA3-9FBC-B03B5645274C}"/>
    <cellStyle name="计算 2 10 2 2 2" xfId="37426" xr:uid="{0B6FCA49-5D48-4297-916E-D909540D9FB1}"/>
    <cellStyle name="计算 2 10 2 3" xfId="36226" xr:uid="{AAC0878C-1DC0-4A1D-89D6-DAA5A3ED443C}"/>
    <cellStyle name="计算 2 10 3" xfId="38228" xr:uid="{824F4319-FD74-4D95-B863-8390758489BF}"/>
    <cellStyle name="计算 2 11" xfId="24389" xr:uid="{F2DD6416-4C11-4551-8066-031E63503215}"/>
    <cellStyle name="计算 2 11 2" xfId="24390" xr:uid="{9B41AF65-0F98-414D-A496-DA104CCA08AA}"/>
    <cellStyle name="计算 2 11 2 2" xfId="26933" xr:uid="{E64E7BFD-05BA-42E1-A060-7483642680B8}"/>
    <cellStyle name="计算 2 11 2 2 2" xfId="37427" xr:uid="{1A5D7FC0-6C78-45DF-AC62-7C2A485F5EBD}"/>
    <cellStyle name="计算 2 11 2 3" xfId="27885" xr:uid="{29A0F06E-FFFD-4AB4-9270-B434EFB0D4E0}"/>
    <cellStyle name="计算 2 11 3" xfId="36227" xr:uid="{E5F0C37F-B77F-4579-90D5-15E6D6C73181}"/>
    <cellStyle name="计算 2 12" xfId="24391" xr:uid="{A929E40F-E53C-416C-A01C-509115B2622B}"/>
    <cellStyle name="计算 2 12 2" xfId="24392" xr:uid="{4859E710-E6EE-4486-9A4E-756E32886CE4}"/>
    <cellStyle name="计算 2 12 2 2" xfId="26934" xr:uid="{2C93D03F-BFDB-4741-BF45-D15893CDE2FC}"/>
    <cellStyle name="计算 2 12 2 2 2" xfId="38592" xr:uid="{CF6218E6-D093-4A69-A95D-F23FC1F552AF}"/>
    <cellStyle name="计算 2 12 2 3" xfId="36228" xr:uid="{197608B4-6205-4E27-BD1E-7867D220F3BB}"/>
    <cellStyle name="计算 2 12 3" xfId="38229" xr:uid="{8E86FAF8-7855-4991-80E6-DF71DC0E5A8D}"/>
    <cellStyle name="计算 2 13" xfId="24393" xr:uid="{7C0685D4-323E-44AA-A998-60A2BE99B4B6}"/>
    <cellStyle name="计算 2 13 2" xfId="24394" xr:uid="{B3DD2DB9-848B-42C3-9B8D-647233401EDA}"/>
    <cellStyle name="计算 2 13 2 2" xfId="26935" xr:uid="{A74C2B1C-185A-4294-98AB-A478098B84B7}"/>
    <cellStyle name="计算 2 13 2 2 2" xfId="37428" xr:uid="{01300410-DE31-46FE-954D-952A3D02D887}"/>
    <cellStyle name="计算 2 13 2 3" xfId="27886" xr:uid="{C906CAC3-D9D3-47BC-BDC0-087B8CFFF86A}"/>
    <cellStyle name="计算 2 13 3" xfId="36229" xr:uid="{025D8C5B-4BFC-4742-A809-1DDA29DF2801}"/>
    <cellStyle name="计算 2 14" xfId="24395" xr:uid="{D485550A-23C2-43AF-BAF9-483884A974B3}"/>
    <cellStyle name="计算 2 14 2" xfId="24396" xr:uid="{3213EABB-0C25-47F7-9734-F04A2DE3D208}"/>
    <cellStyle name="计算 2 14 2 2" xfId="26936" xr:uid="{8305CBAC-02BD-4A7B-AA71-FD56A64DE2C9}"/>
    <cellStyle name="计算 2 14 2 2 2" xfId="37429" xr:uid="{88BEF079-2E35-40F3-A07D-411EF2BCED91}"/>
    <cellStyle name="计算 2 14 2 3" xfId="36230" xr:uid="{0BEE12BC-EE12-4613-8ABC-71BAE9C0B2B9}"/>
    <cellStyle name="计算 2 14 3" xfId="38230" xr:uid="{4FC4871C-04FD-4501-9564-B9228FD5A657}"/>
    <cellStyle name="计算 2 15" xfId="24397" xr:uid="{A99CB4CF-CFEB-44ED-B39A-B41CCBA04B18}"/>
    <cellStyle name="计算 2 15 2" xfId="24398" xr:uid="{12866375-9374-407D-BE61-9FD028E0DE23}"/>
    <cellStyle name="计算 2 15 2 2" xfId="26937" xr:uid="{90E63B85-5ADA-4195-92F8-9F49CEB99419}"/>
    <cellStyle name="计算 2 15 2 2 2" xfId="38593" xr:uid="{54F841F7-0769-4AA3-98B5-7E51C0C0B2FF}"/>
    <cellStyle name="计算 2 15 2 3" xfId="36231" xr:uid="{4CCA1CC0-7A2F-46A8-B719-DB0474813205}"/>
    <cellStyle name="计算 2 15 3" xfId="37801" xr:uid="{CA1C3089-B0D2-4108-B42E-CBC0DF8E5475}"/>
    <cellStyle name="计算 2 16" xfId="24399" xr:uid="{30E7AFF3-1E9D-4DD4-A70F-5FBD39B0AB24}"/>
    <cellStyle name="计算 2 16 2" xfId="24400" xr:uid="{974D7F98-CD81-4F32-BFBC-16650C15FEBA}"/>
    <cellStyle name="计算 2 16 2 2" xfId="26938" xr:uid="{917E9419-B8A8-493F-9BBF-96F85BA7A96C}"/>
    <cellStyle name="计算 2 16 2 2 2" xfId="37430" xr:uid="{4F75EC0B-7FF5-4BC9-8A4F-769C09C7ECD7}"/>
    <cellStyle name="计算 2 16 2 3" xfId="36232" xr:uid="{A79F58D5-5A6E-4F76-82F3-5C6635D154B0}"/>
    <cellStyle name="计算 2 16 3" xfId="38231" xr:uid="{769FFDBD-7409-456B-8C8B-D0CBA4478EAD}"/>
    <cellStyle name="计算 2 17" xfId="24401" xr:uid="{003BEE55-A2D3-4C37-BD3A-ED7D26144345}"/>
    <cellStyle name="计算 2 17 2" xfId="24402" xr:uid="{1C688745-5AE2-427A-A86D-7820A0AE7530}"/>
    <cellStyle name="计算 2 17 2 2" xfId="26939" xr:uid="{D3A75380-724C-445A-9512-A9B853590E9D}"/>
    <cellStyle name="计算 2 17 2 2 2" xfId="37431" xr:uid="{2CAB7916-DC12-4B18-A437-62217B3253A4}"/>
    <cellStyle name="计算 2 17 2 3" xfId="36233" xr:uid="{E8888380-F877-4C5C-BD3B-581D1664A650}"/>
    <cellStyle name="计算 2 17 3" xfId="27887" xr:uid="{EAEDF086-9559-45C2-A51D-15F80E692934}"/>
    <cellStyle name="计算 2 18" xfId="24403" xr:uid="{52EAA87A-F7BE-42EA-8697-B9D3C91EF42E}"/>
    <cellStyle name="计算 2 18 2" xfId="26940" xr:uid="{49EA4F02-FCFC-42D7-983C-2B42BF744A2C}"/>
    <cellStyle name="计算 2 18 2 2" xfId="38594" xr:uid="{E064B921-70DF-43DC-85BA-97AE10D879F7}"/>
    <cellStyle name="计算 2 18 3" xfId="38232" xr:uid="{4689EC73-C9B1-4210-8E4E-49E17F51EFEE}"/>
    <cellStyle name="计算 2 19" xfId="36225" xr:uid="{B1EA02F8-E1F4-4BA1-B918-91E9F3548732}"/>
    <cellStyle name="计算 2 2" xfId="24404" xr:uid="{BB64047C-3B71-484C-A63C-3C3D2D996ABF}"/>
    <cellStyle name="计算 2 2 10" xfId="24405" xr:uid="{55E50F65-1EF2-4C8A-A583-DDBD47321EF7}"/>
    <cellStyle name="计算 2 2 10 2" xfId="24406" xr:uid="{19C891D3-FCBB-4C14-869C-94DE30B5DDCB}"/>
    <cellStyle name="计算 2 2 10 2 2" xfId="26941" xr:uid="{CF5839FD-0A0D-4C11-B117-03FD8506F47C}"/>
    <cellStyle name="计算 2 2 10 2 2 2" xfId="37432" xr:uid="{4EF3C54C-03B6-48F1-826E-59C103FE8A5B}"/>
    <cellStyle name="计算 2 2 10 2 3" xfId="36235" xr:uid="{15315440-C960-4499-BCEB-2061C4974BF1}"/>
    <cellStyle name="计算 2 2 10 3" xfId="27888" xr:uid="{6CE53389-3A41-41A8-A6CC-7C1DABD7213A}"/>
    <cellStyle name="计算 2 2 11" xfId="24407" xr:uid="{2B44562B-0CE0-4E8B-A0E3-CED47186F54F}"/>
    <cellStyle name="计算 2 2 11 2" xfId="24408" xr:uid="{8EEE3938-4CCB-4DF8-A0A6-6AE1EB27ECD1}"/>
    <cellStyle name="计算 2 2 11 2 2" xfId="26942" xr:uid="{EAC6839C-80AF-4F36-9480-EFF6C03881B8}"/>
    <cellStyle name="计算 2 2 11 2 2 2" xfId="37433" xr:uid="{A80AA733-A23F-44C1-938F-373F73858CC5}"/>
    <cellStyle name="计算 2 2 11 2 3" xfId="36236" xr:uid="{0281A6AA-8522-4DBE-8755-C5419068B885}"/>
    <cellStyle name="计算 2 2 11 3" xfId="38233" xr:uid="{07751951-0FC2-4B07-A5EE-F4DDF9A39BA0}"/>
    <cellStyle name="计算 2 2 12" xfId="24409" xr:uid="{C250B63A-F8B9-4BF5-94B5-3C990174FA7F}"/>
    <cellStyle name="计算 2 2 12 2" xfId="24410" xr:uid="{AA2D37E2-98CE-4411-B7BF-CCEAF8978391}"/>
    <cellStyle name="计算 2 2 12 2 2" xfId="26943" xr:uid="{91530FA8-953A-4C4C-A01F-144DC24C8F6F}"/>
    <cellStyle name="计算 2 2 12 2 2 2" xfId="38595" xr:uid="{C2BE8A48-A985-468D-985B-F974363069D9}"/>
    <cellStyle name="计算 2 2 12 2 3" xfId="36237" xr:uid="{E18FCF50-CE38-4852-9685-F9E15588C798}"/>
    <cellStyle name="计算 2 2 12 3" xfId="27889" xr:uid="{CEE3ADB2-FC65-413C-8016-CCD5889A8D82}"/>
    <cellStyle name="计算 2 2 13" xfId="24411" xr:uid="{3ED87FF0-E8CE-4E70-9E07-7C053ABF4EC1}"/>
    <cellStyle name="计算 2 2 13 2" xfId="24412" xr:uid="{1230F15B-47C6-4EDC-B8AA-569E063CCAFE}"/>
    <cellStyle name="计算 2 2 13 2 2" xfId="26944" xr:uid="{D9BF0913-DBD9-4C66-B5C5-BFB48D285021}"/>
    <cellStyle name="计算 2 2 13 2 2 2" xfId="37434" xr:uid="{2A73CDE9-5469-4059-8DD0-C65397026677}"/>
    <cellStyle name="计算 2 2 13 2 3" xfId="36238" xr:uid="{517EF362-FDAE-46E2-A545-1448726FEBF4}"/>
    <cellStyle name="计算 2 2 13 3" xfId="38234" xr:uid="{B79350C4-E92B-4126-A2DB-49042BF7EBA2}"/>
    <cellStyle name="计算 2 2 14" xfId="24413" xr:uid="{5AA9343B-8C16-4A16-AB28-087497FB5031}"/>
    <cellStyle name="计算 2 2 14 2" xfId="24414" xr:uid="{C2E3000E-C1A6-4509-95A5-C21E2153BF9F}"/>
    <cellStyle name="计算 2 2 14 2 2" xfId="26945" xr:uid="{596AE461-4FF9-428C-902C-F5099A0D9F47}"/>
    <cellStyle name="计算 2 2 14 2 2 2" xfId="37435" xr:uid="{EAA7C1C7-59B0-490E-8C86-85B90DF39A0B}"/>
    <cellStyle name="计算 2 2 14 2 3" xfId="36239" xr:uid="{74F3FB72-19C6-4FEE-82D4-373CE526DD19}"/>
    <cellStyle name="计算 2 2 14 3" xfId="37802" xr:uid="{7C5A4DB8-345B-4E2F-8717-3EE3E804DDFC}"/>
    <cellStyle name="计算 2 2 15" xfId="24415" xr:uid="{2BFD7DDE-8A7E-4AB8-A620-49B75F4AA249}"/>
    <cellStyle name="计算 2 2 15 2" xfId="24416" xr:uid="{B83C99B0-6F81-4D5D-A10D-B2C675C85436}"/>
    <cellStyle name="计算 2 2 15 2 2" xfId="26946" xr:uid="{7C34E32B-50A1-4A9A-B4DD-E3C2F4DBFBAE}"/>
    <cellStyle name="计算 2 2 15 2 2 2" xfId="38596" xr:uid="{022CBD73-2D9B-4826-9350-AE26EF016C91}"/>
    <cellStyle name="计算 2 2 15 2 3" xfId="36240" xr:uid="{5AEA5118-F213-491B-B2FB-DC2A11C10862}"/>
    <cellStyle name="计算 2 2 15 3" xfId="38235" xr:uid="{01BDB588-9146-4BE3-ACEC-702AAB4A0DFA}"/>
    <cellStyle name="计算 2 2 16" xfId="24417" xr:uid="{6F4AC7AB-CA44-4906-A4E3-503BC9715176}"/>
    <cellStyle name="计算 2 2 16 2" xfId="24418" xr:uid="{A7E9C595-0801-4480-9FC5-78D357CD86B1}"/>
    <cellStyle name="计算 2 2 16 2 2" xfId="26947" xr:uid="{C9B4C261-73EB-4984-B24F-C94CDA879D84}"/>
    <cellStyle name="计算 2 2 16 2 2 2" xfId="37436" xr:uid="{9EF7D7F5-B88B-4FA8-9F7C-92CACAD4F953}"/>
    <cellStyle name="计算 2 2 16 2 3" xfId="36241" xr:uid="{7504CD20-E3B4-4624-A574-C6A83B00ABDD}"/>
    <cellStyle name="计算 2 2 16 3" xfId="27890" xr:uid="{777C6F7A-2A26-45B3-B573-6535ED6A7017}"/>
    <cellStyle name="计算 2 2 17" xfId="24419" xr:uid="{5EDECCD2-6967-4D03-BC06-D56735D71A8E}"/>
    <cellStyle name="计算 2 2 17 2" xfId="26948" xr:uid="{CA75BA44-CB65-498B-B75E-1F6DF65F7700}"/>
    <cellStyle name="计算 2 2 17 2 2" xfId="38597" xr:uid="{D6B72037-32BE-4934-BB2A-D94F8F286E8F}"/>
    <cellStyle name="计算 2 2 17 3" xfId="38236" xr:uid="{595254EE-9521-4BE7-8255-BCF0A97C638F}"/>
    <cellStyle name="计算 2 2 18" xfId="36234" xr:uid="{2A75F5F2-B28F-4C8D-AFD2-D0B797A8FFA8}"/>
    <cellStyle name="计算 2 2 2" xfId="24420" xr:uid="{CABC5530-6F41-435A-8552-75143B4754FB}"/>
    <cellStyle name="计算 2 2 2 10" xfId="24421" xr:uid="{B3FC7027-DA5B-46E4-8EFC-2D934DADDE96}"/>
    <cellStyle name="计算 2 2 2 10 2" xfId="24422" xr:uid="{3EBEE49B-F3C6-46FD-AA6B-A243C263DB07}"/>
    <cellStyle name="计算 2 2 2 10 2 2" xfId="26949" xr:uid="{2FDC5323-170A-4E54-9D8D-90A42905AFF6}"/>
    <cellStyle name="计算 2 2 2 10 2 2 2" xfId="37437" xr:uid="{10E9648D-5724-4A5C-9877-EAB93D627DE8}"/>
    <cellStyle name="计算 2 2 2 10 2 3" xfId="36243" xr:uid="{83834E3D-8ECA-4561-B225-C42603825E4F}"/>
    <cellStyle name="计算 2 2 2 10 3" xfId="27891" xr:uid="{1B8E0515-A17D-41C5-BA8F-9EE6E478A141}"/>
    <cellStyle name="计算 2 2 2 11" xfId="24423" xr:uid="{305816AE-65B7-4AE6-A242-7DCCFCBB8E87}"/>
    <cellStyle name="计算 2 2 2 11 2" xfId="24424" xr:uid="{6963A698-95D0-40C1-A57A-4462F7BFA3F3}"/>
    <cellStyle name="计算 2 2 2 11 2 2" xfId="26950" xr:uid="{E07D14EF-EC8C-475C-B5D1-5C0BB0B1233C}"/>
    <cellStyle name="计算 2 2 2 11 2 2 2" xfId="37438" xr:uid="{7F88E403-8E85-4173-ADC2-11CBE4D66A8E}"/>
    <cellStyle name="计算 2 2 2 11 2 3" xfId="36244" xr:uid="{61C336E9-396D-4978-B3A2-E8E606D6BE7F}"/>
    <cellStyle name="计算 2 2 2 11 3" xfId="38237" xr:uid="{6C9EDEC0-B504-459B-A1FB-B7853DB8BB53}"/>
    <cellStyle name="计算 2 2 2 12" xfId="24425" xr:uid="{8CCF8E27-9DAF-4EF5-85B9-B4ECF040A47E}"/>
    <cellStyle name="计算 2 2 2 12 2" xfId="24426" xr:uid="{F4FDE4E8-3B45-4F3F-BE0E-EF556E74A3B4}"/>
    <cellStyle name="计算 2 2 2 12 2 2" xfId="26951" xr:uid="{A7E46D3B-6955-42F9-A18F-9B11367445FA}"/>
    <cellStyle name="计算 2 2 2 12 2 2 2" xfId="37439" xr:uid="{01E465FD-CA59-478F-9DC5-5C43E8D0F7D6}"/>
    <cellStyle name="计算 2 2 2 12 2 3" xfId="38238" xr:uid="{AFC879FD-0B79-42EC-88DF-E7467AAC2ED0}"/>
    <cellStyle name="计算 2 2 2 12 3" xfId="36245" xr:uid="{56A346F3-03B4-413D-840D-8971A5FF6DA8}"/>
    <cellStyle name="计算 2 2 2 13" xfId="24427" xr:uid="{50E37C7A-3684-4ED7-A40C-817605E96225}"/>
    <cellStyle name="计算 2 2 2 13 2" xfId="24428" xr:uid="{CA710F4E-B851-4A92-88A8-D0FFD88AFE38}"/>
    <cellStyle name="计算 2 2 2 13 2 2" xfId="26952" xr:uid="{85B86458-33B6-4A05-AF80-7603E836C543}"/>
    <cellStyle name="计算 2 2 2 13 2 2 2" xfId="38598" xr:uid="{555FF018-0FF5-47FC-9FC4-05F3FAE59141}"/>
    <cellStyle name="计算 2 2 2 13 2 3" xfId="36246" xr:uid="{0C2CDBE3-3FD4-46E4-B0B0-12495B3C9685}"/>
    <cellStyle name="计算 2 2 2 13 3" xfId="27892" xr:uid="{104018C0-7ADC-4E66-BB73-3272E2FF2C6C}"/>
    <cellStyle name="计算 2 2 2 14" xfId="24429" xr:uid="{D745B9DE-AB8F-4F0A-8F1A-6C9003F27FFB}"/>
    <cellStyle name="计算 2 2 2 14 2" xfId="24430" xr:uid="{4EB8D7E8-D170-42CC-A488-CBD8CD2C4208}"/>
    <cellStyle name="计算 2 2 2 14 2 2" xfId="26953" xr:uid="{D04BEF2F-4171-4DC0-A633-2A27197E95AF}"/>
    <cellStyle name="计算 2 2 2 14 2 2 2" xfId="37440" xr:uid="{14473297-2C23-4E68-97E7-32895DDAF39F}"/>
    <cellStyle name="计算 2 2 2 14 2 3" xfId="38239" xr:uid="{B3DC2EC4-D99E-4333-A613-719139BDAA80}"/>
    <cellStyle name="计算 2 2 2 14 3" xfId="36247" xr:uid="{47DE9020-8494-4E72-AFF1-78AD3E11CF4B}"/>
    <cellStyle name="计算 2 2 2 15" xfId="24431" xr:uid="{8B98E515-7F47-4BCE-B702-6DB8DD6EF278}"/>
    <cellStyle name="计算 2 2 2 15 2" xfId="26954" xr:uid="{A0B73772-41D3-42FA-AE09-1B123AD538C0}"/>
    <cellStyle name="计算 2 2 2 15 2 2" xfId="37441" xr:uid="{2BBEA777-671C-4D02-88E3-801FED39B5F5}"/>
    <cellStyle name="计算 2 2 2 15 3" xfId="36248" xr:uid="{305DA3C5-620F-4F41-957A-1E7FDA4C8507}"/>
    <cellStyle name="计算 2 2 2 16" xfId="36242" xr:uid="{E3C7A1E2-9281-417D-8D18-29BC112BA1D6}"/>
    <cellStyle name="计算 2 2 2 2" xfId="24432" xr:uid="{1F3A87B3-204D-430C-923A-0C0719F76ED5}"/>
    <cellStyle name="计算 2 2 2 2 2" xfId="24433" xr:uid="{6D69EA55-4A89-4BB1-B225-81B8A97334DF}"/>
    <cellStyle name="计算 2 2 2 2 2 2" xfId="26955" xr:uid="{9EEB72D1-CB10-4933-B437-739D295953DC}"/>
    <cellStyle name="计算 2 2 2 2 2 2 2" xfId="38599" xr:uid="{947DE0B6-FC27-4D9C-83DC-E64306F7688E}"/>
    <cellStyle name="计算 2 2 2 2 2 3" xfId="38240" xr:uid="{0B061983-7C61-4560-9516-23A361CD4584}"/>
    <cellStyle name="计算 2 2 2 2 3" xfId="36249" xr:uid="{BB4CCB0A-518A-41CE-BD5E-4F66DE7BD6B4}"/>
    <cellStyle name="计算 2 2 2 3" xfId="24434" xr:uid="{AD75970E-8AD5-4473-9B59-A90697E7BE1D}"/>
    <cellStyle name="计算 2 2 2 3 2" xfId="24435" xr:uid="{90554E24-04A4-44A1-ADD5-41C0C6F82183}"/>
    <cellStyle name="计算 2 2 2 3 2 2" xfId="26956" xr:uid="{295B0C32-E723-4932-9820-3BCFA57A7D86}"/>
    <cellStyle name="计算 2 2 2 3 2 2 2" xfId="37442" xr:uid="{A93B78F8-A09B-419C-B523-34E9BF71BC3D}"/>
    <cellStyle name="计算 2 2 2 3 2 3" xfId="36251" xr:uid="{35C11A21-79A0-47DF-83F2-557017D29AA2}"/>
    <cellStyle name="计算 2 2 2 3 3" xfId="36250" xr:uid="{73D1450F-C047-4D13-8164-C6B55C8DCDB7}"/>
    <cellStyle name="计算 2 2 2 4" xfId="24436" xr:uid="{9FBD703E-3B4F-4650-BF1B-8B920E0A4D90}"/>
    <cellStyle name="计算 2 2 2 4 2" xfId="24437" xr:uid="{346046F5-9BB5-42EC-8814-22CF9B144180}"/>
    <cellStyle name="计算 2 2 2 4 2 2" xfId="26957" xr:uid="{87275BF2-EC37-455A-AD30-2F30927E3CDB}"/>
    <cellStyle name="计算 2 2 2 4 2 2 2" xfId="37443" xr:uid="{068FBF55-6BA3-4143-A78F-33DC672001A0}"/>
    <cellStyle name="计算 2 2 2 4 2 3" xfId="36252" xr:uid="{AD83A4F3-ADE7-43AF-8F15-C4F4E53DD4D6}"/>
    <cellStyle name="计算 2 2 2 4 3" xfId="38241" xr:uid="{E0DB6116-6051-4A00-9AD0-3E337F18BF42}"/>
    <cellStyle name="计算 2 2 2 5" xfId="24438" xr:uid="{907F6062-C219-4684-A3D2-88EBA0D234B3}"/>
    <cellStyle name="计算 2 2 2 5 2" xfId="24439" xr:uid="{59A8491C-41EF-43FA-BCCF-F7E2A797E7D9}"/>
    <cellStyle name="计算 2 2 2 5 2 2" xfId="26958" xr:uid="{C934BA60-3D2C-43C5-94F7-7695D31BB86C}"/>
    <cellStyle name="计算 2 2 2 5 2 2 2" xfId="38600" xr:uid="{A96182E7-5458-413E-885A-BDBF8D39FEDD}"/>
    <cellStyle name="计算 2 2 2 5 2 3" xfId="36253" xr:uid="{E6AFE64B-956E-4D2F-9723-D53E0949CDBA}"/>
    <cellStyle name="计算 2 2 2 5 3" xfId="37803" xr:uid="{E5B13C65-2796-44D8-9220-FF2C9AEC9DB3}"/>
    <cellStyle name="计算 2 2 2 6" xfId="24440" xr:uid="{69CB4BF5-FBEB-4D54-8CE8-8104E52A27B3}"/>
    <cellStyle name="计算 2 2 2 6 2" xfId="24441" xr:uid="{2918D3C8-50FC-4E7F-842C-05E7822D133E}"/>
    <cellStyle name="计算 2 2 2 6 2 2" xfId="26959" xr:uid="{58BC1946-4D89-4AC6-ACC1-F99E2A81AF16}"/>
    <cellStyle name="计算 2 2 2 6 2 2 2" xfId="37444" xr:uid="{1538C565-4D78-43AA-907F-6D8BF7C00038}"/>
    <cellStyle name="计算 2 2 2 6 2 3" xfId="36255" xr:uid="{622C5306-683B-46A5-BFDE-3A64706AE456}"/>
    <cellStyle name="计算 2 2 2 6 3" xfId="36254" xr:uid="{B440D53F-FC05-4CC5-8E1A-9D1A04944044}"/>
    <cellStyle name="计算 2 2 2 7" xfId="24442" xr:uid="{7E37F99F-FCB5-45C6-ACF5-75AF989725C3}"/>
    <cellStyle name="计算 2 2 2 7 2" xfId="24443" xr:uid="{9A813D42-A1DB-419C-9C50-5B5479738A91}"/>
    <cellStyle name="计算 2 2 2 7 2 2" xfId="26960" xr:uid="{5E7D4EC2-4D53-4DFE-A3A1-8D463A22A480}"/>
    <cellStyle name="计算 2 2 2 7 2 2 2" xfId="37445" xr:uid="{C0CB6DC6-BAE4-403C-9F8A-4544ADBC7AB4}"/>
    <cellStyle name="计算 2 2 2 7 2 3" xfId="38242" xr:uid="{0E6D3F1C-3376-41B7-9145-70FE3A7B3A9A}"/>
    <cellStyle name="计算 2 2 2 7 3" xfId="36256" xr:uid="{997E4EFC-0893-448E-A063-16E7AA1C30D5}"/>
    <cellStyle name="计算 2 2 2 8" xfId="24444" xr:uid="{0ADAF7C8-B25A-4714-8B56-FB0F41DF459D}"/>
    <cellStyle name="计算 2 2 2 8 2" xfId="24445" xr:uid="{BD567288-583B-4B9D-87DF-62638DA5348C}"/>
    <cellStyle name="计算 2 2 2 8 2 2" xfId="26961" xr:uid="{577ABD49-96B9-40F0-B385-B48C5E674058}"/>
    <cellStyle name="计算 2 2 2 8 2 2 2" xfId="38601" xr:uid="{069B6A4A-A8F5-4CD3-AE24-CC808C1E344F}"/>
    <cellStyle name="计算 2 2 2 8 2 3" xfId="38243" xr:uid="{294FCB77-1103-4242-A1DA-003860748FBE}"/>
    <cellStyle name="计算 2 2 2 8 3" xfId="36257" xr:uid="{4297C3AF-5618-460B-B9FE-4B77AFE992E0}"/>
    <cellStyle name="计算 2 2 2 9" xfId="24446" xr:uid="{7182FA89-D197-445E-8673-ABBAE62955A8}"/>
    <cellStyle name="计算 2 2 2 9 2" xfId="24447" xr:uid="{85A6173F-91CA-4BB1-A01E-14EEFB3E21E3}"/>
    <cellStyle name="计算 2 2 2 9 2 2" xfId="26962" xr:uid="{C3AF8E44-EF61-46BF-9060-9F3B7DC91E5C}"/>
    <cellStyle name="计算 2 2 2 9 2 2 2" xfId="37446" xr:uid="{C480C496-22C6-4767-9D24-B7651A5EF008}"/>
    <cellStyle name="计算 2 2 2 9 2 3" xfId="36259" xr:uid="{5A5F6239-B785-4330-8469-3748B25C1F39}"/>
    <cellStyle name="计算 2 2 2 9 3" xfId="36258" xr:uid="{BC6582BD-99B4-4500-9886-5FAE82EBEC65}"/>
    <cellStyle name="计算 2 2 3" xfId="24448" xr:uid="{01CC231A-A2A6-4852-9772-7895E042671B}"/>
    <cellStyle name="计算 2 2 3 2" xfId="24449" xr:uid="{69533428-00B1-4E3B-BB2C-F70266854143}"/>
    <cellStyle name="计算 2 2 3 2 2" xfId="26963" xr:uid="{CE737800-CC21-4257-8B4C-4EE393D6B7E6}"/>
    <cellStyle name="计算 2 2 3 2 2 2" xfId="37447" xr:uid="{8454CF80-BCF3-490B-82B9-7EC4134CCAB2}"/>
    <cellStyle name="计算 2 2 3 2 3" xfId="27893" xr:uid="{A6F1B10B-E8EE-4107-95A2-95AA1C99B19D}"/>
    <cellStyle name="计算 2 2 3 3" xfId="36260" xr:uid="{9CBD86C8-A228-42D2-9CD2-3ECE88F50D4A}"/>
    <cellStyle name="计算 2 2 4" xfId="24450" xr:uid="{2AA22EBF-82AD-480B-AFEA-4D165C3CAC28}"/>
    <cellStyle name="计算 2 2 4 2" xfId="24451" xr:uid="{173C0DDB-D138-41D5-A220-670E2A549157}"/>
    <cellStyle name="计算 2 2 4 2 2" xfId="26964" xr:uid="{50856B73-1D6D-41CE-B317-84CA7DBC08A4}"/>
    <cellStyle name="计算 2 2 4 2 2 2" xfId="38602" xr:uid="{8A702D99-D512-49FA-A58A-B016DCA8C076}"/>
    <cellStyle name="计算 2 2 4 2 3" xfId="36261" xr:uid="{2C6EECE8-6CFC-45A8-A38E-5032220865EA}"/>
    <cellStyle name="计算 2 2 4 3" xfId="38244" xr:uid="{CC2C2C31-F016-4A33-AC5D-CC4898BEBB44}"/>
    <cellStyle name="计算 2 2 5" xfId="24452" xr:uid="{68625B71-CE3A-4455-80BB-BABD2CBE8C70}"/>
    <cellStyle name="计算 2 2 5 2" xfId="24453" xr:uid="{A893BCAC-E70E-4C90-8742-A02352898E56}"/>
    <cellStyle name="计算 2 2 5 2 2" xfId="26965" xr:uid="{DF800541-4D71-4F07-A206-7946B32C05B2}"/>
    <cellStyle name="计算 2 2 5 2 2 2" xfId="37448" xr:uid="{01EE5917-0FB5-4679-A810-C77AFD177F9D}"/>
    <cellStyle name="计算 2 2 5 2 3" xfId="27894" xr:uid="{2ADEC82A-7DB1-45F2-9D60-782C736E3645}"/>
    <cellStyle name="计算 2 2 5 3" xfId="36262" xr:uid="{A564307A-2C62-4936-A598-14B8790B4CC6}"/>
    <cellStyle name="计算 2 2 6" xfId="24454" xr:uid="{6D88A24A-B640-4522-BDDE-4423BF00F217}"/>
    <cellStyle name="计算 2 2 6 2" xfId="24455" xr:uid="{B60F043F-DB76-4D83-B66B-6972D16C68C4}"/>
    <cellStyle name="计算 2 2 6 2 2" xfId="26966" xr:uid="{BA78071B-6790-44FE-B1D7-47305A1504B4}"/>
    <cellStyle name="计算 2 2 6 2 2 2" xfId="38603" xr:uid="{748AF365-5D83-4C95-86E7-884F0FCBD579}"/>
    <cellStyle name="计算 2 2 6 2 3" xfId="27895" xr:uid="{6777D5D4-9CB0-44EC-B5A5-1D3BB94878C8}"/>
    <cellStyle name="计算 2 2 6 3" xfId="38245" xr:uid="{3F75B392-FC9E-44B8-BEA6-3AD33C577BFC}"/>
    <cellStyle name="计算 2 2 7" xfId="24456" xr:uid="{AB1FF747-5858-469B-BB68-7BAA834395D1}"/>
    <cellStyle name="计算 2 2 7 2" xfId="24457" xr:uid="{E8FE2DB3-925B-4B3B-9BEC-E83195F0D6E1}"/>
    <cellStyle name="计算 2 2 7 2 2" xfId="26967" xr:uid="{374E7FD8-E3B8-4E13-85A5-8EA00983C506}"/>
    <cellStyle name="计算 2 2 7 2 2 2" xfId="37449" xr:uid="{D4A23EAB-E2BD-4DE2-82E6-2A17AD4267AE}"/>
    <cellStyle name="计算 2 2 7 2 3" xfId="36264" xr:uid="{09683C5A-0960-4F2A-BBC6-3353B4CDED5C}"/>
    <cellStyle name="计算 2 2 7 3" xfId="36263" xr:uid="{343AB2E7-D45C-44B9-A715-AE6B7B8DC8FC}"/>
    <cellStyle name="计算 2 2 8" xfId="24458" xr:uid="{C5D56E6F-A8CD-4128-9502-847C49A73EC2}"/>
    <cellStyle name="计算 2 2 8 2" xfId="24459" xr:uid="{EB71D498-BC6D-4C97-94B8-2E2309CF9DCA}"/>
    <cellStyle name="计算 2 2 8 2 2" xfId="26968" xr:uid="{99945B26-CD91-462B-BFA9-AD1393ED6738}"/>
    <cellStyle name="计算 2 2 8 2 2 2" xfId="37450" xr:uid="{DFBA6A60-C0BA-4ECD-844E-FF9BB65C9F15}"/>
    <cellStyle name="计算 2 2 8 2 3" xfId="38246" xr:uid="{0F9309FD-45BA-4F48-8014-6825A9BFFF22}"/>
    <cellStyle name="计算 2 2 8 3" xfId="37804" xr:uid="{8ADB1474-626A-49A4-B58A-6EBF94606F16}"/>
    <cellStyle name="计算 2 2 9" xfId="24460" xr:uid="{0F80A7BA-98F7-47B0-9787-8CA08F90A865}"/>
    <cellStyle name="计算 2 2 9 2" xfId="24461" xr:uid="{001189C6-33FE-4FBE-B057-343FD6B824A9}"/>
    <cellStyle name="计算 2 2 9 2 2" xfId="26969" xr:uid="{AF1B56C2-CC8F-409A-9524-F62FEC1990EC}"/>
    <cellStyle name="计算 2 2 9 2 2 2" xfId="38604" xr:uid="{577769D7-5BFE-4629-965A-D1EF160D8E4C}"/>
    <cellStyle name="计算 2 2 9 2 3" xfId="36266" xr:uid="{3F4F37EF-6489-4370-A8F4-7ADF682C98B4}"/>
    <cellStyle name="计算 2 2 9 3" xfId="36265" xr:uid="{F0826430-FA7C-4D3D-B186-9C1228BF2713}"/>
    <cellStyle name="计算 2 3" xfId="24462" xr:uid="{37936BD2-DCFA-4D05-A7BA-48C80C7633CD}"/>
    <cellStyle name="计算 2 3 10" xfId="24463" xr:uid="{74DBBB3A-2BB1-45AC-9E2F-510FDB65DB02}"/>
    <cellStyle name="计算 2 3 10 2" xfId="24464" xr:uid="{4567F6A1-F9CF-4440-9EB3-024EC57225E1}"/>
    <cellStyle name="计算 2 3 10 2 2" xfId="26970" xr:uid="{97556B66-E537-4E81-B2BC-162ADB9F1727}"/>
    <cellStyle name="计算 2 3 10 2 2 2" xfId="37451" xr:uid="{988CD6A9-C0AE-419D-8961-DAF9D2E5B0E1}"/>
    <cellStyle name="计算 2 3 10 2 3" xfId="36267" xr:uid="{A080A796-91ED-47DA-AF04-50EA7C890811}"/>
    <cellStyle name="计算 2 3 10 3" xfId="27896" xr:uid="{156C340F-59B6-4755-AB0E-2C6471409FE0}"/>
    <cellStyle name="计算 2 3 11" xfId="24465" xr:uid="{59BE87EF-76C7-470F-B2A7-447F9DC671E1}"/>
    <cellStyle name="计算 2 3 11 2" xfId="24466" xr:uid="{001F2AF4-5844-4FE4-B625-5990A99A1577}"/>
    <cellStyle name="计算 2 3 11 2 2" xfId="26971" xr:uid="{7EEDE7EE-E348-4707-8B68-912E90063BC0}"/>
    <cellStyle name="计算 2 3 11 2 2 2" xfId="37452" xr:uid="{61411ED0-D0BE-451F-B78F-3C52391B0AD1}"/>
    <cellStyle name="计算 2 3 11 2 3" xfId="38248" xr:uid="{FA6D4A45-5F99-4A58-8C63-D966BC754121}"/>
    <cellStyle name="计算 2 3 11 3" xfId="36268" xr:uid="{57D51CAA-1DFE-4BF3-B496-E110D76007A8}"/>
    <cellStyle name="计算 2 3 12" xfId="24467" xr:uid="{B439CDED-CECD-47B5-936A-CF550531D477}"/>
    <cellStyle name="计算 2 3 12 2" xfId="24468" xr:uid="{8BBD76FD-CF53-4613-ABEB-C5AEB67496EC}"/>
    <cellStyle name="计算 2 3 12 2 2" xfId="26972" xr:uid="{9CE30BF3-8CD1-4E3A-A61C-A9035FEDBEBB}"/>
    <cellStyle name="计算 2 3 12 2 2 2" xfId="38605" xr:uid="{58612656-C323-4B8D-9934-1734BBCCD723}"/>
    <cellStyle name="计算 2 3 12 2 3" xfId="36269" xr:uid="{EE929523-BCEB-4137-9555-E171401C1470}"/>
    <cellStyle name="计算 2 3 12 3" xfId="27897" xr:uid="{18E4668F-ABCD-485D-A7B5-8E03A9D4773A}"/>
    <cellStyle name="计算 2 3 13" xfId="24469" xr:uid="{C819D4FF-3352-460B-826C-19B169298630}"/>
    <cellStyle name="计算 2 3 13 2" xfId="24470" xr:uid="{0E16F140-2075-4498-A799-7456609C0125}"/>
    <cellStyle name="计算 2 3 13 2 2" xfId="26973" xr:uid="{12BF5D4A-D20F-4EEE-9DF6-6D2437EDAC23}"/>
    <cellStyle name="计算 2 3 13 2 2 2" xfId="37453" xr:uid="{94C04F2D-E1D6-40B4-A5D7-B290315C6B8B}"/>
    <cellStyle name="计算 2 3 13 2 3" xfId="38249" xr:uid="{4B04AFEA-7AA5-4419-B093-ECF1C3BF1304}"/>
    <cellStyle name="计算 2 3 13 3" xfId="36270" xr:uid="{04805922-0C00-4650-BB80-7F8F4FDF44F0}"/>
    <cellStyle name="计算 2 3 14" xfId="24471" xr:uid="{1D97DCD2-B9CF-4D14-8964-6E356FE463E1}"/>
    <cellStyle name="计算 2 3 14 2" xfId="24472" xr:uid="{33BBBCB3-99DF-4DD9-9990-9DA46320C56D}"/>
    <cellStyle name="计算 2 3 14 2 2" xfId="26974" xr:uid="{ED8DF216-8F68-43A9-A82C-79B5A7DD2751}"/>
    <cellStyle name="计算 2 3 14 2 2 2" xfId="37454" xr:uid="{AD5FDFCB-FE51-462F-8779-BD042762EA7C}"/>
    <cellStyle name="计算 2 3 14 2 3" xfId="38250" xr:uid="{8DDE1D59-0704-46AB-9F50-40060661E82F}"/>
    <cellStyle name="计算 2 3 14 3" xfId="36271" xr:uid="{FC2CE3BE-DE43-4C3B-9594-9B4E762394D9}"/>
    <cellStyle name="计算 2 3 15" xfId="24473" xr:uid="{1F966E6A-8A60-4641-93B5-9CE06B16167E}"/>
    <cellStyle name="计算 2 3 15 2" xfId="26975" xr:uid="{45925746-AE3F-4C7C-B759-14892E4FD595}"/>
    <cellStyle name="计算 2 3 15 2 2" xfId="38606" xr:uid="{2CEF6C3F-B1A4-4D56-B0FE-C89B8B9D0494}"/>
    <cellStyle name="计算 2 3 15 3" xfId="36272" xr:uid="{EE780D51-75EA-4838-9CE9-EDC823EAFF36}"/>
    <cellStyle name="计算 2 3 16" xfId="38247" xr:uid="{20DC5B6C-7C41-4E6A-8918-00579FBD81CA}"/>
    <cellStyle name="计算 2 3 2" xfId="24474" xr:uid="{82B66E59-FE73-49BD-AC0B-0F90748A49B6}"/>
    <cellStyle name="计算 2 3 2 2" xfId="24475" xr:uid="{7262CA31-A860-4D39-A474-632228702C99}"/>
    <cellStyle name="计算 2 3 2 2 2" xfId="26976" xr:uid="{4D8EC433-4274-4DB9-B6DB-4BD402B6D7D2}"/>
    <cellStyle name="计算 2 3 2 2 2 2" xfId="37455" xr:uid="{7B4A7491-EA0B-4847-BC05-55C3FB0E029F}"/>
    <cellStyle name="计算 2 3 2 2 3" xfId="36273" xr:uid="{8BBD532F-7966-4CD3-A557-E88C37239524}"/>
    <cellStyle name="计算 2 3 2 3" xfId="37805" xr:uid="{89930DB9-0276-4F6F-B384-5384F159AFB3}"/>
    <cellStyle name="计算 2 3 3" xfId="24476" xr:uid="{4FA93C8D-EDFB-4E8F-9E30-1BDAF75342BC}"/>
    <cellStyle name="计算 2 3 3 2" xfId="24477" xr:uid="{00012BC9-C3A9-406D-B607-61837BD517D7}"/>
    <cellStyle name="计算 2 3 3 2 2" xfId="26977" xr:uid="{1A6B3AB5-ED4C-4E7A-8044-A124944B414F}"/>
    <cellStyle name="计算 2 3 3 2 2 2" xfId="37456" xr:uid="{D0FCBACD-8F26-46C5-9AA9-CC167CDEE7B1}"/>
    <cellStyle name="计算 2 3 3 2 3" xfId="27898" xr:uid="{DD0A0DD3-A95B-4403-AC0B-4B48DAE7BE8A}"/>
    <cellStyle name="计算 2 3 3 3" xfId="38251" xr:uid="{B47F113B-C32E-4A45-A682-AD64911BDA76}"/>
    <cellStyle name="计算 2 3 4" xfId="24478" xr:uid="{80D2E1B8-528A-4E36-8266-86DB1FC6DEA4}"/>
    <cellStyle name="计算 2 3 4 2" xfId="24479" xr:uid="{F7261947-4B7E-4BD9-8D28-981ABAB0E207}"/>
    <cellStyle name="计算 2 3 4 2 2" xfId="26978" xr:uid="{DB5C44FA-7860-42A1-9C2B-640CA3BC9800}"/>
    <cellStyle name="计算 2 3 4 2 2 2" xfId="38607" xr:uid="{2490E409-BF78-4D1E-91D2-C888DAF31E2B}"/>
    <cellStyle name="计算 2 3 4 2 3" xfId="36275" xr:uid="{6E17984E-EAEE-44D8-B275-6B7D1C1455FB}"/>
    <cellStyle name="计算 2 3 4 3" xfId="36274" xr:uid="{9EF91F70-697D-49AF-A4D3-2FA9AA384B01}"/>
    <cellStyle name="计算 2 3 5" xfId="24480" xr:uid="{778E91E4-EC0C-4BF2-868B-EDBADAC24FD1}"/>
    <cellStyle name="计算 2 3 5 2" xfId="24481" xr:uid="{494C88E8-3067-4E57-9459-636D7B613691}"/>
    <cellStyle name="计算 2 3 5 2 2" xfId="26979" xr:uid="{4AEA3623-8B44-4CE3-BB39-6CF19DB06D0D}"/>
    <cellStyle name="计算 2 3 5 2 2 2" xfId="37457" xr:uid="{DFE25D0F-E070-4E60-9074-6F60FDE8568D}"/>
    <cellStyle name="计算 2 3 5 2 3" xfId="36276" xr:uid="{139A4204-39A3-4F60-B468-A3F6878866ED}"/>
    <cellStyle name="计算 2 3 5 3" xfId="38252" xr:uid="{86D2BCF0-BD41-4091-B5F0-191A5F59562E}"/>
    <cellStyle name="计算 2 3 6" xfId="24482" xr:uid="{5B7EDD99-357A-4D16-93D2-B055FDBB5BA3}"/>
    <cellStyle name="计算 2 3 6 2" xfId="24483" xr:uid="{B51FB057-1B1A-432A-84F1-F501F58F5FC4}"/>
    <cellStyle name="计算 2 3 6 2 2" xfId="26980" xr:uid="{95C77AD9-BF46-4E71-A504-4DB261B6F8DF}"/>
    <cellStyle name="计算 2 3 6 2 2 2" xfId="37458" xr:uid="{C34C6C5F-3601-405C-A09C-A6044A63C402}"/>
    <cellStyle name="计算 2 3 6 2 3" xfId="38253" xr:uid="{A852E7B4-0D32-4A2E-BE2A-BEE25D2BE6B1}"/>
    <cellStyle name="计算 2 3 6 3" xfId="36277" xr:uid="{96EDE975-44E2-4322-87F5-9F061C16E186}"/>
    <cellStyle name="计算 2 3 7" xfId="24484" xr:uid="{A0F8EB4A-3EE6-49AF-B345-8C5204FA25C1}"/>
    <cellStyle name="计算 2 3 7 2" xfId="24485" xr:uid="{381DAC3C-3C7A-4125-85A0-7E68D884C3FC}"/>
    <cellStyle name="计算 2 3 7 2 2" xfId="26981" xr:uid="{8E3E5BE5-30B3-476A-827A-5226FA4E5A21}"/>
    <cellStyle name="计算 2 3 7 2 2 2" xfId="38608" xr:uid="{C6A19A31-61E2-4CF6-B67E-4BAA16C17D32}"/>
    <cellStyle name="计算 2 3 7 2 3" xfId="27899" xr:uid="{693481F3-B847-4AB1-817E-61CB34500ABF}"/>
    <cellStyle name="计算 2 3 7 3" xfId="36278" xr:uid="{EC3D30E4-CB57-4CD9-8E1E-669C8224BA15}"/>
    <cellStyle name="计算 2 3 8" xfId="24486" xr:uid="{B2F72DD4-1475-4BEA-8011-E2420D3695AA}"/>
    <cellStyle name="计算 2 3 8 2" xfId="24487" xr:uid="{F0F3E095-427B-4F78-9DA2-897DA947B6B8}"/>
    <cellStyle name="计算 2 3 8 2 2" xfId="26982" xr:uid="{FE55069A-B545-4074-9B33-34B6EF8771A4}"/>
    <cellStyle name="计算 2 3 8 2 2 2" xfId="37459" xr:uid="{889D0540-5B81-4E87-A820-808D9046DAC2}"/>
    <cellStyle name="计算 2 3 8 2 3" xfId="27900" xr:uid="{E0DAD496-1816-4E8E-8797-A4A91501A2FB}"/>
    <cellStyle name="计算 2 3 8 3" xfId="36279" xr:uid="{9D284090-91C1-4382-809D-EAC623D6CD95}"/>
    <cellStyle name="计算 2 3 9" xfId="24488" xr:uid="{57EEE0D3-4E24-43D4-9ECF-4F80D0CE97C3}"/>
    <cellStyle name="计算 2 3 9 2" xfId="24489" xr:uid="{3763E1AA-C8BB-4369-BE3D-123EA831235B}"/>
    <cellStyle name="计算 2 3 9 2 2" xfId="26983" xr:uid="{F0C26875-0D51-4E43-956E-67A6143101E4}"/>
    <cellStyle name="计算 2 3 9 2 2 2" xfId="37460" xr:uid="{73070B1A-84A6-47A3-AB2E-30D8EF9E6CA8}"/>
    <cellStyle name="计算 2 3 9 2 3" xfId="36280" xr:uid="{A811EC77-7401-4F71-BF41-A3A498AA3DDE}"/>
    <cellStyle name="计算 2 3 9 3" xfId="38254" xr:uid="{28486A19-4569-458A-A9AC-7EF28DE7DEBC}"/>
    <cellStyle name="计算 2 4" xfId="24490" xr:uid="{3691EE6D-F376-4308-BDB3-BB4620C06F11}"/>
    <cellStyle name="计算 2 4 2" xfId="24491" xr:uid="{D056F8C8-E584-4084-8F66-8B7433D03F61}"/>
    <cellStyle name="计算 2 4 2 2" xfId="26984" xr:uid="{8CE8C69F-6E15-43AF-AE8B-E277BB00180E}"/>
    <cellStyle name="计算 2 4 2 2 2" xfId="38609" xr:uid="{30D447FA-8CBE-421E-B18E-E2824661272D}"/>
    <cellStyle name="计算 2 4 2 3" xfId="36281" xr:uid="{0F440B3A-A4E6-4306-ADE0-BE525F0CFD78}"/>
    <cellStyle name="计算 2 4 3" xfId="37806" xr:uid="{5931AA27-60E9-41C2-AF43-D064D6F56540}"/>
    <cellStyle name="计算 2 5" xfId="24492" xr:uid="{B9F7D765-7B33-4758-8C3D-2214E3A5E26C}"/>
    <cellStyle name="计算 2 5 2" xfId="24493" xr:uid="{4E2A1C19-F1A5-4AE9-B66A-428ABB1FCF29}"/>
    <cellStyle name="计算 2 5 2 2" xfId="26985" xr:uid="{A84D260E-FEF9-421F-9954-99A7735FC70C}"/>
    <cellStyle name="计算 2 5 2 2 2" xfId="37461" xr:uid="{EB2EA3A5-ABF4-4EAD-BB45-25294F1249C1}"/>
    <cellStyle name="计算 2 5 2 3" xfId="36282" xr:uid="{A507ADE2-60A3-4C6E-A73E-CAD45A41D643}"/>
    <cellStyle name="计算 2 5 3" xfId="38255" xr:uid="{91DE77B5-A5B3-4329-A706-9F0170943A61}"/>
    <cellStyle name="计算 2 6" xfId="24494" xr:uid="{2E0BEBBD-8A2A-4E5D-AD6C-8F8F1145BFAA}"/>
    <cellStyle name="计算 2 6 2" xfId="24495" xr:uid="{2AD95198-1394-4CD1-945D-DCCFEF94826B}"/>
    <cellStyle name="计算 2 6 2 2" xfId="26986" xr:uid="{8626E849-4CFB-4C68-A3D1-C3F21AB873C0}"/>
    <cellStyle name="计算 2 6 2 2 2" xfId="37462" xr:uid="{80377E41-5E4F-4800-B9AC-08CC4A1D88F5}"/>
    <cellStyle name="计算 2 6 2 3" xfId="27901" xr:uid="{1269C90A-8B9F-4D23-BC9D-38EE0D5EA4C0}"/>
    <cellStyle name="计算 2 6 3" xfId="36283" xr:uid="{611CB1B8-83C1-421E-B48B-08F1B002630B}"/>
    <cellStyle name="计算 2 7" xfId="24496" xr:uid="{2D451324-F05F-4C48-9183-FB10F90A9F8A}"/>
    <cellStyle name="计算 2 7 2" xfId="24497" xr:uid="{0BBF9A9A-682B-49E4-8397-CA41DDB36D28}"/>
    <cellStyle name="计算 2 7 2 2" xfId="26987" xr:uid="{B4928B4B-05F4-4196-A966-76DA0D4CDEA1}"/>
    <cellStyle name="计算 2 7 2 2 2" xfId="38610" xr:uid="{6AF05080-B314-46BD-95B4-F0A76125E256}"/>
    <cellStyle name="计算 2 7 2 3" xfId="36284" xr:uid="{10874169-DB8D-4F93-805C-F011ED5B0498}"/>
    <cellStyle name="计算 2 7 3" xfId="38256" xr:uid="{52ED583B-742C-4ACE-AA9C-02E556F18373}"/>
    <cellStyle name="计算 2 8" xfId="24498" xr:uid="{E11197B9-A946-485B-9FE7-E3D3334B952A}"/>
    <cellStyle name="计算 2 8 2" xfId="24499" xr:uid="{0B91AD24-BFDC-462B-A828-77FEAD153535}"/>
    <cellStyle name="计算 2 8 2 2" xfId="26988" xr:uid="{7689FBF3-2BFE-4059-9C75-74ED6FC9FD5A}"/>
    <cellStyle name="计算 2 8 2 2 2" xfId="37463" xr:uid="{4601C5F7-9F48-4F2D-8421-3247F54CE839}"/>
    <cellStyle name="计算 2 8 2 3" xfId="27902" xr:uid="{E0369E7E-43D9-4DD8-95F5-45EF58222A13}"/>
    <cellStyle name="计算 2 8 3" xfId="36285" xr:uid="{D472DA5E-CD12-4CEA-AC9E-91CF357C672B}"/>
    <cellStyle name="计算 2 9" xfId="24500" xr:uid="{66B871BB-37D6-46C2-969F-59B7F30EFBDE}"/>
    <cellStyle name="计算 2 9 2" xfId="24501" xr:uid="{1C8EF497-AE24-4854-84B5-1494EE95BE7D}"/>
    <cellStyle name="计算 2 9 2 2" xfId="26989" xr:uid="{6D85A65A-05F3-4273-90AD-E64B0903183C}"/>
    <cellStyle name="计算 2 9 2 2 2" xfId="37464" xr:uid="{D6AA7E47-347D-4D46-98AE-5AA13699B6A0}"/>
    <cellStyle name="计算 2 9 2 3" xfId="27903" xr:uid="{80066A50-DE4C-46A4-A13B-60DED62E68F2}"/>
    <cellStyle name="计算 2 9 3" xfId="38257" xr:uid="{B7EAA974-471A-4F0B-B954-DAA0A35BB729}"/>
    <cellStyle name="计算 20" xfId="24502" xr:uid="{B1268EDC-5E87-434E-8FC3-272298803D7D}"/>
    <cellStyle name="计算 20 2" xfId="26990" xr:uid="{B046C5B6-E097-4D0C-A8BC-CBCED7DE1D35}"/>
    <cellStyle name="计算 20 2 2" xfId="38611" xr:uid="{28CF39B0-8367-474E-A5D2-1BD0594235DB}"/>
    <cellStyle name="计算 20 3" xfId="36286" xr:uid="{5CABA76D-B6FF-4A56-B103-1AEEA9E23557}"/>
    <cellStyle name="计算 21" xfId="27880" xr:uid="{C5BC530D-2035-41CE-9E3D-7E1245B0E271}"/>
    <cellStyle name="计算 3" xfId="24503" xr:uid="{AD079C52-E9D9-492B-ABC5-808DB90FB712}"/>
    <cellStyle name="计算 3 10" xfId="24504" xr:uid="{FB8C8D67-FDDF-4C21-A2F5-4C2EEB546DB0}"/>
    <cellStyle name="计算 3 10 2" xfId="27904" xr:uid="{AB0FB9E2-1FCE-43C3-800F-961EDA7D038A}"/>
    <cellStyle name="计算 3 11" xfId="24505" xr:uid="{8596C89D-88D4-4D8C-894A-AE80777036B2}"/>
    <cellStyle name="计算 3 11 2" xfId="38258" xr:uid="{ECB3CE5F-0DF9-44D2-AD22-062A2FA2CAA8}"/>
    <cellStyle name="计算 3 12" xfId="24506" xr:uid="{1FC518D7-A77D-4A99-8ABF-E4F986403864}"/>
    <cellStyle name="计算 3 12 2" xfId="36288" xr:uid="{322FD963-AAB3-410A-9AC6-C61B4CAE855D}"/>
    <cellStyle name="计算 3 13" xfId="24507" xr:uid="{A4382EC4-B52A-43CE-8E20-1BFDA2863018}"/>
    <cellStyle name="计算 3 13 2" xfId="36289" xr:uid="{5E8A2FC8-FA72-4ECB-B6BA-052BA580720C}"/>
    <cellStyle name="计算 3 14" xfId="24508" xr:uid="{A6A69784-2486-485A-A77C-57936DE9F133}"/>
    <cellStyle name="计算 3 14 2" xfId="36290" xr:uid="{30EBA61F-A631-44AF-918A-57431C3A8E4D}"/>
    <cellStyle name="计算 3 15" xfId="24509" xr:uid="{E8085C0C-E23D-440A-A522-B3E5814DA70A}"/>
    <cellStyle name="计算 3 15 2" xfId="36291" xr:uid="{8052490E-D7D4-4FDC-8919-217F2E9F869F}"/>
    <cellStyle name="计算 3 16" xfId="24510" xr:uid="{088F4081-FF62-457A-ACCF-0A2477A89815}"/>
    <cellStyle name="计算 3 16 2" xfId="27905" xr:uid="{3AE8A99E-8AA0-4E1E-AB4F-B1B53B966556}"/>
    <cellStyle name="计算 3 17" xfId="24511" xr:uid="{709A3833-C9C3-4292-8BD5-5FB1D682B75D}"/>
    <cellStyle name="计算 3 17 2" xfId="36292" xr:uid="{339B4E0E-6E6A-4E49-8807-C2CF66105CAF}"/>
    <cellStyle name="计算 3 18" xfId="24512" xr:uid="{0A024617-6A26-4FEE-8DA6-DCF73613F5B0}"/>
    <cellStyle name="计算 3 18 2" xfId="36293" xr:uid="{9A92651D-3DA5-47DE-AE6F-0D6CF333871F}"/>
    <cellStyle name="计算 3 19" xfId="24513" xr:uid="{D3B4CA76-AFEB-48FA-B35B-992B1D36EEEA}"/>
    <cellStyle name="计算 3 19 2" xfId="36294" xr:uid="{F8E24AC7-20CA-4853-9E58-E6AA341F0120}"/>
    <cellStyle name="计算 3 2" xfId="24514" xr:uid="{CD3DF644-0067-4BE6-9DA2-73213DA83181}"/>
    <cellStyle name="计算 3 2 10" xfId="24515" xr:uid="{1916785D-EC22-43CA-856F-1F76A902D0F8}"/>
    <cellStyle name="计算 3 2 10 2" xfId="24516" xr:uid="{C382F98E-046C-4BE6-A77E-20FBA5319CDF}"/>
    <cellStyle name="计算 3 2 10 2 2" xfId="26991" xr:uid="{5C6554F3-5383-4207-B834-701A8C2130F0}"/>
    <cellStyle name="计算 3 2 10 2 2 2" xfId="37465" xr:uid="{86BD9464-7F37-4FBD-8886-5F4D5514AB9E}"/>
    <cellStyle name="计算 3 2 10 2 3" xfId="38259" xr:uid="{AB8787E2-418B-40A2-B66D-81CB5C034BC7}"/>
    <cellStyle name="计算 3 2 10 3" xfId="36295" xr:uid="{2253C11B-C430-4711-8560-FE65EDF8598D}"/>
    <cellStyle name="计算 3 2 11" xfId="24517" xr:uid="{1E529129-199A-4E2B-89DE-111CBB358081}"/>
    <cellStyle name="计算 3 2 11 2" xfId="24518" xr:uid="{05AA4A3C-3115-4798-A6CB-8C3643481D6E}"/>
    <cellStyle name="计算 3 2 11 2 2" xfId="26992" xr:uid="{46A5AEDC-6462-4722-AB5C-C213774174A1}"/>
    <cellStyle name="计算 3 2 11 2 2 2" xfId="37466" xr:uid="{E851E86B-7C9F-4EDB-A507-1CD9AADB6C90}"/>
    <cellStyle name="计算 3 2 11 2 3" xfId="36296" xr:uid="{55E16E58-67CA-481B-AA14-CA8F5B4B2557}"/>
    <cellStyle name="计算 3 2 11 3" xfId="27906" xr:uid="{EC774EE6-CBFF-4283-AFF9-81B4D2EDDF79}"/>
    <cellStyle name="计算 3 2 12" xfId="24519" xr:uid="{B8F797EE-D9DC-4FD8-BDC7-A92103486E45}"/>
    <cellStyle name="计算 3 2 12 2" xfId="24520" xr:uid="{4F2B785A-8013-4C0F-B81B-8EFAEAFFA43B}"/>
    <cellStyle name="计算 3 2 12 2 2" xfId="26993" xr:uid="{C63AB96E-516D-41DA-B88C-1C7AAFA3981A}"/>
    <cellStyle name="计算 3 2 12 2 2 2" xfId="38612" xr:uid="{48F6D598-3861-4A6A-9B90-F59371844630}"/>
    <cellStyle name="计算 3 2 12 2 3" xfId="36297" xr:uid="{88EE2F13-C942-43A4-AD14-6D5EF35662D9}"/>
    <cellStyle name="计算 3 2 12 3" xfId="38260" xr:uid="{A5276625-0F5A-4902-96A7-46D08EE4A3E3}"/>
    <cellStyle name="计算 3 2 13" xfId="24521" xr:uid="{E768F3D5-E626-47EB-92C7-3B465A72A2F9}"/>
    <cellStyle name="计算 3 2 13 2" xfId="24522" xr:uid="{5378D980-E373-40AD-BF4A-36B3AC621C5E}"/>
    <cellStyle name="计算 3 2 13 2 2" xfId="26994" xr:uid="{DEA8758C-3404-4ABB-8D0D-E15B1B197E29}"/>
    <cellStyle name="计算 3 2 13 2 2 2" xfId="37467" xr:uid="{83690BA2-23AB-4E78-9863-4208438306D5}"/>
    <cellStyle name="计算 3 2 13 2 3" xfId="36298" xr:uid="{A814D3E3-90E8-4BE8-B96D-FE80A31DF577}"/>
    <cellStyle name="计算 3 2 13 3" xfId="27907" xr:uid="{EC6C423E-4DE8-476D-BA3F-667D6A34E896}"/>
    <cellStyle name="计算 3 2 14" xfId="24523" xr:uid="{5A25E416-E921-4D4D-9254-7BBAD3183579}"/>
    <cellStyle name="计算 3 2 14 2" xfId="24524" xr:uid="{89EAA79B-B133-4989-8B82-8C35D3593F7C}"/>
    <cellStyle name="计算 3 2 14 2 2" xfId="26995" xr:uid="{4E0E69C8-9985-4484-8D53-4B2964A4A10A}"/>
    <cellStyle name="计算 3 2 14 2 2 2" xfId="37468" xr:uid="{C74E0EFF-ED6C-410C-9749-CC856CE74FC9}"/>
    <cellStyle name="计算 3 2 14 2 3" xfId="38261" xr:uid="{8129499A-277C-4ECE-ADEF-305E84EDAF16}"/>
    <cellStyle name="计算 3 2 14 3" xfId="36299" xr:uid="{5EF9DAD8-B6FF-44EA-9DC4-6038638283A4}"/>
    <cellStyle name="计算 3 2 15" xfId="24525" xr:uid="{32D6E529-ACA3-4572-A8FA-19D7013CB565}"/>
    <cellStyle name="计算 3 2 15 2" xfId="24526" xr:uid="{C520DCEE-B53E-4D88-BC33-0F9377E1F4AB}"/>
    <cellStyle name="计算 3 2 15 2 2" xfId="26996" xr:uid="{74E66E5F-351F-4E54-BDE8-9D84FC4BFCAF}"/>
    <cellStyle name="计算 3 2 15 2 2 2" xfId="38613" xr:uid="{37D9D21D-69EA-41AB-84BE-2718ABA08C54}"/>
    <cellStyle name="计算 3 2 15 2 3" xfId="36300" xr:uid="{60603CA1-7C06-44AB-A869-803372047BF9}"/>
    <cellStyle name="计算 3 2 15 3" xfId="37808" xr:uid="{DC293602-F702-413F-B346-12982A0B39D6}"/>
    <cellStyle name="计算 3 2 16" xfId="24527" xr:uid="{B54870D8-7CFA-4D27-A103-29303596F1BD}"/>
    <cellStyle name="计算 3 2 16 2" xfId="24528" xr:uid="{F3F19858-84FF-4ADB-BE29-229267180DEC}"/>
    <cellStyle name="计算 3 2 16 2 2" xfId="26997" xr:uid="{87E97D1F-08CD-47E8-9C47-02AC0F3B7107}"/>
    <cellStyle name="计算 3 2 16 2 2 2" xfId="37469" xr:uid="{A2491686-961C-4297-A3A8-ED41C20D1BF9}"/>
    <cellStyle name="计算 3 2 16 2 3" xfId="38262" xr:uid="{C5A05F73-EA92-40EF-93F9-78BD0BBC1F51}"/>
    <cellStyle name="计算 3 2 16 3" xfId="36301" xr:uid="{AABD3210-1E7A-4AF5-96F8-D4A24571FCB7}"/>
    <cellStyle name="计算 3 2 17" xfId="24529" xr:uid="{1F3BD0A0-1DD5-4198-BADF-1DA199F4393E}"/>
    <cellStyle name="计算 3 2 17 2" xfId="26998" xr:uid="{D20A68F5-D072-4B70-B167-466A252CAAB0}"/>
    <cellStyle name="计算 3 2 17 2 2" xfId="37470" xr:uid="{B8F2AA41-2964-4C18-8ACE-C6723C7308A6}"/>
    <cellStyle name="计算 3 2 17 3" xfId="27908" xr:uid="{6EB0F791-700B-4888-AB5F-BD03438CCC09}"/>
    <cellStyle name="计算 3 2 18" xfId="37807" xr:uid="{6D181A3B-5A67-46F4-9BAF-46C2FF4D904E}"/>
    <cellStyle name="计算 3 2 2" xfId="24530" xr:uid="{72FB5A0F-5EEB-4E90-AED7-6EA6ADABB586}"/>
    <cellStyle name="计算 3 2 2 10" xfId="24531" xr:uid="{E0D225B4-CF11-4E5E-9DDE-2604F8B26D6E}"/>
    <cellStyle name="计算 3 2 2 10 2" xfId="24532" xr:uid="{74B9450F-9CEA-45A9-B224-259BBA76EC15}"/>
    <cellStyle name="计算 3 2 2 10 2 2" xfId="26999" xr:uid="{DA7D1A9C-682E-4AB0-A155-EF0AB006327F}"/>
    <cellStyle name="计算 3 2 2 10 2 2 2" xfId="38614" xr:uid="{F341D525-6ECF-450E-B84A-156A1ED951E9}"/>
    <cellStyle name="计算 3 2 2 10 2 3" xfId="38263" xr:uid="{6652D7E9-47E1-4E49-9224-361B9301FF5C}"/>
    <cellStyle name="计算 3 2 2 10 3" xfId="36303" xr:uid="{5F20352C-DE4C-4E00-998B-9D1D36DE267E}"/>
    <cellStyle name="计算 3 2 2 11" xfId="24533" xr:uid="{F44AE273-A4DA-4D45-8124-5F8BFAC99015}"/>
    <cellStyle name="计算 3 2 2 11 2" xfId="24534" xr:uid="{7AB5D869-2DCB-49F5-A410-B1A23AA7D67A}"/>
    <cellStyle name="计算 3 2 2 11 2 2" xfId="27000" xr:uid="{5DA06B3C-A4BC-41D8-8E08-BBEF726FFD06}"/>
    <cellStyle name="计算 3 2 2 11 2 2 2" xfId="37471" xr:uid="{478B209D-46AF-4653-A652-AE11D0B45CC5}"/>
    <cellStyle name="计算 3 2 2 11 2 3" xfId="36304" xr:uid="{25E4E0AC-90D3-49E0-AA4E-9BB6581D8299}"/>
    <cellStyle name="计算 3 2 2 11 3" xfId="37809" xr:uid="{82AEF370-A204-4EA0-970E-546823455DEB}"/>
    <cellStyle name="计算 3 2 2 12" xfId="24535" xr:uid="{222634BD-21D8-45B6-8FF8-D4796C992851}"/>
    <cellStyle name="计算 3 2 2 12 2" xfId="24536" xr:uid="{51FDD406-5A05-4872-9184-4E1FB8D102BA}"/>
    <cellStyle name="计算 3 2 2 12 2 2" xfId="27001" xr:uid="{647252F2-FA8E-4384-A793-1E2B572EF84D}"/>
    <cellStyle name="计算 3 2 2 12 2 2 2" xfId="37472" xr:uid="{537FC079-E523-4DDF-8DAC-D6B95ABB3597}"/>
    <cellStyle name="计算 3 2 2 12 2 3" xfId="38264" xr:uid="{AEFEDA2B-2062-4EB8-88AA-38C02CA0A84F}"/>
    <cellStyle name="计算 3 2 2 12 3" xfId="36305" xr:uid="{2AEE430F-C5D6-491A-AC72-90FCA7C43BD7}"/>
    <cellStyle name="计算 3 2 2 13" xfId="24537" xr:uid="{AE80142A-1F12-4EA8-8132-D2E8D68E2F34}"/>
    <cellStyle name="计算 3 2 2 13 2" xfId="24538" xr:uid="{A2019CBA-156D-4769-81AB-3F0836E4C228}"/>
    <cellStyle name="计算 3 2 2 13 2 2" xfId="27002" xr:uid="{1D1B595D-0303-4961-AB2E-C0280FD2F4D5}"/>
    <cellStyle name="计算 3 2 2 13 2 2 2" xfId="38615" xr:uid="{B1B9A440-4538-43ED-AB26-874390E874C7}"/>
    <cellStyle name="计算 3 2 2 13 2 3" xfId="36306" xr:uid="{387248E4-F190-4D01-B612-95F7BB01739F}"/>
    <cellStyle name="计算 3 2 2 13 3" xfId="27909" xr:uid="{34E7A94E-C222-4803-A7A8-AD872B0F17ED}"/>
    <cellStyle name="计算 3 2 2 14" xfId="24539" xr:uid="{7111114C-A6E2-4740-BBC1-893628B9341E}"/>
    <cellStyle name="计算 3 2 2 14 2" xfId="24540" xr:uid="{94422FD6-9B8E-4A38-BD2F-906CC142E828}"/>
    <cellStyle name="计算 3 2 2 14 2 2" xfId="27003" xr:uid="{A3DD4875-286F-4FD3-ACB4-777D6B8786E1}"/>
    <cellStyle name="计算 3 2 2 14 2 2 2" xfId="37473" xr:uid="{4262D0BA-C03E-4BDC-A94B-1CF7C667A9B1}"/>
    <cellStyle name="计算 3 2 2 14 2 3" xfId="38265" xr:uid="{311A8D7F-32D1-415F-8E75-717857841628}"/>
    <cellStyle name="计算 3 2 2 14 3" xfId="36307" xr:uid="{04BFA92F-4F40-48E4-AE2F-8DFD986FE001}"/>
    <cellStyle name="计算 3 2 2 15" xfId="24541" xr:uid="{1BB71538-C362-499F-88FC-4995AA2C9B8D}"/>
    <cellStyle name="计算 3 2 2 15 2" xfId="27004" xr:uid="{A9E4389F-DF27-4573-8687-4360F9C3B523}"/>
    <cellStyle name="计算 3 2 2 15 2 2" xfId="37474" xr:uid="{ABEA63EE-4890-49CE-843F-EFAAC77AD306}"/>
    <cellStyle name="计算 3 2 2 15 3" xfId="27910" xr:uid="{6B35F14C-0BD8-4885-8C45-307A2D074976}"/>
    <cellStyle name="计算 3 2 2 16" xfId="36302" xr:uid="{892D57D1-1B08-4785-AF4F-08710C17ABCF}"/>
    <cellStyle name="计算 3 2 2 2" xfId="24542" xr:uid="{7B34EDB2-2573-4F12-BA02-73FCD291F747}"/>
    <cellStyle name="计算 3 2 2 2 2" xfId="24543" xr:uid="{8BD9E921-D049-4A79-B5EC-EBEA669AF8AF}"/>
    <cellStyle name="计算 3 2 2 2 2 2" xfId="27005" xr:uid="{2D92096B-D1B0-4E67-95FB-42441EB9ADE6}"/>
    <cellStyle name="计算 3 2 2 2 2 2 2" xfId="38616" xr:uid="{6CDC8067-72E6-4362-825B-1B019F53A170}"/>
    <cellStyle name="计算 3 2 2 2 2 3" xfId="36309" xr:uid="{85BCCF87-D9DE-4109-A698-992FF599D8E0}"/>
    <cellStyle name="计算 3 2 2 2 3" xfId="36308" xr:uid="{8A1E7A03-C080-48E8-A7CF-1A5D43CF23B3}"/>
    <cellStyle name="计算 3 2 2 3" xfId="24544" xr:uid="{7700C341-C8B3-4510-BB02-8BA778707A7E}"/>
    <cellStyle name="计算 3 2 2 3 2" xfId="24545" xr:uid="{79F02E98-737D-462C-A388-9FF9A10C870C}"/>
    <cellStyle name="计算 3 2 2 3 2 2" xfId="27006" xr:uid="{B881A0A6-E29E-4D32-8D54-C14D579DED18}"/>
    <cellStyle name="计算 3 2 2 3 2 2 2" xfId="37475" xr:uid="{86B919E8-D8B4-499B-9B4A-8ECFFFDC7466}"/>
    <cellStyle name="计算 3 2 2 3 2 3" xfId="36310" xr:uid="{8DC542A9-E295-4C57-A780-C5DBF2A1E258}"/>
    <cellStyle name="计算 3 2 2 3 3" xfId="38266" xr:uid="{29D87A0C-853C-45DA-8D5B-30B6C4A80DB4}"/>
    <cellStyle name="计算 3 2 2 4" xfId="24546" xr:uid="{D42CACBC-BF91-4C07-94C1-5606539FECC6}"/>
    <cellStyle name="计算 3 2 2 4 2" xfId="24547" xr:uid="{5546D622-AA54-44CF-AB77-90BBEC04D8BC}"/>
    <cellStyle name="计算 3 2 2 4 2 2" xfId="27007" xr:uid="{7D3D879B-D3D8-428F-98AD-D43B37B711A9}"/>
    <cellStyle name="计算 3 2 2 4 2 2 2" xfId="37476" xr:uid="{C750940E-43A8-4365-ABCF-5CA84899B165}"/>
    <cellStyle name="计算 3 2 2 4 2 3" xfId="27911" xr:uid="{7A6FF337-6A95-4262-AA5D-4A3D01656549}"/>
    <cellStyle name="计算 3 2 2 4 3" xfId="36311" xr:uid="{3659BF8E-01A9-400A-A844-9E7F2330DCEE}"/>
    <cellStyle name="计算 3 2 2 5" xfId="24548" xr:uid="{B8512DDD-7DB1-4DB9-9ED0-274896C398F8}"/>
    <cellStyle name="计算 3 2 2 5 2" xfId="24549" xr:uid="{8F6935A0-B74E-45C0-8E08-6F39D885E417}"/>
    <cellStyle name="计算 3 2 2 5 2 2" xfId="27008" xr:uid="{BD7994E9-969D-4F94-BBA6-F2128D99FC14}"/>
    <cellStyle name="计算 3 2 2 5 2 2 2" xfId="38617" xr:uid="{4CADE64E-A28F-4000-ABFA-D39309329E68}"/>
    <cellStyle name="计算 3 2 2 5 2 3" xfId="36312" xr:uid="{FB236579-56AF-4925-AB4D-EA5DABE4A721}"/>
    <cellStyle name="计算 3 2 2 5 3" xfId="38267" xr:uid="{4C8D002B-99E1-44BE-B578-3C04C3E8D900}"/>
    <cellStyle name="计算 3 2 2 6" xfId="24550" xr:uid="{89FCBBF9-A9F0-4C24-A3CA-CF87861E4073}"/>
    <cellStyle name="计算 3 2 2 6 2" xfId="24551" xr:uid="{22CFE90A-D5A8-46A4-BAA6-42C3FA665C5F}"/>
    <cellStyle name="计算 3 2 2 6 2 2" xfId="27009" xr:uid="{A735435B-9361-49B6-8AE6-D41B19722932}"/>
    <cellStyle name="计算 3 2 2 6 2 2 2" xfId="37477" xr:uid="{23DD08E1-DC1E-4A30-B918-578143B38F16}"/>
    <cellStyle name="计算 3 2 2 6 2 3" xfId="38268" xr:uid="{E9E6FD98-440F-4847-92F1-887E79F54771}"/>
    <cellStyle name="计算 3 2 2 6 3" xfId="36313" xr:uid="{3CAD6E94-51EE-4FEB-81BC-E6BBF7521385}"/>
    <cellStyle name="计算 3 2 2 7" xfId="24552" xr:uid="{64E82E97-967A-4FFB-9F5D-9CDB7D12485C}"/>
    <cellStyle name="计算 3 2 2 7 2" xfId="24553" xr:uid="{6718AD25-9E6C-4B76-B0A6-57E6711A9A76}"/>
    <cellStyle name="计算 3 2 2 7 2 2" xfId="27010" xr:uid="{EDBD690D-BBFF-4450-BB8E-BB13AE466BE6}"/>
    <cellStyle name="计算 3 2 2 7 2 2 2" xfId="37478" xr:uid="{017937C0-BC39-4B4C-8E38-AD46B4E80961}"/>
    <cellStyle name="计算 3 2 2 7 2 3" xfId="36315" xr:uid="{E3EF57F2-A1D3-44EF-A205-436672807B65}"/>
    <cellStyle name="计算 3 2 2 7 3" xfId="36314" xr:uid="{B0FEB5FB-D049-4FEE-A9E0-C38A09DB06F8}"/>
    <cellStyle name="计算 3 2 2 8" xfId="24554" xr:uid="{14DA51FD-4489-45BD-BF71-2DF85AC4A47E}"/>
    <cellStyle name="计算 3 2 2 8 2" xfId="24555" xr:uid="{B02976F1-6FD0-4E70-A058-97ACE777C9EB}"/>
    <cellStyle name="计算 3 2 2 8 2 2" xfId="27011" xr:uid="{3060FAE4-B089-4295-AEA2-7FC893F72D99}"/>
    <cellStyle name="计算 3 2 2 8 2 2 2" xfId="38618" xr:uid="{43DF7A64-3FE6-482C-8260-0CCA95B6B791}"/>
    <cellStyle name="计算 3 2 2 8 2 3" xfId="36316" xr:uid="{09ADDDC2-CC3B-434B-99C1-BFCBFBF957BB}"/>
    <cellStyle name="计算 3 2 2 8 3" xfId="38269" xr:uid="{09B5E807-FF28-4C44-8C1D-46BF70E370BD}"/>
    <cellStyle name="计算 3 2 2 9" xfId="24556" xr:uid="{E6BB43CA-8F7C-4717-A75D-551C7732F4A0}"/>
    <cellStyle name="计算 3 2 2 9 2" xfId="24557" xr:uid="{AA58EDD4-5687-4BAF-8471-5D232447E0E6}"/>
    <cellStyle name="计算 3 2 2 9 2 2" xfId="27012" xr:uid="{BDF235CA-838E-4F4A-AAAA-BCD290BA89C4}"/>
    <cellStyle name="计算 3 2 2 9 2 2 2" xfId="37479" xr:uid="{75C38624-5002-4D70-9661-D6B16CF4F057}"/>
    <cellStyle name="计算 3 2 2 9 2 3" xfId="36317" xr:uid="{E7626AB2-B50C-40AF-874C-BF335CB03266}"/>
    <cellStyle name="计算 3 2 2 9 3" xfId="38270" xr:uid="{7017BF3F-EBD8-4A89-A7B6-9FB0C13E2BD7}"/>
    <cellStyle name="计算 3 2 3" xfId="24558" xr:uid="{E33434CC-0332-415E-8737-58761C0BDBD3}"/>
    <cellStyle name="计算 3 2 3 2" xfId="24559" xr:uid="{88342F11-8056-4D3E-AA23-B08A60A0B57B}"/>
    <cellStyle name="计算 3 2 3 2 2" xfId="27013" xr:uid="{7D241FDC-2D1A-4600-AE50-F4162779CA4C}"/>
    <cellStyle name="计算 3 2 3 2 2 2" xfId="37480" xr:uid="{CC28CF3C-C0A5-4A0B-996C-64604D9E7009}"/>
    <cellStyle name="计算 3 2 3 2 3" xfId="36318" xr:uid="{41BFE9FA-BFAD-433B-8822-CEA308576B2B}"/>
    <cellStyle name="计算 3 2 3 3" xfId="37810" xr:uid="{43B78242-5465-438E-99C6-D6E9F00DCBB3}"/>
    <cellStyle name="计算 3 2 4" xfId="24560" xr:uid="{1FE9287C-41C8-4F93-85A0-4246CED591B4}"/>
    <cellStyle name="计算 3 2 4 2" xfId="24561" xr:uid="{988EF8C5-078C-4407-A043-573B89AF535E}"/>
    <cellStyle name="计算 3 2 4 2 2" xfId="27014" xr:uid="{B36EB266-1B2E-459E-80A7-4FC4C28E65BD}"/>
    <cellStyle name="计算 3 2 4 2 2 2" xfId="37481" xr:uid="{20767C80-7D5E-490F-846B-D48D55169FF5}"/>
    <cellStyle name="计算 3 2 4 2 3" xfId="38271" xr:uid="{170E5EFA-20F8-40DC-B55C-3E8A95A2C35C}"/>
    <cellStyle name="计算 3 2 4 3" xfId="36319" xr:uid="{58ABAC86-F7D9-4D49-818B-FC05A66120F7}"/>
    <cellStyle name="计算 3 2 5" xfId="24562" xr:uid="{99920415-C349-4FFE-9C8B-0FA137B50D77}"/>
    <cellStyle name="计算 3 2 5 2" xfId="24563" xr:uid="{046FFF28-0781-4335-89EE-5E2A26A21411}"/>
    <cellStyle name="计算 3 2 5 2 2" xfId="27015" xr:uid="{85AB20E9-4AFA-4CA7-8051-3210BC68DB33}"/>
    <cellStyle name="计算 3 2 5 2 2 2" xfId="37482" xr:uid="{65F2B592-208F-4109-8144-0BEE57E4299B}"/>
    <cellStyle name="计算 3 2 5 2 3" xfId="36321" xr:uid="{2FAF42F3-202E-437A-BB74-798040C2799F}"/>
    <cellStyle name="计算 3 2 5 3" xfId="36320" xr:uid="{00B401C7-888C-48CF-AE00-098209DAE6A9}"/>
    <cellStyle name="计算 3 2 6" xfId="24564" xr:uid="{9CDF4D8F-F647-48CC-8AE8-1106724CD221}"/>
    <cellStyle name="计算 3 2 6 2" xfId="24565" xr:uid="{70F73716-9CAA-4401-98CC-7C5B513B0F5B}"/>
    <cellStyle name="计算 3 2 6 2 2" xfId="27016" xr:uid="{538D6012-BBDB-4417-8955-9E68CB42D553}"/>
    <cellStyle name="计算 3 2 6 2 2 2" xfId="37483" xr:uid="{5766F1A0-834A-4E02-BEEB-12B35A9E6C94}"/>
    <cellStyle name="计算 3 2 6 2 3" xfId="36322" xr:uid="{BCC51D0E-5B62-4262-B7C0-A45C077BA15B}"/>
    <cellStyle name="计算 3 2 6 3" xfId="38272" xr:uid="{3F27F0D6-CD71-4451-886B-0DEDA00AEB8B}"/>
    <cellStyle name="计算 3 2 7" xfId="24566" xr:uid="{9247B55B-1D92-4316-9F90-1AC13E8753EB}"/>
    <cellStyle name="计算 3 2 7 2" xfId="24567" xr:uid="{877BD776-BD9D-487C-9201-1DCCE9478833}"/>
    <cellStyle name="计算 3 2 7 2 2" xfId="27017" xr:uid="{BAD063BF-959D-4214-946C-F685A3876B4F}"/>
    <cellStyle name="计算 3 2 7 2 2 2" xfId="37484" xr:uid="{B658DE5B-8671-42B9-BE0B-77F0CF724A04}"/>
    <cellStyle name="计算 3 2 7 2 3" xfId="38273" xr:uid="{05322182-DF78-4C85-B35E-8893D2CC0802}"/>
    <cellStyle name="计算 3 2 7 3" xfId="36323" xr:uid="{D87BC3B0-F6CA-40FB-ABC7-00461E90F3BB}"/>
    <cellStyle name="计算 3 2 8" xfId="24568" xr:uid="{4A54609E-079A-4546-9C55-8F506B2340FA}"/>
    <cellStyle name="计算 3 2 8 2" xfId="24569" xr:uid="{7C042ACF-8BB4-4194-BDFD-DA37E80B5922}"/>
    <cellStyle name="计算 3 2 8 2 2" xfId="27018" xr:uid="{C8CECBA7-8BA1-4546-AA53-3DE7D321A152}"/>
    <cellStyle name="计算 3 2 8 2 2 2" xfId="38619" xr:uid="{BA9650AA-15AE-488D-960A-F06E5EB7F1A0}"/>
    <cellStyle name="计算 3 2 8 2 3" xfId="27912" xr:uid="{13B0B920-9F46-4C6A-ADF1-CC95161A18D3}"/>
    <cellStyle name="计算 3 2 8 3" xfId="36324" xr:uid="{B2A4EE2A-CF2E-4B87-ACB2-0B8998C1411F}"/>
    <cellStyle name="计算 3 2 9" xfId="24570" xr:uid="{688118E4-D201-4001-8466-2FB3E305667B}"/>
    <cellStyle name="计算 3 2 9 2" xfId="24571" xr:uid="{C219EA50-778C-42A6-8EED-CE2291CB2E65}"/>
    <cellStyle name="计算 3 2 9 2 2" xfId="27019" xr:uid="{83DAC24C-09E8-4A22-8223-0DF9947164C4}"/>
    <cellStyle name="计算 3 2 9 2 2 2" xfId="37485" xr:uid="{D75AFB6B-FE99-4FC3-93D7-6EAC25E5E5F8}"/>
    <cellStyle name="计算 3 2 9 2 3" xfId="38274" xr:uid="{DE9DF3E3-A537-4ABE-B1AC-97AF5D93D414}"/>
    <cellStyle name="计算 3 2 9 3" xfId="36325" xr:uid="{257E2C3F-3054-4AAF-B9A6-66A8BD88407E}"/>
    <cellStyle name="计算 3 20" xfId="24572" xr:uid="{E5080BC6-12E7-41E4-87F5-F59501ADEFFE}"/>
    <cellStyle name="计算 3 20 2" xfId="36326" xr:uid="{6852287F-9DBC-4D9A-9FD0-F7B8BCDB8868}"/>
    <cellStyle name="计算 3 21" xfId="24573" xr:uid="{C8680E93-0DE1-47B7-BF58-3697BF02BF2D}"/>
    <cellStyle name="计算 3 21 2" xfId="27913" xr:uid="{2C405FC1-0D20-4D14-AD3B-522D61BA0CA7}"/>
    <cellStyle name="计算 3 22" xfId="24574" xr:uid="{8E1A6751-1BD2-4D9E-BDB7-FE8AEBB80E0A}"/>
    <cellStyle name="计算 3 22 2" xfId="36327" xr:uid="{BF6A4252-C2C0-473D-8F71-729A6F5F2153}"/>
    <cellStyle name="计算 3 23" xfId="24575" xr:uid="{66EA0CB6-124F-4FA9-87BE-DD6217C45850}"/>
    <cellStyle name="计算 3 23 2" xfId="27020" xr:uid="{72C79534-9910-4989-9330-AF35775A916A}"/>
    <cellStyle name="计算 3 23 2 2" xfId="37486" xr:uid="{BD69B5F5-EA10-488C-B3AA-A4A8F67CD6B7}"/>
    <cellStyle name="计算 3 23 3" xfId="27914" xr:uid="{729BE3D0-EC21-45A2-B366-1D149C09225B}"/>
    <cellStyle name="计算 3 24" xfId="36287" xr:uid="{90166FD4-C657-40BD-ADB8-BCF098C5AB63}"/>
    <cellStyle name="计算 3 3" xfId="24576" xr:uid="{356AC12F-D63C-494C-A40D-9948A87B4CCB}"/>
    <cellStyle name="计算 3 3 10" xfId="24577" xr:uid="{73052FAC-B806-4FE3-90A9-0CA001FAB222}"/>
    <cellStyle name="计算 3 3 10 2" xfId="24578" xr:uid="{0D91051E-211D-42C7-8144-3A067F91A068}"/>
    <cellStyle name="计算 3 3 10 2 2" xfId="27021" xr:uid="{DA5977DD-7B65-4552-9C3A-F699EA513CDB}"/>
    <cellStyle name="计算 3 3 10 2 2 2" xfId="37487" xr:uid="{72AEBAF7-C3A5-4D79-BADC-2525F37575CA}"/>
    <cellStyle name="计算 3 3 10 2 3" xfId="27915" xr:uid="{9B1BE737-F37C-463D-B4EC-053A11A54E8E}"/>
    <cellStyle name="计算 3 3 10 3" xfId="36328" xr:uid="{431FBB31-D77D-4EEF-A970-115554F9AF22}"/>
    <cellStyle name="计算 3 3 11" xfId="24579" xr:uid="{FAD3478F-61B6-4792-B373-6236126DD46D}"/>
    <cellStyle name="计算 3 3 11 2" xfId="24580" xr:uid="{AD531A0B-C79A-46D6-8968-BFB2C525388C}"/>
    <cellStyle name="计算 3 3 11 2 2" xfId="27022" xr:uid="{BEF8AAF8-30EB-476E-AEF8-05F7A85E091D}"/>
    <cellStyle name="计算 3 3 11 2 2 2" xfId="38620" xr:uid="{7AE429B5-9E6A-4221-8EA4-20EA3F119885}"/>
    <cellStyle name="计算 3 3 11 2 3" xfId="38276" xr:uid="{B106F05B-4F9F-4140-85A6-9A7387A5FBC1}"/>
    <cellStyle name="计算 3 3 11 3" xfId="36329" xr:uid="{38CBCC38-CA22-493E-9288-3831ACB27278}"/>
    <cellStyle name="计算 3 3 12" xfId="24581" xr:uid="{8F69E6CE-A18C-4E20-8013-FAFD5026C4D5}"/>
    <cellStyle name="计算 3 3 12 2" xfId="24582" xr:uid="{52827950-8C50-44D2-AD55-4CC286868DD0}"/>
    <cellStyle name="计算 3 3 12 2 2" xfId="27023" xr:uid="{B9F88320-29F1-4647-90D0-DE811C3CBB12}"/>
    <cellStyle name="计算 3 3 12 2 2 2" xfId="37488" xr:uid="{26C207EC-754B-48B2-BAC9-992C1E7A5EF5}"/>
    <cellStyle name="计算 3 3 12 2 3" xfId="38277" xr:uid="{A8DB3B93-74F0-4663-A609-E4A4D769F9D8}"/>
    <cellStyle name="计算 3 3 12 3" xfId="36330" xr:uid="{730D664F-039D-4712-AEF7-2479316E09E5}"/>
    <cellStyle name="计算 3 3 13" xfId="24583" xr:uid="{5335DAA8-0BC0-455E-862F-8A6199D591AE}"/>
    <cellStyle name="计算 3 3 13 2" xfId="24584" xr:uid="{601BAAEB-8CAF-4832-ACDB-5B3E47C0327F}"/>
    <cellStyle name="计算 3 3 13 2 2" xfId="27024" xr:uid="{A23F2051-41B9-4B01-B313-EF6B442F6094}"/>
    <cellStyle name="计算 3 3 13 2 2 2" xfId="37489" xr:uid="{E15294C7-9549-49A1-B181-AC4EB9B219D3}"/>
    <cellStyle name="计算 3 3 13 2 3" xfId="36331" xr:uid="{0FC3EF21-5FCA-4998-9E62-24352CAA7AAE}"/>
    <cellStyle name="计算 3 3 13 3" xfId="37811" xr:uid="{18493955-BC1E-431A-965F-E0A17C54D770}"/>
    <cellStyle name="计算 3 3 14" xfId="24585" xr:uid="{A69DEEE8-091B-43E0-BEEC-5E4B600A0AB4}"/>
    <cellStyle name="计算 3 3 14 2" xfId="24586" xr:uid="{3377CB92-10B6-4102-841E-E521B2E24717}"/>
    <cellStyle name="计算 3 3 14 2 2" xfId="27025" xr:uid="{F6EF9962-92BE-47A5-8CBE-0BF89C3E008A}"/>
    <cellStyle name="计算 3 3 14 2 2 2" xfId="38621" xr:uid="{2A5DF597-7CE2-4C98-B936-7C8B158EBF44}"/>
    <cellStyle name="计算 3 3 14 2 3" xfId="38278" xr:uid="{AAE423A6-2463-4AC9-AE91-B66339C86FD1}"/>
    <cellStyle name="计算 3 3 14 3" xfId="36332" xr:uid="{CD7B86CD-99C0-4578-9E06-03D5AD420274}"/>
    <cellStyle name="计算 3 3 15" xfId="24587" xr:uid="{4A964342-B4D9-49E1-BE70-5AE99A68B3D4}"/>
    <cellStyle name="计算 3 3 15 2" xfId="27026" xr:uid="{69239537-5906-4C24-81C9-C3DC6083A771}"/>
    <cellStyle name="计算 3 3 15 2 2" xfId="37490" xr:uid="{2430D2BC-19E2-4CA8-86C3-DD0C987D1084}"/>
    <cellStyle name="计算 3 3 15 3" xfId="27916" xr:uid="{9C38D46F-135C-4438-8F6D-9849D68D8092}"/>
    <cellStyle name="计算 3 3 16" xfId="38275" xr:uid="{66801AA0-04A2-4763-A487-2B584B1D1DA7}"/>
    <cellStyle name="计算 3 3 2" xfId="24588" xr:uid="{3C7C2913-13AB-4B86-9E92-092CC144BDBA}"/>
    <cellStyle name="计算 3 3 2 2" xfId="24589" xr:uid="{C8AD983E-78DA-49E3-B90B-883213A54097}"/>
    <cellStyle name="计算 3 3 2 2 2" xfId="27027" xr:uid="{398CC6D7-AEB3-410E-A1B2-65B9C65819F7}"/>
    <cellStyle name="计算 3 3 2 2 2 2" xfId="37491" xr:uid="{AA0D3621-746B-4E06-992B-341BF161EC39}"/>
    <cellStyle name="计算 3 3 2 2 3" xfId="36334" xr:uid="{07D04CE0-C3D8-41C6-AEAC-308A61FBA919}"/>
    <cellStyle name="计算 3 3 2 3" xfId="36333" xr:uid="{E621C35F-EEAC-4F48-95E6-D090C50CDACB}"/>
    <cellStyle name="计算 3 3 3" xfId="24590" xr:uid="{AB87D09A-5FAF-4187-AA9D-268B066395F6}"/>
    <cellStyle name="计算 3 3 3 2" xfId="24591" xr:uid="{FC051509-A319-48EA-BB21-36D5B1043DC8}"/>
    <cellStyle name="计算 3 3 3 2 2" xfId="27028" xr:uid="{E6F8F56E-2DB9-4F43-BEEF-6EE205A535FD}"/>
    <cellStyle name="计算 3 3 3 2 2 2" xfId="38622" xr:uid="{1F01A1FF-2D31-42B0-B68C-7D38DFE0E8F0}"/>
    <cellStyle name="计算 3 3 3 2 3" xfId="36335" xr:uid="{0EF5998E-1FA5-4B56-9EB4-08D33637BF46}"/>
    <cellStyle name="计算 3 3 3 3" xfId="38279" xr:uid="{888BAF0E-0174-42DC-BFDE-77927DA3C7D6}"/>
    <cellStyle name="计算 3 3 4" xfId="24592" xr:uid="{E9F11EB6-0F77-458F-BDB7-C2A93D29729A}"/>
    <cellStyle name="计算 3 3 4 2" xfId="24593" xr:uid="{86586015-1A0F-4C77-9318-273C73EC4420}"/>
    <cellStyle name="计算 3 3 4 2 2" xfId="27029" xr:uid="{7FEB7188-B27C-442D-A5EB-91121482A0FC}"/>
    <cellStyle name="计算 3 3 4 2 2 2" xfId="37492" xr:uid="{85AC92D3-8AE4-4338-A42A-783FE5566C2C}"/>
    <cellStyle name="计算 3 3 4 2 3" xfId="38280" xr:uid="{A2741D64-3C38-4F62-BE20-6F5B91908B43}"/>
    <cellStyle name="计算 3 3 4 3" xfId="36336" xr:uid="{C45018CF-F1AC-4915-9895-8B1A964680B0}"/>
    <cellStyle name="计算 3 3 5" xfId="24594" xr:uid="{BE96C061-356C-488A-96A1-BBC639DB8A01}"/>
    <cellStyle name="计算 3 3 5 2" xfId="24595" xr:uid="{DB3B843B-1417-4582-A1FA-CEAC7D76164B}"/>
    <cellStyle name="计算 3 3 5 2 2" xfId="27030" xr:uid="{950CB861-4211-4684-A5F6-8856B9D7CD70}"/>
    <cellStyle name="计算 3 3 5 2 2 2" xfId="37493" xr:uid="{4A028A59-6CE3-43F5-9925-E82F24C77B8E}"/>
    <cellStyle name="计算 3 3 5 2 3" xfId="36337" xr:uid="{1AB4D693-6B19-4EC8-A7AA-ADC0A2707346}"/>
    <cellStyle name="计算 3 3 5 3" xfId="27917" xr:uid="{5324FC2A-2891-4559-A152-BCB7C179D9AC}"/>
    <cellStyle name="计算 3 3 6" xfId="24596" xr:uid="{20963501-5F48-4C86-B558-84B9AB43FCC8}"/>
    <cellStyle name="计算 3 3 6 2" xfId="24597" xr:uid="{0D660C74-218A-49E9-984D-C1699C5B0557}"/>
    <cellStyle name="计算 3 3 6 2 2" xfId="27031" xr:uid="{F8410C68-54CE-472F-897B-C54BEAD59748}"/>
    <cellStyle name="计算 3 3 6 2 2 2" xfId="38623" xr:uid="{021EC3B7-792C-45A1-91B5-46E6423AF1C0}"/>
    <cellStyle name="计算 3 3 6 2 3" xfId="37812" xr:uid="{2EE3226D-34FE-4212-B958-A8CDA97AE258}"/>
    <cellStyle name="计算 3 3 6 3" xfId="36338" xr:uid="{A5DBCC9A-8B9C-42B5-9D8F-7C559CA61872}"/>
    <cellStyle name="计算 3 3 7" xfId="24598" xr:uid="{9CCAB9C1-D2A2-463C-A84D-41378F2ED79A}"/>
    <cellStyle name="计算 3 3 7 2" xfId="24599" xr:uid="{A023DDB4-4057-48FC-AB23-18289FE84683}"/>
    <cellStyle name="计算 3 3 7 2 2" xfId="27032" xr:uid="{0929C2CF-C9CF-4890-831B-F7E0046D583C}"/>
    <cellStyle name="计算 3 3 7 2 2 2" xfId="37494" xr:uid="{9CB3460E-CD9A-426D-8BF2-1EE39E40396E}"/>
    <cellStyle name="计算 3 3 7 2 3" xfId="36339" xr:uid="{D9E05DC8-604A-4D26-A3D3-6E2B0F0AD846}"/>
    <cellStyle name="计算 3 3 7 3" xfId="38281" xr:uid="{39DB5AF9-5399-4911-9F3D-89F7240AB162}"/>
    <cellStyle name="计算 3 3 8" xfId="24600" xr:uid="{05D7A54F-D30A-4BDE-8B81-7F1ACE1FEAD0}"/>
    <cellStyle name="计算 3 3 8 2" xfId="24601" xr:uid="{611AA6A2-D4B9-4212-80F1-E6E910846697}"/>
    <cellStyle name="计算 3 3 8 2 2" xfId="27033" xr:uid="{2ADD92A5-33C8-4575-B5A8-371B7188E461}"/>
    <cellStyle name="计算 3 3 8 2 2 2" xfId="37495" xr:uid="{94498EEE-2B82-4830-BF41-909A056ADA8A}"/>
    <cellStyle name="计算 3 3 8 2 3" xfId="38282" xr:uid="{8F5869CA-DE3A-4C76-9B07-F957E2B85F2B}"/>
    <cellStyle name="计算 3 3 8 3" xfId="36340" xr:uid="{0C8D9006-4A73-43C6-8DED-0FC06D552173}"/>
    <cellStyle name="计算 3 3 9" xfId="24602" xr:uid="{F6AD1178-C76B-4422-8ABD-0C971D893952}"/>
    <cellStyle name="计算 3 3 9 2" xfId="24603" xr:uid="{0195C101-E273-41CC-9C50-EDCD200F44B7}"/>
    <cellStyle name="计算 3 3 9 2 2" xfId="27034" xr:uid="{D22E1539-C89B-4E54-A2A2-FA759C8753AA}"/>
    <cellStyle name="计算 3 3 9 2 2 2" xfId="38624" xr:uid="{26E702C6-E69B-47B2-A2F0-3D6911FD97CB}"/>
    <cellStyle name="计算 3 3 9 2 3" xfId="27918" xr:uid="{C05D1CB0-BD4C-4880-8A78-53F909CEE775}"/>
    <cellStyle name="计算 3 3 9 3" xfId="36341" xr:uid="{522B5DE9-F910-4996-9313-17F51D027D4F}"/>
    <cellStyle name="计算 3 4" xfId="24604" xr:uid="{71C1D9BA-804B-4BCC-9880-7FCDD8FB8DE2}"/>
    <cellStyle name="计算 3 4 2" xfId="36342" xr:uid="{08D163CA-C7DB-4F46-B721-6BBEC2ACD0D3}"/>
    <cellStyle name="计算 3 5" xfId="24605" xr:uid="{FCD7F67B-266D-4BA8-928E-DDB55C6DFBFE}"/>
    <cellStyle name="计算 3 5 2" xfId="38283" xr:uid="{4BF29CBD-E068-4750-9AE8-9BAFD40D2B3D}"/>
    <cellStyle name="计算 3 6" xfId="24606" xr:uid="{FE45CDCA-7063-4B44-A7A4-B53E96557018}"/>
    <cellStyle name="计算 3 6 2" xfId="36343" xr:uid="{464B883B-D043-4A91-A009-C8B4894FAD3A}"/>
    <cellStyle name="计算 3 7" xfId="24607" xr:uid="{3349BC56-E90B-4B3A-9F71-81FF6CCCDC43}"/>
    <cellStyle name="计算 3 7 2" xfId="37813" xr:uid="{C5729E53-0D85-41EE-80BA-195B84C707F6}"/>
    <cellStyle name="计算 3 8" xfId="24608" xr:uid="{6C60BC20-DA34-4FDC-9998-0B968E4B4FCA}"/>
    <cellStyle name="计算 3 8 2" xfId="36344" xr:uid="{690A3698-9FE2-473C-B56F-2931B3BF3633}"/>
    <cellStyle name="计算 3 9" xfId="24609" xr:uid="{307AB902-B08C-47E0-BB3A-5DB624B70643}"/>
    <cellStyle name="计算 3 9 2" xfId="38284" xr:uid="{FE36DBE7-27BF-4B42-B2AF-AAF9D4133725}"/>
    <cellStyle name="计算 4" xfId="24610" xr:uid="{4B02CAD0-08CB-40C2-828F-58EDE840E100}"/>
    <cellStyle name="计算 4 10" xfId="24611" xr:uid="{6AC68B2B-4292-481E-A969-CDB5256EBA51}"/>
    <cellStyle name="计算 4 10 2" xfId="24612" xr:uid="{74F61F3A-0664-4001-99CF-329D3FA4FA06}"/>
    <cellStyle name="计算 4 10 2 2" xfId="27035" xr:uid="{EBEBC939-3B17-481B-9E74-31880B35AA86}"/>
    <cellStyle name="计算 4 10 2 2 2" xfId="37496" xr:uid="{B2260F1D-2D91-4AEA-8225-9AA15A81263F}"/>
    <cellStyle name="计算 4 10 2 3" xfId="38285" xr:uid="{8BB52DE2-6D8D-4034-94EA-27B6E2AACF03}"/>
    <cellStyle name="计算 4 10 3" xfId="36346" xr:uid="{8EB2960F-CDCD-49B9-92BD-299F7D21BF9C}"/>
    <cellStyle name="计算 4 11" xfId="24613" xr:uid="{2AC0AD87-3443-4D38-A4DB-BB145E5873B5}"/>
    <cellStyle name="计算 4 11 2" xfId="24614" xr:uid="{CA222AD4-DF7D-415C-B9D6-ABC2F088BBBF}"/>
    <cellStyle name="计算 4 11 2 2" xfId="27036" xr:uid="{801A7FFB-A772-4E79-85B6-5714B84B043D}"/>
    <cellStyle name="计算 4 11 2 2 2" xfId="38625" xr:uid="{4C869ADF-1041-4AA9-AD81-C200A1414625}"/>
    <cellStyle name="计算 4 11 2 3" xfId="36347" xr:uid="{CE209A73-87AF-4A8B-B8B5-D8FFC33012E1}"/>
    <cellStyle name="计算 4 11 3" xfId="27919" xr:uid="{5053747A-FE88-4883-AE17-1A8B51069754}"/>
    <cellStyle name="计算 4 12" xfId="24615" xr:uid="{EBFDA5CC-E000-41C0-B100-9F37FF560900}"/>
    <cellStyle name="计算 4 12 2" xfId="24616" xr:uid="{F0C71A1A-E839-474D-B060-86B64F66DDD4}"/>
    <cellStyle name="计算 4 12 2 2" xfId="27037" xr:uid="{D15F8F3C-ECD2-42DF-8D47-786CE937458E}"/>
    <cellStyle name="计算 4 12 2 2 2" xfId="37497" xr:uid="{82D0AE1D-E35A-4617-B4A2-461C63A24CF6}"/>
    <cellStyle name="计算 4 12 2 3" xfId="36348" xr:uid="{B3A7B149-AED4-40CC-8620-65FF1D9A936E}"/>
    <cellStyle name="计算 4 12 3" xfId="27920" xr:uid="{B2CE8ECB-5EBA-4C51-8AD6-57D4008298C4}"/>
    <cellStyle name="计算 4 13" xfId="24617" xr:uid="{370EFD45-5228-4293-BC55-72254A28B4D1}"/>
    <cellStyle name="计算 4 13 2" xfId="24618" xr:uid="{4EA23BDE-9A1E-4B07-A336-70B29AD9962B}"/>
    <cellStyle name="计算 4 13 2 2" xfId="27038" xr:uid="{FDE62429-6AC3-48F1-BBA5-25C32570C290}"/>
    <cellStyle name="计算 4 13 2 2 2" xfId="37498" xr:uid="{31FC887E-7098-4EAC-8A57-896AF68D6AD0}"/>
    <cellStyle name="计算 4 13 2 3" xfId="27921" xr:uid="{B09F88D9-0404-4B21-AFFC-9AA146A47D52}"/>
    <cellStyle name="计算 4 13 3" xfId="38286" xr:uid="{1CFB1882-099B-4A6F-A8C1-E4DB0E2D270F}"/>
    <cellStyle name="计算 4 14" xfId="24619" xr:uid="{CC549580-AEFB-47F4-9A82-011E26BBBBC5}"/>
    <cellStyle name="计算 4 14 2" xfId="24620" xr:uid="{AC22EACE-39FA-4C94-91AB-C15D7A038CE2}"/>
    <cellStyle name="计算 4 14 2 2" xfId="27039" xr:uid="{9FDA4378-D808-4C02-A12E-B1DF3FA5AD32}"/>
    <cellStyle name="计算 4 14 2 2 2" xfId="38626" xr:uid="{C9C67F93-F84E-4E18-8264-BA02EAFDF0DD}"/>
    <cellStyle name="计算 4 14 2 3" xfId="36350" xr:uid="{5F2165E8-AE01-4600-83D9-21BB2A631A37}"/>
    <cellStyle name="计算 4 14 3" xfId="36349" xr:uid="{6D4C6FC8-27C6-41B7-8E1A-99A54BF49497}"/>
    <cellStyle name="计算 4 15" xfId="24621" xr:uid="{4687B241-CD63-4652-8C31-927637F35C65}"/>
    <cellStyle name="计算 4 15 2" xfId="24622" xr:uid="{AF87F491-F2E1-4929-BDB5-DF2847606529}"/>
    <cellStyle name="计算 4 15 2 2" xfId="27040" xr:uid="{ED6C317B-975C-4A64-91F9-B73C5AEA4544}"/>
    <cellStyle name="计算 4 15 2 2 2" xfId="37499" xr:uid="{A565D185-284C-4978-ABDC-76A9005860B7}"/>
    <cellStyle name="计算 4 15 2 3" xfId="36351" xr:uid="{AE2F7D3E-5192-416C-A032-274AC2304889}"/>
    <cellStyle name="计算 4 15 3" xfId="38287" xr:uid="{7324EDF4-5C7A-4CCC-BAF6-3C5360D05E83}"/>
    <cellStyle name="计算 4 16" xfId="24623" xr:uid="{915DD4C5-C23D-4DDC-A10D-17D5D8E8A614}"/>
    <cellStyle name="计算 4 16 2" xfId="24624" xr:uid="{EDC8D26B-1CD0-4B74-A835-5518FE7127FA}"/>
    <cellStyle name="计算 4 16 2 2" xfId="27041" xr:uid="{A8E8413F-2D86-4885-8CAF-650D2A51B1B1}"/>
    <cellStyle name="计算 4 16 2 2 2" xfId="37500" xr:uid="{CC907E56-9F4F-48FC-8778-6263D9E685EA}"/>
    <cellStyle name="计算 4 16 2 3" xfId="36352" xr:uid="{4384DC0E-17C7-4234-97EF-9D73257D6FE8}"/>
    <cellStyle name="计算 4 16 3" xfId="27922" xr:uid="{69F107FB-7A59-4EC9-997A-3041D0DEA2C7}"/>
    <cellStyle name="计算 4 17" xfId="24625" xr:uid="{8006989F-BD64-480C-8221-77CC30844C91}"/>
    <cellStyle name="计算 4 17 2" xfId="27042" xr:uid="{16F65E6A-0D44-4A2B-846A-A3E00C41DF1A}"/>
    <cellStyle name="计算 4 17 2 2" xfId="38627" xr:uid="{8711F669-3952-4DCC-81C2-2FA2F7F85828}"/>
    <cellStyle name="计算 4 17 3" xfId="38288" xr:uid="{D5E1F9D3-65FE-46C3-8733-4BDAA412603A}"/>
    <cellStyle name="计算 4 18" xfId="36345" xr:uid="{8B5BF978-28C0-436C-AF7A-32FCCB312BD2}"/>
    <cellStyle name="计算 4 2" xfId="24626" xr:uid="{C860305F-A1BA-4A3A-B4DB-FEE828F108AA}"/>
    <cellStyle name="计算 4 2 10" xfId="24627" xr:uid="{EA8CE53D-AEEB-4430-846D-7967AF9390CA}"/>
    <cellStyle name="计算 4 2 10 2" xfId="24628" xr:uid="{CDC66240-751A-4A84-A69F-0CD989EB7DBE}"/>
    <cellStyle name="计算 4 2 10 2 2" xfId="27043" xr:uid="{1EC936D6-8FC8-450A-9617-AFCF45CDA559}"/>
    <cellStyle name="计算 4 2 10 2 2 2" xfId="37501" xr:uid="{4B249CDB-EB17-4CD7-87EA-9585D8432571}"/>
    <cellStyle name="计算 4 2 10 2 3" xfId="36354" xr:uid="{96503916-4490-4A06-8E5A-0252689CA4D9}"/>
    <cellStyle name="计算 4 2 10 3" xfId="27923" xr:uid="{2D452501-F7DC-479E-9DC1-E2793BFE8BC7}"/>
    <cellStyle name="计算 4 2 11" xfId="24629" xr:uid="{081FDF9E-8B3C-4B90-AB6D-25F0A888A626}"/>
    <cellStyle name="计算 4 2 11 2" xfId="24630" xr:uid="{3082B256-74C5-40C9-B1CA-81AB95BB64FB}"/>
    <cellStyle name="计算 4 2 11 2 2" xfId="27044" xr:uid="{0B380E54-9A27-4BC2-A37F-D193A64204F0}"/>
    <cellStyle name="计算 4 2 11 2 2 2" xfId="37502" xr:uid="{094C0D9E-F6DE-4099-9095-1CAE2A6700DB}"/>
    <cellStyle name="计算 4 2 11 2 3" xfId="38289" xr:uid="{B6DF07D7-9DC3-4105-A553-70A3604D4376}"/>
    <cellStyle name="计算 4 2 11 3" xfId="37814" xr:uid="{15A8E1CC-CE06-4849-923E-CB01BC3F4AA6}"/>
    <cellStyle name="计算 4 2 12" xfId="24631" xr:uid="{36C58798-D92A-4501-89E2-641AC7BD7E63}"/>
    <cellStyle name="计算 4 2 12 2" xfId="24632" xr:uid="{F44C5CAD-1413-46BA-8A0E-70D68B00485F}"/>
    <cellStyle name="计算 4 2 12 2 2" xfId="27045" xr:uid="{D7DEAADD-4F56-41E0-8D48-259D7BB55984}"/>
    <cellStyle name="计算 4 2 12 2 2 2" xfId="38628" xr:uid="{7E450944-53B8-4F25-8294-430DED1B763F}"/>
    <cellStyle name="计算 4 2 12 2 3" xfId="27924" xr:uid="{1C25ECAF-411B-4D23-A92F-23B9425C477A}"/>
    <cellStyle name="计算 4 2 12 3" xfId="36355" xr:uid="{B0A9BE95-1E6C-4865-BA48-E00C889CDD3D}"/>
    <cellStyle name="计算 4 2 13" xfId="24633" xr:uid="{5E598CB2-CDB1-48E3-83EA-564DDCB355FB}"/>
    <cellStyle name="计算 4 2 13 2" xfId="24634" xr:uid="{9FDCC847-AD8A-46D1-890D-C8C48AEF8EAF}"/>
    <cellStyle name="计算 4 2 13 2 2" xfId="27046" xr:uid="{463518B6-0D52-452E-9565-E91FCBEAFD73}"/>
    <cellStyle name="计算 4 2 13 2 2 2" xfId="37503" xr:uid="{707BFEA9-F905-4112-9196-2BDEA8A8743D}"/>
    <cellStyle name="计算 4 2 13 2 3" xfId="38290" xr:uid="{66795404-C0A5-4E7C-9A9D-D6BC1491E252}"/>
    <cellStyle name="计算 4 2 13 3" xfId="36356" xr:uid="{615B6503-DFB8-4FB8-A8B6-726EFFB0A17D}"/>
    <cellStyle name="计算 4 2 14" xfId="24635" xr:uid="{7C818019-1FBD-4815-B998-7B62713430F4}"/>
    <cellStyle name="计算 4 2 14 2" xfId="24636" xr:uid="{129FF28D-557B-4BAB-A6FB-7C766400214D}"/>
    <cellStyle name="计算 4 2 14 2 2" xfId="27047" xr:uid="{4269A3AE-8631-485A-9934-F10BA6A94C70}"/>
    <cellStyle name="计算 4 2 14 2 2 2" xfId="37504" xr:uid="{D99F20F5-BD81-4CA6-9415-08ABEF553089}"/>
    <cellStyle name="计算 4 2 14 2 3" xfId="36358" xr:uid="{E39F6993-46BC-4C97-908B-8152E85DF97C}"/>
    <cellStyle name="计算 4 2 14 3" xfId="36357" xr:uid="{8E55FABD-FB96-4543-893E-47CD853E1796}"/>
    <cellStyle name="计算 4 2 15" xfId="24637" xr:uid="{5F341C0E-BB92-4EFE-B4A0-513A4CC847FD}"/>
    <cellStyle name="计算 4 2 15 2" xfId="27048" xr:uid="{83087E24-1221-4858-B615-F2D0DA813BBF}"/>
    <cellStyle name="计算 4 2 15 2 2" xfId="38629" xr:uid="{9D1F0770-44E0-4E49-B887-038B61C08DAD}"/>
    <cellStyle name="计算 4 2 15 3" xfId="38291" xr:uid="{928AB1C3-06DF-4073-9E83-63E1590E59EB}"/>
    <cellStyle name="计算 4 2 16" xfId="36353" xr:uid="{0037B6AA-17AE-407B-951E-C7845F8B6E33}"/>
    <cellStyle name="计算 4 2 2" xfId="24638" xr:uid="{E10037E4-FF06-47A6-A7D5-A800AA00020E}"/>
    <cellStyle name="计算 4 2 2 2" xfId="24639" xr:uid="{83B50F13-5E41-4832-A96D-AEC307AC7BE2}"/>
    <cellStyle name="计算 4 2 2 2 2" xfId="27049" xr:uid="{DA1291B4-2880-43E1-A6D4-5668879EBE77}"/>
    <cellStyle name="计算 4 2 2 2 2 2" xfId="37505" xr:uid="{67A1C8AF-C480-4FBB-BCE2-C2DC0243E6CC}"/>
    <cellStyle name="计算 4 2 2 2 3" xfId="36359" xr:uid="{15DEEBB0-42AA-42D5-B6D6-05380D60F3EA}"/>
    <cellStyle name="计算 4 2 2 3" xfId="27925" xr:uid="{17BC9E0D-B038-4CF9-85D0-F3F2950AB0CB}"/>
    <cellStyle name="计算 4 2 3" xfId="24640" xr:uid="{CE721D7C-80E0-47D4-AF2D-1C902B6CE78A}"/>
    <cellStyle name="计算 4 2 3 2" xfId="24641" xr:uid="{EC4676AE-9ADC-46E3-A629-34E96DE2CE82}"/>
    <cellStyle name="计算 4 2 3 2 2" xfId="27050" xr:uid="{38045FB0-AB5B-4E74-909F-5AE42B4C8D12}"/>
    <cellStyle name="计算 4 2 3 2 2 2" xfId="37506" xr:uid="{FE0BD131-32D9-4C0B-93C7-B78E16EC4C00}"/>
    <cellStyle name="计算 4 2 3 2 3" xfId="38292" xr:uid="{8C36C98F-0D9B-44F6-9298-E569F72F4F74}"/>
    <cellStyle name="计算 4 2 3 3" xfId="36360" xr:uid="{526731E6-D63B-4E9B-897D-A4E45B6BEA08}"/>
    <cellStyle name="计算 4 2 4" xfId="24642" xr:uid="{B1277446-DB4A-4219-BD46-2C96BF52D9B8}"/>
    <cellStyle name="计算 4 2 4 2" xfId="24643" xr:uid="{2133840A-CF34-4B98-ACAF-6B27E4850B24}"/>
    <cellStyle name="计算 4 2 4 2 2" xfId="27051" xr:uid="{B6BFB309-9E87-4C0B-89BC-FC0B62E0A961}"/>
    <cellStyle name="计算 4 2 4 2 2 2" xfId="38630" xr:uid="{A9A5A11D-E051-4755-A7C8-C08A064958DB}"/>
    <cellStyle name="计算 4 2 4 2 3" xfId="36361" xr:uid="{95C47C24-B358-473E-A965-29270BF6D8E6}"/>
    <cellStyle name="计算 4 2 4 3" xfId="27926" xr:uid="{A62B92E7-2400-4A23-B49B-E703858B6348}"/>
    <cellStyle name="计算 4 2 5" xfId="24644" xr:uid="{6A2E025D-607C-43D9-BD3C-D9A8CDD4B64D}"/>
    <cellStyle name="计算 4 2 5 2" xfId="24645" xr:uid="{2ACFA7B7-5B52-47EA-B362-79BDAB55BD0F}"/>
    <cellStyle name="计算 4 2 5 2 2" xfId="27052" xr:uid="{165B0856-7293-4D26-88DE-A458D04C361A}"/>
    <cellStyle name="计算 4 2 5 2 2 2" xfId="37507" xr:uid="{308C623D-A943-4928-B9CE-2CEE99CF1D87}"/>
    <cellStyle name="计算 4 2 5 2 3" xfId="37815" xr:uid="{C8496933-EA21-4D52-A22B-CA2B8BB91726}"/>
    <cellStyle name="计算 4 2 5 3" xfId="36362" xr:uid="{8FA2C8BD-0217-4A62-8ED9-D3880FCD3E8F}"/>
    <cellStyle name="计算 4 2 6" xfId="24646" xr:uid="{FD628A77-BD9A-4693-A109-0017BCE27396}"/>
    <cellStyle name="计算 4 2 6 2" xfId="24647" xr:uid="{A360E0D3-3C0B-4311-9963-B33B102F8C0D}"/>
    <cellStyle name="计算 4 2 6 2 2" xfId="27053" xr:uid="{B19E66E1-A522-4DD3-A36A-5DD2DB0B9C05}"/>
    <cellStyle name="计算 4 2 6 2 2 2" xfId="37508" xr:uid="{38CF666C-7899-4902-B59D-47235BBE73A3}"/>
    <cellStyle name="计算 4 2 6 2 3" xfId="38293" xr:uid="{065BFACB-418B-43DD-853F-EB1CD56E70CB}"/>
    <cellStyle name="计算 4 2 6 3" xfId="36363" xr:uid="{B7B66379-EC72-4243-8641-AF05569602B4}"/>
    <cellStyle name="计算 4 2 7" xfId="24648" xr:uid="{6537F3E9-29B6-48CC-BD7D-E42D79F1BE2B}"/>
    <cellStyle name="计算 4 2 7 2" xfId="24649" xr:uid="{FE22A4AE-9709-49E0-9A36-6F68EC645B69}"/>
    <cellStyle name="计算 4 2 7 2 2" xfId="27054" xr:uid="{536A611B-612D-40A2-8292-04348795D963}"/>
    <cellStyle name="计算 4 2 7 2 2 2" xfId="38631" xr:uid="{40B241F9-CA1C-441A-BB62-F3C205B97D85}"/>
    <cellStyle name="计算 4 2 7 2 3" xfId="27927" xr:uid="{9DC9F631-BD79-46DB-A1E6-1BDA26B47B11}"/>
    <cellStyle name="计算 4 2 7 3" xfId="36364" xr:uid="{81D3426E-E6AE-4549-AD6C-D06A1FCC03A6}"/>
    <cellStyle name="计算 4 2 8" xfId="24650" xr:uid="{ABDA9495-8C1D-498D-A0D0-178E30DA053A}"/>
    <cellStyle name="计算 4 2 8 2" xfId="24651" xr:uid="{5B3CC091-1876-42F1-9A4D-7CFE566A18ED}"/>
    <cellStyle name="计算 4 2 8 2 2" xfId="27055" xr:uid="{77E8D5AA-BC79-406A-BE75-A97966BDF527}"/>
    <cellStyle name="计算 4 2 8 2 2 2" xfId="37509" xr:uid="{7D0B301B-C46E-4937-AFF0-6A8762230D45}"/>
    <cellStyle name="计算 4 2 8 2 3" xfId="38294" xr:uid="{C9C5FA2A-2665-4CDC-8618-B2F440F68ED5}"/>
    <cellStyle name="计算 4 2 8 3" xfId="36365" xr:uid="{AD606122-A1E4-4CE9-8D3C-31F99AC0EA47}"/>
    <cellStyle name="计算 4 2 9" xfId="24652" xr:uid="{D9C7398B-7D71-450C-9BD4-729E9F856C1A}"/>
    <cellStyle name="计算 4 2 9 2" xfId="24653" xr:uid="{2689A460-3312-4908-8477-9BA365E32463}"/>
    <cellStyle name="计算 4 2 9 2 2" xfId="27056" xr:uid="{B232207F-7C53-44FA-867F-4399C62057E3}"/>
    <cellStyle name="计算 4 2 9 2 2 2" xfId="37510" xr:uid="{506C1B99-E113-4523-8FD2-F84021474C3B}"/>
    <cellStyle name="计算 4 2 9 2 3" xfId="27928" xr:uid="{B832E7AE-2C91-4FD0-8AFC-2C7B15CDCE12}"/>
    <cellStyle name="计算 4 2 9 3" xfId="36366" xr:uid="{A9498FF8-2D9C-477C-9FE7-91592D8295C8}"/>
    <cellStyle name="计算 4 3" xfId="24654" xr:uid="{CAEFEF78-F5BE-45FF-B02A-BB9BA6448A8F}"/>
    <cellStyle name="计算 4 3 2" xfId="24655" xr:uid="{E7699802-6BB8-4E1F-B5F6-C78E40C087E2}"/>
    <cellStyle name="计算 4 3 2 2" xfId="27057" xr:uid="{270FC305-5181-433A-8364-1FD2ABDF7CA3}"/>
    <cellStyle name="计算 4 3 2 2 2" xfId="38632" xr:uid="{7874956A-C6DA-4707-A900-84C18DE35168}"/>
    <cellStyle name="计算 4 3 2 3" xfId="38295" xr:uid="{F08891F5-E6D0-408B-ABB0-C5AB88365937}"/>
    <cellStyle name="计算 4 3 3" xfId="36367" xr:uid="{B3EAFCCD-190A-4D3B-9135-66440D23439F}"/>
    <cellStyle name="计算 4 4" xfId="24656" xr:uid="{6E984F48-7643-4DD4-A471-437151DFE051}"/>
    <cellStyle name="计算 4 4 2" xfId="24657" xr:uid="{67876A14-5E8E-427D-8336-4A8167ACDEEC}"/>
    <cellStyle name="计算 4 4 2 2" xfId="27058" xr:uid="{B34A9AFF-A6F3-47D3-8577-9AA215DA0B72}"/>
    <cellStyle name="计算 4 4 2 2 2" xfId="37511" xr:uid="{C552E83B-7BD5-4E38-9DD3-FE2D418EE822}"/>
    <cellStyle name="计算 4 4 2 3" xfId="27929" xr:uid="{0669D3E3-882C-439A-AEDE-2343DADAE808}"/>
    <cellStyle name="计算 4 4 3" xfId="36368" xr:uid="{D67BDEA8-8F4E-40B8-B8A1-6EF0FE1A71E8}"/>
    <cellStyle name="计算 4 5" xfId="24658" xr:uid="{6A7CA7ED-2340-4BD9-801D-A018A2C56B09}"/>
    <cellStyle name="计算 4 5 2" xfId="24659" xr:uid="{0AC47DDD-D8E2-407D-AA62-48DA717ACFAA}"/>
    <cellStyle name="计算 4 5 2 2" xfId="27059" xr:uid="{5E5B6436-9AE3-420F-816B-541D84370815}"/>
    <cellStyle name="计算 4 5 2 2 2" xfId="37512" xr:uid="{43AD774C-6936-40DD-993C-50BA718F33A4}"/>
    <cellStyle name="计算 4 5 2 3" xfId="38296" xr:uid="{30EDC813-0F78-4B8B-BD41-940711BF5F7E}"/>
    <cellStyle name="计算 4 5 3" xfId="36369" xr:uid="{143E41B3-469D-4E5E-9CC0-D8F32CA6709C}"/>
    <cellStyle name="计算 4 6" xfId="24660" xr:uid="{E45EA19B-90C0-4EAC-B862-11AEE16190FB}"/>
    <cellStyle name="计算 4 6 2" xfId="24661" xr:uid="{25EA925B-6856-4E5D-9B75-56F4F6435025}"/>
    <cellStyle name="计算 4 6 2 2" xfId="27060" xr:uid="{2C5697CA-BB98-44F4-88D9-69E732B17B57}"/>
    <cellStyle name="计算 4 6 2 2 2" xfId="38633" xr:uid="{30FC362B-4621-4B50-8510-B896AAAFD252}"/>
    <cellStyle name="计算 4 6 2 3" xfId="27930" xr:uid="{D2C8146D-2E45-4771-85D4-DEE9574A0980}"/>
    <cellStyle name="计算 4 6 3" xfId="36370" xr:uid="{A17957A2-6EE8-4730-8203-99423DBC2622}"/>
    <cellStyle name="计算 4 7" xfId="24662" xr:uid="{425A9A80-FE41-4FCF-97A2-C71ADAF44CCA}"/>
    <cellStyle name="计算 4 7 2" xfId="24663" xr:uid="{5EFDC5D8-FBD1-4480-A4F0-18FAE9248300}"/>
    <cellStyle name="计算 4 7 2 2" xfId="27061" xr:uid="{FE885C46-6D40-477A-BE28-E91A4320562D}"/>
    <cellStyle name="计算 4 7 2 2 2" xfId="37513" xr:uid="{24FB1390-4293-42CC-B795-30BAC7308D4E}"/>
    <cellStyle name="计算 4 7 2 3" xfId="38297" xr:uid="{78DA6A74-48C1-4121-AED4-448801FCABB1}"/>
    <cellStyle name="计算 4 7 3" xfId="36371" xr:uid="{440C7289-EF2E-4B9E-B714-2F48BEB1E2F6}"/>
    <cellStyle name="计算 4 8" xfId="24664" xr:uid="{AA5633B0-170A-4262-9F8C-63304F91BE5D}"/>
    <cellStyle name="计算 4 8 2" xfId="24665" xr:uid="{14181AFB-2D33-4572-8F41-A952743C025C}"/>
    <cellStyle name="计算 4 8 2 2" xfId="27062" xr:uid="{CFF1EB04-C203-41B5-9E02-96B2D990565E}"/>
    <cellStyle name="计算 4 8 2 2 2" xfId="37514" xr:uid="{01D22410-5A64-45F9-8A20-D45F7E02FB7F}"/>
    <cellStyle name="计算 4 8 2 3" xfId="27931" xr:uid="{7B675C39-17BE-469D-8325-07B507A72A68}"/>
    <cellStyle name="计算 4 8 3" xfId="36372" xr:uid="{93182869-B558-4735-B1C9-28F4A7954F08}"/>
    <cellStyle name="计算 4 9" xfId="24666" xr:uid="{718AA75F-0801-4BE8-BEE2-7F4C37FA14BB}"/>
    <cellStyle name="计算 4 9 2" xfId="24667" xr:uid="{8901DBBB-76C9-4FF5-BF70-102EC96D3A9B}"/>
    <cellStyle name="计算 4 9 2 2" xfId="27063" xr:uid="{FAC730CE-01DD-4A10-8158-0476007A57E3}"/>
    <cellStyle name="计算 4 9 2 2 2" xfId="37515" xr:uid="{4DD40CF2-E591-4827-ADC0-6F6929E769A0}"/>
    <cellStyle name="计算 4 9 2 3" xfId="38298" xr:uid="{D5BE4844-171E-47F2-8F95-AA1EDC1F0248}"/>
    <cellStyle name="计算 4 9 3" xfId="36373" xr:uid="{AEBCC578-A12D-4EF5-9201-C6FE123EAFCB}"/>
    <cellStyle name="计算 5" xfId="24668" xr:uid="{FCF85EB6-FB36-4A99-9F40-1510B3FE9A67}"/>
    <cellStyle name="计算 5 10" xfId="24669" xr:uid="{8D952075-AA41-4531-9D98-2E0D8A94581D}"/>
    <cellStyle name="计算 5 10 2" xfId="24670" xr:uid="{46044611-F3A7-47AB-815F-2B2039C8D6A2}"/>
    <cellStyle name="计算 5 10 2 2" xfId="27064" xr:uid="{DBEC4046-547E-48A8-AFC0-8969944990E9}"/>
    <cellStyle name="计算 5 10 2 2 2" xfId="37516" xr:uid="{FC814D34-978C-416F-A031-7192410A680C}"/>
    <cellStyle name="计算 5 10 2 3" xfId="38299" xr:uid="{ED318ADB-559E-42DE-9F23-93961192B5F6}"/>
    <cellStyle name="计算 5 10 3" xfId="37816" xr:uid="{B0433435-4E9E-4908-8F9D-CEE44EDEBDF1}"/>
    <cellStyle name="计算 5 11" xfId="24671" xr:uid="{1F5DB7BB-8BEE-430D-9338-4E8774D92CBB}"/>
    <cellStyle name="计算 5 11 2" xfId="24672" xr:uid="{041BD610-1984-4A6C-9089-AE6F3DB662F4}"/>
    <cellStyle name="计算 5 11 2 2" xfId="27065" xr:uid="{7F80D8D7-277C-4062-965F-0943E87778FD}"/>
    <cellStyle name="计算 5 11 2 2 2" xfId="37517" xr:uid="{6D3B87AA-A07D-476B-A397-CBE1DAA97BEF}"/>
    <cellStyle name="计算 5 11 2 3" xfId="36376" xr:uid="{A53F6783-50EC-4428-B043-7805FC9276E8}"/>
    <cellStyle name="计算 5 11 3" xfId="36375" xr:uid="{05264E24-07BA-4685-B575-02517253FD82}"/>
    <cellStyle name="计算 5 12" xfId="24673" xr:uid="{A9CD993F-F6AC-4AFC-8EE4-7F6BD3265EE7}"/>
    <cellStyle name="计算 5 12 2" xfId="24674" xr:uid="{161AF1A8-63B9-47DB-9D64-6F74CE2F514B}"/>
    <cellStyle name="计算 5 12 2 2" xfId="27066" xr:uid="{72E026E5-CA62-4BED-BF98-8D96A8514F3A}"/>
    <cellStyle name="计算 5 12 2 2 2" xfId="37518" xr:uid="{85D6C072-92D3-42C4-B2B4-5B647289C097}"/>
    <cellStyle name="计算 5 12 2 3" xfId="36377" xr:uid="{233719F6-31F5-412C-B1A8-A11EAF7DDA60}"/>
    <cellStyle name="计算 5 12 3" xfId="38300" xr:uid="{42CE3D25-6AED-4830-B30E-1F4E64E4DB8C}"/>
    <cellStyle name="计算 5 13" xfId="24675" xr:uid="{D18B609D-829F-4549-9821-AB6FC0A8AED2}"/>
    <cellStyle name="计算 5 13 2" xfId="24676" xr:uid="{9ACB71CD-C0CD-41E9-88D3-F64558093F8B}"/>
    <cellStyle name="计算 5 13 2 2" xfId="27067" xr:uid="{A3746B4B-E3DD-4537-94E8-26DBDB1F6E04}"/>
    <cellStyle name="计算 5 13 2 2 2" xfId="37519" xr:uid="{F1063FFC-536A-495D-B887-9E97CE54F935}"/>
    <cellStyle name="计算 5 13 2 3" xfId="36378" xr:uid="{0289C21C-804C-486D-91EA-F1744D6CEC19}"/>
    <cellStyle name="计算 5 13 3" xfId="27932" xr:uid="{EFE9CA29-7B27-470B-8D9B-5FDA19E7FC6F}"/>
    <cellStyle name="计算 5 14" xfId="24677" xr:uid="{78557B7D-16FA-4C7E-A79D-1B5454309FBD}"/>
    <cellStyle name="计算 5 14 2" xfId="24678" xr:uid="{D27F5646-837E-4E58-B6D9-B160F7E53D27}"/>
    <cellStyle name="计算 5 14 2 2" xfId="27068" xr:uid="{D6127924-53FD-48FA-9B9C-7B8A4248BF95}"/>
    <cellStyle name="计算 5 14 2 2 2" xfId="37520" xr:uid="{C07E4AEC-DAF4-4E39-8559-83B5F9B818EB}"/>
    <cellStyle name="计算 5 14 2 3" xfId="36379" xr:uid="{A41BA773-EBC7-4470-8CEB-C88EE2F11499}"/>
    <cellStyle name="计算 5 14 3" xfId="38301" xr:uid="{8A70899A-FE2B-46BA-B4CB-E1056FCE7AB4}"/>
    <cellStyle name="计算 5 15" xfId="24679" xr:uid="{79A90AF2-1F5D-4D89-8FB2-8E4DFDDCF738}"/>
    <cellStyle name="计算 5 15 2" xfId="27069" xr:uid="{C7B9D610-CB60-4150-8ABD-D76FEEE5D27F}"/>
    <cellStyle name="计算 5 15 2 2" xfId="37521" xr:uid="{54375394-003C-4109-A58F-C517970603BC}"/>
    <cellStyle name="计算 5 15 3" xfId="36380" xr:uid="{4D06A929-FF3A-4E87-8AA6-27640C615AE1}"/>
    <cellStyle name="计算 5 16" xfId="36374" xr:uid="{F1CA83EE-9E5D-44A8-8EC8-D7AFE1A4EE24}"/>
    <cellStyle name="计算 5 2" xfId="24680" xr:uid="{674F0B31-EEDE-4C36-B32C-A5FE326B07A2}"/>
    <cellStyle name="计算 5 2 2" xfId="24681" xr:uid="{879758C1-7619-42E7-9E34-CBACD9A37A23}"/>
    <cellStyle name="计算 5 2 2 2" xfId="27070" xr:uid="{AEE6EC64-413E-4596-8738-3977E257C6D3}"/>
    <cellStyle name="计算 5 2 2 2 2" xfId="38634" xr:uid="{50EA083B-91B3-4603-B783-9296BE87EFE1}"/>
    <cellStyle name="计算 5 2 2 3" xfId="36381" xr:uid="{929E39D9-F532-45AB-88DE-0C81636AF4B8}"/>
    <cellStyle name="计算 5 2 3" xfId="38302" xr:uid="{D10F96F7-814E-4183-B42E-CF1117C71B7F}"/>
    <cellStyle name="计算 5 3" xfId="24682" xr:uid="{9850701D-97A5-48BF-B9B3-349B04202A65}"/>
    <cellStyle name="计算 5 3 2" xfId="24683" xr:uid="{DF017013-A568-4B3A-B18B-2D610FCBF0A4}"/>
    <cellStyle name="计算 5 3 2 2" xfId="27071" xr:uid="{DC6364F6-8F64-4473-9D00-315BEA8BDA61}"/>
    <cellStyle name="计算 5 3 2 2 2" xfId="37522" xr:uid="{C376271B-FE1E-4482-9AAD-0B794DAFC178}"/>
    <cellStyle name="计算 5 3 2 3" xfId="38303" xr:uid="{A8333101-40E2-465F-91F6-D2CEE15BE81D}"/>
    <cellStyle name="计算 5 3 3" xfId="36382" xr:uid="{8359B76A-A449-4191-BAEB-53804A08137C}"/>
    <cellStyle name="计算 5 4" xfId="24684" xr:uid="{35E20554-9942-470C-BD34-BD4D2152CA13}"/>
    <cellStyle name="计算 5 4 2" xfId="24685" xr:uid="{F36E7A2D-FBC4-4512-8E5B-8E62B2C82204}"/>
    <cellStyle name="计算 5 4 2 2" xfId="27072" xr:uid="{FE68A85A-C153-4856-835F-0F6EE9123A48}"/>
    <cellStyle name="计算 5 4 2 2 2" xfId="37523" xr:uid="{7071839B-AB9D-4186-9156-A3BBF9ED15B1}"/>
    <cellStyle name="计算 5 4 2 3" xfId="36384" xr:uid="{5257A25C-E002-4E16-BB61-139D3FECA914}"/>
    <cellStyle name="计算 5 4 3" xfId="36383" xr:uid="{9168CED3-4779-4B87-958F-215152C62E40}"/>
    <cellStyle name="计算 5 5" xfId="24686" xr:uid="{3FFA3EEC-C3E5-4AF6-A19D-AA8E9C85AFE6}"/>
    <cellStyle name="计算 5 5 2" xfId="24687" xr:uid="{DD3D556C-7559-4074-BE28-D9BF443D2E13}"/>
    <cellStyle name="计算 5 5 2 2" xfId="27073" xr:uid="{0BD4020C-5E9D-4EF4-A4EE-E667F1CC8C3A}"/>
    <cellStyle name="计算 5 5 2 2 2" xfId="38635" xr:uid="{394F8A5A-D4B7-4152-905B-0060A04CEFE8}"/>
    <cellStyle name="计算 5 5 2 3" xfId="38304" xr:uid="{5583A4EF-42CC-49C6-869A-814CD4EA5DD1}"/>
    <cellStyle name="计算 5 5 3" xfId="27933" xr:uid="{C79842C1-C640-4B96-BF82-F96A51964F2E}"/>
    <cellStyle name="计算 5 6" xfId="24688" xr:uid="{1E6DB18D-F09D-4621-BCB7-7A9A96938C9F}"/>
    <cellStyle name="计算 5 6 2" xfId="24689" xr:uid="{F9005A3D-FD1E-4B00-9817-4A41CF305F76}"/>
    <cellStyle name="计算 5 6 2 2" xfId="27074" xr:uid="{A3804302-DEBB-4D85-8DBE-430417E08438}"/>
    <cellStyle name="计算 5 6 2 2 2" xfId="37524" xr:uid="{CAB82DE6-078B-4077-B5D7-E35308206535}"/>
    <cellStyle name="计算 5 6 2 3" xfId="36386" xr:uid="{E7ADDE3A-4DF4-42E8-A217-A7EA044CD2C7}"/>
    <cellStyle name="计算 5 6 3" xfId="36385" xr:uid="{53BCD95F-97EE-4DE7-B521-E4BD75D3DBB1}"/>
    <cellStyle name="计算 5 7" xfId="24690" xr:uid="{44E2950D-24AA-4502-98AD-EF408DE91E6F}"/>
    <cellStyle name="计算 5 7 2" xfId="24691" xr:uid="{1E99E13D-BF94-4361-B5F7-242153C6F6AB}"/>
    <cellStyle name="计算 5 7 2 2" xfId="27075" xr:uid="{0EBE5CE3-B3C0-4F6C-AF9C-2B4620F47F37}"/>
    <cellStyle name="计算 5 7 2 2 2" xfId="37525" xr:uid="{CDBB567B-3807-4407-8BF7-74DCB289B0CD}"/>
    <cellStyle name="计算 5 7 2 3" xfId="36387" xr:uid="{4DA86820-428C-40BC-B8BA-4B714BE65380}"/>
    <cellStyle name="计算 5 7 3" xfId="38305" xr:uid="{FF92DF48-F51C-4F42-9BAB-7F8623C39BA0}"/>
    <cellStyle name="计算 5 8" xfId="24692" xr:uid="{09827B08-F025-4CEC-A250-6A3B364B0745}"/>
    <cellStyle name="计算 5 8 2" xfId="24693" xr:uid="{C56356C0-18A5-415D-96B0-777F2246E244}"/>
    <cellStyle name="计算 5 8 2 2" xfId="27076" xr:uid="{6334B428-5C5E-46F6-AD18-A65EBF8CBDEA}"/>
    <cellStyle name="计算 5 8 2 2 2" xfId="38636" xr:uid="{2C0C04AB-1313-494F-95C4-9D1D9B345C61}"/>
    <cellStyle name="计算 5 8 2 3" xfId="38306" xr:uid="{438D7053-7913-4610-BB35-7BB2660F0BC0}"/>
    <cellStyle name="计算 5 8 3" xfId="36388" xr:uid="{42407F26-C2BD-4ED8-897B-245BCB610A96}"/>
    <cellStyle name="计算 5 9" xfId="24694" xr:uid="{AC438810-5C55-42B8-BE98-E80D57B72E2F}"/>
    <cellStyle name="计算 5 9 2" xfId="24695" xr:uid="{A1E1B32B-79C3-4B14-861E-F60760DC4118}"/>
    <cellStyle name="计算 5 9 2 2" xfId="27077" xr:uid="{B47EC00F-3C57-40AE-A1EB-7B5472115913}"/>
    <cellStyle name="计算 5 9 2 2 2" xfId="37526" xr:uid="{B0E78DA6-F4E1-4607-963B-E39F772BC47F}"/>
    <cellStyle name="计算 5 9 2 3" xfId="36390" xr:uid="{0475DDCF-2A4A-40BF-9DFD-A600AD6A7B8F}"/>
    <cellStyle name="计算 5 9 3" xfId="36389" xr:uid="{0DED8503-C933-4037-8A26-36B3403F3DE8}"/>
    <cellStyle name="计算 6" xfId="24696" xr:uid="{11048BD8-F670-4CA6-91D6-1FBDC5E25CAA}"/>
    <cellStyle name="计算 6 2" xfId="24697" xr:uid="{D11ABE0C-6AC6-416E-9B7C-11920EA8218E}"/>
    <cellStyle name="计算 6 2 2" xfId="27078" xr:uid="{C1D04927-E880-4902-AEB8-5DC7CA246984}"/>
    <cellStyle name="计算 6 2 2 2" xfId="37527" xr:uid="{BEA1A80B-D330-45DC-B4EC-5F010021E8A7}"/>
    <cellStyle name="计算 6 2 3" xfId="37817" xr:uid="{3418EEA4-E1DE-4EB6-9CE0-6C8E89E40EC4}"/>
    <cellStyle name="计算 6 3" xfId="38307" xr:uid="{FD20A461-9AA7-4DB5-A37C-14CC24F00912}"/>
    <cellStyle name="计算 7" xfId="24698" xr:uid="{A583FC95-B03B-41FE-894A-46359A875230}"/>
    <cellStyle name="计算 7 2" xfId="24699" xr:uid="{6DD8791B-8E37-4AAB-A436-954DB0E3A2BF}"/>
    <cellStyle name="计算 7 2 2" xfId="27079" xr:uid="{E79D684A-3732-4043-A784-367CDA1F81A2}"/>
    <cellStyle name="计算 7 2 2 2" xfId="38637" xr:uid="{9165D9FD-4A40-4561-93C6-B0E6509A1004}"/>
    <cellStyle name="计算 7 2 3" xfId="36392" xr:uid="{33663949-B0FE-4E37-9DBB-EDB9B7257FA5}"/>
    <cellStyle name="计算 7 3" xfId="36391" xr:uid="{773ED6B6-1C9D-4F11-8A0C-52D50B451FDA}"/>
    <cellStyle name="计算 8" xfId="24700" xr:uid="{D940EC66-EDE1-4A79-A00B-547A460B0B11}"/>
    <cellStyle name="计算 8 2" xfId="24701" xr:uid="{F34BCDD7-3EE7-43DC-9FD3-CFBACFE53C69}"/>
    <cellStyle name="计算 8 2 2" xfId="27080" xr:uid="{A0F6453F-1EAC-4CC5-8EDC-1FC3AE4FF35C}"/>
    <cellStyle name="计算 8 2 2 2" xfId="37528" xr:uid="{DC956477-491E-47CA-B707-9DF91FDAC770}"/>
    <cellStyle name="计算 8 2 3" xfId="27934" xr:uid="{52969615-99FF-49E9-904E-082C4F7D3AD8}"/>
    <cellStyle name="计算 8 3" xfId="38308" xr:uid="{846BA8F0-B5AD-4CA6-B86E-3BE03CF4ECA7}"/>
    <cellStyle name="计算 9" xfId="24702" xr:uid="{2F20F6BB-8BC0-4673-B5DC-C6A94942DF2A}"/>
    <cellStyle name="计算 9 2" xfId="24703" xr:uid="{DF3C81FF-CB15-4AC5-9456-0500BB0590BA}"/>
    <cellStyle name="计算 9 2 2" xfId="27081" xr:uid="{C5649FD0-68BF-4407-A634-294CF0EA13CA}"/>
    <cellStyle name="计算 9 2 2 2" xfId="37529" xr:uid="{56FDB78E-BCA3-4568-8CF1-549C1E28A662}"/>
    <cellStyle name="计算 9 2 3" xfId="27935" xr:uid="{25C2AC21-A035-4C0D-A50A-43974303066F}"/>
    <cellStyle name="计算 9 3" xfId="36393" xr:uid="{78AC66FC-CDDD-4157-9281-440D5E70D717}"/>
    <cellStyle name="貨幣 [0]_CCTV" xfId="22162" xr:uid="{5598A06C-3AEA-42AB-A24F-C6F1C4216E56}"/>
    <cellStyle name="貨幣[0]" xfId="22163" xr:uid="{E634E8F5-D841-460A-A46A-3A0EBEDC0F4D}"/>
    <cellStyle name="貨幣[0] 2" xfId="22164" xr:uid="{070B027C-1A7C-4017-968B-89E9FF7903FA}"/>
    <cellStyle name="貨幣[0] 3" xfId="22165" xr:uid="{1FED17B4-CABE-4C53-A275-280F35E5A468}"/>
    <cellStyle name="貨幣[0]_83-86-A" xfId="22166" xr:uid="{7F9EC34C-7EC6-49D6-8333-B17365DB76BF}"/>
    <cellStyle name="貨幣_CCTV" xfId="22167" xr:uid="{9703B52C-556F-4211-82AC-8651C60FFC34}"/>
    <cellStyle name="超级链接_财务公司2004年损益预算" xfId="23416" xr:uid="{33EEDE4F-8FED-41A6-9A80-C4DF5A755E11}"/>
    <cellStyle name="输入" xfId="25065" xr:uid="{710BD2A9-B913-4724-9A8D-A431003A7036}"/>
    <cellStyle name="输入 10" xfId="25066" xr:uid="{441315EE-C16A-450E-9A86-840A4854BA6A}"/>
    <cellStyle name="输入 10 2" xfId="25067" xr:uid="{C4395225-28D4-4E65-8159-E7102533A81D}"/>
    <cellStyle name="输入 10 2 2" xfId="27252" xr:uid="{72B30F06-4CB1-41E0-8A54-204EEF4A1565}"/>
    <cellStyle name="输入 10 2 2 2" xfId="35837" xr:uid="{5EBFA45F-7473-497D-8650-679B07B44C08}"/>
    <cellStyle name="输入 10 2 3" xfId="27997" xr:uid="{3DE067E4-D45B-4A96-9D26-1BA289409373}"/>
    <cellStyle name="输入 10 3" xfId="36594" xr:uid="{B5B3BE81-7854-4B19-B4C8-C3808F6DEEB8}"/>
    <cellStyle name="输入 11" xfId="25068" xr:uid="{85A9D528-B28E-4826-9CF5-F71CBC2B6555}"/>
    <cellStyle name="输入 11 2" xfId="25069" xr:uid="{811DD64E-79A7-4509-A255-5551B801A77F}"/>
    <cellStyle name="输入 11 2 2" xfId="27253" xr:uid="{DF9627CA-69E4-4288-BCD4-A4A46E893566}"/>
    <cellStyle name="输入 11 2 2 2" xfId="35838" xr:uid="{ABF87662-7585-426D-91D4-143A3B70E825}"/>
    <cellStyle name="输入 11 2 3" xfId="38399" xr:uid="{5B78104F-3A2D-4AF2-BA12-B050CEAD7630}"/>
    <cellStyle name="输入 11 3" xfId="36595" xr:uid="{2E4AC906-D7D2-4C1E-96F7-D5BBF676EFC4}"/>
    <cellStyle name="输入 12" xfId="25070" xr:uid="{8C4EDECC-8C6D-44B6-B658-FEB868CB55A0}"/>
    <cellStyle name="输入 12 2" xfId="25071" xr:uid="{5D5A3E0F-5B40-453B-AB66-6960D236E318}"/>
    <cellStyle name="输入 12 2 2" xfId="27254" xr:uid="{A6DB8473-8EBA-4612-91ED-62B13E914CCF}"/>
    <cellStyle name="输入 12 2 2 2" xfId="35839" xr:uid="{DE6338B9-C52C-4D27-8F1F-65C27460E1D6}"/>
    <cellStyle name="输入 12 2 3" xfId="37833" xr:uid="{7D2755D1-F96F-4D56-A51F-DE9C163DD4F0}"/>
    <cellStyle name="输入 12 3" xfId="36596" xr:uid="{44579F46-585E-4CCF-BE12-6B1A0BD0622E}"/>
    <cellStyle name="输入 13" xfId="25072" xr:uid="{313BEB5B-0CFD-4476-86AB-B786727DB0C8}"/>
    <cellStyle name="输入 13 2" xfId="25073" xr:uid="{FE08856B-3970-4691-ADFA-439F13C5C397}"/>
    <cellStyle name="输入 13 2 2" xfId="27255" xr:uid="{540B746B-6FBC-4952-A29A-924C272610D2}"/>
    <cellStyle name="输入 13 2 2 2" xfId="35840" xr:uid="{4EBC9089-F695-43FC-A9DD-E82828B720E5}"/>
    <cellStyle name="输入 13 2 3" xfId="38400" xr:uid="{8EDD59D2-E7E1-4FFF-95FA-54D92D4533BA}"/>
    <cellStyle name="输入 13 3" xfId="36597" xr:uid="{87C024B0-C552-42CD-B395-A3EEADECEBEE}"/>
    <cellStyle name="输入 14" xfId="25074" xr:uid="{0B4ACD02-2E37-48D0-BE3D-715A372AE132}"/>
    <cellStyle name="输入 14 2" xfId="25075" xr:uid="{E14CC35D-3DA7-4488-95E0-F8DEE537CF5C}"/>
    <cellStyle name="输入 14 2 2" xfId="27256" xr:uid="{B8560044-3816-42B3-A3E1-5DB629CBA314}"/>
    <cellStyle name="输入 14 2 2 2" xfId="35841" xr:uid="{583F28AA-C637-4B25-83BA-D2C658E181EE}"/>
    <cellStyle name="输入 14 2 3" xfId="27998" xr:uid="{FA00F14D-7BAC-4CF8-855D-429884AF75A5}"/>
    <cellStyle name="输入 14 3" xfId="36598" xr:uid="{035A52ED-8A26-44EC-A8FF-37A59F1998EA}"/>
    <cellStyle name="输入 15" xfId="25076" xr:uid="{D763A042-15D0-4D5F-A05A-A7787C6F0EA6}"/>
    <cellStyle name="输入 15 2" xfId="25077" xr:uid="{F6DB2342-7391-4C30-9788-A1043484F245}"/>
    <cellStyle name="输入 15 2 2" xfId="27257" xr:uid="{B7681927-6425-497E-AC0C-3C4B7CCC5553}"/>
    <cellStyle name="输入 15 2 2 2" xfId="35842" xr:uid="{D957B3CF-D6F1-4E7E-88AA-6E423826CFDC}"/>
    <cellStyle name="输入 15 2 3" xfId="38401" xr:uid="{CFD7B104-88D3-410C-81D8-CF4498090F43}"/>
    <cellStyle name="输入 15 3" xfId="36599" xr:uid="{468D622D-988D-430D-AC7B-B7701FF77FE8}"/>
    <cellStyle name="输入 16" xfId="25078" xr:uid="{105F4554-7B32-4AEA-9B0F-84F7BE13E9F5}"/>
    <cellStyle name="输入 16 2" xfId="25079" xr:uid="{91D62F84-293F-4556-AA0F-2318BA5F22E7}"/>
    <cellStyle name="输入 16 2 2" xfId="27258" xr:uid="{773DC127-A70B-4DFE-8557-4BB9F5228880}"/>
    <cellStyle name="输入 16 2 2 2" xfId="35843" xr:uid="{18E74D09-8A19-4DB9-AA42-676057FAF950}"/>
    <cellStyle name="输入 16 2 3" xfId="27999" xr:uid="{E93C594C-BBE7-4D66-AAC8-2CD0E5FD30F0}"/>
    <cellStyle name="输入 16 3" xfId="36600" xr:uid="{3076FC31-767C-4C90-B27A-6EDF7DCA1443}"/>
    <cellStyle name="输入 17" xfId="25080" xr:uid="{4245C07B-D948-45C4-8B93-7E0FDCDE4189}"/>
    <cellStyle name="输入 17 2" xfId="25081" xr:uid="{90C03F67-6F23-485D-AFC7-658F25E1342D}"/>
    <cellStyle name="输入 17 2 2" xfId="27259" xr:uid="{0C39FA0E-F889-4CE3-BD93-19720AFA30F2}"/>
    <cellStyle name="输入 17 2 2 2" xfId="35844" xr:uid="{F308105C-3324-43AF-BE24-591A03B91EBA}"/>
    <cellStyle name="输入 17 2 3" xfId="38402" xr:uid="{DF6CB049-0E70-46FF-8F6F-F788191E4D57}"/>
    <cellStyle name="输入 17 3" xfId="36601" xr:uid="{5B65A102-0BF9-469D-A6D0-9CB251C42107}"/>
    <cellStyle name="输入 18" xfId="25082" xr:uid="{7D347AD1-C9CB-439F-9308-A76DA0D84820}"/>
    <cellStyle name="输入 18 2" xfId="25083" xr:uid="{F6D5D900-06D4-4178-815A-82BBFB28F477}"/>
    <cellStyle name="输入 18 2 2" xfId="27260" xr:uid="{B5645719-19FB-4B3C-BF39-B3F019B1988B}"/>
    <cellStyle name="输入 18 2 2 2" xfId="35845" xr:uid="{E506015E-CBFD-4315-B659-A34973452029}"/>
    <cellStyle name="输入 18 2 3" xfId="28000" xr:uid="{A96B8130-2DE2-47BE-903F-1AD84C5904F0}"/>
    <cellStyle name="输入 18 3" xfId="36602" xr:uid="{B4858D5C-FB49-4FFD-8089-F62AEC962B57}"/>
    <cellStyle name="输入 19" xfId="25084" xr:uid="{FE7876D3-E19B-41E0-9508-7FF085B1727E}"/>
    <cellStyle name="输入 19 2" xfId="25085" xr:uid="{8536A0DB-1CA3-42F3-A61C-26C2C96ACDBE}"/>
    <cellStyle name="输入 19 2 2" xfId="27261" xr:uid="{9557F66B-4FB3-49EF-A4AA-F3D742C72322}"/>
    <cellStyle name="输入 19 2 2 2" xfId="35846" xr:uid="{796B5C9A-F0F0-4E7A-9F69-16886173FB35}"/>
    <cellStyle name="输入 19 2 3" xfId="38403" xr:uid="{A496AA2C-FD3E-4B27-BD71-DF4A40BAFD17}"/>
    <cellStyle name="输入 19 3" xfId="36603" xr:uid="{46A0D55C-3757-49C0-8F2F-68ABFD0B31E0}"/>
    <cellStyle name="输入 2" xfId="25086" xr:uid="{5F66E4A2-1A5A-4CE9-A887-14BFBE4DC895}"/>
    <cellStyle name="输入 2 10" xfId="25087" xr:uid="{162FAD02-57FA-4EF9-AC1B-578B76DCFE9A}"/>
    <cellStyle name="输入 2 10 2" xfId="25088" xr:uid="{FA919817-1919-42AF-A5C7-4DC90F7DFBAA}"/>
    <cellStyle name="输入 2 10 2 2" xfId="27262" xr:uid="{E068E3F9-761C-41CC-AF7E-33DDDE2D1009}"/>
    <cellStyle name="输入 2 10 2 2 2" xfId="35847" xr:uid="{C97B8762-9109-402A-9C01-E6845D4CFF78}"/>
    <cellStyle name="输入 2 10 2 3" xfId="38404" xr:uid="{3CB9ED58-B90D-483B-98CB-FC2846192F8F}"/>
    <cellStyle name="输入 2 10 3" xfId="37834" xr:uid="{02470D8F-C64A-40C3-BF7B-FC94B99D8574}"/>
    <cellStyle name="输入 2 11" xfId="25089" xr:uid="{516EFF77-9003-453B-AA99-E41FC82544A8}"/>
    <cellStyle name="输入 2 11 2" xfId="25090" xr:uid="{F3058EA6-7D28-4C83-B82E-4DA480CD34D0}"/>
    <cellStyle name="输入 2 11 2 2" xfId="27263" xr:uid="{3565F003-FD0A-41D0-A17D-8CFE7419759E}"/>
    <cellStyle name="输入 2 11 2 2 2" xfId="35848" xr:uid="{5D3C15FD-7EC0-41A4-95AD-4B8F769E1AE4}"/>
    <cellStyle name="输入 2 11 2 3" xfId="28001" xr:uid="{82EF8D81-18EA-4B00-B1F5-B40898C76E7F}"/>
    <cellStyle name="输入 2 11 3" xfId="36605" xr:uid="{93E2F853-8F8F-4282-8AEC-B3F2E0C2EF6A}"/>
    <cellStyle name="输入 2 12" xfId="25091" xr:uid="{EB500F94-DE60-44D5-A9E3-678D18E99093}"/>
    <cellStyle name="输入 2 12 2" xfId="25092" xr:uid="{C95F1DF1-3902-4FD2-A851-21AA752321B6}"/>
    <cellStyle name="输入 2 12 2 2" xfId="27264" xr:uid="{A81236F1-2736-44DF-93F9-E043C997BF86}"/>
    <cellStyle name="输入 2 12 2 2 2" xfId="35849" xr:uid="{CD16A970-5B04-426A-A479-7DC8E79555F6}"/>
    <cellStyle name="输入 2 12 2 3" xfId="28002" xr:uid="{96A1FC00-84B8-417D-BC75-4D97C228C384}"/>
    <cellStyle name="输入 2 12 3" xfId="36606" xr:uid="{125A4F62-75B1-4BE1-A8B8-702DB4EA087A}"/>
    <cellStyle name="输入 2 13" xfId="25093" xr:uid="{EC57F970-02D8-42C1-9EEC-362A9F4D7837}"/>
    <cellStyle name="输入 2 13 2" xfId="25094" xr:uid="{CABEA12D-24B7-431F-942B-E4CF9B265056}"/>
    <cellStyle name="输入 2 13 2 2" xfId="27265" xr:uid="{EB9BB96F-7581-4FED-A599-B5E79DB31778}"/>
    <cellStyle name="输入 2 13 2 2 2" xfId="35850" xr:uid="{36D382A2-8E81-4585-9CC5-0E5F00D164B9}"/>
    <cellStyle name="输入 2 13 2 3" xfId="36607" xr:uid="{6005C6FA-E0A6-4101-90AF-27D4C9B386BE}"/>
    <cellStyle name="输入 2 13 3" xfId="38405" xr:uid="{986F3655-FA0E-4A30-A8A8-BD6C0C5800A8}"/>
    <cellStyle name="输入 2 14" xfId="25095" xr:uid="{DD9A5EA4-C098-4C67-B30D-03AA9C698F44}"/>
    <cellStyle name="输入 2 14 2" xfId="25096" xr:uid="{FD0EAE05-9D2F-4F76-B1C4-17CC2A922292}"/>
    <cellStyle name="输入 2 14 2 2" xfId="27266" xr:uid="{5DF03F90-3AA7-4E1B-AA39-F8942A863539}"/>
    <cellStyle name="输入 2 14 2 2 2" xfId="35851" xr:uid="{433B6F2C-62BB-4EED-B016-84539F9E0E19}"/>
    <cellStyle name="输入 2 14 2 3" xfId="38406" xr:uid="{1AD9A5A0-1A51-4091-A6CC-493B2F82EDA2}"/>
    <cellStyle name="输入 2 14 3" xfId="36608" xr:uid="{E527A156-85A4-4ADA-85E0-FC5521FA6996}"/>
    <cellStyle name="输入 2 15" xfId="25097" xr:uid="{4DED3A65-10F9-4EDE-8D63-0BBE4D904994}"/>
    <cellStyle name="输入 2 15 2" xfId="25098" xr:uid="{EEB2FDA8-A7D5-488E-880E-EB1053B33F04}"/>
    <cellStyle name="输入 2 15 2 2" xfId="27267" xr:uid="{8F31748F-72D4-4DAB-9541-A4AF1913D4E1}"/>
    <cellStyle name="输入 2 15 2 2 2" xfId="35852" xr:uid="{D9C6DFD8-312E-43BE-9D69-0C65B613241C}"/>
    <cellStyle name="输入 2 15 2 3" xfId="38395" xr:uid="{B225E565-E17D-4F3D-8C12-6320F891BD1E}"/>
    <cellStyle name="输入 2 15 3" xfId="27994" xr:uid="{F613D101-7AD3-4F6E-AC75-6837DF35AADE}"/>
    <cellStyle name="输入 2 16" xfId="25099" xr:uid="{23C20BD2-58E1-44EB-881F-84D77F7B745C}"/>
    <cellStyle name="输入 2 16 2" xfId="25100" xr:uid="{5BCE0535-F5A4-48FD-948F-77F5EE12A280}"/>
    <cellStyle name="输入 2 16 2 2" xfId="27268" xr:uid="{4B0278DB-6475-4C82-9A28-F3A2E093ABC9}"/>
    <cellStyle name="输入 2 16 2 2 2" xfId="35853" xr:uid="{699A6CEB-0F54-4735-8206-D66D2CB9BAB9}"/>
    <cellStyle name="输入 2 16 2 3" xfId="36588" xr:uid="{8AFD0FEE-AE00-4552-8AD9-CE2CCA8238B4}"/>
    <cellStyle name="输入 2 16 3" xfId="36587" xr:uid="{312F7A7D-E403-4812-A839-A12512AF3745}"/>
    <cellStyle name="输入 2 17" xfId="25101" xr:uid="{E419E083-CE7A-409B-BC36-0101E3D44322}"/>
    <cellStyle name="输入 2 17 2" xfId="25102" xr:uid="{DA5BC661-1038-4706-87BC-F63CE8A0D00F}"/>
    <cellStyle name="输入 2 17 2 2" xfId="27269" xr:uid="{4F843AEB-9CAB-4313-BBBE-FBB8ACEC5DB8}"/>
    <cellStyle name="输入 2 17 2 2 2" xfId="35854" xr:uid="{6D1EBA37-BB0F-46CB-B885-BDDC18E871AF}"/>
    <cellStyle name="输入 2 17 2 3" xfId="36610" xr:uid="{E8E15A62-2FFB-4B4E-9563-FD2FAB8F6CE8}"/>
    <cellStyle name="输入 2 17 3" xfId="36609" xr:uid="{76806D19-D360-4BF5-A305-C903383479F2}"/>
    <cellStyle name="输入 2 18" xfId="25103" xr:uid="{34FFF800-96FA-485E-94F0-9E4199EB5F17}"/>
    <cellStyle name="输入 2 18 2" xfId="27270" xr:uid="{E3FBE1E2-E3BA-49CD-8C71-0E3FDE25D22A}"/>
    <cellStyle name="输入 2 18 2 2" xfId="35855" xr:uid="{01FCCF40-B6C4-44A6-B8E2-5D911083EB3D}"/>
    <cellStyle name="输入 2 18 3" xfId="38407" xr:uid="{CFFDD978-49F8-43DE-9AF5-62CD4D96AA47}"/>
    <cellStyle name="输入 2 19" xfId="36604" xr:uid="{74602FF7-4DF5-4A08-A85F-D31645A7E648}"/>
    <cellStyle name="输入 2 2" xfId="25104" xr:uid="{493405AA-2C85-48FA-8FCE-C50CD60DBA42}"/>
    <cellStyle name="输入 2 2 10" xfId="25105" xr:uid="{7C508B4B-D38E-44E8-A747-3213E2ED89CF}"/>
    <cellStyle name="输入 2 2 10 2" xfId="25106" xr:uid="{83BEA38B-89E8-487A-A9D5-24F00524B434}"/>
    <cellStyle name="输入 2 2 10 2 2" xfId="27271" xr:uid="{A983E6F4-1786-4AB2-AB50-2E2D262E0B6F}"/>
    <cellStyle name="输入 2 2 10 2 2 2" xfId="35856" xr:uid="{9DAF3D8E-01A4-43DA-B1F0-DB1F6931F38E}"/>
    <cellStyle name="输入 2 2 10 2 3" xfId="38408" xr:uid="{24BA6DE6-29B2-40FB-85F3-1F002ADCA6B3}"/>
    <cellStyle name="输入 2 2 10 3" xfId="36612" xr:uid="{8FFEEEB3-05D4-4286-A67D-8E9866D87C6E}"/>
    <cellStyle name="输入 2 2 11" xfId="25107" xr:uid="{953EF095-0181-46AB-8925-4EA349F1A854}"/>
    <cellStyle name="输入 2 2 11 2" xfId="25108" xr:uid="{E1948F27-646B-4AA5-BE1F-939057DFBB67}"/>
    <cellStyle name="输入 2 2 11 2 2" xfId="27272" xr:uid="{360F2EB5-41B8-4092-B155-721439A8398F}"/>
    <cellStyle name="输入 2 2 11 2 2 2" xfId="35857" xr:uid="{79067E68-F6AB-4B2F-A61B-B2E83A5FEB07}"/>
    <cellStyle name="输入 2 2 11 2 3" xfId="36614" xr:uid="{746B9F02-401D-418A-9292-E10284D8612B}"/>
    <cellStyle name="输入 2 2 11 3" xfId="36613" xr:uid="{69066D57-7358-4EC6-8FE2-EDEACD23C352}"/>
    <cellStyle name="输入 2 2 12" xfId="25109" xr:uid="{2BF3EF08-4AEF-4697-A539-3CDF32073C3D}"/>
    <cellStyle name="输入 2 2 12 2" xfId="25110" xr:uid="{56D17957-68DC-4847-81C5-3AB1AA8020C6}"/>
    <cellStyle name="输入 2 2 12 2 2" xfId="27273" xr:uid="{EB55323D-26FE-4C8D-90A9-4319D08D75A0}"/>
    <cellStyle name="输入 2 2 12 2 2 2" xfId="35858" xr:uid="{B7AE7612-91FC-48D9-AD43-B208D6EF7EC7}"/>
    <cellStyle name="输入 2 2 12 2 3" xfId="36615" xr:uid="{E8E79B9E-06D5-46D7-8812-52AC55544162}"/>
    <cellStyle name="输入 2 2 12 3" xfId="38409" xr:uid="{0DFF91E7-B5C3-45F7-96CD-D58B6F10725F}"/>
    <cellStyle name="输入 2 2 13" xfId="25111" xr:uid="{79EB2BD6-1224-4F53-B076-C6CACD471315}"/>
    <cellStyle name="输入 2 2 13 2" xfId="25112" xr:uid="{5D63F168-0E84-4340-8187-358F92B01FEE}"/>
    <cellStyle name="输入 2 2 13 2 2" xfId="27274" xr:uid="{E37458B1-4C67-4154-AD4D-48DA8931F131}"/>
    <cellStyle name="输入 2 2 13 2 2 2" xfId="35859" xr:uid="{BD9FCCDE-F14D-4481-821A-CBC3D992CF10}"/>
    <cellStyle name="输入 2 2 13 2 3" xfId="38410" xr:uid="{2C87FFB3-C1A6-4D95-90EA-B8E5FD999AAE}"/>
    <cellStyle name="输入 2 2 13 3" xfId="36616" xr:uid="{CF001F77-11E5-43D1-87B7-290EA45F6FCB}"/>
    <cellStyle name="输入 2 2 14" xfId="25113" xr:uid="{C86BED8B-9E9D-497E-BBD8-613E6F3F6E68}"/>
    <cellStyle name="输入 2 2 14 2" xfId="25114" xr:uid="{F8A2D17C-8A1E-4D82-B56C-F1C8041DCDA6}"/>
    <cellStyle name="输入 2 2 14 2 2" xfId="27275" xr:uid="{B56E79EA-37DA-47B0-9173-CCEAC774F243}"/>
    <cellStyle name="输入 2 2 14 2 2 2" xfId="35860" xr:uid="{324B5676-024F-405C-9693-84841BBDA27F}"/>
    <cellStyle name="输入 2 2 14 2 3" xfId="36618" xr:uid="{4CCF4363-F838-4136-979D-D73BFC70F363}"/>
    <cellStyle name="输入 2 2 14 3" xfId="36617" xr:uid="{A48D932C-50EC-4B28-B145-669566FE5BF0}"/>
    <cellStyle name="输入 2 2 15" xfId="25115" xr:uid="{54FD0287-1D6C-47FD-AD9E-CD17B164B15C}"/>
    <cellStyle name="输入 2 2 15 2" xfId="25116" xr:uid="{B5EA96F7-5645-44D0-9400-D18DEA92F1AD}"/>
    <cellStyle name="输入 2 2 15 2 2" xfId="27276" xr:uid="{A92B43F5-C741-482C-9904-088964271173}"/>
    <cellStyle name="输入 2 2 15 2 2 2" xfId="35861" xr:uid="{B8712FFF-B7D1-4852-9C7C-D98B6FDC7340}"/>
    <cellStyle name="输入 2 2 15 2 3" xfId="36619" xr:uid="{4FE76DF3-89F2-4C35-BFE0-F35D2C5F93E8}"/>
    <cellStyle name="输入 2 2 15 3" xfId="38411" xr:uid="{8B75D68B-36BF-453F-913D-F94FDE4216B0}"/>
    <cellStyle name="输入 2 2 16" xfId="25117" xr:uid="{7B724855-EFF5-4341-B7F2-3199935E4225}"/>
    <cellStyle name="输入 2 2 16 2" xfId="25118" xr:uid="{5CC1817B-6F92-4CE0-9624-5F1F3F28FF41}"/>
    <cellStyle name="输入 2 2 16 2 2" xfId="27277" xr:uid="{E5D56AAF-CF39-4383-91EA-D161F207CBA1}"/>
    <cellStyle name="输入 2 2 16 2 2 2" xfId="35862" xr:uid="{7FB4874D-9485-4F2B-8EE8-7F20C59C7F5A}"/>
    <cellStyle name="输入 2 2 16 2 3" xfId="38412" xr:uid="{50B31761-F42F-4210-944A-8A2CF0F35BFA}"/>
    <cellStyle name="输入 2 2 16 3" xfId="36620" xr:uid="{45D92F29-BEC6-456D-9D1C-559C7C86FB74}"/>
    <cellStyle name="输入 2 2 17" xfId="25119" xr:uid="{ED572C24-B786-4F63-BD96-BEA188522A5D}"/>
    <cellStyle name="输入 2 2 17 2" xfId="27278" xr:uid="{D5D58DB7-7E63-4E1E-9C2F-A1D8773D05B2}"/>
    <cellStyle name="输入 2 2 17 2 2" xfId="35863" xr:uid="{51972ACA-A7F6-4564-B466-7AB5046B2545}"/>
    <cellStyle name="输入 2 2 17 3" xfId="36621" xr:uid="{DA32D105-74CF-4764-8982-5AEA6B58477E}"/>
    <cellStyle name="输入 2 2 18" xfId="36611" xr:uid="{BB1C67C3-8020-4594-9D68-C6EFB9E34408}"/>
    <cellStyle name="输入 2 2 2" xfId="25120" xr:uid="{B2E90081-2D08-43E8-A78E-093C18E6136A}"/>
    <cellStyle name="输入 2 2 2 10" xfId="25121" xr:uid="{12B90FF5-EBF0-40A9-A688-47C47F37E59C}"/>
    <cellStyle name="输入 2 2 2 10 2" xfId="25122" xr:uid="{8A754687-012D-4B8A-A4F2-F7AF5E8A22F5}"/>
    <cellStyle name="输入 2 2 2 10 2 2" xfId="27279" xr:uid="{1945C93A-606B-4F58-8EB9-42A926277080}"/>
    <cellStyle name="输入 2 2 2 10 2 2 2" xfId="35864" xr:uid="{9E3F57F9-604E-43D1-B5C7-61C81C155278}"/>
    <cellStyle name="输入 2 2 2 10 2 3" xfId="36624" xr:uid="{FD4DDB6E-9616-4DAF-8CA8-8E799F90125D}"/>
    <cellStyle name="输入 2 2 2 10 3" xfId="36623" xr:uid="{3D74B422-2F3C-4305-9915-165ABD2E33C5}"/>
    <cellStyle name="输入 2 2 2 11" xfId="25123" xr:uid="{ED558E05-4C3D-4BE3-8866-F19279C92694}"/>
    <cellStyle name="输入 2 2 2 11 2" xfId="25124" xr:uid="{FB4F017A-ABEF-40A3-A85A-72154BEB4D6B}"/>
    <cellStyle name="输入 2 2 2 11 2 2" xfId="27280" xr:uid="{58744045-55D9-4368-96EB-6BB096EA3D32}"/>
    <cellStyle name="输入 2 2 2 11 2 2 2" xfId="35865" xr:uid="{A5E259A1-6A3B-4783-842B-486795F2529F}"/>
    <cellStyle name="输入 2 2 2 11 2 3" xfId="38413" xr:uid="{465DD085-E73F-4918-B9F0-5DF7BB3E560F}"/>
    <cellStyle name="输入 2 2 2 11 3" xfId="36625" xr:uid="{0CD271AC-6BE9-44ED-AEBF-E9686488651D}"/>
    <cellStyle name="输入 2 2 2 12" xfId="25125" xr:uid="{D8F6C94F-3C2E-4DE5-A043-E09FCD5A43D5}"/>
    <cellStyle name="输入 2 2 2 12 2" xfId="25126" xr:uid="{4D496FBF-4677-4526-B6DB-CCDB076AE9F0}"/>
    <cellStyle name="输入 2 2 2 12 2 2" xfId="27281" xr:uid="{9F2D9897-FF03-43A7-83A0-125A70598B4D}"/>
    <cellStyle name="输入 2 2 2 12 2 2 2" xfId="35866" xr:uid="{F352A3E2-F49B-45FF-AC8B-2C824BE821FF}"/>
    <cellStyle name="输入 2 2 2 12 2 3" xfId="37016" xr:uid="{198323CA-D721-4F04-9802-70D076BEFDCE}"/>
    <cellStyle name="输入 2 2 2 12 3" xfId="37015" xr:uid="{6BAD815A-219A-42E2-A4F9-BFCC8B26C8B2}"/>
    <cellStyle name="输入 2 2 2 13" xfId="25127" xr:uid="{F94E0B3A-733A-468E-85D5-C616216ABFD4}"/>
    <cellStyle name="输入 2 2 2 13 2" xfId="25128" xr:uid="{7198FACB-5C2C-4781-9A6F-98B3E784B1D9}"/>
    <cellStyle name="输入 2 2 2 13 2 2" xfId="27282" xr:uid="{755B769E-D4B3-45A1-8E27-5D551E6CC737}"/>
    <cellStyle name="输入 2 2 2 13 2 2 2" xfId="35867" xr:uid="{2BEBB295-9D16-42DC-A276-15D68C9290C7}"/>
    <cellStyle name="输入 2 2 2 13 2 3" xfId="36871" xr:uid="{D79DFC81-F002-44E6-B9DB-26CB5E43AFFF}"/>
    <cellStyle name="输入 2 2 2 13 3" xfId="36870" xr:uid="{0E817BFF-9CA2-46B5-AB86-AF156E9FFAD0}"/>
    <cellStyle name="输入 2 2 2 14" xfId="25129" xr:uid="{43E602EA-9FF0-4D3D-AA31-45E8E820F183}"/>
    <cellStyle name="输入 2 2 2 14 2" xfId="25130" xr:uid="{794E546C-5C7D-481E-9ED0-A20F953F1666}"/>
    <cellStyle name="输入 2 2 2 14 2 2" xfId="27283" xr:uid="{29D80498-9748-4848-96EB-A9BA32B5828C}"/>
    <cellStyle name="输入 2 2 2 14 2 2 2" xfId="35868" xr:uid="{95C419F1-F8E2-4A3C-A7FF-915095AB206D}"/>
    <cellStyle name="输入 2 2 2 14 2 3" xfId="36873" xr:uid="{43F0830D-E581-403D-9C93-18E116DA40FF}"/>
    <cellStyle name="输入 2 2 2 14 3" xfId="36872" xr:uid="{472DEEB2-546C-4A33-A5AF-0D64F86A4457}"/>
    <cellStyle name="输入 2 2 2 15" xfId="25131" xr:uid="{5DEF89CA-160F-4177-BFF7-14754C757550}"/>
    <cellStyle name="输入 2 2 2 15 2" xfId="27284" xr:uid="{6BB97B1C-5691-4E62-A527-FDBE07CB7235}"/>
    <cellStyle name="输入 2 2 2 15 2 2" xfId="35869" xr:uid="{25B2C4B9-B941-4F82-8740-FC48741BF0A9}"/>
    <cellStyle name="输入 2 2 2 15 3" xfId="36874" xr:uid="{4E2B13C5-0E85-423F-BC2C-B0BF6654AD63}"/>
    <cellStyle name="输入 2 2 2 16" xfId="36622" xr:uid="{F7850230-4A8F-476C-A08A-A2A480F2F466}"/>
    <cellStyle name="输入 2 2 2 2" xfId="25132" xr:uid="{05565A08-6C40-4D38-ABFF-AEB6D32F7646}"/>
    <cellStyle name="输入 2 2 2 2 2" xfId="25133" xr:uid="{40EEF558-7208-461F-8D96-1B7F0D271613}"/>
    <cellStyle name="输入 2 2 2 2 2 2" xfId="27285" xr:uid="{FC36E81B-4E0F-4E5A-A77C-C5BBECA41797}"/>
    <cellStyle name="输入 2 2 2 2 2 2 2" xfId="35870" xr:uid="{15E22538-2A1B-48AC-90E1-5C75C0371742}"/>
    <cellStyle name="输入 2 2 2 2 2 3" xfId="36875" xr:uid="{B350D40D-F41E-4F5B-8633-96023CFA4FAE}"/>
    <cellStyle name="输入 2 2 2 2 3" xfId="38414" xr:uid="{75EB72F1-01FC-4D5A-BEAA-01647D856AF4}"/>
    <cellStyle name="输入 2 2 2 3" xfId="25134" xr:uid="{52DC9AE8-E169-47AF-8FF6-960EC27D056F}"/>
    <cellStyle name="输入 2 2 2 3 2" xfId="25135" xr:uid="{6148E820-4929-40CA-8D72-0B9C14B22BE0}"/>
    <cellStyle name="输入 2 2 2 3 2 2" xfId="27286" xr:uid="{2B99F127-CCE2-42D0-A8B4-6B377013231C}"/>
    <cellStyle name="输入 2 2 2 3 2 2 2" xfId="35871" xr:uid="{D9466427-B398-4AE5-9E85-D30F52B3BC00}"/>
    <cellStyle name="输入 2 2 2 3 2 3" xfId="38415" xr:uid="{42808057-6DDC-4A91-8D35-D2B7F4E5306F}"/>
    <cellStyle name="输入 2 2 2 3 3" xfId="36876" xr:uid="{135BE926-C444-4F6B-A70A-34FCB6070572}"/>
    <cellStyle name="输入 2 2 2 4" xfId="25136" xr:uid="{0098DB9E-394B-4F5A-9964-50282AC19E33}"/>
    <cellStyle name="输入 2 2 2 4 2" xfId="25137" xr:uid="{0C8EECBE-9F24-42CC-82FD-2B32EBA66253}"/>
    <cellStyle name="输入 2 2 2 4 2 2" xfId="27287" xr:uid="{2B3F3150-B9BC-434D-89AE-C7D9D253C8B2}"/>
    <cellStyle name="输入 2 2 2 4 2 2 2" xfId="35872" xr:uid="{04D5EA52-F012-4966-99A6-04E14CD00C73}"/>
    <cellStyle name="输入 2 2 2 4 2 3" xfId="38416" xr:uid="{A3EA4257-8DEC-49BE-A4EB-F984231BB654}"/>
    <cellStyle name="输入 2 2 2 4 3" xfId="36877" xr:uid="{55C451CD-D83D-412D-826E-B1C929E3D537}"/>
    <cellStyle name="输入 2 2 2 5" xfId="25138" xr:uid="{16102F4F-6203-4DCF-A94B-9F1E40853EA6}"/>
    <cellStyle name="输入 2 2 2 5 2" xfId="25139" xr:uid="{D8AB4A43-1EC8-47B7-BCCE-422F88A91B00}"/>
    <cellStyle name="输入 2 2 2 5 2 2" xfId="27288" xr:uid="{B2416BC4-80A1-4960-B124-28DB8FE863D4}"/>
    <cellStyle name="输入 2 2 2 5 2 2 2" xfId="35873" xr:uid="{97FC27F2-B1C0-4508-87E3-34204C0C55A4}"/>
    <cellStyle name="输入 2 2 2 5 2 3" xfId="36879" xr:uid="{7ABA4DB2-8A61-4206-BADF-066BB1B65A37}"/>
    <cellStyle name="输入 2 2 2 5 3" xfId="36878" xr:uid="{79F5F0C9-3C6F-420A-80F8-B9BDD0003D16}"/>
    <cellStyle name="输入 2 2 2 6" xfId="25140" xr:uid="{490D60F0-5A86-4702-8DA9-68817AE0B5BF}"/>
    <cellStyle name="输入 2 2 2 6 2" xfId="25141" xr:uid="{3C04D2F8-8D87-48C7-8934-8CC8124ECBDD}"/>
    <cellStyle name="输入 2 2 2 6 2 2" xfId="27289" xr:uid="{8494A5BC-48D1-4CAA-AB6D-C60A7FD76179}"/>
    <cellStyle name="输入 2 2 2 6 2 2 2" xfId="35874" xr:uid="{F9A71A7B-3920-42B9-93BA-EAABFECCF745}"/>
    <cellStyle name="输入 2 2 2 6 2 3" xfId="36880" xr:uid="{188EE88A-079E-4F78-8AB7-60A6E7C5F1A9}"/>
    <cellStyle name="输入 2 2 2 6 3" xfId="38417" xr:uid="{117C9AD3-8E41-4990-811A-B7B5C86B3BA2}"/>
    <cellStyle name="输入 2 2 2 7" xfId="25142" xr:uid="{221ECB50-ADDC-4422-93EE-92BE1F1826B7}"/>
    <cellStyle name="输入 2 2 2 7 2" xfId="25143" xr:uid="{F99B2E52-0953-4661-947F-0351483E813E}"/>
    <cellStyle name="输入 2 2 2 7 2 2" xfId="27290" xr:uid="{526EEB63-2B5D-492D-A410-C0CD9D5AB927}"/>
    <cellStyle name="输入 2 2 2 7 2 2 2" xfId="35875" xr:uid="{B7FC709E-93CB-4DCD-86FF-F0D1F9D6A4CB}"/>
    <cellStyle name="输入 2 2 2 7 2 3" xfId="36882" xr:uid="{A3C778DE-654A-4C5D-9F3B-303C66C47BB0}"/>
    <cellStyle name="输入 2 2 2 7 3" xfId="36881" xr:uid="{A29AE7C9-5F4C-4D3E-9235-759453C7A309}"/>
    <cellStyle name="输入 2 2 2 8" xfId="25144" xr:uid="{98718D0F-D459-413C-B426-1CB86DA8A3DE}"/>
    <cellStyle name="输入 2 2 2 8 2" xfId="25145" xr:uid="{93CFD560-A8BB-4464-B41A-769FDA49EE9F}"/>
    <cellStyle name="输入 2 2 2 8 2 2" xfId="27291" xr:uid="{AAA3C935-F3A6-4B9D-929D-BB0461FC66BB}"/>
    <cellStyle name="输入 2 2 2 8 2 2 2" xfId="35876" xr:uid="{D4D211A3-59F4-4BEA-A171-4DD8C445172A}"/>
    <cellStyle name="输入 2 2 2 8 2 3" xfId="36883" xr:uid="{BE893AF2-84C7-4D8A-9135-B26610ABC2AC}"/>
    <cellStyle name="输入 2 2 2 8 3" xfId="38418" xr:uid="{D2A2D541-8713-47A2-A170-F4CB61065EB6}"/>
    <cellStyle name="输入 2 2 2 9" xfId="25146" xr:uid="{09CA36D7-A174-437F-AA40-DB73A9DA9443}"/>
    <cellStyle name="输入 2 2 2 9 2" xfId="25147" xr:uid="{D45150C1-702B-4DEB-92D4-CF479B935531}"/>
    <cellStyle name="输入 2 2 2 9 2 2" xfId="27292" xr:uid="{251FAE58-9511-4E1A-80B9-7FBD229622D5}"/>
    <cellStyle name="输入 2 2 2 9 2 2 2" xfId="35877" xr:uid="{D46D30A6-F590-4B9C-9BE4-31F09B9E5FF4}"/>
    <cellStyle name="输入 2 2 2 9 2 3" xfId="36128" xr:uid="{2479FBE1-1B5C-4835-9A2A-6F29E0AF6B93}"/>
    <cellStyle name="输入 2 2 2 9 3" xfId="37018" xr:uid="{7F2A824D-BF81-4D5E-84AD-D68FBA220D45}"/>
    <cellStyle name="输入 2 2 3" xfId="25148" xr:uid="{D8F94D05-3965-4B27-AEE2-319AAB5A8E92}"/>
    <cellStyle name="输入 2 2 3 2" xfId="25149" xr:uid="{95617FF9-DF83-4491-A4E4-EE383E53BA87}"/>
    <cellStyle name="输入 2 2 3 2 2" xfId="27293" xr:uid="{6527B612-75CF-4635-87D8-E3D1623B70A5}"/>
    <cellStyle name="输入 2 2 3 2 2 2" xfId="35878" xr:uid="{7DBEC66D-504F-473B-AD66-0F8D7531B1D6}"/>
    <cellStyle name="输入 2 2 3 2 3" xfId="36130" xr:uid="{764993DC-5391-478F-BFB8-BBC643FFA301}"/>
    <cellStyle name="输入 2 2 3 3" xfId="36129" xr:uid="{F126297E-2869-4174-8E98-BFD56BFE9200}"/>
    <cellStyle name="输入 2 2 4" xfId="25150" xr:uid="{1CBCD6A8-9783-484A-861F-230FD4758E65}"/>
    <cellStyle name="输入 2 2 4 2" xfId="25151" xr:uid="{CE02CD1C-C6C9-402B-BAC8-E0454586AD98}"/>
    <cellStyle name="输入 2 2 4 2 2" xfId="27294" xr:uid="{26666B7B-E51A-4596-A93A-CEF4A8D04D03}"/>
    <cellStyle name="输入 2 2 4 2 2 2" xfId="35879" xr:uid="{57191269-534A-4E6F-BC3C-9505FAD93743}"/>
    <cellStyle name="输入 2 2 4 2 3" xfId="36132" xr:uid="{85FDEBEA-C898-40AC-B15E-06D14FDFFBC7}"/>
    <cellStyle name="输入 2 2 4 3" xfId="36131" xr:uid="{1E03D503-32F6-4F8A-BBB3-028478F08B9D}"/>
    <cellStyle name="输入 2 2 5" xfId="25152" xr:uid="{F25C1AFD-7917-4657-82FF-23A637C8959A}"/>
    <cellStyle name="输入 2 2 5 2" xfId="25153" xr:uid="{929E3E33-9D1D-430C-A7E5-9C421F545BD3}"/>
    <cellStyle name="输入 2 2 5 2 2" xfId="27295" xr:uid="{72CD9C44-A2D5-4FA1-A459-C738B876CEDD}"/>
    <cellStyle name="输入 2 2 5 2 2 2" xfId="35880" xr:uid="{C4F3B682-CE9F-41AB-B4C6-192D16BC863A}"/>
    <cellStyle name="输入 2 2 5 2 3" xfId="38189" xr:uid="{2C769D47-5C37-430E-BBF9-6A50C5B33F7A}"/>
    <cellStyle name="输入 2 2 5 3" xfId="36133" xr:uid="{7E9EA2D6-9B07-4C2B-9E6B-F3F40A7E5424}"/>
    <cellStyle name="输入 2 2 6" xfId="25154" xr:uid="{E911D92E-96EC-470C-A0BA-29DFE1F7E979}"/>
    <cellStyle name="输入 2 2 6 2" xfId="25155" xr:uid="{3CA2C8E3-A0F3-4521-A177-2F93492639F4}"/>
    <cellStyle name="输入 2 2 6 2 2" xfId="27296" xr:uid="{444D6DF7-A14F-4843-988F-09B5DD61CD9F}"/>
    <cellStyle name="输入 2 2 6 2 2 2" xfId="35881" xr:uid="{82352BE3-F112-4A98-9791-91B3934FC6F8}"/>
    <cellStyle name="输入 2 2 6 2 3" xfId="36134" xr:uid="{3C45DB29-1806-40A5-9C3E-24EDC34D4B4D}"/>
    <cellStyle name="输入 2 2 6 3" xfId="38188" xr:uid="{9541F714-474E-49C7-949B-5A8BBE64CF65}"/>
    <cellStyle name="输入 2 2 7" xfId="25156" xr:uid="{368058FD-6085-448C-9DBB-A60573495BD5}"/>
    <cellStyle name="输入 2 2 7 2" xfId="25157" xr:uid="{3383FA7E-B421-4741-A46E-329367BD514A}"/>
    <cellStyle name="输入 2 2 7 2 2" xfId="27297" xr:uid="{680E4B65-C8A5-406A-AD3A-F2D5965DB0F2}"/>
    <cellStyle name="输入 2 2 7 2 2 2" xfId="35882" xr:uid="{C2CD0D3A-64E2-4499-960D-AF34FCB377AB}"/>
    <cellStyle name="输入 2 2 7 2 3" xfId="37023" xr:uid="{E7AA62DA-B955-40EA-BA37-088C9A338477}"/>
    <cellStyle name="输入 2 2 7 3" xfId="37022" xr:uid="{9BB1C87E-C06C-47E6-88AC-02901CAE0EAC}"/>
    <cellStyle name="输入 2 2 8" xfId="25158" xr:uid="{22A6DDB5-E146-4475-BE70-23F40841580B}"/>
    <cellStyle name="输入 2 2 8 2" xfId="25159" xr:uid="{6A62D5CD-541D-4CCB-801A-4EE1BF01D2C0}"/>
    <cellStyle name="输入 2 2 8 2 2" xfId="27298" xr:uid="{7FF0FAEC-9436-4E6F-BE42-71AD4631DFF1}"/>
    <cellStyle name="输入 2 2 8 2 2 2" xfId="35883" xr:uid="{A8684F93-919F-49A8-AF44-3F7353AD878E}"/>
    <cellStyle name="输入 2 2 8 2 3" xfId="36953" xr:uid="{FACE2CCD-FCF3-47AB-A817-8844469D6586}"/>
    <cellStyle name="输入 2 2 8 3" xfId="37024" xr:uid="{3A52D609-B1E3-4A1E-9449-9FA0466A9F2F}"/>
    <cellStyle name="输入 2 2 9" xfId="25160" xr:uid="{D79A454A-E1D3-4A65-BD05-890F4398C2A5}"/>
    <cellStyle name="输入 2 2 9 2" xfId="25161" xr:uid="{70D2FE3A-AE20-4E96-AA5E-DD2EEAADC241}"/>
    <cellStyle name="输入 2 2 9 2 2" xfId="27299" xr:uid="{1FC83C37-3EF6-492B-8C4C-5454623B8378}"/>
    <cellStyle name="输入 2 2 9 2 2 2" xfId="35884" xr:uid="{AC8C58CA-8B17-4FF0-BDED-DC1380F5E4F1}"/>
    <cellStyle name="输入 2 2 9 2 3" xfId="36955" xr:uid="{F43C21D7-47A1-4F04-8D95-6F704590146A}"/>
    <cellStyle name="输入 2 2 9 3" xfId="36954" xr:uid="{7DBCB33A-63E3-472E-B184-FBA2C087F85A}"/>
    <cellStyle name="输入 2 3" xfId="25162" xr:uid="{A95ABB6E-A112-40A3-B0D1-B7DB45C95788}"/>
    <cellStyle name="输入 2 3 10" xfId="25163" xr:uid="{C49E0559-4222-4929-A30C-69BEEFF70478}"/>
    <cellStyle name="输入 2 3 10 2" xfId="25164" xr:uid="{C6EAEC2D-F120-4863-8F5C-4360CBD3E487}"/>
    <cellStyle name="输入 2 3 10 2 2" xfId="27300" xr:uid="{A4A0B6AC-48BA-48BA-8DBC-CFFDAED69082}"/>
    <cellStyle name="输入 2 3 10 2 2 2" xfId="35885" xr:uid="{340EC4E6-BD74-454A-B4E4-B961613FD0D9}"/>
    <cellStyle name="输入 2 3 10 2 3" xfId="36958" xr:uid="{72A3BF53-2DE7-4DF3-973B-51577761BFBD}"/>
    <cellStyle name="输入 2 3 10 3" xfId="36957" xr:uid="{4AF93A27-D717-47CD-87A4-A1774D13AF17}"/>
    <cellStyle name="输入 2 3 11" xfId="25165" xr:uid="{76EC800D-5AF0-4D32-A35E-CBD82235F9FE}"/>
    <cellStyle name="输入 2 3 11 2" xfId="25166" xr:uid="{F8E90930-6977-4ACA-8447-F46A02F08CB5}"/>
    <cellStyle name="输入 2 3 11 2 2" xfId="27301" xr:uid="{790B20E9-DBF9-4F45-B4BE-196D1C729EA5}"/>
    <cellStyle name="输入 2 3 11 2 2 2" xfId="35886" xr:uid="{F867ACC2-FF82-4BE2-AF6F-3779029C2573}"/>
    <cellStyle name="输入 2 3 11 2 3" xfId="36960" xr:uid="{3220CC8A-2A21-474A-9C88-7BB068AD348E}"/>
    <cellStyle name="输入 2 3 11 3" xfId="36959" xr:uid="{30586102-AE79-4F2C-9EA0-DA955A56B926}"/>
    <cellStyle name="输入 2 3 12" xfId="25167" xr:uid="{0245EBC1-27AE-4E26-BAFF-FEE3AB220404}"/>
    <cellStyle name="输入 2 3 12 2" xfId="25168" xr:uid="{F382F2FD-C494-4675-9346-63B1E90DB5C6}"/>
    <cellStyle name="输入 2 3 12 2 2" xfId="27302" xr:uid="{9F0E39FA-392A-4E84-98ED-392CA757A776}"/>
    <cellStyle name="输入 2 3 12 2 2 2" xfId="35887" xr:uid="{7A256A78-C65A-40D8-84AD-6695C4994E18}"/>
    <cellStyle name="输入 2 3 12 2 3" xfId="36962" xr:uid="{5DD0D278-2F31-4067-8A52-F154FAB9E01F}"/>
    <cellStyle name="输入 2 3 12 3" xfId="36961" xr:uid="{F99F76E2-C3D1-4BDF-8395-176F1AE673BB}"/>
    <cellStyle name="输入 2 3 13" xfId="25169" xr:uid="{2813812E-2621-4C23-AB8E-EEB63BD7125E}"/>
    <cellStyle name="输入 2 3 13 2" xfId="25170" xr:uid="{88D5722D-1B13-4698-ABEA-487C6F891C95}"/>
    <cellStyle name="输入 2 3 13 2 2" xfId="27303" xr:uid="{0E099269-FBCE-4EE7-A987-A478A1431400}"/>
    <cellStyle name="输入 2 3 13 2 2 2" xfId="35888" xr:uid="{24F27F2D-95E7-4E15-B2E6-C36007A979B5}"/>
    <cellStyle name="输入 2 3 13 2 3" xfId="36964" xr:uid="{74980A6E-3C6E-4335-9181-C045B23B0E91}"/>
    <cellStyle name="输入 2 3 13 3" xfId="36963" xr:uid="{1A5E2CB7-31F0-4111-A326-4FF0159DEB25}"/>
    <cellStyle name="输入 2 3 14" xfId="25171" xr:uid="{31844D6D-7F4E-4B94-AE72-6E3C32F3B6D0}"/>
    <cellStyle name="输入 2 3 14 2" xfId="25172" xr:uid="{AE1BB490-30D2-4E51-AAB5-F806022EA52E}"/>
    <cellStyle name="输入 2 3 14 2 2" xfId="27304" xr:uid="{C1766229-72EF-40BC-8822-EC9A1D1465F1}"/>
    <cellStyle name="输入 2 3 14 2 2 2" xfId="35889" xr:uid="{DBEACE55-5887-4822-8EE0-750FDA7C0523}"/>
    <cellStyle name="输入 2 3 14 2 3" xfId="36966" xr:uid="{DF16EB90-A5D0-4F7D-B982-9AD10B96E3FE}"/>
    <cellStyle name="输入 2 3 14 3" xfId="36965" xr:uid="{5C1363A3-B5A9-4881-988D-C8C7D4E873AF}"/>
    <cellStyle name="输入 2 3 15" xfId="25173" xr:uid="{D5465D6E-3BCB-4DE8-B1D0-0BDC4ED31D5D}"/>
    <cellStyle name="输入 2 3 15 2" xfId="27305" xr:uid="{D493A5F7-C058-4D1F-9D90-39A197EE8909}"/>
    <cellStyle name="输入 2 3 15 2 2" xfId="35890" xr:uid="{7230E527-6617-44D8-8CDE-BE3449B1CD02}"/>
    <cellStyle name="输入 2 3 15 3" xfId="36967" xr:uid="{06FD37D7-6103-4D40-AEE9-0BCE448CAC22}"/>
    <cellStyle name="输入 2 3 16" xfId="36956" xr:uid="{14F68F9C-098D-407D-9040-ED98FC9F9EDD}"/>
    <cellStyle name="输入 2 3 2" xfId="25174" xr:uid="{A9BE8617-07BD-49EB-846F-C6CFEB83669E}"/>
    <cellStyle name="输入 2 3 2 2" xfId="25175" xr:uid="{D3FF76CC-D48E-4974-BD6E-FF3D607A8BE9}"/>
    <cellStyle name="输入 2 3 2 2 2" xfId="27306" xr:uid="{A9B2F97F-543A-415A-BCDE-A1E77324B2F1}"/>
    <cellStyle name="输入 2 3 2 2 2 2" xfId="35891" xr:uid="{A02315FF-211B-4E4A-BE17-D19A1906C373}"/>
    <cellStyle name="输入 2 3 2 2 3" xfId="36969" xr:uid="{B311D419-1EFF-49E2-A6F8-AFD8CB096617}"/>
    <cellStyle name="输入 2 3 2 3" xfId="36968" xr:uid="{7AA70939-2D30-4476-B558-77A31B379A54}"/>
    <cellStyle name="输入 2 3 3" xfId="25176" xr:uid="{41590A08-FBD4-4D14-9660-A5EF1A2A6D2B}"/>
    <cellStyle name="输入 2 3 3 2" xfId="25177" xr:uid="{98CA02F6-8794-4CB1-B19C-F7F8E3A31A0F}"/>
    <cellStyle name="输入 2 3 3 2 2" xfId="27307" xr:uid="{6AE53309-591F-4230-AE53-2E4EA4B85503}"/>
    <cellStyle name="输入 2 3 3 2 2 2" xfId="35892" xr:uid="{4357F1D2-86FB-4D8E-BB6E-5A4249CDDEA7}"/>
    <cellStyle name="输入 2 3 3 2 3" xfId="36971" xr:uid="{9E7C1B56-0277-4A5A-9A83-32FFF9B665F7}"/>
    <cellStyle name="输入 2 3 3 3" xfId="36970" xr:uid="{882A5F83-AB13-4632-8F0B-3BF5A94B6639}"/>
    <cellStyle name="输入 2 3 4" xfId="25178" xr:uid="{BE2EEAF3-992A-432E-8AD3-F312D5E52972}"/>
    <cellStyle name="输入 2 3 4 2" xfId="25179" xr:uid="{B1ADE4D4-8124-4195-8A07-3C2471D364CC}"/>
    <cellStyle name="输入 2 3 4 2 2" xfId="27308" xr:uid="{96EFA7B3-4DDD-4DE6-9B4D-C95C07120F84}"/>
    <cellStyle name="输入 2 3 4 2 2 2" xfId="35893" xr:uid="{310C0F0F-067C-48DF-9037-5E96F53BBC8F}"/>
    <cellStyle name="输入 2 3 4 2 3" xfId="36973" xr:uid="{BB3D4BF0-3B67-415E-B173-B9C606510F62}"/>
    <cellStyle name="输入 2 3 4 3" xfId="36972" xr:uid="{5969591A-7755-4B89-8FA4-DFFECFA53996}"/>
    <cellStyle name="输入 2 3 5" xfId="25180" xr:uid="{6FD1F070-E536-4095-BD7B-84CECB54579B}"/>
    <cellStyle name="输入 2 3 5 2" xfId="25181" xr:uid="{411725D0-8570-4003-8F48-190A3DCCBCA4}"/>
    <cellStyle name="输入 2 3 5 2 2" xfId="27309" xr:uid="{C5C55D2C-CC15-407D-813E-5AF56F25AACE}"/>
    <cellStyle name="输入 2 3 5 2 2 2" xfId="35894" xr:uid="{1950FFC2-B091-4565-8184-6338EE54AAA2}"/>
    <cellStyle name="输入 2 3 5 2 3" xfId="36975" xr:uid="{3D120555-AFF3-4856-84D6-C72802EFF849}"/>
    <cellStyle name="输入 2 3 5 3" xfId="36974" xr:uid="{FE58E66E-25DC-4A46-8DC0-346CDF14FD98}"/>
    <cellStyle name="输入 2 3 6" xfId="25182" xr:uid="{0CA00C8B-0A76-4ABA-A770-75668F00DA9D}"/>
    <cellStyle name="输入 2 3 6 2" xfId="25183" xr:uid="{2B5249C2-E827-4988-9718-FC1A59AC9374}"/>
    <cellStyle name="输入 2 3 6 2 2" xfId="27310" xr:uid="{B515D229-8377-4485-856C-84ACA3F5CE30}"/>
    <cellStyle name="输入 2 3 6 2 2 2" xfId="35895" xr:uid="{C7AD0EED-6A01-400E-98A6-1148C413DCAD}"/>
    <cellStyle name="输入 2 3 6 2 3" xfId="36977" xr:uid="{C0AB9477-4816-41D8-A2D3-3FACE9838208}"/>
    <cellStyle name="输入 2 3 6 3" xfId="36976" xr:uid="{2A03979D-DB85-43F6-84DD-6A6CD8FB4CE9}"/>
    <cellStyle name="输入 2 3 7" xfId="25184" xr:uid="{C20F4D55-C691-4111-BD8E-5F8C0061082B}"/>
    <cellStyle name="输入 2 3 7 2" xfId="25185" xr:uid="{BD5B4735-51A2-480F-AEF3-C887D95AC2C0}"/>
    <cellStyle name="输入 2 3 7 2 2" xfId="27311" xr:uid="{2F91F14C-A828-4048-802E-2D1F0C82044D}"/>
    <cellStyle name="输入 2 3 7 2 2 2" xfId="35896" xr:uid="{5DDEDE76-7DF9-42BD-99D3-25C525577BB1}"/>
    <cellStyle name="输入 2 3 7 2 3" xfId="36979" xr:uid="{B3EF8A1C-33BD-42A6-A23B-9D6C9C1CD3B8}"/>
    <cellStyle name="输入 2 3 7 3" xfId="36978" xr:uid="{AE23370C-EBFC-4469-86A7-D20F84710E8C}"/>
    <cellStyle name="输入 2 3 8" xfId="25186" xr:uid="{F9A54FE0-BC1E-4B0E-B5F8-846CAB3D0BD8}"/>
    <cellStyle name="输入 2 3 8 2" xfId="25187" xr:uid="{D7B9AB48-4CE6-44CB-91C2-5ADCDAB566EC}"/>
    <cellStyle name="输入 2 3 8 2 2" xfId="27312" xr:uid="{29C6C83A-C643-453F-9DB3-EF98080BA009}"/>
    <cellStyle name="输入 2 3 8 2 2 2" xfId="35897" xr:uid="{CECFA8A4-B58D-45A3-BDE6-62FA6A232267}"/>
    <cellStyle name="输入 2 3 8 2 3" xfId="36981" xr:uid="{8DDB768A-A403-494E-A603-5D1A6A6DF425}"/>
    <cellStyle name="输入 2 3 8 3" xfId="36980" xr:uid="{10C1D8E5-6E8D-47A9-B85D-104153A2BF9C}"/>
    <cellStyle name="输入 2 3 9" xfId="25188" xr:uid="{134FD630-66ED-4088-BAAC-3BD1F2A69DC2}"/>
    <cellStyle name="输入 2 3 9 2" xfId="25189" xr:uid="{B9DDA1B0-4949-4AC4-9D0F-938ADF86D9CC}"/>
    <cellStyle name="输入 2 3 9 2 2" xfId="27313" xr:uid="{5E2720AE-6DCB-442D-9A20-127C969BB950}"/>
    <cellStyle name="输入 2 3 9 2 2 2" xfId="35898" xr:uid="{FF740483-B394-4A0E-898A-82B25F25988F}"/>
    <cellStyle name="输入 2 3 9 2 3" xfId="36983" xr:uid="{07132A97-80C0-4A94-9A4C-D6022F5FE98C}"/>
    <cellStyle name="输入 2 3 9 3" xfId="36982" xr:uid="{D7664751-3932-43DA-BB47-EC6104F23B4A}"/>
    <cellStyle name="输入 2 4" xfId="25190" xr:uid="{268A00AE-FFB9-4DD2-9046-55C409B2723C}"/>
    <cellStyle name="输入 2 4 2" xfId="25191" xr:uid="{53C1097D-2832-4A53-9D30-D0B3CE45F364}"/>
    <cellStyle name="输入 2 4 2 2" xfId="27314" xr:uid="{3F1A0981-47B4-40B0-AF1E-90E646A99CF7}"/>
    <cellStyle name="输入 2 4 2 2 2" xfId="35899" xr:uid="{B2162446-E196-4AA3-98E0-01FAE65A7E84}"/>
    <cellStyle name="输入 2 4 2 3" xfId="36985" xr:uid="{6A1317EE-3BE5-4773-BD45-177551C8D021}"/>
    <cellStyle name="输入 2 4 3" xfId="36984" xr:uid="{4D33685F-00E5-44C3-8857-BD092A20BB40}"/>
    <cellStyle name="输入 2 5" xfId="25192" xr:uid="{05C5A04C-E02A-4617-BC81-DA3384D7FB82}"/>
    <cellStyle name="输入 2 5 2" xfId="25193" xr:uid="{09D24CFB-8344-485C-B5AD-DE6941E89165}"/>
    <cellStyle name="输入 2 5 2 2" xfId="27315" xr:uid="{6F3BA286-4DCD-4D08-9E0D-0C1E436581A2}"/>
    <cellStyle name="输入 2 5 2 2 2" xfId="35900" xr:uid="{CC1BC181-0C0C-4DF6-9DBF-225855AFB97E}"/>
    <cellStyle name="输入 2 5 2 3" xfId="36987" xr:uid="{7C0F2846-4D5F-48DC-A05A-0C74E4E46F67}"/>
    <cellStyle name="输入 2 5 3" xfId="36986" xr:uid="{19B9C77B-A8A6-4A44-BC5F-D19C99F1F9BB}"/>
    <cellStyle name="输入 2 6" xfId="25194" xr:uid="{CF23FE5D-C450-4823-AF39-DCCB092B1FF8}"/>
    <cellStyle name="输入 2 6 2" xfId="25195" xr:uid="{A07238C9-04F6-477A-8925-02D41B74C148}"/>
    <cellStyle name="输入 2 6 2 2" xfId="27316" xr:uid="{8AE80EAB-7E35-44DB-A7C1-E8323BE01048}"/>
    <cellStyle name="输入 2 6 2 2 2" xfId="35901" xr:uid="{7F47E9E9-3EEE-4EE5-89A3-AC0C58913C58}"/>
    <cellStyle name="输入 2 6 2 3" xfId="36989" xr:uid="{249C7C68-FE6D-43B6-822C-4437529E4831}"/>
    <cellStyle name="输入 2 6 3" xfId="36988" xr:uid="{D07BC957-7CE5-4F82-B30D-3C92ABC1E62A}"/>
    <cellStyle name="输入 2 7" xfId="25196" xr:uid="{F5194F72-70C5-4A6D-9FB7-17249ACB90FA}"/>
    <cellStyle name="输入 2 7 2" xfId="25197" xr:uid="{799D9874-0E7C-4743-933E-38A772005569}"/>
    <cellStyle name="输入 2 7 2 2" xfId="27317" xr:uid="{107E59C5-0BC2-4E8B-A083-594F59ECC7C2}"/>
    <cellStyle name="输入 2 7 2 2 2" xfId="35902" xr:uid="{F98396A6-D24D-44D6-B9A2-9DE6DF662DC3}"/>
    <cellStyle name="输入 2 7 2 3" xfId="36991" xr:uid="{DF4FC4C7-6A50-4D7D-AA3D-AE6E413FE45A}"/>
    <cellStyle name="输入 2 7 3" xfId="36990" xr:uid="{7C75E991-67F9-4A3D-9BA5-388E793E16CC}"/>
    <cellStyle name="输入 2 8" xfId="25198" xr:uid="{5DE917B6-CEF6-4BAC-871C-AA8D1F179409}"/>
    <cellStyle name="输入 2 8 2" xfId="25199" xr:uid="{4B76843C-EECA-4B9B-9069-551F200B387C}"/>
    <cellStyle name="输入 2 8 2 2" xfId="27318" xr:uid="{72F3A5BC-358B-41B1-BB7A-1AFFFCBED0F3}"/>
    <cellStyle name="输入 2 8 2 2 2" xfId="35903" xr:uid="{6AB76B23-692C-460A-8C19-16FD0E9A89E7}"/>
    <cellStyle name="输入 2 8 2 3" xfId="36993" xr:uid="{6B450057-2650-4E71-9D86-4FDD5A4F41B7}"/>
    <cellStyle name="输入 2 8 3" xfId="36992" xr:uid="{0BF46CBD-6ACB-4433-8AF6-13DE2CC8906C}"/>
    <cellStyle name="输入 2 9" xfId="25200" xr:uid="{2E9FA4C1-9C04-4C85-BA86-A3E818226F7B}"/>
    <cellStyle name="输入 2 9 2" xfId="25201" xr:uid="{4FC0F558-22C7-4082-8885-5FBDB8C6B1C5}"/>
    <cellStyle name="输入 2 9 2 2" xfId="27319" xr:uid="{F7BA34D3-2E3E-4D48-9AF5-1C1545EBF7AE}"/>
    <cellStyle name="输入 2 9 2 2 2" xfId="35904" xr:uid="{4AAF1E73-4EE6-4A48-866E-4739BA5029F8}"/>
    <cellStyle name="输入 2 9 2 3" xfId="36995" xr:uid="{C9380ACF-571C-4282-A2CF-9B3B6AB7EB1B}"/>
    <cellStyle name="输入 2 9 3" xfId="36994" xr:uid="{4327317E-B94A-4034-8DBC-A3EF24D8C209}"/>
    <cellStyle name="输入 20" xfId="25202" xr:uid="{C4A5E3D0-48F3-42BC-A4F5-7A5FE3102948}"/>
    <cellStyle name="输入 20 2" xfId="27320" xr:uid="{0E0563DB-643F-4413-8127-60E402088043}"/>
    <cellStyle name="输入 20 2 2" xfId="35905" xr:uid="{D0F7235A-4174-4F7C-9480-A839119799E9}"/>
    <cellStyle name="输入 20 3" xfId="36996" xr:uid="{D1F65B00-2F8A-478B-A649-041FC4827618}"/>
    <cellStyle name="输入 21" xfId="38398" xr:uid="{36369CE8-B4A1-4CFE-8D83-135E13731C57}"/>
    <cellStyle name="输入 3" xfId="25203" xr:uid="{ACC678FD-75F9-43EF-B809-92F7BF80F238}"/>
    <cellStyle name="输入 3 10" xfId="25204" xr:uid="{1E6E620D-80B0-48DF-B0ED-2ABD1F0C8111}"/>
    <cellStyle name="输入 3 10 2" xfId="36998" xr:uid="{B45B9875-BA2A-448C-AD15-A6403235C6C6}"/>
    <cellStyle name="输入 3 11" xfId="25205" xr:uid="{95EEBD23-2452-4B64-A474-000184D2C7C5}"/>
    <cellStyle name="输入 3 11 2" xfId="36999" xr:uid="{D58B188F-A3D2-4F2B-B877-9149AA88EE07}"/>
    <cellStyle name="输入 3 12" xfId="25206" xr:uid="{8659BF67-E8DF-448C-AA81-45D5518F860D}"/>
    <cellStyle name="输入 3 12 2" xfId="37000" xr:uid="{1C64AC27-2DFF-4EBA-9A75-12967EBB9AD5}"/>
    <cellStyle name="输入 3 13" xfId="25207" xr:uid="{9B9108E3-FCE4-49C4-875C-4239EC01F0DE}"/>
    <cellStyle name="输入 3 13 2" xfId="37001" xr:uid="{AE6F4F04-E7F0-46DF-938E-41C678F329A3}"/>
    <cellStyle name="输入 3 14" xfId="25208" xr:uid="{4DED8711-070D-4D50-A4A7-7D4EDBDB5735}"/>
    <cellStyle name="输入 3 14 2" xfId="37002" xr:uid="{DB0AEF91-33C3-4AAD-A3AD-39E89FDF8E95}"/>
    <cellStyle name="输入 3 15" xfId="25209" xr:uid="{D5DB335B-97EC-4299-BA8B-BF26421C0F54}"/>
    <cellStyle name="输入 3 15 2" xfId="37003" xr:uid="{CAB73662-B31E-4C13-A814-88F52F939B5B}"/>
    <cellStyle name="输入 3 16" xfId="25210" xr:uid="{0E85AC40-90A3-4001-8D21-3CB9376F46E0}"/>
    <cellStyle name="输入 3 16 2" xfId="37004" xr:uid="{7F0D4432-9567-47C2-BAC0-26D088A31922}"/>
    <cellStyle name="输入 3 17" xfId="25211" xr:uid="{702E74C4-53E1-4EB1-8EA4-2146556C6E90}"/>
    <cellStyle name="输入 3 17 2" xfId="37005" xr:uid="{83EFAF6A-0955-4D61-8BE2-946E82DCA1BC}"/>
    <cellStyle name="输入 3 18" xfId="25212" xr:uid="{236CB682-04E2-4641-9BCB-B36AA731E373}"/>
    <cellStyle name="输入 3 18 2" xfId="37006" xr:uid="{28F5BFF4-6755-46AF-BA80-B5508A10256A}"/>
    <cellStyle name="输入 3 19" xfId="25213" xr:uid="{14DAE1B4-3D94-4B95-B882-F16600D88BC4}"/>
    <cellStyle name="输入 3 19 2" xfId="28003" xr:uid="{5E41CB67-1CDF-4C7F-B9A3-3CC105007B63}"/>
    <cellStyle name="输入 3 2" xfId="25214" xr:uid="{ED72D452-1133-463A-A6B4-73CCF7210373}"/>
    <cellStyle name="输入 3 2 10" xfId="25215" xr:uid="{526D467A-36B7-4AED-BF7E-CE1A5E376DB9}"/>
    <cellStyle name="输入 3 2 10 2" xfId="25216" xr:uid="{F61F47CE-5B2F-4909-B540-C2686C0B69AD}"/>
    <cellStyle name="输入 3 2 10 2 2" xfId="27321" xr:uid="{EFE97504-ED60-4B0E-BB9D-5BA34A554495}"/>
    <cellStyle name="输入 3 2 10 2 2 2" xfId="35906" xr:uid="{A9222167-6D1F-47A9-990F-5EC5A271B508}"/>
    <cellStyle name="输入 3 2 10 2 3" xfId="37009" xr:uid="{F15AC1B0-683C-4F59-A538-C75FBA5A359A}"/>
    <cellStyle name="输入 3 2 10 3" xfId="37008" xr:uid="{BDF4C7CC-7F24-4446-B8BB-EB406FF850B6}"/>
    <cellStyle name="输入 3 2 11" xfId="25217" xr:uid="{3C7F69B6-F47B-433B-9CFA-AF027FAEC9F3}"/>
    <cellStyle name="输入 3 2 11 2" xfId="25218" xr:uid="{A9AA538B-2A84-4E9C-878A-F163D785ED36}"/>
    <cellStyle name="输入 3 2 11 2 2" xfId="27322" xr:uid="{4E7BE10D-6DE3-4C4A-8504-2721F109BE29}"/>
    <cellStyle name="输入 3 2 11 2 2 2" xfId="35907" xr:uid="{4ECCE931-8F04-4C55-95AC-2D326DE4A670}"/>
    <cellStyle name="输入 3 2 11 2 3" xfId="37011" xr:uid="{414B97CF-EA9B-4B3B-800D-63882CE68F23}"/>
    <cellStyle name="输入 3 2 11 3" xfId="37010" xr:uid="{CA2D6BD9-8A46-4262-99A2-19D0EB6F5C53}"/>
    <cellStyle name="输入 3 2 12" xfId="25219" xr:uid="{DD12E81D-F085-4F10-80ED-BBF2FCBB0868}"/>
    <cellStyle name="输入 3 2 12 2" xfId="25220" xr:uid="{B3EA4FFF-CEDB-46BC-A7E3-E677038AE087}"/>
    <cellStyle name="输入 3 2 12 2 2" xfId="27323" xr:uid="{E4F97148-5BC9-4A18-B3D3-69C87239CF7E}"/>
    <cellStyle name="输入 3 2 12 2 2 2" xfId="35908" xr:uid="{2C68CC86-02F1-41EB-8278-34E5D6C45775}"/>
    <cellStyle name="输入 3 2 12 2 3" xfId="37012" xr:uid="{9A7C49AC-2492-4447-A41C-06E955D24197}"/>
    <cellStyle name="输入 3 2 12 3" xfId="28004" xr:uid="{58905108-F595-4297-9A4D-73471F489677}"/>
    <cellStyle name="输入 3 2 13" xfId="25221" xr:uid="{3C6A1804-3919-4598-A121-57E58B0B9B97}"/>
    <cellStyle name="输入 3 2 13 2" xfId="25222" xr:uid="{3AFA623E-4418-4529-AA20-9D425F021035}"/>
    <cellStyle name="输入 3 2 13 2 2" xfId="27324" xr:uid="{CDA6C77F-DE7F-41E1-869D-2C011A105288}"/>
    <cellStyle name="输入 3 2 13 2 2 2" xfId="35909" xr:uid="{4F95FE0D-085D-4876-BFFA-86D43E22D1C3}"/>
    <cellStyle name="输入 3 2 13 2 3" xfId="35790" xr:uid="{B6C946B1-8773-4E76-95CB-95BCDD1064B7}"/>
    <cellStyle name="输入 3 2 13 3" xfId="37013" xr:uid="{7B7E338C-81E3-4F90-8779-26530ECE1BEC}"/>
    <cellStyle name="输入 3 2 14" xfId="25223" xr:uid="{4C91B82C-D40C-46D7-8D7E-638EAF26C53B}"/>
    <cellStyle name="输入 3 2 14 2" xfId="25224" xr:uid="{638F1FDA-4DDA-4D5E-B0A4-971766E27E06}"/>
    <cellStyle name="输入 3 2 14 2 2" xfId="27325" xr:uid="{10CFD12F-0CB6-429E-ADF6-2AFDD8B8A731}"/>
    <cellStyle name="输入 3 2 14 2 2 2" xfId="35910" xr:uid="{38BAA0E4-9961-4B18-9D7A-FCB7258B8C2A}"/>
    <cellStyle name="输入 3 2 14 2 3" xfId="35792" xr:uid="{41D97542-F001-4F33-A6F9-0B12BC4A8308}"/>
    <cellStyle name="输入 3 2 14 3" xfId="35791" xr:uid="{99958603-CB18-4F88-9FEC-D994A779264F}"/>
    <cellStyle name="输入 3 2 15" xfId="25225" xr:uid="{3AF52FE2-6814-4A8E-B975-A21A57CAEBE3}"/>
    <cellStyle name="输入 3 2 15 2" xfId="25226" xr:uid="{484FD864-9D36-4145-80F6-3F83C1EBF227}"/>
    <cellStyle name="输入 3 2 15 2 2" xfId="27326" xr:uid="{E2B22C0E-F1B1-4027-B84A-E46AB87397DE}"/>
    <cellStyle name="输入 3 2 15 2 2 2" xfId="35911" xr:uid="{4DF526CF-A2C2-4610-A564-839CA8B35F32}"/>
    <cellStyle name="输入 3 2 15 2 3" xfId="35794" xr:uid="{92291D65-7F28-488E-B5C2-153572BA1115}"/>
    <cellStyle name="输入 3 2 15 3" xfId="35793" xr:uid="{B4A66408-204F-48CA-BC0B-859D2AF91B19}"/>
    <cellStyle name="输入 3 2 16" xfId="25227" xr:uid="{ABDD7666-6F52-4BFC-9AC3-DEE14C0C214A}"/>
    <cellStyle name="输入 3 2 16 2" xfId="25228" xr:uid="{8526F7C9-E373-4E4B-8223-C4ADE66A8127}"/>
    <cellStyle name="输入 3 2 16 2 2" xfId="27327" xr:uid="{6D56079A-83F5-4506-BABA-9BAD7885453A}"/>
    <cellStyle name="输入 3 2 16 2 2 2" xfId="35912" xr:uid="{3BE61AFF-0675-4F56-9EDF-F6A4616D0E4A}"/>
    <cellStyle name="输入 3 2 16 2 3" xfId="35796" xr:uid="{C919968F-1977-46B3-AEB8-8CA66421F672}"/>
    <cellStyle name="输入 3 2 16 3" xfId="35795" xr:uid="{F08F1A7C-2296-4210-8167-5486823CC4F3}"/>
    <cellStyle name="输入 3 2 17" xfId="25229" xr:uid="{FD790F02-D33B-4DDD-9FFE-3A7C9C080304}"/>
    <cellStyle name="输入 3 2 17 2" xfId="27328" xr:uid="{46A68FA6-A618-447C-B6FE-CCAD7E877371}"/>
    <cellStyle name="输入 3 2 17 2 2" xfId="35913" xr:uid="{68E7E0BB-D669-400E-A530-98B791AE8A9D}"/>
    <cellStyle name="输入 3 2 17 3" xfId="35797" xr:uid="{9D3FE8ED-2E1A-4329-B523-1E79FD305A17}"/>
    <cellStyle name="输入 3 2 18" xfId="37007" xr:uid="{FE2B455C-1A3C-4C9D-855B-B69F63A182C5}"/>
    <cellStyle name="输入 3 2 2" xfId="25230" xr:uid="{B8CD8F90-D634-4F6E-AAA8-65EF6F0EDDAC}"/>
    <cellStyle name="输入 3 2 2 10" xfId="25231" xr:uid="{E8BA6D39-3A95-4E9B-ACB0-C1452209B208}"/>
    <cellStyle name="输入 3 2 2 10 2" xfId="25232" xr:uid="{40FE0292-E458-4407-B63C-376AE2531A7D}"/>
    <cellStyle name="输入 3 2 2 10 2 2" xfId="27329" xr:uid="{BAEE9EA2-1D1E-4F5F-995A-113A27483B36}"/>
    <cellStyle name="输入 3 2 2 10 2 2 2" xfId="35914" xr:uid="{5BE1C395-0A41-40FB-9995-A919AADEA18A}"/>
    <cellStyle name="输入 3 2 2 10 2 3" xfId="35800" xr:uid="{62774945-B0C8-45B4-908F-9B554EBC62A0}"/>
    <cellStyle name="输入 3 2 2 10 3" xfId="35799" xr:uid="{F782AA2B-D2B4-4055-9264-752E98199593}"/>
    <cellStyle name="输入 3 2 2 11" xfId="25233" xr:uid="{3FBB0DB1-BDA7-4ADA-8C0C-B560C02C57A3}"/>
    <cellStyle name="输入 3 2 2 11 2" xfId="25234" xr:uid="{C07676C9-ADFA-4A5E-B979-DC81BBAA1739}"/>
    <cellStyle name="输入 3 2 2 11 2 2" xfId="27330" xr:uid="{23A75F4E-9864-4B15-92C4-48F9CA274EF3}"/>
    <cellStyle name="输入 3 2 2 11 2 2 2" xfId="35915" xr:uid="{3B5937A4-DE34-44DF-9686-4F238F24AE60}"/>
    <cellStyle name="输入 3 2 2 11 2 3" xfId="35802" xr:uid="{5BDE7405-F9BE-44BC-9455-4BBE278EDD32}"/>
    <cellStyle name="输入 3 2 2 11 3" xfId="35801" xr:uid="{A6BE2D71-1FC1-4E4A-BB21-1657E2A64689}"/>
    <cellStyle name="输入 3 2 2 12" xfId="25235" xr:uid="{86870E9D-5732-4330-9BC3-B5F88B2A3E24}"/>
    <cellStyle name="输入 3 2 2 12 2" xfId="25236" xr:uid="{114AD634-3F54-4979-B7A2-DFF1378C7409}"/>
    <cellStyle name="输入 3 2 2 12 2 2" xfId="27331" xr:uid="{79457CA4-B5E8-4499-B772-BD7A5466F065}"/>
    <cellStyle name="输入 3 2 2 12 2 2 2" xfId="35916" xr:uid="{28B50EF1-794C-4F08-B918-30F876DC8FEA}"/>
    <cellStyle name="输入 3 2 2 12 2 3" xfId="35804" xr:uid="{1CA3AEB1-71EC-45BE-AE37-DDDA487FED47}"/>
    <cellStyle name="输入 3 2 2 12 3" xfId="35803" xr:uid="{74AF1B4D-E637-4E5C-B72A-A4B94E60DB01}"/>
    <cellStyle name="输入 3 2 2 13" xfId="25237" xr:uid="{B0566BCD-65B9-46CD-BB65-360F4823A1DF}"/>
    <cellStyle name="输入 3 2 2 13 2" xfId="25238" xr:uid="{00CDDF9C-1C62-4ADF-B9D7-C6DFBE87F63B}"/>
    <cellStyle name="输入 3 2 2 13 2 2" xfId="27332" xr:uid="{55CEDFA6-D236-4D64-A341-0BCF94A8CEC6}"/>
    <cellStyle name="输入 3 2 2 13 2 2 2" xfId="35917" xr:uid="{27795EA1-F4D7-4DAB-848F-A00FFC19FD31}"/>
    <cellStyle name="输入 3 2 2 13 2 3" xfId="35806" xr:uid="{F305BFDC-6F7C-4E98-A341-70B6020C0179}"/>
    <cellStyle name="输入 3 2 2 13 3" xfId="35805" xr:uid="{69E98D96-A655-4D1C-A863-1C1442E027F3}"/>
    <cellStyle name="输入 3 2 2 14" xfId="25239" xr:uid="{8B0D056C-E282-4950-9D69-2DD45FB9DF54}"/>
    <cellStyle name="输入 3 2 2 14 2" xfId="25240" xr:uid="{7601609D-AD42-4F0E-B91B-BB4A44B73705}"/>
    <cellStyle name="输入 3 2 2 14 2 2" xfId="27333" xr:uid="{C86C061E-B92A-4F60-8B3B-747E2A47FE63}"/>
    <cellStyle name="输入 3 2 2 14 2 2 2" xfId="35918" xr:uid="{BD7CB287-101C-4AB5-8E5A-BD94894F09FF}"/>
    <cellStyle name="输入 3 2 2 14 2 3" xfId="35481" xr:uid="{B91AE6DF-DE73-4F4D-98C7-6B268D4BF236}"/>
    <cellStyle name="输入 3 2 2 14 3" xfId="35807" xr:uid="{2961C401-DB7D-447A-9012-5E997D43FF5D}"/>
    <cellStyle name="输入 3 2 2 15" xfId="25241" xr:uid="{526CD676-CE1A-47A4-8407-5335F11015BA}"/>
    <cellStyle name="输入 3 2 2 15 2" xfId="27334" xr:uid="{87CB3566-4CEA-4B61-925B-F5CFF1533DA5}"/>
    <cellStyle name="输入 3 2 2 15 2 2" xfId="35919" xr:uid="{1B15E859-1438-41D8-9669-45F58BC00665}"/>
    <cellStyle name="输入 3 2 2 15 3" xfId="35482" xr:uid="{3BDC133A-063C-4889-A7F5-678207D4EABA}"/>
    <cellStyle name="输入 3 2 2 16" xfId="35798" xr:uid="{E178455D-5D2F-47C3-9168-A53C8059B03B}"/>
    <cellStyle name="输入 3 2 2 2" xfId="25242" xr:uid="{699BAC60-C61A-44B4-B7DF-3AF91E4E866A}"/>
    <cellStyle name="输入 3 2 2 2 2" xfId="25243" xr:uid="{8EC4B26E-045C-4C74-AA6C-1F8BD25FCC02}"/>
    <cellStyle name="输入 3 2 2 2 2 2" xfId="27335" xr:uid="{6084EF32-5537-4EE3-99A1-D72CE6499431}"/>
    <cellStyle name="输入 3 2 2 2 2 2 2" xfId="35920" xr:uid="{C156A4E1-5515-434A-981A-84A3C981A9B1}"/>
    <cellStyle name="输入 3 2 2 2 2 3" xfId="35484" xr:uid="{057EC70E-53FB-4228-9D69-2E928EEFAF27}"/>
    <cellStyle name="输入 3 2 2 2 3" xfId="35483" xr:uid="{DDF11086-6BD4-40C2-9A36-1F8728AFF916}"/>
    <cellStyle name="输入 3 2 2 3" xfId="25244" xr:uid="{DEFE815D-FEC8-4767-9B20-07EDF108E735}"/>
    <cellStyle name="输入 3 2 2 3 2" xfId="25245" xr:uid="{5769A40B-F106-4461-9CEA-2D4B37834B26}"/>
    <cellStyle name="输入 3 2 2 3 2 2" xfId="27336" xr:uid="{B94C57B1-E784-49B0-908A-3C06F5B72359}"/>
    <cellStyle name="输入 3 2 2 3 2 2 2" xfId="35921" xr:uid="{4484E6DF-581F-4B10-BCA8-9FCAB993E485}"/>
    <cellStyle name="输入 3 2 2 3 2 3" xfId="35485" xr:uid="{9598E091-6BB7-4F16-8A84-3EB244648014}"/>
    <cellStyle name="输入 3 2 2 3 3" xfId="38153" xr:uid="{7CDB413E-ABF1-4B3B-A53E-187CEBCA14CB}"/>
    <cellStyle name="输入 3 2 2 4" xfId="25246" xr:uid="{C1FF6355-116F-44EE-BFE9-6465B092F7B7}"/>
    <cellStyle name="输入 3 2 2 4 2" xfId="25247" xr:uid="{4322077F-01D2-486F-8264-582BEC08EC68}"/>
    <cellStyle name="输入 3 2 2 4 2 2" xfId="27337" xr:uid="{C0566014-2890-4232-9A78-7A6FA7D30909}"/>
    <cellStyle name="输入 3 2 2 4 2 2 2" xfId="35922" xr:uid="{5F689EEF-D81A-4AE0-B3CA-1263061E6DB4}"/>
    <cellStyle name="输入 3 2 2 4 2 3" xfId="38154" xr:uid="{10E4471D-444E-4647-83D4-5406D2B3E343}"/>
    <cellStyle name="输入 3 2 2 4 3" xfId="35486" xr:uid="{55A10E3A-8DCC-403D-891B-9D76E8D8A3EE}"/>
    <cellStyle name="输入 3 2 2 5" xfId="25248" xr:uid="{74DF0B36-A603-4664-A62D-473E04777D47}"/>
    <cellStyle name="输入 3 2 2 5 2" xfId="25249" xr:uid="{612ABDAC-EDF1-49E1-9F54-97C4C8E73C42}"/>
    <cellStyle name="输入 3 2 2 5 2 2" xfId="27338" xr:uid="{226BB334-1A67-4917-9308-A2D184BF3C85}"/>
    <cellStyle name="输入 3 2 2 5 2 2 2" xfId="35923" xr:uid="{BAE8D9ED-00B9-46B4-BF7C-554160CAD550}"/>
    <cellStyle name="输入 3 2 2 5 2 3" xfId="38155" xr:uid="{EA42830D-06F9-461F-A0AC-E82288B352F8}"/>
    <cellStyle name="输入 3 2 2 5 3" xfId="35487" xr:uid="{AC2C55CE-917E-4502-A53F-59FE809EDA24}"/>
    <cellStyle name="输入 3 2 2 6" xfId="25250" xr:uid="{E066C1CC-EC8E-4B1E-9C2B-8B2264E4FD4F}"/>
    <cellStyle name="输入 3 2 2 6 2" xfId="25251" xr:uid="{AD8EB190-E603-4247-A127-2F05A42FE8E9}"/>
    <cellStyle name="输入 3 2 2 6 2 2" xfId="27339" xr:uid="{3E3A971F-980C-4ECA-9B6A-17AE249A956B}"/>
    <cellStyle name="输入 3 2 2 6 2 2 2" xfId="35924" xr:uid="{8F485B78-F965-4087-9ACD-42AAC1A8A9E3}"/>
    <cellStyle name="输入 3 2 2 6 2 3" xfId="35489" xr:uid="{BFBE6432-CBBD-4497-8B98-FD2CB876E820}"/>
    <cellStyle name="输入 3 2 2 6 3" xfId="35488" xr:uid="{BB14802A-01A5-4E1A-B181-B4B35B9D5FBF}"/>
    <cellStyle name="输入 3 2 2 7" xfId="25252" xr:uid="{EB05E0AF-CC9D-4658-968B-E998A9121C33}"/>
    <cellStyle name="输入 3 2 2 7 2" xfId="25253" xr:uid="{D6BA6861-3F44-4530-A9F4-69065BC84F39}"/>
    <cellStyle name="输入 3 2 2 7 2 2" xfId="27340" xr:uid="{AEA30DF2-EA3B-4F41-889B-0B7D24F81723}"/>
    <cellStyle name="输入 3 2 2 7 2 2 2" xfId="35925" xr:uid="{097C868F-35CF-4FA7-A09B-AD0863C302A1}"/>
    <cellStyle name="输入 3 2 2 7 2 3" xfId="35491" xr:uid="{4EA1E532-915F-4D28-AA80-4B5870868DA0}"/>
    <cellStyle name="输入 3 2 2 7 3" xfId="35490" xr:uid="{CE597B6E-A1AD-4C34-8641-35347A384ACB}"/>
    <cellStyle name="输入 3 2 2 8" xfId="25254" xr:uid="{81389BB8-79CE-4FD4-9FA8-03390DBA68DF}"/>
    <cellStyle name="输入 3 2 2 8 2" xfId="25255" xr:uid="{44139399-48E3-44DA-B8E0-8C269377458E}"/>
    <cellStyle name="输入 3 2 2 8 2 2" xfId="27341" xr:uid="{A2C2F48C-50E6-4A58-A730-0760D1351A50}"/>
    <cellStyle name="输入 3 2 2 8 2 2 2" xfId="35926" xr:uid="{A57F4842-5818-4A7B-8983-B7483EB31814}"/>
    <cellStyle name="输入 3 2 2 8 2 3" xfId="35493" xr:uid="{E551FCD8-158B-4694-AAB1-5BEAC6D0753A}"/>
    <cellStyle name="输入 3 2 2 8 3" xfId="35492" xr:uid="{D78AAF6F-DF7B-4693-8995-AE3E84D73376}"/>
    <cellStyle name="输入 3 2 2 9" xfId="25256" xr:uid="{AFB05BDC-FAC5-431F-8387-29E47D81F55C}"/>
    <cellStyle name="输入 3 2 2 9 2" xfId="25257" xr:uid="{6949776F-4D0A-498B-9D8B-5D3506ECAEC0}"/>
    <cellStyle name="输入 3 2 2 9 2 2" xfId="27342" xr:uid="{53AC973A-72B5-4152-A467-8F62CFE664A5}"/>
    <cellStyle name="输入 3 2 2 9 2 2 2" xfId="35927" xr:uid="{AD2E9B93-EE2B-411E-ACAE-B29363A289E0}"/>
    <cellStyle name="输入 3 2 2 9 2 3" xfId="35495" xr:uid="{66B248EC-C298-4410-AA51-1CA4FF1B9930}"/>
    <cellStyle name="输入 3 2 2 9 3" xfId="35494" xr:uid="{E68D8AA4-5797-4A2A-8AF1-21CAD89C1148}"/>
    <cellStyle name="输入 3 2 3" xfId="25258" xr:uid="{90BDCE8E-8DF8-4918-B03E-CD074936678A}"/>
    <cellStyle name="输入 3 2 3 2" xfId="25259" xr:uid="{2C4F9E01-28EB-4246-85FA-78A8FDF5A8A3}"/>
    <cellStyle name="输入 3 2 3 2 2" xfId="27343" xr:uid="{70C81A75-C4D0-4A17-A061-B4FFC4C84C1E}"/>
    <cellStyle name="输入 3 2 3 2 2 2" xfId="35928" xr:uid="{1E919BFC-E412-4EB2-B4CF-192DB72B7E6C}"/>
    <cellStyle name="输入 3 2 3 2 3" xfId="28005" xr:uid="{14C34A82-1D49-47C7-862C-14EBB1D6999B}"/>
    <cellStyle name="输入 3 2 3 3" xfId="35496" xr:uid="{9354A7A0-0DC4-48A3-88BC-9BEC8E6E0833}"/>
    <cellStyle name="输入 3 2 4" xfId="25260" xr:uid="{0ABD4A78-0221-46C3-9309-4C8B72EC5F83}"/>
    <cellStyle name="输入 3 2 4 2" xfId="25261" xr:uid="{2661EA3E-0020-4DFE-8544-5D8C9ECCCA30}"/>
    <cellStyle name="输入 3 2 4 2 2" xfId="27344" xr:uid="{538D6DBD-6012-469B-9A38-8F559D99DBE1}"/>
    <cellStyle name="输入 3 2 4 2 2 2" xfId="35929" xr:uid="{99C3B5D3-F20D-4D57-9DB7-BE947C6058F3}"/>
    <cellStyle name="输入 3 2 4 2 3" xfId="35498" xr:uid="{AFAEDB6B-67BB-4A3E-8D99-36F60177D81B}"/>
    <cellStyle name="输入 3 2 4 3" xfId="35497" xr:uid="{893361E8-6119-4E54-B6A9-278F3B1071EC}"/>
    <cellStyle name="输入 3 2 5" xfId="25262" xr:uid="{8052814D-AEAD-40AE-B814-85F0F97681CF}"/>
    <cellStyle name="输入 3 2 5 2" xfId="25263" xr:uid="{8CD4BF7A-324D-4BE6-BE0D-7D9D0CDEFE44}"/>
    <cellStyle name="输入 3 2 5 2 2" xfId="27345" xr:uid="{2A81B6F9-EEC6-491F-9DBC-33951F8E2501}"/>
    <cellStyle name="输入 3 2 5 2 2 2" xfId="35930" xr:uid="{04785D65-D502-4411-9BD1-9C5F750949ED}"/>
    <cellStyle name="输入 3 2 5 2 3" xfId="35500" xr:uid="{56BD9F74-893C-4F20-866D-F3B42C0E716F}"/>
    <cellStyle name="输入 3 2 5 3" xfId="35499" xr:uid="{7447CABC-7E7D-490C-91D2-90B3490D228B}"/>
    <cellStyle name="输入 3 2 6" xfId="25264" xr:uid="{AE294247-AFEC-4C4B-924D-E76A3C9A156E}"/>
    <cellStyle name="输入 3 2 6 2" xfId="25265" xr:uid="{69C26872-BA21-4945-A5A3-6CF684B93EF4}"/>
    <cellStyle name="输入 3 2 6 2 2" xfId="27346" xr:uid="{8C8ED622-2AFD-4959-B16A-CDF4B7824540}"/>
    <cellStyle name="输入 3 2 6 2 2 2" xfId="35931" xr:uid="{98286FCD-382A-448C-BF21-5694DC1F0C08}"/>
    <cellStyle name="输入 3 2 6 2 3" xfId="35502" xr:uid="{E63CAEF8-836F-4852-9957-2853DA868498}"/>
    <cellStyle name="输入 3 2 6 3" xfId="35501" xr:uid="{BAFA3495-7633-4CED-8BFB-517EDB253952}"/>
    <cellStyle name="输入 3 2 7" xfId="25266" xr:uid="{EA246520-ABAE-4FC8-9FE2-5CE2D0DCB97E}"/>
    <cellStyle name="输入 3 2 7 2" xfId="25267" xr:uid="{DA2B1547-1122-4C00-B112-54C22E61FEF7}"/>
    <cellStyle name="输入 3 2 7 2 2" xfId="27347" xr:uid="{A23184EE-F41E-45FE-9E7E-68ED344C1561}"/>
    <cellStyle name="输入 3 2 7 2 2 2" xfId="35932" xr:uid="{289A6E66-A3F0-4F3F-A66E-F985E99510AA}"/>
    <cellStyle name="输入 3 2 7 2 3" xfId="35503" xr:uid="{1D428EB8-C480-4389-829D-5E95BF64AFC6}"/>
    <cellStyle name="输入 3 2 7 3" xfId="37835" xr:uid="{4C254FA8-BFCD-4CC2-B810-52295F620481}"/>
    <cellStyle name="输入 3 2 8" xfId="25268" xr:uid="{D923C246-1166-46D9-BF02-3F577C63FB11}"/>
    <cellStyle name="输入 3 2 8 2" xfId="25269" xr:uid="{F343C4F0-A359-4756-B386-0CF69CFE4007}"/>
    <cellStyle name="输入 3 2 8 2 2" xfId="27348" xr:uid="{1C833DFC-CA37-4CB3-9E67-96F5DA5EEC35}"/>
    <cellStyle name="输入 3 2 8 2 2 2" xfId="35933" xr:uid="{B395E380-4DC0-42EA-A832-CEC37AB4A33D}"/>
    <cellStyle name="输入 3 2 8 2 3" xfId="35505" xr:uid="{055B4DD2-2740-4856-9110-92B94041ED2B}"/>
    <cellStyle name="输入 3 2 8 3" xfId="35504" xr:uid="{9237951D-B2D2-4796-8F6E-34D749081C71}"/>
    <cellStyle name="输入 3 2 9" xfId="25270" xr:uid="{A92C4269-1747-4BEA-A9CB-5CFAAEEF8B85}"/>
    <cellStyle name="输入 3 2 9 2" xfId="25271" xr:uid="{CF5B1066-A460-45DA-B129-7BCCB8FB7E5B}"/>
    <cellStyle name="输入 3 2 9 2 2" xfId="27349" xr:uid="{2A1EAB16-F2CE-4A08-B985-E92DB120CA3D}"/>
    <cellStyle name="输入 3 2 9 2 2 2" xfId="35934" xr:uid="{D4FCDEBB-A77C-4C65-BE68-2A875676C9D1}"/>
    <cellStyle name="输入 3 2 9 2 3" xfId="35507" xr:uid="{E00074F1-17F9-45A0-9D11-95DC1934D070}"/>
    <cellStyle name="输入 3 2 9 3" xfId="35506" xr:uid="{97C5E984-AD67-4EB2-A9A4-4E4F080F503E}"/>
    <cellStyle name="输入 3 20" xfId="25272" xr:uid="{EA1F0C07-B3D6-4C34-AB1E-2E240C609F85}"/>
    <cellStyle name="输入 3 20 2" xfId="35508" xr:uid="{EE88D0D3-C37A-4608-8B7D-0D2A9A126682}"/>
    <cellStyle name="输入 3 21" xfId="25273" xr:uid="{C48D941B-780A-4832-89FE-E2011F1B944C}"/>
    <cellStyle name="输入 3 21 2" xfId="35509" xr:uid="{63DED45B-B000-403C-BAC4-7411DDEADAAA}"/>
    <cellStyle name="输入 3 22" xfId="25274" xr:uid="{8F6FDECD-172B-4C2F-AC77-8655712AB8DD}"/>
    <cellStyle name="输入 3 22 2" xfId="35510" xr:uid="{EE8C8CF4-6322-4808-A747-16D37A77BDC5}"/>
    <cellStyle name="输入 3 23" xfId="25275" xr:uid="{BFB17368-D556-472F-87EF-8497F621787A}"/>
    <cellStyle name="输入 3 23 2" xfId="27350" xr:uid="{C73A6777-92F6-4F7D-B0F7-7CB0CAA25A81}"/>
    <cellStyle name="输入 3 23 2 2" xfId="35935" xr:uid="{05AFD8E7-2501-45BF-80B1-66249D051B24}"/>
    <cellStyle name="输入 3 23 3" xfId="35511" xr:uid="{EAF79241-92A9-48AB-B3E5-94EE2AEFF94B}"/>
    <cellStyle name="输入 3 24" xfId="36997" xr:uid="{44F5E6D3-7AF0-428D-96F8-5A587C5DDD67}"/>
    <cellStyle name="输入 3 3" xfId="25276" xr:uid="{C630B366-BBCB-484F-A39F-A5447387C7C7}"/>
    <cellStyle name="输入 3 3 10" xfId="25277" xr:uid="{C02401D7-7EB8-46D1-BC8D-4A0823F4CCA8}"/>
    <cellStyle name="输入 3 3 10 2" xfId="25278" xr:uid="{55A49869-9D1E-4F31-9B0D-CC97BA27F728}"/>
    <cellStyle name="输入 3 3 10 2 2" xfId="27351" xr:uid="{AE49E234-0856-46B2-AA35-44E442900C8B}"/>
    <cellStyle name="输入 3 3 10 2 2 2" xfId="35936" xr:uid="{3D7E6D4B-126E-470C-BDC8-CE7BBCCCAC2A}"/>
    <cellStyle name="输入 3 3 10 2 3" xfId="35513" xr:uid="{D7D3A025-0CA0-4BBF-9EEB-C03AAD6613A7}"/>
    <cellStyle name="输入 3 3 10 3" xfId="28006" xr:uid="{CF284ACD-5D13-47B0-B18D-4296CC77AAC9}"/>
    <cellStyle name="输入 3 3 11" xfId="25279" xr:uid="{A0652267-1317-41C7-9B5B-692E3797E6F2}"/>
    <cellStyle name="输入 3 3 11 2" xfId="25280" xr:uid="{015CA146-F936-470A-8D2D-A1260450FC21}"/>
    <cellStyle name="输入 3 3 11 2 2" xfId="27352" xr:uid="{4809420A-4E9C-4E03-9C6A-63205680C6C6}"/>
    <cellStyle name="输入 3 3 11 2 2 2" xfId="35937" xr:uid="{3C191293-1F56-4399-9C5C-800F9B472B9E}"/>
    <cellStyle name="输入 3 3 11 2 3" xfId="35515" xr:uid="{465EB01E-BBD6-4975-AEF6-E1F78744E52F}"/>
    <cellStyle name="输入 3 3 11 3" xfId="35514" xr:uid="{61CA7AE5-CD1C-482C-B723-A78A7475D7DC}"/>
    <cellStyle name="输入 3 3 12" xfId="25281" xr:uid="{75C5251D-CD5B-47A4-9DCA-CD53FF9A0BA2}"/>
    <cellStyle name="输入 3 3 12 2" xfId="25282" xr:uid="{9AD6E0DA-CE47-4A79-BB18-DEEED4E9029C}"/>
    <cellStyle name="输入 3 3 12 2 2" xfId="27353" xr:uid="{17C5B854-8C22-4DAA-ACE2-F90A83F6A9DC}"/>
    <cellStyle name="输入 3 3 12 2 2 2" xfId="35938" xr:uid="{EAEEAD3E-0D95-48AE-9750-01CE4A4214C9}"/>
    <cellStyle name="输入 3 3 12 2 3" xfId="35517" xr:uid="{88EF0E78-DBD5-4914-9640-29D9C96B6ACC}"/>
    <cellStyle name="输入 3 3 12 3" xfId="35516" xr:uid="{46D644FB-35DA-488E-A3DC-EB56A0A174CB}"/>
    <cellStyle name="输入 3 3 13" xfId="25283" xr:uid="{81DEB99D-A516-44E5-B89C-E3E61DA48C6D}"/>
    <cellStyle name="输入 3 3 13 2" xfId="25284" xr:uid="{224C6CC2-E7C2-4EDA-8236-F990807FAB24}"/>
    <cellStyle name="输入 3 3 13 2 2" xfId="27354" xr:uid="{1379758C-8FC7-4F29-9926-DC8B6B7C7AB4}"/>
    <cellStyle name="输入 3 3 13 2 2 2" xfId="35939" xr:uid="{D04049AB-05D0-43DB-983A-E72215476D64}"/>
    <cellStyle name="输入 3 3 13 2 3" xfId="35519" xr:uid="{68CC9342-EC6D-4CB1-9998-912C87AD7CEB}"/>
    <cellStyle name="输入 3 3 13 3" xfId="35518" xr:uid="{2A6F23EC-B63A-4B4C-AEAD-45D9111A6A83}"/>
    <cellStyle name="输入 3 3 14" xfId="25285" xr:uid="{7B1188A3-5DF3-471F-A71B-808C7F7F5785}"/>
    <cellStyle name="输入 3 3 14 2" xfId="25286" xr:uid="{5B4627F7-CCFF-41FC-A676-EFCBE8FC234A}"/>
    <cellStyle name="输入 3 3 14 2 2" xfId="27355" xr:uid="{12EBC87F-4FB0-4FC7-9A21-BC6C20929CA8}"/>
    <cellStyle name="输入 3 3 14 2 2 2" xfId="35940" xr:uid="{585004A0-4F59-4BEE-B726-073699B1C76D}"/>
    <cellStyle name="输入 3 3 14 2 3" xfId="35521" xr:uid="{C13E5BBB-4028-4312-961B-423C2A2C4128}"/>
    <cellStyle name="输入 3 3 14 3" xfId="35520" xr:uid="{3406BBA0-0CE7-4ADB-A837-E51A1F45CFB0}"/>
    <cellStyle name="输入 3 3 15" xfId="25287" xr:uid="{4537CEC9-3812-4411-AC24-66905C916919}"/>
    <cellStyle name="输入 3 3 15 2" xfId="27356" xr:uid="{E9C8C9D1-BCBC-4627-9DDC-F1AAC607ACDF}"/>
    <cellStyle name="输入 3 3 15 2 2" xfId="35941" xr:uid="{013B98FC-3824-40FA-951C-15D7459A3BFC}"/>
    <cellStyle name="输入 3 3 15 3" xfId="35522" xr:uid="{3D303029-E4B9-46E9-AB55-6E1CB3393EC6}"/>
    <cellStyle name="输入 3 3 16" xfId="35512" xr:uid="{1AFF623E-7C8B-46A6-A550-03D67D8E4B49}"/>
    <cellStyle name="输入 3 3 2" xfId="25288" xr:uid="{237A23B5-E7DE-48C8-8005-156A94F26FE5}"/>
    <cellStyle name="输入 3 3 2 2" xfId="25289" xr:uid="{F07419C4-7770-4D4A-A719-C873FA1B8962}"/>
    <cellStyle name="输入 3 3 2 2 2" xfId="27357" xr:uid="{68677E79-D1CA-4D51-9F6C-9D5E09CE690F}"/>
    <cellStyle name="输入 3 3 2 2 2 2" xfId="35942" xr:uid="{490EB1EC-07AE-44D3-B469-63212A0384B4}"/>
    <cellStyle name="输入 3 3 2 2 3" xfId="35524" xr:uid="{C94995E4-02FB-4489-87A5-F9699CD8FB4C}"/>
    <cellStyle name="输入 3 3 2 3" xfId="35523" xr:uid="{7649F442-D4FC-4D56-AE7C-932B664F69EC}"/>
    <cellStyle name="输入 3 3 3" xfId="25290" xr:uid="{A06D71E0-F2D9-4484-BEE1-2476526852EF}"/>
    <cellStyle name="输入 3 3 3 2" xfId="25291" xr:uid="{EEDB2032-D5CF-4573-897C-8304FB8E3A85}"/>
    <cellStyle name="输入 3 3 3 2 2" xfId="27358" xr:uid="{AB9E435B-4D12-4FA1-981A-7A03411D9778}"/>
    <cellStyle name="输入 3 3 3 2 2 2" xfId="35943" xr:uid="{3FAC45A7-9454-48B8-88E9-F5DEBA3F5E76}"/>
    <cellStyle name="输入 3 3 3 2 3" xfId="35526" xr:uid="{15F9F0BC-E295-4D88-9365-11E7486559B5}"/>
    <cellStyle name="输入 3 3 3 3" xfId="35525" xr:uid="{1ECA0C16-7286-41F6-A1B0-C18307613AD4}"/>
    <cellStyle name="输入 3 3 4" xfId="25292" xr:uid="{50579BC6-07B6-44FC-B23B-118A2BD3DFAF}"/>
    <cellStyle name="输入 3 3 4 2" xfId="25293" xr:uid="{7AB645E6-49A7-4BBA-A416-087DE6E609B7}"/>
    <cellStyle name="输入 3 3 4 2 2" xfId="27359" xr:uid="{5E1735B7-D209-419A-AEC2-D79326800CB9}"/>
    <cellStyle name="输入 3 3 4 2 2 2" xfId="35944" xr:uid="{4663E2C5-755B-4C42-9398-77F09657D935}"/>
    <cellStyle name="输入 3 3 4 2 3" xfId="35528" xr:uid="{7A75AC02-865E-4B97-BD6D-E8847184CD22}"/>
    <cellStyle name="输入 3 3 4 3" xfId="35527" xr:uid="{96C36453-1E58-475D-8F2F-975A8B67D332}"/>
    <cellStyle name="输入 3 3 5" xfId="25294" xr:uid="{32785629-82D2-494C-AE54-B5CE380498E2}"/>
    <cellStyle name="输入 3 3 5 2" xfId="25295" xr:uid="{758DA7CE-C5A2-4A7D-A792-ABAB2EF2F31F}"/>
    <cellStyle name="输入 3 3 5 2 2" xfId="27360" xr:uid="{6203DF53-389C-4B42-AF66-42C45919B834}"/>
    <cellStyle name="输入 3 3 5 2 2 2" xfId="35945" xr:uid="{71C04500-A363-4948-8432-729C439B0C56}"/>
    <cellStyle name="输入 3 3 5 2 3" xfId="35530" xr:uid="{A77DBEF7-812F-4760-BA75-0B29D4A6F491}"/>
    <cellStyle name="输入 3 3 5 3" xfId="35529" xr:uid="{ECDF168E-54B2-46BF-9A52-A08307C9AF93}"/>
    <cellStyle name="输入 3 3 6" xfId="25296" xr:uid="{5F5BE808-BB61-409C-B34D-77EFB47DC050}"/>
    <cellStyle name="输入 3 3 6 2" xfId="25297" xr:uid="{12B5A08A-2E18-4EDE-A168-2B6B838B83F5}"/>
    <cellStyle name="输入 3 3 6 2 2" xfId="27361" xr:uid="{0159D3E4-75A9-4212-84BF-051A3D4A3F42}"/>
    <cellStyle name="输入 3 3 6 2 2 2" xfId="35946" xr:uid="{A358D53D-628F-47B1-A49D-897247C83F1B}"/>
    <cellStyle name="输入 3 3 6 2 3" xfId="35532" xr:uid="{2BC88443-826F-45E1-94C4-65DAD83D87C8}"/>
    <cellStyle name="输入 3 3 6 3" xfId="35531" xr:uid="{53F6470C-4D41-4890-BA1E-167FD771D0C6}"/>
    <cellStyle name="输入 3 3 7" xfId="25298" xr:uid="{9A9F7404-10C1-4BDB-A1FA-A2A9CA3D81D2}"/>
    <cellStyle name="输入 3 3 7 2" xfId="25299" xr:uid="{56432D46-10C2-4069-AC01-AE9D4C79BE7E}"/>
    <cellStyle name="输入 3 3 7 2 2" xfId="27362" xr:uid="{4A4F9B6C-9FC5-4B22-BD29-18ACAFB1B082}"/>
    <cellStyle name="输入 3 3 7 2 2 2" xfId="35947" xr:uid="{F1F42191-FF15-4E0B-A05C-C83B97CD8911}"/>
    <cellStyle name="输入 3 3 7 2 3" xfId="35533" xr:uid="{49030A3D-E5A1-4874-A88B-CB1D63F882E5}"/>
    <cellStyle name="输入 3 3 7 3" xfId="28007" xr:uid="{81FB3475-E87C-4B18-8134-765D0F28F213}"/>
    <cellStyle name="输入 3 3 8" xfId="25300" xr:uid="{27802C42-FB08-4B5F-AA7C-B81DBD6D1CFE}"/>
    <cellStyle name="输入 3 3 8 2" xfId="25301" xr:uid="{5E08FBFE-4F76-4D66-A903-FFBC16D0EFC4}"/>
    <cellStyle name="输入 3 3 8 2 2" xfId="27363" xr:uid="{472654A2-613B-4C4C-A54C-A2EE202FA53B}"/>
    <cellStyle name="输入 3 3 8 2 2 2" xfId="35948" xr:uid="{113D5A85-58C8-4A85-B100-20632D70D408}"/>
    <cellStyle name="输入 3 3 8 2 3" xfId="35534" xr:uid="{4E3B1D4B-869D-43BA-966D-3E8240AA5976}"/>
    <cellStyle name="输入 3 3 8 3" xfId="37836" xr:uid="{7544A609-61AC-46E3-AB3E-EEFB0B761949}"/>
    <cellStyle name="输入 3 3 9" xfId="25302" xr:uid="{3191386B-10F8-4509-A73B-6980ACE01A8A}"/>
    <cellStyle name="输入 3 3 9 2" xfId="25303" xr:uid="{2FA8E4BD-3E2A-4D59-A8B0-9646F7256EBE}"/>
    <cellStyle name="输入 3 3 9 2 2" xfId="27364" xr:uid="{1AF8AE46-1628-4324-A5B5-21A9B3E57459}"/>
    <cellStyle name="输入 3 3 9 2 2 2" xfId="35949" xr:uid="{FCED0160-AAFC-48D8-8A70-F38B767E7E72}"/>
    <cellStyle name="输入 3 3 9 2 3" xfId="28008" xr:uid="{BF21B73A-249A-489B-83DA-BD1F7237D8DC}"/>
    <cellStyle name="输入 3 3 9 3" xfId="35535" xr:uid="{6EA63E7F-E1E4-4B72-ABB1-10B6F76D5B8D}"/>
    <cellStyle name="输入 3 4" xfId="25304" xr:uid="{75E509D9-9DB1-4352-9F56-A567F4283F81}"/>
    <cellStyle name="输入 3 4 2" xfId="35536" xr:uid="{2634D592-BEBB-4C7E-BEFC-FA92DA93D093}"/>
    <cellStyle name="输入 3 5" xfId="25305" xr:uid="{DAE8AB2D-D1D1-4DE4-80B1-2A95589A76A0}"/>
    <cellStyle name="输入 3 5 2" xfId="35537" xr:uid="{9D67E75C-D88C-45E1-B33F-6B69EAB8E395}"/>
    <cellStyle name="输入 3 6" xfId="25306" xr:uid="{3FC67C13-EE57-4A66-A853-B35B629790A2}"/>
    <cellStyle name="输入 3 6 2" xfId="35538" xr:uid="{A6A0272C-2D0C-4E9D-9159-F35E86CCF877}"/>
    <cellStyle name="输入 3 7" xfId="25307" xr:uid="{2E0F75C6-178A-4BB5-8CE9-DC76C9EF4F99}"/>
    <cellStyle name="输入 3 7 2" xfId="35539" xr:uid="{78176333-8EB9-4916-A47A-AAD86CE55FEA}"/>
    <cellStyle name="输入 3 8" xfId="25308" xr:uid="{A00F953B-47E7-4422-B1AA-7244AE374C34}"/>
    <cellStyle name="输入 3 8 2" xfId="37837" xr:uid="{36F1B42C-720B-4553-A861-DC685BA14A65}"/>
    <cellStyle name="输入 3 9" xfId="25309" xr:uid="{FF0F4A2D-5481-4499-BBAA-D46A19A0F588}"/>
    <cellStyle name="输入 3 9 2" xfId="35540" xr:uid="{108B650C-AEAD-4CC8-BFC7-35213A929EBA}"/>
    <cellStyle name="输入 4" xfId="25310" xr:uid="{BB8BA28A-1B0E-4709-ADD9-8F521133C74C}"/>
    <cellStyle name="输入 4 10" xfId="25311" xr:uid="{0CF1D3B1-0BEA-4026-91E5-E41DB2C13D7A}"/>
    <cellStyle name="输入 4 10 2" xfId="25312" xr:uid="{FD8B79D0-5F6C-4504-B33B-9521CA2E3DA7}"/>
    <cellStyle name="输入 4 10 2 2" xfId="27365" xr:uid="{C76BB7F9-E176-465E-BA5C-B65689154E05}"/>
    <cellStyle name="输入 4 10 2 2 2" xfId="35950" xr:uid="{8443DE70-83E7-49C2-903E-5F69C73FD76A}"/>
    <cellStyle name="输入 4 10 2 3" xfId="28009" xr:uid="{B2A919BA-E43B-4B47-A71E-B25DAAD8B0BC}"/>
    <cellStyle name="输入 4 10 3" xfId="35542" xr:uid="{E1F4C717-BCBE-4AFE-A965-1305616C4664}"/>
    <cellStyle name="输入 4 11" xfId="25313" xr:uid="{1FC2754B-FC8F-49ED-ADC5-1542374F2F45}"/>
    <cellStyle name="输入 4 11 2" xfId="25314" xr:uid="{3FBF1141-4199-403F-A640-4458593DAD64}"/>
    <cellStyle name="输入 4 11 2 2" xfId="27366" xr:uid="{6988DC89-FA6C-4FEA-8B8F-BDA0DE6C94AF}"/>
    <cellStyle name="输入 4 11 2 2 2" xfId="35951" xr:uid="{0947CE82-12DF-4C06-885A-7C3B48120463}"/>
    <cellStyle name="输入 4 11 2 3" xfId="28010" xr:uid="{67CC3F55-19B1-4884-AD34-9A97FD984138}"/>
    <cellStyle name="输入 4 11 3" xfId="35543" xr:uid="{C96F4377-4DAC-48D8-8185-F2FE6D433938}"/>
    <cellStyle name="输入 4 12" xfId="25315" xr:uid="{7F814704-C695-4AC8-888A-598307B7CECA}"/>
    <cellStyle name="输入 4 12 2" xfId="25316" xr:uid="{F896910E-CAB9-4716-85FD-1B0DA9737BEE}"/>
    <cellStyle name="输入 4 12 2 2" xfId="27367" xr:uid="{3D2B74E1-DA6E-4FAB-84C9-4EEA6CA0E03F}"/>
    <cellStyle name="输入 4 12 2 2 2" xfId="35952" xr:uid="{242D1C2F-0166-4ABA-8E75-2EABEB82826E}"/>
    <cellStyle name="输入 4 12 2 3" xfId="35545" xr:uid="{079F359C-16BA-4868-BC17-515A918EF4DF}"/>
    <cellStyle name="输入 4 12 3" xfId="35544" xr:uid="{1E182B24-672C-41D8-99D0-18D768A20546}"/>
    <cellStyle name="输入 4 13" xfId="25317" xr:uid="{842E5EB0-8F62-4D69-96CA-6425A853DF5A}"/>
    <cellStyle name="输入 4 13 2" xfId="25318" xr:uid="{1ADAE384-E72E-45A7-8494-38583565CE8A}"/>
    <cellStyle name="输入 4 13 2 2" xfId="27368" xr:uid="{450DDF18-8C74-4F05-9F51-5E7BF869B48A}"/>
    <cellStyle name="输入 4 13 2 2 2" xfId="35953" xr:uid="{48EEA911-9B13-4DFE-9E06-A139A8AED4D0}"/>
    <cellStyle name="输入 4 13 2 3" xfId="35546" xr:uid="{184B08F7-8751-4B28-9704-6EF2E2949C86}"/>
    <cellStyle name="输入 4 13 3" xfId="28011" xr:uid="{AD050332-0D1C-4CB1-8243-38410BF48C39}"/>
    <cellStyle name="输入 4 14" xfId="25319" xr:uid="{DC045E4B-E357-4636-B008-97B5FE9A46A5}"/>
    <cellStyle name="输入 4 14 2" xfId="25320" xr:uid="{7DB33551-83B2-430F-839A-834A9D870B87}"/>
    <cellStyle name="输入 4 14 2 2" xfId="27369" xr:uid="{7DD4C6FC-7BE8-4AF8-B7D8-C4FB98C61F0C}"/>
    <cellStyle name="输入 4 14 2 2 2" xfId="35954" xr:uid="{A03E061B-CE6F-44FA-B9EF-3F19457F3CA6}"/>
    <cellStyle name="输入 4 14 2 3" xfId="35548" xr:uid="{2619C125-7427-44FA-8A8B-C66C051509E8}"/>
    <cellStyle name="输入 4 14 3" xfId="35547" xr:uid="{788B2F27-41AC-468A-A38B-534A7F7A9702}"/>
    <cellStyle name="输入 4 15" xfId="25321" xr:uid="{1BC4C593-219C-4D85-8EEF-5659D58C0E64}"/>
    <cellStyle name="输入 4 15 2" xfId="25322" xr:uid="{AD15A035-345E-4665-80B7-4AB7FF74C40D}"/>
    <cellStyle name="输入 4 15 2 2" xfId="27370" xr:uid="{5D5D3983-5C3A-448A-BAFF-167CAEDB9C2A}"/>
    <cellStyle name="输入 4 15 2 2 2" xfId="35955" xr:uid="{03563492-4553-456B-B54D-23E941B708AC}"/>
    <cellStyle name="输入 4 15 2 3" xfId="35550" xr:uid="{B51EE5D2-7550-4282-8A44-5A23ADF30F60}"/>
    <cellStyle name="输入 4 15 3" xfId="35549" xr:uid="{913148F0-F4BD-4021-BFD4-CC824FA159A3}"/>
    <cellStyle name="输入 4 16" xfId="25323" xr:uid="{40C339D2-B232-4BAF-BA08-783F1452DC70}"/>
    <cellStyle name="输入 4 16 2" xfId="25324" xr:uid="{8B78D615-9A73-4403-860A-A698A77A7748}"/>
    <cellStyle name="输入 4 16 2 2" xfId="27371" xr:uid="{DBF81422-FD73-4FD4-821C-5D32B3F8BDAD}"/>
    <cellStyle name="输入 4 16 2 2 2" xfId="35956" xr:uid="{538F67AA-2F01-4C71-8902-2FBA7AF2E198}"/>
    <cellStyle name="输入 4 16 2 3" xfId="35552" xr:uid="{983B55EC-0CA7-42F3-9578-250DF9411BE7}"/>
    <cellStyle name="输入 4 16 3" xfId="35551" xr:uid="{7FE7DB9C-0078-45AC-8A2D-2A5A4E01CC76}"/>
    <cellStyle name="输入 4 17" xfId="25325" xr:uid="{4A0CF238-1719-4A58-9E3C-EA66CB3D74B0}"/>
    <cellStyle name="输入 4 17 2" xfId="27372" xr:uid="{27F2CA7E-D0CA-4FDE-81E7-8FD38158A837}"/>
    <cellStyle name="输入 4 17 2 2" xfId="35957" xr:uid="{5AF14C99-33AE-4E40-B2AB-EDB3C7370E95}"/>
    <cellStyle name="输入 4 17 3" xfId="35553" xr:uid="{C415CBFD-8D9E-401D-BCEA-F16FB4F7ECD5}"/>
    <cellStyle name="输入 4 18" xfId="35541" xr:uid="{C3E591B1-AA81-4891-B27C-D0599F58286C}"/>
    <cellStyle name="输入 4 2" xfId="25326" xr:uid="{CEAE7DE8-262F-46DF-9430-47E16CB9C6CE}"/>
    <cellStyle name="输入 4 2 10" xfId="25327" xr:uid="{A5D79CEE-C3B0-432B-A1D0-930AA32CA991}"/>
    <cellStyle name="输入 4 2 10 2" xfId="25328" xr:uid="{5BC5F9E1-97E1-472F-A2BC-26F5002D823C}"/>
    <cellStyle name="输入 4 2 10 2 2" xfId="27373" xr:uid="{EBEAEEA7-5738-4ACF-A519-EFDCD182AB95}"/>
    <cellStyle name="输入 4 2 10 2 2 2" xfId="35958" xr:uid="{661A05A8-CEA5-4741-B9EE-A2638BBF6FAC}"/>
    <cellStyle name="输入 4 2 10 2 3" xfId="37838" xr:uid="{76789688-96FE-4936-B679-E5EFCE7E87EA}"/>
    <cellStyle name="输入 4 2 10 3" xfId="35555" xr:uid="{42B3EED5-0D9C-486D-842C-2F427479D087}"/>
    <cellStyle name="输入 4 2 11" xfId="25329" xr:uid="{0E2BFBBB-B170-449F-BC0F-EB1E730BDE94}"/>
    <cellStyle name="输入 4 2 11 2" xfId="25330" xr:uid="{6D86CC88-1F32-433D-A897-B147890E4A3D}"/>
    <cellStyle name="输入 4 2 11 2 2" xfId="27374" xr:uid="{6A59A59D-5D35-45C0-9881-DDFB5D9C0FE5}"/>
    <cellStyle name="输入 4 2 11 2 2 2" xfId="35959" xr:uid="{7AF10FB5-D50F-4E7B-AD54-8CF3EFFA6DAB}"/>
    <cellStyle name="输入 4 2 11 2 3" xfId="35557" xr:uid="{94113A33-56A9-476E-A9E9-FEF5A2FE533A}"/>
    <cellStyle name="输入 4 2 11 3" xfId="35556" xr:uid="{F7FB5CDC-A711-4D5B-AAAF-F0D511CAD414}"/>
    <cellStyle name="输入 4 2 12" xfId="25331" xr:uid="{7F5C76F4-397B-4D7B-9DAB-9F7AE872B02F}"/>
    <cellStyle name="输入 4 2 12 2" xfId="25332" xr:uid="{A4B1A824-2F53-4E49-A53F-D9E95FB94BE7}"/>
    <cellStyle name="输入 4 2 12 2 2" xfId="27375" xr:uid="{71143A92-96AE-4086-8431-1BE8ED43AFB5}"/>
    <cellStyle name="输入 4 2 12 2 2 2" xfId="35960" xr:uid="{0AAAB2CF-A80D-42F9-AD02-C1300C687F0A}"/>
    <cellStyle name="输入 4 2 12 2 3" xfId="35558" xr:uid="{9332F930-694C-4A0C-8FA2-5F143F3DBA6D}"/>
    <cellStyle name="输入 4 2 12 3" xfId="28012" xr:uid="{CD2AFD87-11BF-4905-AD5D-EC1C2366F740}"/>
    <cellStyle name="输入 4 2 13" xfId="25333" xr:uid="{F69D4D4D-8230-42CE-94C5-68A9BCE09087}"/>
    <cellStyle name="输入 4 2 13 2" xfId="25334" xr:uid="{27B79186-6FE2-4612-B665-B0FCAF7A68F4}"/>
    <cellStyle name="输入 4 2 13 2 2" xfId="27376" xr:uid="{43625B08-3C8A-4D2D-969C-2710A126DBC0}"/>
    <cellStyle name="输入 4 2 13 2 2 2" xfId="35961" xr:uid="{5C0230F0-F32E-462B-AD4A-ACE229DF5DAB}"/>
    <cellStyle name="输入 4 2 13 2 3" xfId="35560" xr:uid="{8087AAD3-D9DC-4EB2-B210-DE636122DE66}"/>
    <cellStyle name="输入 4 2 13 3" xfId="35559" xr:uid="{22A930F3-1313-4D89-A4E9-4FE1853DB518}"/>
    <cellStyle name="输入 4 2 14" xfId="25335" xr:uid="{26F67176-E54E-4ACD-9E4B-87B16C7A5744}"/>
    <cellStyle name="输入 4 2 14 2" xfId="25336" xr:uid="{74ACFDDB-B10A-4466-9197-8C0721B61A7F}"/>
    <cellStyle name="输入 4 2 14 2 2" xfId="27377" xr:uid="{1297864D-30A4-4BB3-AEF9-F5BEC263CECB}"/>
    <cellStyle name="输入 4 2 14 2 2 2" xfId="35962" xr:uid="{497FAA39-61C9-4CAC-B61C-8151EBF5E05C}"/>
    <cellStyle name="输入 4 2 14 2 3" xfId="35562" xr:uid="{CFE3DD53-FC81-412A-9270-E95FBD1E6259}"/>
    <cellStyle name="输入 4 2 14 3" xfId="35561" xr:uid="{4A6C8CBD-879D-4B32-ABA2-8BFCE54AFC17}"/>
    <cellStyle name="输入 4 2 15" xfId="25337" xr:uid="{BDAC42EA-3016-4373-ABD7-D1F50616B532}"/>
    <cellStyle name="输入 4 2 15 2" xfId="27378" xr:uid="{202ACA54-633C-4B7C-802B-1167BD1533AC}"/>
    <cellStyle name="输入 4 2 15 2 2" xfId="35963" xr:uid="{4A3F77E7-438D-4C5C-BA1C-F2C0B7CA0FC0}"/>
    <cellStyle name="输入 4 2 15 3" xfId="35563" xr:uid="{342541B0-366F-4DC8-A8BC-BB372181E8FF}"/>
    <cellStyle name="输入 4 2 16" xfId="35554" xr:uid="{F4D77A56-C89B-4A0E-B2FB-375A4B54C818}"/>
    <cellStyle name="输入 4 2 2" xfId="25338" xr:uid="{869B914A-C401-43AD-85CD-90DC6D937616}"/>
    <cellStyle name="输入 4 2 2 2" xfId="25339" xr:uid="{E93F2115-226E-40EC-BA98-D507ABC5F1A9}"/>
    <cellStyle name="输入 4 2 2 2 2" xfId="27379" xr:uid="{DE699542-2A5C-491D-9BB2-079F5D6FE4A1}"/>
    <cellStyle name="输入 4 2 2 2 2 2" xfId="35964" xr:uid="{AFF52A37-2214-4EF3-80EF-23E691D7529F}"/>
    <cellStyle name="输入 4 2 2 2 3" xfId="35565" xr:uid="{6D6EB630-98B3-4938-85A9-7D0B1F7ABDA8}"/>
    <cellStyle name="输入 4 2 2 3" xfId="35564" xr:uid="{61E2458C-62D5-4600-859C-B5CE43D77D8E}"/>
    <cellStyle name="输入 4 2 3" xfId="25340" xr:uid="{44921357-AD5D-4A6A-9259-76361679ACA0}"/>
    <cellStyle name="输入 4 2 3 2" xfId="25341" xr:uid="{443A0D9B-FE24-45E7-A25C-71C7612A44CE}"/>
    <cellStyle name="输入 4 2 3 2 2" xfId="27380" xr:uid="{A8426C49-8B9F-4047-9C2C-7EB0ED2235BE}"/>
    <cellStyle name="输入 4 2 3 2 2 2" xfId="35965" xr:uid="{40E9B02D-BE3E-424E-B638-63A95DE50434}"/>
    <cellStyle name="输入 4 2 3 2 3" xfId="28013" xr:uid="{655FA5CC-E24E-44A8-B4BF-DEED498159AE}"/>
    <cellStyle name="输入 4 2 3 3" xfId="35566" xr:uid="{5EBE3411-74EE-4FD1-9355-AF108621D9EF}"/>
    <cellStyle name="输入 4 2 4" xfId="25342" xr:uid="{CC824F8E-522B-41A8-BBCC-0AE5F4887EE9}"/>
    <cellStyle name="输入 4 2 4 2" xfId="25343" xr:uid="{492C120F-517A-48B1-89A4-96F04D5D9875}"/>
    <cellStyle name="输入 4 2 4 2 2" xfId="27381" xr:uid="{ACEF0A1D-3B05-45B8-8224-D09F031EA190}"/>
    <cellStyle name="输入 4 2 4 2 2 2" xfId="35966" xr:uid="{3BBEE1FE-64AB-483B-9273-9A5502B44898}"/>
    <cellStyle name="输入 4 2 4 2 3" xfId="35568" xr:uid="{1AD30046-9894-4535-A8A1-A845134813CA}"/>
    <cellStyle name="输入 4 2 4 3" xfId="35567" xr:uid="{31C75C5E-52F8-484A-926A-F91288B99208}"/>
    <cellStyle name="输入 4 2 5" xfId="25344" xr:uid="{F2973E2A-B7EE-4CCA-96C2-4783AA6BFC90}"/>
    <cellStyle name="输入 4 2 5 2" xfId="25345" xr:uid="{6A918AC6-A62F-45DF-923F-9C6CFDCBD960}"/>
    <cellStyle name="输入 4 2 5 2 2" xfId="27382" xr:uid="{BAEFC2A7-06AF-4479-9FC0-AC0B3E125792}"/>
    <cellStyle name="输入 4 2 5 2 2 2" xfId="35967" xr:uid="{EE059051-3ED7-4C1F-8B07-3630D05211B1}"/>
    <cellStyle name="输入 4 2 5 2 3" xfId="35570" xr:uid="{DFA55507-1B61-4C79-B8F7-6964D734C309}"/>
    <cellStyle name="输入 4 2 5 3" xfId="35569" xr:uid="{F7587A0B-E162-4B84-AAAF-64F28E8DA229}"/>
    <cellStyle name="输入 4 2 6" xfId="25346" xr:uid="{99241FE9-3278-4825-BAB3-13CE64DFC09E}"/>
    <cellStyle name="输入 4 2 6 2" xfId="25347" xr:uid="{C2BFB55F-7C3C-489E-803E-DA08589D04EE}"/>
    <cellStyle name="输入 4 2 6 2 2" xfId="27383" xr:uid="{7CE01CE8-39DC-4F39-80EB-B0EDBB19A078}"/>
    <cellStyle name="输入 4 2 6 2 2 2" xfId="35968" xr:uid="{893AB8F4-62A0-4CAD-B7C9-312624A83CFE}"/>
    <cellStyle name="输入 4 2 6 2 3" xfId="28014" xr:uid="{4652F6D3-3638-47A6-9AC1-7DB3DD650C42}"/>
    <cellStyle name="输入 4 2 6 3" xfId="35571" xr:uid="{7BD1399C-887A-4F45-B42A-1201B476AAB1}"/>
    <cellStyle name="输入 4 2 7" xfId="25348" xr:uid="{BB70A445-58B7-4007-AEA1-3CD43BAC7C5F}"/>
    <cellStyle name="输入 4 2 7 2" xfId="25349" xr:uid="{4684DBA0-7942-445B-8067-BAA62A5D7E7C}"/>
    <cellStyle name="输入 4 2 7 2 2" xfId="27384" xr:uid="{CC447755-1D33-43DE-84FE-95EE43FE6141}"/>
    <cellStyle name="输入 4 2 7 2 2 2" xfId="35969" xr:uid="{D41ED9C1-34AF-4B26-A4D8-C4C87D947A27}"/>
    <cellStyle name="输入 4 2 7 2 3" xfId="35573" xr:uid="{F1588995-474B-4DBA-AEDE-FE01500235E8}"/>
    <cellStyle name="输入 4 2 7 3" xfId="35572" xr:uid="{F84435A9-243E-4255-81EF-DCD262290CEB}"/>
    <cellStyle name="输入 4 2 8" xfId="25350" xr:uid="{CCC1ED3E-BD97-45B8-9F05-5C899255AA58}"/>
    <cellStyle name="输入 4 2 8 2" xfId="25351" xr:uid="{0CDCFC46-9968-4A7A-A094-C0EDCB09E844}"/>
    <cellStyle name="输入 4 2 8 2 2" xfId="27385" xr:uid="{311B7C8C-ED81-4770-9EF9-1CA8BF17C8EB}"/>
    <cellStyle name="输入 4 2 8 2 2 2" xfId="35970" xr:uid="{B1C8B987-FFA4-4764-90D3-3A5D4CF28571}"/>
    <cellStyle name="输入 4 2 8 2 3" xfId="35574" xr:uid="{CBACEEFF-924C-4EEE-90C9-8CF21AAE9BF8}"/>
    <cellStyle name="输入 4 2 8 3" xfId="28015" xr:uid="{2FBAC5B7-B711-465C-83ED-44A57BFCF4F5}"/>
    <cellStyle name="输入 4 2 9" xfId="25352" xr:uid="{8D03CEF9-3BEA-4E2C-BFA2-EE3751B8CD6F}"/>
    <cellStyle name="输入 4 2 9 2" xfId="25353" xr:uid="{50383E07-6EA9-4F6B-8083-7419AC526160}"/>
    <cellStyle name="输入 4 2 9 2 2" xfId="27386" xr:uid="{2535DC1C-3806-4B29-9527-3169F61E63DF}"/>
    <cellStyle name="输入 4 2 9 2 2 2" xfId="35971" xr:uid="{F555D78B-D146-42D4-AD8C-90BFF7287D38}"/>
    <cellStyle name="输入 4 2 9 2 3" xfId="35575" xr:uid="{CD2A8CE1-F0AD-4A0F-9670-A0E6F86D85B6}"/>
    <cellStyle name="输入 4 2 9 3" xfId="37839" xr:uid="{698A20A7-EDD6-4D4E-8AD2-B93B7C2E76B7}"/>
    <cellStyle name="输入 4 3" xfId="25354" xr:uid="{AB2FB77C-4A6F-487E-BFAA-9C87F4C79EED}"/>
    <cellStyle name="输入 4 3 2" xfId="25355" xr:uid="{5F3F5C93-B6FC-42E1-9CCD-30F011D52864}"/>
    <cellStyle name="输入 4 3 2 2" xfId="27387" xr:uid="{724616C9-62CF-4398-B016-6676F3E88A5B}"/>
    <cellStyle name="输入 4 3 2 2 2" xfId="35972" xr:uid="{A26F7CEF-9E43-4924-8EFD-AECC2A366A5D}"/>
    <cellStyle name="输入 4 3 2 3" xfId="35577" xr:uid="{20DB85D7-357A-43F3-BBDD-59885CC5745D}"/>
    <cellStyle name="输入 4 3 3" xfId="35576" xr:uid="{22446C65-D581-42C9-8D8A-7D50889E2854}"/>
    <cellStyle name="输入 4 4" xfId="25356" xr:uid="{719155C6-A97B-48AB-A0B8-1F0E5D95E719}"/>
    <cellStyle name="输入 4 4 2" xfId="25357" xr:uid="{11C2EB12-6A82-437E-9675-B7082FCEB6E7}"/>
    <cellStyle name="输入 4 4 2 2" xfId="27388" xr:uid="{38A0EA44-F5AB-4D01-BB74-00B4EC8698EB}"/>
    <cellStyle name="输入 4 4 2 2 2" xfId="35973" xr:uid="{2741BD22-8040-4994-892E-8351570AAE06}"/>
    <cellStyle name="输入 4 4 2 3" xfId="35579" xr:uid="{4DC70CCD-299D-4B4D-A326-05BAC7417F89}"/>
    <cellStyle name="输入 4 4 3" xfId="35578" xr:uid="{6EEA10B9-B593-47A6-97A7-DCE9633F579A}"/>
    <cellStyle name="输入 4 5" xfId="25358" xr:uid="{29719DF3-823D-4520-807E-3A2A0BD35C9E}"/>
    <cellStyle name="输入 4 5 2" xfId="25359" xr:uid="{DB19976B-884A-429C-970F-E2375D2FEFC1}"/>
    <cellStyle name="输入 4 5 2 2" xfId="27389" xr:uid="{0DC2FDA1-800B-4610-84F6-78961CB7F4FE}"/>
    <cellStyle name="输入 4 5 2 2 2" xfId="35974" xr:uid="{2A3FBF40-6C65-4853-B836-F572F942DC61}"/>
    <cellStyle name="输入 4 5 2 3" xfId="35581" xr:uid="{1EDA6D08-F70B-4604-BB04-D2C892061469}"/>
    <cellStyle name="输入 4 5 3" xfId="35580" xr:uid="{6AE82EED-2D1A-4513-9306-5B38CE7CEB0D}"/>
    <cellStyle name="输入 4 6" xfId="25360" xr:uid="{8EF404CE-6AEE-4D67-B0F1-8CC3FE51A252}"/>
    <cellStyle name="输入 4 6 2" xfId="25361" xr:uid="{1419EEB8-47DB-4030-B13C-289C29F9D327}"/>
    <cellStyle name="输入 4 6 2 2" xfId="27390" xr:uid="{C6F0DB59-9482-496A-9763-5F7727AADDEB}"/>
    <cellStyle name="输入 4 6 2 2 2" xfId="35975" xr:uid="{7F337FB2-8DA5-4AB1-A15F-B3A0786C9B72}"/>
    <cellStyle name="输入 4 6 2 3" xfId="35583" xr:uid="{95D58508-B19F-4D33-AAAF-7D5BD81902AD}"/>
    <cellStyle name="输入 4 6 3" xfId="35582" xr:uid="{9E3E5329-5E0F-489E-8593-2641787C5164}"/>
    <cellStyle name="输入 4 7" xfId="25362" xr:uid="{DC83FD1E-9B70-4490-A7A8-B2759247DA40}"/>
    <cellStyle name="输入 4 7 2" xfId="25363" xr:uid="{72BEF366-89DC-475E-B6A1-B01F4D6B8F47}"/>
    <cellStyle name="输入 4 7 2 2" xfId="27391" xr:uid="{61985E92-BF6F-4131-80E6-68507F1977B7}"/>
    <cellStyle name="输入 4 7 2 2 2" xfId="35976" xr:uid="{B616D865-1DCE-45CF-B237-BD318A2B5F47}"/>
    <cellStyle name="输入 4 7 2 3" xfId="28016" xr:uid="{DC00AD40-A48B-4D43-8D46-15F0C58079DB}"/>
    <cellStyle name="输入 4 7 3" xfId="35584" xr:uid="{4F975B84-8F10-450C-B8DA-BC9BB1C11348}"/>
    <cellStyle name="输入 4 8" xfId="25364" xr:uid="{A4B35FC7-C01D-4988-A933-3CBF5D42CA3E}"/>
    <cellStyle name="输入 4 8 2" xfId="25365" xr:uid="{88323D19-C8C7-4B9C-955A-CBFE52E1E322}"/>
    <cellStyle name="输入 4 8 2 2" xfId="27392" xr:uid="{CD2D7AC3-623C-4D7D-8BD3-F65A3D085E96}"/>
    <cellStyle name="输入 4 8 2 2 2" xfId="35977" xr:uid="{C1E0898D-5113-4161-BA2F-B66530436978}"/>
    <cellStyle name="输入 4 8 2 3" xfId="28017" xr:uid="{548622D1-05AF-4318-9E4E-123C9D537CB2}"/>
    <cellStyle name="输入 4 8 3" xfId="35585" xr:uid="{A1F9D9AC-A069-49A0-8A16-4C3C1A05799D}"/>
    <cellStyle name="输入 4 9" xfId="25366" xr:uid="{91634368-7715-483D-9C13-DE16354AAEA1}"/>
    <cellStyle name="输入 4 9 2" xfId="25367" xr:uid="{4B99A4C7-B106-4ACC-A8F8-07FBF3EF04C8}"/>
    <cellStyle name="输入 4 9 2 2" xfId="27393" xr:uid="{92625CB4-CA78-47D0-A4FF-3E5DC1007EB2}"/>
    <cellStyle name="输入 4 9 2 2 2" xfId="35978" xr:uid="{CFE72036-8B52-45B2-AADD-F61783FEBC3E}"/>
    <cellStyle name="输入 4 9 2 3" xfId="35587" xr:uid="{715C3F42-B09D-4BA5-9632-FEADD5503127}"/>
    <cellStyle name="输入 4 9 3" xfId="35586" xr:uid="{31B208FD-8F42-44EC-B1D6-FB95FA1B65B4}"/>
    <cellStyle name="输入 5" xfId="25368" xr:uid="{7B136105-0D16-433C-89CE-6D4FF1D375FB}"/>
    <cellStyle name="输入 5 10" xfId="25369" xr:uid="{6773C744-9B4B-474E-B548-356D03822668}"/>
    <cellStyle name="输入 5 10 2" xfId="25370" xr:uid="{52ABE819-D90E-4717-A7F0-11AF66F94E5C}"/>
    <cellStyle name="输入 5 10 2 2" xfId="27394" xr:uid="{F53DC642-C756-4980-A95F-02302CDE3693}"/>
    <cellStyle name="输入 5 10 2 2 2" xfId="38762" xr:uid="{117F1554-3F26-4E53-84E3-451E712AC423}"/>
    <cellStyle name="输入 5 10 2 3" xfId="35590" xr:uid="{C70428F3-F549-420F-B4D4-71170F2C9C86}"/>
    <cellStyle name="输入 5 10 3" xfId="35589" xr:uid="{9F49CD95-7DC2-43CD-BE84-8D5010DE7DBF}"/>
    <cellStyle name="输入 5 11" xfId="25371" xr:uid="{1AA7B493-E3B9-4AEE-99E3-94EFD6054A47}"/>
    <cellStyle name="输入 5 11 2" xfId="25372" xr:uid="{9210420D-A68F-4E0C-A56B-6B608C254DDF}"/>
    <cellStyle name="输入 5 11 2 2" xfId="27395" xr:uid="{705B4023-C241-4B7A-A26B-AE0F96021553}"/>
    <cellStyle name="输入 5 11 2 2 2" xfId="38763" xr:uid="{21FB8A9C-3750-443C-AE32-65CAE9920AE0}"/>
    <cellStyle name="输入 5 11 2 3" xfId="35592" xr:uid="{08E97F74-051B-4555-B9EE-0280F9C345AA}"/>
    <cellStyle name="输入 5 11 3" xfId="35591" xr:uid="{7334F17A-6BF1-47FB-8F65-C91403B7EDD5}"/>
    <cellStyle name="输入 5 12" xfId="25373" xr:uid="{26236B10-4D70-44FD-B4E1-9627E1B00532}"/>
    <cellStyle name="输入 5 12 2" xfId="25374" xr:uid="{959F4610-88D7-4425-841C-55C6624B4563}"/>
    <cellStyle name="输入 5 12 2 2" xfId="27396" xr:uid="{EA1AAB60-EE04-44DA-9D98-7C4A790DDCE1}"/>
    <cellStyle name="输入 5 12 2 2 2" xfId="38764" xr:uid="{BE849CCB-20FC-4C76-853A-65F74A287B62}"/>
    <cellStyle name="输入 5 12 2 3" xfId="37840" xr:uid="{CFB17B4D-B29D-4F3B-A423-46222D1C906E}"/>
    <cellStyle name="输入 5 12 3" xfId="35593" xr:uid="{CAFCDB33-A592-40B1-9F55-6ED685C40258}"/>
    <cellStyle name="输入 5 13" xfId="25375" xr:uid="{A3CB754C-C28E-4652-B4A0-FB44FC604689}"/>
    <cellStyle name="输入 5 13 2" xfId="25376" xr:uid="{7DEFE496-A017-445E-AEFE-5042B75E6114}"/>
    <cellStyle name="输入 5 13 2 2" xfId="27397" xr:uid="{60F03BFE-8CD9-4120-863F-421B400D721A}"/>
    <cellStyle name="输入 5 13 2 2 2" xfId="38765" xr:uid="{2465BD93-320F-47BD-9D98-FAFB58327E94}"/>
    <cellStyle name="输入 5 13 2 3" xfId="28018" xr:uid="{FBFD1758-2CEF-4B40-ACEA-0F66075F8AC8}"/>
    <cellStyle name="输入 5 13 3" xfId="35594" xr:uid="{DC7B7146-31BA-49AC-8C3B-D6E344B5152C}"/>
    <cellStyle name="输入 5 14" xfId="25377" xr:uid="{4F3A37CE-03E0-4451-93E1-5558EED91154}"/>
    <cellStyle name="输入 5 14 2" xfId="25378" xr:uid="{356B8BF1-0B87-4760-A31E-8F78ACB27EFA}"/>
    <cellStyle name="输入 5 14 2 2" xfId="27398" xr:uid="{C8A9BBFB-D6A3-4433-A3D3-F579CCD33484}"/>
    <cellStyle name="输入 5 14 2 2 2" xfId="38766" xr:uid="{123B940A-71E4-4D85-AC02-1354A7047AAB}"/>
    <cellStyle name="输入 5 14 2 3" xfId="35596" xr:uid="{23B7BF99-3734-4FAB-9865-9A687C30375E}"/>
    <cellStyle name="输入 5 14 3" xfId="35595" xr:uid="{71D9CE37-9F9A-44B2-B16B-2B6F8851ECB1}"/>
    <cellStyle name="输入 5 15" xfId="25379" xr:uid="{205E0D74-4B73-47A9-A043-6225E5343913}"/>
    <cellStyle name="输入 5 15 2" xfId="27399" xr:uid="{564BD80C-0D0D-4401-978F-663693D5D846}"/>
    <cellStyle name="输入 5 15 2 2" xfId="38767" xr:uid="{78D37724-B3BA-4570-998B-90E4A896CFF4}"/>
    <cellStyle name="输入 5 15 3" xfId="35597" xr:uid="{FEB5B72B-A6D1-4211-B6C6-D942A3C99C0B}"/>
    <cellStyle name="输入 5 16" xfId="35588" xr:uid="{041B15A3-0531-453E-A3B6-45D781BAAB41}"/>
    <cellStyle name="输入 5 2" xfId="25380" xr:uid="{CFC20C8B-51D9-423F-B75A-2099D254DF4C}"/>
    <cellStyle name="输入 5 2 2" xfId="25381" xr:uid="{C6378888-697B-4CE3-B300-92D8C8841CE0}"/>
    <cellStyle name="输入 5 2 2 2" xfId="27400" xr:uid="{221483CE-5616-4046-8756-0F0ECA6FE95B}"/>
    <cellStyle name="输入 5 2 2 2 2" xfId="38768" xr:uid="{6C31F41D-A209-48FC-BD24-83C51A34F1E1}"/>
    <cellStyle name="输入 5 2 2 3" xfId="35599" xr:uid="{29083C74-A686-4991-A262-8B3EE8B453D3}"/>
    <cellStyle name="输入 5 2 3" xfId="35598" xr:uid="{64584787-D207-4099-9954-151BBA0E8B76}"/>
    <cellStyle name="输入 5 3" xfId="25382" xr:uid="{17BE1344-65E2-4C4C-AA73-A3FAC913F7CD}"/>
    <cellStyle name="输入 5 3 2" xfId="25383" xr:uid="{1BC7D327-2FFE-436A-A0D1-AA76648C64A4}"/>
    <cellStyle name="输入 5 3 2 2" xfId="27401" xr:uid="{570F2FFE-0A0C-48C8-9FBD-318334796673}"/>
    <cellStyle name="输入 5 3 2 2 2" xfId="38769" xr:uid="{3B9C36D9-F587-44C6-B5EF-A8D4F85D7F9F}"/>
    <cellStyle name="输入 5 3 2 3" xfId="37841" xr:uid="{221E7DF9-8F9E-45E1-9101-218B6EF7EF40}"/>
    <cellStyle name="输入 5 3 3" xfId="35600" xr:uid="{C02E294F-5C44-40A1-95A8-02382726FB18}"/>
    <cellStyle name="输入 5 4" xfId="25384" xr:uid="{984A2EB0-6A40-4F15-91D7-3544B2FB8DEF}"/>
    <cellStyle name="输入 5 4 2" xfId="25385" xr:uid="{5E0BAFE8-09C9-4087-BC94-DF4863E1BC1F}"/>
    <cellStyle name="输入 5 4 2 2" xfId="27402" xr:uid="{EE725489-94C6-4D6A-BBAF-F2AD2B8570DF}"/>
    <cellStyle name="输入 5 4 2 2 2" xfId="38770" xr:uid="{6A4388AB-6EFF-4DA7-A12C-144BA57EC69A}"/>
    <cellStyle name="输入 5 4 2 3" xfId="28019" xr:uid="{84FDDF25-486B-46FC-A7C4-C1D76E23C72A}"/>
    <cellStyle name="输入 5 4 3" xfId="35601" xr:uid="{8860B1D7-8B1E-4A70-A5FB-84996DE2516C}"/>
    <cellStyle name="输入 5 5" xfId="25386" xr:uid="{B0AC441A-E4B4-4682-8920-68F6B16DFCB6}"/>
    <cellStyle name="输入 5 5 2" xfId="25387" xr:uid="{061D1EDA-8685-45FF-8E09-284C98618DC9}"/>
    <cellStyle name="输入 5 5 2 2" xfId="27403" xr:uid="{F2DA80E7-988E-4EDC-9D6D-5915C9076DDC}"/>
    <cellStyle name="输入 5 5 2 2 2" xfId="38771" xr:uid="{AF8F21C5-5246-4E5E-821E-DBA105D84DB6}"/>
    <cellStyle name="输入 5 5 2 3" xfId="35603" xr:uid="{1C0B2C44-30FC-43B8-9B5F-7EFFCDA80E00}"/>
    <cellStyle name="输入 5 5 3" xfId="35602" xr:uid="{DF931B70-D3F2-4474-8BC3-994ED4D9A439}"/>
    <cellStyle name="输入 5 6" xfId="25388" xr:uid="{82D353A9-27F8-4B55-81DC-5394E0E893C8}"/>
    <cellStyle name="输入 5 6 2" xfId="25389" xr:uid="{FA2F5645-88E1-421E-B538-9D4F536F09A4}"/>
    <cellStyle name="输入 5 6 2 2" xfId="27404" xr:uid="{7390FDF7-132D-4B23-BAEE-188547813518}"/>
    <cellStyle name="输入 5 6 2 2 2" xfId="38772" xr:uid="{DDFD52EB-8C3D-4E6F-AB1E-614F9281F0F7}"/>
    <cellStyle name="输入 5 6 2 3" xfId="35604" xr:uid="{5E3C1181-AD74-4DBF-8123-19F6A65FFB91}"/>
    <cellStyle name="输入 5 6 3" xfId="28020" xr:uid="{D30AE90D-0528-4D45-8D8D-C3AC4791C177}"/>
    <cellStyle name="输入 5 7" xfId="25390" xr:uid="{90C78F73-ECF2-4A12-8957-C95CDE486225}"/>
    <cellStyle name="输入 5 7 2" xfId="25391" xr:uid="{F3E5629F-B778-4282-AECD-E3623CA33378}"/>
    <cellStyle name="输入 5 7 2 2" xfId="27405" xr:uid="{D609F749-197A-4DBF-924A-E5D009027E8A}"/>
    <cellStyle name="输入 5 7 2 2 2" xfId="38773" xr:uid="{C4FEF529-65D5-4CFE-A4EE-C5778443EB69}"/>
    <cellStyle name="输入 5 7 2 3" xfId="35606" xr:uid="{2CD7E347-C79D-4EBC-8486-700BCC29A6D8}"/>
    <cellStyle name="输入 5 7 3" xfId="35605" xr:uid="{A869A777-8D0F-4923-ABAA-4B9BC41AA2C1}"/>
    <cellStyle name="输入 5 8" xfId="25392" xr:uid="{B80C8382-D927-4948-83B2-D588D6B51C86}"/>
    <cellStyle name="输入 5 8 2" xfId="25393" xr:uid="{AABCF770-B064-4137-8B21-E42B857846FA}"/>
    <cellStyle name="输入 5 8 2 2" xfId="27406" xr:uid="{E3B68A9C-263B-4EF4-8E70-02AFA32FCA87}"/>
    <cellStyle name="输入 5 8 2 2 2" xfId="38774" xr:uid="{195CC201-CFC8-4F22-B8E0-E4F16CB07F70}"/>
    <cellStyle name="输入 5 8 2 3" xfId="28021" xr:uid="{277A4BB9-A62B-4E9E-9915-768D4407FD8E}"/>
    <cellStyle name="输入 5 8 3" xfId="35607" xr:uid="{EDD4C27F-A69F-416E-B129-05F27C6CD260}"/>
    <cellStyle name="输入 5 9" xfId="25394" xr:uid="{DA8D6EBC-FCF1-464F-AABF-A26FE814D24C}"/>
    <cellStyle name="输入 5 9 2" xfId="25395" xr:uid="{0DA82604-ED4D-4ABD-B22E-709132B47009}"/>
    <cellStyle name="输入 5 9 2 2" xfId="27407" xr:uid="{CA7BD432-EFD9-440E-BF44-7DA2C83688E2}"/>
    <cellStyle name="输入 5 9 2 2 2" xfId="38775" xr:uid="{E40E1922-7A99-407D-A1B6-7B018D3B2CFF}"/>
    <cellStyle name="输入 5 9 2 3" xfId="35609" xr:uid="{3D9EF7B6-1A98-484C-94A7-1CF903998EF8}"/>
    <cellStyle name="输入 5 9 3" xfId="35608" xr:uid="{EC46A40A-ED2E-4516-9D44-FCA6F1DC8FE7}"/>
    <cellStyle name="输入 6" xfId="25396" xr:uid="{3FD61761-8282-49A8-8E83-F20FFEF92189}"/>
    <cellStyle name="输入 6 2" xfId="25397" xr:uid="{F04F3904-5F31-4497-B69D-C2F76001DB01}"/>
    <cellStyle name="输入 6 2 2" xfId="27408" xr:uid="{E65F522F-7315-4B31-8448-60012FA2F6E9}"/>
    <cellStyle name="输入 6 2 2 2" xfId="38776" xr:uid="{C86C473F-D4C5-4491-9477-DD510DB7AE0B}"/>
    <cellStyle name="输入 6 2 3" xfId="28022" xr:uid="{17096AAD-7FF1-4CBE-A68D-DE1B155B6880}"/>
    <cellStyle name="输入 6 3" xfId="35610" xr:uid="{AFDF2AFB-2816-4596-9BFA-E9CFB8A79AA3}"/>
    <cellStyle name="输入 7" xfId="25398" xr:uid="{B1AC8964-CE10-4B9A-873C-3AD4C94C5745}"/>
    <cellStyle name="输入 7 2" xfId="25399" xr:uid="{69467A15-9DD0-4A90-89A6-1E0C839B83FD}"/>
    <cellStyle name="输入 7 2 2" xfId="27409" xr:uid="{F01788C1-F5D8-43D9-A496-A79E80BDA5E0}"/>
    <cellStyle name="输入 7 2 2 2" xfId="38777" xr:uid="{0B466A93-1B4B-4892-93A6-F8350476FA07}"/>
    <cellStyle name="输入 7 2 3" xfId="28023" xr:uid="{2D8F23D5-A971-4B45-A95B-C7E40B8A491D}"/>
    <cellStyle name="输入 7 3" xfId="35611" xr:uid="{EBBDB9F1-4B13-4342-AA2E-BB57F22E956F}"/>
    <cellStyle name="输入 8" xfId="25400" xr:uid="{9F01A8B8-F117-436A-A076-A3D450742D39}"/>
    <cellStyle name="输入 8 2" xfId="25401" xr:uid="{0FF137C9-5567-42C9-8712-3CDDD46DEB19}"/>
    <cellStyle name="输入 8 2 2" xfId="27410" xr:uid="{A16D9BF0-F602-49AF-BED6-9B23263E6A34}"/>
    <cellStyle name="输入 8 2 2 2" xfId="38778" xr:uid="{7A0EB962-5661-4910-A9AE-3DABCFB8DD9C}"/>
    <cellStyle name="输入 8 2 3" xfId="35613" xr:uid="{7C32AD45-8DC6-4FF4-818D-176C5E706ADE}"/>
    <cellStyle name="输入 8 3" xfId="35612" xr:uid="{9EF48939-CB52-4E7C-A948-18478EBC113E}"/>
    <cellStyle name="输入 9" xfId="25402" xr:uid="{96F73028-3C0B-42D3-9C2B-568609991F22}"/>
    <cellStyle name="输入 9 2" xfId="25403" xr:uid="{EB361209-2E3C-4723-82AD-1D9D9A159906}"/>
    <cellStyle name="输入 9 2 2" xfId="27411" xr:uid="{59478765-FDA7-4C27-9782-B77EE6F1B244}"/>
    <cellStyle name="输入 9 2 2 2" xfId="38779" xr:uid="{5B8D831E-1C04-42BA-BEBC-01AF181C3AC4}"/>
    <cellStyle name="输入 9 2 3" xfId="35614" xr:uid="{B3E0AE46-AFA7-4D78-A053-197CEF6A75C8}"/>
    <cellStyle name="输入 9 3" xfId="28024" xr:uid="{07C03C54-B7C4-4C8B-A4AA-86FC5A50D4D5}"/>
    <cellStyle name="输出" xfId="24704" xr:uid="{477250D5-6907-4FB0-A55D-6EFACE822FE4}"/>
    <cellStyle name="输出 10" xfId="24705" xr:uid="{C83BC517-C042-4E79-9F30-05B28258DC83}"/>
    <cellStyle name="输出 10 2" xfId="24706" xr:uid="{B987C0B4-40DA-4FCE-9D2A-87E3C5FCF1E2}"/>
    <cellStyle name="输出 10 2 2" xfId="27082" xr:uid="{2962DFCC-16C3-4D3F-AD74-EF0C397BEFE2}"/>
    <cellStyle name="输出 10 2 2 2" xfId="38638" xr:uid="{634A3BC9-F12B-4E8E-AC96-7574F709760C}"/>
    <cellStyle name="输出 10 2 3" xfId="27936" xr:uid="{EEFC1E0A-2ACE-4158-B570-9BFED1F5718D}"/>
    <cellStyle name="输出 10 3" xfId="38309" xr:uid="{84A362C7-BFED-437B-810B-A8E42630B3E9}"/>
    <cellStyle name="输出 11" xfId="24707" xr:uid="{B4F7C119-3EC2-4986-BCA6-DF50D82A4814}"/>
    <cellStyle name="输出 11 2" xfId="24708" xr:uid="{6F947172-BC56-4591-9AE2-06610BDF4A29}"/>
    <cellStyle name="输出 11 2 2" xfId="27083" xr:uid="{1F90AB8A-B453-4EF7-BF90-216FF83598F9}"/>
    <cellStyle name="输出 11 2 2 2" xfId="37530" xr:uid="{0B6C01EE-FD5A-4E74-B1E8-54417AF8FF16}"/>
    <cellStyle name="输出 11 2 3" xfId="36396" xr:uid="{FD2158A2-25AF-4F3C-99F0-BF3DC85BF3FB}"/>
    <cellStyle name="输出 11 3" xfId="36395" xr:uid="{5FA5E05C-DDCD-4907-A83A-B9CE0784529B}"/>
    <cellStyle name="输出 12" xfId="24709" xr:uid="{5201ECF2-A91A-4836-B700-1391BDB72E25}"/>
    <cellStyle name="输出 12 2" xfId="24710" xr:uid="{36EE812E-4877-4917-9145-A2C580C123F9}"/>
    <cellStyle name="输出 12 2 2" xfId="27084" xr:uid="{1636016D-FBE2-4784-B878-7F23DE645B90}"/>
    <cellStyle name="输出 12 2 2 2" xfId="37531" xr:uid="{E282D6AD-FAE6-4CDE-941A-8BCF9B7FFD35}"/>
    <cellStyle name="输出 12 2 3" xfId="36397" xr:uid="{A47A0572-F1C9-4410-B48B-59ADD349FEE9}"/>
    <cellStyle name="输出 12 3" xfId="38310" xr:uid="{23A93477-4030-4220-9397-22C0CDA60437}"/>
    <cellStyle name="输出 13" xfId="24711" xr:uid="{D4E16B19-C1DC-4F24-BA68-F1F8DF60C646}"/>
    <cellStyle name="输出 13 2" xfId="24712" xr:uid="{A45BA021-9CA0-4971-804D-25F04ED9D085}"/>
    <cellStyle name="输出 13 2 2" xfId="27085" xr:uid="{12C5CF6C-16E8-4557-B11F-A3A9187ED52E}"/>
    <cellStyle name="输出 13 2 2 2" xfId="38639" xr:uid="{22D77E31-EEAA-4939-8F37-05F0F45FA7FD}"/>
    <cellStyle name="输出 13 2 3" xfId="36398" xr:uid="{EEDBF5C5-A569-4959-8957-5D11BAC71C39}"/>
    <cellStyle name="输出 13 3" xfId="27937" xr:uid="{3678BE6E-0242-4B8C-A55A-67863159EE6D}"/>
    <cellStyle name="输出 14" xfId="24713" xr:uid="{793D5260-7528-48D8-A3E5-4977CA1C39A6}"/>
    <cellStyle name="输出 14 2" xfId="24714" xr:uid="{D08308F8-33C6-4471-A60A-FF5BFD0B1DD6}"/>
    <cellStyle name="输出 14 2 2" xfId="27086" xr:uid="{F004C3ED-9C38-4889-8004-B2BDD88DDF08}"/>
    <cellStyle name="输出 14 2 2 2" xfId="37532" xr:uid="{DE7117DE-0241-49DB-94BF-081E49027A41}"/>
    <cellStyle name="输出 14 2 3" xfId="36399" xr:uid="{7437BE2E-A0B4-4CC6-86FF-6E0D886E2DC3}"/>
    <cellStyle name="输出 14 3" xfId="38311" xr:uid="{9C737072-5C50-4066-A2E8-D553EDBADD6D}"/>
    <cellStyle name="输出 15" xfId="24715" xr:uid="{D660681B-5CEF-48B9-B3A6-4CFB776869D8}"/>
    <cellStyle name="输出 15 2" xfId="24716" xr:uid="{656CEFB7-E8D3-40E9-8B37-658CAE4E70D0}"/>
    <cellStyle name="输出 15 2 2" xfId="27087" xr:uid="{DCB4B59C-80AB-4CEB-888D-39E91014F0C9}"/>
    <cellStyle name="输出 15 2 2 2" xfId="37533" xr:uid="{FB6C9360-6555-4C5A-B8E0-A789FAF7D0E2}"/>
    <cellStyle name="输出 15 2 3" xfId="36400" xr:uid="{F75B9E58-9FF5-4557-BF3C-41310A5B347B}"/>
    <cellStyle name="输出 15 3" xfId="27938" xr:uid="{E271600E-4171-4CEB-8392-F7734F462AA1}"/>
    <cellStyle name="输出 16" xfId="24717" xr:uid="{095188D1-D435-4920-97D6-1D6B7FBB3A26}"/>
    <cellStyle name="输出 16 2" xfId="24718" xr:uid="{0DBB463C-930B-41DE-BECD-D8538DE79DD2}"/>
    <cellStyle name="输出 16 2 2" xfId="27088" xr:uid="{8D0CCC63-3DA0-44B5-8E6D-1378A823F1EA}"/>
    <cellStyle name="输出 16 2 2 2" xfId="38640" xr:uid="{10FDE614-0BDC-4844-BE49-E64832860839}"/>
    <cellStyle name="输出 16 2 3" xfId="36401" xr:uid="{84D1086B-E914-49B6-831E-A3383C54A9C5}"/>
    <cellStyle name="输出 16 3" xfId="38312" xr:uid="{A828027B-E692-4518-AFE3-61CDE171C548}"/>
    <cellStyle name="输出 17" xfId="24719" xr:uid="{DE6F9FED-0C24-4899-97CC-7F62AFB8F196}"/>
    <cellStyle name="输出 17 2" xfId="24720" xr:uid="{22D6EFE2-038F-40C9-926C-1B39B69DDDA4}"/>
    <cellStyle name="输出 17 2 2" xfId="27089" xr:uid="{699E15BE-5BF4-4D06-81D3-9B5C25B24558}"/>
    <cellStyle name="输出 17 2 2 2" xfId="37534" xr:uid="{6BD22A6C-9042-41B2-A2E4-B76F4CF81F58}"/>
    <cellStyle name="输出 17 2 3" xfId="38313" xr:uid="{785DDBC8-A0F5-4B92-889E-DE009CFFDFC9}"/>
    <cellStyle name="输出 17 3" xfId="36402" xr:uid="{412471BE-B5EC-4782-8E2A-C6D3B6D040FD}"/>
    <cellStyle name="输出 18" xfId="24721" xr:uid="{C0233176-D9CC-4607-A8A5-4E398FBB6BD1}"/>
    <cellStyle name="输出 18 2" xfId="24722" xr:uid="{DDA0C3DE-03B4-4AEC-92AF-0CD765E9319D}"/>
    <cellStyle name="输出 18 2 2" xfId="27090" xr:uid="{F89E7115-F3DF-4F6C-B5B5-859FF9312C7D}"/>
    <cellStyle name="输出 18 2 2 2" xfId="37535" xr:uid="{BF281F1F-55B8-45CD-BFC9-676AD3086AF2}"/>
    <cellStyle name="输出 18 2 3" xfId="27939" xr:uid="{7ECEAD79-1166-4A0D-83A3-007F09A2CBED}"/>
    <cellStyle name="输出 18 3" xfId="36403" xr:uid="{E4B9143E-A52C-4E3D-A57E-B87DEAC5A6FB}"/>
    <cellStyle name="输出 19" xfId="24723" xr:uid="{4EA6E7AB-E854-4CF8-98CD-DA02D87377BB}"/>
    <cellStyle name="输出 19 2" xfId="24724" xr:uid="{41BA71B4-C9AA-4851-AA9D-86F899BEC663}"/>
    <cellStyle name="输出 19 2 2" xfId="27091" xr:uid="{F3157B83-D1E9-4C91-95D3-73F0D8178FFB}"/>
    <cellStyle name="输出 19 2 2 2" xfId="38641" xr:uid="{0ACAAFD9-4041-4A53-BD90-588A2ED0A057}"/>
    <cellStyle name="输出 19 2 3" xfId="38314" xr:uid="{7D695151-4643-4EF2-9B96-2690B3E62AF9}"/>
    <cellStyle name="输出 19 3" xfId="36404" xr:uid="{CF28E313-3707-4E2A-B024-4F95E98C03E9}"/>
    <cellStyle name="输出 2" xfId="24725" xr:uid="{C652F356-F50E-43FB-BAC7-1E3D7BBF355B}"/>
    <cellStyle name="输出 2 10" xfId="24726" xr:uid="{AD8D004D-52F3-4932-BFDE-7065C8952E7E}"/>
    <cellStyle name="输出 2 10 2" xfId="24727" xr:uid="{C32A57DD-52A9-4148-8FCD-5D74DE36ECFA}"/>
    <cellStyle name="输出 2 10 2 2" xfId="27092" xr:uid="{66EA7ECF-CF39-480A-93E4-A3A8FA9532F2}"/>
    <cellStyle name="输出 2 10 2 2 2" xfId="37536" xr:uid="{F102A417-A660-49A7-A3CB-24464CC4ADA8}"/>
    <cellStyle name="输出 2 10 2 3" xfId="36406" xr:uid="{6DC2BD29-F29A-443A-B915-067C4307B3C9}"/>
    <cellStyle name="输出 2 10 3" xfId="36405" xr:uid="{F8986588-C92C-44B3-A6CA-B8003BEF2815}"/>
    <cellStyle name="输出 2 11" xfId="24728" xr:uid="{E42BCF69-1C47-4FB3-818F-DBF24E45CE2E}"/>
    <cellStyle name="输出 2 11 2" xfId="24729" xr:uid="{E842F36A-4B77-4DD8-B7C0-120108504057}"/>
    <cellStyle name="输出 2 11 2 2" xfId="27093" xr:uid="{7759FF2D-65A3-44FA-8DCA-402CD70C2FE6}"/>
    <cellStyle name="输出 2 11 2 2 2" xfId="37537" xr:uid="{23905D0E-F8D4-45DC-9E3D-CDFF5C745AB6}"/>
    <cellStyle name="输出 2 11 2 3" xfId="36407" xr:uid="{63ABAD30-A4F1-4FAA-81F7-94AF9AA41388}"/>
    <cellStyle name="输出 2 11 3" xfId="38315" xr:uid="{2EC56167-4D90-466B-BB2F-B7077A8D6B60}"/>
    <cellStyle name="输出 2 12" xfId="24730" xr:uid="{B498C6E2-C158-4A23-A414-653F44113E6C}"/>
    <cellStyle name="输出 2 12 2" xfId="24731" xr:uid="{82033E8A-DE82-4D02-A835-CACD193A9972}"/>
    <cellStyle name="输出 2 12 2 2" xfId="27094" xr:uid="{55902283-03E0-4A3C-9C12-49C1760D50E2}"/>
    <cellStyle name="输出 2 12 2 2 2" xfId="38642" xr:uid="{FF7B4063-3DFB-41DE-B32F-FA9DE0B0DA99}"/>
    <cellStyle name="输出 2 12 2 3" xfId="38316" xr:uid="{717C7D6B-0F7D-4804-9F80-A6018BF57D9B}"/>
    <cellStyle name="输出 2 12 3" xfId="36408" xr:uid="{2C403E1E-4C13-47AD-AB1D-0DA76862F5AE}"/>
    <cellStyle name="输出 2 13" xfId="24732" xr:uid="{5620F408-2382-41DC-A6A9-C65052BC561A}"/>
    <cellStyle name="输出 2 13 2" xfId="24733" xr:uid="{FC7C0AD6-C412-4361-9E69-808232A382F8}"/>
    <cellStyle name="输出 2 13 2 2" xfId="27095" xr:uid="{D3009F36-D5F3-41B2-8299-2F771E1C6588}"/>
    <cellStyle name="输出 2 13 2 2 2" xfId="37538" xr:uid="{EA7CA47B-C705-4693-84EA-57E9D46A9B1F}"/>
    <cellStyle name="输出 2 13 2 3" xfId="36410" xr:uid="{BB905731-C476-4EA9-83AB-62A05EB9BB52}"/>
    <cellStyle name="输出 2 13 3" xfId="36409" xr:uid="{E91B1EBD-E09A-4B99-80B3-AC5934CCC2F6}"/>
    <cellStyle name="输出 2 14" xfId="24734" xr:uid="{5764E9E3-7B00-4CCE-8DF5-9D21837276DE}"/>
    <cellStyle name="输出 2 14 2" xfId="24735" xr:uid="{7171C5B5-84FF-4EDA-852D-0DD91A4AAC8B}"/>
    <cellStyle name="输出 2 14 2 2" xfId="27096" xr:uid="{5B575648-A619-4EBF-8B55-3438097BD5D0}"/>
    <cellStyle name="输出 2 14 2 2 2" xfId="38643" xr:uid="{A2B81837-680E-4ADC-A378-C903F1EF7922}"/>
    <cellStyle name="输出 2 14 2 3" xfId="36411" xr:uid="{D1B7E690-DD0C-4E84-A9FE-48771D996F0B}"/>
    <cellStyle name="输出 2 14 3" xfId="27940" xr:uid="{D90E7DFF-B999-4C4A-B0F9-1774E6973917}"/>
    <cellStyle name="输出 2 15" xfId="24736" xr:uid="{49BB0FCA-6728-4C14-8ED3-B83EAF56D9B3}"/>
    <cellStyle name="输出 2 15 2" xfId="24737" xr:uid="{F92D2508-04CD-4F3B-8EEE-0C1DD0EF6A45}"/>
    <cellStyle name="输出 2 15 2 2" xfId="27097" xr:uid="{1A3B9B00-E379-4C5F-9474-65AB67558DD2}"/>
    <cellStyle name="输出 2 15 2 2 2" xfId="37539" xr:uid="{5506BCB6-4509-4ED8-A4BC-4644487FF2B9}"/>
    <cellStyle name="输出 2 15 2 3" xfId="27941" xr:uid="{2507A517-7254-4B50-85E4-044CF85108B5}"/>
    <cellStyle name="输出 2 15 3" xfId="36412" xr:uid="{B98859A2-878D-4894-90BE-E4422DF65E10}"/>
    <cellStyle name="输出 2 16" xfId="24738" xr:uid="{35D9C7D7-FD24-405A-960A-704E4BDEE7EE}"/>
    <cellStyle name="输出 2 16 2" xfId="24739" xr:uid="{9ECF9382-7A94-480B-9EBE-4A0C8F11D43F}"/>
    <cellStyle name="输出 2 16 2 2" xfId="27098" xr:uid="{7B877EC4-8022-4FA2-A8F4-42F4DEA3552E}"/>
    <cellStyle name="输出 2 16 2 2 2" xfId="37540" xr:uid="{1837BEDC-5004-4EDC-A5AB-0ACD37B080CB}"/>
    <cellStyle name="输出 2 16 2 3" xfId="36414" xr:uid="{31A238BD-24FA-4247-A427-B8AE7C787C9D}"/>
    <cellStyle name="输出 2 16 3" xfId="36413" xr:uid="{7EFFCAAE-7781-4358-B7B9-3A2DA6B0F585}"/>
    <cellStyle name="输出 2 17" xfId="24740" xr:uid="{B98CF374-6961-48AE-AEED-E5DC96243C9C}"/>
    <cellStyle name="输出 2 17 2" xfId="24741" xr:uid="{064F1520-BE24-4245-8B5E-415B0BC31F59}"/>
    <cellStyle name="输出 2 17 2 2" xfId="27099" xr:uid="{B717AB18-426C-4E16-9F4E-8A086E13A68B}"/>
    <cellStyle name="输出 2 17 2 2 2" xfId="37541" xr:uid="{CDC92F2B-0E96-4411-833F-5109EBCD2E1C}"/>
    <cellStyle name="输出 2 17 2 3" xfId="36416" xr:uid="{8DA081EB-4959-4628-9974-958232660A7C}"/>
    <cellStyle name="输出 2 17 3" xfId="36415" xr:uid="{FB6136EC-A509-4170-B681-FBB26F9B03E1}"/>
    <cellStyle name="输出 2 18" xfId="24742" xr:uid="{9FD333FC-F4CE-439E-8052-269406BAC10B}"/>
    <cellStyle name="输出 2 18 2" xfId="24743" xr:uid="{5DCCD879-3B63-4324-880F-D1F70A3E2ED4}"/>
    <cellStyle name="输出 2 18 2 2" xfId="27100" xr:uid="{D36FBB64-9321-400D-A443-6F4D2DB07E11}"/>
    <cellStyle name="输出 2 18 2 2 2" xfId="38644" xr:uid="{81278377-1B2B-4E0D-BC8D-5352243F26EF}"/>
    <cellStyle name="输出 2 18 2 3" xfId="36418" xr:uid="{1D19148D-3549-470D-877E-AA63A33F3F6B}"/>
    <cellStyle name="输出 2 18 3" xfId="36417" xr:uid="{9B1F524E-ECD1-4F8B-A93D-429F1FA3317E}"/>
    <cellStyle name="输出 2 19" xfId="24744" xr:uid="{6AED7C59-8143-4831-A4A8-09B9EB0A4EB2}"/>
    <cellStyle name="输出 2 19 2" xfId="24745" xr:uid="{9F7068B7-828E-4372-A378-2C44CE9BCB9D}"/>
    <cellStyle name="输出 2 19 2 2" xfId="27101" xr:uid="{ED5D65F6-3EB8-47CB-8DD1-9F7C7E335C3E}"/>
    <cellStyle name="输出 2 19 2 2 2" xfId="37542" xr:uid="{9962B0F5-3CA6-4B69-9246-4503F1D1B072}"/>
    <cellStyle name="输出 2 19 2 3" xfId="36420" xr:uid="{582DFA7B-BECE-4830-BE8F-96810F3D39C4}"/>
    <cellStyle name="输出 2 19 3" xfId="36419" xr:uid="{5D367132-A3F8-4668-9F28-E2A27B0B8C7D}"/>
    <cellStyle name="输出 2 2" xfId="24746" xr:uid="{13EB7328-00D0-4B44-A0A6-235B39C854DB}"/>
    <cellStyle name="输出 2 2 10" xfId="24747" xr:uid="{65B15E76-3D76-4BFC-93CD-0EB3F673B284}"/>
    <cellStyle name="输出 2 2 10 2" xfId="24748" xr:uid="{47BF614A-EEA4-46FD-B418-FEBA2A799FF5}"/>
    <cellStyle name="输出 2 2 10 2 2" xfId="27102" xr:uid="{C501CD47-2EC2-411A-96D7-4C02CF60C2DD}"/>
    <cellStyle name="输出 2 2 10 2 2 2" xfId="37543" xr:uid="{3D029209-87AD-434A-835B-49FBED671E93}"/>
    <cellStyle name="输出 2 2 10 2 3" xfId="37819" xr:uid="{C5DC48C2-601A-4A08-8E24-EBB02A3E5515}"/>
    <cellStyle name="输出 2 2 10 3" xfId="36421" xr:uid="{A02C07E1-2C0A-43D0-B1DC-8352244D42E9}"/>
    <cellStyle name="输出 2 2 11" xfId="24749" xr:uid="{9D0AB213-24A5-48CB-B84A-AC2E6B449C64}"/>
    <cellStyle name="输出 2 2 11 2" xfId="24750" xr:uid="{20D1054C-E6FE-4262-AE46-AD85A4007E04}"/>
    <cellStyle name="输出 2 2 11 2 2" xfId="27103" xr:uid="{B4548599-B01B-4AB0-B622-20615EC75244}"/>
    <cellStyle name="输出 2 2 11 2 2 2" xfId="38645" xr:uid="{7341A666-6184-40B0-857D-40F5C6E82165}"/>
    <cellStyle name="输出 2 2 11 2 3" xfId="36423" xr:uid="{7B45FF90-E0EA-445F-9234-D969552635FF}"/>
    <cellStyle name="输出 2 2 11 3" xfId="36422" xr:uid="{92C269C4-134B-4A67-9ADE-3056AABADFF8}"/>
    <cellStyle name="输出 2 2 12" xfId="24751" xr:uid="{ACF4E372-9376-40CA-8E1A-A8A8117CD568}"/>
    <cellStyle name="输出 2 2 12 2" xfId="24752" xr:uid="{ADE71C97-9D46-4194-8406-E659C9982B67}"/>
    <cellStyle name="输出 2 2 12 2 2" xfId="27104" xr:uid="{C1FE60B1-8789-49A1-907D-E02D520153B8}"/>
    <cellStyle name="输出 2 2 12 2 2 2" xfId="37544" xr:uid="{69B12123-BE29-484B-8231-E06833A9D98A}"/>
    <cellStyle name="输出 2 2 12 2 3" xfId="38317" xr:uid="{233CDCC6-8202-418A-B909-4B8A8D63DA5A}"/>
    <cellStyle name="输出 2 2 12 3" xfId="27943" xr:uid="{FE207D40-E238-45BF-9860-D9028F926416}"/>
    <cellStyle name="输出 2 2 13" xfId="24753" xr:uid="{61BF4520-25E6-4DC4-AADB-8DE868F09428}"/>
    <cellStyle name="输出 2 2 13 2" xfId="24754" xr:uid="{1856E3E7-DA19-45CB-B816-F6746178D017}"/>
    <cellStyle name="输出 2 2 13 2 2" xfId="27105" xr:uid="{CAFC37E4-2AF1-4D30-BC38-72E26B0C659E}"/>
    <cellStyle name="输出 2 2 13 2 2 2" xfId="37545" xr:uid="{C5A2F9BB-41F0-426F-82AD-93C95A844D16}"/>
    <cellStyle name="输出 2 2 13 2 3" xfId="36425" xr:uid="{A69BF660-FD06-47BD-A908-8D9B6F9D8E04}"/>
    <cellStyle name="输出 2 2 13 3" xfId="36424" xr:uid="{116E3929-8473-4F2B-9DDF-EB28C82F7D43}"/>
    <cellStyle name="输出 2 2 14" xfId="24755" xr:uid="{F2D29A43-3779-4823-9E70-F27E54A878BC}"/>
    <cellStyle name="输出 2 2 14 2" xfId="24756" xr:uid="{5E6E428F-E5D9-435A-82C1-6DBEB9FF1C11}"/>
    <cellStyle name="输出 2 2 14 2 2" xfId="27106" xr:uid="{9C70787C-105A-4BDC-A762-35AE8CB9DB7C}"/>
    <cellStyle name="输出 2 2 14 2 2 2" xfId="38646" xr:uid="{B7B789F5-BBE9-4262-8804-DF122EE9EAC8}"/>
    <cellStyle name="输出 2 2 14 2 3" xfId="27944" xr:uid="{9364BE31-BFF6-4963-A567-51E955060C43}"/>
    <cellStyle name="输出 2 2 14 3" xfId="38318" xr:uid="{AF847658-08EC-495B-A8B8-BB9B926E0388}"/>
    <cellStyle name="输出 2 2 15" xfId="24757" xr:uid="{E430892A-818F-4977-8F2A-2D55BA8A317B}"/>
    <cellStyle name="输出 2 2 15 2" xfId="24758" xr:uid="{3BC28E98-104E-4607-8493-20FB3ADC11E5}"/>
    <cellStyle name="输出 2 2 15 2 2" xfId="27107" xr:uid="{853C37F1-15AD-494D-9708-4BB3D0E1431E}"/>
    <cellStyle name="输出 2 2 15 2 2 2" xfId="37546" xr:uid="{3E195750-7D48-4FE4-9A3E-03804B12749E}"/>
    <cellStyle name="输出 2 2 15 2 3" xfId="36427" xr:uid="{3FF1655C-18A1-4FB5-A73E-703E86D2C3CF}"/>
    <cellStyle name="输出 2 2 15 3" xfId="36426" xr:uid="{801C1725-7D76-4852-8775-D5EA333AD20A}"/>
    <cellStyle name="输出 2 2 16" xfId="24759" xr:uid="{9595F925-BB59-40A4-89B7-79E3089140EE}"/>
    <cellStyle name="输出 2 2 16 2" xfId="24760" xr:uid="{844A1422-8A0F-4637-A024-46A561BD1D8C}"/>
    <cellStyle name="输出 2 2 16 2 2" xfId="27108" xr:uid="{2788280D-0303-4477-9846-320BA9D0216F}"/>
    <cellStyle name="输出 2 2 16 2 2 2" xfId="37547" xr:uid="{AE40C4B3-DD93-4F78-ADCB-373315A8BF89}"/>
    <cellStyle name="输出 2 2 16 2 3" xfId="27945" xr:uid="{2898B820-64A6-405A-ADC5-05DDE2873877}"/>
    <cellStyle name="输出 2 2 16 3" xfId="38319" xr:uid="{65E9F069-ED51-4E69-BD85-E938475FFD79}"/>
    <cellStyle name="输出 2 2 17" xfId="24761" xr:uid="{D0D258A6-9BD8-4694-B21D-38A2AB0FAADE}"/>
    <cellStyle name="输出 2 2 17 2" xfId="24762" xr:uid="{9AD3E2D6-A271-4941-8C0E-F9668F8E0EE4}"/>
    <cellStyle name="输出 2 2 17 2 2" xfId="27109" xr:uid="{9E26BE67-E650-425F-A126-7B86657139C1}"/>
    <cellStyle name="输出 2 2 17 2 2 2" xfId="38647" xr:uid="{642F48D5-D317-452B-9629-527B3502F1DB}"/>
    <cellStyle name="输出 2 2 17 2 3" xfId="27946" xr:uid="{559F72B1-172C-4A04-B230-20FED927BDB1}"/>
    <cellStyle name="输出 2 2 17 3" xfId="36428" xr:uid="{6826B8E0-D248-41B5-ACD2-3F5A1770E930}"/>
    <cellStyle name="输出 2 2 18" xfId="24763" xr:uid="{F780CE38-E464-46DC-8866-A0B935E6EF47}"/>
    <cellStyle name="输出 2 2 18 2" xfId="24764" xr:uid="{40126D5E-AEC1-4375-A62D-7290701786DC}"/>
    <cellStyle name="输出 2 2 18 2 2" xfId="27110" xr:uid="{3206EE09-4FFE-4D45-9AF1-D122E36BE647}"/>
    <cellStyle name="输出 2 2 18 2 2 2" xfId="37548" xr:uid="{F572CF80-C0C3-4932-86A1-09BDBF07B109}"/>
    <cellStyle name="输出 2 2 18 2 3" xfId="38320" xr:uid="{A5EF63EB-5C9D-4DDB-93B9-914FE1B4EBFB}"/>
    <cellStyle name="输出 2 2 18 3" xfId="36429" xr:uid="{72CE8DBC-5405-4F40-9028-316C01D922CA}"/>
    <cellStyle name="输出 2 2 19" xfId="24765" xr:uid="{CED50E87-F289-4789-B60E-92B5360B22E8}"/>
    <cellStyle name="输出 2 2 19 2" xfId="27111" xr:uid="{C9A6FA35-1538-4273-A71B-E1E9B17EBCBD}"/>
    <cellStyle name="输出 2 2 19 2 2" xfId="37549" xr:uid="{EECDDCCF-48FB-49A2-8738-A570E5185D46}"/>
    <cellStyle name="输出 2 2 19 3" xfId="37820" xr:uid="{A332E919-F9F9-4CCA-BCC9-407AA0F269F2}"/>
    <cellStyle name="输出 2 2 2" xfId="24766" xr:uid="{6BAC6B97-3F92-40A5-91F8-1554F9623353}"/>
    <cellStyle name="输出 2 2 2 10" xfId="24767" xr:uid="{4B62E201-E4FE-4E50-889D-BE166BE79B6E}"/>
    <cellStyle name="输出 2 2 2 10 2" xfId="24768" xr:uid="{F59F6994-57B3-43E4-9095-D3287DA00908}"/>
    <cellStyle name="输出 2 2 2 10 2 2" xfId="27112" xr:uid="{46A7F792-CD04-4FA3-9222-BECDFE9E19F2}"/>
    <cellStyle name="输出 2 2 2 10 2 2 2" xfId="38648" xr:uid="{F9821BC7-7DED-49DB-AF7B-7390C1DE6146}"/>
    <cellStyle name="输出 2 2 2 10 2 3" xfId="38321" xr:uid="{5C52F9B0-66FC-4FA0-BE9A-7A8A5DF7CAA7}"/>
    <cellStyle name="输出 2 2 2 10 3" xfId="36431" xr:uid="{39A2F073-5401-4662-9BAB-BA93F258420A}"/>
    <cellStyle name="输出 2 2 2 11" xfId="24769" xr:uid="{D9297D6A-E2C3-4908-898C-0B4A6BC47CAF}"/>
    <cellStyle name="输出 2 2 2 11 2" xfId="24770" xr:uid="{4B5766D4-42E1-45CC-A732-776A47016B9B}"/>
    <cellStyle name="输出 2 2 2 11 2 2" xfId="27113" xr:uid="{0E1A6923-A60A-425B-A496-D0843792B65B}"/>
    <cellStyle name="输出 2 2 2 11 2 2 2" xfId="37550" xr:uid="{44477842-A8FF-4EC0-A2C4-0E1E2A7FFF65}"/>
    <cellStyle name="输出 2 2 2 11 2 3" xfId="36433" xr:uid="{C08063C4-E449-400B-A5AA-ECEE70C81996}"/>
    <cellStyle name="输出 2 2 2 11 3" xfId="36432" xr:uid="{C062AAC7-46F7-421D-B437-8BE0292182AB}"/>
    <cellStyle name="输出 2 2 2 12" xfId="24771" xr:uid="{D5C93C5C-6947-4AC7-B626-3AE0A7A3AE72}"/>
    <cellStyle name="输出 2 2 2 12 2" xfId="24772" xr:uid="{9A1A97A9-45B6-412F-8E1A-C99260945877}"/>
    <cellStyle name="输出 2 2 2 12 2 2" xfId="27114" xr:uid="{9BF8736A-D4E0-4AA4-9DB3-7719E727676D}"/>
    <cellStyle name="输出 2 2 2 12 2 2 2" xfId="38649" xr:uid="{4E56F98D-CA02-4BF4-935B-2DB3A8972C01}"/>
    <cellStyle name="输出 2 2 2 12 2 3" xfId="27947" xr:uid="{CB06600B-F24B-40E8-AD20-8B208D0E3CE0}"/>
    <cellStyle name="输出 2 2 2 12 3" xfId="38322" xr:uid="{0A86995C-A359-42E0-BA7E-405937731BE0}"/>
    <cellStyle name="输出 2 2 2 13" xfId="24773" xr:uid="{8B24DEC9-4AC0-4F9E-901C-A3841321AE80}"/>
    <cellStyle name="输出 2 2 2 13 2" xfId="24774" xr:uid="{1CC52E1B-2F23-430F-B311-7DBAA5DE8911}"/>
    <cellStyle name="输出 2 2 2 13 2 2" xfId="27115" xr:uid="{809793D5-3C87-407C-BC27-0CEBDA111F88}"/>
    <cellStyle name="输出 2 2 2 13 2 2 2" xfId="37551" xr:uid="{90789F5C-A311-4B63-80CC-07BF6DC27B19}"/>
    <cellStyle name="输出 2 2 2 13 2 3" xfId="38323" xr:uid="{BDD13B83-B0C1-4625-989F-5F880A123003}"/>
    <cellStyle name="输出 2 2 2 13 3" xfId="36435" xr:uid="{5C48B6EF-70FC-467C-8296-82F014987448}"/>
    <cellStyle name="输出 2 2 2 14" xfId="24775" xr:uid="{01B3F597-9083-4E87-B410-8515B63B1218}"/>
    <cellStyle name="输出 2 2 2 14 2" xfId="24776" xr:uid="{951D104C-EFA5-478D-BB72-5AA23C725AC7}"/>
    <cellStyle name="输出 2 2 2 14 2 2" xfId="27116" xr:uid="{31001B6E-09B8-460E-9D42-55DCC226E687}"/>
    <cellStyle name="输出 2 2 2 14 2 2 2" xfId="37552" xr:uid="{65D2F662-0982-46BD-AA93-70C9A71F00D4}"/>
    <cellStyle name="输出 2 2 2 14 2 3" xfId="36436" xr:uid="{4F1569F7-E29D-4669-BD7A-1F97E9D38C85}"/>
    <cellStyle name="输出 2 2 2 14 3" xfId="36434" xr:uid="{4B7FB322-0896-4166-95F0-8B691BC41A46}"/>
    <cellStyle name="输出 2 2 2 15" xfId="24777" xr:uid="{6F5204EE-39EC-4BDF-8709-8860AB90CE3B}"/>
    <cellStyle name="输出 2 2 2 15 2" xfId="27117" xr:uid="{FF94278E-0DC1-4968-8CFF-AFB4FDBA184A}"/>
    <cellStyle name="输出 2 2 2 15 2 2" xfId="38650" xr:uid="{4FE8679C-343D-426D-A092-36900DD42EA5}"/>
    <cellStyle name="输出 2 2 2 15 3" xfId="36437" xr:uid="{26A2CA93-CF82-453A-A4F1-FF63FBD9D84F}"/>
    <cellStyle name="输出 2 2 2 16" xfId="36430" xr:uid="{B92D80FA-2F62-4484-8CC5-616AA2158B70}"/>
    <cellStyle name="输出 2 2 2 2" xfId="24778" xr:uid="{77DC32FF-1C14-4DCB-BDC4-5E2A4C12B76F}"/>
    <cellStyle name="输出 2 2 2 2 2" xfId="24779" xr:uid="{7604A87B-01F3-46A9-BD3D-6C36C7611E4D}"/>
    <cellStyle name="输出 2 2 2 2 2 2" xfId="27118" xr:uid="{FA417532-7F41-4903-91F5-CCBC69C57FF4}"/>
    <cellStyle name="输出 2 2 2 2 2 2 2" xfId="37553" xr:uid="{BDC00C17-73D4-422A-A3EE-F78C164A48DD}"/>
    <cellStyle name="输出 2 2 2 2 2 3" xfId="38324" xr:uid="{7DCE6C23-3D53-470C-AE0B-A6149D53DCF9}"/>
    <cellStyle name="输出 2 2 2 2 3" xfId="27948" xr:uid="{1C45CFE3-DE90-44F6-BC68-186A32D96621}"/>
    <cellStyle name="输出 2 2 2 3" xfId="24780" xr:uid="{93447828-2E4A-4557-B8F0-3FC558AB53A7}"/>
    <cellStyle name="输出 2 2 2 3 2" xfId="24781" xr:uid="{CB76FBA1-8521-4C83-8A48-5E47C21E016E}"/>
    <cellStyle name="输出 2 2 2 3 2 2" xfId="27119" xr:uid="{8A2461EC-1A2A-4D97-96FC-F3569B022926}"/>
    <cellStyle name="输出 2 2 2 3 2 2 2" xfId="37554" xr:uid="{3F9CB67F-FDD1-4639-98CB-41C916EA8605}"/>
    <cellStyle name="输出 2 2 2 3 2 3" xfId="37821" xr:uid="{460FE36E-9577-405A-9C4A-CD4ACB92F7D8}"/>
    <cellStyle name="输出 2 2 2 3 3" xfId="36438" xr:uid="{4B29E23F-9C9E-49A6-B878-1EE8D075298B}"/>
    <cellStyle name="输出 2 2 2 4" xfId="24782" xr:uid="{8725525E-B521-4D62-A989-8C252BE86F48}"/>
    <cellStyle name="输出 2 2 2 4 2" xfId="24783" xr:uid="{3F9ADD7D-5910-4127-8E90-B835369BB077}"/>
    <cellStyle name="输出 2 2 2 4 2 2" xfId="27120" xr:uid="{E0422686-FE66-4342-9A62-75B1A0A75111}"/>
    <cellStyle name="输出 2 2 2 4 2 2 2" xfId="38651" xr:uid="{FD5621D8-C64D-42BA-8203-DB024E241E4A}"/>
    <cellStyle name="输出 2 2 2 4 2 3" xfId="38325" xr:uid="{DAECB3B5-A3E8-4BE3-AD37-B8AD47AF4B4D}"/>
    <cellStyle name="输出 2 2 2 4 3" xfId="36439" xr:uid="{81BBB365-2BFA-47BC-933B-A39406E9AA5C}"/>
    <cellStyle name="输出 2 2 2 5" xfId="24784" xr:uid="{F4529502-CDBD-43EF-910B-F44F139B2754}"/>
    <cellStyle name="输出 2 2 2 5 2" xfId="24785" xr:uid="{9BCDBE5B-7D21-41DA-A679-375413AA4EF1}"/>
    <cellStyle name="输出 2 2 2 5 2 2" xfId="27121" xr:uid="{8A0E6E5C-5E27-4B79-B0E7-67C28B5D8A4B}"/>
    <cellStyle name="输出 2 2 2 5 2 2 2" xfId="37555" xr:uid="{3AE8725F-984A-4EA6-BFD8-14E1EB272ECF}"/>
    <cellStyle name="输出 2 2 2 5 2 3" xfId="38326" xr:uid="{AFB91219-0D30-4522-83A0-A8428E9F2944}"/>
    <cellStyle name="输出 2 2 2 5 3" xfId="36440" xr:uid="{F2D5CD02-8D4C-42A4-BE60-C4B790CA7D36}"/>
    <cellStyle name="输出 2 2 2 6" xfId="24786" xr:uid="{80E0B94D-1EE6-4836-8DB9-A19E3C465657}"/>
    <cellStyle name="输出 2 2 2 6 2" xfId="24787" xr:uid="{B5E3B316-6F0A-4F47-8F52-1984AFA211A7}"/>
    <cellStyle name="输出 2 2 2 6 2 2" xfId="27122" xr:uid="{43A8E251-6EA4-484D-A5D6-9C06701CB1A1}"/>
    <cellStyle name="输出 2 2 2 6 2 2 2" xfId="37556" xr:uid="{691EF249-685C-4D60-9CEB-50D87166F054}"/>
    <cellStyle name="输出 2 2 2 6 2 3" xfId="36442" xr:uid="{9675DD69-FD4B-440D-9327-161FB34850B6}"/>
    <cellStyle name="输出 2 2 2 6 3" xfId="36441" xr:uid="{56F9D64F-C3DF-4EE8-B293-241CA3C2DAE2}"/>
    <cellStyle name="输出 2 2 2 7" xfId="24788" xr:uid="{7D5026EE-DF33-4323-AEB8-F5CA05A2C909}"/>
    <cellStyle name="输出 2 2 2 7 2" xfId="24789" xr:uid="{16F87990-A607-4078-A540-C6E4AD18185E}"/>
    <cellStyle name="输出 2 2 2 7 2 2" xfId="27123" xr:uid="{453A6495-85B3-4A4A-9559-C9B29BE08D75}"/>
    <cellStyle name="输出 2 2 2 7 2 2 2" xfId="38652" xr:uid="{F780D958-D673-474B-A669-95BDB0845378}"/>
    <cellStyle name="输出 2 2 2 7 2 3" xfId="38327" xr:uid="{D414EAEA-D056-4E6D-A07B-91BE9D66C24B}"/>
    <cellStyle name="输出 2 2 2 7 3" xfId="36443" xr:uid="{92B29C24-E062-42EB-B66F-5E6AAB8F778C}"/>
    <cellStyle name="输出 2 2 2 8" xfId="24790" xr:uid="{5AAFC37D-DD5D-4E73-B332-43C9576FE422}"/>
    <cellStyle name="输出 2 2 2 8 2" xfId="24791" xr:uid="{719F7A20-B525-4E8E-A02E-6F52A8A5C0C3}"/>
    <cellStyle name="输出 2 2 2 8 2 2" xfId="27124" xr:uid="{DC2C02AE-025C-40B6-9447-C91A333009C5}"/>
    <cellStyle name="输出 2 2 2 8 2 2 2" xfId="37557" xr:uid="{91F132E0-7BA3-4D2A-9DFF-9E2D9C24F8DA}"/>
    <cellStyle name="输出 2 2 2 8 2 3" xfId="36445" xr:uid="{0D62EB50-36B5-4805-BDB1-2ED57847DD77}"/>
    <cellStyle name="输出 2 2 2 8 3" xfId="36444" xr:uid="{742DAC24-DC1C-4DAD-BCE5-CFE317E303FA}"/>
    <cellStyle name="输出 2 2 2 9" xfId="24792" xr:uid="{C5B44654-1F6E-4133-9A91-B7F35CC439E4}"/>
    <cellStyle name="输出 2 2 2 9 2" xfId="24793" xr:uid="{A8F1D71D-504B-416D-8292-DF8D042BE3F4}"/>
    <cellStyle name="输出 2 2 2 9 2 2" xfId="27125" xr:uid="{A8F8107F-7444-4248-BF51-77366DD1EB90}"/>
    <cellStyle name="输出 2 2 2 9 2 2 2" xfId="37558" xr:uid="{205C52D6-D12D-47A0-9513-823A1DDFE3AA}"/>
    <cellStyle name="输出 2 2 2 9 2 3" xfId="36446" xr:uid="{FD3E166A-E85D-43F2-9A29-5DD91EC45EF0}"/>
    <cellStyle name="输出 2 2 2 9 3" xfId="38328" xr:uid="{ADA73224-8D2B-41B7-BB3E-8B926783ED0A}"/>
    <cellStyle name="输出 2 2 20" xfId="27942" xr:uid="{0488B3D2-1CAE-45DE-8F0B-FDCC5A400483}"/>
    <cellStyle name="输出 2 2 3" xfId="24794" xr:uid="{E4EECE3C-A02E-4F0A-858D-3934A5B233FE}"/>
    <cellStyle name="输出 2 2 3 2" xfId="24795" xr:uid="{90C357C9-CFAC-48B2-B2AA-8F11B0D5E758}"/>
    <cellStyle name="输出 2 2 3 2 2" xfId="27126" xr:uid="{C5E29F5D-31A9-4C1C-B328-B0A68CA8B5D6}"/>
    <cellStyle name="输出 2 2 3 2 2 2" xfId="38653" xr:uid="{63B56A6C-1FB5-4FD0-8548-612D1981E184}"/>
    <cellStyle name="输出 2 2 3 2 3" xfId="38329" xr:uid="{87BCBDFA-5C86-45F3-8F68-11D78A9463A4}"/>
    <cellStyle name="输出 2 2 3 3" xfId="36447" xr:uid="{FD0B235A-47AE-4B70-AC91-963C5EAF56B9}"/>
    <cellStyle name="输出 2 2 4" xfId="24796" xr:uid="{8126A611-1C25-4591-A8C0-71D006DD5461}"/>
    <cellStyle name="输出 2 2 4 2" xfId="24797" xr:uid="{ABCF1E48-15DB-497A-8166-CFDB59DD5EC2}"/>
    <cellStyle name="输出 2 2 4 2 2" xfId="27127" xr:uid="{DA977B4F-FCB8-4308-BD3A-60F86B346A3A}"/>
    <cellStyle name="输出 2 2 4 2 2 2" xfId="37559" xr:uid="{914AF3CA-A09A-4AB0-AA03-10F869794E78}"/>
    <cellStyle name="输出 2 2 4 2 3" xfId="36449" xr:uid="{FCE4098A-046F-4B78-A421-A64914862825}"/>
    <cellStyle name="输出 2 2 4 3" xfId="36448" xr:uid="{57EE3ADD-C0F5-4917-B18B-43FE58372FE8}"/>
    <cellStyle name="输出 2 2 5" xfId="24798" xr:uid="{99CFC0C7-C3F5-465A-BB85-40E1AAD88922}"/>
    <cellStyle name="输出 2 2 5 2" xfId="24799" xr:uid="{C85463E8-1768-4785-92A8-1728BAFDD405}"/>
    <cellStyle name="输出 2 2 5 2 2" xfId="27128" xr:uid="{D27DCB4A-6C5D-4356-9148-E0035705BFF2}"/>
    <cellStyle name="输出 2 2 5 2 2 2" xfId="37560" xr:uid="{E69B6F89-774B-41DB-9E14-D12BA71BFC41}"/>
    <cellStyle name="输出 2 2 5 2 3" xfId="36450" xr:uid="{952072F5-D143-45AA-962D-EF38268960F6}"/>
    <cellStyle name="输出 2 2 5 3" xfId="38330" xr:uid="{A1E31B9E-9FC4-45B7-9A99-8CF0A729DA98}"/>
    <cellStyle name="输出 2 2 6" xfId="24800" xr:uid="{561B89F9-75C6-4DBA-BFE4-6E62CE88A6F7}"/>
    <cellStyle name="输出 2 2 6 2" xfId="24801" xr:uid="{747F5133-BB91-4D43-B0B2-F20C88ECAF69}"/>
    <cellStyle name="输出 2 2 6 2 2" xfId="27129" xr:uid="{0533CDCD-E7A7-4175-8CF4-34E7FF65EFFA}"/>
    <cellStyle name="输出 2 2 6 2 2 2" xfId="38654" xr:uid="{99BB6F44-16AF-4982-AA81-3A8D5BC2FDE7}"/>
    <cellStyle name="输出 2 2 6 2 3" xfId="38331" xr:uid="{31D4994F-9E7F-43D3-A851-014D05EC6B50}"/>
    <cellStyle name="输出 2 2 6 3" xfId="36451" xr:uid="{4008AAF8-33BB-4CF4-AE6C-D6B656DEDC34}"/>
    <cellStyle name="输出 2 2 7" xfId="24802" xr:uid="{36BDAC02-5343-4DDC-BDC1-6FA89AEEF15B}"/>
    <cellStyle name="输出 2 2 7 2" xfId="24803" xr:uid="{9EB6EC3D-510F-4713-9110-97368D105918}"/>
    <cellStyle name="输出 2 2 7 2 2" xfId="27130" xr:uid="{1F60BB0A-0F0B-4803-B21B-365A14B79FAA}"/>
    <cellStyle name="输出 2 2 7 2 2 2" xfId="37561" xr:uid="{6BF5FAE2-73F3-4466-AA98-509AB57B3464}"/>
    <cellStyle name="输出 2 2 7 2 3" xfId="36453" xr:uid="{48A24D8B-259B-4A4F-9F72-EBA822884B37}"/>
    <cellStyle name="输出 2 2 7 3" xfId="36452" xr:uid="{66A0357D-7B77-4C49-8B09-3C7736B8D4D6}"/>
    <cellStyle name="输出 2 2 8" xfId="24804" xr:uid="{61EE03DE-A3E4-4027-8AE4-2A0B7627EE69}"/>
    <cellStyle name="输出 2 2 8 2" xfId="24805" xr:uid="{F1743431-CD5B-4D6E-919C-D64D59051A90}"/>
    <cellStyle name="输出 2 2 8 2 2" xfId="27131" xr:uid="{6B1FFEF6-FD68-4A69-BB4A-F321F1910C47}"/>
    <cellStyle name="输出 2 2 8 2 2 2" xfId="37562" xr:uid="{C254F1B9-3EEB-4A54-B970-7CEA36417D3B}"/>
    <cellStyle name="输出 2 2 8 2 3" xfId="27949" xr:uid="{596414F4-0BC2-48F0-B1F0-699681492EEF}"/>
    <cellStyle name="输出 2 2 8 3" xfId="38332" xr:uid="{FF383096-A3B5-4E5C-9B73-2293BD429F47}"/>
    <cellStyle name="输出 2 2 9" xfId="24806" xr:uid="{B14FCAB6-74A4-4411-938F-1E8CBE42E893}"/>
    <cellStyle name="输出 2 2 9 2" xfId="24807" xr:uid="{4B9F10D3-E825-40DE-A549-C438DC00A177}"/>
    <cellStyle name="输出 2 2 9 2 2" xfId="27132" xr:uid="{7A677FFB-C15C-421F-9071-18734ADF5A21}"/>
    <cellStyle name="输出 2 2 9 2 2 2" xfId="38655" xr:uid="{DA042124-D1F8-424E-87EF-F7F4366F7015}"/>
    <cellStyle name="输出 2 2 9 2 3" xfId="37822" xr:uid="{B4576BCC-9044-4ABC-8A4B-481E4703914F}"/>
    <cellStyle name="输出 2 2 9 3" xfId="36454" xr:uid="{36632017-4A52-4B1A-9EC6-D3A5F3EB04BB}"/>
    <cellStyle name="输出 2 20" xfId="24808" xr:uid="{6B981C0F-FA0D-4DA2-A0EF-41064B285B6E}"/>
    <cellStyle name="输出 2 20 2" xfId="27133" xr:uid="{02036BCC-299D-4BF0-97B2-ABC3C31FF755}"/>
    <cellStyle name="输出 2 20 2 2" xfId="37563" xr:uid="{E8F44353-E99E-49BE-AACD-7DCC42ADDCA5}"/>
    <cellStyle name="输出 2 20 3" xfId="38333" xr:uid="{872D2943-348D-4D3A-9D63-32B671C32120}"/>
    <cellStyle name="输出 2 21" xfId="37818" xr:uid="{8BDFCD31-B026-482F-9319-2BB856AFEBE3}"/>
    <cellStyle name="输出 2 3" xfId="24809" xr:uid="{25B1277C-EB19-4299-9D72-9557E3502D1F}"/>
    <cellStyle name="输出 2 3 10" xfId="24810" xr:uid="{79D899C4-1A61-419F-8C22-E015BFAF1DFF}"/>
    <cellStyle name="输出 2 3 10 2" xfId="24811" xr:uid="{B6048D60-37DE-4FAA-88CC-A654BA2F0B83}"/>
    <cellStyle name="输出 2 3 10 2 2" xfId="27134" xr:uid="{EDEC899B-C65B-4DA9-9C3B-50F2E24B3B5B}"/>
    <cellStyle name="输出 2 3 10 2 2 2" xfId="37564" xr:uid="{2B8246CC-77F8-48B6-A01E-7D16F487C9A4}"/>
    <cellStyle name="输出 2 3 10 2 3" xfId="38334" xr:uid="{4F35FEF1-4456-4B8D-85C9-F87925B3AD89}"/>
    <cellStyle name="输出 2 3 10 3" xfId="36456" xr:uid="{3E4102A4-26AD-40D8-B875-4715DC3D532A}"/>
    <cellStyle name="输出 2 3 11" xfId="24812" xr:uid="{954FFB1C-7FB0-4E42-94D2-BB1EAF303AB4}"/>
    <cellStyle name="输出 2 3 11 2" xfId="24813" xr:uid="{C8CC3910-C289-447C-B228-4A3EDDA904CE}"/>
    <cellStyle name="输出 2 3 11 2 2" xfId="27135" xr:uid="{B3F6E8CF-879D-4F50-B51B-84C0FF5EEA10}"/>
    <cellStyle name="输出 2 3 11 2 2 2" xfId="38656" xr:uid="{8079531C-9D49-43AD-8323-D3605486897A}"/>
    <cellStyle name="输出 2 3 11 2 3" xfId="36458" xr:uid="{4A757F7D-C5F4-429A-8939-2DC5F5EE010F}"/>
    <cellStyle name="输出 2 3 11 3" xfId="36457" xr:uid="{B2C9D07C-7212-42E9-A86D-7C017E1859FC}"/>
    <cellStyle name="输出 2 3 12" xfId="24814" xr:uid="{8771EDC0-ED6E-46A5-9826-7AEA4F9241F2}"/>
    <cellStyle name="输出 2 3 12 2" xfId="24815" xr:uid="{51D6E2CD-5758-4DEE-9262-C73A66F29FBC}"/>
    <cellStyle name="输出 2 3 12 2 2" xfId="27136" xr:uid="{759E39BE-4D0B-4FBB-A481-8633A9267EB5}"/>
    <cellStyle name="输出 2 3 12 2 2 2" xfId="37565" xr:uid="{18D2103A-3BF7-416F-98BB-7928552A4CFA}"/>
    <cellStyle name="输出 2 3 12 2 3" xfId="36459" xr:uid="{FAB7CF75-7F75-435D-B2D4-6DE85AB79B58}"/>
    <cellStyle name="输出 2 3 12 3" xfId="38335" xr:uid="{52A330F4-D936-4B1F-97AE-4D04E7E44E67}"/>
    <cellStyle name="输出 2 3 13" xfId="24816" xr:uid="{4927DDD7-BEC2-42A4-9D08-4EA0CDEB2042}"/>
    <cellStyle name="输出 2 3 13 2" xfId="24817" xr:uid="{2BB64B03-6CDA-4765-8377-DC6FB53E4124}"/>
    <cellStyle name="输出 2 3 13 2 2" xfId="27137" xr:uid="{5B6BBDB7-4E08-40F3-A1CC-7F6F3335A068}"/>
    <cellStyle name="输出 2 3 13 2 2 2" xfId="37566" xr:uid="{29B0CC37-4B3A-40D0-9EC0-284F8F9375A3}"/>
    <cellStyle name="输出 2 3 13 2 3" xfId="27950" xr:uid="{3E3A76ED-C72B-4528-A875-C98380C596B9}"/>
    <cellStyle name="输出 2 3 13 3" xfId="36460" xr:uid="{10451973-E08A-4CE0-A666-926BB03EB2E2}"/>
    <cellStyle name="输出 2 3 14" xfId="24818" xr:uid="{C97BABC3-0B95-4B9E-91E6-666EA468FA90}"/>
    <cellStyle name="输出 2 3 14 2" xfId="24819" xr:uid="{A348AD56-48E8-4FE3-8F9C-B601152F8193}"/>
    <cellStyle name="输出 2 3 14 2 2" xfId="27138" xr:uid="{BE7AB15E-B877-486A-B48A-2AD780CDDDED}"/>
    <cellStyle name="输出 2 3 14 2 2 2" xfId="38657" xr:uid="{946EC482-7F65-462C-B3E0-AA86949A35DF}"/>
    <cellStyle name="输出 2 3 14 2 3" xfId="27951" xr:uid="{63B4D959-129F-4DC6-B4F2-0C609D95C5F6}"/>
    <cellStyle name="输出 2 3 14 3" xfId="38336" xr:uid="{4A22478F-3CFB-44B0-A786-1D11F91416FE}"/>
    <cellStyle name="输出 2 3 15" xfId="24820" xr:uid="{DEDF5853-27E9-4EE5-B969-9172153DA9C0}"/>
    <cellStyle name="输出 2 3 15 2" xfId="27139" xr:uid="{AFF2AFBF-0E05-49F0-84EA-F453DCD10148}"/>
    <cellStyle name="输出 2 3 15 2 2" xfId="37567" xr:uid="{2F96FD1B-96CF-4978-9847-7A8BF67C9CD4}"/>
    <cellStyle name="输出 2 3 15 3" xfId="36461" xr:uid="{FA62EFF0-F72B-4A0A-8470-C350C80EECA8}"/>
    <cellStyle name="输出 2 3 16" xfId="36455" xr:uid="{716204A1-1C4E-416F-B6BF-DA64B2EE8CBF}"/>
    <cellStyle name="输出 2 3 2" xfId="24821" xr:uid="{9B43A7D9-F94B-4677-89D9-67C8C2CA57A9}"/>
    <cellStyle name="输出 2 3 2 2" xfId="24822" xr:uid="{7F9E6A26-5E43-47C7-A91F-33C0AB85BD96}"/>
    <cellStyle name="输出 2 3 2 2 2" xfId="27140" xr:uid="{C75BD5D5-3866-40FA-A315-5F39F45D1B4D}"/>
    <cellStyle name="输出 2 3 2 2 2 2" xfId="37568" xr:uid="{1BC44BEE-5033-4DDA-9D55-AA9E6E74CB03}"/>
    <cellStyle name="输出 2 3 2 2 3" xfId="27952" xr:uid="{F88E9B45-E825-4A45-8035-E9F5CE4E52A8}"/>
    <cellStyle name="输出 2 3 2 3" xfId="36462" xr:uid="{133FA85B-997F-4573-B20D-88283496D61C}"/>
    <cellStyle name="输出 2 3 3" xfId="24823" xr:uid="{6CFEB026-4893-471B-AC77-CB5D369BD219}"/>
    <cellStyle name="输出 2 3 3 2" xfId="24824" xr:uid="{BFBC9F8A-0402-4D37-A35C-2BFE6D4072A1}"/>
    <cellStyle name="输出 2 3 3 2 2" xfId="27141" xr:uid="{C3A3FB28-BBB5-428D-8240-59F4FF64BF3C}"/>
    <cellStyle name="输出 2 3 3 2 2 2" xfId="38658" xr:uid="{8F05E7FB-B95C-4D55-A8D4-BC2764E9DC7D}"/>
    <cellStyle name="输出 2 3 3 2 3" xfId="36463" xr:uid="{7A5CA9F5-615A-4FEF-B7AC-C1A05440A5D4}"/>
    <cellStyle name="输出 2 3 3 3" xfId="38337" xr:uid="{E97830DD-8EED-45A9-9C10-0ED30E25CD3E}"/>
    <cellStyle name="输出 2 3 4" xfId="24825" xr:uid="{699E063B-93A6-4892-97C2-04FF6F3857BD}"/>
    <cellStyle name="输出 2 3 4 2" xfId="24826" xr:uid="{BA3471E1-AF4F-490D-9B49-9E13DD6B2BF5}"/>
    <cellStyle name="输出 2 3 4 2 2" xfId="27142" xr:uid="{2CCF181E-AB8B-4AE0-92A0-CC31616DDD6B}"/>
    <cellStyle name="输出 2 3 4 2 2 2" xfId="37569" xr:uid="{830C3635-852E-4DAE-B7EF-D8B7E9A9C66A}"/>
    <cellStyle name="输出 2 3 4 2 3" xfId="38338" xr:uid="{05F27C4A-2B76-4371-A9BC-F51E253DA253}"/>
    <cellStyle name="输出 2 3 4 3" xfId="36464" xr:uid="{26398989-DD96-40E1-A0C7-6E405500E82E}"/>
    <cellStyle name="输出 2 3 5" xfId="24827" xr:uid="{E48658FA-E4FB-411A-88AD-CDAC88541881}"/>
    <cellStyle name="输出 2 3 5 2" xfId="24828" xr:uid="{91443B25-BA77-4A0B-96F0-CE74B0771634}"/>
    <cellStyle name="输出 2 3 5 2 2" xfId="27143" xr:uid="{346233DB-2128-4001-AD41-31FA241D906B}"/>
    <cellStyle name="输出 2 3 5 2 2 2" xfId="37570" xr:uid="{32851F70-76CD-490F-85E6-CCC86FCD9EAC}"/>
    <cellStyle name="输出 2 3 5 2 3" xfId="36465" xr:uid="{AAE1B700-974A-448A-B236-746822DE9C53}"/>
    <cellStyle name="输出 2 3 5 3" xfId="37823" xr:uid="{E4F8AC34-D61C-4745-8D8F-6CEACAB9A724}"/>
    <cellStyle name="输出 2 3 6" xfId="24829" xr:uid="{A8145056-1459-490A-89AC-DEC8D819F598}"/>
    <cellStyle name="输出 2 3 6 2" xfId="24830" xr:uid="{D95925EB-D8D2-4D48-B1F3-69D6658D2C12}"/>
    <cellStyle name="输出 2 3 6 2 2" xfId="27144" xr:uid="{64415D01-3589-4E3F-963F-1198008FACFE}"/>
    <cellStyle name="输出 2 3 6 2 2 2" xfId="38659" xr:uid="{F7C43B39-3568-48B1-A72E-A23653FD13FE}"/>
    <cellStyle name="输出 2 3 6 2 3" xfId="38339" xr:uid="{DBF56BF8-2914-40D2-81AF-7DD38ABAD2B1}"/>
    <cellStyle name="输出 2 3 6 3" xfId="36466" xr:uid="{84579325-4367-4EA5-B28E-6B0AD9AA4101}"/>
    <cellStyle name="输出 2 3 7" xfId="24831" xr:uid="{5CB2E707-BCD8-44E0-8FC2-1B38B9086DFD}"/>
    <cellStyle name="输出 2 3 7 2" xfId="24832" xr:uid="{279618A7-85CE-4B0C-9AAA-7A13BC951551}"/>
    <cellStyle name="输出 2 3 7 2 2" xfId="27145" xr:uid="{1E1E18A5-AE68-4F39-A4D0-7B2F1D97B620}"/>
    <cellStyle name="输出 2 3 7 2 2 2" xfId="37571" xr:uid="{67A48866-AD0A-45F8-B86A-D5A1F5A8F48C}"/>
    <cellStyle name="输出 2 3 7 2 3" xfId="36467" xr:uid="{88CBC082-4F75-4812-A029-F9F32B0C64D3}"/>
    <cellStyle name="输出 2 3 7 3" xfId="27953" xr:uid="{CF13E1DF-9591-4C0C-BC1D-30BA81A8EDFF}"/>
    <cellStyle name="输出 2 3 8" xfId="24833" xr:uid="{07717836-2541-4261-ABD2-1B19C0890582}"/>
    <cellStyle name="输出 2 3 8 2" xfId="24834" xr:uid="{E3E70EC7-7B0F-479F-A403-6B238C3F2762}"/>
    <cellStyle name="输出 2 3 8 2 2" xfId="27146" xr:uid="{90C7E522-4D8D-41F6-9C93-F0E7267615AD}"/>
    <cellStyle name="输出 2 3 8 2 2 2" xfId="37572" xr:uid="{B684A931-1B2E-4BD3-8847-29424D4EE9AC}"/>
    <cellStyle name="输出 2 3 8 2 3" xfId="36468" xr:uid="{4D715339-8212-4F97-8F7F-58A6278E05B4}"/>
    <cellStyle name="输出 2 3 8 3" xfId="27954" xr:uid="{5EB9C354-801D-4A9C-8F64-B707538B85DC}"/>
    <cellStyle name="输出 2 3 9" xfId="24835" xr:uid="{B607040D-3BF9-4000-AD94-8487C1BFC361}"/>
    <cellStyle name="输出 2 3 9 2" xfId="24836" xr:uid="{99EC2792-30E4-4ADF-977D-9621E8B9A578}"/>
    <cellStyle name="输出 2 3 9 2 2" xfId="27147" xr:uid="{9AEFF15C-16F4-4E39-A98F-B7CD47CFD332}"/>
    <cellStyle name="输出 2 3 9 2 2 2" xfId="38660" xr:uid="{12D06D6E-B208-447A-AEDD-DCA8A03166FD}"/>
    <cellStyle name="输出 2 3 9 2 3" xfId="27955" xr:uid="{FDF5AD45-B5AE-4A6B-8EE8-F69F69C11682}"/>
    <cellStyle name="输出 2 3 9 3" xfId="38340" xr:uid="{27FC810B-6850-4622-8059-13C8A393D322}"/>
    <cellStyle name="输出 2 4" xfId="24837" xr:uid="{9BF53AD5-EEA5-40C7-ACB4-37C64E6DC0BC}"/>
    <cellStyle name="输出 2 4 2" xfId="24838" xr:uid="{4373D6CB-2DC6-404D-9B8D-350655E65EA4}"/>
    <cellStyle name="输出 2 4 2 2" xfId="27148" xr:uid="{82B601A0-E310-4E0D-BEBE-29750A22A19D}"/>
    <cellStyle name="输出 2 4 2 2 2" xfId="37573" xr:uid="{B1284DB3-3920-4AB7-8A34-6C9398EF6933}"/>
    <cellStyle name="输出 2 4 2 3" xfId="36470" xr:uid="{D173CA3E-2A30-4FBB-87BA-9EBCA9E76E3C}"/>
    <cellStyle name="输出 2 4 3" xfId="36469" xr:uid="{1E2CBB45-B5F0-4BE8-B776-38AB1154FBF0}"/>
    <cellStyle name="输出 2 5" xfId="24839" xr:uid="{51A75004-A971-4A2F-9B2F-ADB672F478CF}"/>
    <cellStyle name="输出 2 5 2" xfId="24840" xr:uid="{C9C372E1-7AE4-4416-A9AD-AD7C3435215F}"/>
    <cellStyle name="输出 2 5 2 2" xfId="27149" xr:uid="{C5DA6000-455C-45E4-BEC7-AA12C460C0E9}"/>
    <cellStyle name="输出 2 5 2 2 2" xfId="37574" xr:uid="{252D1512-F286-4996-B608-D5069FF29D2C}"/>
    <cellStyle name="输出 2 5 2 3" xfId="36471" xr:uid="{BB8619C9-282B-426A-AD77-C3084711636F}"/>
    <cellStyle name="输出 2 5 3" xfId="38341" xr:uid="{70524626-ABBE-4E4F-B7F7-A34B6CBCF31A}"/>
    <cellStyle name="输出 2 6" xfId="24841" xr:uid="{83A14320-9EE1-4F35-84BB-59CBEF79303B}"/>
    <cellStyle name="输出 2 6 2" xfId="24842" xr:uid="{CCDAE664-D6E6-4195-941B-2E5E994D4515}"/>
    <cellStyle name="输出 2 6 2 2" xfId="27150" xr:uid="{4B112977-5516-46EE-B856-C5B4293F4BB5}"/>
    <cellStyle name="输出 2 6 2 2 2" xfId="38661" xr:uid="{27EA9B12-3FD7-4F2D-8264-D8A5B75CEC2C}"/>
    <cellStyle name="输出 2 6 2 3" xfId="38342" xr:uid="{C0F05E68-AD0E-4B9E-9573-7B5425F5ED2E}"/>
    <cellStyle name="输出 2 6 3" xfId="36472" xr:uid="{F2D0B302-2C12-4B84-8F74-A44513C8C76C}"/>
    <cellStyle name="输出 2 7" xfId="24843" xr:uid="{3C8025D7-6F2D-47E7-A4A9-34B4D4394456}"/>
    <cellStyle name="输出 2 7 2" xfId="24844" xr:uid="{86485221-022B-4EC4-99B1-85255572BAD5}"/>
    <cellStyle name="输出 2 7 2 2" xfId="27151" xr:uid="{2B0AE11F-BFDE-4A4D-9485-1B43412A17BB}"/>
    <cellStyle name="输出 2 7 2 2 2" xfId="37575" xr:uid="{8A5C8F3E-8F15-4F75-8446-26DFBCBCE7DA}"/>
    <cellStyle name="输出 2 7 2 3" xfId="27956" xr:uid="{8F776178-D759-4F8F-BE97-B83E533681BC}"/>
    <cellStyle name="输出 2 7 3" xfId="36473" xr:uid="{8A990035-2655-4006-9886-A9798EBC433F}"/>
    <cellStyle name="输出 2 8" xfId="24845" xr:uid="{DA438A15-0652-4175-B84F-367EED6BBF99}"/>
    <cellStyle name="输出 2 8 2" xfId="24846" xr:uid="{D1AA6137-7624-4691-9BEF-D37C42F9B87D}"/>
    <cellStyle name="输出 2 8 2 2" xfId="27152" xr:uid="{D658439F-AD7A-4C6C-A94C-551D71C12B4C}"/>
    <cellStyle name="输出 2 8 2 2 2" xfId="37576" xr:uid="{9871F8FC-9A7A-45B5-A554-2EFA72A66767}"/>
    <cellStyle name="输出 2 8 2 3" xfId="38343" xr:uid="{6AED6C40-B686-4972-AF64-9A3249A0DBA3}"/>
    <cellStyle name="输出 2 8 3" xfId="36474" xr:uid="{2D6638B8-4C39-449E-A882-C8E6C112229C}"/>
    <cellStyle name="输出 2 9" xfId="24847" xr:uid="{3B765233-D553-40A2-8B91-B774A9C084FB}"/>
    <cellStyle name="输出 2 9 2" xfId="24848" xr:uid="{98686752-5262-42CF-A236-E6F7767A316F}"/>
    <cellStyle name="输出 2 9 2 2" xfId="27153" xr:uid="{C631AA98-C704-428C-8296-FB4A402EBB4D}"/>
    <cellStyle name="输出 2 9 2 2 2" xfId="38662" xr:uid="{DE037CBF-A030-4CE8-A075-45DE1C9F3CD5}"/>
    <cellStyle name="输出 2 9 2 3" xfId="36476" xr:uid="{A728BF21-FC77-4AB9-B53B-58A5E615A8ED}"/>
    <cellStyle name="输出 2 9 3" xfId="36475" xr:uid="{7833DF0C-AF04-4B13-AA5D-218DEA01F01F}"/>
    <cellStyle name="输出 20" xfId="24849" xr:uid="{78BC4B84-11FD-4605-9A5F-F7B4889A5323}"/>
    <cellStyle name="输出 20 2" xfId="24850" xr:uid="{DCBD6D52-41A1-408D-8D09-145987B903E5}"/>
    <cellStyle name="输出 20 2 2" xfId="27154" xr:uid="{7E7C68B8-9E7B-4AFB-8A50-0173C3A7450C}"/>
    <cellStyle name="输出 20 2 2 2" xfId="37577" xr:uid="{78F3D583-CD68-4999-8C61-A9A7C4B924DC}"/>
    <cellStyle name="输出 20 2 3" xfId="36477" xr:uid="{406A71F7-10B3-4F5F-9A6A-E8FD6F307B78}"/>
    <cellStyle name="输出 20 3" xfId="38344" xr:uid="{C416DE9D-1411-446E-A20C-7A01433FC808}"/>
    <cellStyle name="输出 21" xfId="24851" xr:uid="{27B63405-C00C-4EFB-AF55-A2ADEEEBC4CB}"/>
    <cellStyle name="输出 21 2" xfId="24852" xr:uid="{415E2143-210D-4A59-B45E-799DBCA0002C}"/>
    <cellStyle name="输出 21 2 2" xfId="27155" xr:uid="{96604EB9-464C-4702-A3E9-FDCFE5D50496}"/>
    <cellStyle name="输出 21 2 2 2" xfId="37578" xr:uid="{59407419-00FD-42BE-BE3E-34F87AF30AF3}"/>
    <cellStyle name="输出 21 2 3" xfId="38345" xr:uid="{3B1D6E29-9746-4386-9839-ECA76059409D}"/>
    <cellStyle name="输出 21 3" xfId="36478" xr:uid="{07D5F639-6435-4477-BDAE-7B320640A397}"/>
    <cellStyle name="输出 22" xfId="24853" xr:uid="{FB439249-DD9F-4C97-9E14-7301F5C52A39}"/>
    <cellStyle name="输出 22 2" xfId="27156" xr:uid="{2F156238-2DA8-4FFF-81EB-3EF073D5FFEC}"/>
    <cellStyle name="输出 22 2 2" xfId="38663" xr:uid="{756E5C6B-F265-4E6D-80D1-79282206B252}"/>
    <cellStyle name="输出 22 3" xfId="36479" xr:uid="{FD2043DD-C703-4F0C-8A92-E929EDBF0EA9}"/>
    <cellStyle name="输出 23" xfId="36394" xr:uid="{99AF875D-E5F2-4CCB-A6E5-27B47FC17E3E}"/>
    <cellStyle name="输出 3" xfId="24854" xr:uid="{A7813517-AF55-4BF6-B039-4E29CD734913}"/>
    <cellStyle name="输出 3 10" xfId="24855" xr:uid="{36656CEB-E973-414A-AC9E-B7D57D9002C2}"/>
    <cellStyle name="输出 3 10 2" xfId="38346" xr:uid="{D23358BA-A345-4BF9-8CFE-638B78D0A54F}"/>
    <cellStyle name="输出 3 11" xfId="24856" xr:uid="{84094F67-93BD-41E6-8BD3-D6F9A1F47E83}"/>
    <cellStyle name="输出 3 11 2" xfId="27957" xr:uid="{697F61EE-3125-42E9-A28F-9193639A7AAF}"/>
    <cellStyle name="输出 3 12" xfId="24857" xr:uid="{2A68B16A-F736-4F09-9935-66637F4AE70A}"/>
    <cellStyle name="输出 3 12 2" xfId="36481" xr:uid="{5ADD9003-2231-4640-8BEA-84A32141E76E}"/>
    <cellStyle name="输出 3 13" xfId="24858" xr:uid="{33F82117-5597-4BE6-B693-B60B2A40693E}"/>
    <cellStyle name="输出 3 13 2" xfId="27958" xr:uid="{2D62E9AA-E048-49E2-A644-2E37206DC1DF}"/>
    <cellStyle name="输出 3 14" xfId="24859" xr:uid="{29687FA9-569E-4345-8D14-54B9BB80E9BF}"/>
    <cellStyle name="输出 3 14 2" xfId="36482" xr:uid="{E959DCD7-F9DF-4E11-85B9-7E323A753AA5}"/>
    <cellStyle name="输出 3 15" xfId="24860" xr:uid="{6ADB7CB4-F9BA-4EC3-B647-D3014ACA4E11}"/>
    <cellStyle name="输出 3 15 2" xfId="38347" xr:uid="{6C6C1DB4-077E-42B3-89A4-953000F66F82}"/>
    <cellStyle name="输出 3 16" xfId="24861" xr:uid="{169873CB-9CE9-40F1-B710-628660E66FD8}"/>
    <cellStyle name="输出 3 16 2" xfId="36483" xr:uid="{717AF519-8E88-4A52-B243-2D78BCDB4BDD}"/>
    <cellStyle name="输出 3 17" xfId="24862" xr:uid="{91A5D076-FF4D-44FE-B1BF-322E34E764A2}"/>
    <cellStyle name="输出 3 17 2" xfId="36484" xr:uid="{014AC2A0-399A-4B96-82A9-D42395C4A030}"/>
    <cellStyle name="输出 3 18" xfId="24863" xr:uid="{89DD3101-8887-47EA-A983-6A0EDC679DAB}"/>
    <cellStyle name="输出 3 18 2" xfId="38348" xr:uid="{A971FEAA-189D-4905-97AC-1EBABED30DD3}"/>
    <cellStyle name="输出 3 19" xfId="24864" xr:uid="{F80189A0-182C-40AA-80B7-C28DB54B0C54}"/>
    <cellStyle name="输出 3 19 2" xfId="36485" xr:uid="{45EA882A-33C9-4D4F-826F-F35FC79771D6}"/>
    <cellStyle name="输出 3 2" xfId="24865" xr:uid="{EF0D8E36-157F-4DC6-870E-873EC6C47DE4}"/>
    <cellStyle name="输出 3 2 10" xfId="24866" xr:uid="{631C1F5D-C63D-4239-8656-1EA123DA7CFE}"/>
    <cellStyle name="输出 3 2 10 2" xfId="24867" xr:uid="{E0F305A8-81FE-451D-9394-21E7E77390DC}"/>
    <cellStyle name="输出 3 2 10 2 2" xfId="27157" xr:uid="{AD15BA68-8D5E-4607-AB0D-F634AFD70200}"/>
    <cellStyle name="输出 3 2 10 2 2 2" xfId="37579" xr:uid="{85EA8F9A-63CA-419D-B53A-065300E93BF7}"/>
    <cellStyle name="输出 3 2 10 2 3" xfId="36487" xr:uid="{89694EA4-7BFD-43B7-A803-5AD444B8B804}"/>
    <cellStyle name="输出 3 2 10 3" xfId="27959" xr:uid="{01E1FA4E-B8D6-470C-B36A-B22CC56AAB3B}"/>
    <cellStyle name="输出 3 2 11" xfId="24868" xr:uid="{7BF38F2F-3F50-46C7-948E-7D3813AA4B48}"/>
    <cellStyle name="输出 3 2 11 2" xfId="24869" xr:uid="{0BA42FB1-6694-46AA-AA76-CA720C6A4A9E}"/>
    <cellStyle name="输出 3 2 11 2 2" xfId="27158" xr:uid="{846597F1-5341-494D-B851-8792D8782397}"/>
    <cellStyle name="输出 3 2 11 2 2 2" xfId="37580" xr:uid="{BB344781-03F2-4A83-A491-D96EA1D17C53}"/>
    <cellStyle name="输出 3 2 11 2 3" xfId="36488" xr:uid="{E70210AD-C392-4238-BA10-13D58A81C3A7}"/>
    <cellStyle name="输出 3 2 11 3" xfId="27960" xr:uid="{37D5E579-84F5-4003-A926-72B5F582A208}"/>
    <cellStyle name="输出 3 2 12" xfId="24870" xr:uid="{2A8E1472-36C4-4D70-8584-E41CABAEA1D1}"/>
    <cellStyle name="输出 3 2 12 2" xfId="24871" xr:uid="{485C8AA5-361D-4DAB-90CF-1D2F4585CB52}"/>
    <cellStyle name="输出 3 2 12 2 2" xfId="27159" xr:uid="{4716C731-2A9B-4C55-9293-B4A49ECCD5C4}"/>
    <cellStyle name="输出 3 2 12 2 2 2" xfId="38664" xr:uid="{86A911A1-3B7D-41DB-864F-07CD47F474C6}"/>
    <cellStyle name="输出 3 2 12 2 3" xfId="27961" xr:uid="{06E172F2-5F37-4ABA-B5C5-4526E8073AAF}"/>
    <cellStyle name="输出 3 2 12 3" xfId="36489" xr:uid="{18DF76B5-6994-4551-A939-C208DB50CD02}"/>
    <cellStyle name="输出 3 2 13" xfId="24872" xr:uid="{FC27BAA8-C9B1-42C1-9BEC-56A40CA2265C}"/>
    <cellStyle name="输出 3 2 13 2" xfId="24873" xr:uid="{E2794246-E484-47E9-9E93-61FD176FA72A}"/>
    <cellStyle name="输出 3 2 13 2 2" xfId="27160" xr:uid="{E95A248D-59FA-4802-BB08-71074C1CDB1D}"/>
    <cellStyle name="输出 3 2 13 2 2 2" xfId="37581" xr:uid="{6F87CF8C-3E03-4F76-94C4-18A1A373577A}"/>
    <cellStyle name="输出 3 2 13 2 3" xfId="36490" xr:uid="{B8E3FC02-82F1-42CA-8B6F-0E57B7575307}"/>
    <cellStyle name="输出 3 2 13 3" xfId="38349" xr:uid="{35D6A4A7-B80D-423B-A237-CE051441093F}"/>
    <cellStyle name="输出 3 2 14" xfId="24874" xr:uid="{D9666863-21A9-495F-8932-AB5AB233522D}"/>
    <cellStyle name="输出 3 2 14 2" xfId="24875" xr:uid="{33185E9D-BB5E-46CE-8716-E60F83C1AD2A}"/>
    <cellStyle name="输出 3 2 14 2 2" xfId="27161" xr:uid="{FC3E6E16-4869-43F5-8F65-F8BFD18EFA11}"/>
    <cellStyle name="输出 3 2 14 2 2 2" xfId="37582" xr:uid="{6E55F16C-6F37-43F1-94FB-0FC9EFE67C87}"/>
    <cellStyle name="输出 3 2 14 2 3" xfId="36491" xr:uid="{D0528976-0D19-4277-BEBE-688D5728BA70}"/>
    <cellStyle name="输出 3 2 14 3" xfId="38350" xr:uid="{C83DD450-0D4B-4C2C-ABE0-E3102512C097}"/>
    <cellStyle name="输出 3 2 15" xfId="24876" xr:uid="{5DB7BB4A-9550-4069-AB35-C2D0469905C8}"/>
    <cellStyle name="输出 3 2 15 2" xfId="24877" xr:uid="{4594503B-A257-4C4E-A39B-5E67B7D24A24}"/>
    <cellStyle name="输出 3 2 15 2 2" xfId="27162" xr:uid="{D1E3D59C-534D-49A1-985F-DB2C23AD10E4}"/>
    <cellStyle name="输出 3 2 15 2 2 2" xfId="37583" xr:uid="{E13DCAC2-051A-418C-BB77-0D86035963F5}"/>
    <cellStyle name="输出 3 2 15 2 3" xfId="36492" xr:uid="{B416C452-1F3B-480C-8411-4B7AAFAE8319}"/>
    <cellStyle name="输出 3 2 15 3" xfId="27962" xr:uid="{234D804D-6365-4F0E-BEE2-CFE638B0AE10}"/>
    <cellStyle name="输出 3 2 16" xfId="24878" xr:uid="{F8A9DA4A-BD78-4A30-8F0D-C753ADB7E2BF}"/>
    <cellStyle name="输出 3 2 16 2" xfId="24879" xr:uid="{20622426-67B2-4183-A7FD-9E7C14285FBC}"/>
    <cellStyle name="输出 3 2 16 2 2" xfId="27163" xr:uid="{C7BA77BD-FCCD-40E5-8258-72619D598745}"/>
    <cellStyle name="输出 3 2 16 2 2 2" xfId="38665" xr:uid="{281A3069-8FF7-4A97-B00A-6978ED714D62}"/>
    <cellStyle name="输出 3 2 16 2 3" xfId="38351" xr:uid="{C51C5D3F-4F2B-4BEE-916D-DED06D7220F7}"/>
    <cellStyle name="输出 3 2 16 3" xfId="36493" xr:uid="{96828C27-8472-47CF-829A-79E053C75977}"/>
    <cellStyle name="输出 3 2 17" xfId="24880" xr:uid="{0568DDE5-5B02-4556-AA17-483EAEE546B7}"/>
    <cellStyle name="输出 3 2 17 2" xfId="24881" xr:uid="{BDD97325-D2DA-484B-9F3A-4E31A7AC625E}"/>
    <cellStyle name="输出 3 2 17 2 2" xfId="27164" xr:uid="{E4BD5320-E92D-46D9-B067-CA2B41BA1F98}"/>
    <cellStyle name="输出 3 2 17 2 2 2" xfId="37584" xr:uid="{C6D4510F-BB34-49AB-B58D-6AA22C67A171}"/>
    <cellStyle name="输出 3 2 17 2 3" xfId="36494" xr:uid="{1F44E13C-B0B9-4B51-93DD-AE9A2FD4BF64}"/>
    <cellStyle name="输出 3 2 17 3" xfId="37824" xr:uid="{7717E92E-B55B-4175-BBBD-CA9CA8C2CB8F}"/>
    <cellStyle name="输出 3 2 18" xfId="24882" xr:uid="{9553F2E5-D38F-42E3-A137-9F2DBBADFE00}"/>
    <cellStyle name="输出 3 2 18 2" xfId="24883" xr:uid="{120ACAF9-BF7F-47C3-AFC7-49DACB9A12F1}"/>
    <cellStyle name="输出 3 2 18 2 2" xfId="27165" xr:uid="{139BB897-4B1F-49D6-8F0C-D219FCF56160}"/>
    <cellStyle name="输出 3 2 18 2 2 2" xfId="37585" xr:uid="{3BC79A5C-8D69-4CB3-BC96-B878715D2891}"/>
    <cellStyle name="输出 3 2 18 2 3" xfId="36495" xr:uid="{643F9DF8-3479-47B7-B708-C71DC9F1A3CC}"/>
    <cellStyle name="输出 3 2 18 3" xfId="27963" xr:uid="{0CD6B614-2689-4C09-8594-1C2460997BA4}"/>
    <cellStyle name="输出 3 2 19" xfId="24884" xr:uid="{182824D1-96F6-4FAC-AB97-6605A6DF4173}"/>
    <cellStyle name="输出 3 2 19 2" xfId="27166" xr:uid="{D2B51287-38F9-451B-8402-798969832997}"/>
    <cellStyle name="输出 3 2 19 2 2" xfId="38666" xr:uid="{1B390141-C191-4A7D-A143-80CD21EE052D}"/>
    <cellStyle name="输出 3 2 19 3" xfId="38352" xr:uid="{8D52BAE9-0E70-42B9-A4D5-EDE832842994}"/>
    <cellStyle name="输出 3 2 2" xfId="24885" xr:uid="{42426448-92B8-44A8-8B20-457CFB3D5BB4}"/>
    <cellStyle name="输出 3 2 2 10" xfId="24886" xr:uid="{5761DD60-1D3A-4147-A5BF-1C7027F5DDFB}"/>
    <cellStyle name="输出 3 2 2 10 2" xfId="24887" xr:uid="{A9C598E8-573A-4DA1-A6C5-ABB12E5ACB88}"/>
    <cellStyle name="输出 3 2 2 10 2 2" xfId="27167" xr:uid="{23CB2AD0-DE54-4192-A348-863AB1B0613D}"/>
    <cellStyle name="输出 3 2 2 10 2 2 2" xfId="37586" xr:uid="{EBFB3671-0B9B-4828-A3E0-8026192F108F}"/>
    <cellStyle name="输出 3 2 2 10 2 3" xfId="36497" xr:uid="{3098A696-2EA8-45E3-969D-0C8B9D44FB75}"/>
    <cellStyle name="输出 3 2 2 10 3" xfId="36496" xr:uid="{67C66763-67E6-4122-9BAD-2BB5CBF05B48}"/>
    <cellStyle name="输出 3 2 2 11" xfId="24888" xr:uid="{BB1C9059-51F7-4A1A-B7DE-0B2D735E1E08}"/>
    <cellStyle name="输出 3 2 2 11 2" xfId="24889" xr:uid="{EB545722-9B11-4209-92CB-602838E61CAE}"/>
    <cellStyle name="输出 3 2 2 11 2 2" xfId="27168" xr:uid="{5247030D-5C8C-4787-93D5-84A68BC7CBAF}"/>
    <cellStyle name="输出 3 2 2 11 2 2 2" xfId="37587" xr:uid="{4FD13381-EED4-4925-9FAC-4F334C34FB25}"/>
    <cellStyle name="输出 3 2 2 11 2 3" xfId="36498" xr:uid="{04E287A8-99D1-4CB6-B495-D8FF4CE60B35}"/>
    <cellStyle name="输出 3 2 2 11 3" xfId="38353" xr:uid="{E86868B9-45FC-4824-AF31-3D8E3629C52A}"/>
    <cellStyle name="输出 3 2 2 12" xfId="24890" xr:uid="{AC54CB11-7794-4F72-9762-AA47968AFD65}"/>
    <cellStyle name="输出 3 2 2 12 2" xfId="24891" xr:uid="{9D29378B-0280-4AA3-9FFB-534662B9F62C}"/>
    <cellStyle name="输出 3 2 2 12 2 2" xfId="27169" xr:uid="{0F44FA77-74B4-4BB1-BB39-5AD3486AFA96}"/>
    <cellStyle name="输出 3 2 2 12 2 2 2" xfId="38667" xr:uid="{5DAD75F9-E8E4-491E-A628-CEE468C6CC57}"/>
    <cellStyle name="输出 3 2 2 12 2 3" xfId="38354" xr:uid="{A87B614C-FEDE-470E-9F71-DE294AB808B5}"/>
    <cellStyle name="输出 3 2 2 12 3" xfId="36499" xr:uid="{822B041F-4141-43C2-A761-A178765B09BB}"/>
    <cellStyle name="输出 3 2 2 13" xfId="24892" xr:uid="{E2B93F33-2CB7-43C9-8AC1-DA9BF4ED41C1}"/>
    <cellStyle name="输出 3 2 2 13 2" xfId="24893" xr:uid="{A9361553-9302-4196-9F61-E1BBA4AE9601}"/>
    <cellStyle name="输出 3 2 2 13 2 2" xfId="27170" xr:uid="{527064BA-CF44-46C6-8657-0A8A6D6C9834}"/>
    <cellStyle name="输出 3 2 2 13 2 2 2" xfId="37588" xr:uid="{B927371E-D376-4EA4-A571-9132830A0196}"/>
    <cellStyle name="输出 3 2 2 13 2 3" xfId="27965" xr:uid="{552EF995-87D6-449E-973A-355F4DFB084E}"/>
    <cellStyle name="输出 3 2 2 13 3" xfId="36500" xr:uid="{F291602B-2E99-473F-ADAB-F55ABB77E346}"/>
    <cellStyle name="输出 3 2 2 14" xfId="24894" xr:uid="{A2B7ABB7-01AC-46FB-8005-F5523315C7F8}"/>
    <cellStyle name="输出 3 2 2 14 2" xfId="24895" xr:uid="{B25CA4CE-7AF9-4E23-BF31-59BCFA1B2B20}"/>
    <cellStyle name="输出 3 2 2 14 2 2" xfId="27171" xr:uid="{B42FB95A-2B69-432E-A614-9F66E4D99369}"/>
    <cellStyle name="输出 3 2 2 14 2 2 2" xfId="37589" xr:uid="{B3AAB701-D0DC-4298-A7F4-9D2C4D3C3859}"/>
    <cellStyle name="输出 3 2 2 14 2 3" xfId="27966" xr:uid="{23D35A04-48EE-456E-A7EC-6E21DF86C08C}"/>
    <cellStyle name="输出 3 2 2 14 3" xfId="36501" xr:uid="{B3EFA677-A131-4804-A41E-0A93EA0958F5}"/>
    <cellStyle name="输出 3 2 2 15" xfId="24896" xr:uid="{A8DED060-BC73-4706-931D-38540DB87480}"/>
    <cellStyle name="输出 3 2 2 15 2" xfId="27172" xr:uid="{D0AB098D-AB34-4F5D-85CB-377004AE19A2}"/>
    <cellStyle name="输出 3 2 2 15 2 2" xfId="38668" xr:uid="{EF25378C-0383-4DE9-B2C4-A65880BD5F7D}"/>
    <cellStyle name="输出 3 2 2 15 3" xfId="38355" xr:uid="{ABE4901C-6BA3-427E-A83E-674E6911D33C}"/>
    <cellStyle name="输出 3 2 2 16" xfId="27964" xr:uid="{FD591B57-03C1-4FCC-A7A3-A299FEF95BC8}"/>
    <cellStyle name="输出 3 2 2 2" xfId="24897" xr:uid="{84117A92-337B-4201-9FB5-847128B55C2D}"/>
    <cellStyle name="输出 3 2 2 2 2" xfId="24898" xr:uid="{9EA56DC5-A29B-4C27-A3E2-EA615D247814}"/>
    <cellStyle name="输出 3 2 2 2 2 2" xfId="27173" xr:uid="{F732F91F-B9FB-4FA3-AE9F-2BD4302A81B8}"/>
    <cellStyle name="输出 3 2 2 2 2 2 2" xfId="37590" xr:uid="{638B5EA3-3870-4139-95C7-6922B0974F93}"/>
    <cellStyle name="输出 3 2 2 2 2 3" xfId="27967" xr:uid="{79265AC4-CB9F-4CD0-8337-95C87F66C09E}"/>
    <cellStyle name="输出 3 2 2 2 3" xfId="36502" xr:uid="{95598C8F-12AC-460E-94D4-7F7A34B56618}"/>
    <cellStyle name="输出 3 2 2 3" xfId="24899" xr:uid="{7AFC76E3-74FF-4660-BAED-E50BD15BB7AD}"/>
    <cellStyle name="输出 3 2 2 3 2" xfId="24900" xr:uid="{9D943E63-7557-4505-9364-EE058DA73990}"/>
    <cellStyle name="输出 3 2 2 3 2 2" xfId="27174" xr:uid="{953B99AF-878C-42A7-A68A-D5228D35CB21}"/>
    <cellStyle name="输出 3 2 2 3 2 2 2" xfId="37591" xr:uid="{3CB19C3F-0077-4281-B726-4F80CA687B9D}"/>
    <cellStyle name="输出 3 2 2 3 2 3" xfId="38356" xr:uid="{C29C296F-AE60-47E9-8066-976C6BCE2AE8}"/>
    <cellStyle name="输出 3 2 2 3 3" xfId="36503" xr:uid="{5F39BB6A-23EB-4D73-A0B3-791C652F5930}"/>
    <cellStyle name="输出 3 2 2 4" xfId="24901" xr:uid="{909E1D6D-087C-4FD4-8EC4-AB564876F4EF}"/>
    <cellStyle name="输出 3 2 2 4 2" xfId="24902" xr:uid="{6093F0D6-F771-454F-A2D7-E9F7B2FB564C}"/>
    <cellStyle name="输出 3 2 2 4 2 2" xfId="27175" xr:uid="{308E4261-9FF4-4852-AF0C-9AE8AC982995}"/>
    <cellStyle name="输出 3 2 2 4 2 2 2" xfId="38669" xr:uid="{F29950F1-B44D-4AEF-9BFF-D66B824DCC2F}"/>
    <cellStyle name="输出 3 2 2 4 2 3" xfId="38357" xr:uid="{C34C02EE-1037-4E48-8666-55F114B3316F}"/>
    <cellStyle name="输出 3 2 2 4 3" xfId="36504" xr:uid="{9DFFD0FE-7BB8-4962-96F8-8957617432E4}"/>
    <cellStyle name="输出 3 2 2 5" xfId="24903" xr:uid="{0A818642-540F-4F6A-9841-6F34E4AC6E39}"/>
    <cellStyle name="输出 3 2 2 5 2" xfId="24904" xr:uid="{7EC724A0-776A-42FD-92EF-411D3D87DBF0}"/>
    <cellStyle name="输出 3 2 2 5 2 2" xfId="27176" xr:uid="{1F9E2BC4-EBEF-4237-B9D3-4D27B0F1C70D}"/>
    <cellStyle name="输出 3 2 2 5 2 2 2" xfId="37592" xr:uid="{D09A2380-0DBE-4B34-8A15-4ABD4BBEA8A0}"/>
    <cellStyle name="输出 3 2 2 5 2 3" xfId="36505" xr:uid="{EF5B1304-3290-4D49-9D2E-6849B6A00C67}"/>
    <cellStyle name="输出 3 2 2 5 3" xfId="27968" xr:uid="{81DF4683-7397-4B13-9439-7F897575B574}"/>
    <cellStyle name="输出 3 2 2 6" xfId="24905" xr:uid="{DB7153DC-CF2C-43B0-A6FB-65C745108832}"/>
    <cellStyle name="输出 3 2 2 6 2" xfId="24906" xr:uid="{3ACC037B-4DD7-4A05-B1F6-9BF0E5A08BF9}"/>
    <cellStyle name="输出 3 2 2 6 2 2" xfId="27177" xr:uid="{812B367A-DF94-411B-96E3-160BF1AC9198}"/>
    <cellStyle name="输出 3 2 2 6 2 2 2" xfId="38670" xr:uid="{D60688D8-A4BE-42CD-89FF-381B8471368F}"/>
    <cellStyle name="输出 3 2 2 6 2 3" xfId="38358" xr:uid="{C1E9B4AA-2EB8-44F1-BA42-D24D19B6BD33}"/>
    <cellStyle name="输出 3 2 2 6 3" xfId="36506" xr:uid="{53298467-A583-4CF1-853C-E47BFBDB1000}"/>
    <cellStyle name="输出 3 2 2 7" xfId="24907" xr:uid="{B5D617BB-5183-42A3-A2A0-2876FEC5096B}"/>
    <cellStyle name="输出 3 2 2 7 2" xfId="24908" xr:uid="{502B60C3-52DB-450E-B2FA-4AE3E3053DA0}"/>
    <cellStyle name="输出 3 2 2 7 2 2" xfId="27178" xr:uid="{8E0C8B72-B75F-4881-AD8F-1901EFCDD247}"/>
    <cellStyle name="输出 3 2 2 7 2 2 2" xfId="37593" xr:uid="{5C0EBE9E-7AC6-479F-A941-5F2214ACEE58}"/>
    <cellStyle name="输出 3 2 2 7 2 3" xfId="36507" xr:uid="{93CE781B-4AD5-461A-9B11-A2188C250F0B}"/>
    <cellStyle name="输出 3 2 2 7 3" xfId="27969" xr:uid="{8194DD56-7E6D-433C-94AB-8EDCF8565799}"/>
    <cellStyle name="输出 3 2 2 8" xfId="24909" xr:uid="{10249DD9-B695-4D52-8533-E8AE7B4A94E6}"/>
    <cellStyle name="输出 3 2 2 8 2" xfId="24910" xr:uid="{C44A6734-B8D5-4B5B-AF64-B95E42C9AFC9}"/>
    <cellStyle name="输出 3 2 2 8 2 2" xfId="27179" xr:uid="{99320726-FD8D-452B-9D4A-4A7B01C791C3}"/>
    <cellStyle name="输出 3 2 2 8 2 2 2" xfId="37594" xr:uid="{5B63E255-643B-47ED-AE90-09C09AD7B64F}"/>
    <cellStyle name="输出 3 2 2 8 2 3" xfId="36508" xr:uid="{E0FE3A4A-8D7B-49CB-AB73-AF586193624F}"/>
    <cellStyle name="输出 3 2 2 8 3" xfId="27970" xr:uid="{D6201CA6-4B57-4095-91F8-26EAE6CA75D4}"/>
    <cellStyle name="输出 3 2 2 9" xfId="24911" xr:uid="{BA8B5BCA-C271-4B23-9CD2-8F42B0DCBB48}"/>
    <cellStyle name="输出 3 2 2 9 2" xfId="24912" xr:uid="{E5D9DA8D-40DA-40AD-B9D5-D3302E1828EF}"/>
    <cellStyle name="输出 3 2 2 9 2 2" xfId="27180" xr:uid="{5FB41D74-A580-40C7-B923-7DA21F0F3AA6}"/>
    <cellStyle name="输出 3 2 2 9 2 2 2" xfId="38671" xr:uid="{5FB12D88-B3D2-48AC-BF1E-923D5CAA36B9}"/>
    <cellStyle name="输出 3 2 2 9 2 3" xfId="27971" xr:uid="{0DFC26E4-05B4-4143-A79E-0FDBE3270AAB}"/>
    <cellStyle name="输出 3 2 2 9 3" xfId="38359" xr:uid="{CD8E4361-D9AE-4801-A90B-C5403B21CC96}"/>
    <cellStyle name="输出 3 2 20" xfId="36486" xr:uid="{7EBB8B2E-B68D-4E56-A8DA-4FCD7BF33A22}"/>
    <cellStyle name="输出 3 2 3" xfId="24913" xr:uid="{530C95B7-35C8-49E2-B865-E70213168E47}"/>
    <cellStyle name="输出 3 2 3 2" xfId="24914" xr:uid="{ED910A18-BD9F-4EDC-B559-24B36B92AC83}"/>
    <cellStyle name="输出 3 2 3 2 2" xfId="27181" xr:uid="{0FB97A33-66D8-4C98-BFD2-089D560C899D}"/>
    <cellStyle name="输出 3 2 3 2 2 2" xfId="37595" xr:uid="{A9FD4BBC-A873-4209-A12D-289DFB7F0F73}"/>
    <cellStyle name="输出 3 2 3 2 3" xfId="36510" xr:uid="{345EF1C3-752A-4815-A769-5102BDFBA910}"/>
    <cellStyle name="输出 3 2 3 3" xfId="36509" xr:uid="{715273C4-86DF-4893-BA80-7AA2A7F226AD}"/>
    <cellStyle name="输出 3 2 4" xfId="24915" xr:uid="{2700E5BC-54A6-4A21-8882-B0BBE8F3319B}"/>
    <cellStyle name="输出 3 2 4 2" xfId="24916" xr:uid="{9E681484-9162-4C79-8596-0B1F77D03E17}"/>
    <cellStyle name="输出 3 2 4 2 2" xfId="27182" xr:uid="{BD7157A9-EC09-4D10-99F6-9BD02BC94793}"/>
    <cellStyle name="输出 3 2 4 2 2 2" xfId="37596" xr:uid="{622AAAF7-5F91-4E3C-A02E-E74EA64B9372}"/>
    <cellStyle name="输出 3 2 4 2 3" xfId="36511" xr:uid="{0C217FFA-A3AE-4E7B-BB95-F13C3EA02D3B}"/>
    <cellStyle name="输出 3 2 4 3" xfId="38360" xr:uid="{499B393A-75CC-45AF-9514-F4743BF34274}"/>
    <cellStyle name="输出 3 2 5" xfId="24917" xr:uid="{B915A257-D6CC-4D45-8950-393C8BC2D4D9}"/>
    <cellStyle name="输出 3 2 5 2" xfId="24918" xr:uid="{61C38CE0-C89E-444F-8672-734B0F1DC217}"/>
    <cellStyle name="输出 3 2 5 2 2" xfId="27183" xr:uid="{9C1DFA38-688B-458E-9F13-9D53D9CFE420}"/>
    <cellStyle name="输出 3 2 5 2 2 2" xfId="38672" xr:uid="{87CB5C4E-E5CF-405E-A702-2A4841CD062B}"/>
    <cellStyle name="输出 3 2 5 2 3" xfId="38361" xr:uid="{6FE8FCB2-2336-4C1E-B0A0-0568F7B97373}"/>
    <cellStyle name="输出 3 2 5 3" xfId="36512" xr:uid="{8A41B783-1DF2-46D1-BB5A-692A419F645E}"/>
    <cellStyle name="输出 3 2 6" xfId="24919" xr:uid="{D5F48B27-5C7F-4A0B-A9A9-7A3404D3DE41}"/>
    <cellStyle name="输出 3 2 6 2" xfId="24920" xr:uid="{E9954DCF-E8D7-42E1-873D-7A49A28AACFB}"/>
    <cellStyle name="输出 3 2 6 2 2" xfId="27184" xr:uid="{EBB950CA-47CD-4F8A-B931-C3CBD8DAD66D}"/>
    <cellStyle name="输出 3 2 6 2 2 2" xfId="37597" xr:uid="{E551AE5A-3DD6-43B3-B6BD-D85C74C77B8D}"/>
    <cellStyle name="输出 3 2 6 2 3" xfId="27972" xr:uid="{EE1AB5D5-7C11-4746-9828-6DD58BF3F355}"/>
    <cellStyle name="输出 3 2 6 3" xfId="36513" xr:uid="{98171DCE-B59B-4630-8213-BC7AADAF9B9D}"/>
    <cellStyle name="输出 3 2 7" xfId="24921" xr:uid="{63FA5771-3AB0-4FB6-9500-84DEE0316D24}"/>
    <cellStyle name="输出 3 2 7 2" xfId="24922" xr:uid="{232E5867-BA0D-4F1B-8571-5934F1AE2167}"/>
    <cellStyle name="输出 3 2 7 2 2" xfId="27185" xr:uid="{AE0C6788-7E70-4063-859B-8B37A7E2B475}"/>
    <cellStyle name="输出 3 2 7 2 2 2" xfId="37598" xr:uid="{F282EEDA-480E-4B11-A242-6ED388E0E670}"/>
    <cellStyle name="输出 3 2 7 2 3" xfId="37825" xr:uid="{AAA251DC-3843-44CC-8F43-9FC165016073}"/>
    <cellStyle name="输出 3 2 7 3" xfId="36514" xr:uid="{5A0B7636-DC3E-4DF6-9C87-DF51804C6D99}"/>
    <cellStyle name="输出 3 2 8" xfId="24923" xr:uid="{475B0044-905A-4FF5-9F4B-B6E07447564E}"/>
    <cellStyle name="输出 3 2 8 2" xfId="24924" xr:uid="{8512D790-27C7-4943-9D90-8C71255DB4E0}"/>
    <cellStyle name="输出 3 2 8 2 2" xfId="27186" xr:uid="{F025909C-34AC-429C-A035-594F9071DA7D}"/>
    <cellStyle name="输出 3 2 8 2 2 2" xfId="38673" xr:uid="{22D45868-4F57-4E01-A591-E67D49ED67A5}"/>
    <cellStyle name="输出 3 2 8 2 3" xfId="36515" xr:uid="{932D8E37-1E39-42FA-BF31-C1DEF7DCDDA1}"/>
    <cellStyle name="输出 3 2 8 3" xfId="38362" xr:uid="{950631DF-5771-44E2-B7AA-12BD77596C2E}"/>
    <cellStyle name="输出 3 2 9" xfId="24925" xr:uid="{AF0D9B6C-2212-41B8-8C62-3C822A2F027E}"/>
    <cellStyle name="输出 3 2 9 2" xfId="24926" xr:uid="{F4121A1B-80F6-4F4C-90C9-38FE98216089}"/>
    <cellStyle name="输出 3 2 9 2 2" xfId="27187" xr:uid="{E316E4DA-2E48-422D-BC72-886CDDAF2F23}"/>
    <cellStyle name="输出 3 2 9 2 2 2" xfId="37599" xr:uid="{6470DA7E-5F00-44B3-A491-A871EC89AFA1}"/>
    <cellStyle name="输出 3 2 9 2 3" xfId="36516" xr:uid="{07F2207B-F93B-4392-A6A6-4F12E5DE4580}"/>
    <cellStyle name="输出 3 2 9 3" xfId="27973" xr:uid="{AF1B3A03-01C2-4740-AC8A-EEF9D2BBE0D4}"/>
    <cellStyle name="输出 3 20" xfId="24927" xr:uid="{85C318A5-3EEA-4A89-AF2C-5069085475AE}"/>
    <cellStyle name="输出 3 20 2" xfId="38363" xr:uid="{8E88F5D0-1C59-41F8-A909-DC2BAD27BD1E}"/>
    <cellStyle name="输出 3 21" xfId="24928" xr:uid="{82EBDCD4-E845-4DA8-A2E5-D682775E3286}"/>
    <cellStyle name="输出 3 21 2" xfId="36517" xr:uid="{40C02816-6EE6-4FB6-A3BD-1E5C6D45AE50}"/>
    <cellStyle name="输出 3 22" xfId="24929" xr:uid="{66E972A7-6603-4A42-899F-9D81D2D8AC54}"/>
    <cellStyle name="输出 3 22 2" xfId="36518" xr:uid="{CB9ED3CA-20A6-4441-B258-0875D0C40233}"/>
    <cellStyle name="输出 3 23" xfId="24930" xr:uid="{C28ED222-D6C1-4A6C-896B-512897CBD3C8}"/>
    <cellStyle name="输出 3 23 2" xfId="27974" xr:uid="{2B3EEE7D-F4C6-44C7-B5FF-916C57BCA5DE}"/>
    <cellStyle name="输出 3 24" xfId="24931" xr:uid="{C37255A0-8D71-4E77-8FBF-D6D63896F2D2}"/>
    <cellStyle name="输出 3 24 2" xfId="38364" xr:uid="{7A7ED6E4-ADE8-4475-A524-1CC572359C47}"/>
    <cellStyle name="输出 3 25" xfId="24932" xr:uid="{8CCB4ED1-96BE-4969-BFBF-7A7DE9BF7328}"/>
    <cellStyle name="输出 3 25 2" xfId="27188" xr:uid="{F55E70B6-CDAA-4A11-A667-6B8011161BFB}"/>
    <cellStyle name="输出 3 25 2 2" xfId="37600" xr:uid="{B4CDDA3E-2AC1-4525-B5BF-29AE06192480}"/>
    <cellStyle name="输出 3 25 3" xfId="36519" xr:uid="{0BC91D01-8969-4C65-A9A5-280EF803837E}"/>
    <cellStyle name="输出 3 26" xfId="36480" xr:uid="{E59957C8-DD48-4FB9-98E9-EFB7BC20DF6D}"/>
    <cellStyle name="输出 3 3" xfId="24933" xr:uid="{365AAE81-D98A-4F88-8F98-3966CAF7DF86}"/>
    <cellStyle name="输出 3 3 10" xfId="24934" xr:uid="{F626FA5D-1AA9-4D30-8EAF-2120C66E85CE}"/>
    <cellStyle name="输出 3 3 10 2" xfId="24935" xr:uid="{2525F360-ECF6-4D18-944E-70FECACA271F}"/>
    <cellStyle name="输出 3 3 10 2 2" xfId="27189" xr:uid="{E5C5CDB3-AE2A-4452-8248-76AC649381D4}"/>
    <cellStyle name="输出 3 3 10 2 2 2" xfId="38674" xr:uid="{F0F975F7-EF39-4074-ADCC-D304FD37B9A4}"/>
    <cellStyle name="输出 3 3 10 2 3" xfId="38365" xr:uid="{A490EF20-0BDA-4045-BE32-6B62C9D788F3}"/>
    <cellStyle name="输出 3 3 10 3" xfId="27975" xr:uid="{FE7D9284-FF55-450A-9092-8A4D9EEA0B3A}"/>
    <cellStyle name="输出 3 3 11" xfId="24936" xr:uid="{C60FCA27-E22E-4C5A-901A-E9CEC47EA92A}"/>
    <cellStyle name="输出 3 3 11 2" xfId="24937" xr:uid="{59B955B4-2E98-4145-B4E9-334E25FFC13E}"/>
    <cellStyle name="输出 3 3 11 2 2" xfId="27190" xr:uid="{92649D4F-AFE6-4373-B068-8EB0B2F39890}"/>
    <cellStyle name="输出 3 3 11 2 2 2" xfId="37601" xr:uid="{786D02BA-BC90-4F42-B79C-BFBA37D2A0A5}"/>
    <cellStyle name="输出 3 3 11 2 3" xfId="36521" xr:uid="{E75C7882-AFB7-404B-82F2-6A353ABB5745}"/>
    <cellStyle name="输出 3 3 11 3" xfId="27976" xr:uid="{523260FF-2FBC-49B8-9E8C-9C125F7F8290}"/>
    <cellStyle name="输出 3 3 12" xfId="24938" xr:uid="{03760FF2-205E-4E0A-AED7-A94D89CF5E6C}"/>
    <cellStyle name="输出 3 3 12 2" xfId="24939" xr:uid="{6F8961D6-CF11-4879-98AF-ACA1E7378BC1}"/>
    <cellStyle name="输出 3 3 12 2 2" xfId="27191" xr:uid="{11759C87-69CF-437B-85C2-696404C87860}"/>
    <cellStyle name="输出 3 3 12 2 2 2" xfId="37602" xr:uid="{DFC8A8BB-67F2-402D-B61F-283BBD4E4E86}"/>
    <cellStyle name="输出 3 3 12 2 3" xfId="27977" xr:uid="{89D19858-9F86-41AF-B5DA-47F74EEA7501}"/>
    <cellStyle name="输出 3 3 12 3" xfId="36522" xr:uid="{9CBC32F4-18B5-43DF-8AF4-DD99168E8423}"/>
    <cellStyle name="输出 3 3 13" xfId="24940" xr:uid="{1B4B060D-ADB8-4F5A-88B9-085F75E3720F}"/>
    <cellStyle name="输出 3 3 13 2" xfId="24941" xr:uid="{33ACBC45-64CA-418B-82F0-44D479A38C3E}"/>
    <cellStyle name="输出 3 3 13 2 2" xfId="27192" xr:uid="{1DA2CCF9-A44B-452A-98AD-7F7F4C20BEC8}"/>
    <cellStyle name="输出 3 3 13 2 2 2" xfId="38675" xr:uid="{3BED878B-CA5B-470F-84E3-B751F5691946}"/>
    <cellStyle name="输出 3 3 13 2 3" xfId="36524" xr:uid="{0C7F39F5-233A-420C-BAA9-5EC0A3C85B64}"/>
    <cellStyle name="输出 3 3 13 3" xfId="36523" xr:uid="{83DBC45C-0C19-47ED-87B8-93B0E838BBD5}"/>
    <cellStyle name="输出 3 3 14" xfId="24942" xr:uid="{A9BF8F37-0C9D-4B34-88BD-DB57AEBBD008}"/>
    <cellStyle name="输出 3 3 14 2" xfId="24943" xr:uid="{B7CA24AA-3F89-4408-861E-5372EE6D2321}"/>
    <cellStyle name="输出 3 3 14 2 2" xfId="27193" xr:uid="{E87A64D3-DEF7-48B4-B014-0589C29D9471}"/>
    <cellStyle name="输出 3 3 14 2 2 2" xfId="37603" xr:uid="{06227986-8560-46CF-AFFD-7DC2C653F5D6}"/>
    <cellStyle name="输出 3 3 14 2 3" xfId="36526" xr:uid="{B256ACB2-B906-48CB-9375-CE77D54A80DD}"/>
    <cellStyle name="输出 3 3 14 3" xfId="36525" xr:uid="{4B111FAF-7C76-4413-B6CC-D94E70E0425F}"/>
    <cellStyle name="输出 3 3 15" xfId="24944" xr:uid="{F5BDEAC5-5327-41C1-AC68-249E3B5D7143}"/>
    <cellStyle name="输出 3 3 15 2" xfId="27194" xr:uid="{20BC147F-EF24-4065-9BB8-6DD28E476980}"/>
    <cellStyle name="输出 3 3 15 2 2" xfId="37604" xr:uid="{ECE22075-EB42-4763-8B46-6E349B65DADE}"/>
    <cellStyle name="输出 3 3 15 3" xfId="36527" xr:uid="{8C29BA80-8336-4B11-9110-D795FEE5295F}"/>
    <cellStyle name="输出 3 3 16" xfId="36520" xr:uid="{FD574126-418D-4997-B4C4-F994ABEA97AB}"/>
    <cellStyle name="输出 3 3 2" xfId="24945" xr:uid="{CD97FAEF-E428-47C3-BC9F-65BF7499CBC8}"/>
    <cellStyle name="输出 3 3 2 2" xfId="24946" xr:uid="{7D2F70C7-57BB-4A02-BCE7-D582F7A1E0F8}"/>
    <cellStyle name="输出 3 3 2 2 2" xfId="27195" xr:uid="{326F123A-184F-4AD3-92A3-2E96B067B0A1}"/>
    <cellStyle name="输出 3 3 2 2 2 2" xfId="38676" xr:uid="{2CB87A37-B4D5-4191-A2E7-91146FB933C9}"/>
    <cellStyle name="输出 3 3 2 2 3" xfId="36529" xr:uid="{906AE325-0A52-4FFA-8B85-40705245A953}"/>
    <cellStyle name="输出 3 3 2 3" xfId="36528" xr:uid="{FB1BC8EF-15A0-4197-8632-488E47E6382E}"/>
    <cellStyle name="输出 3 3 3" xfId="24947" xr:uid="{F66514E2-1CDD-472B-9484-5AE5CD5BB2CE}"/>
    <cellStyle name="输出 3 3 3 2" xfId="24948" xr:uid="{B7C874E2-F61A-427C-B777-AB496AE784F7}"/>
    <cellStyle name="输出 3 3 3 2 2" xfId="27196" xr:uid="{28B6FD72-1050-4B3D-B2E5-0E7BD252A7C1}"/>
    <cellStyle name="输出 3 3 3 2 2 2" xfId="37605" xr:uid="{10A9D37C-7B6F-4263-ACA5-75FFE1DD207C}"/>
    <cellStyle name="输出 3 3 3 2 3" xfId="36530" xr:uid="{B3D466EA-4AA6-4EEF-9C76-BF516CBD5A65}"/>
    <cellStyle name="输出 3 3 3 3" xfId="38366" xr:uid="{C567728A-59FA-4CBD-9E47-D25E9EDB8348}"/>
    <cellStyle name="输出 3 3 4" xfId="24949" xr:uid="{1DA8EF5E-E6F4-4A9A-81B6-30461EAAE083}"/>
    <cellStyle name="输出 3 3 4 2" xfId="24950" xr:uid="{7EF5F07F-2C14-4797-B02F-A9989F114B23}"/>
    <cellStyle name="输出 3 3 4 2 2" xfId="27197" xr:uid="{51925924-A0D4-4C69-819E-A8013A0A13DE}"/>
    <cellStyle name="输出 3 3 4 2 2 2" xfId="37606" xr:uid="{441C71E8-DD76-4054-9834-9276BCBA257C}"/>
    <cellStyle name="输出 3 3 4 2 3" xfId="37826" xr:uid="{36800ACD-D685-4B69-8AD5-E1DF15C397D7}"/>
    <cellStyle name="输出 3 3 4 3" xfId="36531" xr:uid="{66380F09-3F12-4E0C-A598-463671B9AF33}"/>
    <cellStyle name="输出 3 3 5" xfId="24951" xr:uid="{B4DE40AF-1C6B-4C99-ACEB-A40A7517DBB6}"/>
    <cellStyle name="输出 3 3 5 2" xfId="24952" xr:uid="{D680FD8A-37B7-4537-BB07-BD19348F5F3C}"/>
    <cellStyle name="输出 3 3 5 2 2" xfId="27198" xr:uid="{C4D8DBC0-4160-454D-8973-10FF0084451D}"/>
    <cellStyle name="输出 3 3 5 2 2 2" xfId="38677" xr:uid="{AACD3AF9-A8C4-4192-8594-79396F85967B}"/>
    <cellStyle name="输出 3 3 5 2 3" xfId="36532" xr:uid="{3C61E61F-38E6-4C1C-9BAE-B154FFA4DE29}"/>
    <cellStyle name="输出 3 3 5 3" xfId="38367" xr:uid="{D1BE1FBA-0156-47FF-B4DC-1A6A07F08A31}"/>
    <cellStyle name="输出 3 3 6" xfId="24953" xr:uid="{B120402C-0741-45D6-832F-23F06D98F7D7}"/>
    <cellStyle name="输出 3 3 6 2" xfId="24954" xr:uid="{5B829D37-A0E6-4069-915C-3428F82EFB66}"/>
    <cellStyle name="输出 3 3 6 2 2" xfId="27199" xr:uid="{9F931D44-087D-40C6-8CB3-70135FC44A6C}"/>
    <cellStyle name="输出 3 3 6 2 2 2" xfId="37607" xr:uid="{7C757EA7-3865-49FD-8D24-3445DE177DB8}"/>
    <cellStyle name="输出 3 3 6 2 3" xfId="38368" xr:uid="{C9CE7050-CF18-4330-9F92-61189E9F733C}"/>
    <cellStyle name="输出 3 3 6 3" xfId="36533" xr:uid="{62EC02BD-0477-439F-96B0-EFAA9AEEE005}"/>
    <cellStyle name="输出 3 3 7" xfId="24955" xr:uid="{93AC6681-3CEF-4AA0-BF56-D1480D5E0B03}"/>
    <cellStyle name="输出 3 3 7 2" xfId="24956" xr:uid="{6B3B517D-7F4C-4132-8F90-8DF1E62C91C7}"/>
    <cellStyle name="输出 3 3 7 2 2" xfId="27200" xr:uid="{FA52ED19-5D47-4BFD-ABFC-0D0571D7E0A3}"/>
    <cellStyle name="输出 3 3 7 2 2 2" xfId="37608" xr:uid="{B1D5324A-9CFB-49F3-B431-2B8E5269D9EC}"/>
    <cellStyle name="输出 3 3 7 2 3" xfId="36534" xr:uid="{AD65FA48-C6A3-4319-A403-E7337E21ED28}"/>
    <cellStyle name="输出 3 3 7 3" xfId="27978" xr:uid="{721A16B1-860E-404B-8EED-40650905BF70}"/>
    <cellStyle name="输出 3 3 8" xfId="24957" xr:uid="{D30D2923-286E-4E87-B82C-39A6F816BA4B}"/>
    <cellStyle name="输出 3 3 8 2" xfId="24958" xr:uid="{FED7AE7E-7497-47F1-A52F-696D4EB1A977}"/>
    <cellStyle name="输出 3 3 8 2 2" xfId="27201" xr:uid="{46F5733E-6112-4904-945C-2BFCB83EC126}"/>
    <cellStyle name="输出 3 3 8 2 2 2" xfId="38678" xr:uid="{03D00227-FED2-4932-98A2-E048FB7A614E}"/>
    <cellStyle name="输出 3 3 8 2 3" xfId="36535" xr:uid="{BD6ECC08-C956-4964-85A8-7689B03F91F0}"/>
    <cellStyle name="输出 3 3 8 3" xfId="27979" xr:uid="{A576E268-6D99-4CD4-8D57-B8C15E1612E2}"/>
    <cellStyle name="输出 3 3 9" xfId="24959" xr:uid="{5C12CC47-8B22-4AAF-8826-93B37FF587E5}"/>
    <cellStyle name="输出 3 3 9 2" xfId="24960" xr:uid="{FF856BE2-D2A0-4AA8-83CD-51488C5BB6CE}"/>
    <cellStyle name="输出 3 3 9 2 2" xfId="27202" xr:uid="{C13A81F2-7C4E-4868-A6AB-306DAC5201EF}"/>
    <cellStyle name="输出 3 3 9 2 2 2" xfId="37609" xr:uid="{B9F6B870-45E2-4577-8B07-CECEC5DE453C}"/>
    <cellStyle name="输出 3 3 9 2 3" xfId="38369" xr:uid="{5ECAD3E6-A789-4ABD-947C-D1D3E6BD34AF}"/>
    <cellStyle name="输出 3 3 9 3" xfId="27980" xr:uid="{CFC3D332-EFE7-4E7D-AC3A-113D809927BE}"/>
    <cellStyle name="输出 3 4" xfId="24961" xr:uid="{157088EA-29D8-4E41-899C-2AD7655F188C}"/>
    <cellStyle name="输出 3 4 2" xfId="36536" xr:uid="{B5CA8489-2A29-4872-8C3A-9F45ED466AFC}"/>
    <cellStyle name="输出 3 5" xfId="24962" xr:uid="{9FF500F1-C571-49C3-8822-452EB8CBE8D6}"/>
    <cellStyle name="输出 3 5 2" xfId="36537" xr:uid="{821CFCCE-657A-42D1-9976-6F550426E0EA}"/>
    <cellStyle name="输出 3 6" xfId="24963" xr:uid="{FDC36F08-74D8-45E4-B3B6-28118CEEB8C5}"/>
    <cellStyle name="输出 3 6 2" xfId="38370" xr:uid="{4EDE8A2F-C40C-4922-819A-524AD76EC9F3}"/>
    <cellStyle name="输出 3 7" xfId="24964" xr:uid="{FBE0E030-A3B0-4ECE-A383-47A140930064}"/>
    <cellStyle name="输出 3 7 2" xfId="36538" xr:uid="{44C5348A-8CDC-4244-8BBD-FD645093C54F}"/>
    <cellStyle name="输出 3 8" xfId="24965" xr:uid="{8850D42F-C909-486F-AD7C-2EF229F0B2DF}"/>
    <cellStyle name="输出 3 8 2" xfId="36539" xr:uid="{09B7F284-14F4-4AE2-A278-FE79B617B7B1}"/>
    <cellStyle name="输出 3 9" xfId="24966" xr:uid="{065F2E7F-A27B-4CC5-9602-BC58BE2B3631}"/>
    <cellStyle name="输出 3 9 2" xfId="38371" xr:uid="{7A575E55-DB96-47CA-BDCA-F8F95AC4539D}"/>
    <cellStyle name="输出 4" xfId="24967" xr:uid="{12B429C8-7AE3-413E-9BD5-0C4AB1FD8AD8}"/>
    <cellStyle name="输出 4 10" xfId="24968" xr:uid="{31B86411-9BA6-4890-9A7D-BAE389D35BB2}"/>
    <cellStyle name="输出 4 10 2" xfId="24969" xr:uid="{260AF0C7-0026-47A3-B8CF-07F7990BEEBB}"/>
    <cellStyle name="输出 4 10 2 2" xfId="27203" xr:uid="{59F2CEDD-5715-4BC4-9674-56282CF2C7F5}"/>
    <cellStyle name="输出 4 10 2 2 2" xfId="37610" xr:uid="{4F4F2173-D92F-4163-997D-7A173121CB3B}"/>
    <cellStyle name="输出 4 10 2 3" xfId="36541" xr:uid="{16EC2A1D-E6BE-4897-95ED-20CBF2C2E037}"/>
    <cellStyle name="输出 4 10 3" xfId="36540" xr:uid="{82776FBF-B508-4E20-9D9C-3EC30B2B3941}"/>
    <cellStyle name="输出 4 11" xfId="24970" xr:uid="{E8E1D2CF-EB43-4FE3-8723-96FDBDDF2874}"/>
    <cellStyle name="输出 4 11 2" xfId="24971" xr:uid="{C3CCFC3C-0AEF-4E3D-A681-51BA61D05213}"/>
    <cellStyle name="输出 4 11 2 2" xfId="27204" xr:uid="{3E2269E1-0F92-4F08-B8E5-72ECB9F90C09}"/>
    <cellStyle name="输出 4 11 2 2 2" xfId="38679" xr:uid="{B6B45D41-74AF-4CB8-BA29-BB8B6373A21F}"/>
    <cellStyle name="输出 4 11 2 3" xfId="36542" xr:uid="{AD2E829D-2545-47BA-8BD6-BA1334539DBE}"/>
    <cellStyle name="输出 4 11 3" xfId="38372" xr:uid="{F9433A85-6BF2-46EE-B846-76B95FFD7FC6}"/>
    <cellStyle name="输出 4 12" xfId="24972" xr:uid="{2425CE23-B403-4428-BFDA-D7B05B881599}"/>
    <cellStyle name="输出 4 12 2" xfId="24973" xr:uid="{5FE11D02-D32D-4CEE-A001-A51411C89D6F}"/>
    <cellStyle name="输出 4 12 2 2" xfId="27205" xr:uid="{B4EC457E-B7A3-4237-A3A7-B36957F09A28}"/>
    <cellStyle name="输出 4 12 2 2 2" xfId="37611" xr:uid="{7A971673-CE0B-492B-ADDD-DD1879DC2A34}"/>
    <cellStyle name="输出 4 12 2 3" xfId="38373" xr:uid="{4C840485-E92B-490C-84BA-2B77A3CAB675}"/>
    <cellStyle name="输出 4 12 3" xfId="36543" xr:uid="{9EED8FEE-D221-4D16-836C-B55DA5909010}"/>
    <cellStyle name="输出 4 13" xfId="24974" xr:uid="{F061612A-650A-4D14-A28F-5ED501B27708}"/>
    <cellStyle name="输出 4 13 2" xfId="24975" xr:uid="{12B4BC23-3F27-4FDD-9130-F938C661B878}"/>
    <cellStyle name="输出 4 13 2 2" xfId="27206" xr:uid="{7EC0564C-4911-42A8-BDFF-5ACF0C08A70C}"/>
    <cellStyle name="输出 4 13 2 2 2" xfId="37612" xr:uid="{BB9C3E1C-B7D1-43DE-9979-21BB253F3A26}"/>
    <cellStyle name="输出 4 13 2 3" xfId="36544" xr:uid="{0FE66A52-C10D-44B3-B6C4-D1911E6059BD}"/>
    <cellStyle name="输出 4 13 3" xfId="27981" xr:uid="{7284AF25-E97B-4855-AF7B-A331B5666267}"/>
    <cellStyle name="输出 4 14" xfId="24976" xr:uid="{D9742546-CC03-4B4F-860D-F94C545651B2}"/>
    <cellStyle name="输出 4 14 2" xfId="24977" xr:uid="{37D18A0F-507B-4D57-8939-32B54D966309}"/>
    <cellStyle name="输出 4 14 2 2" xfId="27207" xr:uid="{A6974B98-8A62-4FD0-8B1A-1C9AD5C02373}"/>
    <cellStyle name="输出 4 14 2 2 2" xfId="38680" xr:uid="{E6B3ED9D-3913-41DD-8405-D37EC022B293}"/>
    <cellStyle name="输出 4 14 2 3" xfId="36545" xr:uid="{63D40CB7-3A9B-4132-BE50-36F306D4B277}"/>
    <cellStyle name="输出 4 14 3" xfId="27982" xr:uid="{0F596ED0-4111-452A-808C-564161F8B25A}"/>
    <cellStyle name="输出 4 15" xfId="24978" xr:uid="{B8039B38-CE5C-4952-AB8A-6F204C341D18}"/>
    <cellStyle name="输出 4 15 2" xfId="24979" xr:uid="{5B8CC2FD-C488-4023-9C7E-A318EC4677A8}"/>
    <cellStyle name="输出 4 15 2 2" xfId="27208" xr:uid="{56F1E5B9-4028-42BD-B208-ACB988D4D4E9}"/>
    <cellStyle name="输出 4 15 2 2 2" xfId="37613" xr:uid="{7DD30C4B-89B4-43A7-97BE-87F456A72FBF}"/>
    <cellStyle name="输出 4 15 2 3" xfId="27983" xr:uid="{25F03ADC-37A8-4E0B-87C2-9BADA4568D73}"/>
    <cellStyle name="输出 4 15 3" xfId="38374" xr:uid="{27272F75-4E22-4B22-90CD-3F23362A8C9D}"/>
    <cellStyle name="输出 4 16" xfId="24980" xr:uid="{6E5FBB76-54B8-499D-B0F3-E5046D83CB4D}"/>
    <cellStyle name="输出 4 16 2" xfId="24981" xr:uid="{91EDFA16-B001-4D85-B5D7-2924490DDD3E}"/>
    <cellStyle name="输出 4 16 2 2" xfId="27209" xr:uid="{038FDA00-E633-4E4E-9A05-175159709CE2}"/>
    <cellStyle name="输出 4 16 2 2 2" xfId="37614" xr:uid="{74DDDD9C-87A2-4A36-9643-D595C4CF8C40}"/>
    <cellStyle name="输出 4 16 2 3" xfId="38375" xr:uid="{E77A0E50-45F7-4B77-ADB1-7AAA8A758999}"/>
    <cellStyle name="输出 4 16 3" xfId="36546" xr:uid="{78646D06-B16A-417C-8FD1-E72AAE912FE8}"/>
    <cellStyle name="输出 4 17" xfId="24982" xr:uid="{FAAAB2B7-1654-4CDC-A8D4-588890FE03EC}"/>
    <cellStyle name="输出 4 17 2" xfId="24983" xr:uid="{63A96005-8BDD-4E0F-B1AB-66DC7BA5C0BD}"/>
    <cellStyle name="输出 4 17 2 2" xfId="27210" xr:uid="{EF5E943B-3ADB-4FF2-BF96-E948FCAF1F67}"/>
    <cellStyle name="输出 4 17 2 2 2" xfId="38681" xr:uid="{DD0D79C6-C9F6-4365-8E5C-21F927903728}"/>
    <cellStyle name="输出 4 17 2 3" xfId="36548" xr:uid="{04873041-3B8B-43AD-AC1C-CCA187816847}"/>
    <cellStyle name="输出 4 17 3" xfId="36547" xr:uid="{A73F925D-76B1-4140-B45A-608231D75404}"/>
    <cellStyle name="输出 4 18" xfId="24984" xr:uid="{323353C0-FED2-4A7F-8C7C-DEBF8BFE0233}"/>
    <cellStyle name="输出 4 18 2" xfId="24985" xr:uid="{64AFCE31-5CB5-4BAF-9694-4F336374354C}"/>
    <cellStyle name="输出 4 18 2 2" xfId="27211" xr:uid="{C455BE5A-F8EB-4982-A24A-8B8188565AE0}"/>
    <cellStyle name="输出 4 18 2 2 2" xfId="37615" xr:uid="{3C746783-B37B-409F-9695-9A0901DCE1D6}"/>
    <cellStyle name="输出 4 18 2 3" xfId="36549" xr:uid="{27A7A79A-0F0B-4047-9F22-9C076F86620C}"/>
    <cellStyle name="输出 4 18 3" xfId="37828" xr:uid="{975C38D4-AD7E-4E90-B6D3-65E52CB89723}"/>
    <cellStyle name="输出 4 19" xfId="24986" xr:uid="{7E331DDE-4475-4549-8877-21D8837877FC}"/>
    <cellStyle name="输出 4 19 2" xfId="27212" xr:uid="{09BB3230-9BFD-4419-A334-00B6C54A7B10}"/>
    <cellStyle name="输出 4 19 2 2" xfId="37616" xr:uid="{2564622F-AD90-4AD5-A2F0-8CEB7BB0E74D}"/>
    <cellStyle name="输出 4 19 3" xfId="38376" xr:uid="{B4C5F934-7461-449F-92D8-52D954954770}"/>
    <cellStyle name="输出 4 2" xfId="24987" xr:uid="{D3961AAD-EFF0-46C5-88A4-761249D4FC93}"/>
    <cellStyle name="输出 4 2 10" xfId="24988" xr:uid="{FB1C3F29-3017-4903-885A-A719B144F818}"/>
    <cellStyle name="输出 4 2 10 2" xfId="24989" xr:uid="{9F4596A3-49A7-4252-A67E-AD34B6EB9554}"/>
    <cellStyle name="输出 4 2 10 2 2" xfId="27213" xr:uid="{381F86E5-D9B4-4C8A-B101-DC9C46C4224F}"/>
    <cellStyle name="输出 4 2 10 2 2 2" xfId="38682" xr:uid="{478B4F60-6C2C-428A-A948-88785B22FDA1}"/>
    <cellStyle name="输出 4 2 10 2 3" xfId="36551" xr:uid="{9EFF3AFA-D612-4B92-AA2B-BD28AF6B4055}"/>
    <cellStyle name="输出 4 2 10 3" xfId="27984" xr:uid="{D5C78A3E-6E3C-40D8-8A38-9145C25D3AFD}"/>
    <cellStyle name="输出 4 2 11" xfId="24990" xr:uid="{CFE2D05F-AF45-4168-B827-9B79A9BE2C09}"/>
    <cellStyle name="输出 4 2 11 2" xfId="24991" xr:uid="{8F92A26C-8512-4BA2-84DC-064EE625AA43}"/>
    <cellStyle name="输出 4 2 11 2 2" xfId="27214" xr:uid="{6BCC1E04-D152-4888-8D63-730F5D07D712}"/>
    <cellStyle name="输出 4 2 11 2 2 2" xfId="37726" xr:uid="{6B3B2176-A1C9-4E38-BFEE-6E5EF82A5EB8}"/>
    <cellStyle name="输出 4 2 11 2 3" xfId="38377" xr:uid="{D3FA251D-D21C-4F6D-8A45-EDCDF776D569}"/>
    <cellStyle name="输出 4 2 11 3" xfId="27985" xr:uid="{71A2A438-7EE4-4D68-ACFE-C5300285A810}"/>
    <cellStyle name="输出 4 2 12" xfId="24992" xr:uid="{B2E40A1C-3135-4D44-BA0A-D23A69E15396}"/>
    <cellStyle name="输出 4 2 12 2" xfId="24993" xr:uid="{9084EFD9-00F9-45AD-A19F-3EE70AB20C36}"/>
    <cellStyle name="输出 4 2 12 2 2" xfId="27215" xr:uid="{42E03860-53D6-428B-B634-51BA13AB1D41}"/>
    <cellStyle name="输出 4 2 12 2 2 2" xfId="37727" xr:uid="{4DCA92B4-C7A4-482A-846F-D453E685389B}"/>
    <cellStyle name="输出 4 2 12 2 3" xfId="27986" xr:uid="{A6B0ACA6-92D3-4388-B422-3E45C56AAC2A}"/>
    <cellStyle name="输出 4 2 12 3" xfId="36552" xr:uid="{1B27289A-FF48-4A2E-8FCC-6C34F2977550}"/>
    <cellStyle name="输出 4 2 13" xfId="24994" xr:uid="{5B500419-20F9-4BFD-80B8-DC0BFF559EF5}"/>
    <cellStyle name="输出 4 2 13 2" xfId="24995" xr:uid="{FA9496DE-8AE8-4736-A3C0-88F9654BA2D6}"/>
    <cellStyle name="输出 4 2 13 2 2" xfId="27216" xr:uid="{3B8D52C9-B617-47C6-BCFE-2BEADF672E49}"/>
    <cellStyle name="输出 4 2 13 2 2 2" xfId="37728" xr:uid="{00046149-401B-4E1C-9ED7-6D4F55AA3168}"/>
    <cellStyle name="输出 4 2 13 2 3" xfId="38378" xr:uid="{F5A0FC4D-6503-4489-8C48-31A65D15C1F0}"/>
    <cellStyle name="输出 4 2 13 3" xfId="36553" xr:uid="{8B7B68E3-0B04-49DE-804C-820DB33FC349}"/>
    <cellStyle name="输出 4 2 14" xfId="24996" xr:uid="{A8A035DB-E305-495F-9000-9B89C1F463CF}"/>
    <cellStyle name="输出 4 2 14 2" xfId="24997" xr:uid="{FB071E4C-D9D8-4BB0-B0B7-878389F7F57C}"/>
    <cellStyle name="输出 4 2 14 2 2" xfId="27217" xr:uid="{855ABF60-3018-4788-B278-EA622F44A6B8}"/>
    <cellStyle name="输出 4 2 14 2 2 2" xfId="37729" xr:uid="{C21F8B73-6DD0-4410-AF13-7BCDF119F8BC}"/>
    <cellStyle name="输出 4 2 14 2 3" xfId="36555" xr:uid="{60DC6F83-751E-429B-A944-917D44689B9E}"/>
    <cellStyle name="输出 4 2 14 3" xfId="36554" xr:uid="{592AF467-6755-4E80-9A73-C86BBFC1CE6E}"/>
    <cellStyle name="输出 4 2 15" xfId="24998" xr:uid="{66E645B7-4297-4C58-9D43-DD1A29BE8431}"/>
    <cellStyle name="输出 4 2 15 2" xfId="27218" xr:uid="{4700B57D-5F52-4EDB-A1B9-D48918322BA6}"/>
    <cellStyle name="输出 4 2 15 2 2" xfId="38735" xr:uid="{2604AF51-CCA1-4F5E-A914-A73AD2650788}"/>
    <cellStyle name="输出 4 2 15 3" xfId="38379" xr:uid="{695F6675-79E4-4DA6-AF39-3E18FBDA0CF7}"/>
    <cellStyle name="输出 4 2 16" xfId="36550" xr:uid="{CBD1853C-D99A-4285-B0FC-BDD390901629}"/>
    <cellStyle name="输出 4 2 2" xfId="24999" xr:uid="{C105380F-D83B-4BA2-92A1-589EDCD0C930}"/>
    <cellStyle name="输出 4 2 2 2" xfId="25000" xr:uid="{0F4B03F1-4C73-4E91-B867-0A7F29E01496}"/>
    <cellStyle name="输出 4 2 2 2 2" xfId="27219" xr:uid="{92B3E8B6-9344-44E1-88E0-C33A6D7AFE27}"/>
    <cellStyle name="输出 4 2 2 2 2 2" xfId="37730" xr:uid="{91155DC3-B9DB-4A3E-BACC-55ED726CEB46}"/>
    <cellStyle name="输出 4 2 2 2 3" xfId="36557" xr:uid="{F5F348EF-834C-499F-A7E7-884ABE7BE630}"/>
    <cellStyle name="输出 4 2 2 3" xfId="36556" xr:uid="{E67597E2-9363-4F1A-A1D1-865A05AC8F7C}"/>
    <cellStyle name="输出 4 2 3" xfId="25001" xr:uid="{8C7529F1-045D-47F9-940B-CAEA310F0E56}"/>
    <cellStyle name="输出 4 2 3 2" xfId="25002" xr:uid="{DF6F7D27-F01D-4451-9131-5C8205C27A25}"/>
    <cellStyle name="输出 4 2 3 2 2" xfId="27220" xr:uid="{D6A9C642-D8EA-483A-9CEB-1018D098D439}"/>
    <cellStyle name="输出 4 2 3 2 2 2" xfId="37731" xr:uid="{2AEDA2AE-8A56-4BDE-AE3D-28B1A8097000}"/>
    <cellStyle name="输出 4 2 3 2 3" xfId="36558" xr:uid="{7C28AE05-91E7-4377-80AF-46447FEE9419}"/>
    <cellStyle name="输出 4 2 3 3" xfId="38380" xr:uid="{1697454D-CBC9-438B-BE10-8BA404FA8B58}"/>
    <cellStyle name="输出 4 2 4" xfId="25003" xr:uid="{5046019A-573C-4F9B-A915-D8269C67AF3F}"/>
    <cellStyle name="输出 4 2 4 2" xfId="25004" xr:uid="{80667E73-9671-48C8-BDF3-63532A34A21A}"/>
    <cellStyle name="输出 4 2 4 2 2" xfId="27221" xr:uid="{1C562BE3-74F7-454B-A728-ED503F08A8C1}"/>
    <cellStyle name="输出 4 2 4 2 2 2" xfId="38736" xr:uid="{662622E5-588D-4968-8364-2932953E5EB7}"/>
    <cellStyle name="输出 4 2 4 2 3" xfId="37829" xr:uid="{EA337351-D5F2-4A76-8192-FCAA9C7935BD}"/>
    <cellStyle name="输出 4 2 4 3" xfId="36559" xr:uid="{1C946834-C17E-42D7-B62F-D2748E5962D9}"/>
    <cellStyle name="输出 4 2 5" xfId="25005" xr:uid="{44B25967-50C3-46B9-AC37-24F60BB26466}"/>
    <cellStyle name="输出 4 2 5 2" xfId="25006" xr:uid="{76CA64F6-1D96-421F-A3FB-1895F2F85ECA}"/>
    <cellStyle name="输出 4 2 5 2 2" xfId="27222" xr:uid="{99B307C5-2965-4121-8D0E-91972689F634}"/>
    <cellStyle name="输出 4 2 5 2 2 2" xfId="37732" xr:uid="{2F5640FA-FA9D-4A05-B9EA-39FEB49FCFFA}"/>
    <cellStyle name="输出 4 2 5 2 3" xfId="36560" xr:uid="{2398C050-1C64-482D-8B80-89FAB7456763}"/>
    <cellStyle name="输出 4 2 5 3" xfId="38381" xr:uid="{72267C68-9BEC-4403-974D-6FD089D8901B}"/>
    <cellStyle name="输出 4 2 6" xfId="25007" xr:uid="{C14054E8-A5B4-4421-89BD-0A8936954420}"/>
    <cellStyle name="输出 4 2 6 2" xfId="25008" xr:uid="{2FFF1604-1392-4D61-A750-74D63E775919}"/>
    <cellStyle name="输出 4 2 6 2 2" xfId="27223" xr:uid="{787CD8FE-4CD2-465A-B9A6-BB8D5868B355}"/>
    <cellStyle name="输出 4 2 6 2 2 2" xfId="38737" xr:uid="{E82189FD-3995-4C53-B488-EE281602B7D0}"/>
    <cellStyle name="输出 4 2 6 2 3" xfId="27987" xr:uid="{6172524D-36DA-4D1A-A342-95586518A07E}"/>
    <cellStyle name="输出 4 2 6 3" xfId="38382" xr:uid="{26554C22-F066-45AC-9E10-F51A1B4070B4}"/>
    <cellStyle name="输出 4 2 7" xfId="25009" xr:uid="{19BE3E4F-C82F-4F21-A3F6-EA32037F0C6F}"/>
    <cellStyle name="输出 4 2 7 2" xfId="25010" xr:uid="{AA3CF741-6112-413C-B4A8-A5FEF5173695}"/>
    <cellStyle name="输出 4 2 7 2 2" xfId="27224" xr:uid="{CC09EA8F-1081-4460-AB9D-861A2ABEE25E}"/>
    <cellStyle name="输出 4 2 7 2 2 2" xfId="36626" xr:uid="{69A84FF8-5DD2-4378-83E9-AA6FB69C5822}"/>
    <cellStyle name="输出 4 2 7 2 3" xfId="36562" xr:uid="{B963A025-C1D6-4AED-B52D-9A4BC6A1622F}"/>
    <cellStyle name="输出 4 2 7 3" xfId="36561" xr:uid="{677EA166-6864-4CFA-B542-6CCD29D8CDB6}"/>
    <cellStyle name="输出 4 2 8" xfId="25011" xr:uid="{F8070755-5D07-457B-9946-C11AD555E1CD}"/>
    <cellStyle name="输出 4 2 8 2" xfId="25012" xr:uid="{F9F917DB-8C64-45EF-9FBC-4D28A4450CC2}"/>
    <cellStyle name="输出 4 2 8 2 2" xfId="27225" xr:uid="{B83F003C-3BA3-4B9B-9285-D5A29A5E1AF8}"/>
    <cellStyle name="输出 4 2 8 2 2 2" xfId="37733" xr:uid="{6B02B061-CF22-423E-AD8F-31677F0819D5}"/>
    <cellStyle name="输出 4 2 8 2 3" xfId="36563" xr:uid="{9D2C7ED2-A554-47BF-B0F8-2CE8DC1A7623}"/>
    <cellStyle name="输出 4 2 8 3" xfId="38383" xr:uid="{2DC071F0-7FF2-40C0-B758-D8ED8C202578}"/>
    <cellStyle name="输出 4 2 9" xfId="25013" xr:uid="{CC51DFAF-8768-4304-9736-51FC050E0609}"/>
    <cellStyle name="输出 4 2 9 2" xfId="25014" xr:uid="{1FD6F112-2377-4BDA-859F-3F0A61FE7FE0}"/>
    <cellStyle name="输出 4 2 9 2 2" xfId="27226" xr:uid="{EC1F6AEF-8568-4228-A68E-37E12B4CF316}"/>
    <cellStyle name="输出 4 2 9 2 2 2" xfId="37734" xr:uid="{7AFC05DC-1616-41E5-9AD9-C72DFE045BB1}"/>
    <cellStyle name="输出 4 2 9 2 3" xfId="36564" xr:uid="{77B93312-920B-4FDB-9356-61FB639559FE}"/>
    <cellStyle name="输出 4 2 9 3" xfId="27988" xr:uid="{562D208E-E46D-4D06-B7CD-38294687799E}"/>
    <cellStyle name="输出 4 20" xfId="37827" xr:uid="{26CB9EAF-07C4-4B69-954B-26D4B2A1E5A8}"/>
    <cellStyle name="输出 4 3" xfId="25015" xr:uid="{333007EA-8DF9-44DE-9228-5BF34CEFA086}"/>
    <cellStyle name="输出 4 3 2" xfId="25016" xr:uid="{B1AC6B2B-F4E2-4017-AE3C-E3A43C515774}"/>
    <cellStyle name="输出 4 3 2 2" xfId="27227" xr:uid="{7A35F202-49EA-419C-9BE4-C7775B8773C1}"/>
    <cellStyle name="输出 4 3 2 2 2" xfId="37735" xr:uid="{37EF929C-0F7E-4C8D-9D8D-16743971A906}"/>
    <cellStyle name="输出 4 3 2 3" xfId="36565" xr:uid="{03116CEC-FED0-42CF-9A6D-E1097EB60E06}"/>
    <cellStyle name="输出 4 3 3" xfId="38384" xr:uid="{D8928BAC-2EC7-492A-8F19-53E39788BAB4}"/>
    <cellStyle name="输出 4 4" xfId="25017" xr:uid="{2D6380A3-345C-4ECE-A4A1-BD7A505573C4}"/>
    <cellStyle name="输出 4 4 2" xfId="25018" xr:uid="{B84D1029-9E9A-4488-AD0C-51D3385CC3DD}"/>
    <cellStyle name="输出 4 4 2 2" xfId="27228" xr:uid="{5CE31282-AA8E-4555-BF39-B690E6A39E1B}"/>
    <cellStyle name="输出 4 4 2 2 2" xfId="37736" xr:uid="{DABAEDA4-7775-468B-B30D-9D3633A800F2}"/>
    <cellStyle name="输出 4 4 2 3" xfId="36566" xr:uid="{FAA9EDBC-FC97-4E6B-822C-E474F5CE59F7}"/>
    <cellStyle name="输出 4 4 3" xfId="38385" xr:uid="{8C366E8C-BA3D-4738-B0B1-CDC6025587E0}"/>
    <cellStyle name="输出 4 5" xfId="25019" xr:uid="{4770079A-C2EB-4157-A681-A64012295168}"/>
    <cellStyle name="输出 4 5 2" xfId="25020" xr:uid="{2F7EC970-FAC3-4877-811E-32817BCA836A}"/>
    <cellStyle name="输出 4 5 2 2" xfId="27229" xr:uid="{E5E3E96B-5787-43D5-AE26-A9D59F9E8291}"/>
    <cellStyle name="输出 4 5 2 2 2" xfId="37737" xr:uid="{F7B7ECB7-DE39-4991-B9FE-EB0D033FCE57}"/>
    <cellStyle name="输出 4 5 2 3" xfId="36568" xr:uid="{0BA7315E-5C90-408A-8AD4-4C7D95C4DC45}"/>
    <cellStyle name="输出 4 5 3" xfId="36567" xr:uid="{CDD02996-5CBD-4241-B296-9EDF46BFBDE4}"/>
    <cellStyle name="输出 4 6" xfId="25021" xr:uid="{C182C577-E90E-440B-9DCB-73E3B1D27F96}"/>
    <cellStyle name="输出 4 6 2" xfId="25022" xr:uid="{453D8035-C7B8-4C4D-BB9A-533172FDA934}"/>
    <cellStyle name="输出 4 6 2 2" xfId="27230" xr:uid="{703EB3B7-C45F-4CA3-8621-C5AE0C268CF5}"/>
    <cellStyle name="输出 4 6 2 2 2" xfId="37738" xr:uid="{3843E4E4-B761-4CC3-B044-D75813DA7FCB}"/>
    <cellStyle name="输出 4 6 2 3" xfId="38386" xr:uid="{AC12A286-561F-42BA-A92F-06212430DA39}"/>
    <cellStyle name="输出 4 6 3" xfId="36569" xr:uid="{DE33A243-06F7-4B79-91F3-1FC52373606F}"/>
    <cellStyle name="输出 4 7" xfId="25023" xr:uid="{531BD833-C6FC-419E-84A1-B7CBF6DDB4E1}"/>
    <cellStyle name="输出 4 7 2" xfId="25024" xr:uid="{CBF13F97-253D-4D0A-A7E9-3B2328099840}"/>
    <cellStyle name="输出 4 7 2 2" xfId="27231" xr:uid="{38276835-15D0-4727-9396-82C5E94A5E73}"/>
    <cellStyle name="输出 4 7 2 2 2" xfId="37739" xr:uid="{B7D85EAC-8EFA-43BC-A67B-CDDBE562EEA0}"/>
    <cellStyle name="输出 4 7 2 3" xfId="38387" xr:uid="{54875CE6-2C2B-4491-A60E-A7E6D981E95D}"/>
    <cellStyle name="输出 4 7 3" xfId="36570" xr:uid="{8D8C136C-43BC-4CE7-9C8C-BA8262B3A1C3}"/>
    <cellStyle name="输出 4 8" xfId="25025" xr:uid="{92773E1D-248F-4930-BECA-E9C1E2973C81}"/>
    <cellStyle name="输出 4 8 2" xfId="25026" xr:uid="{ABDEF91A-A789-4AEF-BC7A-CE553B0BADA3}"/>
    <cellStyle name="输出 4 8 2 2" xfId="27232" xr:uid="{4C4BF508-B804-4A48-AFA9-1444069195F5}"/>
    <cellStyle name="输出 4 8 2 2 2" xfId="38738" xr:uid="{984C59F1-1368-47BB-9130-83D8C175F4B5}"/>
    <cellStyle name="输出 4 8 2 3" xfId="36572" xr:uid="{33BD3B84-6758-41FF-8CF4-C2C5AC5CE3AC}"/>
    <cellStyle name="输出 4 8 3" xfId="36571" xr:uid="{354A2BE5-B4F3-4A48-A585-6DA14C3AB1F6}"/>
    <cellStyle name="输出 4 9" xfId="25027" xr:uid="{3E0D80FE-B18E-4FFF-8868-6C9B8CB09660}"/>
    <cellStyle name="输出 4 9 2" xfId="25028" xr:uid="{D12E8700-A622-4B9B-8EC7-BDB17EC814C8}"/>
    <cellStyle name="输出 4 9 2 2" xfId="27233" xr:uid="{BE69CCB0-514F-4E5C-8052-B28E724B56D3}"/>
    <cellStyle name="输出 4 9 2 2 2" xfId="37740" xr:uid="{87728B7D-47D6-4EB7-98A2-FB9F76BE3EDC}"/>
    <cellStyle name="输出 4 9 2 3" xfId="36573" xr:uid="{F999A376-8303-4057-95E3-6CC852CF3AE9}"/>
    <cellStyle name="输出 4 9 3" xfId="38388" xr:uid="{45366677-E132-4B6C-A9CA-F237F385004E}"/>
    <cellStyle name="输出 5" xfId="25029" xr:uid="{0D381277-D2A5-4762-A054-1BC82BFB727B}"/>
    <cellStyle name="输出 5 10" xfId="25030" xr:uid="{F14828F9-C71D-45ED-8F90-34E08F14D99F}"/>
    <cellStyle name="输出 5 10 2" xfId="25031" xr:uid="{A9CDF422-A9D4-484B-8EE4-C2E826B9CFD6}"/>
    <cellStyle name="输出 5 10 2 2" xfId="27234" xr:uid="{0B335E96-FB74-4319-9616-16EB4C1EECC5}"/>
    <cellStyle name="输出 5 10 2 2 2" xfId="37741" xr:uid="{F1060C9B-DD25-4765-BFB2-C7C9E256CDFC}"/>
    <cellStyle name="输出 5 10 2 3" xfId="38389" xr:uid="{E9F76950-3E74-4DF6-96E4-8696A663947D}"/>
    <cellStyle name="输出 5 10 3" xfId="27989" xr:uid="{1DA036D8-9109-4768-A73D-6CA09A1754DD}"/>
    <cellStyle name="输出 5 11" xfId="25032" xr:uid="{362FC10B-C395-42DD-BE0F-2FC6619E89C9}"/>
    <cellStyle name="输出 5 11 2" xfId="25033" xr:uid="{EE272865-A663-4BA6-9FDC-11659D64AD65}"/>
    <cellStyle name="输出 5 11 2 2" xfId="27235" xr:uid="{BE422F1C-0E96-48BB-9BD5-C4D8E3D6C7C6}"/>
    <cellStyle name="输出 5 11 2 2 2" xfId="38739" xr:uid="{4E2E9B5E-46E8-4188-B632-A20490E21A42}"/>
    <cellStyle name="输出 5 11 2 3" xfId="36575" xr:uid="{52E2E8E3-B6B8-4E9D-BE9C-BBF6D0FDA43D}"/>
    <cellStyle name="输出 5 11 3" xfId="37830" xr:uid="{E7ADD0FC-8700-4846-B649-E4DADC6B1FCF}"/>
    <cellStyle name="输出 5 12" xfId="25034" xr:uid="{DF2DF290-636B-4885-AA46-68D83CEADC12}"/>
    <cellStyle name="输出 5 12 2" xfId="25035" xr:uid="{112CE59E-0174-42AB-97EF-AE10788BCF5E}"/>
    <cellStyle name="输出 5 12 2 2" xfId="27236" xr:uid="{4F9FA7DB-153A-4436-9185-99BB56C6235F}"/>
    <cellStyle name="输出 5 12 2 2 2" xfId="37742" xr:uid="{1DCAD92B-C13D-4B3A-BFB7-4450FF902CF8}"/>
    <cellStyle name="输出 5 12 2 3" xfId="27990" xr:uid="{863CD26A-5EA7-42C0-BBF5-386FC4F8FD88}"/>
    <cellStyle name="输出 5 12 3" xfId="36576" xr:uid="{A945991E-6551-4B8D-9D7C-B82F6F1A2C6D}"/>
    <cellStyle name="输出 5 13" xfId="25036" xr:uid="{CEAFCC51-4F80-4809-8A43-347C98E10074}"/>
    <cellStyle name="输出 5 13 2" xfId="25037" xr:uid="{191A5E0D-98F9-41FE-9ADE-79A6AF077674}"/>
    <cellStyle name="输出 5 13 2 2" xfId="27237" xr:uid="{95F81051-73FC-481A-9052-9CEE35E95359}"/>
    <cellStyle name="输出 5 13 2 2 2" xfId="38740" xr:uid="{4225A8B7-00B8-473A-9373-7F013CE6785C}"/>
    <cellStyle name="输出 5 13 2 3" xfId="36577" xr:uid="{E922E904-7579-4804-B351-16F68AF94FE2}"/>
    <cellStyle name="输出 5 13 3" xfId="38390" xr:uid="{616C7666-69D1-4BB2-9920-7AAC96E84B98}"/>
    <cellStyle name="输出 5 14" xfId="25038" xr:uid="{C3669D01-2697-4559-811F-15AAF461AEE4}"/>
    <cellStyle name="输出 5 14 2" xfId="25039" xr:uid="{A48B91F3-8ACC-43B0-8BBE-14141FD8B6D5}"/>
    <cellStyle name="输出 5 14 2 2" xfId="27238" xr:uid="{3811FEBE-5A1E-4721-BBD2-D5B84121837D}"/>
    <cellStyle name="输出 5 14 2 2 2" xfId="37035" xr:uid="{D2997B8C-9436-4138-83A5-739B344EF747}"/>
    <cellStyle name="输出 5 14 2 3" xfId="38391" xr:uid="{71908D25-9893-452A-8E7E-1FD52655B9DF}"/>
    <cellStyle name="输出 5 14 3" xfId="36578" xr:uid="{0B9C4C35-1547-48F7-B3E1-7EFF75627093}"/>
    <cellStyle name="输出 5 15" xfId="25040" xr:uid="{C6E3CEFE-4F92-402D-BB45-D5DCAB7263B1}"/>
    <cellStyle name="输出 5 15 2" xfId="27239" xr:uid="{1A8FFD83-8CAD-4349-962C-F27820FC6F9E}"/>
    <cellStyle name="输出 5 15 2 2" xfId="35824" xr:uid="{EC1663CF-6A04-4ECA-8C44-4445F87B2901}"/>
    <cellStyle name="输出 5 15 3" xfId="27991" xr:uid="{699615D0-D374-410A-ADF2-460D851A601D}"/>
    <cellStyle name="输出 5 16" xfId="36574" xr:uid="{10017677-5BCC-44A3-8113-B74D692C6D24}"/>
    <cellStyle name="输出 5 2" xfId="25041" xr:uid="{9F8002C1-88C9-4218-9B47-155FBCA88D48}"/>
    <cellStyle name="输出 5 2 2" xfId="25042" xr:uid="{0121F2B7-4594-4411-B78E-447F496DFDBD}"/>
    <cellStyle name="输出 5 2 2 2" xfId="27240" xr:uid="{BD66210D-CAC3-4232-93A7-FC9FCD98C88A}"/>
    <cellStyle name="输出 5 2 2 2 2" xfId="35825" xr:uid="{9E62FD88-4CE8-4FB9-A459-B1A4A6842957}"/>
    <cellStyle name="输出 5 2 2 3" xfId="36580" xr:uid="{1765AC9C-2B9F-4430-964C-A5BBBF9D1F54}"/>
    <cellStyle name="输出 5 2 3" xfId="36579" xr:uid="{597ABC18-D399-4A0D-9105-9B8155505F3C}"/>
    <cellStyle name="输出 5 3" xfId="25043" xr:uid="{4187E3CE-CB51-4B73-9323-5DB06BC56A67}"/>
    <cellStyle name="输出 5 3 2" xfId="25044" xr:uid="{A69F30A3-6869-45AA-80BB-24A3378A5716}"/>
    <cellStyle name="输出 5 3 2 2" xfId="27241" xr:uid="{595D5191-342A-4F0A-8BE2-35E16BDB3DB9}"/>
    <cellStyle name="输出 5 3 2 2 2" xfId="35826" xr:uid="{B6C48289-7279-46B7-8138-966F365CB254}"/>
    <cellStyle name="输出 5 3 2 3" xfId="27992" xr:uid="{C23EF293-E958-4227-B101-826767FAA7A2}"/>
    <cellStyle name="输出 5 3 3" xfId="38392" xr:uid="{5195CEFC-48BA-4846-9B0B-E4C306014F23}"/>
    <cellStyle name="输出 5 4" xfId="25045" xr:uid="{41B24550-64EA-475F-85D4-43E0C9E92301}"/>
    <cellStyle name="输出 5 4 2" xfId="25046" xr:uid="{E2B6AC3A-8362-4663-9FF2-40AC72047682}"/>
    <cellStyle name="输出 5 4 2 2" xfId="27242" xr:uid="{E3F6336B-F791-4E6A-8117-800738303FF4}"/>
    <cellStyle name="输出 5 4 2 2 2" xfId="35827" xr:uid="{613D6505-BD94-47CF-929C-03DF3A88FC03}"/>
    <cellStyle name="输出 5 4 2 3" xfId="37831" xr:uid="{3DFA0136-DA15-4036-A1BC-1096A859D9FA}"/>
    <cellStyle name="输出 5 4 3" xfId="36581" xr:uid="{D40830AD-402E-4D1C-81C5-35EC835044DC}"/>
    <cellStyle name="输出 5 5" xfId="25047" xr:uid="{158B4A02-D42D-4CE0-AEB9-39A62E3922A4}"/>
    <cellStyle name="输出 5 5 2" xfId="25048" xr:uid="{D849FD25-0E86-4D43-B037-28A630AF58ED}"/>
    <cellStyle name="输出 5 5 2 2" xfId="27243" xr:uid="{48BF6016-42D2-46D8-B45F-81E6F36326F8}"/>
    <cellStyle name="输出 5 5 2 2 2" xfId="35828" xr:uid="{DE323B06-BE45-42EC-8AC7-92123BB1F697}"/>
    <cellStyle name="输出 5 5 2 3" xfId="38393" xr:uid="{AD5765BE-A0F7-4D5A-BEC7-79FC83D0C38A}"/>
    <cellStyle name="输出 5 5 3" xfId="36582" xr:uid="{AA060DD8-BF76-48D2-813C-264416914568}"/>
    <cellStyle name="输出 5 6" xfId="25049" xr:uid="{8A17FE5C-3C8A-4AA0-AD2B-C7CCBB934B15}"/>
    <cellStyle name="输出 5 6 2" xfId="25050" xr:uid="{BA72A787-C5A3-4698-9FC3-4F5C3576BF2B}"/>
    <cellStyle name="输出 5 6 2 2" xfId="27244" xr:uid="{9FE42B0E-6C95-41B7-A229-6FF9172E8EDB}"/>
    <cellStyle name="输出 5 6 2 2 2" xfId="35829" xr:uid="{791F19D1-24EA-4F4F-B67B-2545401D9688}"/>
    <cellStyle name="输出 5 6 2 3" xfId="36583" xr:uid="{83D49AD2-12C3-4778-A2DE-E9229276143B}"/>
    <cellStyle name="输出 5 6 3" xfId="27993" xr:uid="{CB72C9D7-86E5-4540-9684-DE6144D60183}"/>
    <cellStyle name="输出 5 7" xfId="25051" xr:uid="{221275CB-3F3D-4F80-8EEB-31868D5CCF71}"/>
    <cellStyle name="输出 5 7 2" xfId="25052" xr:uid="{2C93D718-4F63-4C81-9C9B-534234587265}"/>
    <cellStyle name="输出 5 7 2 2" xfId="27245" xr:uid="{4C9347C6-095D-4669-938E-B1BB5972E0FB}"/>
    <cellStyle name="输出 5 7 2 2 2" xfId="35830" xr:uid="{146F9BFE-08DC-42D6-A3C6-FC20D88357DE}"/>
    <cellStyle name="输出 5 7 2 3" xfId="38394" xr:uid="{EC8DA3F7-4A0C-438E-A7C6-70464FCFECA5}"/>
    <cellStyle name="输出 5 7 3" xfId="36584" xr:uid="{CB3F719D-8B19-4BC9-A933-DAFE8034E315}"/>
    <cellStyle name="输出 5 8" xfId="25053" xr:uid="{8341701D-C30B-40D4-9B5D-4B4FE0A6492D}"/>
    <cellStyle name="输出 5 8 2" xfId="25054" xr:uid="{49440499-9186-44CD-A482-ED12C8CC911F}"/>
    <cellStyle name="输出 5 8 2 2" xfId="27246" xr:uid="{BEA3103E-D4E7-47E2-8A7B-D70A9964C6A3}"/>
    <cellStyle name="输出 5 8 2 2 2" xfId="35831" xr:uid="{D8AC65C2-7DD9-465B-824F-0F5FB5C88129}"/>
    <cellStyle name="输出 5 8 2 3" xfId="36586" xr:uid="{A20364A1-9175-4B52-B3DD-5F81FCB77C05}"/>
    <cellStyle name="输出 5 8 3" xfId="36585" xr:uid="{126D8CC6-B251-4DF8-9FFA-4DEB53D3A0D6}"/>
    <cellStyle name="输出 5 9" xfId="25055" xr:uid="{850F0037-96C0-485C-BC3B-F9794C3520C7}"/>
    <cellStyle name="输出 5 9 2" xfId="25056" xr:uid="{C840C30E-1931-4E74-B7A4-2F51C28743CD}"/>
    <cellStyle name="输出 5 9 2 2" xfId="27247" xr:uid="{6C37BC10-7793-4EC5-9134-7560652E0D29}"/>
    <cellStyle name="输出 5 9 2 2 2" xfId="35832" xr:uid="{0497A5E1-6F18-4C3B-B8D3-781A05E51E04}"/>
    <cellStyle name="输出 5 9 2 3" xfId="38396" xr:uid="{78ADC75A-7977-41E9-B7E9-99FB323011F7}"/>
    <cellStyle name="输出 5 9 3" xfId="27995" xr:uid="{6F15BB67-6030-450F-B58A-ECDA9372FD41}"/>
    <cellStyle name="输出 6" xfId="25057" xr:uid="{28D80EF4-6B89-4BBE-8F9E-225BFFD22188}"/>
    <cellStyle name="输出 6 2" xfId="25058" xr:uid="{982E7426-DFF4-416F-91C1-93124F251C92}"/>
    <cellStyle name="输出 6 2 2" xfId="27248" xr:uid="{704B862E-4E93-48F8-A5F4-0C2EB461451F}"/>
    <cellStyle name="输出 6 2 2 2" xfId="35833" xr:uid="{CB80F2A4-7853-49C0-A47B-D4A6064409D7}"/>
    <cellStyle name="输出 6 2 3" xfId="36590" xr:uid="{4BE9D446-68F7-4A10-9B6F-605E51B67D0C}"/>
    <cellStyle name="输出 6 3" xfId="36589" xr:uid="{CB323162-BBF7-402C-A3E5-3FB3D6A3D084}"/>
    <cellStyle name="输出 7" xfId="25059" xr:uid="{011111B2-86B1-4378-9395-7BD6DA8A6548}"/>
    <cellStyle name="输出 7 2" xfId="25060" xr:uid="{5D6AA3A0-4311-4141-9699-149A69B5694E}"/>
    <cellStyle name="输出 7 2 2" xfId="27249" xr:uid="{F5FDA94F-84A7-4593-B505-5D7D88A831E5}"/>
    <cellStyle name="输出 7 2 2 2" xfId="35834" xr:uid="{5A2D8A4D-9F73-43FF-AD38-FB46C3EF81EB}"/>
    <cellStyle name="输出 7 2 3" xfId="38397" xr:uid="{7E00E4BB-11A4-41C7-80C2-ACE471F54377}"/>
    <cellStyle name="输出 7 3" xfId="37832" xr:uid="{C7CDAF69-D4F1-4827-8C29-5B881A331373}"/>
    <cellStyle name="输出 8" xfId="25061" xr:uid="{9B397D60-2A7F-41D2-A2B1-82C946BDD568}"/>
    <cellStyle name="输出 8 2" xfId="25062" xr:uid="{2B56D885-3F87-4D71-AD50-BC5EE6F132B5}"/>
    <cellStyle name="输出 8 2 2" xfId="27250" xr:uid="{A98B8E89-554A-4DC5-B803-39A7721D3AF4}"/>
    <cellStyle name="输出 8 2 2 2" xfId="35835" xr:uid="{E8A574E3-9A10-43AB-B6DA-0B30B481C8E7}"/>
    <cellStyle name="输出 8 2 3" xfId="36592" xr:uid="{27427285-18AB-4007-A2F6-6C2C696DA8E7}"/>
    <cellStyle name="输出 8 3" xfId="36591" xr:uid="{CD05B56A-F018-4C8E-8A21-D57E0361E712}"/>
    <cellStyle name="输出 9" xfId="25063" xr:uid="{32E14FB2-42E9-4E7B-8175-B87410B2027E}"/>
    <cellStyle name="输出 9 2" xfId="25064" xr:uid="{F1AEDC07-4331-4E78-AF04-1A2A3BFD20AC}"/>
    <cellStyle name="输出 9 2 2" xfId="27251" xr:uid="{EAB0722D-1F1D-4CA9-A9FC-A4D89EB448C6}"/>
    <cellStyle name="输出 9 2 2 2" xfId="35836" xr:uid="{D4580366-1707-4AD8-BBE4-9D00DA140281}"/>
    <cellStyle name="输出 9 2 3" xfId="36593" xr:uid="{9E0194BF-B950-4586-86B8-B0125DD18FB3}"/>
    <cellStyle name="输出 9 3" xfId="27996" xr:uid="{3793D239-900F-4706-9670-49E0C45FBAF2}"/>
    <cellStyle name="适中" xfId="25404" xr:uid="{2FA5D49B-F9E1-4F62-A7ED-AE06C4499519}"/>
    <cellStyle name="适中 2" xfId="25405" xr:uid="{679615BA-EC41-46EC-AC77-B7E44D169C22}"/>
    <cellStyle name="适中 2 2" xfId="25406" xr:uid="{23D75D26-3DCE-4EB4-8539-B70888F7BCBE}"/>
    <cellStyle name="适中 2 2 2" xfId="25407" xr:uid="{34734545-C95C-4A25-AA3E-EB737C30F96D}"/>
    <cellStyle name="适中 2 2 2 2" xfId="27412" xr:uid="{C7DEED7B-FF32-48E2-89EE-770220D1E2A9}"/>
    <cellStyle name="适中 2 3" xfId="25408" xr:uid="{227E7257-104C-47AC-992F-B903367193EE}"/>
    <cellStyle name="适中 2 4" xfId="25409" xr:uid="{5A962CF9-DE34-4781-987E-2C947ADDF5F8}"/>
    <cellStyle name="适中 2 4 2" xfId="27413" xr:uid="{96E58125-30E3-45D9-A6F2-890E2D5906F4}"/>
    <cellStyle name="适中 3" xfId="25410" xr:uid="{19EF003E-CA39-4D71-8D6F-CDA1A81EDCC3}"/>
    <cellStyle name="适中 3 2" xfId="27414" xr:uid="{64A70122-8922-4166-AAF1-D3F312875AA0}"/>
    <cellStyle name="通貨 [0.00] 2" xfId="23417" xr:uid="{5AA0BF5B-6D52-4C8F-B38F-792D6EA803E0}"/>
    <cellStyle name="鑗? [0.00]_NR???髆???" xfId="25411" xr:uid="{F919A91C-3F54-4DDF-9D42-E82A1A05B965}"/>
    <cellStyle name="鑗?_NR???髆???" xfId="25412" xr:uid="{04B05CE8-4C07-4B25-9705-6015DFCAF688}"/>
    <cellStyle name="钎霖_laroux" xfId="25413" xr:uid="{E439E6D2-E2CE-4C8A-933F-90BD5720FCDF}"/>
    <cellStyle name="链接单元格" xfId="25414" xr:uid="{5780E854-F1A5-4FD0-8E53-6E47668EFB03}"/>
    <cellStyle name="链接单元格 2" xfId="25415" xr:uid="{C63CD883-F392-48EA-8B57-87481372A20E}"/>
    <cellStyle name="链接单元格 2 2" xfId="25416" xr:uid="{7BB8FB37-46F9-44FB-8AB8-1F4B1110648A}"/>
    <cellStyle name="链接单元格 2 2 2" xfId="25417" xr:uid="{14CCB0CE-298D-4587-9434-9D4BCF540FB1}"/>
    <cellStyle name="链接单元格 2 2 2 2" xfId="27415" xr:uid="{B0EEFB67-6D4D-4834-85D9-9E031D8563DF}"/>
    <cellStyle name="链接单元格 2 2 2 2 2" xfId="38751" xr:uid="{BD45EB18-9CCF-494C-98D7-B0EDDC5CBDE3}"/>
    <cellStyle name="链接单元格 2 2 2 3" xfId="28060" xr:uid="{CF910997-B98B-4F08-BA2C-C5FDD0B99143}"/>
    <cellStyle name="链接单元格 2 2 3" xfId="37856" xr:uid="{21DD04BF-0E07-476A-BFD2-CA3A667BFD45}"/>
    <cellStyle name="链接单元格 2 3" xfId="25418" xr:uid="{93B8C61C-430A-4622-A7C4-588957091F94}"/>
    <cellStyle name="链接单元格 2 3 2" xfId="28059" xr:uid="{A8BCB878-9569-415F-B85E-8BB1AC43F188}"/>
    <cellStyle name="链接单元格 2 4" xfId="25419" xr:uid="{E640BD0F-D8D1-491E-A35A-AFA27682EB26}"/>
    <cellStyle name="链接单元格 2 4 2" xfId="27416" xr:uid="{B1C2418C-61EC-46FB-ABEC-EC609FE1B121}"/>
    <cellStyle name="链接单元格 2 4 2 2" xfId="38752" xr:uid="{1150E511-919A-40F8-89C8-6E51E36B3326}"/>
    <cellStyle name="链接单元格 2 4 3" xfId="37855" xr:uid="{11E0AEB4-9E71-478B-8259-AF252284DF7A}"/>
    <cellStyle name="链接单元格 2 5" xfId="28061" xr:uid="{ACA22284-D533-4846-AB46-52B161693FD5}"/>
    <cellStyle name="链接单元格 3" xfId="25420" xr:uid="{1F75201F-47DB-4A62-BBC4-220D866BB89B}"/>
    <cellStyle name="链接单元格 3 2" xfId="27417" xr:uid="{69FC2AC7-190F-4244-BAE9-FFD6E49C75B8}"/>
    <cellStyle name="链接单元格 3 2 2" xfId="38753" xr:uid="{F06217D0-8E33-4E20-B6BF-175A58461E38}"/>
    <cellStyle name="链接单元格 3 3" xfId="28058" xr:uid="{474BE5E7-8887-4A6B-BF73-9BB955712E45}"/>
    <cellStyle name="链接单元格 4" xfId="37857" xr:uid="{877AFA5D-0E9D-4D65-99B4-411C4E50D29B}"/>
    <cellStyle name="隨後的超連結" xfId="23873" xr:uid="{D9C23F3D-B026-40A4-A5B6-6037D1CA34CE}"/>
    <cellStyle name="集計 2" xfId="22545" xr:uid="{ECAC789E-B0F8-496C-B86B-0A273491D125}"/>
    <cellStyle name="集計 2 10" xfId="22546" xr:uid="{0C91AFE4-E391-4920-B231-9F12107F3B8D}"/>
    <cellStyle name="集計 2 10 2" xfId="35369" xr:uid="{8E1492D6-4B57-4B83-BE27-B2DFAEB67F33}"/>
    <cellStyle name="集計 2 11" xfId="22547" xr:uid="{0EE765AB-A4E0-46FB-A93F-1E41A9A713AB}"/>
    <cellStyle name="集計 2 11 2" xfId="35370" xr:uid="{C52303A8-3A1D-40D2-8374-360053CAEECE}"/>
    <cellStyle name="集計 2 12" xfId="22548" xr:uid="{251D586B-2BE2-4100-A1A0-35FAB1C66E83}"/>
    <cellStyle name="集計 2 12 2" xfId="35371" xr:uid="{1AB2B5EA-A7C2-4050-A895-ED71F634B142}"/>
    <cellStyle name="集計 2 13" xfId="22549" xr:uid="{AADEB1F3-4F21-41D8-8823-58743CDF4F0D}"/>
    <cellStyle name="集計 2 13 2" xfId="35372" xr:uid="{7D005484-5FEC-4771-A57B-7E90A534BD10}"/>
    <cellStyle name="集計 2 14" xfId="22550" xr:uid="{A97DC360-5246-46D3-9D41-DC9A29FF077B}"/>
    <cellStyle name="集計 2 14 2" xfId="35373" xr:uid="{5792E38F-A88A-49E1-9F26-5EF27312E582}"/>
    <cellStyle name="集計 2 15" xfId="22551" xr:uid="{C3269967-D7A3-4F8D-9B06-E6D518E95823}"/>
    <cellStyle name="集計 2 15 2" xfId="35374" xr:uid="{051D5F57-F596-4AE5-826E-A17266F449BE}"/>
    <cellStyle name="集計 2 16" xfId="22552" xr:uid="{0AAB19F2-B26F-43EA-882B-AC5F0822DF89}"/>
    <cellStyle name="集計 2 16 2" xfId="35375" xr:uid="{E8AC3DB0-2624-49F5-B833-1C6462B6CE0B}"/>
    <cellStyle name="集計 2 17" xfId="22553" xr:uid="{763D8F13-06C0-4D34-BD4B-A30A175D5E34}"/>
    <cellStyle name="集計 2 17 2" xfId="35376" xr:uid="{B2D40035-263C-469A-887E-604EA28A190F}"/>
    <cellStyle name="集計 2 18" xfId="22554" xr:uid="{680145EB-7718-4A46-9BFC-ACE5A6265D88}"/>
    <cellStyle name="集計 2 18 2" xfId="35377" xr:uid="{1DB5DC8C-8E14-44EF-BCA2-BDE66BD85A98}"/>
    <cellStyle name="集計 2 19" xfId="22555" xr:uid="{52C6C916-A570-42A2-A259-97F32B623FCD}"/>
    <cellStyle name="集計 2 19 2" xfId="35378" xr:uid="{97527C1E-B7F9-4FD6-82E7-7707F0388B52}"/>
    <cellStyle name="集計 2 2" xfId="22556" xr:uid="{B3E9F4F8-336A-4C8A-9383-BA160378C30E}"/>
    <cellStyle name="集計 2 2 10" xfId="22557" xr:uid="{7CD36FC9-4E12-46E2-8005-039DF518AC1D}"/>
    <cellStyle name="集計 2 2 10 2" xfId="35380" xr:uid="{57E5C62D-8827-4450-A9C3-A09CAC7BA22F}"/>
    <cellStyle name="集計 2 2 11" xfId="22558" xr:uid="{1F3CAE63-0780-426D-A74A-3339A38715F7}"/>
    <cellStyle name="集計 2 2 11 2" xfId="35381" xr:uid="{D18267E5-FE5C-461F-A5D1-F42D45F15F25}"/>
    <cellStyle name="集計 2 2 12" xfId="22559" xr:uid="{0B22159A-0C51-4082-97FA-509AAC8C7F42}"/>
    <cellStyle name="集計 2 2 12 2" xfId="35382" xr:uid="{E73EEA9B-97D0-4FB6-8B19-524106639246}"/>
    <cellStyle name="集計 2 2 13" xfId="22560" xr:uid="{C3FB1B49-1AEE-4B6D-A3BF-0C18C3A76E2B}"/>
    <cellStyle name="集計 2 2 13 2" xfId="35383" xr:uid="{18FE7C05-2CCC-477B-B5CB-04388D671FAB}"/>
    <cellStyle name="集計 2 2 14" xfId="22561" xr:uid="{7999FA79-5690-44D7-B649-3CE6C303305B}"/>
    <cellStyle name="集計 2 2 14 2" xfId="35384" xr:uid="{310DCC22-E241-40FE-8B5D-80610944ED39}"/>
    <cellStyle name="集計 2 2 15" xfId="22562" xr:uid="{C14DB7E2-69FA-48F7-AA33-1023E193DCF5}"/>
    <cellStyle name="集計 2 2 15 2" xfId="35385" xr:uid="{0864CA8A-9CE8-431F-8E8C-031A52BA1BC4}"/>
    <cellStyle name="集計 2 2 16" xfId="22563" xr:uid="{1148738B-7520-4005-BAAD-38C1CABC25D7}"/>
    <cellStyle name="集計 2 2 16 2" xfId="35386" xr:uid="{874DC47C-D777-4E12-997C-0B69AB872A09}"/>
    <cellStyle name="集計 2 2 17" xfId="22564" xr:uid="{FDBF884F-37DA-424A-A413-64C8F7DE55E5}"/>
    <cellStyle name="集計 2 2 17 2" xfId="35387" xr:uid="{8AA64588-CCAC-459F-94F1-78D13692A178}"/>
    <cellStyle name="集計 2 2 18" xfId="22565" xr:uid="{6B0C9FA4-245E-49F1-AE95-174CA66C7C3B}"/>
    <cellStyle name="集計 2 2 18 2" xfId="35388" xr:uid="{CD7B7AA0-BDF4-4255-BE77-403DA0E4E596}"/>
    <cellStyle name="集計 2 2 19" xfId="22566" xr:uid="{F2774407-5923-46E7-ACE2-1F38A707F240}"/>
    <cellStyle name="集計 2 2 19 2" xfId="35389" xr:uid="{85561AE9-BBED-46C0-BCD5-737D1DAA3DF1}"/>
    <cellStyle name="集計 2 2 2" xfId="22567" xr:uid="{098188AD-418E-4F98-9661-536678C4E306}"/>
    <cellStyle name="集計 2 2 2 10" xfId="22568" xr:uid="{EBD59C14-02BF-4600-B782-C4EF7147EDF4}"/>
    <cellStyle name="集計 2 2 2 10 2" xfId="35391" xr:uid="{B63D2823-556E-434F-AE49-FDBCF0036C9E}"/>
    <cellStyle name="集計 2 2 2 11" xfId="22569" xr:uid="{3A67E004-DCCE-49D5-9503-522805E75C85}"/>
    <cellStyle name="集計 2 2 2 11 2" xfId="35392" xr:uid="{A148EE98-02FA-427F-BE97-B75A299D7F3B}"/>
    <cellStyle name="集計 2 2 2 12" xfId="22570" xr:uid="{BDB268A0-AD65-4804-B997-4E3FE241D7C7}"/>
    <cellStyle name="集計 2 2 2 12 2" xfId="35393" xr:uid="{25D036FD-F8A5-468F-9E2B-3EB8BE798C11}"/>
    <cellStyle name="集計 2 2 2 13" xfId="22571" xr:uid="{ECCC6F82-671E-4AD7-ABC7-8C91728253D9}"/>
    <cellStyle name="集計 2 2 2 13 2" xfId="35394" xr:uid="{FDFC1F63-33B6-49B5-81D6-E345956C2D65}"/>
    <cellStyle name="集計 2 2 2 14" xfId="22572" xr:uid="{16EE229D-E2B7-4764-8824-7A4398436181}"/>
    <cellStyle name="集計 2 2 2 14 2" xfId="35395" xr:uid="{00328A9A-208D-46D0-A522-CF650130DE61}"/>
    <cellStyle name="集計 2 2 2 15" xfId="22573" xr:uid="{8C801704-B6C0-47E3-B1FC-566E1274C524}"/>
    <cellStyle name="集計 2 2 2 15 2" xfId="35396" xr:uid="{4B28DC0C-FE4F-40F2-96B4-1291D07F80EA}"/>
    <cellStyle name="集計 2 2 2 16" xfId="35390" xr:uid="{E10CE44C-A6F7-4EF5-96E0-6E4DA3DA517A}"/>
    <cellStyle name="集計 2 2 2 2" xfId="22574" xr:uid="{E47D6DB2-4E90-499C-9AAC-A7FAB3F5FDE5}"/>
    <cellStyle name="集計 2 2 2 2 2" xfId="35397" xr:uid="{9FF1E0D8-B069-4273-9149-2AC38D4A27B6}"/>
    <cellStyle name="集計 2 2 2 3" xfId="22575" xr:uid="{A9C3C29A-78C2-40F5-A1A8-2ABC19323186}"/>
    <cellStyle name="集計 2 2 2 3 2" xfId="35398" xr:uid="{6E2A11A3-4D4E-438F-A085-AE49FD326AF0}"/>
    <cellStyle name="集計 2 2 2 4" xfId="22576" xr:uid="{2A734980-904D-4626-8FDE-50C759A83AA0}"/>
    <cellStyle name="集計 2 2 2 4 2" xfId="35399" xr:uid="{0C160F61-6D86-4F99-A180-CD4233FFD2C7}"/>
    <cellStyle name="集計 2 2 2 5" xfId="22577" xr:uid="{FAAD59C8-B804-4C59-963D-EB74ABBE6DC1}"/>
    <cellStyle name="集計 2 2 2 5 2" xfId="35400" xr:uid="{D5ACD13F-6013-49D0-ABFD-5E381FEFED01}"/>
    <cellStyle name="集計 2 2 2 6" xfId="22578" xr:uid="{A6142D01-1D15-4C29-8E74-82FB1F959591}"/>
    <cellStyle name="集計 2 2 2 6 2" xfId="35401" xr:uid="{7DEBC9D5-D8C6-4A4C-9DF8-EF7DF7D64C12}"/>
    <cellStyle name="集計 2 2 2 7" xfId="22579" xr:uid="{8150D84B-3DFA-41D6-A0C2-6E40B2336E6C}"/>
    <cellStyle name="集計 2 2 2 7 2" xfId="35402" xr:uid="{DCA0CD8D-A358-4D84-8AD1-E3B5D034C4B0}"/>
    <cellStyle name="集計 2 2 2 8" xfId="22580" xr:uid="{CB8BE116-E9E5-49A9-8579-23F48F6D30D1}"/>
    <cellStyle name="集計 2 2 2 8 2" xfId="35403" xr:uid="{551CD680-143A-4E87-9E78-3A56D85E9529}"/>
    <cellStyle name="集計 2 2 2 9" xfId="22581" xr:uid="{7DA0389C-FE20-4AE0-85DB-0572875DCF7C}"/>
    <cellStyle name="集計 2 2 2 9 2" xfId="35404" xr:uid="{35623A6E-7FA0-4CA0-86F5-F28AFC76EAF9}"/>
    <cellStyle name="集計 2 2 20" xfId="35379" xr:uid="{B286EECE-3BFD-4B1E-A7F2-E02D91AD38E1}"/>
    <cellStyle name="集計 2 2 3" xfId="22582" xr:uid="{5B1EAF33-161C-4A83-AC91-28F6292E259F}"/>
    <cellStyle name="集計 2 2 3 2" xfId="35405" xr:uid="{EEA7203F-1A5B-4587-BE32-E75307E182CF}"/>
    <cellStyle name="集計 2 2 4" xfId="22583" xr:uid="{D1F0D87B-5C89-4F75-9E58-996F2A149711}"/>
    <cellStyle name="集計 2 2 4 2" xfId="35406" xr:uid="{794952D8-A9BD-4D3C-B7F0-04CBC9DD60D1}"/>
    <cellStyle name="集計 2 2 5" xfId="22584" xr:uid="{18FCE3E2-004B-4048-915B-AD7A0FCDE84A}"/>
    <cellStyle name="集計 2 2 5 2" xfId="35407" xr:uid="{085CDCCE-948C-4497-A71C-B32EF5661686}"/>
    <cellStyle name="集計 2 2 6" xfId="22585" xr:uid="{13C2446E-7198-4FC3-85E0-647A20D732A8}"/>
    <cellStyle name="集計 2 2 6 2" xfId="35408" xr:uid="{883FD65B-4EE2-4510-9074-EE00B1D8E26B}"/>
    <cellStyle name="集計 2 2 7" xfId="22586" xr:uid="{3ED09C31-1004-41A9-BB5C-5E2186B9FEC1}"/>
    <cellStyle name="集計 2 2 7 2" xfId="35409" xr:uid="{7C1F92E5-DD5A-41B8-8549-F4A45B9403D6}"/>
    <cellStyle name="集計 2 2 8" xfId="22587" xr:uid="{A8C1F11E-11C6-4B57-A7E4-17E5FACD38A1}"/>
    <cellStyle name="集計 2 2 8 2" xfId="35410" xr:uid="{D2500429-EDBD-4C9E-BA31-C3AD4199FF93}"/>
    <cellStyle name="集計 2 2 9" xfId="22588" xr:uid="{F20B1FC1-5A2C-4E6A-A5C9-B9B2A4862F85}"/>
    <cellStyle name="集計 2 2 9 2" xfId="35411" xr:uid="{FABC9EF0-20CC-4907-B17D-E16D42DE90E0}"/>
    <cellStyle name="集計 2 20" xfId="22589" xr:uid="{FE250405-201B-4295-8DD3-09C120A64FAA}"/>
    <cellStyle name="集計 2 20 2" xfId="35412" xr:uid="{34581DDD-A35F-4811-8EB0-CA4964156E13}"/>
    <cellStyle name="集計 2 21" xfId="22590" xr:uid="{F5F847AA-BF40-41E1-82D3-D3E36DBBFD8C}"/>
    <cellStyle name="集計 2 21 2" xfId="35413" xr:uid="{31B60358-A502-4EBD-AF0B-8959F43F3EEE}"/>
    <cellStyle name="集計 2 22" xfId="35368" xr:uid="{4355ACD1-66A7-4E70-BA41-AC3EA8F7DF26}"/>
    <cellStyle name="集計 2 3" xfId="22591" xr:uid="{624041EF-1B46-4D78-8702-0F4137D693B8}"/>
    <cellStyle name="集計 2 3 10" xfId="22592" xr:uid="{A4D66576-8866-4AA7-8A93-C92EA789139D}"/>
    <cellStyle name="集計 2 3 10 2" xfId="35415" xr:uid="{FBD8C3D9-B2DF-49C4-B72F-FDD080295C15}"/>
    <cellStyle name="集計 2 3 11" xfId="22593" xr:uid="{F6F85345-C867-46EE-9FD9-C16346E3E4D0}"/>
    <cellStyle name="集計 2 3 11 2" xfId="35416" xr:uid="{B2D8C387-B6C4-49FB-8D15-8E848E543B59}"/>
    <cellStyle name="集計 2 3 12" xfId="22594" xr:uid="{3A86C27E-B83E-47AE-974A-02FB36669DD8}"/>
    <cellStyle name="集計 2 3 12 2" xfId="35417" xr:uid="{B18D4EE6-2786-47A2-90F4-C3897FF697E6}"/>
    <cellStyle name="集計 2 3 13" xfId="22595" xr:uid="{263EEFC1-6154-43A5-B33A-7DD76546AF16}"/>
    <cellStyle name="集計 2 3 13 2" xfId="35418" xr:uid="{58F39FEF-AF96-441A-A09A-67EAA170C276}"/>
    <cellStyle name="集計 2 3 14" xfId="22596" xr:uid="{E9A1F34D-7AC5-4322-9DAC-AE828AFC604E}"/>
    <cellStyle name="集計 2 3 14 2" xfId="35419" xr:uid="{4E1DEAF2-7308-4540-AD6C-68D0F75692AF}"/>
    <cellStyle name="集計 2 3 15" xfId="22597" xr:uid="{C0A5A463-2988-497B-8E8A-F392029DAF56}"/>
    <cellStyle name="集計 2 3 15 2" xfId="35420" xr:uid="{03FC8600-2969-4F98-A998-660FEB3D736D}"/>
    <cellStyle name="集計 2 3 16" xfId="35414" xr:uid="{84483975-11CB-4560-8809-158536115394}"/>
    <cellStyle name="集計 2 3 2" xfId="22598" xr:uid="{4E15E98C-7ABB-4B95-BA10-6475C26C484C}"/>
    <cellStyle name="集計 2 3 2 2" xfId="35421" xr:uid="{C28ACE97-84CB-4A24-BF62-E83C62F3E1B8}"/>
    <cellStyle name="集計 2 3 3" xfId="22599" xr:uid="{B8B01598-547C-436C-AEDB-A465DDC27353}"/>
    <cellStyle name="集計 2 3 3 2" xfId="35422" xr:uid="{9AF38EEA-9C50-48F0-84C1-4765F9C127D9}"/>
    <cellStyle name="集計 2 3 4" xfId="22600" xr:uid="{BA31E6DA-4945-4E12-824C-A0403CFF48BF}"/>
    <cellStyle name="集計 2 3 4 2" xfId="35423" xr:uid="{DDC1A474-A1C9-4C60-90D3-842E4E5AF074}"/>
    <cellStyle name="集計 2 3 5" xfId="22601" xr:uid="{A84BA2D1-3A3B-4E30-9185-4BA240BBCBA7}"/>
    <cellStyle name="集計 2 3 5 2" xfId="35424" xr:uid="{0CA11648-1744-4186-9BE3-253BF073CAF2}"/>
    <cellStyle name="集計 2 3 6" xfId="22602" xr:uid="{3F5865C5-808F-4516-8C50-BC851257579D}"/>
    <cellStyle name="集計 2 3 6 2" xfId="35425" xr:uid="{F5884316-A775-4B98-A6ED-8C542D1C866A}"/>
    <cellStyle name="集計 2 3 7" xfId="22603" xr:uid="{B2474503-16DB-4FF0-BBD2-D42C758E5389}"/>
    <cellStyle name="集計 2 3 7 2" xfId="35426" xr:uid="{08CDE97B-6EB8-40BD-B579-65DF0620320D}"/>
    <cellStyle name="集計 2 3 8" xfId="22604" xr:uid="{68B0D993-50B3-4A1D-A752-31828E454EEB}"/>
    <cellStyle name="集計 2 3 8 2" xfId="35427" xr:uid="{1D991B82-C9EC-40B0-B826-92DE3AC89F1F}"/>
    <cellStyle name="集計 2 3 9" xfId="22605" xr:uid="{130E4C32-87B0-402E-918D-12EC363DD128}"/>
    <cellStyle name="集計 2 3 9 2" xfId="35428" xr:uid="{63403BBD-86CE-4B39-963A-C87539D61F21}"/>
    <cellStyle name="集計 2 4" xfId="22606" xr:uid="{49DAED02-E45D-4FD8-94B6-E62F53C7D282}"/>
    <cellStyle name="集計 2 4 2" xfId="35429" xr:uid="{BD29A73B-0CA9-415C-BC22-EA2EA51F57A7}"/>
    <cellStyle name="集計 2 5" xfId="22607" xr:uid="{40A148F1-8D01-4CBE-942F-57DCC7E83A48}"/>
    <cellStyle name="集計 2 5 2" xfId="35430" xr:uid="{DF521C4C-6C73-4CF8-BDCD-F108338750E4}"/>
    <cellStyle name="集計 2 6" xfId="22608" xr:uid="{A95D9C19-F0E6-4D64-9096-162BDC07D3ED}"/>
    <cellStyle name="集計 2 6 2" xfId="35431" xr:uid="{E35261A1-4BDA-4407-AD35-11B04DAD4561}"/>
    <cellStyle name="集計 2 7" xfId="22609" xr:uid="{EBCEFA58-E478-45ED-B4E3-EC31CDBE04A6}"/>
    <cellStyle name="集計 2 7 2" xfId="35432" xr:uid="{A8FD9C11-2B6A-48C6-BAC8-E0A72E8E1A4A}"/>
    <cellStyle name="集計 2 8" xfId="22610" xr:uid="{882AF981-4DE4-413E-AD02-106208C0ABBE}"/>
    <cellStyle name="集計 2 8 2" xfId="35433" xr:uid="{FF09ED68-4878-4F2B-BCC8-8EC57A8D459E}"/>
    <cellStyle name="集計 2 9" xfId="22611" xr:uid="{83385F5F-8A83-4715-BEA7-26DBF9913FF5}"/>
    <cellStyle name="集計 2 9 2" xfId="35434" xr:uid="{B4C395FC-DF55-4ED7-B5A9-3608A9305E01}"/>
    <cellStyle name="集計 3" xfId="22612" xr:uid="{BDBF756C-C334-49C3-A195-3BE4E29B53B6}"/>
    <cellStyle name="集計 3 10" xfId="22613" xr:uid="{1691B159-82FF-47FD-BFEC-138955CFE8E7}"/>
    <cellStyle name="集計 3 10 2" xfId="35436" xr:uid="{8AA272AD-3059-4846-BB4C-CA5B55D110A7}"/>
    <cellStyle name="集計 3 11" xfId="22614" xr:uid="{750E9F71-2C09-43F5-91A1-F5BCCBD3F62D}"/>
    <cellStyle name="集計 3 11 2" xfId="35437" xr:uid="{DAA13B61-080E-4917-825C-BDCADEE35ADA}"/>
    <cellStyle name="集計 3 12" xfId="22615" xr:uid="{36BA28CB-680C-4B6B-816B-9D651430CA13}"/>
    <cellStyle name="集計 3 12 2" xfId="35438" xr:uid="{523757C4-32DD-45A2-B52F-C070A70F0B3A}"/>
    <cellStyle name="集計 3 13" xfId="22616" xr:uid="{EA6A9455-17ED-4DF5-8A5A-59359D30B70F}"/>
    <cellStyle name="集計 3 13 2" xfId="35439" xr:uid="{37A32F14-7219-44EF-980E-E230DDEBD846}"/>
    <cellStyle name="集計 3 14" xfId="22617" xr:uid="{755213AD-A9AD-490D-A53B-593802465004}"/>
    <cellStyle name="集計 3 14 2" xfId="35440" xr:uid="{2E3F1F16-6D82-4C86-BD87-7886B43B6270}"/>
    <cellStyle name="集計 3 15" xfId="22618" xr:uid="{76C83476-9FFC-4711-808F-DA6EED15F2FF}"/>
    <cellStyle name="集計 3 15 2" xfId="35441" xr:uid="{7F882186-4867-4270-B650-3D933C22AF20}"/>
    <cellStyle name="集計 3 16" xfId="22619" xr:uid="{1C6C7F80-0E8A-4AA9-B995-150C10B4AD9B}"/>
    <cellStyle name="集計 3 16 2" xfId="35442" xr:uid="{8EC7CE73-9754-4A44-A757-9093A9C5FD61}"/>
    <cellStyle name="集計 3 17" xfId="22620" xr:uid="{29780886-82F5-4692-A2CF-CFF4D10C79DD}"/>
    <cellStyle name="集計 3 17 2" xfId="35443" xr:uid="{30206E8B-A1B3-4194-8B31-CDB897B36270}"/>
    <cellStyle name="集計 3 18" xfId="22621" xr:uid="{4CC8DAEA-D56A-4E79-B17F-E584D854A64C}"/>
    <cellStyle name="集計 3 18 2" xfId="35444" xr:uid="{6045C8A2-7605-4848-8A44-62D0815EC120}"/>
    <cellStyle name="集計 3 19" xfId="22622" xr:uid="{65A30C6D-FE62-4202-A7DB-C634A991842D}"/>
    <cellStyle name="集計 3 19 2" xfId="35445" xr:uid="{52DADE08-C410-4249-847A-E4EE81A9E46E}"/>
    <cellStyle name="集計 3 2" xfId="22623" xr:uid="{1ABEF131-0E1E-432F-B8A4-EF287B4CB106}"/>
    <cellStyle name="集計 3 2 10" xfId="22624" xr:uid="{06C6EBEA-3DB7-40DA-B295-761E71E8D5B8}"/>
    <cellStyle name="集計 3 2 10 2" xfId="35447" xr:uid="{1D6A0C37-5CBC-4BA6-9337-AF5E1A67792D}"/>
    <cellStyle name="集計 3 2 11" xfId="22625" xr:uid="{63BEFE13-5AF8-482E-8EB6-F567AF122294}"/>
    <cellStyle name="集計 3 2 11 2" xfId="35448" xr:uid="{84C9D74A-C426-4BC1-8784-C943BCAC32F5}"/>
    <cellStyle name="集計 3 2 12" xfId="22626" xr:uid="{DDD10753-CA9F-4F19-8EA0-F7A85FD76139}"/>
    <cellStyle name="集計 3 2 12 2" xfId="35449" xr:uid="{FE7DCCC9-D646-4A97-AC9A-3B6B7D852490}"/>
    <cellStyle name="集計 3 2 13" xfId="22627" xr:uid="{17C17D7A-F0DE-49B8-B5C7-D9A3C98299C1}"/>
    <cellStyle name="集計 3 2 13 2" xfId="35450" xr:uid="{341952BE-47CB-4AB9-9378-1FDE89708ABC}"/>
    <cellStyle name="集計 3 2 14" xfId="22628" xr:uid="{C1064D4F-82CC-4EAA-ACDA-0C878BBEFEAC}"/>
    <cellStyle name="集計 3 2 14 2" xfId="35451" xr:uid="{C9949F69-4CED-442B-B5AA-AE31D4D911E8}"/>
    <cellStyle name="集計 3 2 15" xfId="22629" xr:uid="{FB1F86CF-8DBE-4080-9B9B-D9F3E9E5FB9D}"/>
    <cellStyle name="集計 3 2 15 2" xfId="35452" xr:uid="{1771DA99-CAAE-4FC1-803E-21866120C418}"/>
    <cellStyle name="集計 3 2 16" xfId="22630" xr:uid="{A9B75F67-61A1-4439-9617-17BF1297ED10}"/>
    <cellStyle name="集計 3 2 16 2" xfId="35453" xr:uid="{C3C29405-6E4B-4536-B7C6-D1225F42CFCE}"/>
    <cellStyle name="集計 3 2 17" xfId="22631" xr:uid="{5314F88A-81F6-4DBC-B2AB-BEC6FAC35A29}"/>
    <cellStyle name="集計 3 2 17 2" xfId="35454" xr:uid="{8EC67597-7C0D-4C16-8489-0FCB26817F7A}"/>
    <cellStyle name="集計 3 2 18" xfId="22632" xr:uid="{B2E1E481-6071-4AE9-A070-9F3B3116D724}"/>
    <cellStyle name="集計 3 2 18 2" xfId="35455" xr:uid="{CBE04DFC-7336-4B60-9B88-DC7908A9C5D6}"/>
    <cellStyle name="集計 3 2 19" xfId="22633" xr:uid="{490DA976-A6F1-49A1-84C6-4B06C06DA70D}"/>
    <cellStyle name="集計 3 2 19 2" xfId="35456" xr:uid="{83D77D5C-E194-4C38-B5F8-ACE1C29718AF}"/>
    <cellStyle name="集計 3 2 2" xfId="22634" xr:uid="{B6980D94-B9C0-4C4E-9994-8BADB59C8D63}"/>
    <cellStyle name="集計 3 2 2 10" xfId="22635" xr:uid="{9D548935-6E74-424C-B85B-21C563AE8530}"/>
    <cellStyle name="集計 3 2 2 10 2" xfId="35458" xr:uid="{CE614BAC-973F-4EFF-8554-C8105E3760C4}"/>
    <cellStyle name="集計 3 2 2 11" xfId="22636" xr:uid="{FCFB4ECC-04B1-4FD5-92D5-3BC0923C35EA}"/>
    <cellStyle name="集計 3 2 2 11 2" xfId="35459" xr:uid="{1BDCEBAA-50B8-4CCD-BD45-1C7D48AFFB19}"/>
    <cellStyle name="集計 3 2 2 12" xfId="22637" xr:uid="{7BDBAA6B-E828-4935-B17F-1526F29CB962}"/>
    <cellStyle name="集計 3 2 2 12 2" xfId="35460" xr:uid="{0BF85418-4F09-4036-A37C-FECF2AF00BE2}"/>
    <cellStyle name="集計 3 2 2 13" xfId="22638" xr:uid="{60B1BD1A-8C48-4CBC-A126-A1FEECADAE08}"/>
    <cellStyle name="集計 3 2 2 13 2" xfId="35461" xr:uid="{18E8CC87-0907-4BFD-9367-21D1644DD4B9}"/>
    <cellStyle name="集計 3 2 2 14" xfId="22639" xr:uid="{0FA2FEE2-F4B2-46E8-AD76-CC8A0842CB4E}"/>
    <cellStyle name="集計 3 2 2 14 2" xfId="35462" xr:uid="{51E2AE91-A3FE-4231-8A20-A81DCF9FDBEA}"/>
    <cellStyle name="集計 3 2 2 15" xfId="22640" xr:uid="{2CADF36D-07A5-4DD5-BA53-94A02D95D894}"/>
    <cellStyle name="集計 3 2 2 15 2" xfId="35463" xr:uid="{AE72970E-1F64-4D4A-837A-DE8DD733FE95}"/>
    <cellStyle name="集計 3 2 2 16" xfId="35457" xr:uid="{02E489B3-4BC9-49E8-AA9E-3DA05762F3BC}"/>
    <cellStyle name="集計 3 2 2 2" xfId="22641" xr:uid="{07A96B08-1A4C-4599-953C-2D8C6C590845}"/>
    <cellStyle name="集計 3 2 2 2 2" xfId="35464" xr:uid="{CCE946D8-2121-45DC-877D-2BA8D7924012}"/>
    <cellStyle name="集計 3 2 2 3" xfId="22642" xr:uid="{E5778F86-96C7-43B1-9BFA-70AECE13742F}"/>
    <cellStyle name="集計 3 2 2 3 2" xfId="35465" xr:uid="{4342194C-5CF8-4EE9-A98C-9DAE98668F2A}"/>
    <cellStyle name="集計 3 2 2 4" xfId="22643" xr:uid="{AF1F0E64-D5B0-4AD6-A546-2964958A1A16}"/>
    <cellStyle name="集計 3 2 2 4 2" xfId="35466" xr:uid="{4254D7AA-E4DC-4A1E-9A55-DE3FF570BE28}"/>
    <cellStyle name="集計 3 2 2 5" xfId="22644" xr:uid="{813CD2AA-96C8-42EA-938D-0FEEC7C0365A}"/>
    <cellStyle name="集計 3 2 2 5 2" xfId="35467" xr:uid="{D5427310-B0C0-4B60-B58A-D62DAE9A4538}"/>
    <cellStyle name="集計 3 2 2 6" xfId="22645" xr:uid="{C922EE2E-F53A-4221-B6E8-D156979F93A9}"/>
    <cellStyle name="集計 3 2 2 6 2" xfId="35468" xr:uid="{818855C2-0E05-4176-88DA-9540A3A58C1F}"/>
    <cellStyle name="集計 3 2 2 7" xfId="22646" xr:uid="{08549303-F35C-48FE-98DF-D42B92561485}"/>
    <cellStyle name="集計 3 2 2 7 2" xfId="35469" xr:uid="{6F5D558E-F2E3-4DB1-886F-878FC8B8E843}"/>
    <cellStyle name="集計 3 2 2 8" xfId="22647" xr:uid="{5D0C25F6-FF8D-41C8-886D-8DAD89E03AAB}"/>
    <cellStyle name="集計 3 2 2 8 2" xfId="35470" xr:uid="{76F79692-CF3A-4465-AB42-0DDA692B12EF}"/>
    <cellStyle name="集計 3 2 2 9" xfId="22648" xr:uid="{3A11CC4F-8A1E-441E-8A69-92BBABD27D98}"/>
    <cellStyle name="集計 3 2 2 9 2" xfId="35471" xr:uid="{2988EB35-9B13-4D44-A14C-B914B1A4F421}"/>
    <cellStyle name="集計 3 2 20" xfId="35446" xr:uid="{35E8D02C-4F67-4FB9-B7C6-D4D38A852507}"/>
    <cellStyle name="集計 3 2 3" xfId="22649" xr:uid="{BCBC002A-7F9B-46E7-99E1-03E3C1A3348C}"/>
    <cellStyle name="集計 3 2 3 2" xfId="35472" xr:uid="{85B52AD6-1E48-473C-864D-93DE3B4D9DBF}"/>
    <cellStyle name="集計 3 2 4" xfId="22650" xr:uid="{4D12C29A-F6E9-4B5D-8DE2-E7F26AF2A14A}"/>
    <cellStyle name="集計 3 2 4 2" xfId="35473" xr:uid="{2A0C4A43-5C48-4C49-BCF4-7E149BD4F63F}"/>
    <cellStyle name="集計 3 2 5" xfId="22651" xr:uid="{150CA3C9-FDC2-4AD7-8B53-F37B577653C7}"/>
    <cellStyle name="集計 3 2 5 2" xfId="38152" xr:uid="{E12CD660-75D1-4EF8-BDDD-B275E8879A41}"/>
    <cellStyle name="集計 3 2 6" xfId="22652" xr:uid="{292370DB-7810-4020-ACFA-CA0F7763FCA3}"/>
    <cellStyle name="集計 3 2 6 2" xfId="35474" xr:uid="{0421A257-FC12-4F3A-9CA3-EA6619B5AA27}"/>
    <cellStyle name="集計 3 2 7" xfId="22653" xr:uid="{681682A1-E4B3-479D-9DD4-50F3138292FD}"/>
    <cellStyle name="集計 3 2 7 2" xfId="35823" xr:uid="{831C17F9-758B-4A4E-B2F4-14725A368F29}"/>
    <cellStyle name="集計 3 2 8" xfId="22654" xr:uid="{C765937A-F222-4048-AB6D-0F06C3006A0D}"/>
    <cellStyle name="集計 3 2 8 2" xfId="36108" xr:uid="{A8B35DFC-6EBB-4BED-926E-F8284494A66A}"/>
    <cellStyle name="集計 3 2 9" xfId="22655" xr:uid="{BD6BCD88-92AB-4572-AE88-8B2BF4235FF6}"/>
    <cellStyle name="集計 3 2 9 2" xfId="36109" xr:uid="{70F80C99-24F7-4185-B513-40E1354D403A}"/>
    <cellStyle name="集計 3 20" xfId="22656" xr:uid="{DFBC1DA7-A39D-4181-B50E-4CA3FB91364A}"/>
    <cellStyle name="集計 3 20 2" xfId="37025" xr:uid="{1CC2EFC0-97DD-4C46-BACC-AA367C590111}"/>
    <cellStyle name="集計 3 21" xfId="35435" xr:uid="{57BB9D64-B6EB-467B-988F-45AD8AFB572C}"/>
    <cellStyle name="集計 3 3" xfId="22657" xr:uid="{440DD3BE-88A0-484B-BB12-65A62DA75733}"/>
    <cellStyle name="集計 3 3 10" xfId="22658" xr:uid="{F6C2D0EA-7F99-41DD-8F8A-5DCEE12C3868}"/>
    <cellStyle name="集計 3 3 10 2" xfId="37027" xr:uid="{BDA97434-4411-4F54-B521-266D4A436296}"/>
    <cellStyle name="集計 3 3 11" xfId="22659" xr:uid="{AB5D5B7E-7552-44E8-9BCC-981353831EB9}"/>
    <cellStyle name="集計 3 3 11 2" xfId="37029" xr:uid="{9EEA48AE-C552-4C66-ACF3-99715A0D10EA}"/>
    <cellStyle name="集計 3 3 12" xfId="22660" xr:uid="{F272B84D-498B-4D5B-AC85-1DBCD15157C2}"/>
    <cellStyle name="集計 3 3 12 2" xfId="37033" xr:uid="{631732C8-425B-4615-962B-147F75DAD8B0}"/>
    <cellStyle name="集計 3 3 13" xfId="22661" xr:uid="{AFAD7755-E947-41F4-8A80-2A33364DB0CE}"/>
    <cellStyle name="集計 3 3 13 2" xfId="37034" xr:uid="{729EFF95-F529-4D8E-9EFF-686EF723BE13}"/>
    <cellStyle name="集計 3 3 14" xfId="22662" xr:uid="{93C9B061-4624-4B66-B49C-42CAB859F56D}"/>
    <cellStyle name="集計 3 3 14 2" xfId="37046" xr:uid="{7334B88C-76FB-4F15-A6B3-D1AD36C73C72}"/>
    <cellStyle name="集計 3 3 15" xfId="22663" xr:uid="{8DAF0F60-633B-4ED1-B4FA-4B5F865BB005}"/>
    <cellStyle name="集計 3 3 15 2" xfId="37047" xr:uid="{D38B24E2-A92C-46BD-B486-92803EDB6092}"/>
    <cellStyle name="集計 3 3 16" xfId="37026" xr:uid="{98EF63B4-44AE-4E17-89CB-5A345889A6F6}"/>
    <cellStyle name="集計 3 3 2" xfId="22664" xr:uid="{BDA2BB9E-BFD0-49ED-A217-F77AE71CCC79}"/>
    <cellStyle name="集計 3 3 2 2" xfId="38420" xr:uid="{564D5489-257B-4D7A-A581-04A2369C1DCB}"/>
    <cellStyle name="集計 3 3 3" xfId="22665" xr:uid="{AB3FE6AD-CFE0-40BF-8A9E-E80B47986666}"/>
    <cellStyle name="集計 3 3 3 2" xfId="37048" xr:uid="{078E412C-9997-4D9C-8600-0BA727F796C9}"/>
    <cellStyle name="集計 3 3 4" xfId="22666" xr:uid="{77AA06BE-5F1D-40D3-95AB-8C7182F0B16E}"/>
    <cellStyle name="集計 3 3 4 2" xfId="37049" xr:uid="{B1D704BA-E0C4-4C14-BFFD-146C2F375755}"/>
    <cellStyle name="集計 3 3 5" xfId="22667" xr:uid="{6F531E79-9B4B-494D-954D-1811F45D457C}"/>
    <cellStyle name="集計 3 3 5 2" xfId="37050" xr:uid="{ED9D347F-28A3-472D-8144-2B9A3D7B8AF0}"/>
    <cellStyle name="集計 3 3 6" xfId="22668" xr:uid="{C0AC8061-4E82-400A-A333-7A2562467AE7}"/>
    <cellStyle name="集計 3 3 6 2" xfId="37051" xr:uid="{2B33859F-8608-4D92-9FEA-2BD351C15B2E}"/>
    <cellStyle name="集計 3 3 7" xfId="22669" xr:uid="{F6496C36-6CCE-4037-90EC-957FB1BAF190}"/>
    <cellStyle name="集計 3 3 7 2" xfId="37052" xr:uid="{7A1F682B-4695-48E5-8B08-A87DF2CC1DDC}"/>
    <cellStyle name="集計 3 3 8" xfId="22670" xr:uid="{24DC1C89-35A3-4096-81CF-9BC2B83FEE37}"/>
    <cellStyle name="集計 3 3 8 2" xfId="35479" xr:uid="{F58CF4E0-49A0-4768-9B16-F33BBAF27570}"/>
    <cellStyle name="集計 3 3 9" xfId="22671" xr:uid="{F8F7A171-95E8-4403-B0C0-7CF68CF3D745}"/>
    <cellStyle name="集計 3 3 9 2" xfId="35478" xr:uid="{2F37F8B9-595F-40E3-95B0-042318E90DBD}"/>
    <cellStyle name="集計 3 4" xfId="22672" xr:uid="{FAF600AF-AB80-4311-B299-C04615328154}"/>
    <cellStyle name="集計 3 4 2" xfId="35480" xr:uid="{F16E6F7D-D4E9-4E57-8644-1E60FCAF2D66}"/>
    <cellStyle name="集計 3 5" xfId="22673" xr:uid="{38B0DE4B-73DB-45E9-92C7-1A147624A0C7}"/>
    <cellStyle name="集計 3 5 2" xfId="37038" xr:uid="{ABF54B00-E1FB-4259-BF5C-1B785C85B4B6}"/>
    <cellStyle name="集計 3 6" xfId="22674" xr:uid="{AAF3CEA6-6BFA-4550-9136-43B5EAA530B7}"/>
    <cellStyle name="集計 3 6 2" xfId="37039" xr:uid="{3B951154-E3DD-46B5-A6FF-B7BB159038A7}"/>
    <cellStyle name="集計 3 7" xfId="22675" xr:uid="{88B6A454-6E01-4231-843B-BD768FDD669C}"/>
    <cellStyle name="集計 3 7 2" xfId="37040" xr:uid="{D0FEEEB5-890A-416C-8C16-333EADE4AACA}"/>
    <cellStyle name="集計 3 8" xfId="22676" xr:uid="{757198A0-E469-47EA-A5B8-38BE7627FBD6}"/>
    <cellStyle name="集計 3 8 2" xfId="36628" xr:uid="{078601B4-86C9-41F9-B46A-A09E1CC09D4B}"/>
    <cellStyle name="集計 3 9" xfId="22677" xr:uid="{66E0FCF1-023F-40C5-A97F-0E533154EBE5}"/>
    <cellStyle name="集計 3 9 2" xfId="36629" xr:uid="{CD9CF26F-603E-4AF6-B8E5-83265FC1E5D4}"/>
    <cellStyle name="集計 4" xfId="22678" xr:uid="{4FCC676D-3624-4539-AEBF-D4C1CA087D97}"/>
    <cellStyle name="集計 4 10" xfId="22679" xr:uid="{9D4883A3-BD0E-4D20-932F-1D70986A7683}"/>
    <cellStyle name="集計 4 10 2" xfId="36631" xr:uid="{2D453D55-1F17-46DC-A7DF-9F6C8CDDE280}"/>
    <cellStyle name="集計 4 11" xfId="22680" xr:uid="{CB8ECFA3-FA61-4130-BE4F-6C68FB5BA625}"/>
    <cellStyle name="集計 4 11 2" xfId="36632" xr:uid="{C9226AD1-6F5E-4BCF-A697-2338C64F1DCE}"/>
    <cellStyle name="集計 4 12" xfId="22681" xr:uid="{CF87DCBE-848F-49B6-A593-449CD9386A67}"/>
    <cellStyle name="集計 4 12 2" xfId="36633" xr:uid="{97C4B92D-8DB2-48AD-B485-3C5ACCF4667F}"/>
    <cellStyle name="集計 4 13" xfId="22682" xr:uid="{0F8494FC-4ABA-4534-98D8-0E677B08A334}"/>
    <cellStyle name="集計 4 13 2" xfId="36634" xr:uid="{762291B5-899D-4A3D-9384-7E3073835A57}"/>
    <cellStyle name="集計 4 14" xfId="22683" xr:uid="{EE34B1D6-6298-42D3-8310-BEC532867E4E}"/>
    <cellStyle name="集計 4 14 2" xfId="36635" xr:uid="{EAD89772-8E0C-468F-B4EF-A2A85503389F}"/>
    <cellStyle name="集計 4 15" xfId="22684" xr:uid="{F6113271-CCF2-45E1-92E4-87D6C71BDB6A}"/>
    <cellStyle name="集計 4 15 2" xfId="36636" xr:uid="{A93BEA35-3F14-4DE5-8213-FB23F053D064}"/>
    <cellStyle name="集計 4 16" xfId="22685" xr:uid="{4303E751-C59B-4111-B57D-26CBB9D41F9C}"/>
    <cellStyle name="集計 4 16 2" xfId="36637" xr:uid="{EEDB4083-A568-442C-AB14-46A41B4BBD67}"/>
    <cellStyle name="集計 4 17" xfId="22686" xr:uid="{48EC5BF9-26CE-4FF2-9940-7C0C68D9D78C}"/>
    <cellStyle name="集計 4 17 2" xfId="36638" xr:uid="{4F70F8B5-037B-4BBA-BEDB-E0BEF19F9206}"/>
    <cellStyle name="集計 4 18" xfId="22687" xr:uid="{811E3ADD-D88B-4CD3-BE3C-E98D819BBDC7}"/>
    <cellStyle name="集計 4 18 2" xfId="36639" xr:uid="{B2E953E7-05DE-4C7D-8CFB-711FECDD20DF}"/>
    <cellStyle name="集計 4 19" xfId="22688" xr:uid="{0B8CA591-1850-4C5E-8DB1-DD615D607B0E}"/>
    <cellStyle name="集計 4 19 2" xfId="36640" xr:uid="{982B2214-0206-4504-92A7-4669A91C48CD}"/>
    <cellStyle name="集計 4 2" xfId="22689" xr:uid="{8A197554-10B9-4A55-B49F-19A12FD5B648}"/>
    <cellStyle name="集計 4 2 10" xfId="22690" xr:uid="{B1B42B29-1F53-490D-977E-C143D0311902}"/>
    <cellStyle name="集計 4 2 10 2" xfId="36642" xr:uid="{67827259-5910-459B-BB63-F35BED7A746C}"/>
    <cellStyle name="集計 4 2 11" xfId="22691" xr:uid="{49B61B48-143C-4D62-AFD9-86B304233573}"/>
    <cellStyle name="集計 4 2 11 2" xfId="36643" xr:uid="{369B6675-361A-4BB2-8FBC-0F8A907EC144}"/>
    <cellStyle name="集計 4 2 12" xfId="22692" xr:uid="{1EAB2FA3-F527-4293-9FF2-11B2B7C57426}"/>
    <cellStyle name="集計 4 2 12 2" xfId="36644" xr:uid="{25D51B3B-3C91-4AA7-ACB6-3D91CCB8E61C}"/>
    <cellStyle name="集計 4 2 13" xfId="22693" xr:uid="{60E327CA-478B-49CA-8DAF-FB040F7548EA}"/>
    <cellStyle name="集計 4 2 13 2" xfId="36645" xr:uid="{669FD51F-50EF-4C14-B2B6-0E97B52BC186}"/>
    <cellStyle name="集計 4 2 14" xfId="22694" xr:uid="{D595C22F-7EAA-46E0-B12A-3A2FB12B1995}"/>
    <cellStyle name="集計 4 2 14 2" xfId="36646" xr:uid="{05DD4643-F344-4391-BDC5-E6566ED338C1}"/>
    <cellStyle name="集計 4 2 15" xfId="22695" xr:uid="{DD136861-61C8-47EA-BAA0-2063FFF13D8A}"/>
    <cellStyle name="集計 4 2 15 2" xfId="36647" xr:uid="{FE1F1920-0F10-4CA5-8F31-C18532DD90FB}"/>
    <cellStyle name="集計 4 2 16" xfId="36641" xr:uid="{98D45401-0A81-453E-B0E8-F8636B4A5C39}"/>
    <cellStyle name="集計 4 2 2" xfId="22696" xr:uid="{9B2DB05E-37CE-4440-9C11-3949BF6FFF2C}"/>
    <cellStyle name="集計 4 2 2 2" xfId="36648" xr:uid="{AEDCB0E9-2286-42FA-B68D-C58422DF7C8E}"/>
    <cellStyle name="集計 4 2 3" xfId="22697" xr:uid="{317121F5-E1EB-4A2C-A9CE-36BEDDF498F3}"/>
    <cellStyle name="集計 4 2 3 2" xfId="36649" xr:uid="{D132DF96-3EB2-4B3A-A645-A89682E1E4E1}"/>
    <cellStyle name="集計 4 2 4" xfId="22698" xr:uid="{C3F9FA90-7623-4B7A-A74A-01E7EA827FBA}"/>
    <cellStyle name="集計 4 2 4 2" xfId="36650" xr:uid="{32BDEDA3-9D6C-4ADE-8F1A-AC132C6BF5D8}"/>
    <cellStyle name="集計 4 2 5" xfId="22699" xr:uid="{0BB65290-0663-47C5-A70A-94063764CE05}"/>
    <cellStyle name="集計 4 2 5 2" xfId="36651" xr:uid="{887714E1-C0A8-47C4-99C1-AFD6B3B64512}"/>
    <cellStyle name="集計 4 2 6" xfId="22700" xr:uid="{577A6A9D-5CB3-4874-BD43-A77D64671A8B}"/>
    <cellStyle name="集計 4 2 6 2" xfId="36652" xr:uid="{E8A9696D-2D4F-4C88-8C1F-4AB8503AFAA8}"/>
    <cellStyle name="集計 4 2 7" xfId="22701" xr:uid="{BCDE0447-A9BA-434C-8A7F-F9FD4C39ACF2}"/>
    <cellStyle name="集計 4 2 7 2" xfId="36653" xr:uid="{9D84229C-B0ED-49FF-87B9-57CC9E1FA53F}"/>
    <cellStyle name="集計 4 2 8" xfId="22702" xr:uid="{8B97A2F1-8A90-4ED5-834C-C9D8C2BCC2B5}"/>
    <cellStyle name="集計 4 2 8 2" xfId="36654" xr:uid="{D00B3498-6224-4CBB-8182-63D853389F83}"/>
    <cellStyle name="集計 4 2 9" xfId="22703" xr:uid="{AD3A120F-E613-4B72-B80C-9DC21AA20766}"/>
    <cellStyle name="集計 4 2 9 2" xfId="36655" xr:uid="{D656B8FF-9513-436B-8F7B-E7827976CD41}"/>
    <cellStyle name="集計 4 20" xfId="36630" xr:uid="{55E7E494-A186-4A6D-8BF8-E0813F46E867}"/>
    <cellStyle name="集計 4 3" xfId="22704" xr:uid="{1BD03517-2039-4869-A2A4-4B4BB041D8A3}"/>
    <cellStyle name="集計 4 3 2" xfId="36656" xr:uid="{AFEF9152-485A-4A88-B74B-0390040DCB39}"/>
    <cellStyle name="集計 4 4" xfId="22705" xr:uid="{52845E5C-682D-437F-880B-DC1F2419BF3F}"/>
    <cellStyle name="集計 4 4 2" xfId="36657" xr:uid="{2968A8AA-B79D-4E65-BA43-6DEF4B7EAF18}"/>
    <cellStyle name="集計 4 5" xfId="22706" xr:uid="{03E44456-71B1-4838-858F-117C7F9CAFD0}"/>
    <cellStyle name="集計 4 5 2" xfId="36658" xr:uid="{AED63A1B-7DAC-467B-A36D-87B065B10E7C}"/>
    <cellStyle name="集計 4 6" xfId="22707" xr:uid="{A59AA22D-2003-4C7E-B04C-5D91C70190EE}"/>
    <cellStyle name="集計 4 6 2" xfId="36659" xr:uid="{F3C3D91A-4EF8-407B-8668-50D41C0F5113}"/>
    <cellStyle name="集計 4 7" xfId="22708" xr:uid="{07D3EA2C-C60E-4B39-8C3A-E029A0D60CBC}"/>
    <cellStyle name="集計 4 7 2" xfId="36660" xr:uid="{AE96BCE5-09C2-4FD1-B4BC-CEE9BADCB75F}"/>
    <cellStyle name="集計 4 8" xfId="22709" xr:uid="{A25073D3-ECE4-4F68-84F2-68623C1581BE}"/>
    <cellStyle name="集計 4 8 2" xfId="36661" xr:uid="{760DC2C3-0DF6-4EB9-8616-648270F18022}"/>
    <cellStyle name="集計 4 9" xfId="22710" xr:uid="{233CA7BF-C653-444D-BDD6-826B7E5ED304}"/>
    <cellStyle name="集計 4 9 2" xfId="36662" xr:uid="{6314D7A4-FF69-46D1-861E-A9D46F8346B6}"/>
    <cellStyle name="集計 5" xfId="22711" xr:uid="{D002348B-9D27-46AA-8B3B-ABEED9C085C3}"/>
    <cellStyle name="集計 5 2" xfId="36663" xr:uid="{DB1FE26A-CA56-4DBE-BC82-B8219566EFE0}"/>
    <cellStyle name="集計 6" xfId="22712" xr:uid="{8AD1E1D4-B87B-448A-ABAF-3CD4073446B9}"/>
    <cellStyle name="集計 6 2" xfId="36664" xr:uid="{ACC1B858-14E9-4416-AAA4-6361C5F95B48}"/>
    <cellStyle name="霓付 [0]_97MBO" xfId="23874" xr:uid="{EC4C2399-FB05-4641-A483-5C9B8B6FE900}"/>
    <cellStyle name="霓付_97MBO" xfId="23875" xr:uid="{BD7D4B8D-F62B-4F67-8480-9B2FE1B7CC91}"/>
    <cellStyle name="題目" xfId="22917" xr:uid="{22614AA9-A5E2-421A-8A06-50E5B93BFC74}"/>
    <cellStyle name="鰫??[0]_M0CCB011" xfId="25421" xr:uid="{1DF0CCB2-2C8B-41A8-ACC5-B51668DFB791}"/>
    <cellStyle name="鰫??_M0CCB011" xfId="25422" xr:uid="{6EC6EBA0-E417-47D2-AC49-B907BC561527}"/>
    <cellStyle name="㼿㼿㼿㼠㼿㼿㼿?" xfId="25423" xr:uid="{8BEA7BB8-9A61-4C8D-9004-AB865570A51B}"/>
  </cellStyles>
  <dxfs count="0"/>
  <tableStyles count="0" defaultTableStyle="TableStyleMedium2" defaultPivotStyle="PivotStyleLight16"/>
  <colors>
    <mruColors>
      <color rgb="FF52D5F4"/>
      <color rgb="FFAC75D5"/>
      <color rgb="FFC9A6E4"/>
      <color rgb="FF00B0EE"/>
      <color rgb="FF009AD0"/>
      <color rgb="FF33CCFF"/>
      <color rgb="FF8238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6.xml"/><Relationship Id="rId47" Type="http://schemas.openxmlformats.org/officeDocument/2006/relationships/externalLink" Target="externalLinks/externalLink11.xml"/><Relationship Id="rId63" Type="http://schemas.openxmlformats.org/officeDocument/2006/relationships/externalLink" Target="externalLinks/externalLink27.xml"/><Relationship Id="rId68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1.xml"/><Relationship Id="rId40" Type="http://schemas.openxmlformats.org/officeDocument/2006/relationships/externalLink" Target="externalLinks/externalLink4.xml"/><Relationship Id="rId45" Type="http://schemas.openxmlformats.org/officeDocument/2006/relationships/externalLink" Target="externalLinks/externalLink9.xml"/><Relationship Id="rId53" Type="http://schemas.openxmlformats.org/officeDocument/2006/relationships/externalLink" Target="externalLinks/externalLink17.xml"/><Relationship Id="rId58" Type="http://schemas.openxmlformats.org/officeDocument/2006/relationships/externalLink" Target="externalLinks/externalLink22.xml"/><Relationship Id="rId66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7.xml"/><Relationship Id="rId48" Type="http://schemas.openxmlformats.org/officeDocument/2006/relationships/externalLink" Target="externalLinks/externalLink12.xml"/><Relationship Id="rId56" Type="http://schemas.openxmlformats.org/officeDocument/2006/relationships/externalLink" Target="externalLinks/externalLink20.xml"/><Relationship Id="rId64" Type="http://schemas.openxmlformats.org/officeDocument/2006/relationships/externalLink" Target="externalLinks/externalLink28.xml"/><Relationship Id="rId69" Type="http://schemas.microsoft.com/office/2017/10/relationships/person" Target="persons/person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2.xml"/><Relationship Id="rId46" Type="http://schemas.openxmlformats.org/officeDocument/2006/relationships/externalLink" Target="externalLinks/externalLink10.xml"/><Relationship Id="rId59" Type="http://schemas.openxmlformats.org/officeDocument/2006/relationships/externalLink" Target="externalLinks/externalLink23.xml"/><Relationship Id="rId67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5.xml"/><Relationship Id="rId54" Type="http://schemas.openxmlformats.org/officeDocument/2006/relationships/externalLink" Target="externalLinks/externalLink18.xml"/><Relationship Id="rId62" Type="http://schemas.openxmlformats.org/officeDocument/2006/relationships/externalLink" Target="externalLinks/externalLink26.xml"/><Relationship Id="rId7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13.xml"/><Relationship Id="rId57" Type="http://schemas.openxmlformats.org/officeDocument/2006/relationships/externalLink" Target="externalLinks/externalLink2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8.xml"/><Relationship Id="rId52" Type="http://schemas.openxmlformats.org/officeDocument/2006/relationships/externalLink" Target="externalLinks/externalLink16.xml"/><Relationship Id="rId60" Type="http://schemas.openxmlformats.org/officeDocument/2006/relationships/externalLink" Target="externalLinks/externalLink24.xml"/><Relationship Id="rId65" Type="http://schemas.openxmlformats.org/officeDocument/2006/relationships/externalLink" Target="externalLinks/externalLink2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3.xml"/><Relationship Id="rId34" Type="http://schemas.openxmlformats.org/officeDocument/2006/relationships/worksheet" Target="worksheets/sheet34.xml"/><Relationship Id="rId50" Type="http://schemas.openxmlformats.org/officeDocument/2006/relationships/externalLink" Target="externalLinks/externalLink14.xml"/><Relationship Id="rId55" Type="http://schemas.openxmlformats.org/officeDocument/2006/relationships/externalLink" Target="externalLinks/externalLink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619125</xdr:colOff>
      <xdr:row>19</xdr:row>
      <xdr:rowOff>63500</xdr:rowOff>
    </xdr:from>
    <xdr:to>
      <xdr:col>18</xdr:col>
      <xdr:colOff>619125</xdr:colOff>
      <xdr:row>32</xdr:row>
      <xdr:rowOff>63500</xdr:rowOff>
    </xdr:to>
    <xdr:cxnSp macro="">
      <xdr:nvCxnSpPr>
        <xdr:cNvPr id="2" name="直線矢印コネクタ 5">
          <a:extLst>
            <a:ext uri="{FF2B5EF4-FFF2-40B4-BE49-F238E27FC236}">
              <a16:creationId xmlns:a16="http://schemas.microsoft.com/office/drawing/2014/main" id="{CE08FA7D-A840-489C-B6B2-ED7540D97283}"/>
            </a:ext>
          </a:extLst>
        </xdr:cNvPr>
        <xdr:cNvCxnSpPr/>
      </xdr:nvCxnSpPr>
      <xdr:spPr>
        <a:xfrm>
          <a:off x="14303375" y="4714875"/>
          <a:ext cx="0" cy="666750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554179</xdr:colOff>
      <xdr:row>19</xdr:row>
      <xdr:rowOff>13855</xdr:rowOff>
    </xdr:from>
    <xdr:to>
      <xdr:col>12</xdr:col>
      <xdr:colOff>557644</xdr:colOff>
      <xdr:row>32</xdr:row>
      <xdr:rowOff>0</xdr:rowOff>
    </xdr:to>
    <xdr:cxnSp macro="">
      <xdr:nvCxnSpPr>
        <xdr:cNvPr id="3" name="直線矢印コネクタ 6">
          <a:extLst>
            <a:ext uri="{FF2B5EF4-FFF2-40B4-BE49-F238E27FC236}">
              <a16:creationId xmlns:a16="http://schemas.microsoft.com/office/drawing/2014/main" id="{2E07CCE2-E94B-4DB3-8A2D-15DBFD4E2310}"/>
            </a:ext>
          </a:extLst>
        </xdr:cNvPr>
        <xdr:cNvCxnSpPr/>
      </xdr:nvCxnSpPr>
      <xdr:spPr>
        <a:xfrm>
          <a:off x="9494979" y="4668405"/>
          <a:ext cx="3465" cy="684645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327025</xdr:colOff>
      <xdr:row>19</xdr:row>
      <xdr:rowOff>31750</xdr:rowOff>
    </xdr:from>
    <xdr:to>
      <xdr:col>33</xdr:col>
      <xdr:colOff>333375</xdr:colOff>
      <xdr:row>31</xdr:row>
      <xdr:rowOff>174625</xdr:rowOff>
    </xdr:to>
    <xdr:cxnSp macro="">
      <xdr:nvCxnSpPr>
        <xdr:cNvPr id="4" name="直線矢印コネクタ 7">
          <a:extLst>
            <a:ext uri="{FF2B5EF4-FFF2-40B4-BE49-F238E27FC236}">
              <a16:creationId xmlns:a16="http://schemas.microsoft.com/office/drawing/2014/main" id="{50E59AA5-C04D-4CB0-912F-D2E872D3503F}"/>
            </a:ext>
          </a:extLst>
        </xdr:cNvPr>
        <xdr:cNvCxnSpPr/>
      </xdr:nvCxnSpPr>
      <xdr:spPr>
        <a:xfrm>
          <a:off x="23822025" y="4683125"/>
          <a:ext cx="6350" cy="587375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428625</xdr:colOff>
      <xdr:row>19</xdr:row>
      <xdr:rowOff>24493</xdr:rowOff>
    </xdr:from>
    <xdr:to>
      <xdr:col>29</xdr:col>
      <xdr:colOff>353786</xdr:colOff>
      <xdr:row>32</xdr:row>
      <xdr:rowOff>0</xdr:rowOff>
    </xdr:to>
    <xdr:cxnSp macro="">
      <xdr:nvCxnSpPr>
        <xdr:cNvPr id="5" name="直線矢印コネクタ 9">
          <a:extLst>
            <a:ext uri="{FF2B5EF4-FFF2-40B4-BE49-F238E27FC236}">
              <a16:creationId xmlns:a16="http://schemas.microsoft.com/office/drawing/2014/main" id="{2E9C9802-9AE8-46CF-A904-F850BBBBEF24}"/>
            </a:ext>
          </a:extLst>
        </xdr:cNvPr>
        <xdr:cNvCxnSpPr/>
      </xdr:nvCxnSpPr>
      <xdr:spPr>
        <a:xfrm flipH="1">
          <a:off x="19510375" y="4675868"/>
          <a:ext cx="1846036" cy="642257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714375</xdr:colOff>
      <xdr:row>20</xdr:row>
      <xdr:rowOff>15875</xdr:rowOff>
    </xdr:from>
    <xdr:to>
      <xdr:col>18</xdr:col>
      <xdr:colOff>714375</xdr:colOff>
      <xdr:row>22</xdr:row>
      <xdr:rowOff>0</xdr:rowOff>
    </xdr:to>
    <xdr:cxnSp macro="">
      <xdr:nvCxnSpPr>
        <xdr:cNvPr id="2" name="直線矢印コネクタ 5">
          <a:extLst>
            <a:ext uri="{FF2B5EF4-FFF2-40B4-BE49-F238E27FC236}">
              <a16:creationId xmlns:a16="http://schemas.microsoft.com/office/drawing/2014/main" id="{7BD88103-12D4-41A5-8C77-CCAC9D2526F3}"/>
            </a:ext>
          </a:extLst>
        </xdr:cNvPr>
        <xdr:cNvCxnSpPr/>
      </xdr:nvCxnSpPr>
      <xdr:spPr>
        <a:xfrm>
          <a:off x="16113125" y="5873750"/>
          <a:ext cx="0" cy="428625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554179</xdr:colOff>
      <xdr:row>19</xdr:row>
      <xdr:rowOff>13855</xdr:rowOff>
    </xdr:from>
    <xdr:to>
      <xdr:col>12</xdr:col>
      <xdr:colOff>557644</xdr:colOff>
      <xdr:row>22</xdr:row>
      <xdr:rowOff>0</xdr:rowOff>
    </xdr:to>
    <xdr:cxnSp macro="">
      <xdr:nvCxnSpPr>
        <xdr:cNvPr id="3" name="直線矢印コネクタ 6">
          <a:extLst>
            <a:ext uri="{FF2B5EF4-FFF2-40B4-BE49-F238E27FC236}">
              <a16:creationId xmlns:a16="http://schemas.microsoft.com/office/drawing/2014/main" id="{1C57C246-305E-4B34-BE76-4C543E12E233}"/>
            </a:ext>
          </a:extLst>
        </xdr:cNvPr>
        <xdr:cNvCxnSpPr/>
      </xdr:nvCxnSpPr>
      <xdr:spPr>
        <a:xfrm>
          <a:off x="12022279" y="5944755"/>
          <a:ext cx="3465" cy="684645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428625</xdr:colOff>
      <xdr:row>19</xdr:row>
      <xdr:rowOff>15875</xdr:rowOff>
    </xdr:from>
    <xdr:to>
      <xdr:col>33</xdr:col>
      <xdr:colOff>466725</xdr:colOff>
      <xdr:row>23</xdr:row>
      <xdr:rowOff>79375</xdr:rowOff>
    </xdr:to>
    <xdr:cxnSp macro="">
      <xdr:nvCxnSpPr>
        <xdr:cNvPr id="4" name="直線矢印コネクタ 7">
          <a:extLst>
            <a:ext uri="{FF2B5EF4-FFF2-40B4-BE49-F238E27FC236}">
              <a16:creationId xmlns:a16="http://schemas.microsoft.com/office/drawing/2014/main" id="{67BACD9D-2247-4ED6-9532-34096FD86C96}"/>
            </a:ext>
          </a:extLst>
        </xdr:cNvPr>
        <xdr:cNvCxnSpPr/>
      </xdr:nvCxnSpPr>
      <xdr:spPr>
        <a:xfrm flipH="1">
          <a:off x="22082125" y="4667250"/>
          <a:ext cx="38100" cy="952500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381000</xdr:colOff>
      <xdr:row>19</xdr:row>
      <xdr:rowOff>31750</xdr:rowOff>
    </xdr:from>
    <xdr:to>
      <xdr:col>29</xdr:col>
      <xdr:colOff>317500</xdr:colOff>
      <xdr:row>23</xdr:row>
      <xdr:rowOff>15875</xdr:rowOff>
    </xdr:to>
    <xdr:cxnSp macro="">
      <xdr:nvCxnSpPr>
        <xdr:cNvPr id="5" name="直線矢印コネクタ 9">
          <a:extLst>
            <a:ext uri="{FF2B5EF4-FFF2-40B4-BE49-F238E27FC236}">
              <a16:creationId xmlns:a16="http://schemas.microsoft.com/office/drawing/2014/main" id="{30911041-FD05-4C7D-A52A-1D3F01C93875}"/>
            </a:ext>
          </a:extLst>
        </xdr:cNvPr>
        <xdr:cNvCxnSpPr/>
      </xdr:nvCxnSpPr>
      <xdr:spPr>
        <a:xfrm flipH="1">
          <a:off x="17700625" y="4683125"/>
          <a:ext cx="1857375" cy="873125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396875</xdr:colOff>
      <xdr:row>61</xdr:row>
      <xdr:rowOff>66675</xdr:rowOff>
    </xdr:from>
    <xdr:to>
      <xdr:col>18</xdr:col>
      <xdr:colOff>419097</xdr:colOff>
      <xdr:row>73</xdr:row>
      <xdr:rowOff>174625</xdr:rowOff>
    </xdr:to>
    <xdr:cxnSp macro="">
      <xdr:nvCxnSpPr>
        <xdr:cNvPr id="9" name="直線矢印コネクタ 24">
          <a:extLst>
            <a:ext uri="{FF2B5EF4-FFF2-40B4-BE49-F238E27FC236}">
              <a16:creationId xmlns:a16="http://schemas.microsoft.com/office/drawing/2014/main" id="{C5141F89-51B6-4598-9E89-A7760585BC6B}"/>
            </a:ext>
          </a:extLst>
        </xdr:cNvPr>
        <xdr:cNvCxnSpPr/>
      </xdr:nvCxnSpPr>
      <xdr:spPr>
        <a:xfrm flipH="1">
          <a:off x="15795625" y="16005175"/>
          <a:ext cx="22222" cy="520700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554179</xdr:colOff>
      <xdr:row>61</xdr:row>
      <xdr:rowOff>13855</xdr:rowOff>
    </xdr:from>
    <xdr:to>
      <xdr:col>12</xdr:col>
      <xdr:colOff>557644</xdr:colOff>
      <xdr:row>74</xdr:row>
      <xdr:rowOff>0</xdr:rowOff>
    </xdr:to>
    <xdr:cxnSp macro="">
      <xdr:nvCxnSpPr>
        <xdr:cNvPr id="10" name="直線矢印コネクタ 25">
          <a:extLst>
            <a:ext uri="{FF2B5EF4-FFF2-40B4-BE49-F238E27FC236}">
              <a16:creationId xmlns:a16="http://schemas.microsoft.com/office/drawing/2014/main" id="{649425C1-514C-40EA-B41D-E3EF6CD12631}"/>
            </a:ext>
          </a:extLst>
        </xdr:cNvPr>
        <xdr:cNvCxnSpPr/>
      </xdr:nvCxnSpPr>
      <xdr:spPr>
        <a:xfrm>
          <a:off x="10893134" y="15998537"/>
          <a:ext cx="3465" cy="592281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460375</xdr:colOff>
      <xdr:row>60</xdr:row>
      <xdr:rowOff>238125</xdr:rowOff>
    </xdr:from>
    <xdr:to>
      <xdr:col>33</xdr:col>
      <xdr:colOff>476250</xdr:colOff>
      <xdr:row>73</xdr:row>
      <xdr:rowOff>142875</xdr:rowOff>
    </xdr:to>
    <xdr:cxnSp macro="">
      <xdr:nvCxnSpPr>
        <xdr:cNvPr id="11" name="直線矢印コネクタ 26">
          <a:extLst>
            <a:ext uri="{FF2B5EF4-FFF2-40B4-BE49-F238E27FC236}">
              <a16:creationId xmlns:a16="http://schemas.microsoft.com/office/drawing/2014/main" id="{F9420E26-1D37-4222-95EC-5109D695CCDA}"/>
            </a:ext>
          </a:extLst>
        </xdr:cNvPr>
        <xdr:cNvCxnSpPr/>
      </xdr:nvCxnSpPr>
      <xdr:spPr>
        <a:xfrm>
          <a:off x="22113875" y="14097000"/>
          <a:ext cx="15875" cy="603250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333375</xdr:colOff>
      <xdr:row>61</xdr:row>
      <xdr:rowOff>24493</xdr:rowOff>
    </xdr:from>
    <xdr:to>
      <xdr:col>29</xdr:col>
      <xdr:colOff>353786</xdr:colOff>
      <xdr:row>73</xdr:row>
      <xdr:rowOff>158750</xdr:rowOff>
    </xdr:to>
    <xdr:cxnSp macro="">
      <xdr:nvCxnSpPr>
        <xdr:cNvPr id="12" name="直線矢印コネクタ 27">
          <a:extLst>
            <a:ext uri="{FF2B5EF4-FFF2-40B4-BE49-F238E27FC236}">
              <a16:creationId xmlns:a16="http://schemas.microsoft.com/office/drawing/2014/main" id="{D6722A2E-F921-4D2D-ADB6-CC20CE5219F2}"/>
            </a:ext>
          </a:extLst>
        </xdr:cNvPr>
        <xdr:cNvCxnSpPr/>
      </xdr:nvCxnSpPr>
      <xdr:spPr>
        <a:xfrm flipH="1">
          <a:off x="17653000" y="14137368"/>
          <a:ext cx="1941286" cy="578757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718702</xdr:colOff>
      <xdr:row>19</xdr:row>
      <xdr:rowOff>7505</xdr:rowOff>
    </xdr:from>
    <xdr:to>
      <xdr:col>19</xdr:col>
      <xdr:colOff>0</xdr:colOff>
      <xdr:row>22</xdr:row>
      <xdr:rowOff>230909</xdr:rowOff>
    </xdr:to>
    <xdr:cxnSp macro="">
      <xdr:nvCxnSpPr>
        <xdr:cNvPr id="2" name="直線矢印コネクタ 5">
          <a:extLst>
            <a:ext uri="{FF2B5EF4-FFF2-40B4-BE49-F238E27FC236}">
              <a16:creationId xmlns:a16="http://schemas.microsoft.com/office/drawing/2014/main" id="{1C2CEF07-64F5-4E2F-B7EA-5DCB39A2F0CF}"/>
            </a:ext>
          </a:extLst>
        </xdr:cNvPr>
        <xdr:cNvCxnSpPr/>
      </xdr:nvCxnSpPr>
      <xdr:spPr>
        <a:xfrm>
          <a:off x="14977338" y="4671869"/>
          <a:ext cx="8662" cy="846858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554179</xdr:colOff>
      <xdr:row>19</xdr:row>
      <xdr:rowOff>13855</xdr:rowOff>
    </xdr:from>
    <xdr:to>
      <xdr:col>12</xdr:col>
      <xdr:colOff>557644</xdr:colOff>
      <xdr:row>22</xdr:row>
      <xdr:rowOff>0</xdr:rowOff>
    </xdr:to>
    <xdr:cxnSp macro="">
      <xdr:nvCxnSpPr>
        <xdr:cNvPr id="3" name="直線矢印コネクタ 6">
          <a:extLst>
            <a:ext uri="{FF2B5EF4-FFF2-40B4-BE49-F238E27FC236}">
              <a16:creationId xmlns:a16="http://schemas.microsoft.com/office/drawing/2014/main" id="{37ADD5DD-1BF5-4EB5-BC48-C04382BEE6F9}"/>
            </a:ext>
          </a:extLst>
        </xdr:cNvPr>
        <xdr:cNvCxnSpPr/>
      </xdr:nvCxnSpPr>
      <xdr:spPr>
        <a:xfrm>
          <a:off x="7869379" y="4922405"/>
          <a:ext cx="3465" cy="684645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739</xdr:colOff>
      <xdr:row>19</xdr:row>
      <xdr:rowOff>0</xdr:rowOff>
    </xdr:from>
    <xdr:to>
      <xdr:col>34</xdr:col>
      <xdr:colOff>27215</xdr:colOff>
      <xdr:row>22</xdr:row>
      <xdr:rowOff>0</xdr:rowOff>
    </xdr:to>
    <xdr:cxnSp macro="">
      <xdr:nvCxnSpPr>
        <xdr:cNvPr id="4" name="直線矢印コネクタ 7">
          <a:extLst>
            <a:ext uri="{FF2B5EF4-FFF2-40B4-BE49-F238E27FC236}">
              <a16:creationId xmlns:a16="http://schemas.microsoft.com/office/drawing/2014/main" id="{75FDF04B-F636-45B9-A372-1055DE5996BA}"/>
            </a:ext>
          </a:extLst>
        </xdr:cNvPr>
        <xdr:cNvCxnSpPr/>
      </xdr:nvCxnSpPr>
      <xdr:spPr>
        <a:xfrm>
          <a:off x="23935703" y="4721679"/>
          <a:ext cx="26476" cy="653142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312964</xdr:colOff>
      <xdr:row>19</xdr:row>
      <xdr:rowOff>15875</xdr:rowOff>
    </xdr:from>
    <xdr:to>
      <xdr:col>29</xdr:col>
      <xdr:colOff>301625</xdr:colOff>
      <xdr:row>22</xdr:row>
      <xdr:rowOff>27215</xdr:rowOff>
    </xdr:to>
    <xdr:cxnSp macro="">
      <xdr:nvCxnSpPr>
        <xdr:cNvPr id="5" name="直線矢印コネクタ 9">
          <a:extLst>
            <a:ext uri="{FF2B5EF4-FFF2-40B4-BE49-F238E27FC236}">
              <a16:creationId xmlns:a16="http://schemas.microsoft.com/office/drawing/2014/main" id="{F19A107D-5A1F-4EB8-999C-E043646DEFEC}"/>
            </a:ext>
          </a:extLst>
        </xdr:cNvPr>
        <xdr:cNvCxnSpPr/>
      </xdr:nvCxnSpPr>
      <xdr:spPr>
        <a:xfrm flipH="1">
          <a:off x="18941143" y="4737554"/>
          <a:ext cx="1893661" cy="664482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554179</xdr:colOff>
      <xdr:row>61</xdr:row>
      <xdr:rowOff>13855</xdr:rowOff>
    </xdr:from>
    <xdr:to>
      <xdr:col>12</xdr:col>
      <xdr:colOff>557644</xdr:colOff>
      <xdr:row>76</xdr:row>
      <xdr:rowOff>0</xdr:rowOff>
    </xdr:to>
    <xdr:cxnSp macro="">
      <xdr:nvCxnSpPr>
        <xdr:cNvPr id="7" name="直線矢印コネクタ 25">
          <a:extLst>
            <a:ext uri="{FF2B5EF4-FFF2-40B4-BE49-F238E27FC236}">
              <a16:creationId xmlns:a16="http://schemas.microsoft.com/office/drawing/2014/main" id="{F7B2A7C6-9829-40A3-8C4B-F6BB912491F8}"/>
            </a:ext>
          </a:extLst>
        </xdr:cNvPr>
        <xdr:cNvCxnSpPr/>
      </xdr:nvCxnSpPr>
      <xdr:spPr>
        <a:xfrm>
          <a:off x="7869379" y="14904605"/>
          <a:ext cx="3465" cy="684645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244929</xdr:colOff>
      <xdr:row>61</xdr:row>
      <xdr:rowOff>0</xdr:rowOff>
    </xdr:from>
    <xdr:to>
      <xdr:col>33</xdr:col>
      <xdr:colOff>245668</xdr:colOff>
      <xdr:row>76</xdr:row>
      <xdr:rowOff>40822</xdr:rowOff>
    </xdr:to>
    <xdr:cxnSp macro="">
      <xdr:nvCxnSpPr>
        <xdr:cNvPr id="8" name="直線矢印コネクタ 26">
          <a:extLst>
            <a:ext uri="{FF2B5EF4-FFF2-40B4-BE49-F238E27FC236}">
              <a16:creationId xmlns:a16="http://schemas.microsoft.com/office/drawing/2014/main" id="{F860C4C1-4A59-46DB-8E8B-F479224444ED}"/>
            </a:ext>
          </a:extLst>
        </xdr:cNvPr>
        <xdr:cNvCxnSpPr/>
      </xdr:nvCxnSpPr>
      <xdr:spPr>
        <a:xfrm flipH="1">
          <a:off x="23567572" y="14668500"/>
          <a:ext cx="739" cy="734786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13608</xdr:colOff>
      <xdr:row>20</xdr:row>
      <xdr:rowOff>233384</xdr:rowOff>
    </xdr:from>
    <xdr:to>
      <xdr:col>6</xdr:col>
      <xdr:colOff>13607</xdr:colOff>
      <xdr:row>22</xdr:row>
      <xdr:rowOff>15669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7B3D9A68-3783-49D2-B945-272596E396C7}"/>
            </a:ext>
          </a:extLst>
        </xdr:cNvPr>
        <xdr:cNvSpPr/>
      </xdr:nvSpPr>
      <xdr:spPr>
        <a:xfrm>
          <a:off x="3544208" y="5135584"/>
          <a:ext cx="2057399" cy="26488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808182</xdr:colOff>
      <xdr:row>21</xdr:row>
      <xdr:rowOff>107209</xdr:rowOff>
    </xdr:from>
    <xdr:to>
      <xdr:col>4</xdr:col>
      <xdr:colOff>13608</xdr:colOff>
      <xdr:row>22</xdr:row>
      <xdr:rowOff>127000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C8217914-A798-A2CA-F617-3AB54E8C5864}"/>
            </a:ext>
          </a:extLst>
        </xdr:cNvPr>
        <xdr:cNvCxnSpPr>
          <a:endCxn id="10" idx="1"/>
        </xdr:cNvCxnSpPr>
      </xdr:nvCxnSpPr>
      <xdr:spPr>
        <a:xfrm flipV="1">
          <a:off x="2370282" y="5263409"/>
          <a:ext cx="1173926" cy="24839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571500</xdr:colOff>
      <xdr:row>61</xdr:row>
      <xdr:rowOff>24493</xdr:rowOff>
    </xdr:from>
    <xdr:to>
      <xdr:col>29</xdr:col>
      <xdr:colOff>353786</xdr:colOff>
      <xdr:row>75</xdr:row>
      <xdr:rowOff>190500</xdr:rowOff>
    </xdr:to>
    <xdr:cxnSp macro="">
      <xdr:nvCxnSpPr>
        <xdr:cNvPr id="11" name="直線矢印コネクタ 27">
          <a:extLst>
            <a:ext uri="{FF2B5EF4-FFF2-40B4-BE49-F238E27FC236}">
              <a16:creationId xmlns:a16="http://schemas.microsoft.com/office/drawing/2014/main" id="{6F8CAAEA-5CAF-4DE8-B6F5-F1342CCC32E3}"/>
            </a:ext>
          </a:extLst>
        </xdr:cNvPr>
        <xdr:cNvCxnSpPr/>
      </xdr:nvCxnSpPr>
      <xdr:spPr>
        <a:xfrm flipH="1">
          <a:off x="19199679" y="14692993"/>
          <a:ext cx="1687286" cy="628650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800097</xdr:colOff>
      <xdr:row>19</xdr:row>
      <xdr:rowOff>19050</xdr:rowOff>
    </xdr:from>
    <xdr:to>
      <xdr:col>18</xdr:col>
      <xdr:colOff>834737</xdr:colOff>
      <xdr:row>31</xdr:row>
      <xdr:rowOff>22167</xdr:rowOff>
    </xdr:to>
    <xdr:cxnSp macro="">
      <xdr:nvCxnSpPr>
        <xdr:cNvPr id="2" name="直線矢印コネクタ 5">
          <a:extLst>
            <a:ext uri="{FF2B5EF4-FFF2-40B4-BE49-F238E27FC236}">
              <a16:creationId xmlns:a16="http://schemas.microsoft.com/office/drawing/2014/main" id="{0A58A31D-60C0-46E5-A60D-58928C5C87E7}"/>
            </a:ext>
          </a:extLst>
        </xdr:cNvPr>
        <xdr:cNvCxnSpPr/>
      </xdr:nvCxnSpPr>
      <xdr:spPr>
        <a:xfrm>
          <a:off x="12725397" y="6236970"/>
          <a:ext cx="0" cy="2738697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554179</xdr:colOff>
      <xdr:row>19</xdr:row>
      <xdr:rowOff>13855</xdr:rowOff>
    </xdr:from>
    <xdr:to>
      <xdr:col>12</xdr:col>
      <xdr:colOff>557644</xdr:colOff>
      <xdr:row>22</xdr:row>
      <xdr:rowOff>0</xdr:rowOff>
    </xdr:to>
    <xdr:cxnSp macro="">
      <xdr:nvCxnSpPr>
        <xdr:cNvPr id="3" name="直線矢印コネクタ 6">
          <a:extLst>
            <a:ext uri="{FF2B5EF4-FFF2-40B4-BE49-F238E27FC236}">
              <a16:creationId xmlns:a16="http://schemas.microsoft.com/office/drawing/2014/main" id="{82B8295A-2EFF-4DFE-BBFF-11C785EFF1F5}"/>
            </a:ext>
          </a:extLst>
        </xdr:cNvPr>
        <xdr:cNvCxnSpPr/>
      </xdr:nvCxnSpPr>
      <xdr:spPr>
        <a:xfrm>
          <a:off x="9012379" y="6231775"/>
          <a:ext cx="3465" cy="694805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670210</xdr:colOff>
      <xdr:row>19</xdr:row>
      <xdr:rowOff>0</xdr:rowOff>
    </xdr:from>
    <xdr:to>
      <xdr:col>33</xdr:col>
      <xdr:colOff>685800</xdr:colOff>
      <xdr:row>19</xdr:row>
      <xdr:rowOff>203812</xdr:rowOff>
    </xdr:to>
    <xdr:cxnSp macro="">
      <xdr:nvCxnSpPr>
        <xdr:cNvPr id="4" name="直線矢印コネクタ 7">
          <a:extLst>
            <a:ext uri="{FF2B5EF4-FFF2-40B4-BE49-F238E27FC236}">
              <a16:creationId xmlns:a16="http://schemas.microsoft.com/office/drawing/2014/main" id="{D3A1768E-2F5E-4E01-B2CF-D3359DE13DFE}"/>
            </a:ext>
          </a:extLst>
        </xdr:cNvPr>
        <xdr:cNvCxnSpPr/>
      </xdr:nvCxnSpPr>
      <xdr:spPr>
        <a:xfrm flipH="1">
          <a:off x="21952870" y="6217920"/>
          <a:ext cx="350" cy="203812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1012371</xdr:colOff>
      <xdr:row>19</xdr:row>
      <xdr:rowOff>24493</xdr:rowOff>
    </xdr:from>
    <xdr:to>
      <xdr:col>29</xdr:col>
      <xdr:colOff>353786</xdr:colOff>
      <xdr:row>20</xdr:row>
      <xdr:rowOff>0</xdr:rowOff>
    </xdr:to>
    <xdr:cxnSp macro="">
      <xdr:nvCxnSpPr>
        <xdr:cNvPr id="5" name="直線矢印コネクタ 9">
          <a:extLst>
            <a:ext uri="{FF2B5EF4-FFF2-40B4-BE49-F238E27FC236}">
              <a16:creationId xmlns:a16="http://schemas.microsoft.com/office/drawing/2014/main" id="{CCC0C1A9-3338-4BE6-AA96-3B5FF9931A8E}"/>
            </a:ext>
          </a:extLst>
        </xdr:cNvPr>
        <xdr:cNvCxnSpPr/>
      </xdr:nvCxnSpPr>
      <xdr:spPr>
        <a:xfrm flipH="1">
          <a:off x="18294531" y="6242413"/>
          <a:ext cx="964475" cy="196487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800097</xdr:colOff>
      <xdr:row>61</xdr:row>
      <xdr:rowOff>19050</xdr:rowOff>
    </xdr:from>
    <xdr:to>
      <xdr:col>18</xdr:col>
      <xdr:colOff>834737</xdr:colOff>
      <xdr:row>88</xdr:row>
      <xdr:rowOff>22167</xdr:rowOff>
    </xdr:to>
    <xdr:cxnSp macro="">
      <xdr:nvCxnSpPr>
        <xdr:cNvPr id="6" name="直線矢印コネクタ 24">
          <a:extLst>
            <a:ext uri="{FF2B5EF4-FFF2-40B4-BE49-F238E27FC236}">
              <a16:creationId xmlns:a16="http://schemas.microsoft.com/office/drawing/2014/main" id="{EE9659FF-E4F3-4C26-9084-4F8F1003745D}"/>
            </a:ext>
          </a:extLst>
        </xdr:cNvPr>
        <xdr:cNvCxnSpPr/>
      </xdr:nvCxnSpPr>
      <xdr:spPr>
        <a:xfrm>
          <a:off x="12725397" y="17103090"/>
          <a:ext cx="0" cy="2708217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554179</xdr:colOff>
      <xdr:row>61</xdr:row>
      <xdr:rowOff>13855</xdr:rowOff>
    </xdr:from>
    <xdr:to>
      <xdr:col>12</xdr:col>
      <xdr:colOff>557644</xdr:colOff>
      <xdr:row>73</xdr:row>
      <xdr:rowOff>0</xdr:rowOff>
    </xdr:to>
    <xdr:cxnSp macro="">
      <xdr:nvCxnSpPr>
        <xdr:cNvPr id="7" name="直線矢印コネクタ 25">
          <a:extLst>
            <a:ext uri="{FF2B5EF4-FFF2-40B4-BE49-F238E27FC236}">
              <a16:creationId xmlns:a16="http://schemas.microsoft.com/office/drawing/2014/main" id="{A268548F-023A-4E5D-A193-C5F768CC6683}"/>
            </a:ext>
          </a:extLst>
        </xdr:cNvPr>
        <xdr:cNvCxnSpPr/>
      </xdr:nvCxnSpPr>
      <xdr:spPr>
        <a:xfrm>
          <a:off x="9012379" y="17097895"/>
          <a:ext cx="3465" cy="694805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670210</xdr:colOff>
      <xdr:row>61</xdr:row>
      <xdr:rowOff>0</xdr:rowOff>
    </xdr:from>
    <xdr:to>
      <xdr:col>33</xdr:col>
      <xdr:colOff>685800</xdr:colOff>
      <xdr:row>61</xdr:row>
      <xdr:rowOff>203812</xdr:rowOff>
    </xdr:to>
    <xdr:cxnSp macro="">
      <xdr:nvCxnSpPr>
        <xdr:cNvPr id="8" name="直線矢印コネクタ 26">
          <a:extLst>
            <a:ext uri="{FF2B5EF4-FFF2-40B4-BE49-F238E27FC236}">
              <a16:creationId xmlns:a16="http://schemas.microsoft.com/office/drawing/2014/main" id="{206096DA-563F-461E-A4E0-E28CEEE2F51A}"/>
            </a:ext>
          </a:extLst>
        </xdr:cNvPr>
        <xdr:cNvCxnSpPr/>
      </xdr:nvCxnSpPr>
      <xdr:spPr>
        <a:xfrm flipH="1">
          <a:off x="21952870" y="17084040"/>
          <a:ext cx="350" cy="203812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374073</xdr:colOff>
      <xdr:row>61</xdr:row>
      <xdr:rowOff>24493</xdr:rowOff>
    </xdr:from>
    <xdr:to>
      <xdr:col>29</xdr:col>
      <xdr:colOff>353786</xdr:colOff>
      <xdr:row>71</xdr:row>
      <xdr:rowOff>55418</xdr:rowOff>
    </xdr:to>
    <xdr:cxnSp macro="">
      <xdr:nvCxnSpPr>
        <xdr:cNvPr id="9" name="直線矢印コネクタ 27">
          <a:extLst>
            <a:ext uri="{FF2B5EF4-FFF2-40B4-BE49-F238E27FC236}">
              <a16:creationId xmlns:a16="http://schemas.microsoft.com/office/drawing/2014/main" id="{58449463-1522-4395-A6D8-F8C706F288FE}"/>
            </a:ext>
          </a:extLst>
        </xdr:cNvPr>
        <xdr:cNvCxnSpPr/>
      </xdr:nvCxnSpPr>
      <xdr:spPr>
        <a:xfrm flipH="1">
          <a:off x="18606655" y="6619257"/>
          <a:ext cx="1198913" cy="2247652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249382</xdr:colOff>
      <xdr:row>61</xdr:row>
      <xdr:rowOff>13854</xdr:rowOff>
    </xdr:from>
    <xdr:to>
      <xdr:col>33</xdr:col>
      <xdr:colOff>304800</xdr:colOff>
      <xdr:row>70</xdr:row>
      <xdr:rowOff>180109</xdr:rowOff>
    </xdr:to>
    <xdr:cxnSp macro="">
      <xdr:nvCxnSpPr>
        <xdr:cNvPr id="10" name="直線矢印コネクタ 27">
          <a:extLst>
            <a:ext uri="{FF2B5EF4-FFF2-40B4-BE49-F238E27FC236}">
              <a16:creationId xmlns:a16="http://schemas.microsoft.com/office/drawing/2014/main" id="{55D17272-243B-4DB3-B8DB-66D5EA7A10E2}"/>
            </a:ext>
          </a:extLst>
        </xdr:cNvPr>
        <xdr:cNvCxnSpPr/>
      </xdr:nvCxnSpPr>
      <xdr:spPr>
        <a:xfrm flipH="1">
          <a:off x="22139564" y="6608618"/>
          <a:ext cx="55418" cy="2161309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800097</xdr:colOff>
      <xdr:row>14</xdr:row>
      <xdr:rowOff>19050</xdr:rowOff>
    </xdr:from>
    <xdr:to>
      <xdr:col>18</xdr:col>
      <xdr:colOff>834737</xdr:colOff>
      <xdr:row>26</xdr:row>
      <xdr:rowOff>22167</xdr:rowOff>
    </xdr:to>
    <xdr:cxnSp macro="">
      <xdr:nvCxnSpPr>
        <xdr:cNvPr id="2" name="直線矢印コネクタ 5">
          <a:extLst>
            <a:ext uri="{FF2B5EF4-FFF2-40B4-BE49-F238E27FC236}">
              <a16:creationId xmlns:a16="http://schemas.microsoft.com/office/drawing/2014/main" id="{85DA0634-48CB-4647-8127-1EAB4474BBDE}"/>
            </a:ext>
          </a:extLst>
        </xdr:cNvPr>
        <xdr:cNvCxnSpPr/>
      </xdr:nvCxnSpPr>
      <xdr:spPr>
        <a:xfrm>
          <a:off x="11772897" y="4673600"/>
          <a:ext cx="2890" cy="2720917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554179</xdr:colOff>
      <xdr:row>14</xdr:row>
      <xdr:rowOff>13855</xdr:rowOff>
    </xdr:from>
    <xdr:to>
      <xdr:col>12</xdr:col>
      <xdr:colOff>557644</xdr:colOff>
      <xdr:row>17</xdr:row>
      <xdr:rowOff>0</xdr:rowOff>
    </xdr:to>
    <xdr:cxnSp macro="">
      <xdr:nvCxnSpPr>
        <xdr:cNvPr id="3" name="直線矢印コネクタ 6">
          <a:extLst>
            <a:ext uri="{FF2B5EF4-FFF2-40B4-BE49-F238E27FC236}">
              <a16:creationId xmlns:a16="http://schemas.microsoft.com/office/drawing/2014/main" id="{3A286603-BF21-4D29-9652-CE4E264D7529}"/>
            </a:ext>
          </a:extLst>
        </xdr:cNvPr>
        <xdr:cNvCxnSpPr/>
      </xdr:nvCxnSpPr>
      <xdr:spPr>
        <a:xfrm>
          <a:off x="8059879" y="4668405"/>
          <a:ext cx="3465" cy="684645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670210</xdr:colOff>
      <xdr:row>14</xdr:row>
      <xdr:rowOff>0</xdr:rowOff>
    </xdr:from>
    <xdr:to>
      <xdr:col>32</xdr:col>
      <xdr:colOff>685800</xdr:colOff>
      <xdr:row>14</xdr:row>
      <xdr:rowOff>203812</xdr:rowOff>
    </xdr:to>
    <xdr:cxnSp macro="">
      <xdr:nvCxnSpPr>
        <xdr:cNvPr id="4" name="直線矢印コネクタ 7">
          <a:extLst>
            <a:ext uri="{FF2B5EF4-FFF2-40B4-BE49-F238E27FC236}">
              <a16:creationId xmlns:a16="http://schemas.microsoft.com/office/drawing/2014/main" id="{65E78901-DD7C-42E5-9591-9BAD1186EC9B}"/>
            </a:ext>
          </a:extLst>
        </xdr:cNvPr>
        <xdr:cNvCxnSpPr/>
      </xdr:nvCxnSpPr>
      <xdr:spPr>
        <a:xfrm flipH="1">
          <a:off x="20412360" y="4654550"/>
          <a:ext cx="2890" cy="203812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9071</xdr:colOff>
      <xdr:row>14</xdr:row>
      <xdr:rowOff>24493</xdr:rowOff>
    </xdr:from>
    <xdr:to>
      <xdr:col>28</xdr:col>
      <xdr:colOff>353786</xdr:colOff>
      <xdr:row>15</xdr:row>
      <xdr:rowOff>0</xdr:rowOff>
    </xdr:to>
    <xdr:cxnSp macro="">
      <xdr:nvCxnSpPr>
        <xdr:cNvPr id="5" name="直線矢印コネクタ 9">
          <a:extLst>
            <a:ext uri="{FF2B5EF4-FFF2-40B4-BE49-F238E27FC236}">
              <a16:creationId xmlns:a16="http://schemas.microsoft.com/office/drawing/2014/main" id="{39E56B2C-E01F-4EF8-A9F4-CCA1BFE1CEE5}"/>
            </a:ext>
          </a:extLst>
        </xdr:cNvPr>
        <xdr:cNvCxnSpPr/>
      </xdr:nvCxnSpPr>
      <xdr:spPr>
        <a:xfrm flipH="1">
          <a:off x="19630571" y="4707618"/>
          <a:ext cx="1027340" cy="197757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800097</xdr:colOff>
      <xdr:row>14</xdr:row>
      <xdr:rowOff>19050</xdr:rowOff>
    </xdr:from>
    <xdr:to>
      <xdr:col>18</xdr:col>
      <xdr:colOff>834737</xdr:colOff>
      <xdr:row>26</xdr:row>
      <xdr:rowOff>22167</xdr:rowOff>
    </xdr:to>
    <xdr:cxnSp macro="">
      <xdr:nvCxnSpPr>
        <xdr:cNvPr id="2" name="直線矢印コネクタ 5">
          <a:extLst>
            <a:ext uri="{FF2B5EF4-FFF2-40B4-BE49-F238E27FC236}">
              <a16:creationId xmlns:a16="http://schemas.microsoft.com/office/drawing/2014/main" id="{361E0CCC-73A8-48CD-8092-AB61003BBF68}"/>
            </a:ext>
          </a:extLst>
        </xdr:cNvPr>
        <xdr:cNvCxnSpPr/>
      </xdr:nvCxnSpPr>
      <xdr:spPr>
        <a:xfrm>
          <a:off x="12103097" y="4673600"/>
          <a:ext cx="2890" cy="2720917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554179</xdr:colOff>
      <xdr:row>14</xdr:row>
      <xdr:rowOff>13855</xdr:rowOff>
    </xdr:from>
    <xdr:to>
      <xdr:col>12</xdr:col>
      <xdr:colOff>557644</xdr:colOff>
      <xdr:row>17</xdr:row>
      <xdr:rowOff>0</xdr:rowOff>
    </xdr:to>
    <xdr:cxnSp macro="">
      <xdr:nvCxnSpPr>
        <xdr:cNvPr id="3" name="直線矢印コネクタ 6">
          <a:extLst>
            <a:ext uri="{FF2B5EF4-FFF2-40B4-BE49-F238E27FC236}">
              <a16:creationId xmlns:a16="http://schemas.microsoft.com/office/drawing/2014/main" id="{903468C2-369F-4D15-9D1D-1114E99B9F4F}"/>
            </a:ext>
          </a:extLst>
        </xdr:cNvPr>
        <xdr:cNvCxnSpPr/>
      </xdr:nvCxnSpPr>
      <xdr:spPr>
        <a:xfrm>
          <a:off x="8390079" y="4668405"/>
          <a:ext cx="3465" cy="684645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670210</xdr:colOff>
      <xdr:row>14</xdr:row>
      <xdr:rowOff>0</xdr:rowOff>
    </xdr:from>
    <xdr:to>
      <xdr:col>32</xdr:col>
      <xdr:colOff>685800</xdr:colOff>
      <xdr:row>14</xdr:row>
      <xdr:rowOff>203812</xdr:rowOff>
    </xdr:to>
    <xdr:cxnSp macro="">
      <xdr:nvCxnSpPr>
        <xdr:cNvPr id="4" name="直線矢印コネクタ 7">
          <a:extLst>
            <a:ext uri="{FF2B5EF4-FFF2-40B4-BE49-F238E27FC236}">
              <a16:creationId xmlns:a16="http://schemas.microsoft.com/office/drawing/2014/main" id="{35BDC8A7-4B8C-48BE-BFC3-CC86461E0D44}"/>
            </a:ext>
          </a:extLst>
        </xdr:cNvPr>
        <xdr:cNvCxnSpPr/>
      </xdr:nvCxnSpPr>
      <xdr:spPr>
        <a:xfrm flipH="1">
          <a:off x="20844160" y="4654550"/>
          <a:ext cx="2890" cy="203812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1012371</xdr:colOff>
      <xdr:row>14</xdr:row>
      <xdr:rowOff>24493</xdr:rowOff>
    </xdr:from>
    <xdr:to>
      <xdr:col>28</xdr:col>
      <xdr:colOff>353786</xdr:colOff>
      <xdr:row>15</xdr:row>
      <xdr:rowOff>0</xdr:rowOff>
    </xdr:to>
    <xdr:cxnSp macro="">
      <xdr:nvCxnSpPr>
        <xdr:cNvPr id="5" name="直線矢印コネクタ 9">
          <a:extLst>
            <a:ext uri="{FF2B5EF4-FFF2-40B4-BE49-F238E27FC236}">
              <a16:creationId xmlns:a16="http://schemas.microsoft.com/office/drawing/2014/main" id="{04673BDB-0B48-4C18-965D-FF1B316391E2}"/>
            </a:ext>
          </a:extLst>
        </xdr:cNvPr>
        <xdr:cNvCxnSpPr/>
      </xdr:nvCxnSpPr>
      <xdr:spPr>
        <a:xfrm flipH="1">
          <a:off x="17192171" y="4679043"/>
          <a:ext cx="960665" cy="197757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800097</xdr:colOff>
      <xdr:row>14</xdr:row>
      <xdr:rowOff>19050</xdr:rowOff>
    </xdr:from>
    <xdr:to>
      <xdr:col>18</xdr:col>
      <xdr:colOff>834737</xdr:colOff>
      <xdr:row>26</xdr:row>
      <xdr:rowOff>22167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F687E26F-214F-4700-87F4-E776D99B9DB8}"/>
            </a:ext>
          </a:extLst>
        </xdr:cNvPr>
        <xdr:cNvCxnSpPr/>
      </xdr:nvCxnSpPr>
      <xdr:spPr>
        <a:xfrm>
          <a:off x="11906247" y="4673600"/>
          <a:ext cx="2890" cy="2720917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554179</xdr:colOff>
      <xdr:row>14</xdr:row>
      <xdr:rowOff>13855</xdr:rowOff>
    </xdr:from>
    <xdr:to>
      <xdr:col>12</xdr:col>
      <xdr:colOff>557644</xdr:colOff>
      <xdr:row>17</xdr:row>
      <xdr:rowOff>0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93E58A28-7726-4457-A33F-9B29B9582444}"/>
            </a:ext>
          </a:extLst>
        </xdr:cNvPr>
        <xdr:cNvCxnSpPr/>
      </xdr:nvCxnSpPr>
      <xdr:spPr>
        <a:xfrm>
          <a:off x="8193229" y="4668405"/>
          <a:ext cx="3465" cy="684645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670210</xdr:colOff>
      <xdr:row>14</xdr:row>
      <xdr:rowOff>0</xdr:rowOff>
    </xdr:from>
    <xdr:to>
      <xdr:col>32</xdr:col>
      <xdr:colOff>685800</xdr:colOff>
      <xdr:row>14</xdr:row>
      <xdr:rowOff>203812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747DEC4C-069D-4971-8B24-16709AB2C577}"/>
            </a:ext>
          </a:extLst>
        </xdr:cNvPr>
        <xdr:cNvCxnSpPr/>
      </xdr:nvCxnSpPr>
      <xdr:spPr>
        <a:xfrm flipH="1">
          <a:off x="20545710" y="4654550"/>
          <a:ext cx="2890" cy="203812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1012371</xdr:colOff>
      <xdr:row>14</xdr:row>
      <xdr:rowOff>24493</xdr:rowOff>
    </xdr:from>
    <xdr:to>
      <xdr:col>28</xdr:col>
      <xdr:colOff>353786</xdr:colOff>
      <xdr:row>15</xdr:row>
      <xdr:rowOff>0</xdr:rowOff>
    </xdr:to>
    <xdr:cxnSp macro="">
      <xdr:nvCxnSpPr>
        <xdr:cNvPr id="9" name="直線矢印コネクタ 9">
          <a:extLst>
            <a:ext uri="{FF2B5EF4-FFF2-40B4-BE49-F238E27FC236}">
              <a16:creationId xmlns:a16="http://schemas.microsoft.com/office/drawing/2014/main" id="{C6348A29-2E12-4BCC-A10C-E266BF25ACFD}"/>
            </a:ext>
          </a:extLst>
        </xdr:cNvPr>
        <xdr:cNvCxnSpPr/>
      </xdr:nvCxnSpPr>
      <xdr:spPr>
        <a:xfrm flipH="1">
          <a:off x="16893721" y="4679043"/>
          <a:ext cx="960665" cy="197757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800097</xdr:colOff>
      <xdr:row>19</xdr:row>
      <xdr:rowOff>19050</xdr:rowOff>
    </xdr:from>
    <xdr:to>
      <xdr:col>18</xdr:col>
      <xdr:colOff>834737</xdr:colOff>
      <xdr:row>31</xdr:row>
      <xdr:rowOff>22167</xdr:rowOff>
    </xdr:to>
    <xdr:cxnSp macro="">
      <xdr:nvCxnSpPr>
        <xdr:cNvPr id="2" name="直線矢印コネクタ 5">
          <a:extLst>
            <a:ext uri="{FF2B5EF4-FFF2-40B4-BE49-F238E27FC236}">
              <a16:creationId xmlns:a16="http://schemas.microsoft.com/office/drawing/2014/main" id="{B6589327-39FA-4B0C-A38D-BBC22AA4F2D3}"/>
            </a:ext>
          </a:extLst>
        </xdr:cNvPr>
        <xdr:cNvCxnSpPr/>
      </xdr:nvCxnSpPr>
      <xdr:spPr>
        <a:xfrm>
          <a:off x="11823697" y="4927600"/>
          <a:ext cx="2890" cy="2720917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554179</xdr:colOff>
      <xdr:row>19</xdr:row>
      <xdr:rowOff>13855</xdr:rowOff>
    </xdr:from>
    <xdr:to>
      <xdr:col>12</xdr:col>
      <xdr:colOff>557644</xdr:colOff>
      <xdr:row>22</xdr:row>
      <xdr:rowOff>0</xdr:rowOff>
    </xdr:to>
    <xdr:cxnSp macro="">
      <xdr:nvCxnSpPr>
        <xdr:cNvPr id="3" name="直線矢印コネクタ 6">
          <a:extLst>
            <a:ext uri="{FF2B5EF4-FFF2-40B4-BE49-F238E27FC236}">
              <a16:creationId xmlns:a16="http://schemas.microsoft.com/office/drawing/2014/main" id="{3319E109-1F9F-42F6-AD9E-85BC1C501562}"/>
            </a:ext>
          </a:extLst>
        </xdr:cNvPr>
        <xdr:cNvCxnSpPr/>
      </xdr:nvCxnSpPr>
      <xdr:spPr>
        <a:xfrm>
          <a:off x="8110679" y="4922405"/>
          <a:ext cx="3465" cy="684645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670210</xdr:colOff>
      <xdr:row>19</xdr:row>
      <xdr:rowOff>0</xdr:rowOff>
    </xdr:from>
    <xdr:to>
      <xdr:col>33</xdr:col>
      <xdr:colOff>685800</xdr:colOff>
      <xdr:row>19</xdr:row>
      <xdr:rowOff>203812</xdr:rowOff>
    </xdr:to>
    <xdr:cxnSp macro="">
      <xdr:nvCxnSpPr>
        <xdr:cNvPr id="4" name="直線矢印コネクタ 7">
          <a:extLst>
            <a:ext uri="{FF2B5EF4-FFF2-40B4-BE49-F238E27FC236}">
              <a16:creationId xmlns:a16="http://schemas.microsoft.com/office/drawing/2014/main" id="{4961361B-5F1A-4738-8770-BDD121380FFD}"/>
            </a:ext>
          </a:extLst>
        </xdr:cNvPr>
        <xdr:cNvCxnSpPr/>
      </xdr:nvCxnSpPr>
      <xdr:spPr>
        <a:xfrm flipH="1">
          <a:off x="20469510" y="4908550"/>
          <a:ext cx="2890" cy="203812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1012371</xdr:colOff>
      <xdr:row>19</xdr:row>
      <xdr:rowOff>24493</xdr:rowOff>
    </xdr:from>
    <xdr:to>
      <xdr:col>29</xdr:col>
      <xdr:colOff>353786</xdr:colOff>
      <xdr:row>20</xdr:row>
      <xdr:rowOff>0</xdr:rowOff>
    </xdr:to>
    <xdr:cxnSp macro="">
      <xdr:nvCxnSpPr>
        <xdr:cNvPr id="5" name="直線矢印コネクタ 9">
          <a:extLst>
            <a:ext uri="{FF2B5EF4-FFF2-40B4-BE49-F238E27FC236}">
              <a16:creationId xmlns:a16="http://schemas.microsoft.com/office/drawing/2014/main" id="{91E53AA4-C940-4BCB-921B-5FC8DFAA674C}"/>
            </a:ext>
          </a:extLst>
        </xdr:cNvPr>
        <xdr:cNvCxnSpPr/>
      </xdr:nvCxnSpPr>
      <xdr:spPr>
        <a:xfrm flipH="1">
          <a:off x="16817521" y="4933043"/>
          <a:ext cx="960665" cy="197757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800097</xdr:colOff>
      <xdr:row>61</xdr:row>
      <xdr:rowOff>19050</xdr:rowOff>
    </xdr:from>
    <xdr:to>
      <xdr:col>18</xdr:col>
      <xdr:colOff>834737</xdr:colOff>
      <xdr:row>73</xdr:row>
      <xdr:rowOff>22167</xdr:rowOff>
    </xdr:to>
    <xdr:cxnSp macro="">
      <xdr:nvCxnSpPr>
        <xdr:cNvPr id="6" name="直線矢印コネクタ 24">
          <a:extLst>
            <a:ext uri="{FF2B5EF4-FFF2-40B4-BE49-F238E27FC236}">
              <a16:creationId xmlns:a16="http://schemas.microsoft.com/office/drawing/2014/main" id="{BE40B4E4-5E99-488B-9398-DDB0EA0B44B1}"/>
            </a:ext>
          </a:extLst>
        </xdr:cNvPr>
        <xdr:cNvCxnSpPr/>
      </xdr:nvCxnSpPr>
      <xdr:spPr>
        <a:xfrm>
          <a:off x="11823697" y="14909800"/>
          <a:ext cx="2890" cy="2695517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554179</xdr:colOff>
      <xdr:row>61</xdr:row>
      <xdr:rowOff>13855</xdr:rowOff>
    </xdr:from>
    <xdr:to>
      <xdr:col>12</xdr:col>
      <xdr:colOff>557644</xdr:colOff>
      <xdr:row>64</xdr:row>
      <xdr:rowOff>0</xdr:rowOff>
    </xdr:to>
    <xdr:cxnSp macro="">
      <xdr:nvCxnSpPr>
        <xdr:cNvPr id="7" name="直線矢印コネクタ 25">
          <a:extLst>
            <a:ext uri="{FF2B5EF4-FFF2-40B4-BE49-F238E27FC236}">
              <a16:creationId xmlns:a16="http://schemas.microsoft.com/office/drawing/2014/main" id="{AB2B44F3-6069-43E2-A400-5DE6DEFD7F89}"/>
            </a:ext>
          </a:extLst>
        </xdr:cNvPr>
        <xdr:cNvCxnSpPr/>
      </xdr:nvCxnSpPr>
      <xdr:spPr>
        <a:xfrm>
          <a:off x="8110679" y="14904605"/>
          <a:ext cx="3465" cy="684645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670210</xdr:colOff>
      <xdr:row>61</xdr:row>
      <xdr:rowOff>0</xdr:rowOff>
    </xdr:from>
    <xdr:to>
      <xdr:col>33</xdr:col>
      <xdr:colOff>685800</xdr:colOff>
      <xdr:row>61</xdr:row>
      <xdr:rowOff>203812</xdr:rowOff>
    </xdr:to>
    <xdr:cxnSp macro="">
      <xdr:nvCxnSpPr>
        <xdr:cNvPr id="8" name="直線矢印コネクタ 26">
          <a:extLst>
            <a:ext uri="{FF2B5EF4-FFF2-40B4-BE49-F238E27FC236}">
              <a16:creationId xmlns:a16="http://schemas.microsoft.com/office/drawing/2014/main" id="{6A822326-6B35-407A-B712-7FD385DB7259}"/>
            </a:ext>
          </a:extLst>
        </xdr:cNvPr>
        <xdr:cNvCxnSpPr/>
      </xdr:nvCxnSpPr>
      <xdr:spPr>
        <a:xfrm flipH="1">
          <a:off x="20469510" y="14890750"/>
          <a:ext cx="2890" cy="203812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1012371</xdr:colOff>
      <xdr:row>61</xdr:row>
      <xdr:rowOff>24493</xdr:rowOff>
    </xdr:from>
    <xdr:to>
      <xdr:col>29</xdr:col>
      <xdr:colOff>353786</xdr:colOff>
      <xdr:row>62</xdr:row>
      <xdr:rowOff>0</xdr:rowOff>
    </xdr:to>
    <xdr:cxnSp macro="">
      <xdr:nvCxnSpPr>
        <xdr:cNvPr id="9" name="直線矢印コネクタ 27">
          <a:extLst>
            <a:ext uri="{FF2B5EF4-FFF2-40B4-BE49-F238E27FC236}">
              <a16:creationId xmlns:a16="http://schemas.microsoft.com/office/drawing/2014/main" id="{3CAE82B5-8447-4462-B387-616BD2B60494}"/>
            </a:ext>
          </a:extLst>
        </xdr:cNvPr>
        <xdr:cNvCxnSpPr/>
      </xdr:nvCxnSpPr>
      <xdr:spPr>
        <a:xfrm flipH="1">
          <a:off x="16817521" y="14915243"/>
          <a:ext cx="960665" cy="197757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1012371</xdr:colOff>
      <xdr:row>61</xdr:row>
      <xdr:rowOff>24493</xdr:rowOff>
    </xdr:from>
    <xdr:to>
      <xdr:col>29</xdr:col>
      <xdr:colOff>353786</xdr:colOff>
      <xdr:row>62</xdr:row>
      <xdr:rowOff>0</xdr:rowOff>
    </xdr:to>
    <xdr:cxnSp macro="">
      <xdr:nvCxnSpPr>
        <xdr:cNvPr id="10" name="直線矢印コネクタ 27">
          <a:extLst>
            <a:ext uri="{FF2B5EF4-FFF2-40B4-BE49-F238E27FC236}">
              <a16:creationId xmlns:a16="http://schemas.microsoft.com/office/drawing/2014/main" id="{98511552-452C-4CD9-A302-F7AAE592FA04}"/>
            </a:ext>
          </a:extLst>
        </xdr:cNvPr>
        <xdr:cNvCxnSpPr/>
      </xdr:nvCxnSpPr>
      <xdr:spPr>
        <a:xfrm flipH="1">
          <a:off x="18570121" y="14381843"/>
          <a:ext cx="1068615" cy="197757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625472</xdr:colOff>
      <xdr:row>18</xdr:row>
      <xdr:rowOff>177800</xdr:rowOff>
    </xdr:from>
    <xdr:to>
      <xdr:col>18</xdr:col>
      <xdr:colOff>635000</xdr:colOff>
      <xdr:row>22</xdr:row>
      <xdr:rowOff>15875</xdr:rowOff>
    </xdr:to>
    <xdr:cxnSp macro="">
      <xdr:nvCxnSpPr>
        <xdr:cNvPr id="2" name="直線矢印コネクタ 5">
          <a:extLst>
            <a:ext uri="{FF2B5EF4-FFF2-40B4-BE49-F238E27FC236}">
              <a16:creationId xmlns:a16="http://schemas.microsoft.com/office/drawing/2014/main" id="{25E0D57A-AF50-4A44-8CD4-E0F1A19F2993}"/>
            </a:ext>
          </a:extLst>
        </xdr:cNvPr>
        <xdr:cNvCxnSpPr/>
      </xdr:nvCxnSpPr>
      <xdr:spPr>
        <a:xfrm>
          <a:off x="14516097" y="6067425"/>
          <a:ext cx="9528" cy="727075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554179</xdr:colOff>
      <xdr:row>19</xdr:row>
      <xdr:rowOff>13855</xdr:rowOff>
    </xdr:from>
    <xdr:to>
      <xdr:col>12</xdr:col>
      <xdr:colOff>557644</xdr:colOff>
      <xdr:row>22</xdr:row>
      <xdr:rowOff>0</xdr:rowOff>
    </xdr:to>
    <xdr:cxnSp macro="">
      <xdr:nvCxnSpPr>
        <xdr:cNvPr id="3" name="直線矢印コネクタ 6">
          <a:extLst>
            <a:ext uri="{FF2B5EF4-FFF2-40B4-BE49-F238E27FC236}">
              <a16:creationId xmlns:a16="http://schemas.microsoft.com/office/drawing/2014/main" id="{31C7817D-35DD-4AA6-9A8D-FF0CEBD5138F}"/>
            </a:ext>
          </a:extLst>
        </xdr:cNvPr>
        <xdr:cNvCxnSpPr/>
      </xdr:nvCxnSpPr>
      <xdr:spPr>
        <a:xfrm>
          <a:off x="7869379" y="4922405"/>
          <a:ext cx="3465" cy="684645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670210</xdr:colOff>
      <xdr:row>19</xdr:row>
      <xdr:rowOff>0</xdr:rowOff>
    </xdr:from>
    <xdr:to>
      <xdr:col>33</xdr:col>
      <xdr:colOff>685800</xdr:colOff>
      <xdr:row>19</xdr:row>
      <xdr:rowOff>203812</xdr:rowOff>
    </xdr:to>
    <xdr:cxnSp macro="">
      <xdr:nvCxnSpPr>
        <xdr:cNvPr id="4" name="直線矢印コネクタ 7">
          <a:extLst>
            <a:ext uri="{FF2B5EF4-FFF2-40B4-BE49-F238E27FC236}">
              <a16:creationId xmlns:a16="http://schemas.microsoft.com/office/drawing/2014/main" id="{F31E3824-7964-4EDC-9D91-CCC0C68DE393}"/>
            </a:ext>
          </a:extLst>
        </xdr:cNvPr>
        <xdr:cNvCxnSpPr/>
      </xdr:nvCxnSpPr>
      <xdr:spPr>
        <a:xfrm flipH="1">
          <a:off x="20228210" y="4908550"/>
          <a:ext cx="2890" cy="203812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367393</xdr:colOff>
      <xdr:row>19</xdr:row>
      <xdr:rowOff>38100</xdr:rowOff>
    </xdr:from>
    <xdr:to>
      <xdr:col>29</xdr:col>
      <xdr:colOff>81643</xdr:colOff>
      <xdr:row>21</xdr:row>
      <xdr:rowOff>163286</xdr:rowOff>
    </xdr:to>
    <xdr:cxnSp macro="">
      <xdr:nvCxnSpPr>
        <xdr:cNvPr id="5" name="直線矢印コネクタ 9">
          <a:extLst>
            <a:ext uri="{FF2B5EF4-FFF2-40B4-BE49-F238E27FC236}">
              <a16:creationId xmlns:a16="http://schemas.microsoft.com/office/drawing/2014/main" id="{83D36558-A4EF-414C-8505-D6AF6735C6E7}"/>
            </a:ext>
          </a:extLst>
        </xdr:cNvPr>
        <xdr:cNvCxnSpPr/>
      </xdr:nvCxnSpPr>
      <xdr:spPr>
        <a:xfrm flipH="1">
          <a:off x="18696214" y="4759779"/>
          <a:ext cx="1564822" cy="574221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800097</xdr:colOff>
      <xdr:row>61</xdr:row>
      <xdr:rowOff>19050</xdr:rowOff>
    </xdr:from>
    <xdr:to>
      <xdr:col>18</xdr:col>
      <xdr:colOff>834737</xdr:colOff>
      <xdr:row>73</xdr:row>
      <xdr:rowOff>22167</xdr:rowOff>
    </xdr:to>
    <xdr:cxnSp macro="">
      <xdr:nvCxnSpPr>
        <xdr:cNvPr id="6" name="直線矢印コネクタ 24">
          <a:extLst>
            <a:ext uri="{FF2B5EF4-FFF2-40B4-BE49-F238E27FC236}">
              <a16:creationId xmlns:a16="http://schemas.microsoft.com/office/drawing/2014/main" id="{94956400-A432-48BA-8F42-37CE5AFF7ACD}"/>
            </a:ext>
          </a:extLst>
        </xdr:cNvPr>
        <xdr:cNvCxnSpPr/>
      </xdr:nvCxnSpPr>
      <xdr:spPr>
        <a:xfrm>
          <a:off x="11582397" y="14909800"/>
          <a:ext cx="2890" cy="2695517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554179</xdr:colOff>
      <xdr:row>61</xdr:row>
      <xdr:rowOff>13855</xdr:rowOff>
    </xdr:from>
    <xdr:to>
      <xdr:col>12</xdr:col>
      <xdr:colOff>557644</xdr:colOff>
      <xdr:row>64</xdr:row>
      <xdr:rowOff>0</xdr:rowOff>
    </xdr:to>
    <xdr:cxnSp macro="">
      <xdr:nvCxnSpPr>
        <xdr:cNvPr id="7" name="直線矢印コネクタ 25">
          <a:extLst>
            <a:ext uri="{FF2B5EF4-FFF2-40B4-BE49-F238E27FC236}">
              <a16:creationId xmlns:a16="http://schemas.microsoft.com/office/drawing/2014/main" id="{7F2BC72C-3FA7-47CD-84C3-F1C6B98010EB}"/>
            </a:ext>
          </a:extLst>
        </xdr:cNvPr>
        <xdr:cNvCxnSpPr/>
      </xdr:nvCxnSpPr>
      <xdr:spPr>
        <a:xfrm>
          <a:off x="7869379" y="14904605"/>
          <a:ext cx="3465" cy="684645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738</xdr:colOff>
      <xdr:row>60</xdr:row>
      <xdr:rowOff>244929</xdr:rowOff>
    </xdr:from>
    <xdr:to>
      <xdr:col>34</xdr:col>
      <xdr:colOff>13607</xdr:colOff>
      <xdr:row>63</xdr:row>
      <xdr:rowOff>203812</xdr:rowOff>
    </xdr:to>
    <xdr:cxnSp macro="">
      <xdr:nvCxnSpPr>
        <xdr:cNvPr id="8" name="直線矢印コネクタ 26">
          <a:extLst>
            <a:ext uri="{FF2B5EF4-FFF2-40B4-BE49-F238E27FC236}">
              <a16:creationId xmlns:a16="http://schemas.microsoft.com/office/drawing/2014/main" id="{4A23E55C-756F-4AA4-B997-CF9B84257DAA}"/>
            </a:ext>
          </a:extLst>
        </xdr:cNvPr>
        <xdr:cNvCxnSpPr/>
      </xdr:nvCxnSpPr>
      <xdr:spPr>
        <a:xfrm flipH="1">
          <a:off x="23418631" y="14478000"/>
          <a:ext cx="12869" cy="693669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381000</xdr:colOff>
      <xdr:row>61</xdr:row>
      <xdr:rowOff>24493</xdr:rowOff>
    </xdr:from>
    <xdr:to>
      <xdr:col>29</xdr:col>
      <xdr:colOff>353786</xdr:colOff>
      <xdr:row>63</xdr:row>
      <xdr:rowOff>217715</xdr:rowOff>
    </xdr:to>
    <xdr:cxnSp macro="">
      <xdr:nvCxnSpPr>
        <xdr:cNvPr id="10" name="直線矢印コネクタ 27">
          <a:extLst>
            <a:ext uri="{FF2B5EF4-FFF2-40B4-BE49-F238E27FC236}">
              <a16:creationId xmlns:a16="http://schemas.microsoft.com/office/drawing/2014/main" id="{ADD6C3A0-1DF2-4549-87CC-40F7508EC47F}"/>
            </a:ext>
          </a:extLst>
        </xdr:cNvPr>
        <xdr:cNvCxnSpPr/>
      </xdr:nvCxnSpPr>
      <xdr:spPr>
        <a:xfrm flipH="1">
          <a:off x="18709821" y="14529707"/>
          <a:ext cx="1823358" cy="683079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718702</xdr:colOff>
      <xdr:row>19</xdr:row>
      <xdr:rowOff>7505</xdr:rowOff>
    </xdr:from>
    <xdr:to>
      <xdr:col>19</xdr:col>
      <xdr:colOff>0</xdr:colOff>
      <xdr:row>22</xdr:row>
      <xdr:rowOff>230909</xdr:rowOff>
    </xdr:to>
    <xdr:cxnSp macro="">
      <xdr:nvCxnSpPr>
        <xdr:cNvPr id="2" name="直線矢印コネクタ 5">
          <a:extLst>
            <a:ext uri="{FF2B5EF4-FFF2-40B4-BE49-F238E27FC236}">
              <a16:creationId xmlns:a16="http://schemas.microsoft.com/office/drawing/2014/main" id="{7AB7AD25-540A-42C8-B2A8-35449B452D16}"/>
            </a:ext>
          </a:extLst>
        </xdr:cNvPr>
        <xdr:cNvCxnSpPr/>
      </xdr:nvCxnSpPr>
      <xdr:spPr>
        <a:xfrm>
          <a:off x="17108052" y="6160655"/>
          <a:ext cx="11548" cy="852054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554179</xdr:colOff>
      <xdr:row>19</xdr:row>
      <xdr:rowOff>13855</xdr:rowOff>
    </xdr:from>
    <xdr:to>
      <xdr:col>12</xdr:col>
      <xdr:colOff>557644</xdr:colOff>
      <xdr:row>22</xdr:row>
      <xdr:rowOff>0</xdr:rowOff>
    </xdr:to>
    <xdr:cxnSp macro="">
      <xdr:nvCxnSpPr>
        <xdr:cNvPr id="3" name="直線矢印コネクタ 6">
          <a:extLst>
            <a:ext uri="{FF2B5EF4-FFF2-40B4-BE49-F238E27FC236}">
              <a16:creationId xmlns:a16="http://schemas.microsoft.com/office/drawing/2014/main" id="{F4AA6918-0916-480E-ACCF-19C0180976AE}"/>
            </a:ext>
          </a:extLst>
        </xdr:cNvPr>
        <xdr:cNvCxnSpPr/>
      </xdr:nvCxnSpPr>
      <xdr:spPr>
        <a:xfrm>
          <a:off x="12714429" y="6167005"/>
          <a:ext cx="3465" cy="614795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739</xdr:colOff>
      <xdr:row>19</xdr:row>
      <xdr:rowOff>0</xdr:rowOff>
    </xdr:from>
    <xdr:to>
      <xdr:col>34</xdr:col>
      <xdr:colOff>27215</xdr:colOff>
      <xdr:row>22</xdr:row>
      <xdr:rowOff>0</xdr:rowOff>
    </xdr:to>
    <xdr:cxnSp macro="">
      <xdr:nvCxnSpPr>
        <xdr:cNvPr id="4" name="直線矢印コネクタ 7">
          <a:extLst>
            <a:ext uri="{FF2B5EF4-FFF2-40B4-BE49-F238E27FC236}">
              <a16:creationId xmlns:a16="http://schemas.microsoft.com/office/drawing/2014/main" id="{2D08F74D-4242-4A13-B6BA-20752554D51A}"/>
            </a:ext>
          </a:extLst>
        </xdr:cNvPr>
        <xdr:cNvCxnSpPr/>
      </xdr:nvCxnSpPr>
      <xdr:spPr>
        <a:xfrm>
          <a:off x="27953439" y="6153150"/>
          <a:ext cx="26476" cy="628650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312964</xdr:colOff>
      <xdr:row>19</xdr:row>
      <xdr:rowOff>15875</xdr:rowOff>
    </xdr:from>
    <xdr:to>
      <xdr:col>29</xdr:col>
      <xdr:colOff>301625</xdr:colOff>
      <xdr:row>22</xdr:row>
      <xdr:rowOff>27215</xdr:rowOff>
    </xdr:to>
    <xdr:cxnSp macro="">
      <xdr:nvCxnSpPr>
        <xdr:cNvPr id="5" name="直線矢印コネクタ 9">
          <a:extLst>
            <a:ext uri="{FF2B5EF4-FFF2-40B4-BE49-F238E27FC236}">
              <a16:creationId xmlns:a16="http://schemas.microsoft.com/office/drawing/2014/main" id="{CADC10A6-DE94-4917-8826-09D20B7CB6B1}"/>
            </a:ext>
          </a:extLst>
        </xdr:cNvPr>
        <xdr:cNvCxnSpPr/>
      </xdr:nvCxnSpPr>
      <xdr:spPr>
        <a:xfrm flipH="1">
          <a:off x="22861814" y="6169025"/>
          <a:ext cx="1925411" cy="639990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554179</xdr:colOff>
      <xdr:row>61</xdr:row>
      <xdr:rowOff>13855</xdr:rowOff>
    </xdr:from>
    <xdr:to>
      <xdr:col>12</xdr:col>
      <xdr:colOff>557644</xdr:colOff>
      <xdr:row>72</xdr:row>
      <xdr:rowOff>0</xdr:rowOff>
    </xdr:to>
    <xdr:cxnSp macro="">
      <xdr:nvCxnSpPr>
        <xdr:cNvPr id="6" name="直線矢印コネクタ 25">
          <a:extLst>
            <a:ext uri="{FF2B5EF4-FFF2-40B4-BE49-F238E27FC236}">
              <a16:creationId xmlns:a16="http://schemas.microsoft.com/office/drawing/2014/main" id="{AACBE0FA-07C2-41CF-A9ED-E8F62D49C201}"/>
            </a:ext>
          </a:extLst>
        </xdr:cNvPr>
        <xdr:cNvCxnSpPr/>
      </xdr:nvCxnSpPr>
      <xdr:spPr>
        <a:xfrm>
          <a:off x="12714429" y="16593705"/>
          <a:ext cx="3465" cy="652895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244929</xdr:colOff>
      <xdr:row>61</xdr:row>
      <xdr:rowOff>0</xdr:rowOff>
    </xdr:from>
    <xdr:to>
      <xdr:col>33</xdr:col>
      <xdr:colOff>245668</xdr:colOff>
      <xdr:row>72</xdr:row>
      <xdr:rowOff>40822</xdr:rowOff>
    </xdr:to>
    <xdr:cxnSp macro="">
      <xdr:nvCxnSpPr>
        <xdr:cNvPr id="7" name="直線矢印コネクタ 26">
          <a:extLst>
            <a:ext uri="{FF2B5EF4-FFF2-40B4-BE49-F238E27FC236}">
              <a16:creationId xmlns:a16="http://schemas.microsoft.com/office/drawing/2014/main" id="{BAA436A2-49D2-4BF0-822F-28C8EF10EC6A}"/>
            </a:ext>
          </a:extLst>
        </xdr:cNvPr>
        <xdr:cNvCxnSpPr/>
      </xdr:nvCxnSpPr>
      <xdr:spPr>
        <a:xfrm flipH="1">
          <a:off x="27588029" y="16579850"/>
          <a:ext cx="739" cy="707572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13608</xdr:colOff>
      <xdr:row>20</xdr:row>
      <xdr:rowOff>233384</xdr:rowOff>
    </xdr:from>
    <xdr:to>
      <xdr:col>6</xdr:col>
      <xdr:colOff>13607</xdr:colOff>
      <xdr:row>22</xdr:row>
      <xdr:rowOff>15669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D43E3597-3E98-42C4-B9BF-D66A066B0901}"/>
            </a:ext>
          </a:extLst>
        </xdr:cNvPr>
        <xdr:cNvSpPr/>
      </xdr:nvSpPr>
      <xdr:spPr>
        <a:xfrm>
          <a:off x="4788808" y="6557984"/>
          <a:ext cx="2133599" cy="23948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808182</xdr:colOff>
      <xdr:row>21</xdr:row>
      <xdr:rowOff>107209</xdr:rowOff>
    </xdr:from>
    <xdr:to>
      <xdr:col>4</xdr:col>
      <xdr:colOff>13608</xdr:colOff>
      <xdr:row>22</xdr:row>
      <xdr:rowOff>127000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767B08ED-D393-443C-929D-69D2432A587C}"/>
            </a:ext>
          </a:extLst>
        </xdr:cNvPr>
        <xdr:cNvCxnSpPr>
          <a:endCxn id="8" idx="1"/>
        </xdr:cNvCxnSpPr>
      </xdr:nvCxnSpPr>
      <xdr:spPr>
        <a:xfrm flipV="1">
          <a:off x="3030682" y="6666759"/>
          <a:ext cx="1758126" cy="24204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571500</xdr:colOff>
      <xdr:row>61</xdr:row>
      <xdr:rowOff>24493</xdr:rowOff>
    </xdr:from>
    <xdr:to>
      <xdr:col>29</xdr:col>
      <xdr:colOff>353786</xdr:colOff>
      <xdr:row>71</xdr:row>
      <xdr:rowOff>190500</xdr:rowOff>
    </xdr:to>
    <xdr:cxnSp macro="">
      <xdr:nvCxnSpPr>
        <xdr:cNvPr id="10" name="直線矢印コネクタ 27">
          <a:extLst>
            <a:ext uri="{FF2B5EF4-FFF2-40B4-BE49-F238E27FC236}">
              <a16:creationId xmlns:a16="http://schemas.microsoft.com/office/drawing/2014/main" id="{E48606C6-1704-4998-9B16-16EBE1E23F56}"/>
            </a:ext>
          </a:extLst>
        </xdr:cNvPr>
        <xdr:cNvCxnSpPr/>
      </xdr:nvCxnSpPr>
      <xdr:spPr>
        <a:xfrm flipH="1">
          <a:off x="23120350" y="16604343"/>
          <a:ext cx="1719036" cy="610507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800097</xdr:colOff>
      <xdr:row>19</xdr:row>
      <xdr:rowOff>19050</xdr:rowOff>
    </xdr:from>
    <xdr:to>
      <xdr:col>18</xdr:col>
      <xdr:colOff>834737</xdr:colOff>
      <xdr:row>31</xdr:row>
      <xdr:rowOff>22167</xdr:rowOff>
    </xdr:to>
    <xdr:cxnSp macro="">
      <xdr:nvCxnSpPr>
        <xdr:cNvPr id="2" name="直線矢印コネクタ 5">
          <a:extLst>
            <a:ext uri="{FF2B5EF4-FFF2-40B4-BE49-F238E27FC236}">
              <a16:creationId xmlns:a16="http://schemas.microsoft.com/office/drawing/2014/main" id="{E3D5E7CC-6610-4A14-BEA8-F18320C35B92}"/>
            </a:ext>
          </a:extLst>
        </xdr:cNvPr>
        <xdr:cNvCxnSpPr/>
      </xdr:nvCxnSpPr>
      <xdr:spPr>
        <a:xfrm>
          <a:off x="12941297" y="4927600"/>
          <a:ext cx="2890" cy="2720917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554179</xdr:colOff>
      <xdr:row>19</xdr:row>
      <xdr:rowOff>13855</xdr:rowOff>
    </xdr:from>
    <xdr:to>
      <xdr:col>12</xdr:col>
      <xdr:colOff>557644</xdr:colOff>
      <xdr:row>22</xdr:row>
      <xdr:rowOff>0</xdr:rowOff>
    </xdr:to>
    <xdr:cxnSp macro="">
      <xdr:nvCxnSpPr>
        <xdr:cNvPr id="3" name="直線矢印コネクタ 6">
          <a:extLst>
            <a:ext uri="{FF2B5EF4-FFF2-40B4-BE49-F238E27FC236}">
              <a16:creationId xmlns:a16="http://schemas.microsoft.com/office/drawing/2014/main" id="{F89947D0-569D-4D74-A459-0AE6087F59F3}"/>
            </a:ext>
          </a:extLst>
        </xdr:cNvPr>
        <xdr:cNvCxnSpPr/>
      </xdr:nvCxnSpPr>
      <xdr:spPr>
        <a:xfrm>
          <a:off x="9101279" y="4922405"/>
          <a:ext cx="3465" cy="684645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670210</xdr:colOff>
      <xdr:row>19</xdr:row>
      <xdr:rowOff>0</xdr:rowOff>
    </xdr:from>
    <xdr:to>
      <xdr:col>33</xdr:col>
      <xdr:colOff>685800</xdr:colOff>
      <xdr:row>19</xdr:row>
      <xdr:rowOff>203812</xdr:rowOff>
    </xdr:to>
    <xdr:cxnSp macro="">
      <xdr:nvCxnSpPr>
        <xdr:cNvPr id="4" name="直線矢印コネクタ 7">
          <a:extLst>
            <a:ext uri="{FF2B5EF4-FFF2-40B4-BE49-F238E27FC236}">
              <a16:creationId xmlns:a16="http://schemas.microsoft.com/office/drawing/2014/main" id="{77B12537-EB74-478B-9948-DA05CE01556A}"/>
            </a:ext>
          </a:extLst>
        </xdr:cNvPr>
        <xdr:cNvCxnSpPr/>
      </xdr:nvCxnSpPr>
      <xdr:spPr>
        <a:xfrm flipH="1">
          <a:off x="21752210" y="4908550"/>
          <a:ext cx="2890" cy="203812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1012371</xdr:colOff>
      <xdr:row>19</xdr:row>
      <xdr:rowOff>24493</xdr:rowOff>
    </xdr:from>
    <xdr:to>
      <xdr:col>29</xdr:col>
      <xdr:colOff>353786</xdr:colOff>
      <xdr:row>20</xdr:row>
      <xdr:rowOff>0</xdr:rowOff>
    </xdr:to>
    <xdr:cxnSp macro="">
      <xdr:nvCxnSpPr>
        <xdr:cNvPr id="5" name="直線矢印コネクタ 9">
          <a:extLst>
            <a:ext uri="{FF2B5EF4-FFF2-40B4-BE49-F238E27FC236}">
              <a16:creationId xmlns:a16="http://schemas.microsoft.com/office/drawing/2014/main" id="{585880E7-2C2A-4772-A6AC-2A700FC8E355}"/>
            </a:ext>
          </a:extLst>
        </xdr:cNvPr>
        <xdr:cNvCxnSpPr/>
      </xdr:nvCxnSpPr>
      <xdr:spPr>
        <a:xfrm flipH="1">
          <a:off x="18100221" y="4933043"/>
          <a:ext cx="960665" cy="197757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800097</xdr:colOff>
      <xdr:row>61</xdr:row>
      <xdr:rowOff>19050</xdr:rowOff>
    </xdr:from>
    <xdr:to>
      <xdr:col>18</xdr:col>
      <xdr:colOff>834737</xdr:colOff>
      <xdr:row>73</xdr:row>
      <xdr:rowOff>22167</xdr:rowOff>
    </xdr:to>
    <xdr:cxnSp macro="">
      <xdr:nvCxnSpPr>
        <xdr:cNvPr id="6" name="直線矢印コネクタ 24">
          <a:extLst>
            <a:ext uri="{FF2B5EF4-FFF2-40B4-BE49-F238E27FC236}">
              <a16:creationId xmlns:a16="http://schemas.microsoft.com/office/drawing/2014/main" id="{117D1742-7F7F-4C17-97E6-1BABAED8924B}"/>
            </a:ext>
          </a:extLst>
        </xdr:cNvPr>
        <xdr:cNvCxnSpPr/>
      </xdr:nvCxnSpPr>
      <xdr:spPr>
        <a:xfrm>
          <a:off x="12941297" y="14909800"/>
          <a:ext cx="2890" cy="2695517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554179</xdr:colOff>
      <xdr:row>61</xdr:row>
      <xdr:rowOff>13855</xdr:rowOff>
    </xdr:from>
    <xdr:to>
      <xdr:col>12</xdr:col>
      <xdr:colOff>557644</xdr:colOff>
      <xdr:row>64</xdr:row>
      <xdr:rowOff>0</xdr:rowOff>
    </xdr:to>
    <xdr:cxnSp macro="">
      <xdr:nvCxnSpPr>
        <xdr:cNvPr id="7" name="直線矢印コネクタ 25">
          <a:extLst>
            <a:ext uri="{FF2B5EF4-FFF2-40B4-BE49-F238E27FC236}">
              <a16:creationId xmlns:a16="http://schemas.microsoft.com/office/drawing/2014/main" id="{CF56CCAC-0709-4D9B-805D-BC563A1A8A0B}"/>
            </a:ext>
          </a:extLst>
        </xdr:cNvPr>
        <xdr:cNvCxnSpPr/>
      </xdr:nvCxnSpPr>
      <xdr:spPr>
        <a:xfrm>
          <a:off x="9101279" y="14904605"/>
          <a:ext cx="3465" cy="684645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0</xdr:colOff>
      <xdr:row>61</xdr:row>
      <xdr:rowOff>0</xdr:rowOff>
    </xdr:from>
    <xdr:to>
      <xdr:col>34</xdr:col>
      <xdr:colOff>739</xdr:colOff>
      <xdr:row>63</xdr:row>
      <xdr:rowOff>190500</xdr:rowOff>
    </xdr:to>
    <xdr:cxnSp macro="">
      <xdr:nvCxnSpPr>
        <xdr:cNvPr id="8" name="直線矢印コネクタ 26">
          <a:extLst>
            <a:ext uri="{FF2B5EF4-FFF2-40B4-BE49-F238E27FC236}">
              <a16:creationId xmlns:a16="http://schemas.microsoft.com/office/drawing/2014/main" id="{A56C730B-8B15-426E-97D1-C96097E4ACF0}"/>
            </a:ext>
          </a:extLst>
        </xdr:cNvPr>
        <xdr:cNvCxnSpPr/>
      </xdr:nvCxnSpPr>
      <xdr:spPr>
        <a:xfrm flipH="1">
          <a:off x="22220464" y="14682107"/>
          <a:ext cx="739" cy="653143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367393</xdr:colOff>
      <xdr:row>61</xdr:row>
      <xdr:rowOff>24493</xdr:rowOff>
    </xdr:from>
    <xdr:to>
      <xdr:col>29</xdr:col>
      <xdr:colOff>353786</xdr:colOff>
      <xdr:row>64</xdr:row>
      <xdr:rowOff>0</xdr:rowOff>
    </xdr:to>
    <xdr:cxnSp macro="">
      <xdr:nvCxnSpPr>
        <xdr:cNvPr id="10" name="直線矢印コネクタ 27">
          <a:extLst>
            <a:ext uri="{FF2B5EF4-FFF2-40B4-BE49-F238E27FC236}">
              <a16:creationId xmlns:a16="http://schemas.microsoft.com/office/drawing/2014/main" id="{C77E7610-F8AA-4F84-A2B9-08D0F62E1B2D}"/>
            </a:ext>
          </a:extLst>
        </xdr:cNvPr>
        <xdr:cNvCxnSpPr/>
      </xdr:nvCxnSpPr>
      <xdr:spPr>
        <a:xfrm flipH="1">
          <a:off x="17689286" y="14706600"/>
          <a:ext cx="1823357" cy="669471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800097</xdr:colOff>
      <xdr:row>19</xdr:row>
      <xdr:rowOff>19050</xdr:rowOff>
    </xdr:from>
    <xdr:to>
      <xdr:col>18</xdr:col>
      <xdr:colOff>834737</xdr:colOff>
      <xdr:row>31</xdr:row>
      <xdr:rowOff>22167</xdr:rowOff>
    </xdr:to>
    <xdr:cxnSp macro="">
      <xdr:nvCxnSpPr>
        <xdr:cNvPr id="2" name="直線矢印コネクタ 5">
          <a:extLst>
            <a:ext uri="{FF2B5EF4-FFF2-40B4-BE49-F238E27FC236}">
              <a16:creationId xmlns:a16="http://schemas.microsoft.com/office/drawing/2014/main" id="{02E683CE-E2D1-4795-B59C-12B9C7A74F7B}"/>
            </a:ext>
          </a:extLst>
        </xdr:cNvPr>
        <xdr:cNvCxnSpPr/>
      </xdr:nvCxnSpPr>
      <xdr:spPr>
        <a:xfrm>
          <a:off x="12026897" y="4673600"/>
          <a:ext cx="2890" cy="2720917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554179</xdr:colOff>
      <xdr:row>19</xdr:row>
      <xdr:rowOff>13855</xdr:rowOff>
    </xdr:from>
    <xdr:to>
      <xdr:col>12</xdr:col>
      <xdr:colOff>557644</xdr:colOff>
      <xdr:row>22</xdr:row>
      <xdr:rowOff>0</xdr:rowOff>
    </xdr:to>
    <xdr:cxnSp macro="">
      <xdr:nvCxnSpPr>
        <xdr:cNvPr id="3" name="直線矢印コネクタ 6">
          <a:extLst>
            <a:ext uri="{FF2B5EF4-FFF2-40B4-BE49-F238E27FC236}">
              <a16:creationId xmlns:a16="http://schemas.microsoft.com/office/drawing/2014/main" id="{B1883727-439B-466B-8F21-19875A7138DF}"/>
            </a:ext>
          </a:extLst>
        </xdr:cNvPr>
        <xdr:cNvCxnSpPr/>
      </xdr:nvCxnSpPr>
      <xdr:spPr>
        <a:xfrm>
          <a:off x="8313879" y="4668405"/>
          <a:ext cx="3465" cy="684645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670210</xdr:colOff>
      <xdr:row>19</xdr:row>
      <xdr:rowOff>0</xdr:rowOff>
    </xdr:from>
    <xdr:to>
      <xdr:col>33</xdr:col>
      <xdr:colOff>685800</xdr:colOff>
      <xdr:row>19</xdr:row>
      <xdr:rowOff>203812</xdr:rowOff>
    </xdr:to>
    <xdr:cxnSp macro="">
      <xdr:nvCxnSpPr>
        <xdr:cNvPr id="4" name="直線矢印コネクタ 7">
          <a:extLst>
            <a:ext uri="{FF2B5EF4-FFF2-40B4-BE49-F238E27FC236}">
              <a16:creationId xmlns:a16="http://schemas.microsoft.com/office/drawing/2014/main" id="{5E80F395-4EFC-406B-88CC-024FC809D479}"/>
            </a:ext>
          </a:extLst>
        </xdr:cNvPr>
        <xdr:cNvCxnSpPr/>
      </xdr:nvCxnSpPr>
      <xdr:spPr>
        <a:xfrm flipH="1">
          <a:off x="20666360" y="4654550"/>
          <a:ext cx="2890" cy="203812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1012371</xdr:colOff>
      <xdr:row>19</xdr:row>
      <xdr:rowOff>24493</xdr:rowOff>
    </xdr:from>
    <xdr:to>
      <xdr:col>29</xdr:col>
      <xdr:colOff>353786</xdr:colOff>
      <xdr:row>20</xdr:row>
      <xdr:rowOff>0</xdr:rowOff>
    </xdr:to>
    <xdr:cxnSp macro="">
      <xdr:nvCxnSpPr>
        <xdr:cNvPr id="5" name="直線矢印コネクタ 9">
          <a:extLst>
            <a:ext uri="{FF2B5EF4-FFF2-40B4-BE49-F238E27FC236}">
              <a16:creationId xmlns:a16="http://schemas.microsoft.com/office/drawing/2014/main" id="{D584B120-8820-4690-9273-011132065C09}"/>
            </a:ext>
          </a:extLst>
        </xdr:cNvPr>
        <xdr:cNvCxnSpPr/>
      </xdr:nvCxnSpPr>
      <xdr:spPr>
        <a:xfrm flipH="1">
          <a:off x="17014371" y="4679043"/>
          <a:ext cx="960665" cy="197757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800097</xdr:colOff>
      <xdr:row>61</xdr:row>
      <xdr:rowOff>19050</xdr:rowOff>
    </xdr:from>
    <xdr:to>
      <xdr:col>18</xdr:col>
      <xdr:colOff>834737</xdr:colOff>
      <xdr:row>73</xdr:row>
      <xdr:rowOff>22167</xdr:rowOff>
    </xdr:to>
    <xdr:cxnSp macro="">
      <xdr:nvCxnSpPr>
        <xdr:cNvPr id="6" name="直線矢印コネクタ 24">
          <a:extLst>
            <a:ext uri="{FF2B5EF4-FFF2-40B4-BE49-F238E27FC236}">
              <a16:creationId xmlns:a16="http://schemas.microsoft.com/office/drawing/2014/main" id="{7030E15E-FB7F-4167-8EA3-0CF4A50A0762}"/>
            </a:ext>
          </a:extLst>
        </xdr:cNvPr>
        <xdr:cNvCxnSpPr/>
      </xdr:nvCxnSpPr>
      <xdr:spPr>
        <a:xfrm>
          <a:off x="12026897" y="14401800"/>
          <a:ext cx="2890" cy="2695517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554179</xdr:colOff>
      <xdr:row>61</xdr:row>
      <xdr:rowOff>13855</xdr:rowOff>
    </xdr:from>
    <xdr:to>
      <xdr:col>12</xdr:col>
      <xdr:colOff>557644</xdr:colOff>
      <xdr:row>64</xdr:row>
      <xdr:rowOff>0</xdr:rowOff>
    </xdr:to>
    <xdr:cxnSp macro="">
      <xdr:nvCxnSpPr>
        <xdr:cNvPr id="7" name="直線矢印コネクタ 25">
          <a:extLst>
            <a:ext uri="{FF2B5EF4-FFF2-40B4-BE49-F238E27FC236}">
              <a16:creationId xmlns:a16="http://schemas.microsoft.com/office/drawing/2014/main" id="{929C674D-09A5-4B36-87CB-111017A19026}"/>
            </a:ext>
          </a:extLst>
        </xdr:cNvPr>
        <xdr:cNvCxnSpPr/>
      </xdr:nvCxnSpPr>
      <xdr:spPr>
        <a:xfrm>
          <a:off x="8313879" y="14396605"/>
          <a:ext cx="3465" cy="684645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670210</xdr:colOff>
      <xdr:row>61</xdr:row>
      <xdr:rowOff>0</xdr:rowOff>
    </xdr:from>
    <xdr:to>
      <xdr:col>33</xdr:col>
      <xdr:colOff>685800</xdr:colOff>
      <xdr:row>61</xdr:row>
      <xdr:rowOff>203812</xdr:rowOff>
    </xdr:to>
    <xdr:cxnSp macro="">
      <xdr:nvCxnSpPr>
        <xdr:cNvPr id="8" name="直線矢印コネクタ 26">
          <a:extLst>
            <a:ext uri="{FF2B5EF4-FFF2-40B4-BE49-F238E27FC236}">
              <a16:creationId xmlns:a16="http://schemas.microsoft.com/office/drawing/2014/main" id="{43223513-DE59-4FD7-85F1-63253A91B5C9}"/>
            </a:ext>
          </a:extLst>
        </xdr:cNvPr>
        <xdr:cNvCxnSpPr/>
      </xdr:nvCxnSpPr>
      <xdr:spPr>
        <a:xfrm flipH="1">
          <a:off x="20666360" y="14382750"/>
          <a:ext cx="2890" cy="203812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1012371</xdr:colOff>
      <xdr:row>61</xdr:row>
      <xdr:rowOff>24493</xdr:rowOff>
    </xdr:from>
    <xdr:to>
      <xdr:col>29</xdr:col>
      <xdr:colOff>353786</xdr:colOff>
      <xdr:row>62</xdr:row>
      <xdr:rowOff>0</xdr:rowOff>
    </xdr:to>
    <xdr:cxnSp macro="">
      <xdr:nvCxnSpPr>
        <xdr:cNvPr id="9" name="直線矢印コネクタ 27">
          <a:extLst>
            <a:ext uri="{FF2B5EF4-FFF2-40B4-BE49-F238E27FC236}">
              <a16:creationId xmlns:a16="http://schemas.microsoft.com/office/drawing/2014/main" id="{CBCA8269-DD71-47C2-931E-2DA1F5A6CE4E}"/>
            </a:ext>
          </a:extLst>
        </xdr:cNvPr>
        <xdr:cNvCxnSpPr/>
      </xdr:nvCxnSpPr>
      <xdr:spPr>
        <a:xfrm flipH="1">
          <a:off x="17014371" y="14407243"/>
          <a:ext cx="960665" cy="197757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1012371</xdr:colOff>
      <xdr:row>61</xdr:row>
      <xdr:rowOff>24493</xdr:rowOff>
    </xdr:from>
    <xdr:to>
      <xdr:col>29</xdr:col>
      <xdr:colOff>353786</xdr:colOff>
      <xdr:row>62</xdr:row>
      <xdr:rowOff>0</xdr:rowOff>
    </xdr:to>
    <xdr:cxnSp macro="">
      <xdr:nvCxnSpPr>
        <xdr:cNvPr id="10" name="直線矢印コネクタ 27">
          <a:extLst>
            <a:ext uri="{FF2B5EF4-FFF2-40B4-BE49-F238E27FC236}">
              <a16:creationId xmlns:a16="http://schemas.microsoft.com/office/drawing/2014/main" id="{4BA9019E-C738-490B-8A9F-0830902B6923}"/>
            </a:ext>
          </a:extLst>
        </xdr:cNvPr>
        <xdr:cNvCxnSpPr/>
      </xdr:nvCxnSpPr>
      <xdr:spPr>
        <a:xfrm flipH="1">
          <a:off x="17014371" y="14407243"/>
          <a:ext cx="960665" cy="197757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1012371</xdr:colOff>
      <xdr:row>61</xdr:row>
      <xdr:rowOff>24493</xdr:rowOff>
    </xdr:from>
    <xdr:to>
      <xdr:col>29</xdr:col>
      <xdr:colOff>353786</xdr:colOff>
      <xdr:row>62</xdr:row>
      <xdr:rowOff>0</xdr:rowOff>
    </xdr:to>
    <xdr:cxnSp macro="">
      <xdr:nvCxnSpPr>
        <xdr:cNvPr id="11" name="直線矢印コネクタ 27">
          <a:extLst>
            <a:ext uri="{FF2B5EF4-FFF2-40B4-BE49-F238E27FC236}">
              <a16:creationId xmlns:a16="http://schemas.microsoft.com/office/drawing/2014/main" id="{9BB85701-5233-447B-A497-E60D89B61FEB}"/>
            </a:ext>
          </a:extLst>
        </xdr:cNvPr>
        <xdr:cNvCxnSpPr/>
      </xdr:nvCxnSpPr>
      <xdr:spPr>
        <a:xfrm flipH="1">
          <a:off x="17014371" y="14407243"/>
          <a:ext cx="960665" cy="197757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1012371</xdr:colOff>
      <xdr:row>61</xdr:row>
      <xdr:rowOff>24493</xdr:rowOff>
    </xdr:from>
    <xdr:to>
      <xdr:col>29</xdr:col>
      <xdr:colOff>353786</xdr:colOff>
      <xdr:row>62</xdr:row>
      <xdr:rowOff>0</xdr:rowOff>
    </xdr:to>
    <xdr:cxnSp macro="">
      <xdr:nvCxnSpPr>
        <xdr:cNvPr id="12" name="直線矢印コネクタ 27">
          <a:extLst>
            <a:ext uri="{FF2B5EF4-FFF2-40B4-BE49-F238E27FC236}">
              <a16:creationId xmlns:a16="http://schemas.microsoft.com/office/drawing/2014/main" id="{95E5B378-D917-4079-9A85-D99DFE48A5DA}"/>
            </a:ext>
          </a:extLst>
        </xdr:cNvPr>
        <xdr:cNvCxnSpPr/>
      </xdr:nvCxnSpPr>
      <xdr:spPr>
        <a:xfrm flipH="1">
          <a:off x="17014371" y="14407243"/>
          <a:ext cx="960665" cy="197757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800097</xdr:colOff>
      <xdr:row>19</xdr:row>
      <xdr:rowOff>19050</xdr:rowOff>
    </xdr:from>
    <xdr:to>
      <xdr:col>18</xdr:col>
      <xdr:colOff>834737</xdr:colOff>
      <xdr:row>31</xdr:row>
      <xdr:rowOff>22167</xdr:rowOff>
    </xdr:to>
    <xdr:cxnSp macro="">
      <xdr:nvCxnSpPr>
        <xdr:cNvPr id="2" name="直線矢印コネクタ 5">
          <a:extLst>
            <a:ext uri="{FF2B5EF4-FFF2-40B4-BE49-F238E27FC236}">
              <a16:creationId xmlns:a16="http://schemas.microsoft.com/office/drawing/2014/main" id="{9191F7D3-0F35-40C9-B564-EF0AB4E6CB64}"/>
            </a:ext>
          </a:extLst>
        </xdr:cNvPr>
        <xdr:cNvCxnSpPr/>
      </xdr:nvCxnSpPr>
      <xdr:spPr>
        <a:xfrm>
          <a:off x="11944347" y="4927600"/>
          <a:ext cx="2890" cy="2720917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554179</xdr:colOff>
      <xdr:row>19</xdr:row>
      <xdr:rowOff>13855</xdr:rowOff>
    </xdr:from>
    <xdr:to>
      <xdr:col>12</xdr:col>
      <xdr:colOff>557644</xdr:colOff>
      <xdr:row>22</xdr:row>
      <xdr:rowOff>0</xdr:rowOff>
    </xdr:to>
    <xdr:cxnSp macro="">
      <xdr:nvCxnSpPr>
        <xdr:cNvPr id="3" name="直線矢印コネクタ 6">
          <a:extLst>
            <a:ext uri="{FF2B5EF4-FFF2-40B4-BE49-F238E27FC236}">
              <a16:creationId xmlns:a16="http://schemas.microsoft.com/office/drawing/2014/main" id="{13AD4F6F-F0EA-440C-B108-EEFB431E6C99}"/>
            </a:ext>
          </a:extLst>
        </xdr:cNvPr>
        <xdr:cNvCxnSpPr/>
      </xdr:nvCxnSpPr>
      <xdr:spPr>
        <a:xfrm>
          <a:off x="8231329" y="4922405"/>
          <a:ext cx="3465" cy="684645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670210</xdr:colOff>
      <xdr:row>19</xdr:row>
      <xdr:rowOff>0</xdr:rowOff>
    </xdr:from>
    <xdr:to>
      <xdr:col>33</xdr:col>
      <xdr:colOff>685800</xdr:colOff>
      <xdr:row>19</xdr:row>
      <xdr:rowOff>203812</xdr:rowOff>
    </xdr:to>
    <xdr:cxnSp macro="">
      <xdr:nvCxnSpPr>
        <xdr:cNvPr id="4" name="直線矢印コネクタ 7">
          <a:extLst>
            <a:ext uri="{FF2B5EF4-FFF2-40B4-BE49-F238E27FC236}">
              <a16:creationId xmlns:a16="http://schemas.microsoft.com/office/drawing/2014/main" id="{574255A7-9BDC-4109-B466-57273649C6A5}"/>
            </a:ext>
          </a:extLst>
        </xdr:cNvPr>
        <xdr:cNvCxnSpPr/>
      </xdr:nvCxnSpPr>
      <xdr:spPr>
        <a:xfrm flipH="1">
          <a:off x="20590160" y="4908550"/>
          <a:ext cx="2890" cy="203812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247805</xdr:colOff>
      <xdr:row>19</xdr:row>
      <xdr:rowOff>24493</xdr:rowOff>
    </xdr:from>
    <xdr:to>
      <xdr:col>29</xdr:col>
      <xdr:colOff>353786</xdr:colOff>
      <xdr:row>21</xdr:row>
      <xdr:rowOff>170366</xdr:rowOff>
    </xdr:to>
    <xdr:cxnSp macro="">
      <xdr:nvCxnSpPr>
        <xdr:cNvPr id="5" name="直線矢印コネクタ 9">
          <a:extLst>
            <a:ext uri="{FF2B5EF4-FFF2-40B4-BE49-F238E27FC236}">
              <a16:creationId xmlns:a16="http://schemas.microsoft.com/office/drawing/2014/main" id="{E06E345E-92DC-4E92-B7CE-04DAA7709859}"/>
            </a:ext>
          </a:extLst>
        </xdr:cNvPr>
        <xdr:cNvCxnSpPr/>
      </xdr:nvCxnSpPr>
      <xdr:spPr>
        <a:xfrm flipH="1">
          <a:off x="17934878" y="6142176"/>
          <a:ext cx="1918054" cy="548556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800097</xdr:colOff>
      <xdr:row>61</xdr:row>
      <xdr:rowOff>19050</xdr:rowOff>
    </xdr:from>
    <xdr:to>
      <xdr:col>18</xdr:col>
      <xdr:colOff>834737</xdr:colOff>
      <xdr:row>73</xdr:row>
      <xdr:rowOff>22167</xdr:rowOff>
    </xdr:to>
    <xdr:cxnSp macro="">
      <xdr:nvCxnSpPr>
        <xdr:cNvPr id="6" name="直線矢印コネクタ 24">
          <a:extLst>
            <a:ext uri="{FF2B5EF4-FFF2-40B4-BE49-F238E27FC236}">
              <a16:creationId xmlns:a16="http://schemas.microsoft.com/office/drawing/2014/main" id="{FBAFB3FA-8729-460E-BE46-84616B3BB55C}"/>
            </a:ext>
          </a:extLst>
        </xdr:cNvPr>
        <xdr:cNvCxnSpPr/>
      </xdr:nvCxnSpPr>
      <xdr:spPr>
        <a:xfrm>
          <a:off x="11944347" y="14909800"/>
          <a:ext cx="2890" cy="2695517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554179</xdr:colOff>
      <xdr:row>61</xdr:row>
      <xdr:rowOff>13855</xdr:rowOff>
    </xdr:from>
    <xdr:to>
      <xdr:col>12</xdr:col>
      <xdr:colOff>557644</xdr:colOff>
      <xdr:row>64</xdr:row>
      <xdr:rowOff>0</xdr:rowOff>
    </xdr:to>
    <xdr:cxnSp macro="">
      <xdr:nvCxnSpPr>
        <xdr:cNvPr id="7" name="直線矢印コネクタ 25">
          <a:extLst>
            <a:ext uri="{FF2B5EF4-FFF2-40B4-BE49-F238E27FC236}">
              <a16:creationId xmlns:a16="http://schemas.microsoft.com/office/drawing/2014/main" id="{83BBB3AA-ED68-4878-B6C4-63847008D692}"/>
            </a:ext>
          </a:extLst>
        </xdr:cNvPr>
        <xdr:cNvCxnSpPr/>
      </xdr:nvCxnSpPr>
      <xdr:spPr>
        <a:xfrm>
          <a:off x="8231329" y="14904605"/>
          <a:ext cx="3465" cy="684645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670210</xdr:colOff>
      <xdr:row>61</xdr:row>
      <xdr:rowOff>0</xdr:rowOff>
    </xdr:from>
    <xdr:to>
      <xdr:col>33</xdr:col>
      <xdr:colOff>685800</xdr:colOff>
      <xdr:row>61</xdr:row>
      <xdr:rowOff>203812</xdr:rowOff>
    </xdr:to>
    <xdr:cxnSp macro="">
      <xdr:nvCxnSpPr>
        <xdr:cNvPr id="8" name="直線矢印コネクタ 26">
          <a:extLst>
            <a:ext uri="{FF2B5EF4-FFF2-40B4-BE49-F238E27FC236}">
              <a16:creationId xmlns:a16="http://schemas.microsoft.com/office/drawing/2014/main" id="{7ECEAEC9-C0FE-43CC-BE20-309349B889C1}"/>
            </a:ext>
          </a:extLst>
        </xdr:cNvPr>
        <xdr:cNvCxnSpPr/>
      </xdr:nvCxnSpPr>
      <xdr:spPr>
        <a:xfrm flipH="1">
          <a:off x="20590160" y="14890750"/>
          <a:ext cx="2890" cy="203812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325244</xdr:colOff>
      <xdr:row>61</xdr:row>
      <xdr:rowOff>24493</xdr:rowOff>
    </xdr:from>
    <xdr:to>
      <xdr:col>29</xdr:col>
      <xdr:colOff>353786</xdr:colOff>
      <xdr:row>63</xdr:row>
      <xdr:rowOff>139390</xdr:rowOff>
    </xdr:to>
    <xdr:cxnSp macro="">
      <xdr:nvCxnSpPr>
        <xdr:cNvPr id="11" name="直線矢印コネクタ 27">
          <a:extLst>
            <a:ext uri="{FF2B5EF4-FFF2-40B4-BE49-F238E27FC236}">
              <a16:creationId xmlns:a16="http://schemas.microsoft.com/office/drawing/2014/main" id="{D904AE0F-46FA-448C-9A84-767F5AE9EFE3}"/>
            </a:ext>
          </a:extLst>
        </xdr:cNvPr>
        <xdr:cNvCxnSpPr/>
      </xdr:nvCxnSpPr>
      <xdr:spPr>
        <a:xfrm flipH="1">
          <a:off x="18012317" y="16426078"/>
          <a:ext cx="1840615" cy="548556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800097</xdr:colOff>
      <xdr:row>19</xdr:row>
      <xdr:rowOff>19050</xdr:rowOff>
    </xdr:from>
    <xdr:to>
      <xdr:col>18</xdr:col>
      <xdr:colOff>834737</xdr:colOff>
      <xdr:row>31</xdr:row>
      <xdr:rowOff>22167</xdr:rowOff>
    </xdr:to>
    <xdr:cxnSp macro="">
      <xdr:nvCxnSpPr>
        <xdr:cNvPr id="2" name="直線矢印コネクタ 5">
          <a:extLst>
            <a:ext uri="{FF2B5EF4-FFF2-40B4-BE49-F238E27FC236}">
              <a16:creationId xmlns:a16="http://schemas.microsoft.com/office/drawing/2014/main" id="{6E1E156C-CD13-4D83-A684-EC39D1031BC0}"/>
            </a:ext>
          </a:extLst>
        </xdr:cNvPr>
        <xdr:cNvCxnSpPr/>
      </xdr:nvCxnSpPr>
      <xdr:spPr>
        <a:xfrm>
          <a:off x="13004797" y="6254750"/>
          <a:ext cx="0" cy="2739967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554179</xdr:colOff>
      <xdr:row>19</xdr:row>
      <xdr:rowOff>13855</xdr:rowOff>
    </xdr:from>
    <xdr:to>
      <xdr:col>12</xdr:col>
      <xdr:colOff>557644</xdr:colOff>
      <xdr:row>22</xdr:row>
      <xdr:rowOff>0</xdr:rowOff>
    </xdr:to>
    <xdr:cxnSp macro="">
      <xdr:nvCxnSpPr>
        <xdr:cNvPr id="3" name="直線矢印コネクタ 6">
          <a:extLst>
            <a:ext uri="{FF2B5EF4-FFF2-40B4-BE49-F238E27FC236}">
              <a16:creationId xmlns:a16="http://schemas.microsoft.com/office/drawing/2014/main" id="{2024C529-1DD5-4984-B388-E07C9A1BE422}"/>
            </a:ext>
          </a:extLst>
        </xdr:cNvPr>
        <xdr:cNvCxnSpPr/>
      </xdr:nvCxnSpPr>
      <xdr:spPr>
        <a:xfrm>
          <a:off x="9215579" y="6252730"/>
          <a:ext cx="6640" cy="630670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670210</xdr:colOff>
      <xdr:row>19</xdr:row>
      <xdr:rowOff>0</xdr:rowOff>
    </xdr:from>
    <xdr:to>
      <xdr:col>33</xdr:col>
      <xdr:colOff>685800</xdr:colOff>
      <xdr:row>19</xdr:row>
      <xdr:rowOff>203812</xdr:rowOff>
    </xdr:to>
    <xdr:cxnSp macro="">
      <xdr:nvCxnSpPr>
        <xdr:cNvPr id="4" name="直線矢印コネクタ 7">
          <a:extLst>
            <a:ext uri="{FF2B5EF4-FFF2-40B4-BE49-F238E27FC236}">
              <a16:creationId xmlns:a16="http://schemas.microsoft.com/office/drawing/2014/main" id="{C24D6B6F-D22E-4A9E-B890-CB89B16063CD}"/>
            </a:ext>
          </a:extLst>
        </xdr:cNvPr>
        <xdr:cNvCxnSpPr/>
      </xdr:nvCxnSpPr>
      <xdr:spPr>
        <a:xfrm flipH="1">
          <a:off x="22355460" y="6235700"/>
          <a:ext cx="0" cy="194287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247805</xdr:colOff>
      <xdr:row>19</xdr:row>
      <xdr:rowOff>24493</xdr:rowOff>
    </xdr:from>
    <xdr:to>
      <xdr:col>29</xdr:col>
      <xdr:colOff>353786</xdr:colOff>
      <xdr:row>21</xdr:row>
      <xdr:rowOff>170366</xdr:rowOff>
    </xdr:to>
    <xdr:cxnSp macro="">
      <xdr:nvCxnSpPr>
        <xdr:cNvPr id="5" name="直線矢印コネクタ 9">
          <a:extLst>
            <a:ext uri="{FF2B5EF4-FFF2-40B4-BE49-F238E27FC236}">
              <a16:creationId xmlns:a16="http://schemas.microsoft.com/office/drawing/2014/main" id="{09250BED-867B-4F76-A4A0-DC94A33A1A30}"/>
            </a:ext>
          </a:extLst>
        </xdr:cNvPr>
        <xdr:cNvCxnSpPr/>
      </xdr:nvCxnSpPr>
      <xdr:spPr>
        <a:xfrm flipH="1">
          <a:off x="17723005" y="6263368"/>
          <a:ext cx="1937956" cy="561798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800097</xdr:colOff>
      <xdr:row>61</xdr:row>
      <xdr:rowOff>19050</xdr:rowOff>
    </xdr:from>
    <xdr:to>
      <xdr:col>18</xdr:col>
      <xdr:colOff>834737</xdr:colOff>
      <xdr:row>73</xdr:row>
      <xdr:rowOff>22167</xdr:rowOff>
    </xdr:to>
    <xdr:cxnSp macro="">
      <xdr:nvCxnSpPr>
        <xdr:cNvPr id="6" name="直線矢印コネクタ 24">
          <a:extLst>
            <a:ext uri="{FF2B5EF4-FFF2-40B4-BE49-F238E27FC236}">
              <a16:creationId xmlns:a16="http://schemas.microsoft.com/office/drawing/2014/main" id="{2915BF3D-4333-460A-B41C-AC84111AB63B}"/>
            </a:ext>
          </a:extLst>
        </xdr:cNvPr>
        <xdr:cNvCxnSpPr/>
      </xdr:nvCxnSpPr>
      <xdr:spPr>
        <a:xfrm>
          <a:off x="13004797" y="16903700"/>
          <a:ext cx="0" cy="2778067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554179</xdr:colOff>
      <xdr:row>61</xdr:row>
      <xdr:rowOff>13855</xdr:rowOff>
    </xdr:from>
    <xdr:to>
      <xdr:col>12</xdr:col>
      <xdr:colOff>557644</xdr:colOff>
      <xdr:row>64</xdr:row>
      <xdr:rowOff>0</xdr:rowOff>
    </xdr:to>
    <xdr:cxnSp macro="">
      <xdr:nvCxnSpPr>
        <xdr:cNvPr id="7" name="直線矢印コネクタ 25">
          <a:extLst>
            <a:ext uri="{FF2B5EF4-FFF2-40B4-BE49-F238E27FC236}">
              <a16:creationId xmlns:a16="http://schemas.microsoft.com/office/drawing/2014/main" id="{A2E08570-E41C-4819-A882-E0C496B04BC7}"/>
            </a:ext>
          </a:extLst>
        </xdr:cNvPr>
        <xdr:cNvCxnSpPr/>
      </xdr:nvCxnSpPr>
      <xdr:spPr>
        <a:xfrm>
          <a:off x="9215579" y="16901680"/>
          <a:ext cx="6640" cy="668770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670210</xdr:colOff>
      <xdr:row>61</xdr:row>
      <xdr:rowOff>0</xdr:rowOff>
    </xdr:from>
    <xdr:to>
      <xdr:col>33</xdr:col>
      <xdr:colOff>685800</xdr:colOff>
      <xdr:row>61</xdr:row>
      <xdr:rowOff>203812</xdr:rowOff>
    </xdr:to>
    <xdr:cxnSp macro="">
      <xdr:nvCxnSpPr>
        <xdr:cNvPr id="8" name="直線矢印コネクタ 26">
          <a:extLst>
            <a:ext uri="{FF2B5EF4-FFF2-40B4-BE49-F238E27FC236}">
              <a16:creationId xmlns:a16="http://schemas.microsoft.com/office/drawing/2014/main" id="{E69FC2A8-0289-46C1-84FE-B8299BB27137}"/>
            </a:ext>
          </a:extLst>
        </xdr:cNvPr>
        <xdr:cNvCxnSpPr/>
      </xdr:nvCxnSpPr>
      <xdr:spPr>
        <a:xfrm flipH="1">
          <a:off x="22355460" y="16884650"/>
          <a:ext cx="0" cy="206987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325244</xdr:colOff>
      <xdr:row>61</xdr:row>
      <xdr:rowOff>24493</xdr:rowOff>
    </xdr:from>
    <xdr:to>
      <xdr:col>29</xdr:col>
      <xdr:colOff>353786</xdr:colOff>
      <xdr:row>63</xdr:row>
      <xdr:rowOff>139390</xdr:rowOff>
    </xdr:to>
    <xdr:cxnSp macro="">
      <xdr:nvCxnSpPr>
        <xdr:cNvPr id="9" name="直線矢印コネクタ 27">
          <a:extLst>
            <a:ext uri="{FF2B5EF4-FFF2-40B4-BE49-F238E27FC236}">
              <a16:creationId xmlns:a16="http://schemas.microsoft.com/office/drawing/2014/main" id="{D73300AA-4A47-4513-963C-82EB21EB30E3}"/>
            </a:ext>
          </a:extLst>
        </xdr:cNvPr>
        <xdr:cNvCxnSpPr/>
      </xdr:nvCxnSpPr>
      <xdr:spPr>
        <a:xfrm flipH="1">
          <a:off x="17800444" y="16912318"/>
          <a:ext cx="1860517" cy="572097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800097</xdr:colOff>
      <xdr:row>19</xdr:row>
      <xdr:rowOff>19050</xdr:rowOff>
    </xdr:from>
    <xdr:to>
      <xdr:col>18</xdr:col>
      <xdr:colOff>834737</xdr:colOff>
      <xdr:row>31</xdr:row>
      <xdr:rowOff>22167</xdr:rowOff>
    </xdr:to>
    <xdr:cxnSp macro="">
      <xdr:nvCxnSpPr>
        <xdr:cNvPr id="2" name="直線矢印コネクタ 5">
          <a:extLst>
            <a:ext uri="{FF2B5EF4-FFF2-40B4-BE49-F238E27FC236}">
              <a16:creationId xmlns:a16="http://schemas.microsoft.com/office/drawing/2014/main" id="{C5538B34-EF5E-410B-8097-A5135212DD6D}"/>
            </a:ext>
          </a:extLst>
        </xdr:cNvPr>
        <xdr:cNvCxnSpPr/>
      </xdr:nvCxnSpPr>
      <xdr:spPr>
        <a:xfrm>
          <a:off x="19056347" y="6254750"/>
          <a:ext cx="0" cy="2771717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554179</xdr:colOff>
      <xdr:row>19</xdr:row>
      <xdr:rowOff>13855</xdr:rowOff>
    </xdr:from>
    <xdr:to>
      <xdr:col>12</xdr:col>
      <xdr:colOff>557644</xdr:colOff>
      <xdr:row>22</xdr:row>
      <xdr:rowOff>0</xdr:rowOff>
    </xdr:to>
    <xdr:cxnSp macro="">
      <xdr:nvCxnSpPr>
        <xdr:cNvPr id="3" name="直線矢印コネクタ 6">
          <a:extLst>
            <a:ext uri="{FF2B5EF4-FFF2-40B4-BE49-F238E27FC236}">
              <a16:creationId xmlns:a16="http://schemas.microsoft.com/office/drawing/2014/main" id="{60C6E1F3-1CD2-491B-BF33-0B8EB5C948CB}"/>
            </a:ext>
          </a:extLst>
        </xdr:cNvPr>
        <xdr:cNvCxnSpPr/>
      </xdr:nvCxnSpPr>
      <xdr:spPr>
        <a:xfrm>
          <a:off x="13514529" y="6252730"/>
          <a:ext cx="6640" cy="662420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670210</xdr:colOff>
      <xdr:row>19</xdr:row>
      <xdr:rowOff>0</xdr:rowOff>
    </xdr:from>
    <xdr:to>
      <xdr:col>33</xdr:col>
      <xdr:colOff>685800</xdr:colOff>
      <xdr:row>19</xdr:row>
      <xdr:rowOff>203812</xdr:rowOff>
    </xdr:to>
    <xdr:cxnSp macro="">
      <xdr:nvCxnSpPr>
        <xdr:cNvPr id="4" name="直線矢印コネクタ 7">
          <a:extLst>
            <a:ext uri="{FF2B5EF4-FFF2-40B4-BE49-F238E27FC236}">
              <a16:creationId xmlns:a16="http://schemas.microsoft.com/office/drawing/2014/main" id="{A7AD085E-03CE-4695-8830-E8B0D7E84828}"/>
            </a:ext>
          </a:extLst>
        </xdr:cNvPr>
        <xdr:cNvCxnSpPr/>
      </xdr:nvCxnSpPr>
      <xdr:spPr>
        <a:xfrm flipH="1">
          <a:off x="30991460" y="6235700"/>
          <a:ext cx="15590" cy="194287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1012371</xdr:colOff>
      <xdr:row>19</xdr:row>
      <xdr:rowOff>24493</xdr:rowOff>
    </xdr:from>
    <xdr:to>
      <xdr:col>29</xdr:col>
      <xdr:colOff>353786</xdr:colOff>
      <xdr:row>20</xdr:row>
      <xdr:rowOff>0</xdr:rowOff>
    </xdr:to>
    <xdr:cxnSp macro="">
      <xdr:nvCxnSpPr>
        <xdr:cNvPr id="5" name="直線矢印コネクタ 9">
          <a:extLst>
            <a:ext uri="{FF2B5EF4-FFF2-40B4-BE49-F238E27FC236}">
              <a16:creationId xmlns:a16="http://schemas.microsoft.com/office/drawing/2014/main" id="{1D546D6B-C224-41C5-8C0A-6C7F79693680}"/>
            </a:ext>
          </a:extLst>
        </xdr:cNvPr>
        <xdr:cNvCxnSpPr/>
      </xdr:nvCxnSpPr>
      <xdr:spPr>
        <a:xfrm flipH="1">
          <a:off x="26964821" y="6263368"/>
          <a:ext cx="963840" cy="162832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800097</xdr:colOff>
      <xdr:row>61</xdr:row>
      <xdr:rowOff>19050</xdr:rowOff>
    </xdr:from>
    <xdr:to>
      <xdr:col>18</xdr:col>
      <xdr:colOff>804333</xdr:colOff>
      <xdr:row>63</xdr:row>
      <xdr:rowOff>95250</xdr:rowOff>
    </xdr:to>
    <xdr:cxnSp macro="">
      <xdr:nvCxnSpPr>
        <xdr:cNvPr id="6" name="直線矢印コネクタ 24">
          <a:extLst>
            <a:ext uri="{FF2B5EF4-FFF2-40B4-BE49-F238E27FC236}">
              <a16:creationId xmlns:a16="http://schemas.microsoft.com/office/drawing/2014/main" id="{6E34B571-2F54-4424-9DC7-EED3EEF1385A}"/>
            </a:ext>
          </a:extLst>
        </xdr:cNvPr>
        <xdr:cNvCxnSpPr/>
      </xdr:nvCxnSpPr>
      <xdr:spPr>
        <a:xfrm>
          <a:off x="17722847" y="17301633"/>
          <a:ext cx="4236" cy="541867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554179</xdr:colOff>
      <xdr:row>61</xdr:row>
      <xdr:rowOff>13855</xdr:rowOff>
    </xdr:from>
    <xdr:to>
      <xdr:col>12</xdr:col>
      <xdr:colOff>557644</xdr:colOff>
      <xdr:row>64</xdr:row>
      <xdr:rowOff>0</xdr:rowOff>
    </xdr:to>
    <xdr:cxnSp macro="">
      <xdr:nvCxnSpPr>
        <xdr:cNvPr id="7" name="直線矢印コネクタ 25">
          <a:extLst>
            <a:ext uri="{FF2B5EF4-FFF2-40B4-BE49-F238E27FC236}">
              <a16:creationId xmlns:a16="http://schemas.microsoft.com/office/drawing/2014/main" id="{60C4480E-0C17-495B-8F8B-90252DB1C59F}"/>
            </a:ext>
          </a:extLst>
        </xdr:cNvPr>
        <xdr:cNvCxnSpPr/>
      </xdr:nvCxnSpPr>
      <xdr:spPr>
        <a:xfrm>
          <a:off x="13514529" y="17181080"/>
          <a:ext cx="6640" cy="668770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0</xdr:colOff>
      <xdr:row>61</xdr:row>
      <xdr:rowOff>0</xdr:rowOff>
    </xdr:from>
    <xdr:to>
      <xdr:col>34</xdr:col>
      <xdr:colOff>739</xdr:colOff>
      <xdr:row>63</xdr:row>
      <xdr:rowOff>190500</xdr:rowOff>
    </xdr:to>
    <xdr:cxnSp macro="">
      <xdr:nvCxnSpPr>
        <xdr:cNvPr id="8" name="直線矢印コネクタ 26">
          <a:extLst>
            <a:ext uri="{FF2B5EF4-FFF2-40B4-BE49-F238E27FC236}">
              <a16:creationId xmlns:a16="http://schemas.microsoft.com/office/drawing/2014/main" id="{95ECDD2B-27C4-487B-909E-0BD1E6FB174E}"/>
            </a:ext>
          </a:extLst>
        </xdr:cNvPr>
        <xdr:cNvCxnSpPr/>
      </xdr:nvCxnSpPr>
      <xdr:spPr>
        <a:xfrm flipH="1">
          <a:off x="31076900" y="17164050"/>
          <a:ext cx="739" cy="647700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367393</xdr:colOff>
      <xdr:row>61</xdr:row>
      <xdr:rowOff>24493</xdr:rowOff>
    </xdr:from>
    <xdr:to>
      <xdr:col>29</xdr:col>
      <xdr:colOff>353786</xdr:colOff>
      <xdr:row>64</xdr:row>
      <xdr:rowOff>0</xdr:rowOff>
    </xdr:to>
    <xdr:cxnSp macro="">
      <xdr:nvCxnSpPr>
        <xdr:cNvPr id="9" name="直線矢印コネクタ 27">
          <a:extLst>
            <a:ext uri="{FF2B5EF4-FFF2-40B4-BE49-F238E27FC236}">
              <a16:creationId xmlns:a16="http://schemas.microsoft.com/office/drawing/2014/main" id="{011C46BE-B3CB-473A-8A9B-0D0B5B86DDF9}"/>
            </a:ext>
          </a:extLst>
        </xdr:cNvPr>
        <xdr:cNvCxnSpPr/>
      </xdr:nvCxnSpPr>
      <xdr:spPr>
        <a:xfrm flipH="1">
          <a:off x="25700718" y="17191718"/>
          <a:ext cx="2227943" cy="658132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800097</xdr:colOff>
      <xdr:row>19</xdr:row>
      <xdr:rowOff>19050</xdr:rowOff>
    </xdr:from>
    <xdr:to>
      <xdr:col>18</xdr:col>
      <xdr:colOff>834737</xdr:colOff>
      <xdr:row>31</xdr:row>
      <xdr:rowOff>22167</xdr:rowOff>
    </xdr:to>
    <xdr:cxnSp macro="">
      <xdr:nvCxnSpPr>
        <xdr:cNvPr id="2" name="直線矢印コネクタ 5">
          <a:extLst>
            <a:ext uri="{FF2B5EF4-FFF2-40B4-BE49-F238E27FC236}">
              <a16:creationId xmlns:a16="http://schemas.microsoft.com/office/drawing/2014/main" id="{71FD7653-EB15-4514-85E4-2FBE9D26CB51}"/>
            </a:ext>
          </a:extLst>
        </xdr:cNvPr>
        <xdr:cNvCxnSpPr/>
      </xdr:nvCxnSpPr>
      <xdr:spPr>
        <a:xfrm>
          <a:off x="16849722" y="6229350"/>
          <a:ext cx="0" cy="2765367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554179</xdr:colOff>
      <xdr:row>19</xdr:row>
      <xdr:rowOff>13855</xdr:rowOff>
    </xdr:from>
    <xdr:to>
      <xdr:col>12</xdr:col>
      <xdr:colOff>557644</xdr:colOff>
      <xdr:row>22</xdr:row>
      <xdr:rowOff>0</xdr:rowOff>
    </xdr:to>
    <xdr:cxnSp macro="">
      <xdr:nvCxnSpPr>
        <xdr:cNvPr id="3" name="直線矢印コネクタ 6">
          <a:extLst>
            <a:ext uri="{FF2B5EF4-FFF2-40B4-BE49-F238E27FC236}">
              <a16:creationId xmlns:a16="http://schemas.microsoft.com/office/drawing/2014/main" id="{470CF2FC-0C91-4E36-A249-ACD5A10C98FD}"/>
            </a:ext>
          </a:extLst>
        </xdr:cNvPr>
        <xdr:cNvCxnSpPr/>
      </xdr:nvCxnSpPr>
      <xdr:spPr>
        <a:xfrm>
          <a:off x="11317429" y="6224155"/>
          <a:ext cx="3465" cy="662420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670210</xdr:colOff>
      <xdr:row>19</xdr:row>
      <xdr:rowOff>0</xdr:rowOff>
    </xdr:from>
    <xdr:to>
      <xdr:col>33</xdr:col>
      <xdr:colOff>685800</xdr:colOff>
      <xdr:row>19</xdr:row>
      <xdr:rowOff>203812</xdr:rowOff>
    </xdr:to>
    <xdr:cxnSp macro="">
      <xdr:nvCxnSpPr>
        <xdr:cNvPr id="4" name="直線矢印コネクタ 7">
          <a:extLst>
            <a:ext uri="{FF2B5EF4-FFF2-40B4-BE49-F238E27FC236}">
              <a16:creationId xmlns:a16="http://schemas.microsoft.com/office/drawing/2014/main" id="{4024E429-AEBF-413B-A531-76814D21B9E9}"/>
            </a:ext>
          </a:extLst>
        </xdr:cNvPr>
        <xdr:cNvCxnSpPr/>
      </xdr:nvCxnSpPr>
      <xdr:spPr>
        <a:xfrm flipH="1">
          <a:off x="28768960" y="6210300"/>
          <a:ext cx="15590" cy="194287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1012371</xdr:colOff>
      <xdr:row>19</xdr:row>
      <xdr:rowOff>24493</xdr:rowOff>
    </xdr:from>
    <xdr:to>
      <xdr:col>29</xdr:col>
      <xdr:colOff>353786</xdr:colOff>
      <xdr:row>20</xdr:row>
      <xdr:rowOff>0</xdr:rowOff>
    </xdr:to>
    <xdr:cxnSp macro="">
      <xdr:nvCxnSpPr>
        <xdr:cNvPr id="5" name="直線矢印コネクタ 9">
          <a:extLst>
            <a:ext uri="{FF2B5EF4-FFF2-40B4-BE49-F238E27FC236}">
              <a16:creationId xmlns:a16="http://schemas.microsoft.com/office/drawing/2014/main" id="{245495FF-7596-436D-A605-89198AF7ACA5}"/>
            </a:ext>
          </a:extLst>
        </xdr:cNvPr>
        <xdr:cNvCxnSpPr/>
      </xdr:nvCxnSpPr>
      <xdr:spPr>
        <a:xfrm flipH="1">
          <a:off x="24748671" y="6234793"/>
          <a:ext cx="960665" cy="166007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800097</xdr:colOff>
      <xdr:row>61</xdr:row>
      <xdr:rowOff>19050</xdr:rowOff>
    </xdr:from>
    <xdr:to>
      <xdr:col>18</xdr:col>
      <xdr:colOff>834737</xdr:colOff>
      <xdr:row>73</xdr:row>
      <xdr:rowOff>22167</xdr:rowOff>
    </xdr:to>
    <xdr:cxnSp macro="">
      <xdr:nvCxnSpPr>
        <xdr:cNvPr id="6" name="直線矢印コネクタ 24">
          <a:extLst>
            <a:ext uri="{FF2B5EF4-FFF2-40B4-BE49-F238E27FC236}">
              <a16:creationId xmlns:a16="http://schemas.microsoft.com/office/drawing/2014/main" id="{5411DB1B-B2B0-4FCE-A454-B036BAC9F3A4}"/>
            </a:ext>
          </a:extLst>
        </xdr:cNvPr>
        <xdr:cNvCxnSpPr/>
      </xdr:nvCxnSpPr>
      <xdr:spPr>
        <a:xfrm>
          <a:off x="16849722" y="17116425"/>
          <a:ext cx="0" cy="2774892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554179</xdr:colOff>
      <xdr:row>61</xdr:row>
      <xdr:rowOff>13855</xdr:rowOff>
    </xdr:from>
    <xdr:to>
      <xdr:col>12</xdr:col>
      <xdr:colOff>557644</xdr:colOff>
      <xdr:row>64</xdr:row>
      <xdr:rowOff>0</xdr:rowOff>
    </xdr:to>
    <xdr:cxnSp macro="">
      <xdr:nvCxnSpPr>
        <xdr:cNvPr id="7" name="直線矢印コネクタ 25">
          <a:extLst>
            <a:ext uri="{FF2B5EF4-FFF2-40B4-BE49-F238E27FC236}">
              <a16:creationId xmlns:a16="http://schemas.microsoft.com/office/drawing/2014/main" id="{137D9BF4-9982-43A9-98BC-FB9427601F4E}"/>
            </a:ext>
          </a:extLst>
        </xdr:cNvPr>
        <xdr:cNvCxnSpPr/>
      </xdr:nvCxnSpPr>
      <xdr:spPr>
        <a:xfrm>
          <a:off x="11317429" y="17111230"/>
          <a:ext cx="3465" cy="671945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0</xdr:colOff>
      <xdr:row>61</xdr:row>
      <xdr:rowOff>0</xdr:rowOff>
    </xdr:from>
    <xdr:to>
      <xdr:col>34</xdr:col>
      <xdr:colOff>739</xdr:colOff>
      <xdr:row>63</xdr:row>
      <xdr:rowOff>190500</xdr:rowOff>
    </xdr:to>
    <xdr:cxnSp macro="">
      <xdr:nvCxnSpPr>
        <xdr:cNvPr id="8" name="直線矢印コネクタ 26">
          <a:extLst>
            <a:ext uri="{FF2B5EF4-FFF2-40B4-BE49-F238E27FC236}">
              <a16:creationId xmlns:a16="http://schemas.microsoft.com/office/drawing/2014/main" id="{6DCB6E06-4578-48F1-8188-553CD1EA2A39}"/>
            </a:ext>
          </a:extLst>
        </xdr:cNvPr>
        <xdr:cNvCxnSpPr/>
      </xdr:nvCxnSpPr>
      <xdr:spPr>
        <a:xfrm flipH="1">
          <a:off x="28851225" y="17097375"/>
          <a:ext cx="739" cy="647700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367393</xdr:colOff>
      <xdr:row>61</xdr:row>
      <xdr:rowOff>24493</xdr:rowOff>
    </xdr:from>
    <xdr:to>
      <xdr:col>29</xdr:col>
      <xdr:colOff>353786</xdr:colOff>
      <xdr:row>64</xdr:row>
      <xdr:rowOff>0</xdr:rowOff>
    </xdr:to>
    <xdr:cxnSp macro="">
      <xdr:nvCxnSpPr>
        <xdr:cNvPr id="9" name="直線矢印コネクタ 27">
          <a:extLst>
            <a:ext uri="{FF2B5EF4-FFF2-40B4-BE49-F238E27FC236}">
              <a16:creationId xmlns:a16="http://schemas.microsoft.com/office/drawing/2014/main" id="{271BEA21-4EEF-4314-A152-946702435437}"/>
            </a:ext>
          </a:extLst>
        </xdr:cNvPr>
        <xdr:cNvCxnSpPr/>
      </xdr:nvCxnSpPr>
      <xdr:spPr>
        <a:xfrm flipH="1">
          <a:off x="23484568" y="17121868"/>
          <a:ext cx="2224768" cy="661307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800097</xdr:colOff>
      <xdr:row>19</xdr:row>
      <xdr:rowOff>19050</xdr:rowOff>
    </xdr:from>
    <xdr:to>
      <xdr:col>18</xdr:col>
      <xdr:colOff>834737</xdr:colOff>
      <xdr:row>31</xdr:row>
      <xdr:rowOff>22167</xdr:rowOff>
    </xdr:to>
    <xdr:cxnSp macro="">
      <xdr:nvCxnSpPr>
        <xdr:cNvPr id="2" name="直線矢印コネクタ 5">
          <a:extLst>
            <a:ext uri="{FF2B5EF4-FFF2-40B4-BE49-F238E27FC236}">
              <a16:creationId xmlns:a16="http://schemas.microsoft.com/office/drawing/2014/main" id="{F06AB03B-8B23-4F9A-B907-98F891AD0509}"/>
            </a:ext>
          </a:extLst>
        </xdr:cNvPr>
        <xdr:cNvCxnSpPr/>
      </xdr:nvCxnSpPr>
      <xdr:spPr>
        <a:xfrm>
          <a:off x="15925797" y="6229350"/>
          <a:ext cx="0" cy="2765367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554179</xdr:colOff>
      <xdr:row>19</xdr:row>
      <xdr:rowOff>13855</xdr:rowOff>
    </xdr:from>
    <xdr:to>
      <xdr:col>12</xdr:col>
      <xdr:colOff>557644</xdr:colOff>
      <xdr:row>22</xdr:row>
      <xdr:rowOff>0</xdr:rowOff>
    </xdr:to>
    <xdr:cxnSp macro="">
      <xdr:nvCxnSpPr>
        <xdr:cNvPr id="3" name="直線矢印コネクタ 6">
          <a:extLst>
            <a:ext uri="{FF2B5EF4-FFF2-40B4-BE49-F238E27FC236}">
              <a16:creationId xmlns:a16="http://schemas.microsoft.com/office/drawing/2014/main" id="{44D800DC-BF2C-47AA-84D6-7EB736715E49}"/>
            </a:ext>
          </a:extLst>
        </xdr:cNvPr>
        <xdr:cNvCxnSpPr/>
      </xdr:nvCxnSpPr>
      <xdr:spPr>
        <a:xfrm>
          <a:off x="11317429" y="6224155"/>
          <a:ext cx="3465" cy="662420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670210</xdr:colOff>
      <xdr:row>19</xdr:row>
      <xdr:rowOff>0</xdr:rowOff>
    </xdr:from>
    <xdr:to>
      <xdr:col>33</xdr:col>
      <xdr:colOff>685800</xdr:colOff>
      <xdr:row>19</xdr:row>
      <xdr:rowOff>203812</xdr:rowOff>
    </xdr:to>
    <xdr:cxnSp macro="">
      <xdr:nvCxnSpPr>
        <xdr:cNvPr id="4" name="直線矢印コネクタ 7">
          <a:extLst>
            <a:ext uri="{FF2B5EF4-FFF2-40B4-BE49-F238E27FC236}">
              <a16:creationId xmlns:a16="http://schemas.microsoft.com/office/drawing/2014/main" id="{1C090299-A34C-4AC3-A529-123BA4B69DA2}"/>
            </a:ext>
          </a:extLst>
        </xdr:cNvPr>
        <xdr:cNvCxnSpPr/>
      </xdr:nvCxnSpPr>
      <xdr:spPr>
        <a:xfrm flipH="1">
          <a:off x="27778360" y="6210300"/>
          <a:ext cx="15590" cy="194287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1012371</xdr:colOff>
      <xdr:row>19</xdr:row>
      <xdr:rowOff>24493</xdr:rowOff>
    </xdr:from>
    <xdr:to>
      <xdr:col>29</xdr:col>
      <xdr:colOff>353786</xdr:colOff>
      <xdr:row>20</xdr:row>
      <xdr:rowOff>0</xdr:rowOff>
    </xdr:to>
    <xdr:cxnSp macro="">
      <xdr:nvCxnSpPr>
        <xdr:cNvPr id="5" name="直線矢印コネクタ 9">
          <a:extLst>
            <a:ext uri="{FF2B5EF4-FFF2-40B4-BE49-F238E27FC236}">
              <a16:creationId xmlns:a16="http://schemas.microsoft.com/office/drawing/2014/main" id="{32C454A3-3B44-4BD1-9B18-322FAA1313A0}"/>
            </a:ext>
          </a:extLst>
        </xdr:cNvPr>
        <xdr:cNvCxnSpPr/>
      </xdr:nvCxnSpPr>
      <xdr:spPr>
        <a:xfrm flipH="1">
          <a:off x="23824746" y="6234793"/>
          <a:ext cx="960665" cy="166007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800097</xdr:colOff>
      <xdr:row>61</xdr:row>
      <xdr:rowOff>19050</xdr:rowOff>
    </xdr:from>
    <xdr:to>
      <xdr:col>18</xdr:col>
      <xdr:colOff>834737</xdr:colOff>
      <xdr:row>73</xdr:row>
      <xdr:rowOff>22167</xdr:rowOff>
    </xdr:to>
    <xdr:cxnSp macro="">
      <xdr:nvCxnSpPr>
        <xdr:cNvPr id="6" name="直線矢印コネクタ 24">
          <a:extLst>
            <a:ext uri="{FF2B5EF4-FFF2-40B4-BE49-F238E27FC236}">
              <a16:creationId xmlns:a16="http://schemas.microsoft.com/office/drawing/2014/main" id="{0D381E57-7D17-41C1-A331-0CA58ACC6F7E}"/>
            </a:ext>
          </a:extLst>
        </xdr:cNvPr>
        <xdr:cNvCxnSpPr/>
      </xdr:nvCxnSpPr>
      <xdr:spPr>
        <a:xfrm>
          <a:off x="15925797" y="17116425"/>
          <a:ext cx="0" cy="2774892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554179</xdr:colOff>
      <xdr:row>61</xdr:row>
      <xdr:rowOff>13855</xdr:rowOff>
    </xdr:from>
    <xdr:to>
      <xdr:col>12</xdr:col>
      <xdr:colOff>557644</xdr:colOff>
      <xdr:row>64</xdr:row>
      <xdr:rowOff>0</xdr:rowOff>
    </xdr:to>
    <xdr:cxnSp macro="">
      <xdr:nvCxnSpPr>
        <xdr:cNvPr id="7" name="直線矢印コネクタ 25">
          <a:extLst>
            <a:ext uri="{FF2B5EF4-FFF2-40B4-BE49-F238E27FC236}">
              <a16:creationId xmlns:a16="http://schemas.microsoft.com/office/drawing/2014/main" id="{CC9A79C0-A527-41E6-B0E0-1B77F09DB94E}"/>
            </a:ext>
          </a:extLst>
        </xdr:cNvPr>
        <xdr:cNvCxnSpPr/>
      </xdr:nvCxnSpPr>
      <xdr:spPr>
        <a:xfrm>
          <a:off x="11317429" y="17111230"/>
          <a:ext cx="3465" cy="671945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0</xdr:colOff>
      <xdr:row>61</xdr:row>
      <xdr:rowOff>0</xdr:rowOff>
    </xdr:from>
    <xdr:to>
      <xdr:col>34</xdr:col>
      <xdr:colOff>739</xdr:colOff>
      <xdr:row>63</xdr:row>
      <xdr:rowOff>190500</xdr:rowOff>
    </xdr:to>
    <xdr:cxnSp macro="">
      <xdr:nvCxnSpPr>
        <xdr:cNvPr id="8" name="直線矢印コネクタ 26">
          <a:extLst>
            <a:ext uri="{FF2B5EF4-FFF2-40B4-BE49-F238E27FC236}">
              <a16:creationId xmlns:a16="http://schemas.microsoft.com/office/drawing/2014/main" id="{13460DF2-B639-465A-8A3A-AAD326B41C83}"/>
            </a:ext>
          </a:extLst>
        </xdr:cNvPr>
        <xdr:cNvCxnSpPr/>
      </xdr:nvCxnSpPr>
      <xdr:spPr>
        <a:xfrm flipH="1">
          <a:off x="27860625" y="17097375"/>
          <a:ext cx="739" cy="647700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367393</xdr:colOff>
      <xdr:row>61</xdr:row>
      <xdr:rowOff>24493</xdr:rowOff>
    </xdr:from>
    <xdr:to>
      <xdr:col>29</xdr:col>
      <xdr:colOff>353786</xdr:colOff>
      <xdr:row>64</xdr:row>
      <xdr:rowOff>0</xdr:rowOff>
    </xdr:to>
    <xdr:cxnSp macro="">
      <xdr:nvCxnSpPr>
        <xdr:cNvPr id="9" name="直線矢印コネクタ 27">
          <a:extLst>
            <a:ext uri="{FF2B5EF4-FFF2-40B4-BE49-F238E27FC236}">
              <a16:creationId xmlns:a16="http://schemas.microsoft.com/office/drawing/2014/main" id="{FBCAC79F-9290-4482-BD06-7AB5FA51F229}"/>
            </a:ext>
          </a:extLst>
        </xdr:cNvPr>
        <xdr:cNvCxnSpPr/>
      </xdr:nvCxnSpPr>
      <xdr:spPr>
        <a:xfrm flipH="1">
          <a:off x="22560643" y="17121868"/>
          <a:ext cx="2224768" cy="661307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800097</xdr:colOff>
      <xdr:row>19</xdr:row>
      <xdr:rowOff>19050</xdr:rowOff>
    </xdr:from>
    <xdr:to>
      <xdr:col>18</xdr:col>
      <xdr:colOff>834737</xdr:colOff>
      <xdr:row>31</xdr:row>
      <xdr:rowOff>22167</xdr:rowOff>
    </xdr:to>
    <xdr:cxnSp macro="">
      <xdr:nvCxnSpPr>
        <xdr:cNvPr id="2" name="直線矢印コネクタ 5">
          <a:extLst>
            <a:ext uri="{FF2B5EF4-FFF2-40B4-BE49-F238E27FC236}">
              <a16:creationId xmlns:a16="http://schemas.microsoft.com/office/drawing/2014/main" id="{5C2CAC92-DBCA-4C2A-9316-914511A88282}"/>
            </a:ext>
          </a:extLst>
        </xdr:cNvPr>
        <xdr:cNvCxnSpPr/>
      </xdr:nvCxnSpPr>
      <xdr:spPr>
        <a:xfrm>
          <a:off x="13668372" y="6229350"/>
          <a:ext cx="0" cy="2803467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554179</xdr:colOff>
      <xdr:row>19</xdr:row>
      <xdr:rowOff>13855</xdr:rowOff>
    </xdr:from>
    <xdr:to>
      <xdr:col>12</xdr:col>
      <xdr:colOff>557644</xdr:colOff>
      <xdr:row>22</xdr:row>
      <xdr:rowOff>0</xdr:rowOff>
    </xdr:to>
    <xdr:cxnSp macro="">
      <xdr:nvCxnSpPr>
        <xdr:cNvPr id="3" name="直線矢印コネクタ 6">
          <a:extLst>
            <a:ext uri="{FF2B5EF4-FFF2-40B4-BE49-F238E27FC236}">
              <a16:creationId xmlns:a16="http://schemas.microsoft.com/office/drawing/2014/main" id="{175F0718-1F72-41F7-AAC9-B9ED2FB8CA0C}"/>
            </a:ext>
          </a:extLst>
        </xdr:cNvPr>
        <xdr:cNvCxnSpPr/>
      </xdr:nvCxnSpPr>
      <xdr:spPr>
        <a:xfrm>
          <a:off x="9955354" y="6224155"/>
          <a:ext cx="3465" cy="700520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670210</xdr:colOff>
      <xdr:row>19</xdr:row>
      <xdr:rowOff>0</xdr:rowOff>
    </xdr:from>
    <xdr:to>
      <xdr:col>33</xdr:col>
      <xdr:colOff>685800</xdr:colOff>
      <xdr:row>19</xdr:row>
      <xdr:rowOff>203812</xdr:rowOff>
    </xdr:to>
    <xdr:cxnSp macro="">
      <xdr:nvCxnSpPr>
        <xdr:cNvPr id="4" name="直線矢印コネクタ 7">
          <a:extLst>
            <a:ext uri="{FF2B5EF4-FFF2-40B4-BE49-F238E27FC236}">
              <a16:creationId xmlns:a16="http://schemas.microsoft.com/office/drawing/2014/main" id="{C8EFB98E-4093-4A43-853D-E606AE568F1C}"/>
            </a:ext>
          </a:extLst>
        </xdr:cNvPr>
        <xdr:cNvCxnSpPr/>
      </xdr:nvCxnSpPr>
      <xdr:spPr>
        <a:xfrm flipH="1">
          <a:off x="23568310" y="6210300"/>
          <a:ext cx="0" cy="203812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1012371</xdr:colOff>
      <xdr:row>19</xdr:row>
      <xdr:rowOff>24493</xdr:rowOff>
    </xdr:from>
    <xdr:to>
      <xdr:col>29</xdr:col>
      <xdr:colOff>353786</xdr:colOff>
      <xdr:row>20</xdr:row>
      <xdr:rowOff>0</xdr:rowOff>
    </xdr:to>
    <xdr:cxnSp macro="">
      <xdr:nvCxnSpPr>
        <xdr:cNvPr id="5" name="直線矢印コネクタ 9">
          <a:extLst>
            <a:ext uri="{FF2B5EF4-FFF2-40B4-BE49-F238E27FC236}">
              <a16:creationId xmlns:a16="http://schemas.microsoft.com/office/drawing/2014/main" id="{C2D43488-200F-46B5-BDB7-8F8D109701EA}"/>
            </a:ext>
          </a:extLst>
        </xdr:cNvPr>
        <xdr:cNvCxnSpPr/>
      </xdr:nvCxnSpPr>
      <xdr:spPr>
        <a:xfrm flipH="1">
          <a:off x="19909971" y="6234793"/>
          <a:ext cx="960665" cy="204107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800097</xdr:colOff>
      <xdr:row>61</xdr:row>
      <xdr:rowOff>19050</xdr:rowOff>
    </xdr:from>
    <xdr:to>
      <xdr:col>18</xdr:col>
      <xdr:colOff>834737</xdr:colOff>
      <xdr:row>73</xdr:row>
      <xdr:rowOff>22167</xdr:rowOff>
    </xdr:to>
    <xdr:cxnSp macro="">
      <xdr:nvCxnSpPr>
        <xdr:cNvPr id="6" name="直線矢印コネクタ 24">
          <a:extLst>
            <a:ext uri="{FF2B5EF4-FFF2-40B4-BE49-F238E27FC236}">
              <a16:creationId xmlns:a16="http://schemas.microsoft.com/office/drawing/2014/main" id="{2A12B11E-A39D-4235-AAC0-35C924CF20ED}"/>
            </a:ext>
          </a:extLst>
        </xdr:cNvPr>
        <xdr:cNvCxnSpPr/>
      </xdr:nvCxnSpPr>
      <xdr:spPr>
        <a:xfrm>
          <a:off x="13668372" y="17202150"/>
          <a:ext cx="0" cy="2803467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554179</xdr:colOff>
      <xdr:row>61</xdr:row>
      <xdr:rowOff>13855</xdr:rowOff>
    </xdr:from>
    <xdr:to>
      <xdr:col>12</xdr:col>
      <xdr:colOff>557644</xdr:colOff>
      <xdr:row>64</xdr:row>
      <xdr:rowOff>0</xdr:rowOff>
    </xdr:to>
    <xdr:cxnSp macro="">
      <xdr:nvCxnSpPr>
        <xdr:cNvPr id="7" name="直線矢印コネクタ 25">
          <a:extLst>
            <a:ext uri="{FF2B5EF4-FFF2-40B4-BE49-F238E27FC236}">
              <a16:creationId xmlns:a16="http://schemas.microsoft.com/office/drawing/2014/main" id="{91922710-744E-42B5-9381-45A1CE57D73C}"/>
            </a:ext>
          </a:extLst>
        </xdr:cNvPr>
        <xdr:cNvCxnSpPr/>
      </xdr:nvCxnSpPr>
      <xdr:spPr>
        <a:xfrm>
          <a:off x="9955354" y="17196955"/>
          <a:ext cx="3465" cy="700520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670210</xdr:colOff>
      <xdr:row>61</xdr:row>
      <xdr:rowOff>0</xdr:rowOff>
    </xdr:from>
    <xdr:to>
      <xdr:col>33</xdr:col>
      <xdr:colOff>685800</xdr:colOff>
      <xdr:row>61</xdr:row>
      <xdr:rowOff>203812</xdr:rowOff>
    </xdr:to>
    <xdr:cxnSp macro="">
      <xdr:nvCxnSpPr>
        <xdr:cNvPr id="8" name="直線矢印コネクタ 26">
          <a:extLst>
            <a:ext uri="{FF2B5EF4-FFF2-40B4-BE49-F238E27FC236}">
              <a16:creationId xmlns:a16="http://schemas.microsoft.com/office/drawing/2014/main" id="{CD4B8175-C2CB-4DAC-B932-2B909CD64109}"/>
            </a:ext>
          </a:extLst>
        </xdr:cNvPr>
        <xdr:cNvCxnSpPr/>
      </xdr:nvCxnSpPr>
      <xdr:spPr>
        <a:xfrm flipH="1">
          <a:off x="23568310" y="17183100"/>
          <a:ext cx="0" cy="203812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1012371</xdr:colOff>
      <xdr:row>61</xdr:row>
      <xdr:rowOff>24493</xdr:rowOff>
    </xdr:from>
    <xdr:to>
      <xdr:col>29</xdr:col>
      <xdr:colOff>353786</xdr:colOff>
      <xdr:row>62</xdr:row>
      <xdr:rowOff>0</xdr:rowOff>
    </xdr:to>
    <xdr:cxnSp macro="">
      <xdr:nvCxnSpPr>
        <xdr:cNvPr id="9" name="直線矢印コネクタ 27">
          <a:extLst>
            <a:ext uri="{FF2B5EF4-FFF2-40B4-BE49-F238E27FC236}">
              <a16:creationId xmlns:a16="http://schemas.microsoft.com/office/drawing/2014/main" id="{ABF12829-D80A-4117-B838-6CB9B2871659}"/>
            </a:ext>
          </a:extLst>
        </xdr:cNvPr>
        <xdr:cNvCxnSpPr/>
      </xdr:nvCxnSpPr>
      <xdr:spPr>
        <a:xfrm flipH="1">
          <a:off x="19909971" y="17207593"/>
          <a:ext cx="960665" cy="204107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1012371</xdr:colOff>
      <xdr:row>61</xdr:row>
      <xdr:rowOff>24493</xdr:rowOff>
    </xdr:from>
    <xdr:to>
      <xdr:col>29</xdr:col>
      <xdr:colOff>353786</xdr:colOff>
      <xdr:row>62</xdr:row>
      <xdr:rowOff>0</xdr:rowOff>
    </xdr:to>
    <xdr:cxnSp macro="">
      <xdr:nvCxnSpPr>
        <xdr:cNvPr id="10" name="直線矢印コネクタ 27">
          <a:extLst>
            <a:ext uri="{FF2B5EF4-FFF2-40B4-BE49-F238E27FC236}">
              <a16:creationId xmlns:a16="http://schemas.microsoft.com/office/drawing/2014/main" id="{8C83B07C-142C-42CF-B850-C4AF27FF0FD4}"/>
            </a:ext>
          </a:extLst>
        </xdr:cNvPr>
        <xdr:cNvCxnSpPr/>
      </xdr:nvCxnSpPr>
      <xdr:spPr>
        <a:xfrm flipH="1">
          <a:off x="19909971" y="17207593"/>
          <a:ext cx="960665" cy="204107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1012371</xdr:colOff>
      <xdr:row>61</xdr:row>
      <xdr:rowOff>24493</xdr:rowOff>
    </xdr:from>
    <xdr:to>
      <xdr:col>29</xdr:col>
      <xdr:colOff>353786</xdr:colOff>
      <xdr:row>62</xdr:row>
      <xdr:rowOff>0</xdr:rowOff>
    </xdr:to>
    <xdr:cxnSp macro="">
      <xdr:nvCxnSpPr>
        <xdr:cNvPr id="11" name="直線矢印コネクタ 27">
          <a:extLst>
            <a:ext uri="{FF2B5EF4-FFF2-40B4-BE49-F238E27FC236}">
              <a16:creationId xmlns:a16="http://schemas.microsoft.com/office/drawing/2014/main" id="{B667CFEB-DDA9-4656-A2AA-5DE6546E773D}"/>
            </a:ext>
          </a:extLst>
        </xdr:cNvPr>
        <xdr:cNvCxnSpPr/>
      </xdr:nvCxnSpPr>
      <xdr:spPr>
        <a:xfrm flipH="1">
          <a:off x="19909971" y="17207593"/>
          <a:ext cx="960665" cy="204107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1012371</xdr:colOff>
      <xdr:row>61</xdr:row>
      <xdr:rowOff>24493</xdr:rowOff>
    </xdr:from>
    <xdr:to>
      <xdr:col>29</xdr:col>
      <xdr:colOff>353786</xdr:colOff>
      <xdr:row>62</xdr:row>
      <xdr:rowOff>0</xdr:rowOff>
    </xdr:to>
    <xdr:cxnSp macro="">
      <xdr:nvCxnSpPr>
        <xdr:cNvPr id="12" name="直線矢印コネクタ 27">
          <a:extLst>
            <a:ext uri="{FF2B5EF4-FFF2-40B4-BE49-F238E27FC236}">
              <a16:creationId xmlns:a16="http://schemas.microsoft.com/office/drawing/2014/main" id="{A652602B-60AD-4367-9729-11F57E709B9E}"/>
            </a:ext>
          </a:extLst>
        </xdr:cNvPr>
        <xdr:cNvCxnSpPr/>
      </xdr:nvCxnSpPr>
      <xdr:spPr>
        <a:xfrm flipH="1">
          <a:off x="19909971" y="17207593"/>
          <a:ext cx="960665" cy="204107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1316181</xdr:colOff>
      <xdr:row>13</xdr:row>
      <xdr:rowOff>244187</xdr:rowOff>
    </xdr:from>
    <xdr:to>
      <xdr:col>18</xdr:col>
      <xdr:colOff>1319642</xdr:colOff>
      <xdr:row>16</xdr:row>
      <xdr:rowOff>207819</xdr:rowOff>
    </xdr:to>
    <xdr:cxnSp macro="">
      <xdr:nvCxnSpPr>
        <xdr:cNvPr id="2" name="直線矢印コネクタ 5">
          <a:extLst>
            <a:ext uri="{FF2B5EF4-FFF2-40B4-BE49-F238E27FC236}">
              <a16:creationId xmlns:a16="http://schemas.microsoft.com/office/drawing/2014/main" id="{B9D9F7FE-1372-4B41-9644-0EFA8B005B69}"/>
            </a:ext>
          </a:extLst>
        </xdr:cNvPr>
        <xdr:cNvCxnSpPr/>
      </xdr:nvCxnSpPr>
      <xdr:spPr>
        <a:xfrm flipH="1">
          <a:off x="16260906" y="4673312"/>
          <a:ext cx="3461" cy="649432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554182</xdr:colOff>
      <xdr:row>15</xdr:row>
      <xdr:rowOff>51955</xdr:rowOff>
    </xdr:from>
    <xdr:to>
      <xdr:col>12</xdr:col>
      <xdr:colOff>557644</xdr:colOff>
      <xdr:row>17</xdr:row>
      <xdr:rowOff>0</xdr:rowOff>
    </xdr:to>
    <xdr:cxnSp macro="">
      <xdr:nvCxnSpPr>
        <xdr:cNvPr id="3" name="直線矢印コネクタ 6">
          <a:extLst>
            <a:ext uri="{FF2B5EF4-FFF2-40B4-BE49-F238E27FC236}">
              <a16:creationId xmlns:a16="http://schemas.microsoft.com/office/drawing/2014/main" id="{FB40AC0A-2B6A-4378-97F4-14A4A3598B49}"/>
            </a:ext>
          </a:extLst>
        </xdr:cNvPr>
        <xdr:cNvCxnSpPr/>
      </xdr:nvCxnSpPr>
      <xdr:spPr>
        <a:xfrm>
          <a:off x="10771909" y="4935682"/>
          <a:ext cx="3462" cy="398318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739</xdr:colOff>
      <xdr:row>14</xdr:row>
      <xdr:rowOff>0</xdr:rowOff>
    </xdr:from>
    <xdr:to>
      <xdr:col>34</xdr:col>
      <xdr:colOff>27215</xdr:colOff>
      <xdr:row>17</xdr:row>
      <xdr:rowOff>0</xdr:rowOff>
    </xdr:to>
    <xdr:cxnSp macro="">
      <xdr:nvCxnSpPr>
        <xdr:cNvPr id="4" name="直線矢印コネクタ 7">
          <a:extLst>
            <a:ext uri="{FF2B5EF4-FFF2-40B4-BE49-F238E27FC236}">
              <a16:creationId xmlns:a16="http://schemas.microsoft.com/office/drawing/2014/main" id="{D0D1DFB1-5E58-494B-8625-095DB25D6C55}"/>
            </a:ext>
          </a:extLst>
        </xdr:cNvPr>
        <xdr:cNvCxnSpPr/>
      </xdr:nvCxnSpPr>
      <xdr:spPr>
        <a:xfrm>
          <a:off x="25965889" y="4695825"/>
          <a:ext cx="26476" cy="647700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312964</xdr:colOff>
      <xdr:row>14</xdr:row>
      <xdr:rowOff>15875</xdr:rowOff>
    </xdr:from>
    <xdr:to>
      <xdr:col>29</xdr:col>
      <xdr:colOff>301625</xdr:colOff>
      <xdr:row>17</xdr:row>
      <xdr:rowOff>27215</xdr:rowOff>
    </xdr:to>
    <xdr:cxnSp macro="">
      <xdr:nvCxnSpPr>
        <xdr:cNvPr id="5" name="直線矢印コネクタ 9">
          <a:extLst>
            <a:ext uri="{FF2B5EF4-FFF2-40B4-BE49-F238E27FC236}">
              <a16:creationId xmlns:a16="http://schemas.microsoft.com/office/drawing/2014/main" id="{AA8C6940-356B-4739-B8E8-013EBAC0DD1B}"/>
            </a:ext>
          </a:extLst>
        </xdr:cNvPr>
        <xdr:cNvCxnSpPr/>
      </xdr:nvCxnSpPr>
      <xdr:spPr>
        <a:xfrm flipH="1">
          <a:off x="20982214" y="4711700"/>
          <a:ext cx="1893661" cy="659040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698497</xdr:colOff>
      <xdr:row>52</xdr:row>
      <xdr:rowOff>19050</xdr:rowOff>
    </xdr:from>
    <xdr:to>
      <xdr:col>18</xdr:col>
      <xdr:colOff>714375</xdr:colOff>
      <xdr:row>54</xdr:row>
      <xdr:rowOff>158750</xdr:rowOff>
    </xdr:to>
    <xdr:cxnSp macro="">
      <xdr:nvCxnSpPr>
        <xdr:cNvPr id="6" name="直線矢印コネクタ 24">
          <a:extLst>
            <a:ext uri="{FF2B5EF4-FFF2-40B4-BE49-F238E27FC236}">
              <a16:creationId xmlns:a16="http://schemas.microsoft.com/office/drawing/2014/main" id="{8B7E696A-F1B8-430B-880A-1DB52122F52A}"/>
            </a:ext>
          </a:extLst>
        </xdr:cNvPr>
        <xdr:cNvCxnSpPr/>
      </xdr:nvCxnSpPr>
      <xdr:spPr>
        <a:xfrm>
          <a:off x="15643222" y="14297025"/>
          <a:ext cx="15878" cy="596900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554179</xdr:colOff>
      <xdr:row>52</xdr:row>
      <xdr:rowOff>13855</xdr:rowOff>
    </xdr:from>
    <xdr:to>
      <xdr:col>12</xdr:col>
      <xdr:colOff>557644</xdr:colOff>
      <xdr:row>55</xdr:row>
      <xdr:rowOff>0</xdr:rowOff>
    </xdr:to>
    <xdr:cxnSp macro="">
      <xdr:nvCxnSpPr>
        <xdr:cNvPr id="7" name="直線矢印コネクタ 25">
          <a:extLst>
            <a:ext uri="{FF2B5EF4-FFF2-40B4-BE49-F238E27FC236}">
              <a16:creationId xmlns:a16="http://schemas.microsoft.com/office/drawing/2014/main" id="{F708D33E-6BFC-45EA-9D9E-7A374F5DACBB}"/>
            </a:ext>
          </a:extLst>
        </xdr:cNvPr>
        <xdr:cNvCxnSpPr/>
      </xdr:nvCxnSpPr>
      <xdr:spPr>
        <a:xfrm>
          <a:off x="10660204" y="14291830"/>
          <a:ext cx="3465" cy="633845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244929</xdr:colOff>
      <xdr:row>52</xdr:row>
      <xdr:rowOff>0</xdr:rowOff>
    </xdr:from>
    <xdr:to>
      <xdr:col>33</xdr:col>
      <xdr:colOff>245668</xdr:colOff>
      <xdr:row>55</xdr:row>
      <xdr:rowOff>40822</xdr:rowOff>
    </xdr:to>
    <xdr:cxnSp macro="">
      <xdr:nvCxnSpPr>
        <xdr:cNvPr id="8" name="直線矢印コネクタ 26">
          <a:extLst>
            <a:ext uri="{FF2B5EF4-FFF2-40B4-BE49-F238E27FC236}">
              <a16:creationId xmlns:a16="http://schemas.microsoft.com/office/drawing/2014/main" id="{378833B7-F596-4359-B5E0-B7563E1C5FD2}"/>
            </a:ext>
          </a:extLst>
        </xdr:cNvPr>
        <xdr:cNvCxnSpPr/>
      </xdr:nvCxnSpPr>
      <xdr:spPr>
        <a:xfrm flipH="1">
          <a:off x="25600479" y="14277975"/>
          <a:ext cx="739" cy="688522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13608</xdr:colOff>
      <xdr:row>15</xdr:row>
      <xdr:rowOff>233384</xdr:rowOff>
    </xdr:from>
    <xdr:to>
      <xdr:col>6</xdr:col>
      <xdr:colOff>13607</xdr:colOff>
      <xdr:row>17</xdr:row>
      <xdr:rowOff>15669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5700051F-AEAA-479A-A48C-A2EA49B74197}"/>
            </a:ext>
          </a:extLst>
        </xdr:cNvPr>
        <xdr:cNvSpPr/>
      </xdr:nvSpPr>
      <xdr:spPr>
        <a:xfrm>
          <a:off x="3394983" y="5110184"/>
          <a:ext cx="1952624" cy="2490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808182</xdr:colOff>
      <xdr:row>16</xdr:row>
      <xdr:rowOff>107209</xdr:rowOff>
    </xdr:from>
    <xdr:to>
      <xdr:col>4</xdr:col>
      <xdr:colOff>13608</xdr:colOff>
      <xdr:row>17</xdr:row>
      <xdr:rowOff>127000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4D6D21B0-3D40-4D24-8C2C-4A2F75758FB3}"/>
            </a:ext>
          </a:extLst>
        </xdr:cNvPr>
        <xdr:cNvCxnSpPr>
          <a:endCxn id="9" idx="1"/>
        </xdr:cNvCxnSpPr>
      </xdr:nvCxnSpPr>
      <xdr:spPr>
        <a:xfrm flipV="1">
          <a:off x="2294082" y="5222134"/>
          <a:ext cx="1100901" cy="24839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571500</xdr:colOff>
      <xdr:row>52</xdr:row>
      <xdr:rowOff>24493</xdr:rowOff>
    </xdr:from>
    <xdr:to>
      <xdr:col>29</xdr:col>
      <xdr:colOff>353786</xdr:colOff>
      <xdr:row>54</xdr:row>
      <xdr:rowOff>190500</xdr:rowOff>
    </xdr:to>
    <xdr:cxnSp macro="">
      <xdr:nvCxnSpPr>
        <xdr:cNvPr id="11" name="直線矢印コネクタ 27">
          <a:extLst>
            <a:ext uri="{FF2B5EF4-FFF2-40B4-BE49-F238E27FC236}">
              <a16:creationId xmlns:a16="http://schemas.microsoft.com/office/drawing/2014/main" id="{EAD06314-B2F3-4371-AB92-6199C7678E01}"/>
            </a:ext>
          </a:extLst>
        </xdr:cNvPr>
        <xdr:cNvCxnSpPr/>
      </xdr:nvCxnSpPr>
      <xdr:spPr>
        <a:xfrm flipH="1">
          <a:off x="21240750" y="14302468"/>
          <a:ext cx="1687286" cy="623207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1316181</xdr:colOff>
      <xdr:row>13</xdr:row>
      <xdr:rowOff>244187</xdr:rowOff>
    </xdr:from>
    <xdr:to>
      <xdr:col>18</xdr:col>
      <xdr:colOff>1319642</xdr:colOff>
      <xdr:row>16</xdr:row>
      <xdr:rowOff>207819</xdr:rowOff>
    </xdr:to>
    <xdr:cxnSp macro="">
      <xdr:nvCxnSpPr>
        <xdr:cNvPr id="2" name="直線矢印コネクタ 5">
          <a:extLst>
            <a:ext uri="{FF2B5EF4-FFF2-40B4-BE49-F238E27FC236}">
              <a16:creationId xmlns:a16="http://schemas.microsoft.com/office/drawing/2014/main" id="{69BBE8D2-BEB7-4E43-8DFC-C1AA355768FA}"/>
            </a:ext>
          </a:extLst>
        </xdr:cNvPr>
        <xdr:cNvCxnSpPr/>
      </xdr:nvCxnSpPr>
      <xdr:spPr>
        <a:xfrm flipH="1">
          <a:off x="16244454" y="4660323"/>
          <a:ext cx="3461" cy="639041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318322</xdr:colOff>
      <xdr:row>14</xdr:row>
      <xdr:rowOff>17030</xdr:rowOff>
    </xdr:from>
    <xdr:to>
      <xdr:col>12</xdr:col>
      <xdr:colOff>324962</xdr:colOff>
      <xdr:row>17</xdr:row>
      <xdr:rowOff>0</xdr:rowOff>
    </xdr:to>
    <xdr:cxnSp macro="">
      <xdr:nvCxnSpPr>
        <xdr:cNvPr id="3" name="直線矢印コネクタ 6">
          <a:extLst>
            <a:ext uri="{FF2B5EF4-FFF2-40B4-BE49-F238E27FC236}">
              <a16:creationId xmlns:a16="http://schemas.microsoft.com/office/drawing/2014/main" id="{A3F85AF9-AE54-4324-921E-9A21E627B503}"/>
            </a:ext>
          </a:extLst>
        </xdr:cNvPr>
        <xdr:cNvCxnSpPr/>
      </xdr:nvCxnSpPr>
      <xdr:spPr>
        <a:xfrm>
          <a:off x="10605322" y="4716030"/>
          <a:ext cx="6640" cy="627041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739</xdr:colOff>
      <xdr:row>14</xdr:row>
      <xdr:rowOff>0</xdr:rowOff>
    </xdr:from>
    <xdr:to>
      <xdr:col>34</xdr:col>
      <xdr:colOff>27215</xdr:colOff>
      <xdr:row>17</xdr:row>
      <xdr:rowOff>0</xdr:rowOff>
    </xdr:to>
    <xdr:cxnSp macro="">
      <xdr:nvCxnSpPr>
        <xdr:cNvPr id="4" name="直線矢印コネクタ 7">
          <a:extLst>
            <a:ext uri="{FF2B5EF4-FFF2-40B4-BE49-F238E27FC236}">
              <a16:creationId xmlns:a16="http://schemas.microsoft.com/office/drawing/2014/main" id="{EF808567-097F-4D37-A500-337A6DC583AC}"/>
            </a:ext>
          </a:extLst>
        </xdr:cNvPr>
        <xdr:cNvCxnSpPr/>
      </xdr:nvCxnSpPr>
      <xdr:spPr>
        <a:xfrm>
          <a:off x="23870389" y="4695825"/>
          <a:ext cx="26476" cy="647700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312964</xdr:colOff>
      <xdr:row>14</xdr:row>
      <xdr:rowOff>15875</xdr:rowOff>
    </xdr:from>
    <xdr:to>
      <xdr:col>29</xdr:col>
      <xdr:colOff>301625</xdr:colOff>
      <xdr:row>17</xdr:row>
      <xdr:rowOff>27215</xdr:rowOff>
    </xdr:to>
    <xdr:cxnSp macro="">
      <xdr:nvCxnSpPr>
        <xdr:cNvPr id="5" name="直線矢印コネクタ 9">
          <a:extLst>
            <a:ext uri="{FF2B5EF4-FFF2-40B4-BE49-F238E27FC236}">
              <a16:creationId xmlns:a16="http://schemas.microsoft.com/office/drawing/2014/main" id="{50A118CD-B82D-4AC7-9354-C9941CE4EF57}"/>
            </a:ext>
          </a:extLst>
        </xdr:cNvPr>
        <xdr:cNvCxnSpPr/>
      </xdr:nvCxnSpPr>
      <xdr:spPr>
        <a:xfrm flipH="1">
          <a:off x="18886714" y="4711700"/>
          <a:ext cx="1893661" cy="659040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698497</xdr:colOff>
      <xdr:row>52</xdr:row>
      <xdr:rowOff>19050</xdr:rowOff>
    </xdr:from>
    <xdr:to>
      <xdr:col>18</xdr:col>
      <xdr:colOff>714375</xdr:colOff>
      <xdr:row>54</xdr:row>
      <xdr:rowOff>158750</xdr:rowOff>
    </xdr:to>
    <xdr:cxnSp macro="">
      <xdr:nvCxnSpPr>
        <xdr:cNvPr id="6" name="直線矢印コネクタ 24">
          <a:extLst>
            <a:ext uri="{FF2B5EF4-FFF2-40B4-BE49-F238E27FC236}">
              <a16:creationId xmlns:a16="http://schemas.microsoft.com/office/drawing/2014/main" id="{15315495-3337-4CF8-B9C4-5E9BD7DB0887}"/>
            </a:ext>
          </a:extLst>
        </xdr:cNvPr>
        <xdr:cNvCxnSpPr/>
      </xdr:nvCxnSpPr>
      <xdr:spPr>
        <a:xfrm>
          <a:off x="15351122" y="14131925"/>
          <a:ext cx="15878" cy="584200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554179</xdr:colOff>
      <xdr:row>52</xdr:row>
      <xdr:rowOff>13855</xdr:rowOff>
    </xdr:from>
    <xdr:to>
      <xdr:col>12</xdr:col>
      <xdr:colOff>557644</xdr:colOff>
      <xdr:row>55</xdr:row>
      <xdr:rowOff>0</xdr:rowOff>
    </xdr:to>
    <xdr:cxnSp macro="">
      <xdr:nvCxnSpPr>
        <xdr:cNvPr id="7" name="直線矢印コネクタ 25">
          <a:extLst>
            <a:ext uri="{FF2B5EF4-FFF2-40B4-BE49-F238E27FC236}">
              <a16:creationId xmlns:a16="http://schemas.microsoft.com/office/drawing/2014/main" id="{02B10D11-4911-4689-B939-58BF36A8DB30}"/>
            </a:ext>
          </a:extLst>
        </xdr:cNvPr>
        <xdr:cNvCxnSpPr/>
      </xdr:nvCxnSpPr>
      <xdr:spPr>
        <a:xfrm>
          <a:off x="10383979" y="14291830"/>
          <a:ext cx="3465" cy="671945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244929</xdr:colOff>
      <xdr:row>52</xdr:row>
      <xdr:rowOff>0</xdr:rowOff>
    </xdr:from>
    <xdr:to>
      <xdr:col>33</xdr:col>
      <xdr:colOff>245668</xdr:colOff>
      <xdr:row>55</xdr:row>
      <xdr:rowOff>40822</xdr:rowOff>
    </xdr:to>
    <xdr:cxnSp macro="">
      <xdr:nvCxnSpPr>
        <xdr:cNvPr id="8" name="直線矢印コネクタ 26">
          <a:extLst>
            <a:ext uri="{FF2B5EF4-FFF2-40B4-BE49-F238E27FC236}">
              <a16:creationId xmlns:a16="http://schemas.microsoft.com/office/drawing/2014/main" id="{D4137D80-7128-4603-AF24-72A4101052E7}"/>
            </a:ext>
          </a:extLst>
        </xdr:cNvPr>
        <xdr:cNvCxnSpPr/>
      </xdr:nvCxnSpPr>
      <xdr:spPr>
        <a:xfrm flipH="1">
          <a:off x="23504979" y="14277975"/>
          <a:ext cx="739" cy="726622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13608</xdr:colOff>
      <xdr:row>15</xdr:row>
      <xdr:rowOff>233384</xdr:rowOff>
    </xdr:from>
    <xdr:to>
      <xdr:col>6</xdr:col>
      <xdr:colOff>13607</xdr:colOff>
      <xdr:row>17</xdr:row>
      <xdr:rowOff>15669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20495601-88EE-437A-884A-3E4F92758B7E}"/>
            </a:ext>
          </a:extLst>
        </xdr:cNvPr>
        <xdr:cNvSpPr/>
      </xdr:nvSpPr>
      <xdr:spPr>
        <a:xfrm>
          <a:off x="3394983" y="5110184"/>
          <a:ext cx="1952624" cy="2490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808182</xdr:colOff>
      <xdr:row>16</xdr:row>
      <xdr:rowOff>107209</xdr:rowOff>
    </xdr:from>
    <xdr:to>
      <xdr:col>4</xdr:col>
      <xdr:colOff>13608</xdr:colOff>
      <xdr:row>17</xdr:row>
      <xdr:rowOff>127000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10B44D63-F60C-453F-9237-8E583F9D0D3C}"/>
            </a:ext>
          </a:extLst>
        </xdr:cNvPr>
        <xdr:cNvCxnSpPr>
          <a:endCxn id="9" idx="1"/>
        </xdr:cNvCxnSpPr>
      </xdr:nvCxnSpPr>
      <xdr:spPr>
        <a:xfrm flipV="1">
          <a:off x="2294082" y="5222134"/>
          <a:ext cx="1100901" cy="24839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571500</xdr:colOff>
      <xdr:row>52</xdr:row>
      <xdr:rowOff>24493</xdr:rowOff>
    </xdr:from>
    <xdr:to>
      <xdr:col>29</xdr:col>
      <xdr:colOff>353786</xdr:colOff>
      <xdr:row>54</xdr:row>
      <xdr:rowOff>190500</xdr:rowOff>
    </xdr:to>
    <xdr:cxnSp macro="">
      <xdr:nvCxnSpPr>
        <xdr:cNvPr id="11" name="直線矢印コネクタ 27">
          <a:extLst>
            <a:ext uri="{FF2B5EF4-FFF2-40B4-BE49-F238E27FC236}">
              <a16:creationId xmlns:a16="http://schemas.microsoft.com/office/drawing/2014/main" id="{D70204A0-AB95-44C3-A6EF-CDECB9578037}"/>
            </a:ext>
          </a:extLst>
        </xdr:cNvPr>
        <xdr:cNvCxnSpPr/>
      </xdr:nvCxnSpPr>
      <xdr:spPr>
        <a:xfrm flipH="1">
          <a:off x="19145250" y="14302468"/>
          <a:ext cx="1687286" cy="623207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800097</xdr:colOff>
      <xdr:row>19</xdr:row>
      <xdr:rowOff>19050</xdr:rowOff>
    </xdr:from>
    <xdr:to>
      <xdr:col>18</xdr:col>
      <xdr:colOff>834737</xdr:colOff>
      <xdr:row>31</xdr:row>
      <xdr:rowOff>22167</xdr:rowOff>
    </xdr:to>
    <xdr:cxnSp macro="">
      <xdr:nvCxnSpPr>
        <xdr:cNvPr id="2" name="直線矢印コネクタ 5">
          <a:extLst>
            <a:ext uri="{FF2B5EF4-FFF2-40B4-BE49-F238E27FC236}">
              <a16:creationId xmlns:a16="http://schemas.microsoft.com/office/drawing/2014/main" id="{59EE56F9-37B6-4F5B-817C-E7083434FB3D}"/>
            </a:ext>
          </a:extLst>
        </xdr:cNvPr>
        <xdr:cNvCxnSpPr/>
      </xdr:nvCxnSpPr>
      <xdr:spPr>
        <a:xfrm>
          <a:off x="13252447" y="6172200"/>
          <a:ext cx="2890" cy="2663767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554179</xdr:colOff>
      <xdr:row>19</xdr:row>
      <xdr:rowOff>13855</xdr:rowOff>
    </xdr:from>
    <xdr:to>
      <xdr:col>12</xdr:col>
      <xdr:colOff>557644</xdr:colOff>
      <xdr:row>22</xdr:row>
      <xdr:rowOff>0</xdr:rowOff>
    </xdr:to>
    <xdr:cxnSp macro="">
      <xdr:nvCxnSpPr>
        <xdr:cNvPr id="3" name="直線矢印コネクタ 6">
          <a:extLst>
            <a:ext uri="{FF2B5EF4-FFF2-40B4-BE49-F238E27FC236}">
              <a16:creationId xmlns:a16="http://schemas.microsoft.com/office/drawing/2014/main" id="{CEC35E10-BDDB-4B5C-9378-2D2CA4D2B67D}"/>
            </a:ext>
          </a:extLst>
        </xdr:cNvPr>
        <xdr:cNvCxnSpPr/>
      </xdr:nvCxnSpPr>
      <xdr:spPr>
        <a:xfrm>
          <a:off x="9412429" y="6167005"/>
          <a:ext cx="3465" cy="614795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670210</xdr:colOff>
      <xdr:row>19</xdr:row>
      <xdr:rowOff>0</xdr:rowOff>
    </xdr:from>
    <xdr:to>
      <xdr:col>33</xdr:col>
      <xdr:colOff>685800</xdr:colOff>
      <xdr:row>19</xdr:row>
      <xdr:rowOff>203812</xdr:rowOff>
    </xdr:to>
    <xdr:cxnSp macro="">
      <xdr:nvCxnSpPr>
        <xdr:cNvPr id="4" name="直線矢印コネクタ 7">
          <a:extLst>
            <a:ext uri="{FF2B5EF4-FFF2-40B4-BE49-F238E27FC236}">
              <a16:creationId xmlns:a16="http://schemas.microsoft.com/office/drawing/2014/main" id="{FC364501-EAC4-4378-B2AF-EE5EA57E7F3A}"/>
            </a:ext>
          </a:extLst>
        </xdr:cNvPr>
        <xdr:cNvCxnSpPr/>
      </xdr:nvCxnSpPr>
      <xdr:spPr>
        <a:xfrm flipH="1">
          <a:off x="22660260" y="6153150"/>
          <a:ext cx="2890" cy="184762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247805</xdr:colOff>
      <xdr:row>19</xdr:row>
      <xdr:rowOff>24493</xdr:rowOff>
    </xdr:from>
    <xdr:to>
      <xdr:col>29</xdr:col>
      <xdr:colOff>353786</xdr:colOff>
      <xdr:row>21</xdr:row>
      <xdr:rowOff>170366</xdr:rowOff>
    </xdr:to>
    <xdr:cxnSp macro="">
      <xdr:nvCxnSpPr>
        <xdr:cNvPr id="5" name="直線矢印コネクタ 9">
          <a:extLst>
            <a:ext uri="{FF2B5EF4-FFF2-40B4-BE49-F238E27FC236}">
              <a16:creationId xmlns:a16="http://schemas.microsoft.com/office/drawing/2014/main" id="{2456DAB9-BA85-4A8E-B266-F79BE86D32F0}"/>
            </a:ext>
          </a:extLst>
        </xdr:cNvPr>
        <xdr:cNvCxnSpPr/>
      </xdr:nvCxnSpPr>
      <xdr:spPr>
        <a:xfrm flipH="1">
          <a:off x="18034155" y="6177643"/>
          <a:ext cx="1934781" cy="552273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800097</xdr:colOff>
      <xdr:row>61</xdr:row>
      <xdr:rowOff>19050</xdr:rowOff>
    </xdr:from>
    <xdr:to>
      <xdr:col>18</xdr:col>
      <xdr:colOff>834737</xdr:colOff>
      <xdr:row>73</xdr:row>
      <xdr:rowOff>22167</xdr:rowOff>
    </xdr:to>
    <xdr:cxnSp macro="">
      <xdr:nvCxnSpPr>
        <xdr:cNvPr id="6" name="直線矢印コネクタ 24">
          <a:extLst>
            <a:ext uri="{FF2B5EF4-FFF2-40B4-BE49-F238E27FC236}">
              <a16:creationId xmlns:a16="http://schemas.microsoft.com/office/drawing/2014/main" id="{100B54C5-910F-4548-8700-B4120161B3D9}"/>
            </a:ext>
          </a:extLst>
        </xdr:cNvPr>
        <xdr:cNvCxnSpPr/>
      </xdr:nvCxnSpPr>
      <xdr:spPr>
        <a:xfrm>
          <a:off x="13252447" y="16560800"/>
          <a:ext cx="2890" cy="2701867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554179</xdr:colOff>
      <xdr:row>61</xdr:row>
      <xdr:rowOff>13855</xdr:rowOff>
    </xdr:from>
    <xdr:to>
      <xdr:col>12</xdr:col>
      <xdr:colOff>557644</xdr:colOff>
      <xdr:row>64</xdr:row>
      <xdr:rowOff>0</xdr:rowOff>
    </xdr:to>
    <xdr:cxnSp macro="">
      <xdr:nvCxnSpPr>
        <xdr:cNvPr id="7" name="直線矢印コネクタ 25">
          <a:extLst>
            <a:ext uri="{FF2B5EF4-FFF2-40B4-BE49-F238E27FC236}">
              <a16:creationId xmlns:a16="http://schemas.microsoft.com/office/drawing/2014/main" id="{811D59CA-1998-4F72-8DED-4A0A3DC65F25}"/>
            </a:ext>
          </a:extLst>
        </xdr:cNvPr>
        <xdr:cNvCxnSpPr/>
      </xdr:nvCxnSpPr>
      <xdr:spPr>
        <a:xfrm>
          <a:off x="9412429" y="16555605"/>
          <a:ext cx="3465" cy="652895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670210</xdr:colOff>
      <xdr:row>61</xdr:row>
      <xdr:rowOff>0</xdr:rowOff>
    </xdr:from>
    <xdr:to>
      <xdr:col>33</xdr:col>
      <xdr:colOff>685800</xdr:colOff>
      <xdr:row>61</xdr:row>
      <xdr:rowOff>203812</xdr:rowOff>
    </xdr:to>
    <xdr:cxnSp macro="">
      <xdr:nvCxnSpPr>
        <xdr:cNvPr id="8" name="直線矢印コネクタ 26">
          <a:extLst>
            <a:ext uri="{FF2B5EF4-FFF2-40B4-BE49-F238E27FC236}">
              <a16:creationId xmlns:a16="http://schemas.microsoft.com/office/drawing/2014/main" id="{CA69E2DC-8F99-459F-85E6-0AD55FDDAC69}"/>
            </a:ext>
          </a:extLst>
        </xdr:cNvPr>
        <xdr:cNvCxnSpPr/>
      </xdr:nvCxnSpPr>
      <xdr:spPr>
        <a:xfrm flipH="1">
          <a:off x="22660260" y="16541750"/>
          <a:ext cx="2890" cy="203812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325244</xdr:colOff>
      <xdr:row>61</xdr:row>
      <xdr:rowOff>24493</xdr:rowOff>
    </xdr:from>
    <xdr:to>
      <xdr:col>29</xdr:col>
      <xdr:colOff>353786</xdr:colOff>
      <xdr:row>63</xdr:row>
      <xdr:rowOff>139390</xdr:rowOff>
    </xdr:to>
    <xdr:cxnSp macro="">
      <xdr:nvCxnSpPr>
        <xdr:cNvPr id="9" name="直線矢印コネクタ 27">
          <a:extLst>
            <a:ext uri="{FF2B5EF4-FFF2-40B4-BE49-F238E27FC236}">
              <a16:creationId xmlns:a16="http://schemas.microsoft.com/office/drawing/2014/main" id="{D8423454-D507-4677-AB62-8794B6402779}"/>
            </a:ext>
          </a:extLst>
        </xdr:cNvPr>
        <xdr:cNvCxnSpPr/>
      </xdr:nvCxnSpPr>
      <xdr:spPr>
        <a:xfrm flipH="1">
          <a:off x="18111594" y="16566243"/>
          <a:ext cx="1857342" cy="559397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867316</xdr:colOff>
      <xdr:row>4</xdr:row>
      <xdr:rowOff>216829</xdr:rowOff>
    </xdr:from>
    <xdr:to>
      <xdr:col>47</xdr:col>
      <xdr:colOff>474718</xdr:colOff>
      <xdr:row>24</xdr:row>
      <xdr:rowOff>109089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D9787DCD-4806-4E4B-9F86-73D9A9848870}"/>
            </a:ext>
          </a:extLst>
        </xdr:cNvPr>
        <xdr:cNvSpPr/>
      </xdr:nvSpPr>
      <xdr:spPr>
        <a:xfrm>
          <a:off x="3964877" y="1719146"/>
          <a:ext cx="26881426" cy="5591772"/>
        </a:xfrm>
        <a:prstGeom prst="roundRect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3900" b="1">
              <a:solidFill>
                <a:srgbClr val="FF0000"/>
              </a:solidFill>
            </a:rPr>
            <a:t>NOT UPDATED</a:t>
          </a: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800097</xdr:colOff>
      <xdr:row>19</xdr:row>
      <xdr:rowOff>19050</xdr:rowOff>
    </xdr:from>
    <xdr:to>
      <xdr:col>18</xdr:col>
      <xdr:colOff>834737</xdr:colOff>
      <xdr:row>31</xdr:row>
      <xdr:rowOff>22167</xdr:rowOff>
    </xdr:to>
    <xdr:cxnSp macro="">
      <xdr:nvCxnSpPr>
        <xdr:cNvPr id="2" name="直線矢印コネクタ 5">
          <a:extLst>
            <a:ext uri="{FF2B5EF4-FFF2-40B4-BE49-F238E27FC236}">
              <a16:creationId xmlns:a16="http://schemas.microsoft.com/office/drawing/2014/main" id="{B34AAA11-8EE6-4038-8115-72A4B618B039}"/>
            </a:ext>
          </a:extLst>
        </xdr:cNvPr>
        <xdr:cNvCxnSpPr/>
      </xdr:nvCxnSpPr>
      <xdr:spPr>
        <a:xfrm>
          <a:off x="12725397" y="6236970"/>
          <a:ext cx="0" cy="2738697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554179</xdr:colOff>
      <xdr:row>19</xdr:row>
      <xdr:rowOff>13855</xdr:rowOff>
    </xdr:from>
    <xdr:to>
      <xdr:col>12</xdr:col>
      <xdr:colOff>557644</xdr:colOff>
      <xdr:row>22</xdr:row>
      <xdr:rowOff>0</xdr:rowOff>
    </xdr:to>
    <xdr:cxnSp macro="">
      <xdr:nvCxnSpPr>
        <xdr:cNvPr id="3" name="直線矢印コネクタ 6">
          <a:extLst>
            <a:ext uri="{FF2B5EF4-FFF2-40B4-BE49-F238E27FC236}">
              <a16:creationId xmlns:a16="http://schemas.microsoft.com/office/drawing/2014/main" id="{0C46604C-0C9C-4E70-B539-7ACA2FCE25EB}"/>
            </a:ext>
          </a:extLst>
        </xdr:cNvPr>
        <xdr:cNvCxnSpPr/>
      </xdr:nvCxnSpPr>
      <xdr:spPr>
        <a:xfrm>
          <a:off x="9012379" y="6231775"/>
          <a:ext cx="3465" cy="694805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670210</xdr:colOff>
      <xdr:row>19</xdr:row>
      <xdr:rowOff>0</xdr:rowOff>
    </xdr:from>
    <xdr:to>
      <xdr:col>33</xdr:col>
      <xdr:colOff>685800</xdr:colOff>
      <xdr:row>19</xdr:row>
      <xdr:rowOff>203812</xdr:rowOff>
    </xdr:to>
    <xdr:cxnSp macro="">
      <xdr:nvCxnSpPr>
        <xdr:cNvPr id="4" name="直線矢印コネクタ 7">
          <a:extLst>
            <a:ext uri="{FF2B5EF4-FFF2-40B4-BE49-F238E27FC236}">
              <a16:creationId xmlns:a16="http://schemas.microsoft.com/office/drawing/2014/main" id="{1EDD79C7-4C2F-4462-802D-F1F8BE60F870}"/>
            </a:ext>
          </a:extLst>
        </xdr:cNvPr>
        <xdr:cNvCxnSpPr/>
      </xdr:nvCxnSpPr>
      <xdr:spPr>
        <a:xfrm flipH="1">
          <a:off x="21952870" y="6217920"/>
          <a:ext cx="350" cy="203812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1012371</xdr:colOff>
      <xdr:row>19</xdr:row>
      <xdr:rowOff>24493</xdr:rowOff>
    </xdr:from>
    <xdr:to>
      <xdr:col>29</xdr:col>
      <xdr:colOff>353786</xdr:colOff>
      <xdr:row>20</xdr:row>
      <xdr:rowOff>0</xdr:rowOff>
    </xdr:to>
    <xdr:cxnSp macro="">
      <xdr:nvCxnSpPr>
        <xdr:cNvPr id="5" name="直線矢印コネクタ 9">
          <a:extLst>
            <a:ext uri="{FF2B5EF4-FFF2-40B4-BE49-F238E27FC236}">
              <a16:creationId xmlns:a16="http://schemas.microsoft.com/office/drawing/2014/main" id="{D758B428-60B4-4F4C-899C-28B63F81A352}"/>
            </a:ext>
          </a:extLst>
        </xdr:cNvPr>
        <xdr:cNvCxnSpPr/>
      </xdr:nvCxnSpPr>
      <xdr:spPr>
        <a:xfrm flipH="1">
          <a:off x="18294531" y="6242413"/>
          <a:ext cx="964475" cy="196487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800097</xdr:colOff>
      <xdr:row>62</xdr:row>
      <xdr:rowOff>19050</xdr:rowOff>
    </xdr:from>
    <xdr:to>
      <xdr:col>18</xdr:col>
      <xdr:colOff>834737</xdr:colOff>
      <xdr:row>74</xdr:row>
      <xdr:rowOff>22167</xdr:rowOff>
    </xdr:to>
    <xdr:cxnSp macro="">
      <xdr:nvCxnSpPr>
        <xdr:cNvPr id="6" name="直線矢印コネクタ 24">
          <a:extLst>
            <a:ext uri="{FF2B5EF4-FFF2-40B4-BE49-F238E27FC236}">
              <a16:creationId xmlns:a16="http://schemas.microsoft.com/office/drawing/2014/main" id="{5E36DE89-FEA1-48AF-98D5-BF52169F9D75}"/>
            </a:ext>
          </a:extLst>
        </xdr:cNvPr>
        <xdr:cNvCxnSpPr/>
      </xdr:nvCxnSpPr>
      <xdr:spPr>
        <a:xfrm>
          <a:off x="12725397" y="17103090"/>
          <a:ext cx="0" cy="2708217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554179</xdr:colOff>
      <xdr:row>62</xdr:row>
      <xdr:rowOff>13855</xdr:rowOff>
    </xdr:from>
    <xdr:to>
      <xdr:col>12</xdr:col>
      <xdr:colOff>557644</xdr:colOff>
      <xdr:row>65</xdr:row>
      <xdr:rowOff>0</xdr:rowOff>
    </xdr:to>
    <xdr:cxnSp macro="">
      <xdr:nvCxnSpPr>
        <xdr:cNvPr id="7" name="直線矢印コネクタ 25">
          <a:extLst>
            <a:ext uri="{FF2B5EF4-FFF2-40B4-BE49-F238E27FC236}">
              <a16:creationId xmlns:a16="http://schemas.microsoft.com/office/drawing/2014/main" id="{E2912176-18EC-4776-A61D-ECBBF22DCCB6}"/>
            </a:ext>
          </a:extLst>
        </xdr:cNvPr>
        <xdr:cNvCxnSpPr/>
      </xdr:nvCxnSpPr>
      <xdr:spPr>
        <a:xfrm>
          <a:off x="9012379" y="17097895"/>
          <a:ext cx="3465" cy="694805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670210</xdr:colOff>
      <xdr:row>62</xdr:row>
      <xdr:rowOff>0</xdr:rowOff>
    </xdr:from>
    <xdr:to>
      <xdr:col>33</xdr:col>
      <xdr:colOff>685800</xdr:colOff>
      <xdr:row>62</xdr:row>
      <xdr:rowOff>203812</xdr:rowOff>
    </xdr:to>
    <xdr:cxnSp macro="">
      <xdr:nvCxnSpPr>
        <xdr:cNvPr id="8" name="直線矢印コネクタ 26">
          <a:extLst>
            <a:ext uri="{FF2B5EF4-FFF2-40B4-BE49-F238E27FC236}">
              <a16:creationId xmlns:a16="http://schemas.microsoft.com/office/drawing/2014/main" id="{9D0E1F24-01A4-4B0A-AB4E-0474209C63CB}"/>
            </a:ext>
          </a:extLst>
        </xdr:cNvPr>
        <xdr:cNvCxnSpPr/>
      </xdr:nvCxnSpPr>
      <xdr:spPr>
        <a:xfrm flipH="1">
          <a:off x="21952870" y="17084040"/>
          <a:ext cx="350" cy="203812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1012371</xdr:colOff>
      <xdr:row>62</xdr:row>
      <xdr:rowOff>24493</xdr:rowOff>
    </xdr:from>
    <xdr:to>
      <xdr:col>29</xdr:col>
      <xdr:colOff>353786</xdr:colOff>
      <xdr:row>63</xdr:row>
      <xdr:rowOff>0</xdr:rowOff>
    </xdr:to>
    <xdr:cxnSp macro="">
      <xdr:nvCxnSpPr>
        <xdr:cNvPr id="9" name="直線矢印コネクタ 27">
          <a:extLst>
            <a:ext uri="{FF2B5EF4-FFF2-40B4-BE49-F238E27FC236}">
              <a16:creationId xmlns:a16="http://schemas.microsoft.com/office/drawing/2014/main" id="{88688CF3-2B85-4FAB-9067-9BDE433AA3A3}"/>
            </a:ext>
          </a:extLst>
        </xdr:cNvPr>
        <xdr:cNvCxnSpPr/>
      </xdr:nvCxnSpPr>
      <xdr:spPr>
        <a:xfrm flipH="1">
          <a:off x="18294531" y="17108533"/>
          <a:ext cx="964475" cy="196487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1012371</xdr:colOff>
      <xdr:row>62</xdr:row>
      <xdr:rowOff>24493</xdr:rowOff>
    </xdr:from>
    <xdr:to>
      <xdr:col>29</xdr:col>
      <xdr:colOff>353786</xdr:colOff>
      <xdr:row>63</xdr:row>
      <xdr:rowOff>0</xdr:rowOff>
    </xdr:to>
    <xdr:cxnSp macro="">
      <xdr:nvCxnSpPr>
        <xdr:cNvPr id="10" name="直線矢印コネクタ 27">
          <a:extLst>
            <a:ext uri="{FF2B5EF4-FFF2-40B4-BE49-F238E27FC236}">
              <a16:creationId xmlns:a16="http://schemas.microsoft.com/office/drawing/2014/main" id="{D006E660-0BFB-41A0-8B86-F880342E8BE8}"/>
            </a:ext>
          </a:extLst>
        </xdr:cNvPr>
        <xdr:cNvCxnSpPr/>
      </xdr:nvCxnSpPr>
      <xdr:spPr>
        <a:xfrm flipH="1">
          <a:off x="18294531" y="17108533"/>
          <a:ext cx="964475" cy="196487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44</xdr:row>
      <xdr:rowOff>0</xdr:rowOff>
    </xdr:from>
    <xdr:to>
      <xdr:col>26</xdr:col>
      <xdr:colOff>168563</xdr:colOff>
      <xdr:row>47</xdr:row>
      <xdr:rowOff>115456</xdr:rowOff>
    </xdr:to>
    <xdr:sp macro="" textlink="">
      <xdr:nvSpPr>
        <xdr:cNvPr id="11" name="正方形/長方形 19">
          <a:extLst>
            <a:ext uri="{FF2B5EF4-FFF2-40B4-BE49-F238E27FC236}">
              <a16:creationId xmlns:a16="http://schemas.microsoft.com/office/drawing/2014/main" id="{7E9DAE9D-9380-4EEC-952F-2D2B916DBCEE}"/>
            </a:ext>
          </a:extLst>
        </xdr:cNvPr>
        <xdr:cNvSpPr/>
      </xdr:nvSpPr>
      <xdr:spPr>
        <a:xfrm>
          <a:off x="12166600" y="11328400"/>
          <a:ext cx="5832763" cy="95365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4800" kern="1200"/>
            <a:t>Need New KPI VA only</a:t>
          </a:r>
          <a:endParaRPr kumimoji="1" lang="ja-JP" altLang="en-US" sz="4800" kern="1200"/>
        </a:p>
      </xdr:txBody>
    </xdr:sp>
    <xdr:clientData/>
  </xdr:twoCellAnchor>
  <xdr:twoCellAnchor>
    <xdr:from>
      <xdr:col>4</xdr:col>
      <xdr:colOff>0</xdr:colOff>
      <xdr:row>10</xdr:row>
      <xdr:rowOff>139700</xdr:rowOff>
    </xdr:from>
    <xdr:to>
      <xdr:col>30</xdr:col>
      <xdr:colOff>190500</xdr:colOff>
      <xdr:row>22</xdr:row>
      <xdr:rowOff>152400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68982AA-FBFE-A5E4-5457-7A6CE19BDDC3}"/>
            </a:ext>
          </a:extLst>
        </xdr:cNvPr>
        <xdr:cNvSpPr txBox="1"/>
      </xdr:nvSpPr>
      <xdr:spPr>
        <a:xfrm>
          <a:off x="3035300" y="3136900"/>
          <a:ext cx="17424400" cy="3632200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7200"/>
            <a:t>NOT NEEDED</a:t>
          </a: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800097</xdr:colOff>
      <xdr:row>19</xdr:row>
      <xdr:rowOff>19050</xdr:rowOff>
    </xdr:from>
    <xdr:to>
      <xdr:col>18</xdr:col>
      <xdr:colOff>834737</xdr:colOff>
      <xdr:row>31</xdr:row>
      <xdr:rowOff>22167</xdr:rowOff>
    </xdr:to>
    <xdr:cxnSp macro="">
      <xdr:nvCxnSpPr>
        <xdr:cNvPr id="2" name="直線矢印コネクタ 5">
          <a:extLst>
            <a:ext uri="{FF2B5EF4-FFF2-40B4-BE49-F238E27FC236}">
              <a16:creationId xmlns:a16="http://schemas.microsoft.com/office/drawing/2014/main" id="{1A8DC09B-843B-4263-987B-CF838101EBCB}"/>
            </a:ext>
          </a:extLst>
        </xdr:cNvPr>
        <xdr:cNvCxnSpPr/>
      </xdr:nvCxnSpPr>
      <xdr:spPr>
        <a:xfrm>
          <a:off x="12814297" y="6165850"/>
          <a:ext cx="2890" cy="2720917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554179</xdr:colOff>
      <xdr:row>19</xdr:row>
      <xdr:rowOff>13855</xdr:rowOff>
    </xdr:from>
    <xdr:to>
      <xdr:col>12</xdr:col>
      <xdr:colOff>557644</xdr:colOff>
      <xdr:row>22</xdr:row>
      <xdr:rowOff>0</xdr:rowOff>
    </xdr:to>
    <xdr:cxnSp macro="">
      <xdr:nvCxnSpPr>
        <xdr:cNvPr id="3" name="直線矢印コネクタ 6">
          <a:extLst>
            <a:ext uri="{FF2B5EF4-FFF2-40B4-BE49-F238E27FC236}">
              <a16:creationId xmlns:a16="http://schemas.microsoft.com/office/drawing/2014/main" id="{05602CD9-08B8-4732-9284-387C0ACAA505}"/>
            </a:ext>
          </a:extLst>
        </xdr:cNvPr>
        <xdr:cNvCxnSpPr/>
      </xdr:nvCxnSpPr>
      <xdr:spPr>
        <a:xfrm>
          <a:off x="9101279" y="6160655"/>
          <a:ext cx="3465" cy="684645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670210</xdr:colOff>
      <xdr:row>19</xdr:row>
      <xdr:rowOff>0</xdr:rowOff>
    </xdr:from>
    <xdr:to>
      <xdr:col>33</xdr:col>
      <xdr:colOff>685800</xdr:colOff>
      <xdr:row>19</xdr:row>
      <xdr:rowOff>203812</xdr:rowOff>
    </xdr:to>
    <xdr:cxnSp macro="">
      <xdr:nvCxnSpPr>
        <xdr:cNvPr id="4" name="直線矢印コネクタ 7">
          <a:extLst>
            <a:ext uri="{FF2B5EF4-FFF2-40B4-BE49-F238E27FC236}">
              <a16:creationId xmlns:a16="http://schemas.microsoft.com/office/drawing/2014/main" id="{5F712974-7232-4EC0-BAC2-EC20CD4D9A38}"/>
            </a:ext>
          </a:extLst>
        </xdr:cNvPr>
        <xdr:cNvCxnSpPr/>
      </xdr:nvCxnSpPr>
      <xdr:spPr>
        <a:xfrm flipH="1">
          <a:off x="22063360" y="6146800"/>
          <a:ext cx="2890" cy="203812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1012371</xdr:colOff>
      <xdr:row>19</xdr:row>
      <xdr:rowOff>24493</xdr:rowOff>
    </xdr:from>
    <xdr:to>
      <xdr:col>29</xdr:col>
      <xdr:colOff>353786</xdr:colOff>
      <xdr:row>20</xdr:row>
      <xdr:rowOff>0</xdr:rowOff>
    </xdr:to>
    <xdr:cxnSp macro="">
      <xdr:nvCxnSpPr>
        <xdr:cNvPr id="5" name="直線矢印コネクタ 9">
          <a:extLst>
            <a:ext uri="{FF2B5EF4-FFF2-40B4-BE49-F238E27FC236}">
              <a16:creationId xmlns:a16="http://schemas.microsoft.com/office/drawing/2014/main" id="{4555885A-D597-4592-AC6F-81BBF21F1AFB}"/>
            </a:ext>
          </a:extLst>
        </xdr:cNvPr>
        <xdr:cNvCxnSpPr/>
      </xdr:nvCxnSpPr>
      <xdr:spPr>
        <a:xfrm flipH="1">
          <a:off x="18411371" y="6171293"/>
          <a:ext cx="960665" cy="197757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800097</xdr:colOff>
      <xdr:row>61</xdr:row>
      <xdr:rowOff>19050</xdr:rowOff>
    </xdr:from>
    <xdr:to>
      <xdr:col>18</xdr:col>
      <xdr:colOff>834737</xdr:colOff>
      <xdr:row>73</xdr:row>
      <xdr:rowOff>22167</xdr:rowOff>
    </xdr:to>
    <xdr:cxnSp macro="">
      <xdr:nvCxnSpPr>
        <xdr:cNvPr id="6" name="直線矢印コネクタ 24">
          <a:extLst>
            <a:ext uri="{FF2B5EF4-FFF2-40B4-BE49-F238E27FC236}">
              <a16:creationId xmlns:a16="http://schemas.microsoft.com/office/drawing/2014/main" id="{50AC4645-6E70-453A-8B55-A6FACCE422C2}"/>
            </a:ext>
          </a:extLst>
        </xdr:cNvPr>
        <xdr:cNvCxnSpPr/>
      </xdr:nvCxnSpPr>
      <xdr:spPr>
        <a:xfrm>
          <a:off x="12814297" y="16910050"/>
          <a:ext cx="2890" cy="2695517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554179</xdr:colOff>
      <xdr:row>61</xdr:row>
      <xdr:rowOff>13855</xdr:rowOff>
    </xdr:from>
    <xdr:to>
      <xdr:col>12</xdr:col>
      <xdr:colOff>557644</xdr:colOff>
      <xdr:row>64</xdr:row>
      <xdr:rowOff>0</xdr:rowOff>
    </xdr:to>
    <xdr:cxnSp macro="">
      <xdr:nvCxnSpPr>
        <xdr:cNvPr id="7" name="直線矢印コネクタ 25">
          <a:extLst>
            <a:ext uri="{FF2B5EF4-FFF2-40B4-BE49-F238E27FC236}">
              <a16:creationId xmlns:a16="http://schemas.microsoft.com/office/drawing/2014/main" id="{9FE90D99-F938-4100-814E-2081383AED3A}"/>
            </a:ext>
          </a:extLst>
        </xdr:cNvPr>
        <xdr:cNvCxnSpPr/>
      </xdr:nvCxnSpPr>
      <xdr:spPr>
        <a:xfrm>
          <a:off x="9101279" y="16904855"/>
          <a:ext cx="3465" cy="684645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670210</xdr:colOff>
      <xdr:row>61</xdr:row>
      <xdr:rowOff>0</xdr:rowOff>
    </xdr:from>
    <xdr:to>
      <xdr:col>33</xdr:col>
      <xdr:colOff>685800</xdr:colOff>
      <xdr:row>61</xdr:row>
      <xdr:rowOff>203812</xdr:rowOff>
    </xdr:to>
    <xdr:cxnSp macro="">
      <xdr:nvCxnSpPr>
        <xdr:cNvPr id="8" name="直線矢印コネクタ 26">
          <a:extLst>
            <a:ext uri="{FF2B5EF4-FFF2-40B4-BE49-F238E27FC236}">
              <a16:creationId xmlns:a16="http://schemas.microsoft.com/office/drawing/2014/main" id="{BC3DDA0F-A33A-44DD-AC60-21FE30D71042}"/>
            </a:ext>
          </a:extLst>
        </xdr:cNvPr>
        <xdr:cNvCxnSpPr/>
      </xdr:nvCxnSpPr>
      <xdr:spPr>
        <a:xfrm flipH="1">
          <a:off x="22063360" y="16891000"/>
          <a:ext cx="2890" cy="203812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1012371</xdr:colOff>
      <xdr:row>61</xdr:row>
      <xdr:rowOff>24493</xdr:rowOff>
    </xdr:from>
    <xdr:to>
      <xdr:col>29</xdr:col>
      <xdr:colOff>353786</xdr:colOff>
      <xdr:row>62</xdr:row>
      <xdr:rowOff>0</xdr:rowOff>
    </xdr:to>
    <xdr:cxnSp macro="">
      <xdr:nvCxnSpPr>
        <xdr:cNvPr id="9" name="直線矢印コネクタ 27">
          <a:extLst>
            <a:ext uri="{FF2B5EF4-FFF2-40B4-BE49-F238E27FC236}">
              <a16:creationId xmlns:a16="http://schemas.microsoft.com/office/drawing/2014/main" id="{90EC21AD-69E2-4F80-9ECC-BC364F3CA977}"/>
            </a:ext>
          </a:extLst>
        </xdr:cNvPr>
        <xdr:cNvCxnSpPr/>
      </xdr:nvCxnSpPr>
      <xdr:spPr>
        <a:xfrm flipH="1">
          <a:off x="18411371" y="16915493"/>
          <a:ext cx="960665" cy="197757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1012371</xdr:colOff>
      <xdr:row>61</xdr:row>
      <xdr:rowOff>24493</xdr:rowOff>
    </xdr:from>
    <xdr:to>
      <xdr:col>29</xdr:col>
      <xdr:colOff>353786</xdr:colOff>
      <xdr:row>62</xdr:row>
      <xdr:rowOff>0</xdr:rowOff>
    </xdr:to>
    <xdr:cxnSp macro="">
      <xdr:nvCxnSpPr>
        <xdr:cNvPr id="10" name="直線矢印コネクタ 27">
          <a:extLst>
            <a:ext uri="{FF2B5EF4-FFF2-40B4-BE49-F238E27FC236}">
              <a16:creationId xmlns:a16="http://schemas.microsoft.com/office/drawing/2014/main" id="{AF63E9C7-F798-43AE-9D9A-B756BC26577E}"/>
            </a:ext>
          </a:extLst>
        </xdr:cNvPr>
        <xdr:cNvCxnSpPr/>
      </xdr:nvCxnSpPr>
      <xdr:spPr>
        <a:xfrm flipH="1">
          <a:off x="18411371" y="16915493"/>
          <a:ext cx="960665" cy="197757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43</xdr:row>
      <xdr:rowOff>0</xdr:rowOff>
    </xdr:from>
    <xdr:to>
      <xdr:col>24</xdr:col>
      <xdr:colOff>263236</xdr:colOff>
      <xdr:row>46</xdr:row>
      <xdr:rowOff>108529</xdr:rowOff>
    </xdr:to>
    <xdr:sp macro="" textlink="">
      <xdr:nvSpPr>
        <xdr:cNvPr id="11" name="正方形/長方形 19">
          <a:extLst>
            <a:ext uri="{FF2B5EF4-FFF2-40B4-BE49-F238E27FC236}">
              <a16:creationId xmlns:a16="http://schemas.microsoft.com/office/drawing/2014/main" id="{0254155B-EB56-49D4-81F5-1EADB68DA5A5}"/>
            </a:ext>
          </a:extLst>
        </xdr:cNvPr>
        <xdr:cNvSpPr/>
      </xdr:nvSpPr>
      <xdr:spPr>
        <a:xfrm>
          <a:off x="10460182" y="11748655"/>
          <a:ext cx="5832763" cy="95365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4800" kern="1200"/>
            <a:t>Need New KPI VA only</a:t>
          </a:r>
          <a:endParaRPr kumimoji="1" lang="ja-JP" altLang="en-US" sz="4800" kern="1200"/>
        </a:p>
      </xdr:txBody>
    </xdr:sp>
    <xdr:clientData/>
  </xdr:twoCellAnchor>
  <xdr:twoCellAnchor>
    <xdr:from>
      <xdr:col>13</xdr:col>
      <xdr:colOff>0</xdr:colOff>
      <xdr:row>3</xdr:row>
      <xdr:rowOff>0</xdr:rowOff>
    </xdr:from>
    <xdr:to>
      <xdr:col>41</xdr:col>
      <xdr:colOff>272473</xdr:colOff>
      <xdr:row>15</xdr:row>
      <xdr:rowOff>196272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50AF71EB-5B5D-495E-B01E-0F74EDE2D5BD}"/>
            </a:ext>
          </a:extLst>
        </xdr:cNvPr>
        <xdr:cNvSpPr txBox="1"/>
      </xdr:nvSpPr>
      <xdr:spPr>
        <a:xfrm>
          <a:off x="9240982" y="1025236"/>
          <a:ext cx="17424400" cy="3632200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7200"/>
            <a:t>NOT NEEDED</a:t>
          </a: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625472</xdr:colOff>
      <xdr:row>18</xdr:row>
      <xdr:rowOff>177800</xdr:rowOff>
    </xdr:from>
    <xdr:to>
      <xdr:col>18</xdr:col>
      <xdr:colOff>635000</xdr:colOff>
      <xdr:row>22</xdr:row>
      <xdr:rowOff>15875</xdr:rowOff>
    </xdr:to>
    <xdr:cxnSp macro="">
      <xdr:nvCxnSpPr>
        <xdr:cNvPr id="2" name="直線矢印コネクタ 5">
          <a:extLst>
            <a:ext uri="{FF2B5EF4-FFF2-40B4-BE49-F238E27FC236}">
              <a16:creationId xmlns:a16="http://schemas.microsoft.com/office/drawing/2014/main" id="{A7F57D74-370A-4A4A-A6CA-20A99A247D4D}"/>
            </a:ext>
          </a:extLst>
        </xdr:cNvPr>
        <xdr:cNvCxnSpPr/>
      </xdr:nvCxnSpPr>
      <xdr:spPr>
        <a:xfrm>
          <a:off x="14379572" y="6121400"/>
          <a:ext cx="9528" cy="752475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554179</xdr:colOff>
      <xdr:row>19</xdr:row>
      <xdr:rowOff>13855</xdr:rowOff>
    </xdr:from>
    <xdr:to>
      <xdr:col>12</xdr:col>
      <xdr:colOff>557644</xdr:colOff>
      <xdr:row>22</xdr:row>
      <xdr:rowOff>0</xdr:rowOff>
    </xdr:to>
    <xdr:cxnSp macro="">
      <xdr:nvCxnSpPr>
        <xdr:cNvPr id="3" name="直線矢印コネクタ 6">
          <a:extLst>
            <a:ext uri="{FF2B5EF4-FFF2-40B4-BE49-F238E27FC236}">
              <a16:creationId xmlns:a16="http://schemas.microsoft.com/office/drawing/2014/main" id="{9346D667-6901-457F-BB3E-3AE410A4D68E}"/>
            </a:ext>
          </a:extLst>
        </xdr:cNvPr>
        <xdr:cNvCxnSpPr/>
      </xdr:nvCxnSpPr>
      <xdr:spPr>
        <a:xfrm>
          <a:off x="10412554" y="6224155"/>
          <a:ext cx="3465" cy="633845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670210</xdr:colOff>
      <xdr:row>19</xdr:row>
      <xdr:rowOff>0</xdr:rowOff>
    </xdr:from>
    <xdr:to>
      <xdr:col>33</xdr:col>
      <xdr:colOff>685800</xdr:colOff>
      <xdr:row>19</xdr:row>
      <xdr:rowOff>203812</xdr:rowOff>
    </xdr:to>
    <xdr:cxnSp macro="">
      <xdr:nvCxnSpPr>
        <xdr:cNvPr id="4" name="直線矢印コネクタ 7">
          <a:extLst>
            <a:ext uri="{FF2B5EF4-FFF2-40B4-BE49-F238E27FC236}">
              <a16:creationId xmlns:a16="http://schemas.microsoft.com/office/drawing/2014/main" id="{18516559-CE42-45A5-A8D6-01965E3F7E24}"/>
            </a:ext>
          </a:extLst>
        </xdr:cNvPr>
        <xdr:cNvCxnSpPr/>
      </xdr:nvCxnSpPr>
      <xdr:spPr>
        <a:xfrm flipH="1">
          <a:off x="25282810" y="6210300"/>
          <a:ext cx="0" cy="194287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367393</xdr:colOff>
      <xdr:row>19</xdr:row>
      <xdr:rowOff>38100</xdr:rowOff>
    </xdr:from>
    <xdr:to>
      <xdr:col>29</xdr:col>
      <xdr:colOff>81643</xdr:colOff>
      <xdr:row>21</xdr:row>
      <xdr:rowOff>163286</xdr:rowOff>
    </xdr:to>
    <xdr:cxnSp macro="">
      <xdr:nvCxnSpPr>
        <xdr:cNvPr id="5" name="直線矢印コネクタ 9">
          <a:extLst>
            <a:ext uri="{FF2B5EF4-FFF2-40B4-BE49-F238E27FC236}">
              <a16:creationId xmlns:a16="http://schemas.microsoft.com/office/drawing/2014/main" id="{294C7FF9-6E06-4604-B1AF-B261CBE9FC4B}"/>
            </a:ext>
          </a:extLst>
        </xdr:cNvPr>
        <xdr:cNvCxnSpPr/>
      </xdr:nvCxnSpPr>
      <xdr:spPr>
        <a:xfrm flipH="1">
          <a:off x="20465143" y="6248400"/>
          <a:ext cx="1666875" cy="544286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639536</xdr:colOff>
      <xdr:row>61</xdr:row>
      <xdr:rowOff>5443</xdr:rowOff>
    </xdr:from>
    <xdr:to>
      <xdr:col>18</xdr:col>
      <xdr:colOff>664025</xdr:colOff>
      <xdr:row>64</xdr:row>
      <xdr:rowOff>0</xdr:rowOff>
    </xdr:to>
    <xdr:cxnSp macro="">
      <xdr:nvCxnSpPr>
        <xdr:cNvPr id="6" name="直線矢印コネクタ 24">
          <a:extLst>
            <a:ext uri="{FF2B5EF4-FFF2-40B4-BE49-F238E27FC236}">
              <a16:creationId xmlns:a16="http://schemas.microsoft.com/office/drawing/2014/main" id="{2E76630C-E416-4064-998A-A0FD1A07AE5E}"/>
            </a:ext>
          </a:extLst>
        </xdr:cNvPr>
        <xdr:cNvCxnSpPr/>
      </xdr:nvCxnSpPr>
      <xdr:spPr>
        <a:xfrm flipH="1">
          <a:off x="14393636" y="16998043"/>
          <a:ext cx="24489" cy="642257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554179</xdr:colOff>
      <xdr:row>61</xdr:row>
      <xdr:rowOff>13855</xdr:rowOff>
    </xdr:from>
    <xdr:to>
      <xdr:col>12</xdr:col>
      <xdr:colOff>557644</xdr:colOff>
      <xdr:row>64</xdr:row>
      <xdr:rowOff>0</xdr:rowOff>
    </xdr:to>
    <xdr:cxnSp macro="">
      <xdr:nvCxnSpPr>
        <xdr:cNvPr id="7" name="直線矢印コネクタ 25">
          <a:extLst>
            <a:ext uri="{FF2B5EF4-FFF2-40B4-BE49-F238E27FC236}">
              <a16:creationId xmlns:a16="http://schemas.microsoft.com/office/drawing/2014/main" id="{86A0F037-C1DB-4EF6-9979-2E1B7562798D}"/>
            </a:ext>
          </a:extLst>
        </xdr:cNvPr>
        <xdr:cNvCxnSpPr/>
      </xdr:nvCxnSpPr>
      <xdr:spPr>
        <a:xfrm>
          <a:off x="10412554" y="17006455"/>
          <a:ext cx="3465" cy="633845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738</xdr:colOff>
      <xdr:row>60</xdr:row>
      <xdr:rowOff>244929</xdr:rowOff>
    </xdr:from>
    <xdr:to>
      <xdr:col>34</xdr:col>
      <xdr:colOff>13607</xdr:colOff>
      <xdr:row>63</xdr:row>
      <xdr:rowOff>203812</xdr:rowOff>
    </xdr:to>
    <xdr:cxnSp macro="">
      <xdr:nvCxnSpPr>
        <xdr:cNvPr id="8" name="直線矢印コネクタ 26">
          <a:extLst>
            <a:ext uri="{FF2B5EF4-FFF2-40B4-BE49-F238E27FC236}">
              <a16:creationId xmlns:a16="http://schemas.microsoft.com/office/drawing/2014/main" id="{20186624-9638-418B-A1F7-9789749DC6F6}"/>
            </a:ext>
          </a:extLst>
        </xdr:cNvPr>
        <xdr:cNvCxnSpPr/>
      </xdr:nvCxnSpPr>
      <xdr:spPr>
        <a:xfrm flipH="1">
          <a:off x="25280088" y="16970829"/>
          <a:ext cx="12869" cy="673258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381000</xdr:colOff>
      <xdr:row>61</xdr:row>
      <xdr:rowOff>24493</xdr:rowOff>
    </xdr:from>
    <xdr:to>
      <xdr:col>29</xdr:col>
      <xdr:colOff>353786</xdr:colOff>
      <xdr:row>63</xdr:row>
      <xdr:rowOff>217715</xdr:rowOff>
    </xdr:to>
    <xdr:cxnSp macro="">
      <xdr:nvCxnSpPr>
        <xdr:cNvPr id="9" name="直線矢印コネクタ 27">
          <a:extLst>
            <a:ext uri="{FF2B5EF4-FFF2-40B4-BE49-F238E27FC236}">
              <a16:creationId xmlns:a16="http://schemas.microsoft.com/office/drawing/2014/main" id="{28AEC549-AB61-45AE-96E3-39DE2498F590}"/>
            </a:ext>
          </a:extLst>
        </xdr:cNvPr>
        <xdr:cNvCxnSpPr/>
      </xdr:nvCxnSpPr>
      <xdr:spPr>
        <a:xfrm flipH="1">
          <a:off x="20478750" y="17017093"/>
          <a:ext cx="1925411" cy="621847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554179</xdr:colOff>
      <xdr:row>61</xdr:row>
      <xdr:rowOff>13855</xdr:rowOff>
    </xdr:from>
    <xdr:to>
      <xdr:col>12</xdr:col>
      <xdr:colOff>557644</xdr:colOff>
      <xdr:row>64</xdr:row>
      <xdr:rowOff>0</xdr:rowOff>
    </xdr:to>
    <xdr:cxnSp macro="">
      <xdr:nvCxnSpPr>
        <xdr:cNvPr id="10" name="直線矢印コネクタ 25">
          <a:extLst>
            <a:ext uri="{FF2B5EF4-FFF2-40B4-BE49-F238E27FC236}">
              <a16:creationId xmlns:a16="http://schemas.microsoft.com/office/drawing/2014/main" id="{10DA6C6E-3F4C-4E64-A720-923A8A98EBFF}"/>
            </a:ext>
          </a:extLst>
        </xdr:cNvPr>
        <xdr:cNvCxnSpPr/>
      </xdr:nvCxnSpPr>
      <xdr:spPr>
        <a:xfrm>
          <a:off x="9964879" y="16549255"/>
          <a:ext cx="3465" cy="690995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554179</xdr:colOff>
      <xdr:row>61</xdr:row>
      <xdr:rowOff>13855</xdr:rowOff>
    </xdr:from>
    <xdr:to>
      <xdr:col>12</xdr:col>
      <xdr:colOff>557644</xdr:colOff>
      <xdr:row>64</xdr:row>
      <xdr:rowOff>0</xdr:rowOff>
    </xdr:to>
    <xdr:cxnSp macro="">
      <xdr:nvCxnSpPr>
        <xdr:cNvPr id="11" name="直線矢印コネクタ 25">
          <a:extLst>
            <a:ext uri="{FF2B5EF4-FFF2-40B4-BE49-F238E27FC236}">
              <a16:creationId xmlns:a16="http://schemas.microsoft.com/office/drawing/2014/main" id="{F3167F46-1C91-4400-BF8E-A2B92C7D75FD}"/>
            </a:ext>
          </a:extLst>
        </xdr:cNvPr>
        <xdr:cNvCxnSpPr/>
      </xdr:nvCxnSpPr>
      <xdr:spPr>
        <a:xfrm>
          <a:off x="9964879" y="16549255"/>
          <a:ext cx="3465" cy="690995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800097</xdr:colOff>
      <xdr:row>19</xdr:row>
      <xdr:rowOff>19050</xdr:rowOff>
    </xdr:from>
    <xdr:to>
      <xdr:col>18</xdr:col>
      <xdr:colOff>808860</xdr:colOff>
      <xdr:row>22</xdr:row>
      <xdr:rowOff>69273</xdr:rowOff>
    </xdr:to>
    <xdr:cxnSp macro="">
      <xdr:nvCxnSpPr>
        <xdr:cNvPr id="2" name="直線矢印コネクタ 5">
          <a:extLst>
            <a:ext uri="{FF2B5EF4-FFF2-40B4-BE49-F238E27FC236}">
              <a16:creationId xmlns:a16="http://schemas.microsoft.com/office/drawing/2014/main" id="{5AF515EA-AE3B-488D-9D00-DCB4F8F64C3A}"/>
            </a:ext>
          </a:extLst>
        </xdr:cNvPr>
        <xdr:cNvCxnSpPr/>
      </xdr:nvCxnSpPr>
      <xdr:spPr>
        <a:xfrm>
          <a:off x="13784577" y="6275070"/>
          <a:ext cx="8763" cy="675063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554179</xdr:colOff>
      <xdr:row>19</xdr:row>
      <xdr:rowOff>13855</xdr:rowOff>
    </xdr:from>
    <xdr:to>
      <xdr:col>12</xdr:col>
      <xdr:colOff>557644</xdr:colOff>
      <xdr:row>22</xdr:row>
      <xdr:rowOff>0</xdr:rowOff>
    </xdr:to>
    <xdr:cxnSp macro="">
      <xdr:nvCxnSpPr>
        <xdr:cNvPr id="3" name="直線矢印コネクタ 6">
          <a:extLst>
            <a:ext uri="{FF2B5EF4-FFF2-40B4-BE49-F238E27FC236}">
              <a16:creationId xmlns:a16="http://schemas.microsoft.com/office/drawing/2014/main" id="{EA556D6A-8E16-452C-A8D7-12388CB4EC3F}"/>
            </a:ext>
          </a:extLst>
        </xdr:cNvPr>
        <xdr:cNvCxnSpPr/>
      </xdr:nvCxnSpPr>
      <xdr:spPr>
        <a:xfrm>
          <a:off x="9858199" y="6269875"/>
          <a:ext cx="3465" cy="610985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670210</xdr:colOff>
      <xdr:row>19</xdr:row>
      <xdr:rowOff>0</xdr:rowOff>
    </xdr:from>
    <xdr:to>
      <xdr:col>33</xdr:col>
      <xdr:colOff>685800</xdr:colOff>
      <xdr:row>19</xdr:row>
      <xdr:rowOff>203812</xdr:rowOff>
    </xdr:to>
    <xdr:cxnSp macro="">
      <xdr:nvCxnSpPr>
        <xdr:cNvPr id="4" name="直線矢印コネクタ 7">
          <a:extLst>
            <a:ext uri="{FF2B5EF4-FFF2-40B4-BE49-F238E27FC236}">
              <a16:creationId xmlns:a16="http://schemas.microsoft.com/office/drawing/2014/main" id="{CFE326EB-8B3E-468C-9869-7C225E70248B}"/>
            </a:ext>
          </a:extLst>
        </xdr:cNvPr>
        <xdr:cNvCxnSpPr/>
      </xdr:nvCxnSpPr>
      <xdr:spPr>
        <a:xfrm flipH="1">
          <a:off x="23461630" y="6256020"/>
          <a:ext cx="350" cy="180952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247805</xdr:colOff>
      <xdr:row>19</xdr:row>
      <xdr:rowOff>24493</xdr:rowOff>
    </xdr:from>
    <xdr:to>
      <xdr:col>29</xdr:col>
      <xdr:colOff>353786</xdr:colOff>
      <xdr:row>21</xdr:row>
      <xdr:rowOff>170366</xdr:rowOff>
    </xdr:to>
    <xdr:cxnSp macro="">
      <xdr:nvCxnSpPr>
        <xdr:cNvPr id="5" name="直線矢印コネクタ 9">
          <a:extLst>
            <a:ext uri="{FF2B5EF4-FFF2-40B4-BE49-F238E27FC236}">
              <a16:creationId xmlns:a16="http://schemas.microsoft.com/office/drawing/2014/main" id="{AB59375F-6929-4747-83AA-51D23F5948C6}"/>
            </a:ext>
          </a:extLst>
        </xdr:cNvPr>
        <xdr:cNvCxnSpPr/>
      </xdr:nvCxnSpPr>
      <xdr:spPr>
        <a:xfrm flipH="1">
          <a:off x="18672965" y="6280513"/>
          <a:ext cx="1972881" cy="549733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785091</xdr:colOff>
      <xdr:row>61</xdr:row>
      <xdr:rowOff>19050</xdr:rowOff>
    </xdr:from>
    <xdr:to>
      <xdr:col>18</xdr:col>
      <xdr:colOff>800097</xdr:colOff>
      <xdr:row>63</xdr:row>
      <xdr:rowOff>184727</xdr:rowOff>
    </xdr:to>
    <xdr:cxnSp macro="">
      <xdr:nvCxnSpPr>
        <xdr:cNvPr id="6" name="直線矢印コネクタ 24">
          <a:extLst>
            <a:ext uri="{FF2B5EF4-FFF2-40B4-BE49-F238E27FC236}">
              <a16:creationId xmlns:a16="http://schemas.microsoft.com/office/drawing/2014/main" id="{EE240D94-7DD4-4998-A181-48D71176D5E8}"/>
            </a:ext>
          </a:extLst>
        </xdr:cNvPr>
        <xdr:cNvCxnSpPr/>
      </xdr:nvCxnSpPr>
      <xdr:spPr>
        <a:xfrm flipH="1">
          <a:off x="13769571" y="16813530"/>
          <a:ext cx="15006" cy="660977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554179</xdr:colOff>
      <xdr:row>61</xdr:row>
      <xdr:rowOff>13855</xdr:rowOff>
    </xdr:from>
    <xdr:to>
      <xdr:col>12</xdr:col>
      <xdr:colOff>557644</xdr:colOff>
      <xdr:row>64</xdr:row>
      <xdr:rowOff>0</xdr:rowOff>
    </xdr:to>
    <xdr:cxnSp macro="">
      <xdr:nvCxnSpPr>
        <xdr:cNvPr id="7" name="直線矢印コネクタ 25">
          <a:extLst>
            <a:ext uri="{FF2B5EF4-FFF2-40B4-BE49-F238E27FC236}">
              <a16:creationId xmlns:a16="http://schemas.microsoft.com/office/drawing/2014/main" id="{12572620-7DDA-4EC3-B370-E73D3DA50C88}"/>
            </a:ext>
          </a:extLst>
        </xdr:cNvPr>
        <xdr:cNvCxnSpPr/>
      </xdr:nvCxnSpPr>
      <xdr:spPr>
        <a:xfrm>
          <a:off x="9858199" y="16808335"/>
          <a:ext cx="3465" cy="702425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670210</xdr:colOff>
      <xdr:row>61</xdr:row>
      <xdr:rowOff>0</xdr:rowOff>
    </xdr:from>
    <xdr:to>
      <xdr:col>33</xdr:col>
      <xdr:colOff>685800</xdr:colOff>
      <xdr:row>61</xdr:row>
      <xdr:rowOff>203812</xdr:rowOff>
    </xdr:to>
    <xdr:cxnSp macro="">
      <xdr:nvCxnSpPr>
        <xdr:cNvPr id="8" name="直線矢印コネクタ 26">
          <a:extLst>
            <a:ext uri="{FF2B5EF4-FFF2-40B4-BE49-F238E27FC236}">
              <a16:creationId xmlns:a16="http://schemas.microsoft.com/office/drawing/2014/main" id="{D3D641A6-0E52-4FBC-AB0A-9608FCEEC599}"/>
            </a:ext>
          </a:extLst>
        </xdr:cNvPr>
        <xdr:cNvCxnSpPr/>
      </xdr:nvCxnSpPr>
      <xdr:spPr>
        <a:xfrm flipH="1">
          <a:off x="23461630" y="16794480"/>
          <a:ext cx="350" cy="203812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325244</xdr:colOff>
      <xdr:row>61</xdr:row>
      <xdr:rowOff>24493</xdr:rowOff>
    </xdr:from>
    <xdr:to>
      <xdr:col>29</xdr:col>
      <xdr:colOff>353786</xdr:colOff>
      <xdr:row>63</xdr:row>
      <xdr:rowOff>139390</xdr:rowOff>
    </xdr:to>
    <xdr:cxnSp macro="">
      <xdr:nvCxnSpPr>
        <xdr:cNvPr id="9" name="直線矢印コネクタ 27">
          <a:extLst>
            <a:ext uri="{FF2B5EF4-FFF2-40B4-BE49-F238E27FC236}">
              <a16:creationId xmlns:a16="http://schemas.microsoft.com/office/drawing/2014/main" id="{66929608-2D9D-40CC-B722-D2E90B9FA69D}"/>
            </a:ext>
          </a:extLst>
        </xdr:cNvPr>
        <xdr:cNvCxnSpPr/>
      </xdr:nvCxnSpPr>
      <xdr:spPr>
        <a:xfrm flipH="1">
          <a:off x="18750404" y="16818973"/>
          <a:ext cx="1895442" cy="610197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301625</xdr:colOff>
      <xdr:row>19</xdr:row>
      <xdr:rowOff>50800</xdr:rowOff>
    </xdr:from>
    <xdr:to>
      <xdr:col>18</xdr:col>
      <xdr:colOff>333372</xdr:colOff>
      <xdr:row>22</xdr:row>
      <xdr:rowOff>0</xdr:rowOff>
    </xdr:to>
    <xdr:cxnSp macro="">
      <xdr:nvCxnSpPr>
        <xdr:cNvPr id="2" name="直線矢印コネクタ 5">
          <a:extLst>
            <a:ext uri="{FF2B5EF4-FFF2-40B4-BE49-F238E27FC236}">
              <a16:creationId xmlns:a16="http://schemas.microsoft.com/office/drawing/2014/main" id="{06FB1FAD-6A8B-4B08-9C60-6F50F121DC65}"/>
            </a:ext>
          </a:extLst>
        </xdr:cNvPr>
        <xdr:cNvCxnSpPr/>
      </xdr:nvCxnSpPr>
      <xdr:spPr>
        <a:xfrm flipH="1">
          <a:off x="13697585" y="6306820"/>
          <a:ext cx="31747" cy="574040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554179</xdr:colOff>
      <xdr:row>19</xdr:row>
      <xdr:rowOff>13855</xdr:rowOff>
    </xdr:from>
    <xdr:to>
      <xdr:col>12</xdr:col>
      <xdr:colOff>557644</xdr:colOff>
      <xdr:row>22</xdr:row>
      <xdr:rowOff>0</xdr:rowOff>
    </xdr:to>
    <xdr:cxnSp macro="">
      <xdr:nvCxnSpPr>
        <xdr:cNvPr id="3" name="直線矢印コネクタ 6">
          <a:extLst>
            <a:ext uri="{FF2B5EF4-FFF2-40B4-BE49-F238E27FC236}">
              <a16:creationId xmlns:a16="http://schemas.microsoft.com/office/drawing/2014/main" id="{7F0FB630-097A-4ABB-9F3D-863A60FF403A}"/>
            </a:ext>
          </a:extLst>
        </xdr:cNvPr>
        <xdr:cNvCxnSpPr/>
      </xdr:nvCxnSpPr>
      <xdr:spPr>
        <a:xfrm>
          <a:off x="9858199" y="6269875"/>
          <a:ext cx="3465" cy="610985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619125</xdr:colOff>
      <xdr:row>18</xdr:row>
      <xdr:rowOff>190500</xdr:rowOff>
    </xdr:from>
    <xdr:to>
      <xdr:col>34</xdr:col>
      <xdr:colOff>3460</xdr:colOff>
      <xdr:row>21</xdr:row>
      <xdr:rowOff>203812</xdr:rowOff>
    </xdr:to>
    <xdr:cxnSp macro="">
      <xdr:nvCxnSpPr>
        <xdr:cNvPr id="4" name="直線矢印コネクタ 7">
          <a:extLst>
            <a:ext uri="{FF2B5EF4-FFF2-40B4-BE49-F238E27FC236}">
              <a16:creationId xmlns:a16="http://schemas.microsoft.com/office/drawing/2014/main" id="{61F7793F-10CD-4D62-8410-0FC0B862580E}"/>
            </a:ext>
          </a:extLst>
        </xdr:cNvPr>
        <xdr:cNvCxnSpPr/>
      </xdr:nvCxnSpPr>
      <xdr:spPr>
        <a:xfrm>
          <a:off x="24203025" y="6172200"/>
          <a:ext cx="9175" cy="691492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392545</xdr:colOff>
      <xdr:row>19</xdr:row>
      <xdr:rowOff>24493</xdr:rowOff>
    </xdr:from>
    <xdr:to>
      <xdr:col>29</xdr:col>
      <xdr:colOff>353786</xdr:colOff>
      <xdr:row>22</xdr:row>
      <xdr:rowOff>34637</xdr:rowOff>
    </xdr:to>
    <xdr:cxnSp macro="">
      <xdr:nvCxnSpPr>
        <xdr:cNvPr id="5" name="直線矢印コネクタ 9">
          <a:extLst>
            <a:ext uri="{FF2B5EF4-FFF2-40B4-BE49-F238E27FC236}">
              <a16:creationId xmlns:a16="http://schemas.microsoft.com/office/drawing/2014/main" id="{ED8BD1F8-5F0A-4914-B824-F4954C6F2032}"/>
            </a:ext>
          </a:extLst>
        </xdr:cNvPr>
        <xdr:cNvCxnSpPr/>
      </xdr:nvCxnSpPr>
      <xdr:spPr>
        <a:xfrm flipH="1">
          <a:off x="19419685" y="6280513"/>
          <a:ext cx="2003401" cy="634984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800097</xdr:colOff>
      <xdr:row>61</xdr:row>
      <xdr:rowOff>19050</xdr:rowOff>
    </xdr:from>
    <xdr:to>
      <xdr:col>18</xdr:col>
      <xdr:colOff>834737</xdr:colOff>
      <xdr:row>73</xdr:row>
      <xdr:rowOff>22167</xdr:rowOff>
    </xdr:to>
    <xdr:cxnSp macro="">
      <xdr:nvCxnSpPr>
        <xdr:cNvPr id="6" name="直線矢印コネクタ 24">
          <a:extLst>
            <a:ext uri="{FF2B5EF4-FFF2-40B4-BE49-F238E27FC236}">
              <a16:creationId xmlns:a16="http://schemas.microsoft.com/office/drawing/2014/main" id="{961B6BDC-0538-4614-BD4B-E7AEE5602A85}"/>
            </a:ext>
          </a:extLst>
        </xdr:cNvPr>
        <xdr:cNvCxnSpPr/>
      </xdr:nvCxnSpPr>
      <xdr:spPr>
        <a:xfrm>
          <a:off x="14112237" y="16783050"/>
          <a:ext cx="0" cy="2753937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554179</xdr:colOff>
      <xdr:row>61</xdr:row>
      <xdr:rowOff>13855</xdr:rowOff>
    </xdr:from>
    <xdr:to>
      <xdr:col>12</xdr:col>
      <xdr:colOff>557644</xdr:colOff>
      <xdr:row>64</xdr:row>
      <xdr:rowOff>0</xdr:rowOff>
    </xdr:to>
    <xdr:cxnSp macro="">
      <xdr:nvCxnSpPr>
        <xdr:cNvPr id="7" name="直線矢印コネクタ 25">
          <a:extLst>
            <a:ext uri="{FF2B5EF4-FFF2-40B4-BE49-F238E27FC236}">
              <a16:creationId xmlns:a16="http://schemas.microsoft.com/office/drawing/2014/main" id="{CFD0EFB3-4E86-4565-819D-2BAEFB6C1F59}"/>
            </a:ext>
          </a:extLst>
        </xdr:cNvPr>
        <xdr:cNvCxnSpPr/>
      </xdr:nvCxnSpPr>
      <xdr:spPr>
        <a:xfrm>
          <a:off x="9858199" y="16777855"/>
          <a:ext cx="3465" cy="702425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6350</xdr:colOff>
      <xdr:row>61</xdr:row>
      <xdr:rowOff>0</xdr:rowOff>
    </xdr:from>
    <xdr:to>
      <xdr:col>34</xdr:col>
      <xdr:colOff>31750</xdr:colOff>
      <xdr:row>64</xdr:row>
      <xdr:rowOff>63500</xdr:rowOff>
    </xdr:to>
    <xdr:cxnSp macro="">
      <xdr:nvCxnSpPr>
        <xdr:cNvPr id="8" name="直線矢印コネクタ 26">
          <a:extLst>
            <a:ext uri="{FF2B5EF4-FFF2-40B4-BE49-F238E27FC236}">
              <a16:creationId xmlns:a16="http://schemas.microsoft.com/office/drawing/2014/main" id="{B54D2F9D-1FA0-4073-93A4-7284C43C862C}"/>
            </a:ext>
          </a:extLst>
        </xdr:cNvPr>
        <xdr:cNvCxnSpPr/>
      </xdr:nvCxnSpPr>
      <xdr:spPr>
        <a:xfrm>
          <a:off x="24215090" y="16764000"/>
          <a:ext cx="25400" cy="779780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938893</xdr:colOff>
      <xdr:row>21</xdr:row>
      <xdr:rowOff>110919</xdr:rowOff>
    </xdr:from>
    <xdr:to>
      <xdr:col>4</xdr:col>
      <xdr:colOff>13608</xdr:colOff>
      <xdr:row>22</xdr:row>
      <xdr:rowOff>124527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4E8FEAD5-23C8-470E-910E-FAD5918BF1D5}"/>
            </a:ext>
          </a:extLst>
        </xdr:cNvPr>
        <xdr:cNvCxnSpPr>
          <a:endCxn id="10" idx="1"/>
        </xdr:cNvCxnSpPr>
      </xdr:nvCxnSpPr>
      <xdr:spPr>
        <a:xfrm flipV="1">
          <a:off x="2432413" y="6770799"/>
          <a:ext cx="1132115" cy="23458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13608</xdr:colOff>
      <xdr:row>20</xdr:row>
      <xdr:rowOff>233384</xdr:rowOff>
    </xdr:from>
    <xdr:to>
      <xdr:col>6</xdr:col>
      <xdr:colOff>13607</xdr:colOff>
      <xdr:row>22</xdr:row>
      <xdr:rowOff>15669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C55F6D19-2C4F-4FDE-A76A-A072E37B98D1}"/>
            </a:ext>
          </a:extLst>
        </xdr:cNvPr>
        <xdr:cNvSpPr/>
      </xdr:nvSpPr>
      <xdr:spPr>
        <a:xfrm>
          <a:off x="3564528" y="6657044"/>
          <a:ext cx="1943099" cy="23948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238125</xdr:colOff>
      <xdr:row>61</xdr:row>
      <xdr:rowOff>24493</xdr:rowOff>
    </xdr:from>
    <xdr:to>
      <xdr:col>29</xdr:col>
      <xdr:colOff>353786</xdr:colOff>
      <xdr:row>63</xdr:row>
      <xdr:rowOff>190500</xdr:rowOff>
    </xdr:to>
    <xdr:cxnSp macro="">
      <xdr:nvCxnSpPr>
        <xdr:cNvPr id="11" name="直線矢印コネクタ 27">
          <a:extLst>
            <a:ext uri="{FF2B5EF4-FFF2-40B4-BE49-F238E27FC236}">
              <a16:creationId xmlns:a16="http://schemas.microsoft.com/office/drawing/2014/main" id="{59F76B4B-239B-4BE1-B6E1-5D26108F17DC}"/>
            </a:ext>
          </a:extLst>
        </xdr:cNvPr>
        <xdr:cNvCxnSpPr/>
      </xdr:nvCxnSpPr>
      <xdr:spPr>
        <a:xfrm flipH="1">
          <a:off x="19265265" y="16788493"/>
          <a:ext cx="2157821" cy="661307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554179</xdr:colOff>
      <xdr:row>61</xdr:row>
      <xdr:rowOff>13855</xdr:rowOff>
    </xdr:from>
    <xdr:to>
      <xdr:col>12</xdr:col>
      <xdr:colOff>557644</xdr:colOff>
      <xdr:row>64</xdr:row>
      <xdr:rowOff>0</xdr:rowOff>
    </xdr:to>
    <xdr:cxnSp macro="">
      <xdr:nvCxnSpPr>
        <xdr:cNvPr id="12" name="直線矢印コネクタ 25">
          <a:extLst>
            <a:ext uri="{FF2B5EF4-FFF2-40B4-BE49-F238E27FC236}">
              <a16:creationId xmlns:a16="http://schemas.microsoft.com/office/drawing/2014/main" id="{DF16A6B5-357C-458B-B706-0F957451F302}"/>
            </a:ext>
          </a:extLst>
        </xdr:cNvPr>
        <xdr:cNvCxnSpPr/>
      </xdr:nvCxnSpPr>
      <xdr:spPr>
        <a:xfrm>
          <a:off x="9858199" y="16777855"/>
          <a:ext cx="3465" cy="702425"/>
        </a:xfrm>
        <a:prstGeom prst="straightConnector1">
          <a:avLst/>
        </a:prstGeom>
        <a:ln>
          <a:solidFill>
            <a:schemeClr val="tx1"/>
          </a:solidFill>
          <a:prstDash val="sysDot"/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4.%20Consolidation\FY25\Actuals\P&amp;L%20Summary\11.%20Feb\New%20OSP\FY25%20P&amp;L%20Summary%20Feb%20New%20KPI%20-%20NO%20ePWR.xlsx" TargetMode="External"/><Relationship Id="rId1" Type="http://schemas.openxmlformats.org/officeDocument/2006/relationships/externalLinkPath" Target="/4.%20Consolidation/FY25/Actuals/P&amp;L%20Summary/11.%20Feb/New%20OSP/FY25%20P&amp;L%20Summary%20Feb%20New%20KPI%20-%20NO%20ePW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4.%20Consolidation\FY25\Actuals\P&amp;L%20Summary\10.%20Jan\New%20OSP\REPORTING%20-%20NML\VARIANCE%20MASTER%20WORKING%20FILES\VA%20master%20file_Jan.xlsx" TargetMode="External"/><Relationship Id="rId1" Type="http://schemas.openxmlformats.org/officeDocument/2006/relationships/externalLinkPath" Target="/4.%20Consolidation/FY25/Actuals/P&amp;L%20Summary/10.%20Jan/New%20OSP/REPORTING%20-%20NML/VARIANCE%20MASTER%20WORKING%20FILES/VA%20master%20file_Jan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4.%20Consolidation\FY25\Actuals\P&amp;L%20Summary\11.%20Feb\New%20OSP\REPORTING%20-%20NML\VARIANCE%20MASTER%20WORKING%20FILES\Internal%20supporting%20files%20-%20VA\2.%20MFG%20Out%20Of%20Funct%20Analysis%20-%20Feb.xlsx" TargetMode="External"/><Relationship Id="rId1" Type="http://schemas.openxmlformats.org/officeDocument/2006/relationships/externalLinkPath" Target="Variance_all_files/Variance_all_files/Internal%20supporting%20files%20-%20VA/2.%20MFG%20Out%20Of%20Funct%20Analysis%20-%20Feb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4.%20Consolidation\FY25\Actuals\P&amp;L%20Summary\11.%20Feb\New%20OSP\REPORTING%20-%20NML\VARIANCE%20MASTER%20WORKING%20FILES\Variance%20Input\MZ%20-%20Liam\9.%20LIAM%20-%20%20February-25%20Functional%20PL(ROP)%20MZK%202.xlsx" TargetMode="External"/><Relationship Id="rId1" Type="http://schemas.openxmlformats.org/officeDocument/2006/relationships/externalLinkPath" Target="Variance_all_files/Variance_all_files/Variance%20Input/MZ%20-%20Liam/9.%20LIAM%20-%20%20February-25%20Functional%20PL(ROP)%20MZK%202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4.%20Consolidation\FY25\Actuals\P&amp;L%20Summary\11.%20Feb\New%20OSP\REPORTING%20-%20NML\VARIANCE%20MASTER%20WORKING%20FILES\Internal%20supporting%20files%20-%20VA\3.%20OCS_TdC%20-%20Feb.xlsx" TargetMode="External"/><Relationship Id="rId1" Type="http://schemas.openxmlformats.org/officeDocument/2006/relationships/externalLinkPath" Target="Variance_all_files/Variance_all_files/Internal%20supporting%20files%20-%20VA/3.%20OCS_TdC%20-%20Feb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4.%20Consolidation\FY25\Actuals\P&amp;L%20Summary\11.%20Feb\New%20OSP\REPORTING%20-%20NML\VARIANCE%20MASTER%20WORKING%20FILES\Internal%20supporting%20files%20-%20VA\1.%20HQ%20Items%20Analysis%20-%20Feb.xlsx" TargetMode="External"/><Relationship Id="rId1" Type="http://schemas.openxmlformats.org/officeDocument/2006/relationships/externalLinkPath" Target="Variance_all_files/Variance_all_files/Internal%20supporting%20files%20-%20VA/1.%20HQ%20Items%20Analysis%20-%20Feb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4.%20Consolidation\FY25\Actuals\P&amp;L%20Summary\07.%20Oct\New%20OSP\FY25%20P&amp;L%20Summary%20Oct%20New%20KPI.xlsx" TargetMode="External"/><Relationship Id="rId1" Type="http://schemas.openxmlformats.org/officeDocument/2006/relationships/externalLinkPath" Target="/4.%20Consolidation/FY25/Actuals/P&amp;L%20Summary/07.%20Oct/New%20OSP/FY25%20P&amp;L%20Summary%20Oct%20New%20KPI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4.%20Reporting\01.%20ACTUAL\02.%20WORKING%20FILES\FY25\07.%20October%20FY25\%231%20MASTER%20FILE%20-%20FY25%20OCT.xlsx" TargetMode="External"/><Relationship Id="rId1" Type="http://schemas.openxmlformats.org/officeDocument/2006/relationships/externalLinkPath" Target="/4.%20Reporting/01.%20ACTUAL/02.%20WORKING%20FILES/FY25/07.%20October%20FY25/#1 MASTER FILE - FY25 OCT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4.%20Consolidation\FY24\Actuals\P&amp;L%20Summary\12.Mar\FY24%20P&amp;L%20Summary%20Mar%20New%20KPI%20Last.xlsx" TargetMode="External"/><Relationship Id="rId1" Type="http://schemas.openxmlformats.org/officeDocument/2006/relationships/externalLinkPath" Target="/4.%20Consolidation/FY24/Actuals/P&amp;L%20Summary/12.Mar/FY24%20P&amp;L%20Summary%20Mar%20New%20KPI%20Last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4.%20Consolidation\FY25\Actuals\P&amp;L%20Summary\08.%20Nov\New%20OSP\FY25%20P&amp;L%20Summary%20Nov%20New%20KPI.xlsx" TargetMode="External"/><Relationship Id="rId1" Type="http://schemas.openxmlformats.org/officeDocument/2006/relationships/externalLinkPath" Target="/4.%20Consolidation/FY25/Actuals/P&amp;L%20Summary/08.%20Nov/New%20OSP/FY25%20P&amp;L%20Summary%20Nov%20New%20KPI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4.%20Reporting\04.%20OUTLOOK\FY24\Q4(0+3)\P&amp;L%20OL%20Q4%20(0+3).xlsx" TargetMode="External"/><Relationship Id="rId1" Type="http://schemas.openxmlformats.org/officeDocument/2006/relationships/externalLinkPath" Target="/4.%20Reporting/04.%20OUTLOOK/FY24/Q4(0+3)/P&amp;L%20OL%20Q4%20(0+3)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4.%20Reporting\04.%20OUTLOOK\FY25\Q1%20(2+1)\P&amp;L%20OL%20Q1%20(2+1).xlsx" TargetMode="External"/><Relationship Id="rId1" Type="http://schemas.openxmlformats.org/officeDocument/2006/relationships/externalLinkPath" Target="/4.%20Reporting/04.%20OUTLOOK/FY25/Q1%20(2+1)/P&amp;L%20OL%20Q1%20(2+1)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4.%20Reporting\01.%20ACTUAL\02.%20WORKING%20FILES\FY25\10.%20January%20FY25\%231%20MASTER%20FILE%20-%20FY25%20JAN.xlsx" TargetMode="External"/><Relationship Id="rId1" Type="http://schemas.openxmlformats.org/officeDocument/2006/relationships/externalLinkPath" Target="/4.%20Reporting/01.%20ACTUAL/02.%20WORKING%20FILES/FY25/10.%20January%20FY25/#1 MASTER FILE - FY25 JAN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4.%20Consolidation\FY25\Actuals\P&amp;L%20Summary\10.%20Jan\New%20OSP\FY25%20P&amp;L%20Summary%20Jan%20New%20KPI%20-%20NO%20ePWR.xlsx" TargetMode="External"/><Relationship Id="rId1" Type="http://schemas.openxmlformats.org/officeDocument/2006/relationships/externalLinkPath" Target="/4.%20Consolidation/FY25/Actuals/P&amp;L%20Summary/10.%20Jan/New%20OSP/FY25%20P&amp;L%20Summary%20Jan%20New%20KPI%20-%20NO%20ePWR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4.%20Reporting\01.%20ACTUAL\02.%20WORKING%20FILES\FY25\09.%20December%20FY25\%231%20MASTER%20FILE%20-%20FY25%20DEC.xlsx" TargetMode="External"/><Relationship Id="rId1" Type="http://schemas.openxmlformats.org/officeDocument/2006/relationships/externalLinkPath" Target="/4.%20Reporting/01.%20ACTUAL/02.%20WORKING%20FILES/FY25/09.%20December%20FY25/#1 MASTER FILE - FY25 DEC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4.%20Consolidation\FY25\Actuals\P&amp;L%20Summary\11.%20Feb\New%20OSP\New%20KPI%20P&amp;L%20FY25%20Actual%20-%20NO%20ePWR.xlsx" TargetMode="External"/><Relationship Id="rId1" Type="http://schemas.openxmlformats.org/officeDocument/2006/relationships/externalLinkPath" Target="/4.%20Consolidation/FY25/Actuals/P&amp;L%20Summary/11.%20Feb/New%20OSP/New%20KPI%20P&amp;L%20FY25%20Actual%20-%20NO%20ePWR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4.%20Consolidation/FY25/BP25/02_Reply#2/02. P&amp;L Summary/Final SCOS/New KPI P&amp;L BP25 R#2 - 2.1_new OSP with SCOS update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4.%20Consolidation\FY25\BP25\02_Reply%232\02.%20P&amp;L%20Summary\Final%20SCOS\FY25%20P&amp;L%20Summary%20BP25%20R%232.1%20New%20KPI%20Last%20with%20BT%20in%20TGK%20-%20new%20OSP%20&amp;%20SCOS%20update.xlsx" TargetMode="External"/><Relationship Id="rId1" Type="http://schemas.openxmlformats.org/officeDocument/2006/relationships/externalLinkPath" Target="/4.%20Consolidation/FY25/BP25/02_Reply#2/02. P&amp;L Summary/Final SCOS/FY25 P&amp;L Summary BP25 R#2.1 New KPI Last with BT in TGK - new OSP &amp; SCOS update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4.%20Consolidation\FY24\Actuals\P&amp;L%20Summary\03.%20Jun\01_Old%20OSP\New%20KPI%20P&amp;L%20FY24%20Actual_old%20OSP.xlsx" TargetMode="External"/><Relationship Id="rId1" Type="http://schemas.openxmlformats.org/officeDocument/2006/relationships/externalLinkPath" Target="/4.%20Consolidation/FY24/Actuals/P&amp;L%20Summary/03.%20Jun/01_Old%20OSP/New%20KPI%20P&amp;L%20FY24%20Actual_old%20OSP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4.%20Consolidation\FY24\Actuals\P&amp;L%20Summary\12.Mar\New%20KPI%20P&amp;L%20FY24%20Actual.xlsx" TargetMode="External"/><Relationship Id="rId1" Type="http://schemas.openxmlformats.org/officeDocument/2006/relationships/externalLinkPath" Target="/4.%20Consolidation/FY24/Actuals/P&amp;L%20Summary/12.Mar/New%20KPI%20P&amp;L%20FY24%20Actual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4.%20Consolidation\FY25\FC5+7\02.%20P&amp;L%20Summary\FY25%20P&amp;L%20Summary%20F5+7%20New%20KPI%20Last.xlsx" TargetMode="External"/><Relationship Id="rId1" Type="http://schemas.openxmlformats.org/officeDocument/2006/relationships/externalLinkPath" Target="/4.%20Consolidation/FY25/FC5+7/02.%20P&amp;L%20Summary/FY25%20P&amp;L%20Summary%20F5+7%20New%20KPI%20Last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4.%20Consolidation\FY25\FC5+7\02.%20P&amp;L%20Summary\New%20KPI%20P&amp;L%20FY25%20FC5+7.xlsx" TargetMode="External"/><Relationship Id="rId1" Type="http://schemas.openxmlformats.org/officeDocument/2006/relationships/externalLinkPath" Target="/4.%20Consolidation/FY25/FC5+7/02.%20P&amp;L%20Summary/New%20KPI%20P&amp;L%20FY25%20FC5+7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4.%20Consolidation\FY25\FC7+5\02.%20P&amp;L%20Summary\FY25%20P&amp;L%20Summary%207+5%20New%20KPI%20-%20FOR%20ACTUAL%20JAN%20CLOSE%20ONWARDS.xlsx" TargetMode="External"/><Relationship Id="rId1" Type="http://schemas.openxmlformats.org/officeDocument/2006/relationships/externalLinkPath" Target="/4.%20Consolidation/FY25/FC7+5/02.%20P&amp;L%20Summary/FY25%20P&amp;L%20Summary%207+5%20New%20KPI%20-%20FOR%20ACTUAL%20JAN%20CLOSE%20ONWARDS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4.%20Consolidation\FY25\FC7+5\02.%20P&amp;L%20Summary\New%20KPI%20P&amp;L%20FY25%207+5%20-%20FOR%20ACTUAL%20JAN%20CLOSE%20ONWARDS.xlsx" TargetMode="External"/><Relationship Id="rId1" Type="http://schemas.openxmlformats.org/officeDocument/2006/relationships/externalLinkPath" Target="/4.%20Consolidation/FY25/FC7+5/02.%20P&amp;L%20Summary/New%20KPI%20P&amp;L%20FY25%207+5%20-%20FOR%20ACTUAL%20JAN%20CLOSE%20ONWARDS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4.%20Consolidation\FY25\Actuals\P&amp;L%20Summary\09.%20Dec\New%20OSP\REPORTING%20-%20NML\(NE)%20NewKPI%20Variance%20Analysis%20FY25%20Actual_Dec%20WI%202101.xlsx" TargetMode="External"/><Relationship Id="rId1" Type="http://schemas.openxmlformats.org/officeDocument/2006/relationships/externalLinkPath" Target="/4.%20Consolidation/FY25/Actuals/P&amp;L%20Summary/09.%20Dec/New%20OSP/REPORTING%20-%20NML/(NE)%20NewKPI%20Variance%20Analysis%20FY25%20Actual_Dec%20WI%202101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4.%20Consolidation\FY25\FC2+10\02.%20P&amp;L%20Summary\02.%20New%20OSP\Final%20SCOS\New%20KPI%20P&amp;L%20FY25%20FC2+10_new%20OSP%20&amp;%20SCOS%20update.xlsx" TargetMode="External"/><Relationship Id="rId1" Type="http://schemas.openxmlformats.org/officeDocument/2006/relationships/externalLinkPath" Target="/4.%20Consolidation/FY25/FC2+10/02.%20P&amp;L%20Summary/02.%20New%20OSP/Final%20SCOS/New%20KPI%20P&amp;L%20FY25%20FC2+10_new%20OSP%20&amp;%20SCOS%20update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4.%20Consolidation\FY25\FC2+10\02.%20P&amp;L%20Summary\02.%20New%20OSP\FY25%20P&amp;L%20Summary%20F2+10%20New%20KPI%20Last_only%20OSP%20update.xlsx" TargetMode="External"/><Relationship Id="rId1" Type="http://schemas.openxmlformats.org/officeDocument/2006/relationships/externalLinkPath" Target="/4.%20Consolidation/FY25/FC2+10/02.%20P&amp;L%20Summary/02.%20New%20OSP/FY25%20P&amp;L%20Summary%20F2+10%20New%20KPI%20Last_only%20OSP%20update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4.%20Consolidation\FY24\Actuals\Reporting\11.%20Feb\VA%20master%20file_Feb%202024.xlsx" TargetMode="External"/><Relationship Id="rId1" Type="http://schemas.openxmlformats.org/officeDocument/2006/relationships/externalLinkPath" Target="/4.%20Consolidation/FY24/Actuals/Reporting/11.%20Feb/VA%20master%20file_Feb%202024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4.%20Reporting\04.%20OUTLOOK\FY25\Q4%20(1+2)\PL%20OL%20Q4%20(1+2).xlsx" TargetMode="External"/><Relationship Id="rId1" Type="http://schemas.openxmlformats.org/officeDocument/2006/relationships/externalLinkPath" Target="/4.%20Reporting/04.%20OUTLOOK/FY25/Q4%20(1+2)/PL%20OL%20Q4%20(1+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OP"/>
      <sheetName val="Summary"/>
      <sheetName val="P&amp;L Actual"/>
      <sheetName val="ROP NE (Tagetik)"/>
      <sheetName val="ROP NE (Tagetik) (2) Prior"/>
      <sheetName val="NE last month"/>
      <sheetName val="TGK before upd XFK"/>
      <sheetName val="European Wholesale Volume - Ni"/>
      <sheetName val="ROP East (Tagetik)"/>
      <sheetName val="East prev month"/>
      <sheetName val="MZ conso TGK"/>
      <sheetName val="OCS details"/>
      <sheetName val="P&amp;L BP"/>
      <sheetName val="P&amp;L 2+10"/>
      <sheetName val="P&amp;L 7+5"/>
      <sheetName val="P&amp;L 5+7"/>
      <sheetName val="P&amp;L LY"/>
      <sheetName val="MCPP NE (Tagetik)"/>
      <sheetName val="MCPP East (Tagetik)"/>
      <sheetName val="P&amp;L vs BP"/>
      <sheetName val="New KPI Actual"/>
      <sheetName val="New KPI Actual Prior"/>
      <sheetName val="New KPI BP"/>
      <sheetName val="New KPI 2+10"/>
      <sheetName val="New KPI 7+5"/>
      <sheetName val="New KPI 5+7"/>
      <sheetName val="New KPI LY"/>
      <sheetName val="MCPP BP @BP"/>
      <sheetName val="MCPP LY @ BP"/>
      <sheetName val="Nissan Europe (MCPP)"/>
      <sheetName val="East (MCPP)"/>
      <sheetName val="SCOS reclass ROP"/>
      <sheetName val="SCOS reclass new KPI"/>
      <sheetName val="FX vs LY"/>
      <sheetName val="FX vs BP"/>
      <sheetName val="FX vs 2+10"/>
      <sheetName val="SCOS reclass old"/>
      <sheetName val="FX vs 7+5"/>
      <sheetName val="FX vs 5+7"/>
      <sheetName val="New KPI vs BP"/>
      <sheetName val="Relief"/>
      <sheetName val="Reclass"/>
      <sheetName val="HQ Tagetik"/>
      <sheetName val="Others"/>
      <sheetName val="HFM Jun"/>
      <sheetName val="HFM Mar"/>
      <sheetName val="HFM Apr"/>
      <sheetName val="HFM May"/>
      <sheetName val="HFM Aug"/>
      <sheetName val="HFM Jul"/>
      <sheetName val="HFM Sep"/>
      <sheetName val="HFM Oct"/>
      <sheetName val="HFM Nov"/>
      <sheetName val="HFM Dec"/>
      <sheetName val="HFM Jan"/>
      <sheetName val="HFM Feb"/>
    </sheetNames>
    <sheetDataSet>
      <sheetData sheetId="0"/>
      <sheetData sheetId="1"/>
      <sheetData sheetId="2">
        <row r="5">
          <cell r="R5">
            <v>24721</v>
          </cell>
          <cell r="S5">
            <v>0</v>
          </cell>
        </row>
        <row r="6">
          <cell r="Q6">
            <v>0</v>
          </cell>
          <cell r="R6">
            <v>0</v>
          </cell>
          <cell r="S6">
            <v>0</v>
          </cell>
        </row>
        <row r="7">
          <cell r="R7">
            <v>0</v>
          </cell>
          <cell r="S7">
            <v>0</v>
          </cell>
        </row>
        <row r="9">
          <cell r="R9">
            <v>1230.6235999999999</v>
          </cell>
          <cell r="S9">
            <v>0</v>
          </cell>
        </row>
        <row r="21">
          <cell r="R21">
            <v>28614</v>
          </cell>
          <cell r="S21">
            <v>0</v>
          </cell>
        </row>
        <row r="22">
          <cell r="R22">
            <v>4</v>
          </cell>
          <cell r="S22">
            <v>0</v>
          </cell>
        </row>
        <row r="23">
          <cell r="R23">
            <v>0</v>
          </cell>
          <cell r="S23">
            <v>0</v>
          </cell>
        </row>
        <row r="27">
          <cell r="R27">
            <v>727</v>
          </cell>
          <cell r="S27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8">
          <cell r="AK18">
            <v>249036</v>
          </cell>
          <cell r="AN18">
            <v>25381</v>
          </cell>
          <cell r="AO18">
            <v>25782</v>
          </cell>
        </row>
        <row r="27">
          <cell r="AN27">
            <v>727</v>
          </cell>
          <cell r="AO27">
            <v>850</v>
          </cell>
        </row>
        <row r="28">
          <cell r="AN28">
            <v>29345</v>
          </cell>
          <cell r="AO28">
            <v>34258</v>
          </cell>
        </row>
        <row r="134">
          <cell r="AP134">
            <v>-5.5543035000000018E-2</v>
          </cell>
        </row>
        <row r="166">
          <cell r="AP166">
            <v>0.11757229700000016</v>
          </cell>
        </row>
        <row r="238">
          <cell r="AP238">
            <v>2.5160801399999997</v>
          </cell>
        </row>
      </sheetData>
      <sheetData sheetId="20">
        <row r="33">
          <cell r="P33">
            <v>-5.9481298000000009E-2</v>
          </cell>
          <cell r="Q33">
            <v>0</v>
          </cell>
        </row>
        <row r="220">
          <cell r="P220">
            <v>15.001153421</v>
          </cell>
          <cell r="Q220">
            <v>0</v>
          </cell>
        </row>
        <row r="344">
          <cell r="P344">
            <v>1.23</v>
          </cell>
          <cell r="Q344">
            <v>0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>
        <row r="5">
          <cell r="CB5">
            <v>16.778267069145148</v>
          </cell>
        </row>
        <row r="6">
          <cell r="CB6">
            <v>0</v>
          </cell>
        </row>
        <row r="7">
          <cell r="BY7">
            <v>-0.4215293360000027</v>
          </cell>
        </row>
        <row r="9">
          <cell r="CB9">
            <v>-0.73316712330112699</v>
          </cell>
        </row>
        <row r="10">
          <cell r="CA10">
            <v>-0.15883614569764504</v>
          </cell>
        </row>
        <row r="12">
          <cell r="CA12">
            <v>0</v>
          </cell>
        </row>
        <row r="15">
          <cell r="CA15">
            <v>-1.5175597239769543</v>
          </cell>
          <cell r="CB15">
            <v>0.89735418951821511</v>
          </cell>
        </row>
        <row r="19">
          <cell r="CA19">
            <v>0.70969703797435812</v>
          </cell>
          <cell r="CG19">
            <v>-216.51201617600003</v>
          </cell>
        </row>
        <row r="21">
          <cell r="BY21">
            <v>-14.892387331901114</v>
          </cell>
        </row>
        <row r="22">
          <cell r="BY22">
            <v>-4.1828602748889034</v>
          </cell>
        </row>
        <row r="23">
          <cell r="BY23">
            <v>19.370083630801819</v>
          </cell>
        </row>
        <row r="26">
          <cell r="CB26">
            <v>-7.6822924303201381E-2</v>
          </cell>
        </row>
        <row r="27">
          <cell r="BY27">
            <v>0</v>
          </cell>
        </row>
        <row r="30">
          <cell r="CG30">
            <v>-0.32967073299999999</v>
          </cell>
        </row>
        <row r="32">
          <cell r="BY32">
            <v>0</v>
          </cell>
        </row>
        <row r="34">
          <cell r="CA34">
            <v>-2.7393415829880436</v>
          </cell>
        </row>
        <row r="471">
          <cell r="CA471">
            <v>-3.2321582228755545</v>
          </cell>
        </row>
        <row r="472">
          <cell r="CA472">
            <v>0</v>
          </cell>
        </row>
        <row r="473">
          <cell r="CA473">
            <v>-9.5046106829203225E-2</v>
          </cell>
        </row>
        <row r="475">
          <cell r="CA475">
            <v>-1.1488051356988813</v>
          </cell>
        </row>
        <row r="478">
          <cell r="CA478">
            <v>-0.15883614569764504</v>
          </cell>
        </row>
        <row r="479">
          <cell r="CA479">
            <v>-1.5175597239769543</v>
          </cell>
        </row>
        <row r="490">
          <cell r="CA490">
            <v>0.47775322382640367</v>
          </cell>
        </row>
        <row r="491">
          <cell r="CA491">
            <v>0</v>
          </cell>
        </row>
        <row r="492">
          <cell r="CA492">
            <v>6.2629889773386316E-3</v>
          </cell>
        </row>
        <row r="494">
          <cell r="CA494">
            <v>0</v>
          </cell>
        </row>
        <row r="495">
          <cell r="CA495">
            <v>1.1739770776040999</v>
          </cell>
        </row>
        <row r="496">
          <cell r="CA496">
            <v>0.87953782490220744</v>
          </cell>
        </row>
        <row r="500">
          <cell r="BY500">
            <v>-1.051956512530122</v>
          </cell>
        </row>
        <row r="502">
          <cell r="CA502">
            <v>0.14510341037233676</v>
          </cell>
        </row>
        <row r="509">
          <cell r="CA509">
            <v>2.0731546303201343E-2</v>
          </cell>
        </row>
        <row r="516">
          <cell r="CA516">
            <v>0</v>
          </cell>
        </row>
        <row r="517">
          <cell r="CA517">
            <v>0</v>
          </cell>
        </row>
        <row r="518">
          <cell r="CA518">
            <v>6.4213024904393316E-7</v>
          </cell>
        </row>
      </sheetData>
      <sheetData sheetId="40">
        <row r="80">
          <cell r="O80">
            <v>5.7930602001706539</v>
          </cell>
          <cell r="P80">
            <v>0</v>
          </cell>
        </row>
        <row r="81">
          <cell r="O81">
            <v>0</v>
          </cell>
          <cell r="P81">
            <v>0</v>
          </cell>
        </row>
        <row r="82">
          <cell r="O82">
            <v>0</v>
          </cell>
          <cell r="P82">
            <v>0</v>
          </cell>
        </row>
        <row r="83">
          <cell r="O83">
            <v>-0.188</v>
          </cell>
          <cell r="P83">
            <v>0</v>
          </cell>
        </row>
        <row r="84">
          <cell r="O84">
            <v>-1.5959300000000001</v>
          </cell>
          <cell r="P84">
            <v>0</v>
          </cell>
        </row>
        <row r="87">
          <cell r="O87">
            <v>-3.5540942700000002</v>
          </cell>
        </row>
        <row r="95">
          <cell r="O95">
            <v>0</v>
          </cell>
          <cell r="P95">
            <v>0</v>
          </cell>
        </row>
        <row r="96">
          <cell r="O96">
            <v>-1.0830499497872215</v>
          </cell>
          <cell r="P96">
            <v>0</v>
          </cell>
        </row>
        <row r="97">
          <cell r="O97">
            <v>-2.2447506547905505E-7</v>
          </cell>
        </row>
      </sheetData>
      <sheetData sheetId="41">
        <row r="5">
          <cell r="M5">
            <v>1.3497170353466006</v>
          </cell>
        </row>
      </sheetData>
      <sheetData sheetId="42"/>
      <sheetData sheetId="43">
        <row r="6">
          <cell r="K6">
            <v>1352.23386</v>
          </cell>
        </row>
        <row r="11">
          <cell r="M11">
            <v>-0.75551000000000001</v>
          </cell>
        </row>
      </sheetData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ummary month"/>
      <sheetName val="Summary YTD"/>
      <sheetName val="MTD VA vs LY"/>
      <sheetName val="YTD VA LY"/>
      <sheetName val="MTD VA vs BP"/>
      <sheetName val="YTD VA vs BP"/>
      <sheetName val="Q2 Act VA vs Q2 FC2+10"/>
      <sheetName val="MTD VA vs LY_old"/>
      <sheetName val="YTD VA vs LY_old"/>
      <sheetName val="QTD VA vs BP"/>
      <sheetName val="MTD VA vs 2+10"/>
      <sheetName val="YTD VA vs 2+10"/>
      <sheetName val="MTD VA vs OL (0+3)"/>
      <sheetName val="QTD VA vs OL(0+3)"/>
      <sheetName val="QTD VA vs 5+7"/>
      <sheetName val="QTD VA vs 5+7 (2)"/>
      <sheetName val="Q1 vs Q2 (2+10)"/>
      <sheetName val="MTD vs Q1 OL (2+1) Jun"/>
      <sheetName val="Q1 2+1 VA vs OL (0+3)"/>
      <sheetName val="Q1(2+1) VA vs OL(0+3)"/>
      <sheetName val="MTD VA vs LY CMPI-FC"/>
      <sheetName val="YTD VA vs LY CMPI-FC"/>
      <sheetName val="QTD VA vs LY CMPI_FC"/>
      <sheetName val="MTD VA vs 5+7"/>
      <sheetName val="YTD VA vs 5+7"/>
      <sheetName val="MTD VA vs 7+5"/>
      <sheetName val="YTD VA vs 7+5"/>
      <sheetName val="QTD Q3 vs FC7+5 Q4"/>
      <sheetName val="QTD Q3 vs FC7+5 Q3"/>
      <sheetName val=" VA vs PM"/>
      <sheetName val="Act"/>
      <sheetName val="BP"/>
      <sheetName val="LY"/>
      <sheetName val="FC5+7"/>
      <sheetName val="FC7+5"/>
      <sheetName val="MTD VA vs 5+7 (ORIGINAL)"/>
      <sheetName val="YTD VA vs 5+7 (ORIGINAL)"/>
      <sheetName val="FC2+10"/>
      <sheetName val="OL"/>
      <sheetName val="mapping"/>
      <sheetName val="Summary by Quarter"/>
    </sheetNames>
    <sheetDataSet>
      <sheetData sheetId="0"/>
      <sheetData sheetId="1"/>
      <sheetData sheetId="2"/>
      <sheetData sheetId="3"/>
      <sheetData sheetId="4">
        <row r="19">
          <cell r="E19">
            <v>-151.206977332881</v>
          </cell>
          <cell r="G19">
            <v>190.17114348390982</v>
          </cell>
        </row>
        <row r="25">
          <cell r="I25"/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base"/>
      <sheetName val="Q4FC vs Q3act"/>
      <sheetName val="MTD vs BP"/>
      <sheetName val="YTD vs BP"/>
      <sheetName val="YTD vs FC8+4"/>
      <sheetName val="QTD vs BP"/>
      <sheetName val="MTD vs LY"/>
      <sheetName val="YTD vs LY"/>
      <sheetName val="MTD vs 5+7"/>
      <sheetName val="YTD vs 5+7"/>
      <sheetName val="QTD vs 5+7"/>
      <sheetName val="MTD vs 7+5"/>
      <sheetName val="YTD vs 7+5"/>
      <sheetName val="vs QTD 0+3 OL"/>
      <sheetName val="MTD vs Q4 1+2 OL "/>
      <sheetName val="BP R2 vs FY24"/>
      <sheetName val="MoM"/>
      <sheetName val=" Q3 Actual vs 7+5 Q4"/>
      <sheetName val=" Q3 Actual vs 7+5 Q3"/>
      <sheetName val=" QTD vs 2+10"/>
      <sheetName val="MTD vs 2+10"/>
      <sheetName val="YTD vs 2+10"/>
      <sheetName val="MTD vs 2+1 OL Jun"/>
      <sheetName val=" Q1 vs 2+10 Q2"/>
      <sheetName val="2+10 YTD vs BP"/>
      <sheetName val="2+10 vs LY24"/>
      <sheetName val="2+10 Q2 vs Q1"/>
      <sheetName val="2+10 Q2 vs Q2BP"/>
      <sheetName val="2+10 H2 vs H1)"/>
      <sheetName val="MTD vs 0+3 OL"/>
      <sheetName val="QTD vs LY"/>
    </sheetNames>
    <sheetDataSet>
      <sheetData sheetId="0"/>
      <sheetData sheetId="1"/>
      <sheetData sheetId="2"/>
      <sheetData sheetId="3"/>
      <sheetData sheetId="4"/>
      <sheetData sheetId="5"/>
      <sheetData sheetId="6">
        <row r="5">
          <cell r="E5">
            <v>1.0408928000000015</v>
          </cell>
        </row>
        <row r="6">
          <cell r="E6">
            <v>-0.14000000000000001</v>
          </cell>
        </row>
        <row r="7">
          <cell r="E7">
            <v>0.4826929870445783</v>
          </cell>
        </row>
        <row r="8">
          <cell r="E8">
            <v>-6.225229999999999E-2</v>
          </cell>
        </row>
        <row r="9">
          <cell r="E9">
            <v>-0.52825604299999995</v>
          </cell>
        </row>
        <row r="11">
          <cell r="E11">
            <v>-3.5985595000000012</v>
          </cell>
        </row>
      </sheetData>
      <sheetData sheetId="7">
        <row r="5">
          <cell r="E5">
            <v>13.922837300000001</v>
          </cell>
        </row>
      </sheetData>
      <sheetData sheetId="8">
        <row r="5">
          <cell r="E5">
            <v>0.12057680712510502</v>
          </cell>
        </row>
      </sheetData>
      <sheetData sheetId="9">
        <row r="5">
          <cell r="E5">
            <v>0.32237697727781006</v>
          </cell>
        </row>
      </sheetData>
      <sheetData sheetId="10"/>
      <sheetData sheetId="11">
        <row r="5">
          <cell r="E5">
            <v>-5.5980000000000023E-3</v>
          </cell>
        </row>
      </sheetData>
      <sheetData sheetId="12">
        <row r="5">
          <cell r="E5">
            <v>-1.5831700000000011E-2</v>
          </cell>
        </row>
      </sheetData>
      <sheetData sheetId="13"/>
      <sheetData sheetId="14">
        <row r="5">
          <cell r="E5">
            <v>-5.5980000000000023E-3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vs PY MTD"/>
      <sheetName val="vs PY YTD"/>
      <sheetName val="Database"/>
      <sheetName val="YTD P&amp;L vs FY23"/>
      <sheetName val="MTD P&amp;L vs FY23"/>
      <sheetName val="Q3 P&amp;L vs FY19 "/>
      <sheetName val="Q4 P&amp;L vs FY19"/>
      <sheetName val="ITP change details"/>
      <sheetName val="Summary R2 domestic"/>
      <sheetName val="Summary R2 Export"/>
    </sheetNames>
    <sheetDataSet>
      <sheetData sheetId="0" refreshError="1"/>
      <sheetData sheetId="1">
        <row r="54">
          <cell r="I54">
            <v>17.322002899463094</v>
          </cell>
          <cell r="J54">
            <v>1.142172104029604E-2</v>
          </cell>
          <cell r="K54">
            <v>2.6593171845490673</v>
          </cell>
          <cell r="L54">
            <v>-2.4193085178715954</v>
          </cell>
          <cell r="M54">
            <v>-19.504273651081583</v>
          </cell>
        </row>
        <row r="59">
          <cell r="J59" t="str">
            <v>Supplier Claims</v>
          </cell>
          <cell r="M59">
            <v>0</v>
          </cell>
        </row>
        <row r="60">
          <cell r="J60" t="str">
            <v>OMP</v>
          </cell>
          <cell r="M60">
            <v>-3.830843443308293</v>
          </cell>
        </row>
        <row r="61">
          <cell r="J61" t="str">
            <v>Inflation claims</v>
          </cell>
          <cell r="M61">
            <v>-12.852131627896267</v>
          </cell>
        </row>
        <row r="62">
          <cell r="J62" t="str">
            <v>Renault &amp; ACI Price</v>
          </cell>
          <cell r="M62">
            <v>1.718998934</v>
          </cell>
        </row>
        <row r="67">
          <cell r="M67">
            <v>-4.5402975138770234</v>
          </cell>
        </row>
      </sheetData>
      <sheetData sheetId="2">
        <row r="54">
          <cell r="I54">
            <v>81.544688561533604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M"/>
      <sheetName val="vs OL(1+2)"/>
      <sheetName val="vs OL(2+1) Jun MTD"/>
      <sheetName val="(2+1)vs OL(0+3)"/>
      <sheetName val="vs FC5+7"/>
      <sheetName val="vs BP"/>
      <sheetName val="vs FC7+5"/>
      <sheetName val="Vs 2+10"/>
      <sheetName val="Vs LY"/>
      <sheetName val="CM CY vs CM LY "/>
      <sheetName val="Vs FC5+7MTD-YTD"/>
      <sheetName val="Sheet1"/>
      <sheetName val="Q1 vs 2+10Q2"/>
      <sheetName val="2+10Q2 vs BPQ2"/>
      <sheetName val="2+10Q2 vs Q1"/>
      <sheetName val="2+10 H2 vs H1(2)"/>
    </sheetNames>
    <sheetDataSet>
      <sheetData sheetId="0"/>
      <sheetData sheetId="1">
        <row r="19">
          <cell r="D19">
            <v>8.1841047732225043</v>
          </cell>
        </row>
      </sheetData>
      <sheetData sheetId="2"/>
      <sheetData sheetId="3"/>
      <sheetData sheetId="4"/>
      <sheetData sheetId="5"/>
      <sheetData sheetId="6">
        <row r="19">
          <cell r="D19">
            <v>4.4038183839999991</v>
          </cell>
        </row>
      </sheetData>
      <sheetData sheetId="7"/>
      <sheetData sheetId="8">
        <row r="21">
          <cell r="F21">
            <v>2.1505437950499253</v>
          </cell>
        </row>
        <row r="22">
          <cell r="F22">
            <v>0.18807509922320509</v>
          </cell>
        </row>
        <row r="23">
          <cell r="F23">
            <v>-5.8671505200185381E-2</v>
          </cell>
        </row>
        <row r="25">
          <cell r="F25">
            <v>-0.23736499999999999</v>
          </cell>
        </row>
      </sheetData>
      <sheetData sheetId="9"/>
      <sheetData sheetId="10">
        <row r="21">
          <cell r="D21">
            <v>5.9863973930000007</v>
          </cell>
        </row>
      </sheetData>
      <sheetData sheetId="11"/>
      <sheetData sheetId="12"/>
      <sheetData sheetId="13"/>
      <sheetData sheetId="14"/>
      <sheetData sheetId="1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base"/>
      <sheetName val="MTD vs BP"/>
      <sheetName val="YTD vs BP"/>
      <sheetName val="MTD vs LY"/>
      <sheetName val="YTD vs LY"/>
      <sheetName val="MTD vs 5+7"/>
      <sheetName val="MTD vs Q4 1+2 OL "/>
      <sheetName val="YTD vs 5+7"/>
      <sheetName val="MTD vs 2+10"/>
      <sheetName val="YTD vs 2+10"/>
      <sheetName val="Actual Q2 vs Q2 FC2+10"/>
      <sheetName val="FC2+10 YTD vs BP"/>
      <sheetName val="FC2+10 Q2 vs BP Q2"/>
      <sheetName val="FC2+10 Q2 vs Q1 FC2+10"/>
      <sheetName val="FC2+10 H2 vs H1 FC2+10 "/>
      <sheetName val="FC2+10 YTD vs LY"/>
      <sheetName val="MTD vs 7+5"/>
      <sheetName val="YTD vs 7+5"/>
      <sheetName val="Q4 vs LY "/>
      <sheetName val="MTD vs Q4 0+3 OL"/>
      <sheetName val="MTD vs 0+3 OL"/>
      <sheetName val="MoM"/>
      <sheetName val="QTD vs 5+7 Q3"/>
      <sheetName val="MTD vs 2+1 OL"/>
      <sheetName val="QTD vs 5+7 Q4"/>
      <sheetName val="Notes"/>
      <sheetName val="QTD vs LY"/>
      <sheetName val="QTD vs BP"/>
      <sheetName val="QTD vs Q4OL"/>
      <sheetName val="YTD vs FC8+4"/>
      <sheetName val="MTD vs OL"/>
      <sheetName val="QTD vs 5+7"/>
    </sheetNames>
    <sheetDataSet>
      <sheetData sheetId="0"/>
      <sheetData sheetId="1"/>
      <sheetData sheetId="2"/>
      <sheetData sheetId="3">
        <row r="8">
          <cell r="F8">
            <v>-14.752834291901115</v>
          </cell>
        </row>
        <row r="13">
          <cell r="F13">
            <v>0.15833332999999994</v>
          </cell>
        </row>
        <row r="17">
          <cell r="F17">
            <v>-0.38548446999999997</v>
          </cell>
        </row>
        <row r="18">
          <cell r="F18">
            <v>-4.0539673994127225</v>
          </cell>
        </row>
        <row r="22">
          <cell r="F22">
            <v>-0.71133662680673837</v>
          </cell>
        </row>
        <row r="23">
          <cell r="F23">
            <v>0.22031469452382046</v>
          </cell>
        </row>
      </sheetData>
      <sheetData sheetId="4">
        <row r="7">
          <cell r="F7">
            <v>1.3522338600000001</v>
          </cell>
        </row>
      </sheetData>
      <sheetData sheetId="5">
        <row r="8">
          <cell r="F8">
            <v>3.6691067685802974</v>
          </cell>
        </row>
      </sheetData>
      <sheetData sheetId="6">
        <row r="8">
          <cell r="G8">
            <v>10.94738657051067</v>
          </cell>
        </row>
      </sheetData>
      <sheetData sheetId="7">
        <row r="8">
          <cell r="F8">
            <v>4.8053140889790615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8">
          <cell r="F8">
            <v>10.94738657051067</v>
          </cell>
        </row>
      </sheetData>
      <sheetData sheetId="17">
        <row r="7">
          <cell r="F7">
            <v>1.3522338600000001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OP"/>
      <sheetName val="Summary"/>
      <sheetName val="P&amp;L Actual"/>
      <sheetName val="ROP NE (Tagetik)"/>
      <sheetName val="NE last month"/>
      <sheetName val="ROP East (Tagetik)"/>
      <sheetName val="East prev month"/>
      <sheetName val="MZ conso TGK"/>
      <sheetName val="OCS details"/>
      <sheetName val="P&amp;L BP"/>
      <sheetName val="P&amp;L 2+10"/>
      <sheetName val="P&amp;L 7+5"/>
      <sheetName val="P&amp;L 5+7"/>
      <sheetName val="P&amp;L LY"/>
      <sheetName val="MCPP NE (Tagetik)"/>
      <sheetName val="MCPP East (Tagetik)"/>
      <sheetName val="P&amp;L vs BP"/>
      <sheetName val="New KPI Actual"/>
      <sheetName val="New KPI BP"/>
      <sheetName val="New KPI 2+10"/>
      <sheetName val="New KPI 7+5"/>
      <sheetName val="New KPI 5+7"/>
      <sheetName val="New KPI LY"/>
      <sheetName val="MCPP BP @BP"/>
      <sheetName val="MCPP LY @ BP"/>
      <sheetName val="Nissan Europe (MCPP)"/>
      <sheetName val="East (MCPP)"/>
      <sheetName val="SCOS reclass ROP"/>
      <sheetName val="SCOS reclass new KPI"/>
      <sheetName val="FX vs LY"/>
      <sheetName val="FX vs BP"/>
      <sheetName val="FX vs 2+10"/>
      <sheetName val="SCOS reclass old"/>
      <sheetName val="FX vs 7+5"/>
      <sheetName val="FX vs 5+7"/>
      <sheetName val="New KPI vs BP"/>
      <sheetName val="Relief"/>
      <sheetName val="Reclass"/>
      <sheetName val="HQ Tagetik"/>
      <sheetName val="Others"/>
      <sheetName val="HFM Jun"/>
      <sheetName val="HFM Mar"/>
      <sheetName val="HFM Apr"/>
      <sheetName val="HFM May"/>
      <sheetName val="HFM Aug"/>
      <sheetName val="HFM Jul"/>
      <sheetName val="HFM Sep"/>
      <sheetName val="HFM Oct"/>
      <sheetName val="HFM Nov"/>
      <sheetName val="HFM Dec"/>
      <sheetName val="HFM Jan"/>
      <sheetName val="HFM Feb"/>
    </sheetNames>
    <sheetDataSet>
      <sheetData sheetId="0" refreshError="1"/>
      <sheetData sheetId="1" refreshError="1"/>
      <sheetData sheetId="2">
        <row r="5">
          <cell r="H5">
            <v>20429</v>
          </cell>
        </row>
        <row r="76">
          <cell r="K76">
            <v>-107.465346056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353">
          <cell r="M353"/>
        </row>
      </sheetData>
      <sheetData sheetId="10" refreshError="1">
        <row r="5">
          <cell r="H5">
            <v>20429</v>
          </cell>
          <cell r="I5">
            <v>26765</v>
          </cell>
          <cell r="J5">
            <v>33329</v>
          </cell>
          <cell r="K5">
            <v>27021</v>
          </cell>
          <cell r="L5">
            <v>18389</v>
          </cell>
          <cell r="M5">
            <v>34966</v>
          </cell>
          <cell r="N5">
            <v>28590</v>
          </cell>
          <cell r="O5">
            <v>30363</v>
          </cell>
          <cell r="P5">
            <v>30668</v>
          </cell>
          <cell r="Q5">
            <v>30502</v>
          </cell>
          <cell r="R5">
            <v>33303</v>
          </cell>
          <cell r="S5">
            <v>47102</v>
          </cell>
        </row>
        <row r="6"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</row>
        <row r="7"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</row>
        <row r="9">
          <cell r="H9">
            <v>1356.721</v>
          </cell>
          <cell r="I9">
            <v>1404.9649999999999</v>
          </cell>
          <cell r="J9">
            <v>1570.896</v>
          </cell>
          <cell r="K9">
            <v>1302.847</v>
          </cell>
          <cell r="L9">
            <v>1027.3140000000001</v>
          </cell>
          <cell r="M9">
            <v>1408.367</v>
          </cell>
          <cell r="N9">
            <v>1286.49</v>
          </cell>
          <cell r="O9">
            <v>1329.8820000000001</v>
          </cell>
          <cell r="P9">
            <v>1356.434</v>
          </cell>
          <cell r="Q9">
            <v>1259.2919999999999</v>
          </cell>
          <cell r="R9">
            <v>1220.4190000000001</v>
          </cell>
          <cell r="S9">
            <v>1756.1880000000001</v>
          </cell>
        </row>
        <row r="21">
          <cell r="H21">
            <v>16118</v>
          </cell>
          <cell r="I21">
            <v>23011</v>
          </cell>
          <cell r="J21">
            <v>30135</v>
          </cell>
          <cell r="K21">
            <v>20220</v>
          </cell>
          <cell r="L21">
            <v>19399</v>
          </cell>
          <cell r="M21">
            <v>36869</v>
          </cell>
          <cell r="N21">
            <v>29256</v>
          </cell>
          <cell r="O21">
            <v>32601</v>
          </cell>
          <cell r="P21">
            <v>31797</v>
          </cell>
          <cell r="Q21">
            <v>31186</v>
          </cell>
          <cell r="R21">
            <v>36509</v>
          </cell>
          <cell r="S21">
            <v>47709</v>
          </cell>
        </row>
        <row r="22">
          <cell r="H22">
            <v>7</v>
          </cell>
          <cell r="I22">
            <v>1</v>
          </cell>
          <cell r="J22">
            <v>12</v>
          </cell>
          <cell r="K22">
            <v>10</v>
          </cell>
          <cell r="L22">
            <v>10</v>
          </cell>
          <cell r="M22">
            <v>12</v>
          </cell>
          <cell r="N22">
            <v>13</v>
          </cell>
          <cell r="O22">
            <v>14</v>
          </cell>
          <cell r="P22">
            <v>14</v>
          </cell>
          <cell r="Q22">
            <v>0</v>
          </cell>
          <cell r="R22">
            <v>0</v>
          </cell>
          <cell r="S22">
            <v>0</v>
          </cell>
        </row>
        <row r="23"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</row>
        <row r="27">
          <cell r="H27">
            <v>481</v>
          </cell>
          <cell r="I27">
            <v>1491</v>
          </cell>
          <cell r="J27">
            <v>1027</v>
          </cell>
          <cell r="K27">
            <v>752</v>
          </cell>
          <cell r="L27">
            <v>966</v>
          </cell>
          <cell r="M27">
            <v>968</v>
          </cell>
          <cell r="N27">
            <v>701</v>
          </cell>
          <cell r="O27">
            <v>610</v>
          </cell>
          <cell r="P27">
            <v>1392</v>
          </cell>
          <cell r="Q27">
            <v>1534</v>
          </cell>
          <cell r="R27">
            <v>1280</v>
          </cell>
          <cell r="S27">
            <v>1142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9">
          <cell r="L9">
            <v>9696.2503149999993</v>
          </cell>
        </row>
        <row r="18">
          <cell r="H18">
            <v>27586</v>
          </cell>
          <cell r="I18">
            <v>31133</v>
          </cell>
          <cell r="L18">
            <v>154758</v>
          </cell>
          <cell r="M18">
            <v>160906</v>
          </cell>
          <cell r="T18">
            <v>27586</v>
          </cell>
          <cell r="U18">
            <v>28843.4</v>
          </cell>
        </row>
        <row r="24">
          <cell r="H24">
            <v>22727</v>
          </cell>
          <cell r="I24">
            <v>29656</v>
          </cell>
          <cell r="L24">
            <v>170974</v>
          </cell>
          <cell r="M24">
            <v>177129</v>
          </cell>
          <cell r="T24">
            <v>22727</v>
          </cell>
          <cell r="U24">
            <v>29269</v>
          </cell>
        </row>
        <row r="27">
          <cell r="H27">
            <v>601</v>
          </cell>
          <cell r="I27">
            <v>1135</v>
          </cell>
          <cell r="L27">
            <v>4870</v>
          </cell>
          <cell r="M27">
            <v>8139</v>
          </cell>
          <cell r="T27">
            <v>601</v>
          </cell>
          <cell r="U27">
            <v>701</v>
          </cell>
        </row>
        <row r="238">
          <cell r="H238">
            <v>-5.0731856999999998</v>
          </cell>
          <cell r="N238">
            <v>-25.295175155000003</v>
          </cell>
          <cell r="V238">
            <v>-1.6247644229999998</v>
          </cell>
          <cell r="AP238">
            <v>5.1696300000000583E-2</v>
          </cell>
          <cell r="AT238">
            <v>-48.610831040000001</v>
          </cell>
        </row>
      </sheetData>
      <sheetData sheetId="17">
        <row r="2">
          <cell r="G2"/>
        </row>
      </sheetData>
      <sheetData sheetId="18">
        <row r="390">
          <cell r="V390">
            <v>0</v>
          </cell>
        </row>
      </sheetData>
      <sheetData sheetId="19" refreshError="1">
        <row r="33">
          <cell r="F33">
            <v>-3.1056917000000017E-2</v>
          </cell>
          <cell r="G33">
            <v>-2.0865730000000002E-2</v>
          </cell>
          <cell r="H33">
            <v>-7.8258735000000065E-2</v>
          </cell>
          <cell r="I33">
            <v>-6.2798800000000016E-2</v>
          </cell>
          <cell r="J33">
            <v>-7.1499042999999998E-2</v>
          </cell>
          <cell r="K33">
            <v>-7.9995942000000014E-2</v>
          </cell>
          <cell r="L33">
            <v>-8.6080773000000069E-2</v>
          </cell>
          <cell r="M33">
            <v>-9.3386112000000007E-2</v>
          </cell>
          <cell r="N33">
            <v>-9.4593313000000054E-2</v>
          </cell>
          <cell r="O33">
            <v>0</v>
          </cell>
          <cell r="P33">
            <v>0</v>
          </cell>
          <cell r="Q33">
            <v>0</v>
          </cell>
        </row>
        <row r="220">
          <cell r="F220">
            <v>11.986581189000001</v>
          </cell>
          <cell r="G220">
            <v>12.418130976</v>
          </cell>
          <cell r="H220">
            <v>12.917682055</v>
          </cell>
          <cell r="I220">
            <v>12.027752653</v>
          </cell>
          <cell r="J220">
            <v>7.9659430200000001</v>
          </cell>
          <cell r="K220">
            <v>17.570329984000001</v>
          </cell>
          <cell r="L220">
            <v>15.967381224</v>
          </cell>
          <cell r="M220">
            <v>17.740614691000001</v>
          </cell>
          <cell r="N220">
            <v>17.762573936999999</v>
          </cell>
          <cell r="O220">
            <v>17.941407117000001</v>
          </cell>
          <cell r="P220">
            <v>18.519904482000001</v>
          </cell>
          <cell r="Q220">
            <v>24.953342048</v>
          </cell>
        </row>
        <row r="344">
          <cell r="F344">
            <v>0.14099999999999999</v>
          </cell>
          <cell r="G344">
            <v>0.92700000000000005</v>
          </cell>
          <cell r="H344">
            <v>0.48115999999999998</v>
          </cell>
          <cell r="I344">
            <v>0.51815999999999995</v>
          </cell>
          <cell r="J344">
            <v>0.55915999999999999</v>
          </cell>
          <cell r="K344">
            <v>0.60416000000000003</v>
          </cell>
          <cell r="L344">
            <v>0.65315999999999996</v>
          </cell>
          <cell r="M344">
            <v>0.70616000000000001</v>
          </cell>
          <cell r="N344">
            <v>0.76215999999999995</v>
          </cell>
          <cell r="O344">
            <v>0.82316</v>
          </cell>
          <cell r="P344">
            <v>0.88715999999999995</v>
          </cell>
          <cell r="Q344">
            <v>0.95516000000000001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>
        <row r="2">
          <cell r="CE2"/>
        </row>
        <row r="15">
          <cell r="I15">
            <v>0</v>
          </cell>
          <cell r="O15">
            <v>-4.3801574539980397</v>
          </cell>
          <cell r="U15">
            <v>-3.4265598921445823</v>
          </cell>
          <cell r="AD15">
            <v>-0.66955099945883956</v>
          </cell>
          <cell r="AT15">
            <v>1.6126676020000001</v>
          </cell>
          <cell r="BX15">
            <v>4.0109880229999959</v>
          </cell>
          <cell r="CJ15">
            <v>-5.9131194426221594</v>
          </cell>
          <cell r="DK15"/>
        </row>
        <row r="19">
          <cell r="O19">
            <v>-0.65156484847707574</v>
          </cell>
          <cell r="CJ19">
            <v>1.3625436228872179</v>
          </cell>
        </row>
        <row r="20">
          <cell r="O20">
            <v>-0.10829057579495782</v>
          </cell>
          <cell r="AA20">
            <v>-5.8301479300000008</v>
          </cell>
          <cell r="BX20">
            <v>-7.3701925999999993</v>
          </cell>
          <cell r="CJ20">
            <v>0.46837781569350267</v>
          </cell>
        </row>
        <row r="34">
          <cell r="I34">
            <v>0</v>
          </cell>
          <cell r="O34">
            <v>-5.2241075062042936</v>
          </cell>
          <cell r="U34">
            <v>0.55761916862939342</v>
          </cell>
          <cell r="AD34">
            <v>-3.4541337065189515</v>
          </cell>
          <cell r="AT34">
            <v>-31.006949000002702</v>
          </cell>
          <cell r="BX34">
            <v>-7.3950652963751669</v>
          </cell>
          <cell r="CJ34">
            <v>-87.433826738768943</v>
          </cell>
        </row>
        <row r="437">
          <cell r="H437">
            <v>-0.17399999999999993</v>
          </cell>
          <cell r="N437">
            <v>-21.289257699999997</v>
          </cell>
          <cell r="AC437">
            <v>-0.17399999999999993</v>
          </cell>
          <cell r="BV437"/>
          <cell r="CH437">
            <v>-19.690436199999997</v>
          </cell>
        </row>
        <row r="439">
          <cell r="BY439">
            <v>2.9673982939999632</v>
          </cell>
          <cell r="CH439">
            <v>-42.126988080999752</v>
          </cell>
          <cell r="DI439">
            <v>7.2092435200000669</v>
          </cell>
          <cell r="DT439">
            <v>284.7112989850001</v>
          </cell>
          <cell r="EB439"/>
        </row>
        <row r="440">
          <cell r="DI440"/>
          <cell r="DT440">
            <v>0</v>
          </cell>
          <cell r="EB440"/>
        </row>
        <row r="441">
          <cell r="EB441"/>
        </row>
        <row r="447">
          <cell r="P447">
            <v>-26.049090637771826</v>
          </cell>
        </row>
        <row r="449">
          <cell r="H449">
            <v>-0.74064408587393393</v>
          </cell>
          <cell r="N449">
            <v>-8.1328005455817447</v>
          </cell>
          <cell r="AC449">
            <v>1.0766981969095117</v>
          </cell>
          <cell r="BY449">
            <v>1.1623230952740684</v>
          </cell>
          <cell r="CK449">
            <v>3.0535315887819223</v>
          </cell>
          <cell r="DI449">
            <v>-0.83413190720634212</v>
          </cell>
          <cell r="DL449">
            <v>0.93044132025002091</v>
          </cell>
          <cell r="EB449"/>
        </row>
        <row r="450">
          <cell r="DK450"/>
        </row>
        <row r="452">
          <cell r="EB452"/>
        </row>
        <row r="453">
          <cell r="H453">
            <v>13.034839907139578</v>
          </cell>
          <cell r="N453">
            <v>59.313972217163219</v>
          </cell>
          <cell r="AC453">
            <v>-1.7182458108604228</v>
          </cell>
          <cell r="BY453">
            <v>0.28559639515397528</v>
          </cell>
          <cell r="CK453" t="e">
            <v>#VALUE!</v>
          </cell>
          <cell r="DI453">
            <v>-13.093572144333853</v>
          </cell>
          <cell r="DL453">
            <v>1.2754385061395759</v>
          </cell>
          <cell r="DW453">
            <v>-2.5187662811050413</v>
          </cell>
        </row>
        <row r="455">
          <cell r="H455">
            <v>10.974918598909326</v>
          </cell>
          <cell r="N455">
            <v>42.460223863443012</v>
          </cell>
          <cell r="AC455">
            <v>11.267991328296478</v>
          </cell>
          <cell r="CI455">
            <v>-56.454290971226399</v>
          </cell>
        </row>
        <row r="456">
          <cell r="H456">
            <v>-42.19534853836273</v>
          </cell>
          <cell r="N456">
            <v>-173.88897834569323</v>
          </cell>
          <cell r="AC456">
            <v>-17.805341125657954</v>
          </cell>
          <cell r="CI456" t="e">
            <v>#VALUE!</v>
          </cell>
        </row>
        <row r="457">
          <cell r="N457">
            <v>-11.965790185566044</v>
          </cell>
          <cell r="AC457">
            <v>6.0495639187848429</v>
          </cell>
          <cell r="AP457">
            <v>-3.0418307398137245</v>
          </cell>
        </row>
        <row r="460">
          <cell r="H460">
            <v>-8.1481740000000358E-3</v>
          </cell>
          <cell r="N460">
            <v>0.34270613600000005</v>
          </cell>
          <cell r="BY460">
            <v>-0.13031341299999996</v>
          </cell>
          <cell r="CH460">
            <v>-0.32888025300000001</v>
          </cell>
          <cell r="DI460"/>
          <cell r="DL460">
            <v>-8.2806230000000008E-3</v>
          </cell>
          <cell r="DT460">
            <v>0.421229458</v>
          </cell>
          <cell r="EB460"/>
        </row>
        <row r="464">
          <cell r="H464">
            <v>0</v>
          </cell>
          <cell r="N464">
            <v>8.5744026000000001E-2</v>
          </cell>
          <cell r="AC464">
            <v>0</v>
          </cell>
          <cell r="BY464">
            <v>1.3120000000000001E-6</v>
          </cell>
          <cell r="CK464">
            <v>7.7583776000000007E-2</v>
          </cell>
          <cell r="DI464"/>
          <cell r="DL464">
            <v>0</v>
          </cell>
          <cell r="DW464">
            <v>0</v>
          </cell>
          <cell r="EB464"/>
        </row>
        <row r="466">
          <cell r="H466">
            <v>6.5732454965433368E-2</v>
          </cell>
          <cell r="N466">
            <v>5.1648236333776409E-2</v>
          </cell>
          <cell r="AC466">
            <v>3.0308829853992539E-5</v>
          </cell>
        </row>
        <row r="500">
          <cell r="BW500">
            <v>-9.6185945099999994</v>
          </cell>
          <cell r="CI500">
            <v>-1.1030822279310344</v>
          </cell>
        </row>
        <row r="502">
          <cell r="I502">
            <v>0</v>
          </cell>
        </row>
        <row r="507">
          <cell r="I507">
            <v>0</v>
          </cell>
          <cell r="O507">
            <v>-1.0929636786173194</v>
          </cell>
          <cell r="U507">
            <v>-1.0929636786173194</v>
          </cell>
          <cell r="AD507">
            <v>0.77109024826479244</v>
          </cell>
          <cell r="AT507">
            <v>-116.62981718600001</v>
          </cell>
          <cell r="BX507">
            <v>-133.90139550513254</v>
          </cell>
          <cell r="CJ507">
            <v>9.3179526878390284</v>
          </cell>
        </row>
        <row r="523">
          <cell r="I523">
            <v>0</v>
          </cell>
          <cell r="O523">
            <v>0</v>
          </cell>
          <cell r="U523">
            <v>0</v>
          </cell>
          <cell r="AD523">
            <v>0</v>
          </cell>
          <cell r="AT523">
            <v>-8.2806230000000008E-3</v>
          </cell>
          <cell r="BX523">
            <v>-9.1299710000000006E-3</v>
          </cell>
          <cell r="CJ523">
            <v>0</v>
          </cell>
        </row>
        <row r="527">
          <cell r="CA527"/>
          <cell r="CI527"/>
        </row>
      </sheetData>
      <sheetData sheetId="36">
        <row r="75">
          <cell r="E75">
            <v>1.9535469999999999</v>
          </cell>
        </row>
        <row r="93">
          <cell r="E93"/>
          <cell r="F93"/>
          <cell r="G93"/>
          <cell r="H93"/>
          <cell r="I93"/>
          <cell r="J93"/>
          <cell r="K93"/>
          <cell r="L93"/>
          <cell r="M93"/>
          <cell r="N93"/>
          <cell r="O93"/>
          <cell r="P93"/>
        </row>
        <row r="94">
          <cell r="E94"/>
          <cell r="F94"/>
          <cell r="G94"/>
          <cell r="H94"/>
          <cell r="I94"/>
          <cell r="J94"/>
          <cell r="K94"/>
          <cell r="L94"/>
          <cell r="M94"/>
          <cell r="N94"/>
          <cell r="O94"/>
          <cell r="P94"/>
        </row>
        <row r="98">
          <cell r="E98"/>
          <cell r="F98"/>
          <cell r="G98"/>
          <cell r="H98"/>
          <cell r="I98"/>
          <cell r="J98"/>
          <cell r="K98"/>
          <cell r="L98"/>
          <cell r="M98"/>
          <cell r="N98"/>
          <cell r="O98"/>
          <cell r="P98"/>
        </row>
      </sheetData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Z VA recon"/>
      <sheetName val="Reconciliation VA"/>
      <sheetName val="to do"/>
      <sheetName val="FILTERING"/>
      <sheetName val="1. Executive Summary selection"/>
      <sheetName val="SCOPE"/>
      <sheetName val="OTHERS"/>
      <sheetName val="READINESS_CHECK"/>
      <sheetName val="CHECKLIST"/>
      <sheetName val="LY_MTD"/>
      <sheetName val="LY_YTD"/>
      <sheetName val="LY_OR"/>
      <sheetName val="LY_OCOS"/>
      <sheetName val="LY_VOL"/>
      <sheetName val="FC-1_MTD"/>
      <sheetName val="FC-1_YTD"/>
      <sheetName val="FC-1_OR"/>
      <sheetName val="FC-1_OCOS"/>
      <sheetName val="FC-1_VOL"/>
      <sheetName val="BP_MTD"/>
      <sheetName val="BP_YTD"/>
      <sheetName val="BP_OR"/>
      <sheetName val="BP_OCOS"/>
      <sheetName val="BP_VOL"/>
      <sheetName val="FC_MTD"/>
      <sheetName val="FC_OR"/>
      <sheetName val="FC_YTD"/>
      <sheetName val="FC_OCOS"/>
      <sheetName val="FC_VOL"/>
      <sheetName val="ACT_MTD"/>
      <sheetName val="ACT_YTD"/>
      <sheetName val="ACT_OR"/>
      <sheetName val="ACT_OCOS"/>
      <sheetName val="ACT_VOL"/>
      <sheetName val="TABLE_MTD"/>
      <sheetName val="TABLE_Q1"/>
      <sheetName val="TABLE_Q2"/>
      <sheetName val="TABLE_Q3"/>
      <sheetName val="TABLE_Q4"/>
      <sheetName val="TABLE_H1"/>
      <sheetName val="TABLE_H2"/>
      <sheetName val="TABLE_YTD"/>
      <sheetName val="Sheet1"/>
      <sheetName val="Q1 BP APR TASKS"/>
      <sheetName val="SUMMARY_LAYOUT1 (archive)"/>
      <sheetName val="SUMMARY_LAYOUT2"/>
      <sheetName val="M1 BP APR TASKS"/>
      <sheetName val="SUMMARY_LAYOUT_NISSAN (2)"/>
      <sheetName val="M1 BP APR TASKS May 16th"/>
      <sheetName val="1. Executive Summary"/>
      <sheetName val="SUMMARY_LAYOUT_NISSAN"/>
      <sheetName val="SUMMARY_LAYOUT_NISSAN v2"/>
      <sheetName val="SUMMARY_LAYOUT_NISSAN v3"/>
      <sheetName val="1. Executive Summary FULL YEAR"/>
      <sheetName val="CMP-I%_analysis MTD"/>
      <sheetName val="CMP-I%_analysis free selection"/>
      <sheetName val="CMP-I%_analysis H1"/>
      <sheetName val="CMP-I%_analysis H2"/>
      <sheetName val="CMP-I%_analysis Q3"/>
      <sheetName val="CMP-I%_analysis Q2"/>
      <sheetName val="CMP-I%_analysis Q4"/>
      <sheetName val="CMP-I%_analysis YTD"/>
      <sheetName val="FY_ACT"/>
      <sheetName val="FY_LY"/>
      <sheetName val="FY_BP"/>
      <sheetName val="FY_FC"/>
      <sheetName val="FY_ACTvsFC"/>
      <sheetName val="FY_ACTvsBP"/>
      <sheetName val="TREND"/>
      <sheetName val="TREND_SUMMARY"/>
      <sheetName val="TREND_COMMENTS"/>
      <sheetName val="TREND_MAPPING"/>
      <sheetName val="TREND_SLIDES"/>
      <sheetName val="VA conso_MTD_FC"/>
      <sheetName val="VA conso_YTD_FC"/>
      <sheetName val="VA conso_MTD_BP"/>
      <sheetName val="VA conso_YTD_BP"/>
      <sheetName val="VA_from_Qiaoyi"/>
      <sheetName val="VA_SM_MTD"/>
      <sheetName val="VA_SM_WO_TR_MTD"/>
      <sheetName val="VA_SM_TR_MTD"/>
      <sheetName val="VA_SM_Q1"/>
      <sheetName val="VA_SM_WO_TR_Q1"/>
      <sheetName val="VA_SM_TR_Q1"/>
      <sheetName val="VA_SM_Q2"/>
      <sheetName val="VA_SM_WO_TR_Q2"/>
      <sheetName val="VA_SM_TR_Q2"/>
      <sheetName val="VA_SM_Q3"/>
      <sheetName val="VA_SM_WO_TR_Q3"/>
      <sheetName val="VA_SM_TR_Q3"/>
      <sheetName val="VA_SM_Q4"/>
      <sheetName val="VA_SM_WO_TR_Q4"/>
      <sheetName val="VA_SM_TR_Q4"/>
      <sheetName val="VA_SM_H1"/>
      <sheetName val="VA_SM_WO_TR_H1"/>
      <sheetName val="VA_SM_TR_H1"/>
      <sheetName val="VA_SM_H2"/>
      <sheetName val="VA_SM_WO_TR_H2"/>
      <sheetName val="VA_SM_TR_H2"/>
      <sheetName val="VA_SM_YTD"/>
      <sheetName val="VA_SM_WO_TR_YTD"/>
      <sheetName val="VA_SM_TR_YTD"/>
      <sheetName val="VA_AS_MTD"/>
      <sheetName val="VA_AS_Q1"/>
      <sheetName val="VA_AS_Q2"/>
      <sheetName val="VA_AS_Q3"/>
      <sheetName val="VA_AS_Q4"/>
      <sheetName val="VA_AS_H1"/>
      <sheetName val="VA_AS_H2"/>
      <sheetName val="VA_AS_YTD"/>
      <sheetName val="VA_MZ_MTD"/>
      <sheetName val="VA_MZ_Q1"/>
      <sheetName val="VA_MZ_Q2"/>
      <sheetName val="VA_MZ_Q3"/>
      <sheetName val="VA_MZ_Q4"/>
      <sheetName val="VA_MZ_H1"/>
      <sheetName val="VA_MZ_H2"/>
      <sheetName val="VA_MZ_YTD"/>
      <sheetName val="VA_GA_MTD"/>
      <sheetName val="VA_GA_Q1"/>
      <sheetName val="VA_GA_Q2"/>
      <sheetName val="VA_GA_Q3"/>
      <sheetName val="VA_GA_Q4"/>
      <sheetName val="VA_GA_H1"/>
      <sheetName val="VA_GA_H2"/>
      <sheetName val="VA_GA_YTD"/>
      <sheetName val="VA_UC_MTD"/>
      <sheetName val="VA_UC_Q1"/>
      <sheetName val="VA_UC_Q2"/>
      <sheetName val="VA_UC_Q3"/>
      <sheetName val="VA_UC_Q4"/>
      <sheetName val="VA_UC_H1"/>
      <sheetName val="VA_UC_H2"/>
      <sheetName val="VA_UC_YTD"/>
      <sheetName val="VA_WAR_MTD"/>
      <sheetName val="VA_WAR_Q1"/>
      <sheetName val="VA_WAR_Q2"/>
      <sheetName val="VA_WAR_Q3"/>
      <sheetName val="VA_WAR_Q4"/>
      <sheetName val="VA_WAR_H1"/>
      <sheetName val="VA_WAR_H2"/>
      <sheetName val="VA_WAR_YTD"/>
      <sheetName val="VA_FX_ROP_MTD"/>
      <sheetName val="VA_FX_ROP_YTD"/>
      <sheetName val="HFM_PL_MTD"/>
      <sheetName val="HFM_PL_Q1"/>
      <sheetName val="HFM_PL_H2"/>
      <sheetName val="HFM_PL_Q2"/>
      <sheetName val="HFM_PL_Q3"/>
      <sheetName val="HFM_PL_Q4"/>
      <sheetName val="HFM_PL_H1"/>
      <sheetName val="HFM_PL_YTD"/>
      <sheetName val="CMOR_MTD_vsFC"/>
      <sheetName val="CMOR vs LY flash"/>
      <sheetName val="CMOR vs OL flash"/>
      <sheetName val="CMOR_MTD_vsLY"/>
      <sheetName val="CMOR_MTD_vsBP"/>
      <sheetName val="CMOR_MTD_vsFC-1"/>
      <sheetName val="CMOR_YTD_vsBP"/>
      <sheetName val="CMOR_YTD_vsFC"/>
      <sheetName val="CMOR_YTD_vsFC-1"/>
      <sheetName val="CMOR_YTD_vsLY"/>
      <sheetName val="CMOR_Q1_vsLY"/>
      <sheetName val="CMOR_Q2_vsBP"/>
      <sheetName val="CMOR_Q2_vsFC"/>
      <sheetName val="CMOR_Q2_vsLY"/>
      <sheetName val="CMOR_Q3_vsBP"/>
      <sheetName val="CMOR_Q3_vsFC-1"/>
      <sheetName val="CMOR_Q3_vsLY"/>
      <sheetName val="CMOR_Q4_vsBP"/>
      <sheetName val="CMOR_Q2_vsQ3FC-1"/>
      <sheetName val="CMOR_Q3_vsQ2"/>
      <sheetName val="CMOR_Q4_vsLY"/>
      <sheetName val="CMOR_Q4_vsOL"/>
      <sheetName val="CMOR_Q4_vsQ3"/>
      <sheetName val="CMOR_H1_vsBP"/>
      <sheetName val="CMOR_H1_vsLY"/>
      <sheetName val="CMOR_H2_vsBP"/>
      <sheetName val="CMOR_H2_vsLY"/>
      <sheetName val="CMOR_H2_vsH1"/>
      <sheetName val="CMOR_Q1_vsFCQ2"/>
      <sheetName val="proposals"/>
      <sheetName val="VA_MTD_vsOL"/>
      <sheetName val="CMOR_MTD_vs M-1"/>
      <sheetName val="FULL_PL_w_selection"/>
      <sheetName val="FULL_PL_vs OL"/>
      <sheetName val="VA_YTD_vsLY"/>
      <sheetName val="VA_YTD_vsFC"/>
      <sheetName val="VA_YTD_vs FC"/>
      <sheetName val="OL_VA_TABLE"/>
      <sheetName val="OL_VA (NOT USED)"/>
      <sheetName val="OL_ACT"/>
      <sheetName val="OL_LY"/>
      <sheetName val="OL_BP"/>
      <sheetName val="OL_FC"/>
      <sheetName val="OL_FCx"/>
      <sheetName val="MTD_REV_WALK_MTD_vsFC."/>
      <sheetName val="MTD_REV_WALK_MTD_vsFC"/>
      <sheetName val="MTD_COS_WALK_MTD_vs BP"/>
      <sheetName val="Q3_COS_WALK_vs FC-1 "/>
      <sheetName val="Q3_COS_WALK_vs LY"/>
      <sheetName val="MTD_COS_WALK_MTD_vs FC"/>
      <sheetName val="MTD_COS_WALK_MTD_vs FC-1"/>
      <sheetName val="YTD_COS_WALK_vs FC "/>
      <sheetName val="MTD_COS_WALK_MTD_vs OL)"/>
      <sheetName val="YTD_COS_WALK_vs BP"/>
      <sheetName val="YTD_COS_WALK_vs LY"/>
      <sheetName val="VALIDATION LIST"/>
      <sheetName val="MAPPING_TAB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>
        <row r="9">
          <cell r="Z9">
            <v>0</v>
          </cell>
        </row>
        <row r="78">
          <cell r="Z78">
            <v>0.15337939600000006</v>
          </cell>
        </row>
        <row r="82">
          <cell r="Z82">
            <v>-0.47740622600000027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>
        <row r="78">
          <cell r="G78">
            <v>0.75613467700000125</v>
          </cell>
          <cell r="S78">
            <v>1.2730119830000017</v>
          </cell>
        </row>
        <row r="82">
          <cell r="S82">
            <v>2.6734479260000015</v>
          </cell>
        </row>
      </sheetData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>
        <row r="10">
          <cell r="W10">
            <v>1.5629364828154968E-3</v>
          </cell>
        </row>
      </sheetData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>
        <row r="10">
          <cell r="E10">
            <v>2.2158564232771516E-3</v>
          </cell>
        </row>
      </sheetData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>
        <row r="22">
          <cell r="J22">
            <v>-17.069393910469294</v>
          </cell>
          <cell r="K22">
            <v>-7.5574568083026223</v>
          </cell>
          <cell r="L22">
            <v>0</v>
          </cell>
          <cell r="M22">
            <v>-3.3877379601972777</v>
          </cell>
          <cell r="N22">
            <v>-7.9285416116216556</v>
          </cell>
          <cell r="O22">
            <v>-1.0864213013916777</v>
          </cell>
          <cell r="Q22">
            <v>-4.3485030639999884</v>
          </cell>
        </row>
        <row r="154">
          <cell r="I154">
            <v>-6.5903438865409925</v>
          </cell>
        </row>
        <row r="156">
          <cell r="I156">
            <v>11.326597792902415</v>
          </cell>
        </row>
        <row r="157">
          <cell r="I157">
            <v>-6.332195027603732E-2</v>
          </cell>
        </row>
        <row r="158">
          <cell r="I158">
            <v>0</v>
          </cell>
        </row>
        <row r="159">
          <cell r="I159">
            <v>6.0754253667716807E-2</v>
          </cell>
        </row>
        <row r="160">
          <cell r="I160">
            <v>-0.65834756200000166</v>
          </cell>
        </row>
        <row r="161">
          <cell r="I161">
            <v>0.26481907199999999</v>
          </cell>
        </row>
        <row r="162">
          <cell r="I162">
            <v>0</v>
          </cell>
        </row>
        <row r="164">
          <cell r="I164">
            <v>-3.9215170892550333E-3</v>
          </cell>
        </row>
        <row r="165">
          <cell r="I165">
            <v>0</v>
          </cell>
        </row>
        <row r="168">
          <cell r="I168">
            <v>0.84853760522947652</v>
          </cell>
        </row>
        <row r="169">
          <cell r="I169">
            <v>0</v>
          </cell>
        </row>
        <row r="170">
          <cell r="I170">
            <v>0</v>
          </cell>
        </row>
      </sheetData>
      <sheetData sheetId="153" refreshError="1"/>
      <sheetData sheetId="154" refreshError="1"/>
      <sheetData sheetId="155" refreshError="1"/>
      <sheetData sheetId="156">
        <row r="20">
          <cell r="N20">
            <v>0</v>
          </cell>
        </row>
        <row r="22"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-0.1029393430000024</v>
          </cell>
          <cell r="Q22">
            <v>-3.0258692239999871</v>
          </cell>
          <cell r="T22">
            <v>0.78981123691288957</v>
          </cell>
        </row>
        <row r="154">
          <cell r="I154">
            <v>0</v>
          </cell>
        </row>
        <row r="155">
          <cell r="I155">
            <v>0</v>
          </cell>
        </row>
        <row r="156">
          <cell r="I156">
            <v>0</v>
          </cell>
        </row>
        <row r="157">
          <cell r="I157">
            <v>0</v>
          </cell>
        </row>
        <row r="159">
          <cell r="I159">
            <v>0</v>
          </cell>
        </row>
        <row r="160">
          <cell r="I160">
            <v>0</v>
          </cell>
        </row>
        <row r="162">
          <cell r="I162">
            <v>0</v>
          </cell>
        </row>
        <row r="163">
          <cell r="I163">
            <v>0.11360109698256116</v>
          </cell>
        </row>
        <row r="164">
          <cell r="I164">
            <v>-3.6931139940785229E-2</v>
          </cell>
        </row>
        <row r="165">
          <cell r="I165">
            <v>0</v>
          </cell>
        </row>
        <row r="166">
          <cell r="I166">
            <v>0.20012534023192075</v>
          </cell>
        </row>
        <row r="167">
          <cell r="I167">
            <v>0</v>
          </cell>
        </row>
        <row r="168">
          <cell r="I168">
            <v>0</v>
          </cell>
        </row>
        <row r="169">
          <cell r="I169">
            <v>0</v>
          </cell>
        </row>
        <row r="170">
          <cell r="I170">
            <v>0</v>
          </cell>
        </row>
      </sheetData>
      <sheetData sheetId="157">
        <row r="22">
          <cell r="J22">
            <v>-9.8136914723472746</v>
          </cell>
        </row>
        <row r="155">
          <cell r="I155">
            <v>0</v>
          </cell>
        </row>
        <row r="163">
          <cell r="I163">
            <v>0.19767902266959894</v>
          </cell>
        </row>
        <row r="166">
          <cell r="I166">
            <v>-8.3143153903526112E-2</v>
          </cell>
        </row>
        <row r="167">
          <cell r="I167">
            <v>0</v>
          </cell>
        </row>
      </sheetData>
      <sheetData sheetId="158">
        <row r="22"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1.3132448079999866</v>
          </cell>
          <cell r="Q22">
            <v>-23.002552871999974</v>
          </cell>
        </row>
        <row r="154">
          <cell r="I154">
            <v>0</v>
          </cell>
        </row>
        <row r="155">
          <cell r="I155">
            <v>0</v>
          </cell>
        </row>
        <row r="156">
          <cell r="I156">
            <v>0</v>
          </cell>
        </row>
        <row r="157">
          <cell r="I157">
            <v>0</v>
          </cell>
        </row>
        <row r="159">
          <cell r="I159">
            <v>0</v>
          </cell>
        </row>
        <row r="160">
          <cell r="I160">
            <v>0</v>
          </cell>
        </row>
        <row r="162">
          <cell r="I162">
            <v>0</v>
          </cell>
        </row>
        <row r="163">
          <cell r="I163">
            <v>-0.83986737759431529</v>
          </cell>
        </row>
        <row r="164">
          <cell r="I164">
            <v>0.24924716566199123</v>
          </cell>
        </row>
        <row r="165">
          <cell r="I165">
            <v>0</v>
          </cell>
        </row>
        <row r="166">
          <cell r="I166">
            <v>0</v>
          </cell>
        </row>
        <row r="167">
          <cell r="I167">
            <v>0</v>
          </cell>
        </row>
        <row r="168">
          <cell r="I168">
            <v>0</v>
          </cell>
        </row>
        <row r="169">
          <cell r="I169">
            <v>0</v>
          </cell>
        </row>
        <row r="170">
          <cell r="I170">
            <v>0</v>
          </cell>
        </row>
      </sheetData>
      <sheetData sheetId="159">
        <row r="13">
          <cell r="X13"/>
        </row>
        <row r="22">
          <cell r="J22">
            <v>-3.8400809448077116</v>
          </cell>
          <cell r="K22">
            <v>-7.6543832146404807</v>
          </cell>
          <cell r="L22">
            <v>0</v>
          </cell>
          <cell r="M22">
            <v>-7.3679944125277279</v>
          </cell>
          <cell r="N22">
            <v>-20.569371422967595</v>
          </cell>
          <cell r="O22">
            <v>-2.9539575066950889</v>
          </cell>
          <cell r="Q22">
            <v>-13.536842119999966</v>
          </cell>
        </row>
        <row r="154">
          <cell r="I154">
            <v>-26.783449888390262</v>
          </cell>
        </row>
        <row r="155">
          <cell r="I155">
            <v>0.5</v>
          </cell>
        </row>
        <row r="156">
          <cell r="I156">
            <v>54.640679685183429</v>
          </cell>
        </row>
        <row r="157">
          <cell r="I157">
            <v>-8.9404885894168271E-2</v>
          </cell>
        </row>
        <row r="158">
          <cell r="I158">
            <v>0</v>
          </cell>
        </row>
        <row r="159">
          <cell r="I159">
            <v>0.12372320658925717</v>
          </cell>
        </row>
        <row r="160">
          <cell r="I160">
            <v>-2.354540875000021</v>
          </cell>
        </row>
        <row r="161">
          <cell r="I161">
            <v>0.75030609199999998</v>
          </cell>
        </row>
        <row r="162">
          <cell r="I162">
            <v>0</v>
          </cell>
        </row>
        <row r="163">
          <cell r="I163">
            <v>1.5028523723217613E-2</v>
          </cell>
        </row>
        <row r="164">
          <cell r="I164">
            <v>-3.2631429736085238E-3</v>
          </cell>
        </row>
        <row r="165">
          <cell r="I165">
            <v>0</v>
          </cell>
        </row>
        <row r="166">
          <cell r="I166">
            <v>0.82742005868957536</v>
          </cell>
        </row>
        <row r="167">
          <cell r="I167">
            <v>0</v>
          </cell>
        </row>
        <row r="168">
          <cell r="I168">
            <v>2.051774176150337</v>
          </cell>
        </row>
        <row r="169">
          <cell r="I169">
            <v>0</v>
          </cell>
        </row>
        <row r="170">
          <cell r="I170">
            <v>0</v>
          </cell>
        </row>
      </sheetData>
      <sheetData sheetId="160">
        <row r="22">
          <cell r="J22">
            <v>-0.72061975278364887</v>
          </cell>
        </row>
      </sheetData>
      <sheetData sheetId="161">
        <row r="80">
          <cell r="L80">
            <v>-112.99480440036265</v>
          </cell>
        </row>
      </sheetData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>
        <row r="20">
          <cell r="Q20">
            <v>-1.6410716909999867</v>
          </cell>
        </row>
      </sheetData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>
        <row r="47">
          <cell r="AP47">
            <v>-0.69854552220731225</v>
          </cell>
        </row>
      </sheetData>
      <sheetData sheetId="207" refreshError="1"/>
      <sheetData sheetId="20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OP"/>
      <sheetName val="Summary"/>
      <sheetName val="P&amp;L Actual"/>
      <sheetName val="ROP NE (Tagetik)"/>
      <sheetName val="NE last month"/>
      <sheetName val="ROP East (Tagetik)"/>
      <sheetName val="East prev month"/>
      <sheetName val="MZ conso TGK"/>
      <sheetName val="OCS details"/>
      <sheetName val="P&amp;L BP"/>
      <sheetName val="P&amp;L 5+7"/>
      <sheetName val="P&amp;L 7+5"/>
      <sheetName val="P&amp;L LY"/>
      <sheetName val="MCPP NE (Tagetik)"/>
      <sheetName val="MCPP East (Tagetik)"/>
      <sheetName val="P&amp;L vs BP"/>
      <sheetName val="New KPI Actual"/>
      <sheetName val="New KPI BP"/>
      <sheetName val="New KPI 5+7"/>
      <sheetName val="New KPI 7+5"/>
      <sheetName val="New KPI LY"/>
      <sheetName val="MCPP BP @BP"/>
      <sheetName val="MCPP LY @ BP"/>
      <sheetName val="Nissan Europe (MCPP)"/>
      <sheetName val="East (MCPP)"/>
      <sheetName val="SCOS reclass ROP"/>
      <sheetName val="SCOS reclass new KPI"/>
      <sheetName val="FX vs LY"/>
      <sheetName val="FX vs BP"/>
      <sheetName val="FX vs 5+7"/>
      <sheetName val="SCOS reclass old"/>
      <sheetName val="FX vs 7+5"/>
      <sheetName val="New KPI vs BP"/>
      <sheetName val="Reclass"/>
      <sheetName val="Relief"/>
      <sheetName val="HQ Tagetik"/>
      <sheetName val="HFM Jun"/>
      <sheetName val="Others"/>
      <sheetName val="HFM Mar"/>
      <sheetName val="HFM Apr"/>
      <sheetName val="HFM May"/>
      <sheetName val="HFM Jul"/>
      <sheetName val="HFM Aug"/>
      <sheetName val="HFM Sep"/>
      <sheetName val="HFM Oct"/>
      <sheetName val="HFM Nov"/>
      <sheetName val="HFM Dec"/>
      <sheetName val="HFM Jan"/>
      <sheetName val="HFM Feb"/>
    </sheetNames>
    <sheetDataSet>
      <sheetData sheetId="0" refreshError="1"/>
      <sheetData sheetId="1" refreshError="1"/>
      <sheetData sheetId="2">
        <row r="5">
          <cell r="H5">
            <v>22135</v>
          </cell>
          <cell r="K5">
            <v>27682</v>
          </cell>
          <cell r="L5">
            <v>19141</v>
          </cell>
          <cell r="M5">
            <v>41185</v>
          </cell>
          <cell r="N5">
            <v>24805</v>
          </cell>
          <cell r="O5">
            <v>29928</v>
          </cell>
          <cell r="P5">
            <v>33008</v>
          </cell>
          <cell r="Q5">
            <v>31613</v>
          </cell>
          <cell r="R5">
            <v>31645</v>
          </cell>
          <cell r="S5">
            <v>56147</v>
          </cell>
        </row>
        <row r="6"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</row>
        <row r="7"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</row>
        <row r="9">
          <cell r="K9">
            <v>1314.5139999999999</v>
          </cell>
          <cell r="L9">
            <v>995.69500000000005</v>
          </cell>
          <cell r="M9">
            <v>1410.3340000000001</v>
          </cell>
          <cell r="N9">
            <v>1325.761</v>
          </cell>
          <cell r="O9">
            <v>1374.731</v>
          </cell>
          <cell r="P9">
            <v>1492.8671200000001</v>
          </cell>
          <cell r="Q9">
            <v>1255.134</v>
          </cell>
          <cell r="R9">
            <v>1224.683</v>
          </cell>
          <cell r="S9">
            <v>1749.1785</v>
          </cell>
        </row>
        <row r="18">
          <cell r="AL18">
            <v>73110</v>
          </cell>
        </row>
        <row r="21">
          <cell r="K21">
            <v>31287</v>
          </cell>
          <cell r="L21">
            <v>23531</v>
          </cell>
          <cell r="M21">
            <v>36961</v>
          </cell>
          <cell r="N21">
            <v>24909</v>
          </cell>
          <cell r="O21">
            <v>28470</v>
          </cell>
          <cell r="P21">
            <v>29432</v>
          </cell>
          <cell r="Q21">
            <v>28094</v>
          </cell>
          <cell r="R21">
            <v>33400</v>
          </cell>
          <cell r="S21">
            <v>52536</v>
          </cell>
        </row>
        <row r="22">
          <cell r="K22">
            <v>7</v>
          </cell>
          <cell r="L22">
            <v>5</v>
          </cell>
          <cell r="M22">
            <v>8</v>
          </cell>
          <cell r="N22">
            <v>9</v>
          </cell>
          <cell r="O22">
            <v>18</v>
          </cell>
          <cell r="P22">
            <v>8</v>
          </cell>
          <cell r="Q22">
            <v>11</v>
          </cell>
          <cell r="R22">
            <v>8</v>
          </cell>
          <cell r="S22">
            <v>28</v>
          </cell>
        </row>
        <row r="23"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</row>
        <row r="27">
          <cell r="K27">
            <v>219</v>
          </cell>
          <cell r="L27">
            <v>129</v>
          </cell>
          <cell r="M27">
            <v>2388</v>
          </cell>
          <cell r="N27">
            <v>1916</v>
          </cell>
          <cell r="O27">
            <v>648</v>
          </cell>
          <cell r="P27">
            <v>389</v>
          </cell>
          <cell r="Q27">
            <v>759</v>
          </cell>
          <cell r="R27">
            <v>850</v>
          </cell>
          <cell r="S27">
            <v>1068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18">
          <cell r="H18">
            <v>24834</v>
          </cell>
          <cell r="P18">
            <v>60757</v>
          </cell>
          <cell r="Q18">
            <v>77981</v>
          </cell>
          <cell r="AC18">
            <v>75094</v>
          </cell>
          <cell r="AG18">
            <v>27297</v>
          </cell>
          <cell r="AJ18">
            <v>276239</v>
          </cell>
          <cell r="AK18">
            <v>279891</v>
          </cell>
        </row>
        <row r="24">
          <cell r="H24">
            <v>52564</v>
          </cell>
          <cell r="P24">
            <v>82846</v>
          </cell>
          <cell r="Q24">
            <v>101240</v>
          </cell>
          <cell r="AC24">
            <v>100251</v>
          </cell>
          <cell r="AG24">
            <v>53757</v>
          </cell>
          <cell r="AJ24">
            <v>364903</v>
          </cell>
          <cell r="AK24">
            <v>371984</v>
          </cell>
        </row>
        <row r="27">
          <cell r="H27">
            <v>1068</v>
          </cell>
          <cell r="P27">
            <v>2953</v>
          </cell>
          <cell r="Q27">
            <v>6612</v>
          </cell>
          <cell r="AC27">
            <v>2927</v>
          </cell>
          <cell r="AG27">
            <v>463</v>
          </cell>
          <cell r="AJ27">
            <v>12769</v>
          </cell>
          <cell r="AK27">
            <v>12970</v>
          </cell>
        </row>
        <row r="238">
          <cell r="AD238">
            <v>-4.8923618210000015</v>
          </cell>
          <cell r="AH238">
            <v>-5.2550583099999999</v>
          </cell>
          <cell r="AL238">
            <v>-12.016036462000004</v>
          </cell>
          <cell r="AX238">
            <v>-1.3892900900000011</v>
          </cell>
        </row>
      </sheetData>
      <sheetData sheetId="16">
        <row r="5">
          <cell r="F5">
            <v>0.68905691200001229</v>
          </cell>
        </row>
        <row r="33">
          <cell r="F33">
            <v>7.0850710000000096E-3</v>
          </cell>
          <cell r="G33">
            <v>1.1014685999999984E-2</v>
          </cell>
          <cell r="H33">
            <v>6.9790899999999751E-3</v>
          </cell>
          <cell r="I33">
            <v>9.189711999999987E-3</v>
          </cell>
          <cell r="J33">
            <v>-5.8174600000002728E-4</v>
          </cell>
          <cell r="K33">
            <v>2.6843040000000297E-3</v>
          </cell>
          <cell r="L33">
            <v>1.2504663999999967E-2</v>
          </cell>
          <cell r="M33">
            <v>-0.13960334599999993</v>
          </cell>
          <cell r="N33">
            <v>-1.5409752000000009E-2</v>
          </cell>
          <cell r="O33">
            <v>-5.8807732999999959E-2</v>
          </cell>
          <cell r="P33">
            <v>-6.4752796999999959E-2</v>
          </cell>
          <cell r="Q33">
            <v>-0.17459667000000006</v>
          </cell>
        </row>
        <row r="45">
          <cell r="F45">
            <v>2.214680658312179</v>
          </cell>
          <cell r="G45">
            <v>2.1603889841920205</v>
          </cell>
          <cell r="H45">
            <v>2.1457771666785179</v>
          </cell>
          <cell r="I45">
            <v>2.1286259722890803</v>
          </cell>
          <cell r="J45">
            <v>2.2612115999401823</v>
          </cell>
          <cell r="K45">
            <v>2.2904544645009004</v>
          </cell>
          <cell r="L45">
            <v>2.2353050585121208</v>
          </cell>
          <cell r="M45">
            <v>2.2321596307760685</v>
          </cell>
          <cell r="N45">
            <v>2.2648612058498254</v>
          </cell>
          <cell r="O45">
            <v>2.2497779592424516</v>
          </cell>
          <cell r="P45">
            <v>2.3053613777982336</v>
          </cell>
          <cell r="Q45">
            <v>-5.3961351966067266</v>
          </cell>
        </row>
        <row r="65">
          <cell r="F65">
            <v>2.214680658312179</v>
          </cell>
          <cell r="G65">
            <v>2.1603889841920205</v>
          </cell>
          <cell r="H65">
            <v>53.980066966677526</v>
          </cell>
          <cell r="I65">
            <v>2.1286259722890808</v>
          </cell>
          <cell r="J65">
            <v>2.2612115999401823</v>
          </cell>
          <cell r="K65">
            <v>2.2904544645009004</v>
          </cell>
          <cell r="L65">
            <v>2.2353050585121208</v>
          </cell>
          <cell r="M65">
            <v>2.2321596307760685</v>
          </cell>
          <cell r="N65">
            <v>2.2648612058498254</v>
          </cell>
          <cell r="O65">
            <v>2.2497779592424516</v>
          </cell>
          <cell r="P65">
            <v>2.3053613777982336</v>
          </cell>
          <cell r="Q65">
            <v>-5.3961351966067266</v>
          </cell>
        </row>
        <row r="220">
          <cell r="F220">
            <v>11.462629563</v>
          </cell>
          <cell r="G220">
            <v>15.683576177999999</v>
          </cell>
          <cell r="H220">
            <v>18.996647313</v>
          </cell>
          <cell r="I220">
            <v>17.198817552000001</v>
          </cell>
          <cell r="J220">
            <v>7.9432912719999997</v>
          </cell>
          <cell r="K220">
            <v>16.703197015000001</v>
          </cell>
          <cell r="L220">
            <v>13.290232613000001</v>
          </cell>
          <cell r="M220">
            <v>12.007307150999999</v>
          </cell>
          <cell r="N220">
            <v>9.3709870439999996</v>
          </cell>
          <cell r="O220">
            <v>12.806457585</v>
          </cell>
          <cell r="P220">
            <v>15.282943532999999</v>
          </cell>
          <cell r="Q220">
            <v>18.586043938</v>
          </cell>
        </row>
        <row r="344">
          <cell r="F344">
            <v>0.93799999999999994</v>
          </cell>
          <cell r="G344">
            <v>0.68</v>
          </cell>
          <cell r="H344">
            <v>0.68899999999999995</v>
          </cell>
          <cell r="I344">
            <v>0.155</v>
          </cell>
          <cell r="J344">
            <v>0.44232581399999998</v>
          </cell>
          <cell r="K344">
            <v>0.25380535100000001</v>
          </cell>
          <cell r="L344">
            <v>-0.16654350500000001</v>
          </cell>
          <cell r="M344">
            <v>0.93803999999999998</v>
          </cell>
          <cell r="N344">
            <v>0.33</v>
          </cell>
          <cell r="O344">
            <v>0.99399999999999999</v>
          </cell>
          <cell r="P344">
            <v>0.576836766</v>
          </cell>
          <cell r="Q344">
            <v>3.8211632340000001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>
        <row r="15">
          <cell r="U15">
            <v>-1.1661103913280955</v>
          </cell>
          <cell r="AN15">
            <v>0.90964658602447934</v>
          </cell>
          <cell r="DQ15">
            <v>-7.4059679772478404E-2</v>
          </cell>
        </row>
        <row r="20">
          <cell r="AN20">
            <v>-2.0510781877509585E-2</v>
          </cell>
        </row>
        <row r="34">
          <cell r="U34">
            <v>-18.562936278255826</v>
          </cell>
          <cell r="AN34">
            <v>6.9474450359739297</v>
          </cell>
          <cell r="DQ34">
            <v>-1.4337074816285653</v>
          </cell>
        </row>
        <row r="437">
          <cell r="AO437">
            <v>-1.6325267999999999</v>
          </cell>
          <cell r="BI437">
            <v>0</v>
          </cell>
          <cell r="BR437">
            <v>0</v>
          </cell>
        </row>
        <row r="449">
          <cell r="AM449">
            <v>2.1941028231747675</v>
          </cell>
          <cell r="CT449">
            <v>0</v>
          </cell>
          <cell r="DP449">
            <v>-4.9474704514214771</v>
          </cell>
        </row>
        <row r="453">
          <cell r="AM453">
            <v>-4.0076462040428469</v>
          </cell>
          <cell r="CT453" t="e">
            <v>#VALUE!</v>
          </cell>
          <cell r="DP453">
            <v>20.268994434020232</v>
          </cell>
        </row>
        <row r="460">
          <cell r="DP460">
            <v>0.444749703</v>
          </cell>
        </row>
        <row r="464">
          <cell r="AM464">
            <v>-0.151454271</v>
          </cell>
          <cell r="CT464">
            <v>0.1514542707289229</v>
          </cell>
          <cell r="DP464">
            <v>-0.33956334399999999</v>
          </cell>
        </row>
        <row r="471">
          <cell r="BU471">
            <v>85.364920429000023</v>
          </cell>
        </row>
        <row r="472">
          <cell r="BU472">
            <v>0</v>
          </cell>
        </row>
        <row r="473">
          <cell r="BU473">
            <v>4.5518965660000008</v>
          </cell>
        </row>
        <row r="475">
          <cell r="BU475">
            <v>28.103748226000004</v>
          </cell>
        </row>
        <row r="478">
          <cell r="BU478">
            <v>-26.193541956000001</v>
          </cell>
        </row>
        <row r="479">
          <cell r="BU479">
            <v>2.3878566260000014</v>
          </cell>
        </row>
        <row r="481">
          <cell r="BU481">
            <v>0</v>
          </cell>
        </row>
        <row r="482">
          <cell r="BU482">
            <v>0.224354960320861</v>
          </cell>
        </row>
        <row r="483">
          <cell r="BU483">
            <v>-11.112045773999998</v>
          </cell>
        </row>
        <row r="489">
          <cell r="BU489">
            <v>111.44262444432675</v>
          </cell>
        </row>
        <row r="490">
          <cell r="BU490">
            <v>-49.255893098999998</v>
          </cell>
        </row>
        <row r="491">
          <cell r="BU491">
            <v>0</v>
          </cell>
        </row>
        <row r="492">
          <cell r="BU492">
            <v>-0.86222985299999999</v>
          </cell>
        </row>
        <row r="494">
          <cell r="BU494">
            <v>-0.81374722099999997</v>
          </cell>
        </row>
        <row r="495">
          <cell r="BU495">
            <v>-40.113484875999994</v>
          </cell>
        </row>
        <row r="496">
          <cell r="BU496">
            <v>-46.261910617999995</v>
          </cell>
        </row>
        <row r="500">
          <cell r="BU500">
            <v>-3.533258863320861</v>
          </cell>
          <cell r="CR500">
            <v>-9.8545904188737765E-2</v>
          </cell>
        </row>
        <row r="502">
          <cell r="BU502">
            <v>-7.3511492660000002</v>
          </cell>
        </row>
        <row r="507">
          <cell r="U507">
            <v>-25.930809470036362</v>
          </cell>
          <cell r="AN507">
            <v>-2.1683203931033423</v>
          </cell>
          <cell r="BU507">
            <v>-148.19167379632086</v>
          </cell>
          <cell r="DQ507">
            <v>0.34122245595488637</v>
          </cell>
        </row>
        <row r="509">
          <cell r="BU509">
            <v>2.1569199000000025E-2</v>
          </cell>
        </row>
        <row r="510">
          <cell r="BU510">
            <v>1.6852049999999999E-3</v>
          </cell>
        </row>
        <row r="511">
          <cell r="BU511">
            <v>0</v>
          </cell>
        </row>
        <row r="512">
          <cell r="BU512">
            <v>1.29E-7</v>
          </cell>
        </row>
        <row r="515">
          <cell r="BU515">
            <v>2.3254533000000025E-2</v>
          </cell>
        </row>
        <row r="516">
          <cell r="BU516">
            <v>-1.0414609E-2</v>
          </cell>
        </row>
        <row r="517">
          <cell r="BU517">
            <v>0</v>
          </cell>
        </row>
        <row r="518">
          <cell r="BU518">
            <v>-3.6135719999999998E-3</v>
          </cell>
        </row>
        <row r="519">
          <cell r="BU519">
            <v>0</v>
          </cell>
        </row>
        <row r="523">
          <cell r="U523">
            <v>-1.794687764271159E-7</v>
          </cell>
          <cell r="AN523">
            <v>0</v>
          </cell>
          <cell r="BU523">
            <v>-1.4028181000000001E-2</v>
          </cell>
          <cell r="DQ523">
            <v>0</v>
          </cell>
        </row>
        <row r="525">
          <cell r="BT525">
            <v>-57.209725357834117</v>
          </cell>
        </row>
      </sheetData>
      <sheetData sheetId="33" refreshError="1"/>
      <sheetData sheetId="34">
        <row r="80">
          <cell r="H80">
            <v>-4.108466281669485</v>
          </cell>
          <cell r="I80">
            <v>-9.5552411567197626E-2</v>
          </cell>
          <cell r="J80">
            <v>-1.26932886779462</v>
          </cell>
          <cell r="K80">
            <v>-1.5129608732896354</v>
          </cell>
          <cell r="L80">
            <v>-1.1942791706285143</v>
          </cell>
          <cell r="M80">
            <v>-0.86676776440494807</v>
          </cell>
          <cell r="N80">
            <v>0.3653575346149297</v>
          </cell>
          <cell r="O80">
            <v>0.48302055421387646</v>
          </cell>
          <cell r="P80">
            <v>-3.5913980866856002E-2</v>
          </cell>
        </row>
        <row r="81"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</row>
        <row r="82"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</row>
        <row r="83">
          <cell r="H83">
            <v>4.6970950389030271E-2</v>
          </cell>
          <cell r="I83">
            <v>4.2316555382562647E-2</v>
          </cell>
          <cell r="J83">
            <v>3.5999999999999997E-2</v>
          </cell>
          <cell r="K83">
            <v>0.44360380632551688</v>
          </cell>
          <cell r="L83">
            <v>0.15454517088559921</v>
          </cell>
          <cell r="M83">
            <v>0.3405704916849483</v>
          </cell>
          <cell r="N83">
            <v>8.092174795041035E-2</v>
          </cell>
          <cell r="O83">
            <v>0.18724321181478584</v>
          </cell>
          <cell r="P83">
            <v>0.33688218324934188</v>
          </cell>
        </row>
        <row r="84">
          <cell r="H84">
            <v>-1.06681385</v>
          </cell>
          <cell r="I84">
            <v>-0.86448400000000003</v>
          </cell>
          <cell r="J84">
            <v>-1.03928664</v>
          </cell>
          <cell r="K84">
            <v>-1.2733910800000001</v>
          </cell>
          <cell r="L84">
            <v>-1.2371839600000001</v>
          </cell>
          <cell r="M84">
            <v>-0.87361708000000027</v>
          </cell>
          <cell r="N84">
            <v>-2.0778931099999993</v>
          </cell>
          <cell r="O84">
            <v>-1.7215398900000001</v>
          </cell>
          <cell r="P84">
            <v>-1.0613025199999999</v>
          </cell>
        </row>
        <row r="87">
          <cell r="H87">
            <v>-3.4991478000000011</v>
          </cell>
          <cell r="I87">
            <v>-2.9039804</v>
          </cell>
          <cell r="J87">
            <v>-4.1277583999999994</v>
          </cell>
          <cell r="K87">
            <v>-2.8059273999999981</v>
          </cell>
          <cell r="L87">
            <v>-5.8237323000000032</v>
          </cell>
          <cell r="M87">
            <v>-3.5976196999999956</v>
          </cell>
          <cell r="N87">
            <v>-3.5285989000000022</v>
          </cell>
          <cell r="O87">
            <v>-3.6887386000000006</v>
          </cell>
          <cell r="P87">
            <v>-6.235380499999998</v>
          </cell>
        </row>
        <row r="95">
          <cell r="H95">
            <v>-3.0814887171211055E-2</v>
          </cell>
          <cell r="I95">
            <v>-5.0857686590288088E-2</v>
          </cell>
          <cell r="J95">
            <v>-0.29027615380331251</v>
          </cell>
          <cell r="K95">
            <v>0.35189730484405168</v>
          </cell>
          <cell r="L95">
            <v>2.5544617746404857E-2</v>
          </cell>
          <cell r="M95">
            <v>1.7591962573304212E-2</v>
          </cell>
          <cell r="N95">
            <v>1.5760963575000002E-2</v>
          </cell>
          <cell r="O95">
            <v>-2.2854144836531348E-2</v>
          </cell>
          <cell r="P95">
            <v>0</v>
          </cell>
        </row>
        <row r="96">
          <cell r="H96">
            <v>-0.19531996195854537</v>
          </cell>
          <cell r="I96">
            <v>-3.9290099835542907</v>
          </cell>
          <cell r="J96">
            <v>-3.6113828977221818</v>
          </cell>
          <cell r="K96">
            <v>-1.7559118949856027</v>
          </cell>
          <cell r="L96">
            <v>-1.7190175173336006</v>
          </cell>
          <cell r="M96">
            <v>-1.3410007528134187</v>
          </cell>
          <cell r="N96">
            <v>-0.82103448583950589</v>
          </cell>
          <cell r="O96">
            <v>-0.62064874497956501</v>
          </cell>
          <cell r="P96">
            <v>-0.59868025710943029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OP"/>
      <sheetName val="Summary"/>
      <sheetName val="P&amp;L Actual"/>
      <sheetName val="ROP NE (Tagetik)"/>
      <sheetName val="NE last month"/>
      <sheetName val="ROP East (Tagetik)"/>
      <sheetName val="East prev month"/>
      <sheetName val="MZ conso TGK"/>
      <sheetName val="OCS details"/>
      <sheetName val="P&amp;L BP"/>
      <sheetName val="P&amp;L 2+10"/>
      <sheetName val="P&amp;L 7+5"/>
      <sheetName val="P&amp;L 5+7"/>
      <sheetName val="P&amp;L LY"/>
      <sheetName val="MCPP NE (Tagetik)"/>
      <sheetName val="MCPP East (Tagetik)"/>
      <sheetName val="P&amp;L vs BP"/>
      <sheetName val="New KPI Actual"/>
      <sheetName val="New KPI BP"/>
      <sheetName val="New KPI 2+10"/>
      <sheetName val="New KPI 7+5"/>
      <sheetName val="New KPI 5+7"/>
      <sheetName val="New KPI LY"/>
      <sheetName val="MCPP BP @BP"/>
      <sheetName val="MCPP LY @ BP"/>
      <sheetName val="Nissan Europe (MCPP)"/>
      <sheetName val="East (MCPP)"/>
      <sheetName val="SCOS reclass ROP"/>
      <sheetName val="SCOS reclass new KPI"/>
      <sheetName val="FX vs LY"/>
      <sheetName val="FX vs BP"/>
      <sheetName val="FX vs 2+10"/>
      <sheetName val="SCOS reclass old"/>
      <sheetName val="FX vs 7+5"/>
      <sheetName val="FX vs 5+7"/>
      <sheetName val="New KPI vs BP"/>
      <sheetName val="Relief"/>
      <sheetName val="Reclass"/>
      <sheetName val="HQ Tagetik"/>
      <sheetName val="Others"/>
      <sheetName val="HFM Jun"/>
      <sheetName val="HFM Mar"/>
      <sheetName val="HFM Apr"/>
      <sheetName val="HFM May"/>
      <sheetName val="HFM Aug"/>
      <sheetName val="HFM Jul"/>
      <sheetName val="HFM Sep"/>
      <sheetName val="HFM Oct"/>
      <sheetName val="HFM Nov"/>
      <sheetName val="HFM Dec"/>
      <sheetName val="HFM Jan"/>
      <sheetName val="HFM Feb"/>
    </sheetNames>
    <sheetDataSet>
      <sheetData sheetId="0"/>
      <sheetData sheetId="1"/>
      <sheetData sheetId="2">
        <row r="5">
          <cell r="H5">
            <v>20429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8">
          <cell r="X18">
            <v>179105</v>
          </cell>
          <cell r="Y18">
            <v>184981.8</v>
          </cell>
        </row>
        <row r="24">
          <cell r="X24">
            <v>202655</v>
          </cell>
          <cell r="Y24">
            <v>207688</v>
          </cell>
        </row>
        <row r="27">
          <cell r="X27">
            <v>5481</v>
          </cell>
          <cell r="Y27">
            <v>6996</v>
          </cell>
        </row>
      </sheetData>
      <sheetData sheetId="17">
        <row r="12">
          <cell r="U12">
            <v>-30.243625309999999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>
        <row r="2">
          <cell r="CE2"/>
        </row>
        <row r="15">
          <cell r="AK15">
            <v>-3.9877249127762506</v>
          </cell>
        </row>
        <row r="19">
          <cell r="AK19">
            <v>0.32004892279692143</v>
          </cell>
        </row>
        <row r="20">
          <cell r="AK20">
            <v>0.16389695227173651</v>
          </cell>
        </row>
        <row r="34">
          <cell r="AK34">
            <v>-29.400896742993144</v>
          </cell>
        </row>
        <row r="445">
          <cell r="BX445">
            <v>-38.510354258999996</v>
          </cell>
        </row>
        <row r="449">
          <cell r="AJ449">
            <v>0.70747274647204916</v>
          </cell>
        </row>
        <row r="453">
          <cell r="AJ453">
            <v>5.6334679624450841</v>
          </cell>
        </row>
        <row r="455">
          <cell r="AJ455">
            <v>28.095233973375453</v>
          </cell>
        </row>
        <row r="456">
          <cell r="AJ456">
            <v>-22.093316322412381</v>
          </cell>
        </row>
        <row r="464">
          <cell r="AJ464">
            <v>8.5745422000000002E-2</v>
          </cell>
        </row>
        <row r="466">
          <cell r="AJ466">
            <v>-0.27997243559559676</v>
          </cell>
        </row>
        <row r="507">
          <cell r="AK507">
            <v>2.5826456493346166</v>
          </cell>
        </row>
        <row r="523">
          <cell r="AK523">
            <v>0</v>
          </cell>
        </row>
      </sheetData>
      <sheetData sheetId="36">
        <row r="80">
          <cell r="E80">
            <v>0</v>
          </cell>
        </row>
        <row r="93">
          <cell r="E93"/>
          <cell r="F93"/>
          <cell r="G93"/>
          <cell r="H93"/>
          <cell r="I93"/>
          <cell r="J93"/>
          <cell r="K93"/>
          <cell r="L93"/>
          <cell r="M93"/>
          <cell r="N93"/>
          <cell r="O93"/>
          <cell r="P93"/>
        </row>
        <row r="94">
          <cell r="E94"/>
          <cell r="F94"/>
          <cell r="G94"/>
          <cell r="H94"/>
          <cell r="I94"/>
          <cell r="J94"/>
          <cell r="K94"/>
          <cell r="L94"/>
          <cell r="M94"/>
          <cell r="N94"/>
          <cell r="O94"/>
          <cell r="P94"/>
        </row>
        <row r="98">
          <cell r="E98"/>
          <cell r="F98"/>
          <cell r="G98"/>
          <cell r="H98"/>
          <cell r="I98"/>
          <cell r="J98"/>
          <cell r="K98"/>
          <cell r="L98"/>
          <cell r="M98"/>
          <cell r="N98"/>
          <cell r="O98"/>
          <cell r="P98"/>
        </row>
      </sheetData>
      <sheetData sheetId="37">
        <row r="5">
          <cell r="C5">
            <v>2.2546439973448797</v>
          </cell>
        </row>
      </sheetData>
      <sheetData sheetId="38"/>
      <sheetData sheetId="39">
        <row r="9">
          <cell r="J9">
            <v>-4837.8065597955247</v>
          </cell>
        </row>
      </sheetData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eline info"/>
      <sheetName val="Summary(bJPY)"/>
      <sheetName val="Summary (mEUR)"/>
      <sheetName val="Check list"/>
      <sheetName val="Jul Var vs ACT"/>
      <sheetName val="Aug Var vs ACT"/>
      <sheetName val="HFM"/>
      <sheetName val="Other Adj."/>
      <sheetName val="OCS2"/>
      <sheetName val="AS"/>
      <sheetName val="WS Volume (Europe)"/>
      <sheetName val="WS Volume (Export)"/>
      <sheetName val="S&amp;M"/>
      <sheetName val="S&amp;M-Infiniti"/>
      <sheetName val="FMI"/>
      <sheetName val="HQ"/>
      <sheetName val="NMUK NRV"/>
      <sheetName val="WARR"/>
      <sheetName val="R&amp;D"/>
      <sheetName val="MZ"/>
      <sheetName val="ITP Export"/>
      <sheetName val="G&amp;A"/>
      <sheetName val="Duties"/>
    </sheetNames>
    <sheetDataSet>
      <sheetData sheetId="0"/>
      <sheetData sheetId="1"/>
      <sheetData sheetId="2">
        <row r="10">
          <cell r="AE10">
            <v>1186.7841746879785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2">
          <cell r="E12">
            <v>22.097000000000001</v>
          </cell>
          <cell r="H12">
            <v>72.72</v>
          </cell>
        </row>
      </sheetData>
      <sheetData sheetId="20"/>
      <sheetData sheetId="21"/>
      <sheetData sheetId="22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Q4OL (2+1) vs FC7+5_mEUR"/>
      <sheetName val="CMP-i-local fixed PL_NML Format"/>
      <sheetName val="Q1OL vs R#2"/>
      <sheetName val="Baseline info"/>
      <sheetName val="walk"/>
      <sheetName val="OR P&amp;L"/>
      <sheetName val="Summary(bJPY)"/>
      <sheetName val="Summary (mEUR)"/>
      <sheetName val="MFG out of func check"/>
      <sheetName val="Check list"/>
      <sheetName val="Jul Var vs ACT"/>
      <sheetName val="Aug Var vs ACT"/>
      <sheetName val="HQ"/>
      <sheetName val="HFM"/>
      <sheetName val="Other Adj."/>
      <sheetName val="OCS2"/>
      <sheetName val="AS"/>
      <sheetName val="WS Volume (Europe)"/>
      <sheetName val="WS Volume (Export)"/>
      <sheetName val="S&amp;M"/>
      <sheetName val="S&amp;M-Infiniti"/>
      <sheetName val="FMI"/>
      <sheetName val="NMUK NRV"/>
      <sheetName val="WARR"/>
      <sheetName val="R&amp;D"/>
      <sheetName val="MZ"/>
      <sheetName val="ITP Export"/>
      <sheetName val="G&amp;A"/>
      <sheetName val="Duti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0">
          <cell r="AG10">
            <v>1570.8969999999999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>
        <row r="16">
          <cell r="L16">
            <v>-1.7572981382781756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>
        <row r="12">
          <cell r="S12">
            <v>-9.8215247027179124</v>
          </cell>
        </row>
      </sheetData>
      <sheetData sheetId="24"/>
      <sheetData sheetId="25">
        <row r="12">
          <cell r="G12">
            <v>25173.8</v>
          </cell>
        </row>
      </sheetData>
      <sheetData sheetId="26"/>
      <sheetData sheetId="27"/>
      <sheetData sheetId="28">
        <row r="12">
          <cell r="M12">
            <v>0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Z VA recon"/>
      <sheetName val="Reconciliation VA"/>
      <sheetName val="to do"/>
      <sheetName val="FILTERING"/>
      <sheetName val="1. Executive Summary selection"/>
      <sheetName val="SCOPE"/>
      <sheetName val="OTHERS"/>
      <sheetName val="READINESS_CHECK"/>
      <sheetName val="CHECKLIST"/>
      <sheetName val="LY_MTD"/>
      <sheetName val="LY_YTD"/>
      <sheetName val="LY_OR"/>
      <sheetName val="LY_OCOS"/>
      <sheetName val="LY_VOL"/>
      <sheetName val="FC-1_MTD"/>
      <sheetName val="FC-1_YTD"/>
      <sheetName val="FC-1_OR"/>
      <sheetName val="FC-1_OCOS"/>
      <sheetName val="FC-1_VOL"/>
      <sheetName val="BP_MTD"/>
      <sheetName val="BP_YTD"/>
      <sheetName val="BP_OR"/>
      <sheetName val="BP_OCOS"/>
      <sheetName val="BP_VOL"/>
      <sheetName val="FC_MTD"/>
      <sheetName val="FC_OR"/>
      <sheetName val="FC_YTD"/>
      <sheetName val="FC_OCOS"/>
      <sheetName val="FC_VOL"/>
      <sheetName val="ACT_MTD"/>
      <sheetName val="ACT_YTD"/>
      <sheetName val="ACT_OR"/>
      <sheetName val="ACT_OCOS"/>
      <sheetName val="ACT_VOL"/>
      <sheetName val="TABLE_MTD"/>
      <sheetName val="TABLE_Q1"/>
      <sheetName val="TABLE_Q2"/>
      <sheetName val="TABLE_Q3"/>
      <sheetName val="TABLE_Q4"/>
      <sheetName val="TABLE_H1"/>
      <sheetName val="TABLE_H2"/>
      <sheetName val="TABLE_YTD"/>
      <sheetName val="Sheet1"/>
      <sheetName val="Q1 BP APR TASKS"/>
      <sheetName val="SUMMARY_LAYOUT1 (archive)"/>
      <sheetName val="SUMMARY_LAYOUT2"/>
      <sheetName val="M1 BP APR TASKS"/>
      <sheetName val="SUMMARY_LAYOUT_NISSAN (2)"/>
      <sheetName val="M1 BP APR TASKS May 16th"/>
      <sheetName val="1. Executive Summary"/>
      <sheetName val="SUMMARY_LAYOUT_NISSAN"/>
      <sheetName val="SUMMARY_LAYOUT_NISSAN v2"/>
      <sheetName val="SUMMARY_LAYOUT_NISSAN v3"/>
      <sheetName val="1. Executive Summary FULL YEAR"/>
      <sheetName val="CMP-I%_analysis MTD"/>
      <sheetName val="CMP-I%_analysis free selection"/>
      <sheetName val="CMP-I%_analysis H1"/>
      <sheetName val="CMP-I%_analysis H2"/>
      <sheetName val="CMP-I%_analysis Q3"/>
      <sheetName val="CMP-I%_analysis Q2"/>
      <sheetName val="CMP-I%_analysis Q4"/>
      <sheetName val="CMP-I%_analysis YTD"/>
      <sheetName val="FY_ACT"/>
      <sheetName val="FY_LY"/>
      <sheetName val="FY_BP"/>
      <sheetName val="FY_FC"/>
      <sheetName val="FY_ACTvsFC"/>
      <sheetName val="FY_ACTvsBP"/>
      <sheetName val="TREND"/>
      <sheetName val="TREND_SUMMARY"/>
      <sheetName val="TREND_COMMENTS"/>
      <sheetName val="TREND_MAPPING"/>
      <sheetName val="TREND_SLIDES"/>
      <sheetName val="VA conso_MTD_FC"/>
      <sheetName val="VA conso_YTD_FC"/>
      <sheetName val="VA conso_MTD_BP"/>
      <sheetName val="VA conso_YTD_BP"/>
      <sheetName val="VA_from_Qiaoyi"/>
      <sheetName val="VA_SM_MTD"/>
      <sheetName val="VA_SM_WO_TR_MTD"/>
      <sheetName val="VA_SM_TR_MTD"/>
      <sheetName val="VA_SM_Q1"/>
      <sheetName val="VA_SM_WO_TR_Q1"/>
      <sheetName val="VA_SM_TR_Q1"/>
      <sheetName val="VA_SM_Q2"/>
      <sheetName val="VA_SM_WO_TR_Q2"/>
      <sheetName val="VA_SM_TR_Q2"/>
      <sheetName val="VA_SM_Q3"/>
      <sheetName val="VA_SM_WO_TR_Q3"/>
      <sheetName val="VA_SM_TR_Q3"/>
      <sheetName val="VA_SM_Q4"/>
      <sheetName val="VA_SM_WO_TR_Q4"/>
      <sheetName val="VA_SM_TR_Q4"/>
      <sheetName val="VA_SM_H1"/>
      <sheetName val="VA_SM_WO_TR_H1"/>
      <sheetName val="VA_SM_TR_H1"/>
      <sheetName val="VA_SM_H2"/>
      <sheetName val="VA_SM_WO_TR_H2"/>
      <sheetName val="VA_SM_TR_H2"/>
      <sheetName val="VA_SM_YTD"/>
      <sheetName val="VA_SM_WO_TR_YTD"/>
      <sheetName val="VA_SM_TR_YTD"/>
      <sheetName val="VA_AS_MTD"/>
      <sheetName val="VA_AS_Q1"/>
      <sheetName val="VA_AS_Q2"/>
      <sheetName val="VA_AS_Q3"/>
      <sheetName val="VA_AS_Q4"/>
      <sheetName val="VA_AS_H1"/>
      <sheetName val="VA_AS_H2"/>
      <sheetName val="VA_AS_YTD"/>
      <sheetName val="VA_MZ_MTD"/>
      <sheetName val="VA_MZ_Q1"/>
      <sheetName val="VA_MZ_Q2"/>
      <sheetName val="VA_MZ_Q3"/>
      <sheetName val="VA_MZ_Q4"/>
      <sheetName val="VA_MZ_H1"/>
      <sheetName val="VA_MZ_H2"/>
      <sheetName val="VA_MZ_YTD"/>
      <sheetName val="VA_GA_MTD"/>
      <sheetName val="VA_GA_Q1"/>
      <sheetName val="VA_GA_Q2"/>
      <sheetName val="VA_GA_Q3"/>
      <sheetName val="VA_GA_Q4"/>
      <sheetName val="VA_GA_H1"/>
      <sheetName val="VA_GA_H2"/>
      <sheetName val="VA_GA_YTD"/>
      <sheetName val="VA_UC_MTD"/>
      <sheetName val="VA_UC_Q1"/>
      <sheetName val="VA_UC_Q2"/>
      <sheetName val="VA_UC_Q3"/>
      <sheetName val="VA_UC_Q4"/>
      <sheetName val="VA_UC_H1"/>
      <sheetName val="VA_UC_H2"/>
      <sheetName val="VA_UC_YTD"/>
      <sheetName val="VA_WAR_MTD"/>
      <sheetName val="VA_WAR_Q1"/>
      <sheetName val="VA_WAR_Q2"/>
      <sheetName val="VA_WAR_Q3"/>
      <sheetName val="VA_WAR_Q4"/>
      <sheetName val="VA_WAR_H1"/>
      <sheetName val="VA_WAR_H2"/>
      <sheetName val="VA_WAR_YTD"/>
      <sheetName val="VA_FX_ROP_MTD"/>
      <sheetName val="VA_FX_ROP_YTD"/>
      <sheetName val="HFM_PL_MTD"/>
      <sheetName val="HFM_PL_Q1"/>
      <sheetName val="HFM_PL_H2"/>
      <sheetName val="HFM_PL_Q2"/>
      <sheetName val="HFM_PL_Q3"/>
      <sheetName val="HFM_PL_Q4"/>
      <sheetName val="HFM_PL_H1"/>
      <sheetName val="HFM_PL_YTD"/>
      <sheetName val="CMOR_MTD_vsFC"/>
      <sheetName val="CMOR vs LY flash"/>
      <sheetName val="CMOR vs OL flash"/>
      <sheetName val="CMOR_MTD_vsLY"/>
      <sheetName val="CMOR_MTD_vsBP"/>
      <sheetName val="CMOR_MTD_vsFC-1"/>
      <sheetName val="CMOR_YTD_vsBP"/>
      <sheetName val="CMOR_YTD_vsFC"/>
      <sheetName val="CMOR_YTD_vsFC-1"/>
      <sheetName val="CMOR_YTD_vsLY"/>
      <sheetName val="CMOR_Q1_vsLY"/>
      <sheetName val="CMOR_Q2_vsBP"/>
      <sheetName val="CMOR_Q2_vsFC"/>
      <sheetName val="CMOR_Q2_vsLY"/>
      <sheetName val="CMOR_Q3_vsBP"/>
      <sheetName val="CMOR_Q3_vsFC-1"/>
      <sheetName val="CMOR_Q4_vsBP"/>
      <sheetName val="CMOR_Q2_vsQ3FC-1"/>
      <sheetName val="CMOR_Q3_vsQ2"/>
      <sheetName val="CMOR_Q4_vsLY"/>
      <sheetName val="CMOR_Q4_vsOL"/>
      <sheetName val="CMOR_Q4_vsQ3"/>
      <sheetName val="CMOR_H1_vsBP"/>
      <sheetName val="CMOR_H1_vsLY"/>
      <sheetName val="CMOR_H2_vsBP"/>
      <sheetName val="CMOR_H2_vsLY"/>
      <sheetName val="CMOR_H2_vsH1"/>
      <sheetName val="CMOR_Q3vs2x10_adhoc"/>
      <sheetName val="CMOR_Q3_vsBPQ4"/>
      <sheetName val="CMOR_Q1_vsFCQ2"/>
      <sheetName val="proposals"/>
      <sheetName val="VA_MTD_vsOL"/>
      <sheetName val="CMOR_MTD_vs M-1"/>
      <sheetName val="CMOR_Q3_vsLY"/>
      <sheetName val="FULL_PL_w_selection"/>
      <sheetName val="FULL_PL_vs OL"/>
      <sheetName val="VA_YTD_vsLY"/>
      <sheetName val="VA_YTD_vsFC"/>
      <sheetName val="VA_YTD_vs FC"/>
      <sheetName val="OL_VA_TABLE"/>
      <sheetName val="OL_VA (NOT USED)"/>
      <sheetName val="OL_ACT"/>
      <sheetName val="OL_LY"/>
      <sheetName val="OL_BP"/>
      <sheetName val="OL_FC"/>
      <sheetName val="OL_FCx"/>
      <sheetName val="MTD_REV_WALK_MTD_vsFC."/>
      <sheetName val="MTD_REV_WALK_MTD_vsFC"/>
      <sheetName val="MTD_COS_WALK_MTD_vs BP"/>
      <sheetName val="Q3_COS_WALK_vs FC-1 "/>
      <sheetName val="Q3_COS_WALK_vs LY"/>
      <sheetName val="MTD_COS_WALK_MTD_vs FC"/>
      <sheetName val="MTD_COS_WALK_MTD_vs FC-1"/>
      <sheetName val="YTD_COS_WALK_vs FC "/>
      <sheetName val="MTD_COS_WALK_MTD_vs OL)"/>
      <sheetName val="YTD_COS_WALK_vs BP"/>
      <sheetName val="YTD_COS_WALK_vs LY"/>
      <sheetName val="VALIDATION LIST"/>
      <sheetName val="MAPPING_TAB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48">
          <cell r="P148">
            <v>36.621150347000004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78">
          <cell r="Z78">
            <v>0.30400063000000005</v>
          </cell>
        </row>
        <row r="82">
          <cell r="Z82">
            <v>3.9822704930535302E-2</v>
          </cell>
        </row>
      </sheetData>
      <sheetData sheetId="35"/>
      <sheetData sheetId="36"/>
      <sheetData sheetId="37"/>
      <sheetData sheetId="38"/>
      <sheetData sheetId="39"/>
      <sheetData sheetId="40"/>
      <sheetData sheetId="41">
        <row r="78">
          <cell r="Z78">
            <v>0.62683816500000145</v>
          </cell>
        </row>
        <row r="82">
          <cell r="Z82">
            <v>0.86342751500000148</v>
          </cell>
        </row>
      </sheetData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>
        <row r="10">
          <cell r="X10">
            <v>-0.14146420922238878</v>
          </cell>
        </row>
      </sheetData>
      <sheetData sheetId="111"/>
      <sheetData sheetId="112"/>
      <sheetData sheetId="113"/>
      <sheetData sheetId="114"/>
      <sheetData sheetId="115"/>
      <sheetData sheetId="116"/>
      <sheetData sheetId="117">
        <row r="10">
          <cell r="X10">
            <v>0.78061929921073314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>
        <row r="8">
          <cell r="R8"/>
        </row>
        <row r="22">
          <cell r="J22">
            <v>-1.8917331487073115</v>
          </cell>
          <cell r="K22">
            <v>-0.22359687657071625</v>
          </cell>
          <cell r="L22">
            <v>0</v>
          </cell>
          <cell r="M22">
            <v>-2.0482102605567718</v>
          </cell>
          <cell r="N22">
            <v>1.7719983561794641</v>
          </cell>
          <cell r="O22">
            <v>4.2045664011707215E-3</v>
          </cell>
          <cell r="Q22">
            <v>3.8559650029907768</v>
          </cell>
        </row>
        <row r="154">
          <cell r="I154">
            <v>-1.0439150771630596</v>
          </cell>
        </row>
        <row r="155">
          <cell r="I155">
            <v>0.1</v>
          </cell>
        </row>
        <row r="156">
          <cell r="I156">
            <v>5.1780357526255409</v>
          </cell>
        </row>
        <row r="157">
          <cell r="I157">
            <v>-3.5619635942665893E-2</v>
          </cell>
        </row>
        <row r="158">
          <cell r="I158">
            <v>0</v>
          </cell>
        </row>
        <row r="159">
          <cell r="I159">
            <v>3.1415069541495172E-2</v>
          </cell>
        </row>
        <row r="160">
          <cell r="I160">
            <v>-0.2</v>
          </cell>
        </row>
        <row r="161">
          <cell r="I161">
            <v>0.435995207</v>
          </cell>
        </row>
        <row r="162">
          <cell r="I162">
            <v>0</v>
          </cell>
        </row>
        <row r="163">
          <cell r="I163">
            <v>0.10386993109363751</v>
          </cell>
        </row>
        <row r="164">
          <cell r="I164">
            <v>-2.745312542688394E-3</v>
          </cell>
        </row>
        <row r="165">
          <cell r="I165">
            <v>0</v>
          </cell>
        </row>
        <row r="166">
          <cell r="I166">
            <v>9.210621049341583E-2</v>
          </cell>
        </row>
        <row r="167">
          <cell r="I167">
            <v>0</v>
          </cell>
        </row>
        <row r="168">
          <cell r="I168">
            <v>0.19671030419281313</v>
          </cell>
        </row>
        <row r="169">
          <cell r="I169">
            <v>0</v>
          </cell>
        </row>
        <row r="170">
          <cell r="I170">
            <v>0</v>
          </cell>
        </row>
      </sheetData>
      <sheetData sheetId="158"/>
      <sheetData sheetId="159"/>
      <sheetData sheetId="160">
        <row r="22">
          <cell r="J22">
            <v>1.5283979287157115</v>
          </cell>
          <cell r="K22">
            <v>-12.626457369880093</v>
          </cell>
          <cell r="L22">
            <v>0</v>
          </cell>
          <cell r="M22">
            <v>-25.742396600083019</v>
          </cell>
          <cell r="N22">
            <v>-11.212596611449076</v>
          </cell>
          <cell r="O22">
            <v>-6.6913162811723783</v>
          </cell>
          <cell r="Q22">
            <v>-25.24816530499994</v>
          </cell>
        </row>
        <row r="154">
          <cell r="I154">
            <v>-3.908776547658646</v>
          </cell>
        </row>
        <row r="155">
          <cell r="I155">
            <v>0.2</v>
          </cell>
        </row>
        <row r="156">
          <cell r="I156">
            <v>24.50149548093556</v>
          </cell>
        </row>
        <row r="157">
          <cell r="I157">
            <v>-0.5716456023919535</v>
          </cell>
        </row>
        <row r="158">
          <cell r="I158">
            <v>0</v>
          </cell>
        </row>
        <row r="159">
          <cell r="I159">
            <v>0.56022220456433414</v>
          </cell>
        </row>
        <row r="160">
          <cell r="I160">
            <v>-0.71372710099999637</v>
          </cell>
        </row>
        <row r="161">
          <cell r="I161">
            <v>0.66270778400000008</v>
          </cell>
        </row>
        <row r="162">
          <cell r="I162">
            <v>0</v>
          </cell>
        </row>
        <row r="163">
          <cell r="I163">
            <v>0.9113858186243563</v>
          </cell>
        </row>
        <row r="164">
          <cell r="I164">
            <v>-6.9193641832669073E-2</v>
          </cell>
        </row>
        <row r="165">
          <cell r="I165">
            <v>0</v>
          </cell>
        </row>
        <row r="166">
          <cell r="I166">
            <v>0.52204981143516704</v>
          </cell>
        </row>
        <row r="167">
          <cell r="I167">
            <v>0</v>
          </cell>
        </row>
        <row r="168">
          <cell r="I168">
            <v>2.1481336614195174</v>
          </cell>
        </row>
        <row r="169">
          <cell r="I169">
            <v>0</v>
          </cell>
        </row>
        <row r="170">
          <cell r="I170">
            <v>0</v>
          </cell>
        </row>
      </sheetData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OP"/>
      <sheetName val="Summary"/>
      <sheetName val="P&amp;L Actual"/>
      <sheetName val="ROP NE (Tagetik)"/>
      <sheetName val="ROP NE (Tagetik) (2) Prior"/>
      <sheetName val="NE last month"/>
      <sheetName val="ROP East (Tagetik)"/>
      <sheetName val="East prev month"/>
      <sheetName val="MZ conso TGK"/>
      <sheetName val="OCS details"/>
      <sheetName val="P&amp;L BP"/>
      <sheetName val="P&amp;L 2+10"/>
      <sheetName val="P&amp;L 7+5"/>
      <sheetName val="P&amp;L 5+7"/>
      <sheetName val="P&amp;L LY"/>
      <sheetName val="MCPP NE (Tagetik)"/>
      <sheetName val="MCPP East (Tagetik)"/>
      <sheetName val="P&amp;L vs BP"/>
      <sheetName val="New KPI Actual"/>
      <sheetName val="New KPI Actual Prior"/>
      <sheetName val="New KPI BP"/>
      <sheetName val="New KPI 2+10"/>
      <sheetName val="New KPI 7+5"/>
      <sheetName val="New KPI 5+7"/>
      <sheetName val="New KPI LY"/>
      <sheetName val="MCPP BP @BP"/>
      <sheetName val="MCPP LY @ BP"/>
      <sheetName val="Nissan Europe (MCPP)"/>
      <sheetName val="East (MCPP)"/>
      <sheetName val="SCOS reclass ROP"/>
      <sheetName val="SCOS reclass new KPI"/>
      <sheetName val="FX vs LY"/>
      <sheetName val="FX vs BP"/>
      <sheetName val="FX vs 2+10"/>
      <sheetName val="SCOS reclass old"/>
      <sheetName val="FX vs 7+5"/>
      <sheetName val="FX vs 5+7"/>
      <sheetName val="New KPI vs BP"/>
      <sheetName val="Relief"/>
      <sheetName val="Reclass"/>
      <sheetName val="HQ Tagetik"/>
      <sheetName val="Others"/>
      <sheetName val="HFM Jun"/>
      <sheetName val="HFM Mar"/>
      <sheetName val="HFM Apr"/>
      <sheetName val="HFM May"/>
      <sheetName val="HFM Aug"/>
      <sheetName val="HFM Jul"/>
      <sheetName val="HFM Sep"/>
      <sheetName val="HFM Oct"/>
      <sheetName val="HFM Nov"/>
      <sheetName val="HFM Dec"/>
      <sheetName val="HFM Jan"/>
      <sheetName val="HFM Feb"/>
    </sheetNames>
    <sheetDataSet>
      <sheetData sheetId="0"/>
      <sheetData sheetId="1"/>
      <sheetData sheetId="2">
        <row r="5">
          <cell r="H5">
            <v>20429</v>
          </cell>
          <cell r="I5">
            <v>26765</v>
          </cell>
          <cell r="J5">
            <v>33113</v>
          </cell>
          <cell r="K5">
            <v>24555</v>
          </cell>
          <cell r="L5">
            <v>16223</v>
          </cell>
          <cell r="M5">
            <v>39014</v>
          </cell>
          <cell r="N5">
            <v>26247</v>
          </cell>
          <cell r="O5">
            <v>28564</v>
          </cell>
          <cell r="P5">
            <v>23823</v>
          </cell>
          <cell r="Q5">
            <v>28803</v>
          </cell>
        </row>
        <row r="6"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</row>
        <row r="7"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</row>
        <row r="9">
          <cell r="H9">
            <v>1356.722</v>
          </cell>
          <cell r="I9">
            <v>1405.501</v>
          </cell>
          <cell r="J9">
            <v>1565.7449999999999</v>
          </cell>
          <cell r="K9">
            <v>1387.4110000000001</v>
          </cell>
          <cell r="L9">
            <v>1044.5920000000001</v>
          </cell>
          <cell r="M9">
            <v>1548.3879999999999</v>
          </cell>
          <cell r="N9">
            <v>1396.605</v>
          </cell>
          <cell r="O9">
            <v>1406.473</v>
          </cell>
          <cell r="P9">
            <v>1554.838</v>
          </cell>
          <cell r="Q9">
            <v>1238.3779</v>
          </cell>
        </row>
        <row r="21">
          <cell r="H21">
            <v>16118</v>
          </cell>
          <cell r="I21">
            <v>23011</v>
          </cell>
          <cell r="J21">
            <v>30538</v>
          </cell>
          <cell r="K21">
            <v>21086</v>
          </cell>
          <cell r="L21">
            <v>18342</v>
          </cell>
          <cell r="M21">
            <v>39103</v>
          </cell>
          <cell r="N21">
            <v>22727</v>
          </cell>
          <cell r="O21">
            <v>31667</v>
          </cell>
          <cell r="P21">
            <v>26382</v>
          </cell>
          <cell r="Q21">
            <v>28884</v>
          </cell>
        </row>
        <row r="22">
          <cell r="H22">
            <v>7</v>
          </cell>
          <cell r="I22">
            <v>1</v>
          </cell>
          <cell r="J22">
            <v>0</v>
          </cell>
          <cell r="K22">
            <v>41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34</v>
          </cell>
          <cell r="Q22">
            <v>2</v>
          </cell>
        </row>
        <row r="23"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</row>
        <row r="27">
          <cell r="H27">
            <v>481</v>
          </cell>
          <cell r="I27">
            <v>1491</v>
          </cell>
          <cell r="J27">
            <v>1025</v>
          </cell>
          <cell r="K27">
            <v>347</v>
          </cell>
          <cell r="L27">
            <v>533</v>
          </cell>
          <cell r="M27">
            <v>392</v>
          </cell>
          <cell r="N27">
            <v>601</v>
          </cell>
          <cell r="O27">
            <v>625</v>
          </cell>
          <cell r="P27">
            <v>682</v>
          </cell>
          <cell r="Q27">
            <v>349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8">
          <cell r="AF18">
            <v>25464</v>
          </cell>
          <cell r="BX18">
            <v>25464</v>
          </cell>
          <cell r="BY18">
            <v>20659</v>
          </cell>
          <cell r="CB18">
            <v>72592</v>
          </cell>
          <cell r="CC18">
            <v>72223</v>
          </cell>
          <cell r="CG18">
            <v>25464</v>
          </cell>
          <cell r="CH18">
            <v>26715</v>
          </cell>
          <cell r="CL18">
            <v>229070.2</v>
          </cell>
          <cell r="CO18">
            <v>72592</v>
          </cell>
          <cell r="CP18">
            <v>79373</v>
          </cell>
        </row>
        <row r="24">
          <cell r="BX24">
            <v>28886</v>
          </cell>
          <cell r="BY24">
            <v>26416</v>
          </cell>
          <cell r="CB24">
            <v>80810</v>
          </cell>
          <cell r="CC24">
            <v>85990</v>
          </cell>
          <cell r="CG24">
            <v>28886</v>
          </cell>
          <cell r="CH24">
            <v>30055</v>
          </cell>
          <cell r="CK24">
            <v>257943</v>
          </cell>
          <cell r="CL24">
            <v>263767</v>
          </cell>
          <cell r="CO24">
            <v>80810</v>
          </cell>
          <cell r="CP24">
            <v>107695</v>
          </cell>
        </row>
        <row r="25">
          <cell r="BX25">
            <v>349</v>
          </cell>
          <cell r="BY25">
            <v>682</v>
          </cell>
        </row>
        <row r="27">
          <cell r="CB27">
            <v>1908</v>
          </cell>
          <cell r="CC27">
            <v>2417</v>
          </cell>
          <cell r="CG27">
            <v>349</v>
          </cell>
          <cell r="CH27">
            <v>981</v>
          </cell>
          <cell r="CK27">
            <v>6526</v>
          </cell>
          <cell r="CL27">
            <v>8397</v>
          </cell>
          <cell r="CO27">
            <v>1908</v>
          </cell>
          <cell r="CP27">
            <v>2384</v>
          </cell>
        </row>
        <row r="238">
          <cell r="CI238">
            <v>-1.1740185860000001</v>
          </cell>
        </row>
      </sheetData>
      <sheetData sheetId="18">
        <row r="33">
          <cell r="F33">
            <v>-3.1056917000000017E-2</v>
          </cell>
          <cell r="G33">
            <v>-2.0865730000000002E-2</v>
          </cell>
          <cell r="H33">
            <v>-1.1517993000000001E-2</v>
          </cell>
          <cell r="I33">
            <v>0.296928782</v>
          </cell>
          <cell r="J33">
            <v>-0.149848024</v>
          </cell>
          <cell r="K33">
            <v>6.1804080000000004E-2</v>
          </cell>
          <cell r="L33">
            <v>-8.2806230000000008E-3</v>
          </cell>
          <cell r="M33">
            <v>-7.4329570000000005E-3</v>
          </cell>
          <cell r="N33">
            <v>-4.1327812999999984E-2</v>
          </cell>
          <cell r="O33">
            <v>-3.5024863000000003E-2</v>
          </cell>
        </row>
        <row r="201">
          <cell r="F201"/>
          <cell r="G201"/>
          <cell r="H201"/>
          <cell r="I201"/>
          <cell r="J201"/>
          <cell r="K201"/>
          <cell r="L201"/>
          <cell r="M201"/>
          <cell r="N201"/>
          <cell r="O201"/>
        </row>
        <row r="220">
          <cell r="F220">
            <v>11.986581189000001</v>
          </cell>
          <cell r="G220">
            <v>12.418130976</v>
          </cell>
          <cell r="H220">
            <v>14.339531531</v>
          </cell>
          <cell r="I220">
            <v>11.268922902</v>
          </cell>
          <cell r="J220">
            <v>9.7634507080000006</v>
          </cell>
          <cell r="K220">
            <v>16.207437536</v>
          </cell>
          <cell r="L220">
            <v>12.53863904</v>
          </cell>
          <cell r="M220">
            <v>17.910946447000001</v>
          </cell>
          <cell r="N220">
            <v>13.839326565</v>
          </cell>
          <cell r="O220">
            <v>12.553012989000001</v>
          </cell>
        </row>
        <row r="344">
          <cell r="F344">
            <v>0.14099999999999999</v>
          </cell>
          <cell r="G344">
            <v>0.92700000000000005</v>
          </cell>
          <cell r="H344">
            <v>0.183</v>
          </cell>
          <cell r="I344">
            <v>0.89500000000000002</v>
          </cell>
          <cell r="J344">
            <v>0.68600000000000005</v>
          </cell>
          <cell r="K344">
            <v>0.55000000000000004</v>
          </cell>
          <cell r="L344">
            <v>0.46300000000000002</v>
          </cell>
          <cell r="M344">
            <v>0.55400000000000005</v>
          </cell>
          <cell r="N344">
            <v>1.121</v>
          </cell>
          <cell r="O344">
            <v>1.6693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>
        <row r="15">
          <cell r="AW15">
            <v>-3.8112449987354434E-2</v>
          </cell>
          <cell r="DB15">
            <v>0</v>
          </cell>
          <cell r="DO15">
            <v>-3.8112449987354434E-2</v>
          </cell>
          <cell r="DV15">
            <v>-0.80172171452963537</v>
          </cell>
          <cell r="EB15">
            <v>-3.8112449987354434E-2</v>
          </cell>
          <cell r="EO15">
            <v>-0.80172171452963537</v>
          </cell>
        </row>
        <row r="20">
          <cell r="DB20">
            <v>0</v>
          </cell>
          <cell r="DO20">
            <v>2.5331014149315711E-2</v>
          </cell>
          <cell r="DV20">
            <v>0.15887075059823197</v>
          </cell>
        </row>
        <row r="31">
          <cell r="BV31"/>
        </row>
        <row r="34">
          <cell r="DB34">
            <v>0</v>
          </cell>
          <cell r="DO34">
            <v>0.51603222652029512</v>
          </cell>
          <cell r="DV34">
            <v>3.530418258567753</v>
          </cell>
          <cell r="EB34">
            <v>0.51603222652029512</v>
          </cell>
          <cell r="EO34">
            <v>3.530418258567753</v>
          </cell>
        </row>
        <row r="437">
          <cell r="DN437">
            <v>-0.88185000000000002</v>
          </cell>
          <cell r="DU437">
            <v>-24.013559499999996</v>
          </cell>
        </row>
        <row r="449">
          <cell r="CZ449">
            <v>0.11819637410399697</v>
          </cell>
          <cell r="DN449">
            <v>0.3082443963806149</v>
          </cell>
          <cell r="DU449">
            <v>1.7419396920379935</v>
          </cell>
          <cell r="EA449">
            <v>0.37942530689085041</v>
          </cell>
        </row>
        <row r="460">
          <cell r="EB460"/>
        </row>
        <row r="507">
          <cell r="DB507">
            <v>0</v>
          </cell>
          <cell r="DO507">
            <v>0.24906200185368255</v>
          </cell>
          <cell r="DV507">
            <v>1.4461766802811873</v>
          </cell>
          <cell r="EB507">
            <v>0.24906200185368255</v>
          </cell>
          <cell r="EO507">
            <v>1.4461766802811873</v>
          </cell>
        </row>
        <row r="523">
          <cell r="DB523">
            <v>0</v>
          </cell>
          <cell r="DO523">
            <v>9.0073434516046878E-7</v>
          </cell>
          <cell r="DV523">
            <v>7.6755389421046285E-6</v>
          </cell>
          <cell r="EB523">
            <v>9.0073434516046878E-7</v>
          </cell>
          <cell r="EO523">
            <v>7.6755389421046285E-6</v>
          </cell>
        </row>
      </sheetData>
      <sheetData sheetId="38">
        <row r="80"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-3</v>
          </cell>
          <cell r="J80">
            <v>-6.2880000000000003</v>
          </cell>
          <cell r="K80">
            <v>-4.6140309380534603</v>
          </cell>
          <cell r="L80">
            <v>-4.8938873242072578</v>
          </cell>
          <cell r="M80">
            <v>-4.0928820366312353</v>
          </cell>
          <cell r="N80">
            <v>3.3884000000000003</v>
          </cell>
        </row>
        <row r="81"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</row>
        <row r="82"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</row>
        <row r="83"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6.1887594502999181E-2</v>
          </cell>
          <cell r="J83">
            <v>3.9490211041998862E-3</v>
          </cell>
          <cell r="K83">
            <v>-0.56200000000000006</v>
          </cell>
          <cell r="L83">
            <v>-0.32500000000000001</v>
          </cell>
          <cell r="M83">
            <v>-0.33700000000000002</v>
          </cell>
          <cell r="N83">
            <v>-0.187</v>
          </cell>
        </row>
        <row r="84"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-0.20057774999999997</v>
          </cell>
          <cell r="L84">
            <v>-0.44033050000000001</v>
          </cell>
          <cell r="M84">
            <v>-0.94729372000000012</v>
          </cell>
          <cell r="N84">
            <v>-1.2138</v>
          </cell>
        </row>
        <row r="87">
          <cell r="E87">
            <v>-2.2744157</v>
          </cell>
          <cell r="F87">
            <v>-2.6542930999999998</v>
          </cell>
          <cell r="G87">
            <v>-3.4230191999999997</v>
          </cell>
          <cell r="H87">
            <v>-2.6512258999999982</v>
          </cell>
          <cell r="I87">
            <v>-2.2306751000000027</v>
          </cell>
          <cell r="J87">
            <v>-4.3002925000000012</v>
          </cell>
          <cell r="K87">
            <v>-3.0895212999999941</v>
          </cell>
          <cell r="L87">
            <v>-3.5320670200000031</v>
          </cell>
          <cell r="M87">
            <v>-3.3993533300000038</v>
          </cell>
          <cell r="N87">
            <v>-3.2673819799999961</v>
          </cell>
        </row>
        <row r="93">
          <cell r="E93"/>
          <cell r="F93"/>
          <cell r="G93"/>
          <cell r="H93"/>
          <cell r="I93"/>
          <cell r="J93"/>
          <cell r="K93"/>
          <cell r="L93"/>
          <cell r="M93"/>
          <cell r="N93"/>
        </row>
        <row r="94">
          <cell r="E94"/>
          <cell r="F94"/>
          <cell r="G94"/>
          <cell r="H94"/>
          <cell r="I94"/>
          <cell r="J94"/>
          <cell r="K94"/>
          <cell r="L94"/>
          <cell r="M94"/>
          <cell r="N94"/>
        </row>
        <row r="95">
          <cell r="E95">
            <v>0</v>
          </cell>
          <cell r="F95">
            <v>0</v>
          </cell>
          <cell r="G95">
            <v>0.30283913715431171</v>
          </cell>
          <cell r="H95">
            <v>0.18245641091273598</v>
          </cell>
          <cell r="I95">
            <v>5.824764674268023E-3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</row>
        <row r="96">
          <cell r="E96">
            <v>0</v>
          </cell>
          <cell r="F96">
            <v>0</v>
          </cell>
          <cell r="G96">
            <v>0</v>
          </cell>
          <cell r="H96">
            <v>-0.84629999999999994</v>
          </cell>
          <cell r="I96">
            <v>-1.8121546965801907</v>
          </cell>
          <cell r="J96">
            <v>-2.7174581744434483</v>
          </cell>
          <cell r="K96">
            <v>-1.9678247681395822</v>
          </cell>
          <cell r="L96">
            <v>-1.4279864052818758</v>
          </cell>
          <cell r="M96">
            <v>-0.91729455798791959</v>
          </cell>
          <cell r="N96">
            <v>-0.48476128947928415</v>
          </cell>
        </row>
        <row r="97">
          <cell r="E97"/>
          <cell r="F97"/>
          <cell r="G97"/>
          <cell r="H97"/>
          <cell r="I97"/>
          <cell r="J97"/>
          <cell r="K97"/>
          <cell r="L97"/>
          <cell r="M97">
            <v>4.5526902411928867E-2</v>
          </cell>
          <cell r="N97">
            <v>0</v>
          </cell>
        </row>
      </sheetData>
      <sheetData sheetId="39">
        <row r="5">
          <cell r="C5">
            <v>2.2546439973448797</v>
          </cell>
          <cell r="D5">
            <v>2.2359900205328698</v>
          </cell>
          <cell r="E5">
            <v>2.1925870892448822</v>
          </cell>
          <cell r="F5">
            <v>2.1261450562374615</v>
          </cell>
          <cell r="G5">
            <v>2.1235463107522752</v>
          </cell>
          <cell r="H5">
            <v>2.1022557859426585</v>
          </cell>
          <cell r="I5">
            <v>-1.7845704287208499</v>
          </cell>
          <cell r="J5">
            <v>0.90222124336119403</v>
          </cell>
          <cell r="K5">
            <v>1.5330645305018482</v>
          </cell>
          <cell r="L5">
            <v>1.3988883249842416</v>
          </cell>
        </row>
      </sheetData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Z VA recon"/>
      <sheetName val="Reconciliation VA"/>
      <sheetName val="to do"/>
      <sheetName val="FILTERING"/>
      <sheetName val="1. Executive Summary selection"/>
      <sheetName val="SCOPE"/>
      <sheetName val="OTHERS"/>
      <sheetName val="READINESS_CHECK"/>
      <sheetName val="CHECKLIST"/>
      <sheetName val="LY_MTD"/>
      <sheetName val="LY_YTD"/>
      <sheetName val="LY_OR"/>
      <sheetName val="LY_OCOS"/>
      <sheetName val="LY_VOL"/>
      <sheetName val="FC-1_MTD"/>
      <sheetName val="FC-1_YTD"/>
      <sheetName val="FC-1_OR"/>
      <sheetName val="FC-1_OCOS"/>
      <sheetName val="FC-1_VOL"/>
      <sheetName val="BP_MTD"/>
      <sheetName val="BP_YTD"/>
      <sheetName val="BP_OR"/>
      <sheetName val="BP_OCOS"/>
      <sheetName val="BP_VOL"/>
      <sheetName val="FC_MTD"/>
      <sheetName val="FC_OR"/>
      <sheetName val="FC_YTD"/>
      <sheetName val="FC_OCOS"/>
      <sheetName val="FC_VOL"/>
      <sheetName val="ACT_MTD"/>
      <sheetName val="ACT_YTD"/>
      <sheetName val="ACT_OR"/>
      <sheetName val="ACT_OCOS"/>
      <sheetName val="ACT_VOL"/>
      <sheetName val="TABLE_MTD"/>
      <sheetName val="TABLE_Q1"/>
      <sheetName val="TABLE_Q2"/>
      <sheetName val="TABLE_Q3"/>
      <sheetName val="TABLE_Q4"/>
      <sheetName val="TABLE_H1"/>
      <sheetName val="TABLE_H2"/>
      <sheetName val="TABLE_YTD"/>
      <sheetName val="Sheet1"/>
      <sheetName val="Q1 BP APR TASKS"/>
      <sheetName val="SUMMARY_LAYOUT1 (archive)"/>
      <sheetName val="SUMMARY_LAYOUT2"/>
      <sheetName val="M1 BP APR TASKS"/>
      <sheetName val="SUMMARY_LAYOUT_NISSAN (2)"/>
      <sheetName val="M1 BP APR TASKS May 16th"/>
      <sheetName val="1. Executive Summary"/>
      <sheetName val="SUMMARY_LAYOUT_NISSAN"/>
      <sheetName val="SUMMARY_LAYOUT_NISSAN v2"/>
      <sheetName val="SUMMARY_LAYOUT_NISSAN v3"/>
      <sheetName val="1. Executive Summary FULL YEAR"/>
      <sheetName val="CMP-I%_analysis MTD"/>
      <sheetName val="CMP-I%_analysis free selection"/>
      <sheetName val="CMP-I%_analysis H1"/>
      <sheetName val="CMP-I%_analysis H2"/>
      <sheetName val="CMP-I%_analysis Q3"/>
      <sheetName val="CMP-I%_analysis Q2"/>
      <sheetName val="CMP-I%_analysis Q4"/>
      <sheetName val="CMP-I%_analysis YTD"/>
      <sheetName val="FY_ACT"/>
      <sheetName val="FY_LY"/>
      <sheetName val="FY_BP"/>
      <sheetName val="FY_FC"/>
      <sheetName val="FY_ACTvsFC"/>
      <sheetName val="FY_ACTvsBP"/>
      <sheetName val="TREND"/>
      <sheetName val="TREND_SUMMARY"/>
      <sheetName val="TREND_COMMENTS"/>
      <sheetName val="TREND_MAPPING"/>
      <sheetName val="TREND_SLIDES"/>
      <sheetName val="VA conso_MTD_FC"/>
      <sheetName val="VA conso_YTD_FC"/>
      <sheetName val="VA conso_MTD_BP"/>
      <sheetName val="VA conso_YTD_BP"/>
      <sheetName val="VA_from_Qiaoyi"/>
      <sheetName val="VA_SM_MTD"/>
      <sheetName val="VA_SM_WO_TR_MTD"/>
      <sheetName val="VA_SM_TR_MTD"/>
      <sheetName val="VA_SM_Q1"/>
      <sheetName val="VA_SM_WO_TR_Q1"/>
      <sheetName val="VA_SM_TR_Q1"/>
      <sheetName val="VA_SM_Q2"/>
      <sheetName val="VA_SM_WO_TR_Q2"/>
      <sheetName val="VA_SM_TR_Q2"/>
      <sheetName val="VA_SM_Q3"/>
      <sheetName val="VA_SM_WO_TR_Q3"/>
      <sheetName val="VA_SM_TR_Q3"/>
      <sheetName val="VA_SM_Q4"/>
      <sheetName val="VA_SM_WO_TR_Q4"/>
      <sheetName val="VA_SM_TR_Q4"/>
      <sheetName val="VA_SM_H1"/>
      <sheetName val="VA_SM_WO_TR_H1"/>
      <sheetName val="VA_SM_TR_H1"/>
      <sheetName val="VA_SM_H2"/>
      <sheetName val="VA_SM_WO_TR_H2"/>
      <sheetName val="VA_SM_TR_H2"/>
      <sheetName val="VA_SM_YTD"/>
      <sheetName val="VA_SM_WO_TR_YTD"/>
      <sheetName val="VA_SM_TR_YTD"/>
      <sheetName val="VA_AS_MTD"/>
      <sheetName val="VA_AS_Q1"/>
      <sheetName val="VA_AS_Q2"/>
      <sheetName val="VA_AS_Q3"/>
      <sheetName val="VA_AS_Q4"/>
      <sheetName val="VA_AS_H1"/>
      <sheetName val="VA_AS_H2"/>
      <sheetName val="VA_AS_YTD"/>
      <sheetName val="VA_MZ_MTD"/>
      <sheetName val="VA_MZ_Q1"/>
      <sheetName val="VA_MZ_Q2"/>
      <sheetName val="VA_MZ_Q3"/>
      <sheetName val="VA_MZ_Q4"/>
      <sheetName val="VA_MZ_H1"/>
      <sheetName val="VA_MZ_H2"/>
      <sheetName val="VA_MZ_YTD"/>
      <sheetName val="VA_GA_MTD"/>
      <sheetName val="VA_GA_Q1"/>
      <sheetName val="VA_GA_Q2"/>
      <sheetName val="VA_GA_Q3"/>
      <sheetName val="VA_GA_Q4"/>
      <sheetName val="VA_GA_H1"/>
      <sheetName val="VA_GA_H2"/>
      <sheetName val="VA_GA_YTD"/>
      <sheetName val="VA_UC_MTD"/>
      <sheetName val="VA_UC_Q1"/>
      <sheetName val="VA_UC_Q2"/>
      <sheetName val="VA_UC_Q3"/>
      <sheetName val="VA_UC_Q4"/>
      <sheetName val="VA_UC_H1"/>
      <sheetName val="VA_UC_H2"/>
      <sheetName val="VA_UC_YTD"/>
      <sheetName val="VA_WAR_MTD"/>
      <sheetName val="VA_WAR_Q1"/>
      <sheetName val="VA_WAR_Q2"/>
      <sheetName val="VA_WAR_Q3"/>
      <sheetName val="VA_WAR_Q4"/>
      <sheetName val="VA_WAR_H1"/>
      <sheetName val="VA_WAR_H2"/>
      <sheetName val="VA_WAR_YTD"/>
      <sheetName val="VA_FX_ROP_MTD"/>
      <sheetName val="VA_FX_ROP_YTD"/>
      <sheetName val="HFM_PL_MTD"/>
      <sheetName val="HFM_PL_Q1"/>
      <sheetName val="HFM_PL_H2"/>
      <sheetName val="HFM_PL_Q2"/>
      <sheetName val="HFM_PL_Q3"/>
      <sheetName val="HFM_PL_Q4"/>
      <sheetName val="HFM_PL_H1"/>
      <sheetName val="HFM_PL_YTD"/>
      <sheetName val="CMOR_MTD_vsFC"/>
      <sheetName val="CMOR vs LY flash"/>
      <sheetName val="CMOR vs OL flash"/>
      <sheetName val="CMOR_MTD_vsLY"/>
      <sheetName val="CMOR_MTD_vsBP"/>
      <sheetName val="CMOR_MTD_vsFC-1"/>
      <sheetName val="CMOR_YTD_vsBP"/>
      <sheetName val="CMOR_YTD_vsFC"/>
      <sheetName val="CMOR_YTD_vsFC-1"/>
      <sheetName val="CMOR_YTD_vsLY"/>
      <sheetName val="CMOR_Q1_vsLY"/>
      <sheetName val="CMOR_Q2_vsBP"/>
      <sheetName val="CMOR_Q2_vsFC"/>
      <sheetName val="CMOR_Q2_vsLY"/>
      <sheetName val="CMOR_Q3_vsBP"/>
      <sheetName val="CMOR_Q3_vsFC-1"/>
      <sheetName val="CMOR_Q4_vsBP"/>
      <sheetName val="CMOR_Q2_vsQ3FC-1"/>
      <sheetName val="CMOR_Q3_vsQ2"/>
      <sheetName val="CMOR_Q4_vsLY"/>
      <sheetName val="CMOR_Q4_vsOL"/>
      <sheetName val="CMOR_Q4_vsQ3"/>
      <sheetName val="CMOR_H1_vsBP"/>
      <sheetName val="CMOR_H1_vsLY"/>
      <sheetName val="CMOR_H2_vsBP"/>
      <sheetName val="CMOR_H2_vsLY"/>
      <sheetName val="CMOR_H2_vsH1"/>
      <sheetName val="CMOR_Q3vs2x10_adhoc"/>
      <sheetName val="CMOR_Q3_vsBPQ4"/>
      <sheetName val="CMOR_Q1_vsFCQ2"/>
      <sheetName val="proposals"/>
      <sheetName val="VA_MTD_vsOL"/>
      <sheetName val="CMOR_MTD_vs M-1"/>
      <sheetName val="CMOR_Q3_vsLY"/>
      <sheetName val="FULL_PL_w_selection"/>
      <sheetName val="FULL_PL_vs OL"/>
      <sheetName val="VA_YTD_vsLY"/>
      <sheetName val="VA_YTD_vsFC"/>
      <sheetName val="VA_YTD_vs FC"/>
      <sheetName val="OL_VA_TABLE"/>
      <sheetName val="OL_VA (NOT USED)"/>
      <sheetName val="OL_ACT"/>
      <sheetName val="OL_LY"/>
      <sheetName val="OL_BP"/>
      <sheetName val="OL_FC"/>
      <sheetName val="OL_FCx"/>
      <sheetName val="MTD_REV_WALK_MTD_vsFC."/>
      <sheetName val="MTD_REV_WALK_MTD_vsFC"/>
      <sheetName val="MTD_COS_WALK_MTD_vs BP"/>
      <sheetName val="Q3_COS_WALK_vs FC-1 "/>
      <sheetName val="Q3_COS_WALK_vs LY"/>
      <sheetName val="MTD_COS_WALK_MTD_vs FC"/>
      <sheetName val="MTD_COS_WALK_MTD_vs FC-1"/>
      <sheetName val="YTD_COS_WALK_vs FC "/>
      <sheetName val="MTD_COS_WALK_MTD_vs OL)"/>
      <sheetName val="YTD_COS_WALK_vs BP"/>
      <sheetName val="YTD_COS_WALK_vs LY"/>
      <sheetName val="VALIDATION LIST"/>
      <sheetName val="MAPPING_TAB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78">
          <cell r="S78">
            <v>7.4678593000000015E-2</v>
          </cell>
          <cell r="AF78">
            <v>-0.90108735599999989</v>
          </cell>
        </row>
        <row r="82">
          <cell r="AF82">
            <v>0.13021615099999995</v>
          </cell>
        </row>
      </sheetData>
      <sheetData sheetId="35"/>
      <sheetData sheetId="36"/>
      <sheetData sheetId="37">
        <row r="78">
          <cell r="AG78">
            <v>0.27635939600000015</v>
          </cell>
        </row>
        <row r="82">
          <cell r="AG82">
            <v>0.34446130200000002</v>
          </cell>
        </row>
      </sheetData>
      <sheetData sheetId="38"/>
      <sheetData sheetId="39"/>
      <sheetData sheetId="40"/>
      <sheetData sheetId="41">
        <row r="78">
          <cell r="S78">
            <v>0.16987782600000045</v>
          </cell>
        </row>
      </sheetData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>
        <row r="10">
          <cell r="X10">
            <v>0.6468998081328623</v>
          </cell>
        </row>
      </sheetData>
      <sheetData sheetId="111"/>
      <sheetData sheetId="112"/>
      <sheetData sheetId="113"/>
      <sheetData sheetId="114"/>
      <sheetData sheetId="115"/>
      <sheetData sheetId="116"/>
      <sheetData sheetId="117">
        <row r="10">
          <cell r="E10">
            <v>1.2444424001964549E-2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>
        <row r="18">
          <cell r="L18" t="str">
            <v>PWT mix</v>
          </cell>
        </row>
      </sheetData>
      <sheetData sheetId="156">
        <row r="22">
          <cell r="J22">
            <v>-7.8580352672674483</v>
          </cell>
        </row>
      </sheetData>
      <sheetData sheetId="157">
        <row r="22">
          <cell r="J22">
            <v>-5.8023656705955249</v>
          </cell>
        </row>
      </sheetData>
      <sheetData sheetId="158">
        <row r="22">
          <cell r="J22">
            <v>-6.9490533914776318</v>
          </cell>
          <cell r="K22">
            <v>-4.2068071389573944</v>
          </cell>
          <cell r="L22">
            <v>0</v>
          </cell>
          <cell r="M22">
            <v>-7.4222502615556092</v>
          </cell>
          <cell r="N22">
            <v>0.65316799963414596</v>
          </cell>
          <cell r="Q22">
            <v>-8.6020647109999473</v>
          </cell>
        </row>
        <row r="154">
          <cell r="I154">
            <v>-4.6805453210250638</v>
          </cell>
        </row>
        <row r="155">
          <cell r="I155">
            <v>0.2</v>
          </cell>
        </row>
        <row r="156">
          <cell r="I156">
            <v>13.643948480199116</v>
          </cell>
        </row>
        <row r="157">
          <cell r="I157">
            <v>-0.41728441351015444</v>
          </cell>
        </row>
        <row r="158">
          <cell r="I158">
            <v>0</v>
          </cell>
        </row>
        <row r="159">
          <cell r="I159">
            <v>0.42001137561453578</v>
          </cell>
        </row>
        <row r="160">
          <cell r="I160">
            <v>-0.61125871499999462</v>
          </cell>
        </row>
        <row r="161">
          <cell r="I161">
            <v>0.54484597899999998</v>
          </cell>
        </row>
        <row r="162">
          <cell r="I162">
            <v>0</v>
          </cell>
        </row>
        <row r="163">
          <cell r="I163">
            <v>0.60010569897219979</v>
          </cell>
        </row>
        <row r="164">
          <cell r="I164">
            <v>-2.8340984802632363E-2</v>
          </cell>
        </row>
        <row r="165">
          <cell r="I165">
            <v>0</v>
          </cell>
        </row>
        <row r="166">
          <cell r="I166">
            <v>0.38737179165791247</v>
          </cell>
        </row>
        <row r="167">
          <cell r="I167">
            <v>0</v>
          </cell>
        </row>
        <row r="168">
          <cell r="I168">
            <v>1.5758950841820489</v>
          </cell>
        </row>
        <row r="169">
          <cell r="I169">
            <v>0</v>
          </cell>
        </row>
        <row r="170">
          <cell r="I170">
            <v>0</v>
          </cell>
        </row>
      </sheetData>
      <sheetData sheetId="159"/>
      <sheetData sheetId="160">
        <row r="22">
          <cell r="J22">
            <v>1.5283979287157115</v>
          </cell>
        </row>
      </sheetData>
      <sheetData sheetId="161">
        <row r="80">
          <cell r="L80">
            <v>-135.99747630274987</v>
          </cell>
        </row>
      </sheetData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>
        <row r="22"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Q22">
            <v>-15.169405184000006</v>
          </cell>
        </row>
        <row r="154">
          <cell r="I154">
            <v>0</v>
          </cell>
        </row>
        <row r="155">
          <cell r="I155">
            <v>0</v>
          </cell>
        </row>
        <row r="156">
          <cell r="I156">
            <v>0</v>
          </cell>
        </row>
        <row r="157">
          <cell r="I157">
            <v>0</v>
          </cell>
        </row>
        <row r="158">
          <cell r="I158">
            <v>0</v>
          </cell>
        </row>
        <row r="159">
          <cell r="I159">
            <v>0</v>
          </cell>
        </row>
        <row r="160">
          <cell r="I160">
            <v>0</v>
          </cell>
        </row>
        <row r="161">
          <cell r="I161">
            <v>0.3</v>
          </cell>
        </row>
        <row r="162">
          <cell r="I162">
            <v>0</v>
          </cell>
        </row>
        <row r="163">
          <cell r="I163">
            <v>-1.0152890201091127</v>
          </cell>
        </row>
        <row r="164">
          <cell r="I164">
            <v>0.31233364655836482</v>
          </cell>
        </row>
        <row r="165">
          <cell r="I165">
            <v>0</v>
          </cell>
        </row>
        <row r="166">
          <cell r="I166">
            <v>-0.1</v>
          </cell>
        </row>
        <row r="167">
          <cell r="I167">
            <v>0</v>
          </cell>
        </row>
        <row r="168">
          <cell r="I168">
            <v>0</v>
          </cell>
        </row>
        <row r="169">
          <cell r="I169">
            <v>0</v>
          </cell>
        </row>
        <row r="170">
          <cell r="I170">
            <v>0</v>
          </cell>
        </row>
      </sheetData>
      <sheetData sheetId="181"/>
      <sheetData sheetId="182"/>
      <sheetData sheetId="183"/>
      <sheetData sheetId="184">
        <row r="20">
          <cell r="Q20">
            <v>1.0225291820000049</v>
          </cell>
        </row>
        <row r="22">
          <cell r="J22">
            <v>25.723014129320518</v>
          </cell>
          <cell r="K22">
            <v>2.98994205061953</v>
          </cell>
          <cell r="L22">
            <v>0</v>
          </cell>
          <cell r="M22">
            <v>1.9278569361907545</v>
          </cell>
          <cell r="N22">
            <v>-5.9646358708079878</v>
          </cell>
          <cell r="O22">
            <v>-0.71949132399999605</v>
          </cell>
          <cell r="Q22">
            <v>1.0225291820000049</v>
          </cell>
        </row>
        <row r="154">
          <cell r="I154">
            <v>-2.214625398577684</v>
          </cell>
        </row>
        <row r="155">
          <cell r="I155">
            <v>0</v>
          </cell>
        </row>
        <row r="156">
          <cell r="I156">
            <v>1.9298819082477601</v>
          </cell>
        </row>
        <row r="157">
          <cell r="I157">
            <v>0</v>
          </cell>
        </row>
        <row r="158">
          <cell r="I158">
            <v>0</v>
          </cell>
        </row>
        <row r="159">
          <cell r="I159">
            <v>0</v>
          </cell>
        </row>
        <row r="160">
          <cell r="I160">
            <v>-5.3775441999998286E-2</v>
          </cell>
        </row>
        <row r="161">
          <cell r="I161">
            <v>1.3938299999999848E-3</v>
          </cell>
        </row>
        <row r="162">
          <cell r="I162">
            <v>0</v>
          </cell>
        </row>
        <row r="163">
          <cell r="I163">
            <v>0.36104468760001407</v>
          </cell>
        </row>
        <row r="164">
          <cell r="I164">
            <v>-9.0140628296043968E-2</v>
          </cell>
        </row>
        <row r="165">
          <cell r="I165">
            <v>-4.4408920985006262E-16</v>
          </cell>
        </row>
        <row r="166">
          <cell r="I166">
            <v>0</v>
          </cell>
        </row>
        <row r="167">
          <cell r="I167">
            <v>0</v>
          </cell>
        </row>
        <row r="168">
          <cell r="I168">
            <v>0.49445428300698441</v>
          </cell>
        </row>
        <row r="169">
          <cell r="I169">
            <v>0</v>
          </cell>
        </row>
        <row r="170">
          <cell r="I170">
            <v>0</v>
          </cell>
        </row>
      </sheetData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&amp;L OR (JPY)"/>
      <sheetName val="P&amp;L OR (JPY) Var cos split"/>
      <sheetName val="P&amp;L OR"/>
      <sheetName val="P&amp;L"/>
      <sheetName val="P&amp;L OR (Var cost split)"/>
      <sheetName val="P&amp;L(AS)"/>
      <sheetName val="P&amp;L(AS) JPY"/>
      <sheetName val="Act"/>
      <sheetName val="Act (Var cost split)"/>
      <sheetName val="Manual"/>
      <sheetName val="HFM"/>
      <sheetName val="HFM with var cost split"/>
      <sheetName val="CFMI"/>
      <sheetName val="SAM'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6">
          <cell r="N6">
            <v>928.20633009999892</v>
          </cell>
        </row>
        <row r="29">
          <cell r="D29">
            <v>-71.169814299999885</v>
          </cell>
          <cell r="E29">
            <v>-15.481782200000438</v>
          </cell>
          <cell r="F29">
            <v>-49.155462699998822</v>
          </cell>
          <cell r="G29">
            <v>-39.963050500000556</v>
          </cell>
          <cell r="H29">
            <v>-21.139446899999982</v>
          </cell>
          <cell r="I29">
            <v>8.2945073000007596</v>
          </cell>
          <cell r="J29">
            <v>-31.006610800002264</v>
          </cell>
          <cell r="K29">
            <v>-27.709236999998488</v>
          </cell>
          <cell r="L29">
            <v>44.86918159999864</v>
          </cell>
          <cell r="M29">
            <v>-14.941574100003102</v>
          </cell>
          <cell r="N29">
            <v>4.5787192000028369</v>
          </cell>
          <cell r="O29">
            <v>0</v>
          </cell>
        </row>
        <row r="206">
          <cell r="D206">
            <v>-1.9535469999999999</v>
          </cell>
          <cell r="E206">
            <v>-5.487479999999989E-2</v>
          </cell>
          <cell r="F206">
            <v>4.8354599999999998E-2</v>
          </cell>
          <cell r="G206">
            <v>7.5404900000000052E-2</v>
          </cell>
          <cell r="H206">
            <v>1.4994999999999998</v>
          </cell>
          <cell r="I206">
            <v>21.500419999999998</v>
          </cell>
          <cell r="J206">
            <v>0.17399999999999993</v>
          </cell>
          <cell r="K206">
            <v>0.61047119999999977</v>
          </cell>
          <cell r="L206">
            <v>0.8468182999999998</v>
          </cell>
          <cell r="M206">
            <v>0.88185000000000002</v>
          </cell>
          <cell r="N206">
            <v>-0.67235550000000011</v>
          </cell>
          <cell r="O206">
            <v>0</v>
          </cell>
        </row>
        <row r="222">
          <cell r="D222">
            <v>612.22646137803633</v>
          </cell>
          <cell r="E222">
            <v>755.94014885834781</v>
          </cell>
          <cell r="F222">
            <v>991.81161270891232</v>
          </cell>
          <cell r="G222">
            <v>752.80413095636118</v>
          </cell>
          <cell r="H222">
            <v>624.40953069327338</v>
          </cell>
          <cell r="I222">
            <v>1224.6119041442605</v>
          </cell>
          <cell r="J222">
            <v>787.44751837815136</v>
          </cell>
          <cell r="K222">
            <v>972.88695918759436</v>
          </cell>
          <cell r="L222">
            <v>887.43538592513426</v>
          </cell>
          <cell r="M222">
            <v>867.43498238986717</v>
          </cell>
          <cell r="N222">
            <v>905.42756402582847</v>
          </cell>
          <cell r="O222">
            <v>0</v>
          </cell>
        </row>
        <row r="223">
          <cell r="D223">
            <v>-85.285283100000001</v>
          </cell>
          <cell r="E223">
            <v>-107.1679133</v>
          </cell>
          <cell r="F223">
            <v>-152.92069900000001</v>
          </cell>
          <cell r="G223">
            <v>-107.07472529999997</v>
          </cell>
          <cell r="H223">
            <v>-85.710109700000018</v>
          </cell>
          <cell r="I223">
            <v>-185.77770159999997</v>
          </cell>
          <cell r="J223">
            <v>-121.39486350000004</v>
          </cell>
          <cell r="K223">
            <v>-142.95642530000001</v>
          </cell>
          <cell r="L223">
            <v>-136.85111530000009</v>
          </cell>
          <cell r="M223">
            <v>-134.4247786</v>
          </cell>
          <cell r="N223">
            <v>-142.7528836999999</v>
          </cell>
          <cell r="O223">
            <v>0</v>
          </cell>
        </row>
        <row r="225">
          <cell r="D225">
            <v>-440.85755869038957</v>
          </cell>
          <cell r="E225">
            <v>-539.65369538426853</v>
          </cell>
          <cell r="F225">
            <v>-732.22379095507551</v>
          </cell>
          <cell r="G225">
            <v>-538.45421144300394</v>
          </cell>
          <cell r="H225">
            <v>-428.30179487885459</v>
          </cell>
          <cell r="I225">
            <v>-814.86479439977643</v>
          </cell>
          <cell r="J225">
            <v>-525.40785305146869</v>
          </cell>
          <cell r="K225">
            <v>-693.35564568688017</v>
          </cell>
          <cell r="L225">
            <v>-556.0361983212232</v>
          </cell>
          <cell r="M225">
            <v>-588.72719208662261</v>
          </cell>
          <cell r="N225">
            <v>-600.45761468169246</v>
          </cell>
          <cell r="O225">
            <v>0</v>
          </cell>
        </row>
        <row r="228">
          <cell r="D228">
            <v>-29.170027381636</v>
          </cell>
          <cell r="E228">
            <v>-21.18745361612903</v>
          </cell>
          <cell r="F228">
            <v>-24.737889650671057</v>
          </cell>
          <cell r="G228">
            <v>-25.384140255491335</v>
          </cell>
          <cell r="H228">
            <v>-21.290418465395721</v>
          </cell>
          <cell r="I228">
            <v>-24.075647198296117</v>
          </cell>
          <cell r="J228">
            <v>-26.894852409046027</v>
          </cell>
          <cell r="K228">
            <v>-23.077292290909099</v>
          </cell>
          <cell r="L228">
            <v>-21.356696631458618</v>
          </cell>
          <cell r="M228">
            <v>-26.612439853284165</v>
          </cell>
          <cell r="N228">
            <v>-27.3513924137931</v>
          </cell>
          <cell r="O228">
            <v>0</v>
          </cell>
        </row>
        <row r="229">
          <cell r="D229">
            <v>-5.2709534000000007</v>
          </cell>
          <cell r="E229">
            <v>5.3323574000000002</v>
          </cell>
          <cell r="F229">
            <v>-3.6496299999999995E-2</v>
          </cell>
          <cell r="G229">
            <v>-0.12485880000000001</v>
          </cell>
          <cell r="H229">
            <v>-8.8965800000000497E-2</v>
          </cell>
          <cell r="I229">
            <v>-0.17154370000000002</v>
          </cell>
          <cell r="J229">
            <v>-0.18595979999999998</v>
          </cell>
          <cell r="K229">
            <v>-0.15909600000000002</v>
          </cell>
          <cell r="L229">
            <v>-0.62641879999999894</v>
          </cell>
          <cell r="M229">
            <v>-1.2445920000000001</v>
          </cell>
          <cell r="N229">
            <v>-1.3072075000000001</v>
          </cell>
          <cell r="O229">
            <v>0</v>
          </cell>
        </row>
        <row r="230"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</row>
        <row r="232">
          <cell r="D232">
            <v>-22.075094200000002</v>
          </cell>
          <cell r="E232">
            <v>-7.3505496000000097</v>
          </cell>
          <cell r="F232">
            <v>-8.5696320999999909</v>
          </cell>
          <cell r="G232">
            <v>-8.6392316999999981</v>
          </cell>
          <cell r="H232">
            <v>-7.4864992000000239</v>
          </cell>
          <cell r="I232">
            <v>-9.9282397999999965</v>
          </cell>
          <cell r="J232">
            <v>-10.2821514</v>
          </cell>
          <cell r="K232">
            <v>-9.4293348000000137</v>
          </cell>
          <cell r="L232">
            <v>-10.019160399999958</v>
          </cell>
          <cell r="M232">
            <v>-8.6311958000000288</v>
          </cell>
          <cell r="N232">
            <v>-8.1543116999999903</v>
          </cell>
          <cell r="O232">
            <v>0</v>
          </cell>
        </row>
        <row r="233"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</row>
        <row r="234">
          <cell r="D234">
            <v>-10.598455638364001</v>
          </cell>
          <cell r="E234">
            <v>-7.2973572198709657</v>
          </cell>
          <cell r="F234">
            <v>-8.2733199583289405</v>
          </cell>
          <cell r="G234">
            <v>-8.8285599855086669</v>
          </cell>
          <cell r="H234">
            <v>-8.1039181756042815</v>
          </cell>
          <cell r="I234">
            <v>-14.384273848703881</v>
          </cell>
          <cell r="J234">
            <v>-11.676647556953974</v>
          </cell>
          <cell r="K234">
            <v>-11.569580245090913</v>
          </cell>
          <cell r="L234">
            <v>-12.343990577541383</v>
          </cell>
          <cell r="M234">
            <v>-12.553721652715831</v>
          </cell>
          <cell r="N234">
            <v>-12.588903107206917</v>
          </cell>
          <cell r="O234">
            <v>0</v>
          </cell>
        </row>
        <row r="236">
          <cell r="D236">
            <v>-21.268724286000001</v>
          </cell>
          <cell r="E236">
            <v>-29.590592390000001</v>
          </cell>
          <cell r="F236">
            <v>-30.952623228649806</v>
          </cell>
          <cell r="G236">
            <v>-26.437131634000004</v>
          </cell>
          <cell r="H236">
            <v>-21.682589371999999</v>
          </cell>
          <cell r="I236">
            <v>-32.637590355999997</v>
          </cell>
          <cell r="J236">
            <v>-30.529672399999995</v>
          </cell>
          <cell r="K236">
            <v>-23.951743748909092</v>
          </cell>
          <cell r="L236">
            <v>-16.538548377997799</v>
          </cell>
          <cell r="M236">
            <v>-26.036586915000001</v>
          </cell>
          <cell r="N236">
            <v>-24.840268959862069</v>
          </cell>
          <cell r="O236">
            <v>0</v>
          </cell>
        </row>
        <row r="237">
          <cell r="D237">
            <v>-1.8589674599999999</v>
          </cell>
          <cell r="E237">
            <v>-0.93709799999999999</v>
          </cell>
          <cell r="F237">
            <v>-1.168674</v>
          </cell>
          <cell r="G237">
            <v>-0.80727700000000002</v>
          </cell>
          <cell r="H237">
            <v>-0.71741299999999997</v>
          </cell>
          <cell r="I237">
            <v>-2.6038790000000001</v>
          </cell>
          <cell r="J237">
            <v>-1.828635</v>
          </cell>
          <cell r="K237">
            <v>-0.80425389000000003</v>
          </cell>
          <cell r="L237">
            <v>-2.2010000000000001</v>
          </cell>
          <cell r="M237">
            <v>-0.86099999999999999</v>
          </cell>
          <cell r="N237">
            <v>-0.78899999999999992</v>
          </cell>
          <cell r="O237">
            <v>0</v>
          </cell>
        </row>
        <row r="238">
          <cell r="D238">
            <v>-3.0503450540000001</v>
          </cell>
          <cell r="E238">
            <v>-2.3303183100000053</v>
          </cell>
          <cell r="F238">
            <v>-8.3251644713501953</v>
          </cell>
          <cell r="G238">
            <v>-4.4889129659999929</v>
          </cell>
          <cell r="H238">
            <v>-3.9742786279999973</v>
          </cell>
          <cell r="I238">
            <v>-7.9299096440000048</v>
          </cell>
          <cell r="J238">
            <v>-6.6438274819050047</v>
          </cell>
          <cell r="K238">
            <v>-4.006431561090908</v>
          </cell>
          <cell r="L238">
            <v>-6.3684506738021902</v>
          </cell>
          <cell r="M238">
            <v>-4.8946091849999975</v>
          </cell>
          <cell r="N238">
            <v>-5.5113960401379334</v>
          </cell>
          <cell r="O238">
            <v>0</v>
          </cell>
        </row>
        <row r="240">
          <cell r="D240">
            <v>-37.389420916999995</v>
          </cell>
          <cell r="E240">
            <v>-29.881607848000002</v>
          </cell>
          <cell r="F240">
            <v>-39.768504309000001</v>
          </cell>
          <cell r="G240">
            <v>-35.318561353</v>
          </cell>
          <cell r="H240">
            <v>-31.778330893000003</v>
          </cell>
          <cell r="I240">
            <v>-35.268115913999999</v>
          </cell>
          <cell r="J240">
            <v>-35.747137813000002</v>
          </cell>
          <cell r="K240">
            <v>-33.939043177999999</v>
          </cell>
          <cell r="L240">
            <v>-32.031065753</v>
          </cell>
          <cell r="M240">
            <v>-34.384496372999998</v>
          </cell>
          <cell r="N240">
            <v>-34.494877772000002</v>
          </cell>
          <cell r="O240">
            <v>0</v>
          </cell>
        </row>
        <row r="241">
          <cell r="D241">
            <v>2.2106839143449135</v>
          </cell>
          <cell r="E241">
            <v>2.0894766685329129</v>
          </cell>
          <cell r="F241">
            <v>2.2799490982448782</v>
          </cell>
          <cell r="G241">
            <v>2.4858819092374485</v>
          </cell>
          <cell r="H241">
            <v>2.0734510037522687</v>
          </cell>
          <cell r="I241">
            <v>1.9017874999426483</v>
          </cell>
          <cell r="J241">
            <v>-1.7987944870558459</v>
          </cell>
          <cell r="K241">
            <v>1.052079276941204</v>
          </cell>
          <cell r="L241">
            <v>0.99237992570183486</v>
          </cell>
          <cell r="M241">
            <v>1.1941014209842464</v>
          </cell>
          <cell r="N241">
            <v>1.5389608073465981</v>
          </cell>
          <cell r="O241">
            <v>0</v>
          </cell>
        </row>
        <row r="247">
          <cell r="D247">
            <v>-0.30846766876945769</v>
          </cell>
          <cell r="E247">
            <v>-1.3543336041457679</v>
          </cell>
          <cell r="F247">
            <v>-2.5510260615006883</v>
          </cell>
          <cell r="G247">
            <v>-0.35512855485592282</v>
          </cell>
          <cell r="H247">
            <v>-0.57385849005973366</v>
          </cell>
          <cell r="I247">
            <v>-0.48887213762819715</v>
          </cell>
          <cell r="J247">
            <v>-0.68222628174997924</v>
          </cell>
          <cell r="K247">
            <v>-1.1950801823577795</v>
          </cell>
          <cell r="L247">
            <v>-1.4170519517122959</v>
          </cell>
          <cell r="M247">
            <v>-0.2891209126082982</v>
          </cell>
          <cell r="N247">
            <v>-1.829214495511436</v>
          </cell>
          <cell r="O247">
            <v>0</v>
          </cell>
        </row>
        <row r="248">
          <cell r="D248">
            <v>8.7524709494160913</v>
          </cell>
          <cell r="E248">
            <v>12.937461930225558</v>
          </cell>
          <cell r="F248">
            <v>18.985245307490537</v>
          </cell>
          <cell r="G248">
            <v>15.721943676126671</v>
          </cell>
          <cell r="H248">
            <v>16.014433256075634</v>
          </cell>
          <cell r="I248">
            <v>31.961442071772428</v>
          </cell>
          <cell r="J248">
            <v>20.137490229001841</v>
          </cell>
          <cell r="K248">
            <v>24.88120383916127</v>
          </cell>
          <cell r="L248">
            <v>18.474412249817153</v>
          </cell>
          <cell r="M248">
            <v>20.821520692376762</v>
          </cell>
          <cell r="N248">
            <v>24.501378873552966</v>
          </cell>
          <cell r="O248">
            <v>0</v>
          </cell>
        </row>
        <row r="250">
          <cell r="D250">
            <v>5.6350322980000023</v>
          </cell>
          <cell r="E250">
            <v>3.683511836000001</v>
          </cell>
          <cell r="F250">
            <v>-4.7641994999999326E-2</v>
          </cell>
          <cell r="G250">
            <v>6.6480954600000022</v>
          </cell>
          <cell r="H250">
            <v>1.9999212620000009</v>
          </cell>
          <cell r="I250">
            <v>5.4430039739999998</v>
          </cell>
          <cell r="J250">
            <v>4.7834469639999995</v>
          </cell>
          <cell r="K250">
            <v>4.1163949669999997</v>
          </cell>
          <cell r="L250">
            <v>5.1400729799999993</v>
          </cell>
          <cell r="M250">
            <v>6.4000510820000009</v>
          </cell>
          <cell r="N250">
            <v>3.9312561799999983</v>
          </cell>
          <cell r="O250">
            <v>0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 OR (JPY)"/>
      <sheetName val="P&amp;L OR (JPY) cos split"/>
      <sheetName val="P&amp;L OR"/>
      <sheetName val="P&amp;L"/>
      <sheetName val="P&amp;L OR (cost split)"/>
      <sheetName val="P&amp;L(AS)"/>
      <sheetName val="P&amp;L(AS) JPY"/>
      <sheetName val="Act"/>
      <sheetName val="Act (cost split)"/>
      <sheetName val="HFM"/>
      <sheetName val="HFM (var cost split)"/>
      <sheetName val="CFMI"/>
      <sheetName val="Manu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9">
          <cell r="D29">
            <v>-88.502035834526794</v>
          </cell>
          <cell r="E29">
            <v>-12.389227710226308</v>
          </cell>
          <cell r="F29">
            <v>-59.483429287639467</v>
          </cell>
          <cell r="G29">
            <v>9.7683885143146512</v>
          </cell>
          <cell r="H29">
            <v>-26.044159044874071</v>
          </cell>
          <cell r="I29">
            <v>-28.199105414974341</v>
          </cell>
          <cell r="J29">
            <v>-8.3261509251968278</v>
          </cell>
          <cell r="K29">
            <v>6.6246669664854494</v>
          </cell>
          <cell r="L29">
            <v>18.759555756564311</v>
          </cell>
          <cell r="M29">
            <v>-1.7825240696100764</v>
          </cell>
          <cell r="N29">
            <v>6.4636244441059461</v>
          </cell>
          <cell r="O29">
            <v>51.342734734799507</v>
          </cell>
        </row>
        <row r="206"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</row>
        <row r="222">
          <cell r="D222">
            <v>647.19887781926582</v>
          </cell>
          <cell r="E222">
            <v>679.59059304880225</v>
          </cell>
          <cell r="F222">
            <v>1035.5574177726976</v>
          </cell>
          <cell r="G222">
            <v>925.80431669062864</v>
          </cell>
          <cell r="H222">
            <v>821.118143102614</v>
          </cell>
          <cell r="I222">
            <v>1168.676836440595</v>
          </cell>
          <cell r="J222">
            <v>1024.7006060368813</v>
          </cell>
          <cell r="K222">
            <v>1066.2312255483751</v>
          </cell>
          <cell r="L222">
            <v>1468.1918394751567</v>
          </cell>
          <cell r="M222">
            <v>1161.6573736139853</v>
          </cell>
          <cell r="N222">
            <v>1222.462947288413</v>
          </cell>
          <cell r="O222">
            <v>1781.540259721738</v>
          </cell>
        </row>
        <row r="223">
          <cell r="D223">
            <v>-76.40651055420831</v>
          </cell>
          <cell r="E223">
            <v>-82.725029462041547</v>
          </cell>
          <cell r="F223">
            <v>-146.39541155019484</v>
          </cell>
          <cell r="G223">
            <v>-123.04374284375255</v>
          </cell>
          <cell r="H223">
            <v>-109.57786500114372</v>
          </cell>
          <cell r="I223">
            <v>-170.44753119207553</v>
          </cell>
          <cell r="J223">
            <v>-140.16845363905242</v>
          </cell>
          <cell r="K223">
            <v>-147.44875666025061</v>
          </cell>
          <cell r="L223">
            <v>-214.90494900820363</v>
          </cell>
          <cell r="M223">
            <v>-156.66709878021899</v>
          </cell>
          <cell r="N223">
            <v>-162.04739701812673</v>
          </cell>
          <cell r="O223">
            <v>-261.20508643885427</v>
          </cell>
        </row>
        <row r="225">
          <cell r="D225">
            <v>-483.27573988985631</v>
          </cell>
          <cell r="E225">
            <v>-460.05878550782677</v>
          </cell>
          <cell r="F225">
            <v>-775.62924474517683</v>
          </cell>
          <cell r="G225">
            <v>-653.5894796310323</v>
          </cell>
          <cell r="H225">
            <v>-605.43039307726929</v>
          </cell>
          <cell r="I225">
            <v>-846.18235150334624</v>
          </cell>
          <cell r="J225">
            <v>-704.58885571920121</v>
          </cell>
          <cell r="K225">
            <v>-737.91069127487697</v>
          </cell>
          <cell r="L225">
            <v>-1066.4771380727448</v>
          </cell>
          <cell r="M225">
            <v>-825.35865608450729</v>
          </cell>
          <cell r="N225">
            <v>-880.08810629266452</v>
          </cell>
          <cell r="O225">
            <v>-1273.1170268160683</v>
          </cell>
        </row>
        <row r="228">
          <cell r="D228">
            <v>-30.776830314468711</v>
          </cell>
          <cell r="E228">
            <v>-29.166383353576467</v>
          </cell>
          <cell r="F228">
            <v>-31.112064569909226</v>
          </cell>
          <cell r="G228">
            <v>-27.177077497921172</v>
          </cell>
          <cell r="H228">
            <v>-27.678805369959889</v>
          </cell>
          <cell r="I228">
            <v>-30.932300672301544</v>
          </cell>
          <cell r="J228">
            <v>-36.286611842778093</v>
          </cell>
          <cell r="K228">
            <v>-30.654572788938975</v>
          </cell>
          <cell r="L228">
            <v>-25.473141557161362</v>
          </cell>
          <cell r="M228">
            <v>-30.45838521647638</v>
          </cell>
          <cell r="N228">
            <v>-30.048862830515542</v>
          </cell>
          <cell r="O228">
            <v>-30.683027441913779</v>
          </cell>
        </row>
        <row r="229">
          <cell r="D229">
            <v>-5.1304774386536698</v>
          </cell>
          <cell r="E229">
            <v>-3.5258352141871692</v>
          </cell>
          <cell r="F229">
            <v>-3.771342395473861</v>
          </cell>
          <cell r="G229">
            <v>-3.5711862671925991</v>
          </cell>
          <cell r="H229">
            <v>-2.6120718128674016</v>
          </cell>
          <cell r="I229">
            <v>-4.1847997665121985</v>
          </cell>
          <cell r="J229">
            <v>-6.712199166017399</v>
          </cell>
          <cell r="K229">
            <v>-6.015083272935601</v>
          </cell>
          <cell r="L229">
            <v>-4.4648701656152046</v>
          </cell>
          <cell r="M229">
            <v>-6.0336043455409962</v>
          </cell>
          <cell r="N229">
            <v>-6.0477556862978021</v>
          </cell>
          <cell r="O229">
            <v>-6.6962116185795022</v>
          </cell>
        </row>
        <row r="230">
          <cell r="D230">
            <v>-1.0794793314293116E-2</v>
          </cell>
          <cell r="E230">
            <v>-1.0854253079290999E-2</v>
          </cell>
          <cell r="F230">
            <v>-9.5769158100225127E-3</v>
          </cell>
          <cell r="G230">
            <v>-1.070132695790349E-2</v>
          </cell>
          <cell r="H230">
            <v>-1.1125388637097444E-2</v>
          </cell>
          <cell r="I230">
            <v>-1.0697025296099838E-2</v>
          </cell>
          <cell r="J230">
            <v>-1.0995292837904458E-2</v>
          </cell>
          <cell r="K230">
            <v>-1.0529984825513594E-2</v>
          </cell>
          <cell r="L230">
            <v>-1.0258599484588515E-2</v>
          </cell>
          <cell r="M230">
            <v>-1.0589537015111006E-2</v>
          </cell>
          <cell r="N230">
            <v>-1.0358472704396604E-2</v>
          </cell>
          <cell r="O230">
            <v>-9.8324999332852769E-3</v>
          </cell>
        </row>
        <row r="232">
          <cell r="D232">
            <v>-20.539578819208952</v>
          </cell>
          <cell r="E232">
            <v>-7.5139371909580417</v>
          </cell>
          <cell r="F232">
            <v>-8.3965247029182013</v>
          </cell>
          <cell r="G232">
            <v>-8.2267811774108921</v>
          </cell>
          <cell r="H232">
            <v>-7.6293519455301171</v>
          </cell>
          <cell r="I232">
            <v>-8.6117486072482201</v>
          </cell>
          <cell r="J232">
            <v>-11.112463497350582</v>
          </cell>
          <cell r="K232">
            <v>-9.3801173715943005</v>
          </cell>
          <cell r="L232">
            <v>-11.216274798907484</v>
          </cell>
          <cell r="M232">
            <v>-12.167504675059304</v>
          </cell>
          <cell r="N232">
            <v>-11.297827359439397</v>
          </cell>
          <cell r="O232">
            <v>-12.793723180884525</v>
          </cell>
        </row>
        <row r="233"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</row>
        <row r="234">
          <cell r="D234">
            <v>-28.939301343479638</v>
          </cell>
          <cell r="E234">
            <v>-10.641872811789629</v>
          </cell>
          <cell r="F234">
            <v>-15.98765640352689</v>
          </cell>
          <cell r="G234">
            <v>-11.180948446664638</v>
          </cell>
          <cell r="H234">
            <v>-13.55580486300852</v>
          </cell>
          <cell r="I234">
            <v>-14.018121716362344</v>
          </cell>
          <cell r="J234">
            <v>-14.135413038361701</v>
          </cell>
          <cell r="K234">
            <v>-13.897233676678741</v>
          </cell>
          <cell r="L234">
            <v>-14.947232317108924</v>
          </cell>
          <cell r="M234">
            <v>-14.490571491947156</v>
          </cell>
          <cell r="N234">
            <v>-14.60104221753153</v>
          </cell>
          <cell r="O234">
            <v>-16.897503334238149</v>
          </cell>
        </row>
        <row r="236">
          <cell r="D236">
            <v>-24.460347858954336</v>
          </cell>
          <cell r="E236">
            <v>-29.194733988213439</v>
          </cell>
          <cell r="F236">
            <v>-32.065791922077544</v>
          </cell>
          <cell r="G236">
            <v>-23.325187102791414</v>
          </cell>
          <cell r="H236">
            <v>-17.309387199420868</v>
          </cell>
          <cell r="I236">
            <v>-42.576449114540424</v>
          </cell>
          <cell r="J236">
            <v>-34.280535430376496</v>
          </cell>
          <cell r="K236">
            <v>-29.903179313188005</v>
          </cell>
          <cell r="L236">
            <v>-25.136187066895495</v>
          </cell>
          <cell r="M236">
            <v>-31.223107475573446</v>
          </cell>
          <cell r="N236">
            <v>-25.706738071110678</v>
          </cell>
          <cell r="O236">
            <v>-29.165064897555737</v>
          </cell>
        </row>
        <row r="237">
          <cell r="D237">
            <v>-1.9284679710456645</v>
          </cell>
          <cell r="E237">
            <v>-0.93709822478656313</v>
          </cell>
          <cell r="F237">
            <v>-3.3629486279224587</v>
          </cell>
          <cell r="G237">
            <v>-1.0090165362085834</v>
          </cell>
          <cell r="H237">
            <v>-0.9296211215791329</v>
          </cell>
          <cell r="I237">
            <v>-2.6916782994595718</v>
          </cell>
          <cell r="J237">
            <v>-1.2729168156235029</v>
          </cell>
          <cell r="K237">
            <v>-2.6029922188119921</v>
          </cell>
          <cell r="L237">
            <v>-2.9530949651045049</v>
          </cell>
          <cell r="M237">
            <v>-1.2878602354265518</v>
          </cell>
          <cell r="N237">
            <v>-1.2011321528893206</v>
          </cell>
          <cell r="O237">
            <v>-4.0282872614442642</v>
          </cell>
        </row>
        <row r="238">
          <cell r="D238">
            <v>-3.2049700358177891</v>
          </cell>
          <cell r="E238">
            <v>-3.4623549278177848</v>
          </cell>
          <cell r="F238">
            <v>-3.6255009858176996</v>
          </cell>
          <cell r="G238">
            <v>-3.9608591988178086</v>
          </cell>
          <cell r="H238">
            <v>-3.4646957658177038</v>
          </cell>
          <cell r="I238">
            <v>-3.8210651788181056</v>
          </cell>
          <cell r="J238">
            <v>-4.2384938728178909</v>
          </cell>
          <cell r="K238">
            <v>-3.9250690518179914</v>
          </cell>
          <cell r="L238">
            <v>-3.2434809518180145</v>
          </cell>
          <cell r="M238">
            <v>-4.0530057958180894</v>
          </cell>
          <cell r="N238">
            <v>-3.6477028028180434</v>
          </cell>
          <cell r="O238">
            <v>-4.1404482298181104</v>
          </cell>
        </row>
        <row r="240">
          <cell r="D240">
            <v>-33.444605725999999</v>
          </cell>
          <cell r="E240">
            <v>-31.706652923000004</v>
          </cell>
          <cell r="F240">
            <v>-37.482926645000006</v>
          </cell>
          <cell r="G240">
            <v>-32.839480346999999</v>
          </cell>
          <cell r="H240">
            <v>-30.149758719000005</v>
          </cell>
          <cell r="I240">
            <v>-33.532954402999998</v>
          </cell>
          <cell r="J240">
            <v>-34.357201031999992</v>
          </cell>
          <cell r="K240">
            <v>-33.495615153999999</v>
          </cell>
          <cell r="L240">
            <v>-34.284595887000002</v>
          </cell>
          <cell r="M240">
            <v>-33.334538484000007</v>
          </cell>
          <cell r="N240">
            <v>-32.189423051000006</v>
          </cell>
          <cell r="O240">
            <v>-32.600752865000004</v>
          </cell>
        </row>
        <row r="241">
          <cell r="D241">
            <v>2.967261417728039</v>
          </cell>
          <cell r="E241">
            <v>2.9672614178958869</v>
          </cell>
          <cell r="F241">
            <v>2.9672614146331919</v>
          </cell>
          <cell r="G241">
            <v>2.9672614187518458</v>
          </cell>
          <cell r="H241">
            <v>2.9672614186583668</v>
          </cell>
          <cell r="I241">
            <v>2.9672614187050566</v>
          </cell>
          <cell r="J241">
            <v>2.9672614175454011</v>
          </cell>
          <cell r="K241">
            <v>2.9672614222793068</v>
          </cell>
          <cell r="L241">
            <v>2.9672614177919097</v>
          </cell>
          <cell r="M241">
            <v>2.9672614199656233</v>
          </cell>
          <cell r="N241">
            <v>2.9672614196324782</v>
          </cell>
          <cell r="O241">
            <v>2.9209587336572578</v>
          </cell>
        </row>
        <row r="248">
          <cell r="D248">
            <v>-1.8855914316298077</v>
          </cell>
          <cell r="E248">
            <v>-1.8814630211607986</v>
          </cell>
          <cell r="F248">
            <v>-1.7258874780720157</v>
          </cell>
          <cell r="G248">
            <v>-2.3321073611296854</v>
          </cell>
          <cell r="H248">
            <v>-2.1276679998189056</v>
          </cell>
          <cell r="I248">
            <v>-2.6436539411820483</v>
          </cell>
          <cell r="J248">
            <v>-1.683672899876046</v>
          </cell>
          <cell r="K248">
            <v>-2.0530375301504389</v>
          </cell>
          <cell r="L248">
            <v>-1.9977807046855431</v>
          </cell>
          <cell r="M248">
            <v>-2.0573639297491026</v>
          </cell>
          <cell r="N248">
            <v>-2.0473029461520333</v>
          </cell>
          <cell r="O248">
            <v>-2.2934809162852932</v>
          </cell>
        </row>
        <row r="249">
          <cell r="D249">
            <v>9.9425425774371732</v>
          </cell>
          <cell r="E249">
            <v>14.242264738867982</v>
          </cell>
          <cell r="F249">
            <v>14.74199493700479</v>
          </cell>
          <cell r="G249">
            <v>12.739033678383795</v>
          </cell>
          <cell r="H249">
            <v>10.758771066348816</v>
          </cell>
          <cell r="I249">
            <v>20.262902077772161</v>
          </cell>
          <cell r="J249">
            <v>16.923046282900266</v>
          </cell>
          <cell r="K249">
            <v>16.823852499206197</v>
          </cell>
          <cell r="L249">
            <v>19.353565638490334</v>
          </cell>
          <cell r="M249">
            <v>17.963961307721753</v>
          </cell>
          <cell r="N249">
            <v>17.715282174678119</v>
          </cell>
          <cell r="O249">
            <v>25.394014760504419</v>
          </cell>
        </row>
        <row r="251">
          <cell r="D251">
            <v>4.8602805066857062</v>
          </cell>
          <cell r="E251">
            <v>4.6811576919207063</v>
          </cell>
          <cell r="F251">
            <v>6.2468692321899777</v>
          </cell>
          <cell r="G251">
            <v>3.191111639042095</v>
          </cell>
          <cell r="H251">
            <v>4.8942549653629026</v>
          </cell>
          <cell r="I251">
            <v>2.3342361517039016</v>
          </cell>
          <cell r="J251">
            <v>6.3630003431620974</v>
          </cell>
          <cell r="K251">
            <v>6.2647154201744861</v>
          </cell>
          <cell r="L251">
            <v>3.47672545151541</v>
          </cell>
          <cell r="M251">
            <v>6.3783135999848906</v>
          </cell>
          <cell r="N251">
            <v>6.5421776642956075</v>
          </cell>
          <cell r="O251">
            <v>5.3500116590667144</v>
          </cell>
        </row>
      </sheetData>
      <sheetData sheetId="8"/>
      <sheetData sheetId="9"/>
      <sheetData sheetId="10"/>
      <sheetData sheetId="11"/>
      <sheetData sheetId="12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OP"/>
      <sheetName val="Summary"/>
      <sheetName val="Sheet1"/>
      <sheetName val="P&amp;L Actual"/>
      <sheetName val="ROP NE (Tagetik)"/>
      <sheetName val="ROP East (Tagetik)"/>
      <sheetName val="MZ conso TGK"/>
      <sheetName val="OCS details"/>
      <sheetName val="P&amp;L BP"/>
      <sheetName val="P&amp;L FCT"/>
      <sheetName val="P&amp;L LY"/>
      <sheetName val="MCPP NE (Tagetik)"/>
      <sheetName val="MCPP East (Tagetik)"/>
      <sheetName val="P&amp;L vs BP"/>
      <sheetName val="New KPI Actual"/>
      <sheetName val="New KPI BP"/>
      <sheetName val="New KPI LY"/>
      <sheetName val="MCPP BP @BP"/>
      <sheetName val="MCPP LY @ BP"/>
      <sheetName val="Nissan Europe (MCPP)"/>
      <sheetName val="East (MCPP)"/>
      <sheetName val="New KPI LY 24"/>
      <sheetName val="New KPI FCT"/>
      <sheetName val="FX vs FC"/>
      <sheetName val="FX vs LY"/>
      <sheetName val="FX vs BP"/>
      <sheetName val="SCOS reclass CMPI-FC"/>
      <sheetName val="SCOS reclass old"/>
      <sheetName val="SCOS reclass ROP"/>
      <sheetName val="New KPI vs BP"/>
      <sheetName val="Relief"/>
      <sheetName val="Reclass"/>
      <sheetName val="HQ Tagetik"/>
      <sheetName val="Others"/>
      <sheetName val="Sheet2"/>
      <sheetName val="Sheet3"/>
      <sheetName val="Sheet4"/>
      <sheetName val="HFM Apr"/>
      <sheetName val="HFM May"/>
      <sheetName val="HFM Jun"/>
      <sheetName val="HFM Jul"/>
      <sheetName val="HFM Aug"/>
      <sheetName val="HFM Sep"/>
      <sheetName val="HFM Oct"/>
      <sheetName val="HFM Nov"/>
      <sheetName val="HFM Dec"/>
      <sheetName val="HFM Jan"/>
      <sheetName val="HFM Feb"/>
      <sheetName val="HFM Mar"/>
      <sheetName val="FY25 P&amp;L Summary BP25 R#2"/>
    </sheetNames>
    <sheetDataSet>
      <sheetData sheetId="0"/>
      <sheetData sheetId="1"/>
      <sheetData sheetId="2"/>
      <sheetData sheetId="3">
        <row r="5">
          <cell r="H5">
            <v>21907</v>
          </cell>
          <cell r="I5">
            <v>26448</v>
          </cell>
          <cell r="J5">
            <v>33903</v>
          </cell>
          <cell r="K5">
            <v>26937</v>
          </cell>
          <cell r="L5">
            <v>18969</v>
          </cell>
          <cell r="M5">
            <v>36092</v>
          </cell>
          <cell r="N5">
            <v>28156</v>
          </cell>
          <cell r="O5">
            <v>30315</v>
          </cell>
          <cell r="P5">
            <v>31093</v>
          </cell>
          <cell r="Q5">
            <v>34766</v>
          </cell>
          <cell r="R5">
            <v>35582</v>
          </cell>
          <cell r="S5">
            <v>58209</v>
          </cell>
        </row>
        <row r="6"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</row>
        <row r="7"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</row>
        <row r="9">
          <cell r="H9">
            <v>1306.0789219569999</v>
          </cell>
          <cell r="I9">
            <v>1374.003164709</v>
          </cell>
          <cell r="J9">
            <v>1555.05350763</v>
          </cell>
          <cell r="K9">
            <v>1291.526768444</v>
          </cell>
          <cell r="L9">
            <v>1021.022039586</v>
          </cell>
          <cell r="M9">
            <v>1407.0675892459999</v>
          </cell>
          <cell r="N9">
            <v>1282.646605333</v>
          </cell>
          <cell r="O9">
            <v>1329.786406019</v>
          </cell>
          <cell r="P9">
            <v>1344.4612814520001</v>
          </cell>
          <cell r="Q9">
            <v>1281.398471814</v>
          </cell>
          <cell r="R9">
            <v>1233.350903433</v>
          </cell>
          <cell r="S9">
            <v>1751.193490377</v>
          </cell>
        </row>
        <row r="21">
          <cell r="H21">
            <v>15357</v>
          </cell>
          <cell r="I21">
            <v>21783</v>
          </cell>
          <cell r="J21">
            <v>27646</v>
          </cell>
          <cell r="K21">
            <v>26572</v>
          </cell>
          <cell r="L21">
            <v>20392</v>
          </cell>
          <cell r="M21">
            <v>35659</v>
          </cell>
          <cell r="N21">
            <v>29643</v>
          </cell>
          <cell r="O21">
            <v>31934</v>
          </cell>
          <cell r="P21">
            <v>36533</v>
          </cell>
          <cell r="Q21">
            <v>36118</v>
          </cell>
          <cell r="R21">
            <v>36348</v>
          </cell>
          <cell r="S21">
            <v>54000</v>
          </cell>
        </row>
        <row r="22">
          <cell r="H22">
            <v>9</v>
          </cell>
          <cell r="I22">
            <v>11</v>
          </cell>
          <cell r="J22">
            <v>12</v>
          </cell>
          <cell r="K22">
            <v>10</v>
          </cell>
          <cell r="L22">
            <v>10</v>
          </cell>
          <cell r="M22">
            <v>12</v>
          </cell>
          <cell r="N22">
            <v>13</v>
          </cell>
          <cell r="O22">
            <v>14</v>
          </cell>
          <cell r="P22">
            <v>14</v>
          </cell>
          <cell r="Q22">
            <v>0</v>
          </cell>
          <cell r="R22">
            <v>0</v>
          </cell>
          <cell r="S22">
            <v>0</v>
          </cell>
        </row>
        <row r="23"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</row>
        <row r="27">
          <cell r="H27">
            <v>1062</v>
          </cell>
          <cell r="I27">
            <v>867</v>
          </cell>
          <cell r="J27">
            <v>1045</v>
          </cell>
          <cell r="K27">
            <v>1222</v>
          </cell>
          <cell r="L27">
            <v>1501</v>
          </cell>
          <cell r="M27">
            <v>1307</v>
          </cell>
          <cell r="N27">
            <v>1135</v>
          </cell>
          <cell r="O27">
            <v>1481</v>
          </cell>
          <cell r="P27">
            <v>1462</v>
          </cell>
          <cell r="Q27">
            <v>1322</v>
          </cell>
          <cell r="R27">
            <v>1042</v>
          </cell>
          <cell r="S27">
            <v>1237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5">
          <cell r="F5">
            <v>15.911101188000032</v>
          </cell>
        </row>
        <row r="33">
          <cell r="F33">
            <v>-5.8145287999999989E-2</v>
          </cell>
          <cell r="G33">
            <v>-7.0540558999999961E-2</v>
          </cell>
          <cell r="H33">
            <v>-7.8258734000000066E-2</v>
          </cell>
          <cell r="I33">
            <v>-6.2798802000000015E-2</v>
          </cell>
          <cell r="J33">
            <v>-6.2798802999999986E-2</v>
          </cell>
          <cell r="K33">
            <v>-7.5086940000000074E-2</v>
          </cell>
          <cell r="L33">
            <v>-8.0682422999999961E-2</v>
          </cell>
          <cell r="M33">
            <v>-8.7636010999999944E-2</v>
          </cell>
          <cell r="N33">
            <v>-8.8980814000000005E-2</v>
          </cell>
          <cell r="O33">
            <v>0</v>
          </cell>
          <cell r="P33">
            <v>0</v>
          </cell>
          <cell r="Q33">
            <v>0</v>
          </cell>
        </row>
        <row r="45">
          <cell r="F45">
            <v>2.4651423860199198</v>
          </cell>
          <cell r="G45">
            <v>2.4651423860199198</v>
          </cell>
          <cell r="H45">
            <v>2.4651423860199198</v>
          </cell>
          <cell r="I45">
            <v>2.4651423860199198</v>
          </cell>
          <cell r="J45">
            <v>2.4651423860199198</v>
          </cell>
          <cell r="K45">
            <v>2.4651423860199198</v>
          </cell>
          <cell r="L45">
            <v>2.4651423860199198</v>
          </cell>
          <cell r="M45">
            <v>2.4651423860199198</v>
          </cell>
          <cell r="N45">
            <v>2.4651423860199198</v>
          </cell>
          <cell r="O45">
            <v>2.4651423860199198</v>
          </cell>
          <cell r="P45">
            <v>2.4651423860199198</v>
          </cell>
          <cell r="Q45">
            <v>2.4651423860199198</v>
          </cell>
        </row>
        <row r="201"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</row>
        <row r="220">
          <cell r="F220">
            <v>12.788907688</v>
          </cell>
          <cell r="G220">
            <v>13.502309724</v>
          </cell>
          <cell r="H220">
            <v>14.537263533999999</v>
          </cell>
          <cell r="I220">
            <v>11.127726177</v>
          </cell>
          <cell r="J220">
            <v>12.708866084</v>
          </cell>
          <cell r="K220">
            <v>15.178715220999999</v>
          </cell>
          <cell r="L220">
            <v>19.932643421000002</v>
          </cell>
          <cell r="M220">
            <v>18.725641160999999</v>
          </cell>
          <cell r="N220">
            <v>20.184162274999998</v>
          </cell>
          <cell r="O220">
            <v>20.519229218</v>
          </cell>
          <cell r="P220">
            <v>21.44963383</v>
          </cell>
          <cell r="Q220">
            <v>22.108346047000001</v>
          </cell>
        </row>
        <row r="344">
          <cell r="F344">
            <v>0.41615999999999997</v>
          </cell>
          <cell r="G344">
            <v>0.44816</v>
          </cell>
          <cell r="H344">
            <v>0.48115999999999998</v>
          </cell>
          <cell r="I344">
            <v>0.51815999999999995</v>
          </cell>
          <cell r="J344">
            <v>0.55915999999999999</v>
          </cell>
          <cell r="K344">
            <v>0.60416000000000003</v>
          </cell>
          <cell r="L344">
            <v>0.65315999999999996</v>
          </cell>
          <cell r="M344">
            <v>0.70616000000000001</v>
          </cell>
          <cell r="N344">
            <v>0.76215999999999995</v>
          </cell>
          <cell r="O344">
            <v>0.82316</v>
          </cell>
          <cell r="P344">
            <v>0.88715999999999995</v>
          </cell>
          <cell r="Q344">
            <v>0.95516000000000001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80"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</row>
        <row r="81"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</row>
        <row r="82"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</row>
        <row r="83"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</row>
        <row r="84"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</row>
        <row r="87">
          <cell r="E87">
            <v>-1.9631086</v>
          </cell>
          <cell r="F87">
            <v>-2.5459728000000004</v>
          </cell>
          <cell r="G87">
            <v>-3.4225764000000001</v>
          </cell>
          <cell r="H87">
            <v>-3.3596627000000003</v>
          </cell>
          <cell r="I87">
            <v>-2.5221567999999999</v>
          </cell>
          <cell r="J87">
            <v>-4.6320039000000008</v>
          </cell>
          <cell r="K87">
            <v>-4.1765595000000006</v>
          </cell>
          <cell r="L87">
            <v>-4.3975052999999997</v>
          </cell>
          <cell r="M87">
            <v>-5.0443467000000002</v>
          </cell>
          <cell r="N87">
            <v>-5.2297943999999985</v>
          </cell>
          <cell r="O87">
            <v>-5.0681452</v>
          </cell>
          <cell r="P87">
            <v>-7.8023252000000003</v>
          </cell>
        </row>
        <row r="95"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</row>
        <row r="96"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</row>
        <row r="97">
          <cell r="E97"/>
          <cell r="F97"/>
          <cell r="G97"/>
          <cell r="H97"/>
          <cell r="I97"/>
          <cell r="J97"/>
          <cell r="K97"/>
          <cell r="L97"/>
          <cell r="M97"/>
          <cell r="N97"/>
          <cell r="O97"/>
          <cell r="P97"/>
        </row>
      </sheetData>
      <sheetData sheetId="31"/>
      <sheetData sheetId="32"/>
      <sheetData sheetId="33">
        <row r="9">
          <cell r="G9">
            <v>-14934.450619703146</v>
          </cell>
        </row>
      </sheetData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&amp;L OR (JPY)"/>
      <sheetName val="P&amp;L OR (JPY) Var cos split"/>
      <sheetName val="P&amp;L OR"/>
      <sheetName val="P&amp;L"/>
      <sheetName val="P&amp;L OR (Var cost split)"/>
      <sheetName val="P&amp;L(AS)"/>
      <sheetName val="P&amp;L(AS) JPY"/>
      <sheetName val="Act"/>
      <sheetName val="Act (Var cost split)"/>
      <sheetName val="HFM"/>
      <sheetName val="HFM with var cost split"/>
      <sheetName val="CFMI"/>
      <sheetName val="Manu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9">
          <cell r="D29">
            <v>-36.381775600000196</v>
          </cell>
          <cell r="E29">
            <v>-62.48078140000024</v>
          </cell>
          <cell r="F29">
            <v>-99.437037699998854</v>
          </cell>
        </row>
        <row r="206">
          <cell r="D206">
            <v>0.11997990000000003</v>
          </cell>
          <cell r="E206">
            <v>7.9248400000000052E-2</v>
          </cell>
          <cell r="F206">
            <v>0.70479359999999991</v>
          </cell>
        </row>
        <row r="222">
          <cell r="D222">
            <v>750.84895130224743</v>
          </cell>
          <cell r="E222">
            <v>723.94107062458897</v>
          </cell>
          <cell r="F222">
            <v>1123.029114691343</v>
          </cell>
        </row>
        <row r="223">
          <cell r="D223">
            <v>-97.808222400000005</v>
          </cell>
          <cell r="E223">
            <v>-106.8160403</v>
          </cell>
          <cell r="F223">
            <v>-157.38319379999999</v>
          </cell>
        </row>
        <row r="225">
          <cell r="D225">
            <v>-496.47291143857882</v>
          </cell>
          <cell r="E225">
            <v>-484.55504553229218</v>
          </cell>
          <cell r="F225">
            <v>-775.0850813746473</v>
          </cell>
        </row>
        <row r="228">
          <cell r="D228">
            <v>-28.523003541549954</v>
          </cell>
          <cell r="E228">
            <v>-31.905083214871976</v>
          </cell>
          <cell r="F228">
            <v>-30.692205037751002</v>
          </cell>
        </row>
        <row r="229">
          <cell r="D229">
            <v>-6.6325747000000002</v>
          </cell>
          <cell r="E229">
            <v>-6.7073812000000004</v>
          </cell>
          <cell r="F229">
            <v>-6.0285504000000003</v>
          </cell>
        </row>
        <row r="230">
          <cell r="D230">
            <v>0</v>
          </cell>
          <cell r="E230">
            <v>0</v>
          </cell>
          <cell r="F230">
            <v>0</v>
          </cell>
        </row>
        <row r="232">
          <cell r="D232">
            <v>-7.1486412999999995</v>
          </cell>
          <cell r="E232">
            <v>-9.152375100000004</v>
          </cell>
          <cell r="F232">
            <v>-9.2702604000000122</v>
          </cell>
        </row>
        <row r="233">
          <cell r="D233">
            <v>0</v>
          </cell>
          <cell r="E233">
            <v>0</v>
          </cell>
          <cell r="F233">
            <v>0</v>
          </cell>
        </row>
        <row r="234">
          <cell r="D234">
            <v>-10.486303654450047</v>
          </cell>
          <cell r="E234">
            <v>-11.271968424128039</v>
          </cell>
          <cell r="F234">
            <v>-10.696280675248991</v>
          </cell>
        </row>
        <row r="236">
          <cell r="D236">
            <v>-29.814473399000001</v>
          </cell>
          <cell r="E236">
            <v>-34.435520066000002</v>
          </cell>
          <cell r="F236">
            <v>-33.081165972000001</v>
          </cell>
        </row>
        <row r="237">
          <cell r="D237">
            <v>-2.0801910000000001</v>
          </cell>
          <cell r="E237">
            <v>-1.9341790000000001</v>
          </cell>
          <cell r="F237">
            <v>-2.5246279999999999</v>
          </cell>
        </row>
        <row r="238">
          <cell r="D238">
            <v>-2.1956719010000034</v>
          </cell>
          <cell r="E238">
            <v>-2.948569133999996</v>
          </cell>
          <cell r="F238">
            <v>-3.3926282279999924</v>
          </cell>
        </row>
        <row r="240">
          <cell r="D240">
            <v>-36.348637458000006</v>
          </cell>
          <cell r="E240">
            <v>-39.951275388999996</v>
          </cell>
          <cell r="F240">
            <v>-39.744175093999999</v>
          </cell>
        </row>
        <row r="241">
          <cell r="D241">
            <v>2.2319049163122133</v>
          </cell>
          <cell r="E241">
            <v>2.2086723731920186</v>
          </cell>
          <cell r="F241">
            <v>1.7335982606785239</v>
          </cell>
        </row>
        <row r="247">
          <cell r="D247">
            <v>-1.9522354038620318</v>
          </cell>
          <cell r="E247">
            <v>-2.3000379977887495</v>
          </cell>
          <cell r="F247">
            <v>-0.79226787790688746</v>
          </cell>
        </row>
        <row r="248">
          <cell r="D248">
            <v>42.988954795866356</v>
          </cell>
          <cell r="E248">
            <v>32.424686553190192</v>
          </cell>
          <cell r="F248">
            <v>71.710016433660087</v>
          </cell>
        </row>
        <row r="250">
          <cell r="D250">
            <v>7.2111129989999991</v>
          </cell>
          <cell r="E250">
            <v>4.763490550000002</v>
          </cell>
          <cell r="F250">
            <v>3.5625261789999971</v>
          </cell>
        </row>
      </sheetData>
      <sheetData sheetId="8"/>
      <sheetData sheetId="9"/>
      <sheetData sheetId="10"/>
      <sheetData sheetId="11"/>
      <sheetData sheetId="12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&amp;L OR (JPY)"/>
      <sheetName val="P&amp;L OR (JPY) Var cos split"/>
      <sheetName val="P&amp;L OR"/>
      <sheetName val="P&amp;L"/>
      <sheetName val="P&amp;L OR (Var cost split)"/>
      <sheetName val="P&amp;L(AS)"/>
      <sheetName val="P&amp;L(AS) JPY"/>
      <sheetName val="Act"/>
      <sheetName val="Act (Var cost split)"/>
      <sheetName val="HFM"/>
      <sheetName val="HFM with var cost split"/>
      <sheetName val="CFMI"/>
      <sheetName val="Manual"/>
    </sheetNames>
    <sheetDataSet>
      <sheetData sheetId="0"/>
      <sheetData sheetId="1"/>
      <sheetData sheetId="2">
        <row r="48">
          <cell r="U48">
            <v>-3.8418187899988542E-2</v>
          </cell>
        </row>
      </sheetData>
      <sheetData sheetId="3"/>
      <sheetData sheetId="4"/>
      <sheetData sheetId="5"/>
      <sheetData sheetId="6"/>
      <sheetData sheetId="7">
        <row r="29">
          <cell r="D29">
            <v>-36.381775600000196</v>
          </cell>
          <cell r="G29">
            <v>-48.297738999998941</v>
          </cell>
          <cell r="H29">
            <v>-38.735970999999722</v>
          </cell>
          <cell r="I29">
            <v>-60.082103255757325</v>
          </cell>
          <cell r="J29">
            <v>-7.3954627963715041</v>
          </cell>
          <cell r="K29">
            <v>-73.657835399997111</v>
          </cell>
          <cell r="L29">
            <v>-85.638214900001344</v>
          </cell>
          <cell r="M29">
            <v>-48.705261599999638</v>
          </cell>
          <cell r="N29">
            <v>-27.698845799998935</v>
          </cell>
          <cell r="O29">
            <v>-57.209725357837279</v>
          </cell>
        </row>
        <row r="206">
          <cell r="G206">
            <v>-0.2693823999999998</v>
          </cell>
          <cell r="H206">
            <v>0.29328199999999999</v>
          </cell>
          <cell r="I206">
            <v>0.1099</v>
          </cell>
          <cell r="J206">
            <v>0.56099999999999994</v>
          </cell>
          <cell r="K206">
            <v>0.11052679999999998</v>
          </cell>
          <cell r="L206">
            <v>0.96099999999999997</v>
          </cell>
          <cell r="M206">
            <v>0.59259000000000006</v>
          </cell>
          <cell r="N206">
            <v>1.5589891999999996</v>
          </cell>
          <cell r="O206">
            <v>2.2766269999999995</v>
          </cell>
        </row>
        <row r="222">
          <cell r="G222">
            <v>1049.0641820730095</v>
          </cell>
          <cell r="H222">
            <v>804.5541489522484</v>
          </cell>
          <cell r="I222">
            <v>1228.904662579504</v>
          </cell>
          <cell r="J222">
            <v>883.76280707043975</v>
          </cell>
          <cell r="K222">
            <v>958.38489560854521</v>
          </cell>
          <cell r="L222">
            <v>961.26983402655071</v>
          </cell>
          <cell r="M222">
            <v>916.31424625114596</v>
          </cell>
          <cell r="N222">
            <v>1042.4731386127964</v>
          </cell>
          <cell r="O222">
            <v>1616.3177714249018</v>
          </cell>
        </row>
        <row r="223">
          <cell r="G223">
            <v>-132.58758320000004</v>
          </cell>
          <cell r="H223">
            <v>-110.13883599999998</v>
          </cell>
          <cell r="I223">
            <v>-184.82706699999997</v>
          </cell>
          <cell r="J223">
            <v>-119.79246490000003</v>
          </cell>
          <cell r="K223">
            <v>-134.88029499999999</v>
          </cell>
          <cell r="L223">
            <v>-136.60981640000003</v>
          </cell>
          <cell r="M223">
            <v>-143.78218410000002</v>
          </cell>
          <cell r="N223">
            <v>-163.45916939999987</v>
          </cell>
          <cell r="O223">
            <v>-227.8076374</v>
          </cell>
        </row>
        <row r="225">
          <cell r="G225">
            <v>-766.05134965950322</v>
          </cell>
          <cell r="H225">
            <v>-579.29892499670893</v>
          </cell>
          <cell r="I225">
            <v>-898.32200815128886</v>
          </cell>
          <cell r="J225">
            <v>-579.45948837188303</v>
          </cell>
          <cell r="K225">
            <v>-704.78380378935879</v>
          </cell>
          <cell r="L225">
            <v>-748.19443321018593</v>
          </cell>
          <cell r="M225">
            <v>-630.97209604436148</v>
          </cell>
          <cell r="N225">
            <v>-714.781088057641</v>
          </cell>
          <cell r="O225">
            <v>-1192.8564459429901</v>
          </cell>
        </row>
        <row r="228">
          <cell r="G228">
            <v>-29.861620902228545</v>
          </cell>
          <cell r="H228">
            <v>-22.648482471693693</v>
          </cell>
          <cell r="I228">
            <v>-31.042269700761544</v>
          </cell>
          <cell r="J228">
            <v>-30.88255331562425</v>
          </cell>
          <cell r="K228">
            <v>-31.578760627255278</v>
          </cell>
          <cell r="L228">
            <v>-25.886592376457816</v>
          </cell>
          <cell r="M228">
            <v>-36.400534906533125</v>
          </cell>
          <cell r="N228">
            <v>-34.143011226748555</v>
          </cell>
          <cell r="O228">
            <v>-34.930787484160184</v>
          </cell>
        </row>
        <row r="229">
          <cell r="G229">
            <v>-6.1027474000000002</v>
          </cell>
          <cell r="H229">
            <v>-4.2604749999999987</v>
          </cell>
          <cell r="I229">
            <v>-6.0150049999999977</v>
          </cell>
          <cell r="J229">
            <v>-6.693239300000001</v>
          </cell>
          <cell r="K229">
            <v>-6.1320020000000008</v>
          </cell>
          <cell r="L229">
            <v>-4.394988000000005</v>
          </cell>
          <cell r="M229">
            <v>-5.3427997999999937</v>
          </cell>
          <cell r="N229">
            <v>-5.4030136000000057</v>
          </cell>
          <cell r="O229">
            <v>-5.6453000000000033</v>
          </cell>
        </row>
        <row r="230"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</row>
        <row r="232">
          <cell r="G232">
            <v>-9.3714208999999808</v>
          </cell>
          <cell r="H232">
            <v>-5.9368564999999851</v>
          </cell>
          <cell r="I232">
            <v>1.9941848999999889</v>
          </cell>
          <cell r="J232">
            <v>-10.911580700000034</v>
          </cell>
          <cell r="K232">
            <v>-7.3505720999999689</v>
          </cell>
          <cell r="L232">
            <v>-7.8287118999999983</v>
          </cell>
          <cell r="M232">
            <v>-7.3043687000000022</v>
          </cell>
          <cell r="N232">
            <v>-8.6691244000000367</v>
          </cell>
          <cell r="O232">
            <v>-8.8790290000000098</v>
          </cell>
        </row>
        <row r="233"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</row>
        <row r="234">
          <cell r="G234">
            <v>-9.4264963047714527</v>
          </cell>
          <cell r="H234">
            <v>-9.9384452563063164</v>
          </cell>
          <cell r="I234">
            <v>-10.577545029238454</v>
          </cell>
          <cell r="J234">
            <v>-9.8798569403757472</v>
          </cell>
          <cell r="K234">
            <v>-10.478759801744715</v>
          </cell>
          <cell r="L234">
            <v>-9.3959903955421851</v>
          </cell>
          <cell r="M234">
            <v>-9.8862858384668613</v>
          </cell>
          <cell r="N234">
            <v>-9.8213667512514515</v>
          </cell>
          <cell r="O234">
            <v>-13.095754918839814</v>
          </cell>
        </row>
        <row r="236">
          <cell r="G236">
            <v>-32.276115421</v>
          </cell>
          <cell r="H236">
            <v>-20.808532034999999</v>
          </cell>
          <cell r="I236">
            <v>-48.108369082000003</v>
          </cell>
          <cell r="J236">
            <v>-39.144860524999999</v>
          </cell>
          <cell r="K236">
            <v>-31.375714225000003</v>
          </cell>
          <cell r="L236">
            <v>-21.265990687999999</v>
          </cell>
          <cell r="M236">
            <v>-29.037719057999997</v>
          </cell>
          <cell r="N236">
            <v>-28.215209445999999</v>
          </cell>
          <cell r="O236">
            <v>-17.456538890000001</v>
          </cell>
        </row>
        <row r="237">
          <cell r="G237">
            <v>-1.890639</v>
          </cell>
          <cell r="H237">
            <v>-1.112649</v>
          </cell>
          <cell r="I237">
            <v>-3.4755739999999999</v>
          </cell>
          <cell r="J237">
            <v>-1.72201195</v>
          </cell>
          <cell r="K237">
            <v>-1.481142</v>
          </cell>
          <cell r="L237">
            <v>-2.8288396800000002</v>
          </cell>
          <cell r="M237">
            <v>-1.605626</v>
          </cell>
          <cell r="N237">
            <v>-1.344217</v>
          </cell>
          <cell r="O237">
            <v>-2.066897</v>
          </cell>
        </row>
        <row r="238">
          <cell r="G238">
            <v>-2.947516579000002</v>
          </cell>
          <cell r="H238">
            <v>-2.9948164649999969</v>
          </cell>
          <cell r="I238">
            <v>-4.5824366179999902</v>
          </cell>
          <cell r="J238">
            <v>-3.5107220250000095</v>
          </cell>
          <cell r="K238">
            <v>-3.9625547749999921</v>
          </cell>
          <cell r="L238">
            <v>-4.2776708319999859</v>
          </cell>
          <cell r="M238">
            <v>-2.7098270420000121</v>
          </cell>
          <cell r="N238">
            <v>-2.1395047540000189</v>
          </cell>
          <cell r="O238">
            <v>-3.6026283099999938</v>
          </cell>
        </row>
        <row r="240">
          <cell r="G240">
            <v>-37.149596024999994</v>
          </cell>
          <cell r="H240">
            <v>-34.751440039999999</v>
          </cell>
          <cell r="I240">
            <v>-36.044201073000004</v>
          </cell>
          <cell r="J240">
            <v>-37.524980339000003</v>
          </cell>
          <cell r="K240">
            <v>-36.784135112000001</v>
          </cell>
          <cell r="L240">
            <v>-35.264799113000002</v>
          </cell>
          <cell r="M240">
            <v>-39.808074235999996</v>
          </cell>
          <cell r="N240">
            <v>-36.815216778</v>
          </cell>
          <cell r="O240">
            <v>-57.798913637999995</v>
          </cell>
        </row>
        <row r="241">
          <cell r="G241">
            <v>2.1233124972890436</v>
          </cell>
          <cell r="H241">
            <v>2.4383551399401782</v>
          </cell>
          <cell r="I241">
            <v>1.5872996375009372</v>
          </cell>
          <cell r="J241">
            <v>2.2986567975120833</v>
          </cell>
          <cell r="K241">
            <v>2.0378816427760653</v>
          </cell>
          <cell r="L241">
            <v>1.5180221188498346</v>
          </cell>
          <cell r="M241">
            <v>2.7949258952424012</v>
          </cell>
          <cell r="N241">
            <v>1.8210457557982509</v>
          </cell>
          <cell r="O241">
            <v>-6.9255646586067012</v>
          </cell>
        </row>
        <row r="247">
          <cell r="G247">
            <v>-0.15565503004117495</v>
          </cell>
          <cell r="H247">
            <v>-4.6346042265364477E-2</v>
          </cell>
          <cell r="I247">
            <v>-4.0560216647827536</v>
          </cell>
          <cell r="J247">
            <v>-3.8909724931799916</v>
          </cell>
          <cell r="K247">
            <v>-1.3054233384053646</v>
          </cell>
          <cell r="L247">
            <v>-0.16008973961306139</v>
          </cell>
          <cell r="M247">
            <v>-1.4197714045076917</v>
          </cell>
          <cell r="N247">
            <v>-1.7189130779928081</v>
          </cell>
          <cell r="O247">
            <v>-2.3144523225574916</v>
          </cell>
        </row>
        <row r="248">
          <cell r="G248">
            <v>37.748381448136335</v>
          </cell>
          <cell r="H248">
            <v>28.438884202475275</v>
          </cell>
          <cell r="I248">
            <v>41.146104790435125</v>
          </cell>
          <cell r="J248">
            <v>28.974001343002339</v>
          </cell>
          <cell r="K248">
            <v>33.619642971258656</v>
          </cell>
          <cell r="L248">
            <v>31.979487370018987</v>
          </cell>
          <cell r="M248">
            <v>33.778944907592496</v>
          </cell>
          <cell r="N248">
            <v>37.394048359359708</v>
          </cell>
          <cell r="O248">
            <v>58.508297423579506</v>
          </cell>
        </row>
        <row r="250">
          <cell r="G250">
            <v>6.1607688060000001</v>
          </cell>
          <cell r="H250">
            <v>6.7048005549999985</v>
          </cell>
          <cell r="I250">
            <v>2.8243018030000027</v>
          </cell>
          <cell r="J250">
            <v>6.3794551440000022</v>
          </cell>
          <cell r="K250">
            <v>7.8764968469999985</v>
          </cell>
          <cell r="L250">
            <v>1.4111497269999997</v>
          </cell>
          <cell r="M250">
            <v>5.9974327239999994</v>
          </cell>
          <cell r="N250">
            <v>6.4193249829999957</v>
          </cell>
          <cell r="O250">
            <v>19.386060388999997</v>
          </cell>
        </row>
      </sheetData>
      <sheetData sheetId="8"/>
      <sheetData sheetId="9"/>
      <sheetData sheetId="10"/>
      <sheetData sheetId="11"/>
      <sheetData sheetId="12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OP"/>
      <sheetName val="Summary"/>
      <sheetName val="P&amp;L Actual"/>
      <sheetName val="ROP NE (Tagetik)"/>
      <sheetName val="Before G&amp;A reversal"/>
      <sheetName val="Presented"/>
      <sheetName val="before S&amp;M task"/>
      <sheetName val="Before G&amp;A upd"/>
      <sheetName val="ROP NE (Tagetik) 21-09"/>
      <sheetName val="ROP NE (Tagetik) (2)"/>
      <sheetName val="ROP East (Tagetik)"/>
      <sheetName val="Presented East"/>
      <sheetName val="MZ conso TGK"/>
      <sheetName val="OCS details"/>
      <sheetName val="P&amp;L BP"/>
      <sheetName val="P&amp;L FCT"/>
      <sheetName val="P&amp;L LY"/>
      <sheetName val="P&amp;L vs BP"/>
      <sheetName val="MCPP NE (Tagetik)"/>
      <sheetName val="MCPP East (Tagetik)"/>
      <sheetName val="New KPI Actual"/>
      <sheetName val="New KPI BP"/>
      <sheetName val="New KPI FCT"/>
      <sheetName val="New KPI LY"/>
      <sheetName val="MCPP BP @BP"/>
      <sheetName val="MCPP LY @ BP"/>
      <sheetName val="Nissan Europe (MCPP)"/>
      <sheetName val="East (MCPP)"/>
      <sheetName val="SCOS reclass ROP"/>
      <sheetName val="SCOS reclass new KPI"/>
      <sheetName val="FX vs BP"/>
      <sheetName val="FX vs FC"/>
      <sheetName val="FX vs LY"/>
      <sheetName val="New KPI vs BP"/>
      <sheetName val="SCOS reclass old"/>
      <sheetName val="Relief"/>
      <sheetName val="Reclass"/>
      <sheetName val="HQ Tagetik"/>
      <sheetName val="Others"/>
      <sheetName val="HFM Apr"/>
      <sheetName val="HFM May"/>
      <sheetName val="HFM Jun"/>
      <sheetName val="HFM Jul"/>
      <sheetName val="HFM Aug"/>
      <sheetName val="HFM Sep"/>
      <sheetName val="HFM Oct"/>
      <sheetName val="HFM Nov"/>
      <sheetName val="HFM Dec"/>
      <sheetName val="HFM Jan"/>
      <sheetName val="HFM Feb"/>
      <sheetName val="HFM Mar"/>
      <sheetName val="FY25 P&amp;L Summary F5+7 New KPI L"/>
      <sheetName val="Sheet1"/>
    </sheetNames>
    <sheetDataSet>
      <sheetData sheetId="0"/>
      <sheetData sheetId="1"/>
      <sheetData sheetId="2">
        <row r="2">
          <cell r="A2"/>
        </row>
        <row r="5">
          <cell r="H5">
            <v>20429</v>
          </cell>
          <cell r="I5">
            <v>26765</v>
          </cell>
          <cell r="J5">
            <v>33113</v>
          </cell>
          <cell r="K5">
            <v>24554</v>
          </cell>
          <cell r="L5">
            <v>16223</v>
          </cell>
          <cell r="M5">
            <v>37126</v>
          </cell>
          <cell r="N5">
            <v>27368</v>
          </cell>
          <cell r="O5">
            <v>30733</v>
          </cell>
          <cell r="P5">
            <v>29832</v>
          </cell>
          <cell r="Q5">
            <v>29720</v>
          </cell>
          <cell r="R5">
            <v>31793</v>
          </cell>
          <cell r="S5">
            <v>49543</v>
          </cell>
        </row>
        <row r="6"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</row>
        <row r="7"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</row>
        <row r="9">
          <cell r="H9">
            <v>1356.721</v>
          </cell>
          <cell r="I9">
            <v>1405.502</v>
          </cell>
          <cell r="J9">
            <v>1563.373</v>
          </cell>
          <cell r="K9">
            <v>1384.665</v>
          </cell>
          <cell r="L9">
            <v>1039.9190000000001</v>
          </cell>
          <cell r="M9">
            <v>1483.7677047520001</v>
          </cell>
          <cell r="N9">
            <v>1317.028802782</v>
          </cell>
          <cell r="O9">
            <v>1347.6546445490001</v>
          </cell>
          <cell r="P9">
            <v>1373.631592385</v>
          </cell>
          <cell r="Q9">
            <v>1261.0728018780001</v>
          </cell>
          <cell r="R9">
            <v>1233.257302109</v>
          </cell>
          <cell r="S9">
            <v>1779.591807928</v>
          </cell>
        </row>
        <row r="21">
          <cell r="H21">
            <v>16118</v>
          </cell>
          <cell r="I21">
            <v>23011</v>
          </cell>
          <cell r="J21">
            <v>30538</v>
          </cell>
          <cell r="K21">
            <v>21086</v>
          </cell>
          <cell r="L21">
            <v>18342</v>
          </cell>
          <cell r="M21">
            <v>36319</v>
          </cell>
          <cell r="N21">
            <v>26575</v>
          </cell>
          <cell r="O21">
            <v>30480</v>
          </cell>
          <cell r="P21">
            <v>31149</v>
          </cell>
          <cell r="Q21">
            <v>30050</v>
          </cell>
          <cell r="R21">
            <v>35489</v>
          </cell>
          <cell r="S21">
            <v>50835</v>
          </cell>
        </row>
        <row r="22">
          <cell r="H22">
            <v>7</v>
          </cell>
          <cell r="I22">
            <v>1</v>
          </cell>
          <cell r="J22">
            <v>0</v>
          </cell>
          <cell r="K22">
            <v>41</v>
          </cell>
          <cell r="L22">
            <v>0</v>
          </cell>
          <cell r="M22">
            <v>12</v>
          </cell>
          <cell r="N22">
            <v>11</v>
          </cell>
          <cell r="O22">
            <v>12</v>
          </cell>
          <cell r="P22">
            <v>10</v>
          </cell>
          <cell r="Q22">
            <v>5</v>
          </cell>
          <cell r="R22">
            <v>7</v>
          </cell>
          <cell r="S22">
            <v>15</v>
          </cell>
        </row>
        <row r="23"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</row>
        <row r="27">
          <cell r="H27">
            <v>481</v>
          </cell>
          <cell r="I27">
            <v>1491</v>
          </cell>
          <cell r="J27">
            <v>1025</v>
          </cell>
          <cell r="K27">
            <v>347</v>
          </cell>
          <cell r="L27">
            <v>533</v>
          </cell>
          <cell r="M27">
            <v>790</v>
          </cell>
          <cell r="N27">
            <v>528</v>
          </cell>
          <cell r="O27">
            <v>990</v>
          </cell>
          <cell r="P27">
            <v>1231</v>
          </cell>
          <cell r="Q27">
            <v>981</v>
          </cell>
          <cell r="R27">
            <v>1108</v>
          </cell>
          <cell r="S27">
            <v>780</v>
          </cell>
        </row>
      </sheetData>
      <sheetData sheetId="3">
        <row r="94">
          <cell r="F94">
            <v>-1.1644453000000001E-2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235">
          <cell r="T235">
            <v>-9.5480279130000003</v>
          </cell>
        </row>
      </sheetData>
      <sheetData sheetId="18"/>
      <sheetData sheetId="19"/>
      <sheetData sheetId="20">
        <row r="5">
          <cell r="F5">
            <v>10.599852740999999</v>
          </cell>
        </row>
        <row r="33">
          <cell r="F33">
            <v>-3.1056917000000017E-2</v>
          </cell>
          <cell r="G33">
            <v>-2.0865730000000002E-2</v>
          </cell>
          <cell r="H33">
            <v>-1.1517993000000001E-2</v>
          </cell>
          <cell r="I33">
            <v>0.296928782</v>
          </cell>
          <cell r="J33">
            <v>-0.149848024</v>
          </cell>
          <cell r="K33">
            <v>1.6140064000000034E-2</v>
          </cell>
          <cell r="L33">
            <v>-4.6725712000000003E-2</v>
          </cell>
          <cell r="M33">
            <v>-5.1032060000000025E-2</v>
          </cell>
          <cell r="N33">
            <v>-4.2409751999999981E-2</v>
          </cell>
          <cell r="O33">
            <v>-2.1830320000000007E-2</v>
          </cell>
          <cell r="P33">
            <v>-3.0350284000000012E-2</v>
          </cell>
          <cell r="Q33">
            <v>-6.4430146000000049E-2</v>
          </cell>
        </row>
        <row r="45">
          <cell r="F45">
            <v>2.2546439973448797</v>
          </cell>
          <cell r="G45">
            <v>2.2359900205328698</v>
          </cell>
          <cell r="H45">
            <v>2.1925870892448822</v>
          </cell>
          <cell r="I45">
            <v>2.1261450562374615</v>
          </cell>
          <cell r="J45">
            <v>2.1235463107522752</v>
          </cell>
          <cell r="K45">
            <v>2.1726958683850643</v>
          </cell>
          <cell r="L45">
            <v>2.1726958683850643</v>
          </cell>
          <cell r="M45">
            <v>2.1726958683850643</v>
          </cell>
          <cell r="N45">
            <v>2.1726958683850643</v>
          </cell>
          <cell r="O45">
            <v>2.1726958683850643</v>
          </cell>
          <cell r="P45">
            <v>2.1726958683850643</v>
          </cell>
          <cell r="Q45">
            <v>-5.488441138814836</v>
          </cell>
        </row>
        <row r="201">
          <cell r="F201"/>
          <cell r="G201"/>
          <cell r="H201"/>
          <cell r="I201"/>
          <cell r="J201"/>
          <cell r="K201"/>
          <cell r="L201"/>
          <cell r="M201"/>
          <cell r="N201"/>
          <cell r="O201"/>
          <cell r="P201"/>
          <cell r="Q201"/>
        </row>
        <row r="220">
          <cell r="F220">
            <v>11.986581189000001</v>
          </cell>
          <cell r="G220">
            <v>12.418130976</v>
          </cell>
          <cell r="H220">
            <v>14.339531531</v>
          </cell>
          <cell r="I220">
            <v>11.268922902</v>
          </cell>
          <cell r="J220">
            <v>9.7634507080000006</v>
          </cell>
          <cell r="K220">
            <v>16.435110726000001</v>
          </cell>
          <cell r="L220">
            <v>15.280577717</v>
          </cell>
          <cell r="M220">
            <v>14.290489528</v>
          </cell>
          <cell r="N220">
            <v>15.265898225999999</v>
          </cell>
          <cell r="O220">
            <v>17.836111566</v>
          </cell>
          <cell r="P220">
            <v>17.537220382000001</v>
          </cell>
          <cell r="Q220">
            <v>23.066591109000001</v>
          </cell>
        </row>
        <row r="344">
          <cell r="F344">
            <v>0.14099999999999999</v>
          </cell>
          <cell r="G344">
            <v>0.92700000000000005</v>
          </cell>
          <cell r="H344">
            <v>0.183</v>
          </cell>
          <cell r="I344">
            <v>0.89500000000000002</v>
          </cell>
          <cell r="J344">
            <v>0.68600000000000005</v>
          </cell>
          <cell r="K344">
            <v>0.59770000000000001</v>
          </cell>
          <cell r="L344">
            <v>0.64670000000000005</v>
          </cell>
          <cell r="M344">
            <v>0.47299999999999998</v>
          </cell>
          <cell r="N344">
            <v>0.46600000000000003</v>
          </cell>
          <cell r="O344">
            <v>0.51400000000000001</v>
          </cell>
          <cell r="P344">
            <v>0.42799999999999999</v>
          </cell>
          <cell r="Q344">
            <v>0.81899999999999995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239">
          <cell r="L239">
            <v>-4.8901692727910273</v>
          </cell>
        </row>
      </sheetData>
      <sheetData sheetId="34"/>
      <sheetData sheetId="35">
        <row r="75">
          <cell r="E75">
            <v>1.9535469999999999</v>
          </cell>
        </row>
        <row r="80"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-3</v>
          </cell>
          <cell r="J80">
            <v>-5.9922384110879445</v>
          </cell>
          <cell r="K80">
            <v>-4.9740677107924105</v>
          </cell>
          <cell r="L80">
            <v>-4.914652207657177</v>
          </cell>
          <cell r="M80">
            <v>-5.7626647967677389</v>
          </cell>
          <cell r="N80">
            <v>-7.7810862615248002</v>
          </cell>
          <cell r="O80">
            <v>-6.9246951304809894</v>
          </cell>
          <cell r="P80">
            <v>-9.2696897948517361</v>
          </cell>
        </row>
        <row r="81"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</row>
        <row r="82"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</row>
        <row r="83"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6.1887594502999181E-2</v>
          </cell>
          <cell r="J83">
            <v>-2.0006470141747368E-3</v>
          </cell>
          <cell r="K83">
            <v>-8.2465511807188418E-4</v>
          </cell>
          <cell r="L83">
            <v>-8.6944943337209407E-4</v>
          </cell>
          <cell r="M83">
            <v>-1.4501843972090755E-3</v>
          </cell>
          <cell r="N83">
            <v>-1.1571874509389366E-3</v>
          </cell>
          <cell r="O83">
            <v>-1.1769665664939693E-3</v>
          </cell>
          <cell r="P83">
            <v>-1.4209509253390285E-3</v>
          </cell>
        </row>
        <row r="84"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</row>
        <row r="87">
          <cell r="E87">
            <v>-2.2744157</v>
          </cell>
          <cell r="F87">
            <v>-2.6542930999999998</v>
          </cell>
          <cell r="G87">
            <v>-3.4230191999999997</v>
          </cell>
          <cell r="H87">
            <v>-2.6512258999999982</v>
          </cell>
          <cell r="I87">
            <v>-2.2306751000000027</v>
          </cell>
          <cell r="J87">
            <v>-4.3487038</v>
          </cell>
          <cell r="K87">
            <v>-3.3261844979999995</v>
          </cell>
          <cell r="L87">
            <v>-3.8367904980000005</v>
          </cell>
          <cell r="M87">
            <v>-3.7115340740000002</v>
          </cell>
          <cell r="N87">
            <v>-3.797707994</v>
          </cell>
          <cell r="O87">
            <v>-4.6423025139999989</v>
          </cell>
          <cell r="P87">
            <v>-6.7853068819999995</v>
          </cell>
        </row>
        <row r="95">
          <cell r="E95"/>
          <cell r="F95"/>
          <cell r="G95">
            <v>0.30283913715431171</v>
          </cell>
          <cell r="H95">
            <v>0.18245641091273598</v>
          </cell>
          <cell r="I95">
            <v>5.824764674268023E-3</v>
          </cell>
          <cell r="J95">
            <v>2.4714537595079723E-2</v>
          </cell>
          <cell r="K95">
            <v>1.9797306676366495E-2</v>
          </cell>
          <cell r="L95">
            <v>0.21468357047349224</v>
          </cell>
          <cell r="M95">
            <v>0.1512026999813296</v>
          </cell>
          <cell r="N95">
            <v>6.6368971265194976E-2</v>
          </cell>
          <cell r="O95">
            <v>0.41384201903275664</v>
          </cell>
          <cell r="P95">
            <v>0.21106909549659869</v>
          </cell>
        </row>
        <row r="96">
          <cell r="E96">
            <v>0</v>
          </cell>
          <cell r="F96">
            <v>0</v>
          </cell>
          <cell r="G96">
            <v>0</v>
          </cell>
          <cell r="H96">
            <v>-0.84629999999999994</v>
          </cell>
          <cell r="I96">
            <v>-1.8121546965801907</v>
          </cell>
          <cell r="J96">
            <v>-1.4155687004688751</v>
          </cell>
          <cell r="K96">
            <v>-0.4569460025569026</v>
          </cell>
          <cell r="L96">
            <v>-0.52049316668007284</v>
          </cell>
          <cell r="M96">
            <v>-0.53038201495194492</v>
          </cell>
          <cell r="N96">
            <v>-0.29731177323482316</v>
          </cell>
          <cell r="O96">
            <v>-0.29970977714864327</v>
          </cell>
          <cell r="P96">
            <v>-0.38779781310710859</v>
          </cell>
        </row>
        <row r="97">
          <cell r="E97"/>
          <cell r="F97"/>
          <cell r="G97"/>
          <cell r="H97"/>
          <cell r="I97"/>
          <cell r="J97"/>
          <cell r="K97"/>
          <cell r="L97"/>
          <cell r="M97"/>
          <cell r="N97"/>
          <cell r="O97"/>
          <cell r="P97"/>
        </row>
      </sheetData>
      <sheetData sheetId="36"/>
      <sheetData sheetId="37"/>
      <sheetData sheetId="38">
        <row r="2">
          <cell r="C2">
            <v>4</v>
          </cell>
        </row>
      </sheetData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&amp;L OR (JPY)"/>
      <sheetName val="P&amp;L OR (JPY) cos split"/>
      <sheetName val="P&amp;L OR"/>
      <sheetName val="P&amp;L"/>
      <sheetName val="P&amp;L OR (cost split)"/>
      <sheetName val="P&amp;L(AS)"/>
      <sheetName val="Act"/>
      <sheetName val="Act (cost split)"/>
      <sheetName val="HFM"/>
      <sheetName val="HFM (var cost split)"/>
      <sheetName val="CFMI"/>
      <sheetName val="Manual"/>
    </sheetNames>
    <sheetDataSet>
      <sheetData sheetId="0"/>
      <sheetData sheetId="1"/>
      <sheetData sheetId="2"/>
      <sheetData sheetId="3"/>
      <sheetData sheetId="4"/>
      <sheetData sheetId="5"/>
      <sheetData sheetId="6">
        <row r="29">
          <cell r="D29">
            <v>-71.169814299999885</v>
          </cell>
          <cell r="E29">
            <v>-15.481782200000438</v>
          </cell>
          <cell r="F29">
            <v>-49.155462699999049</v>
          </cell>
          <cell r="G29">
            <v>-39.963050500000556</v>
          </cell>
          <cell r="H29">
            <v>-21.139446899999982</v>
          </cell>
          <cell r="I29">
            <v>18.467999080699485</v>
          </cell>
          <cell r="J29">
            <v>-22.341972959319477</v>
          </cell>
          <cell r="K29">
            <v>-18.333471076639263</v>
          </cell>
          <cell r="L29">
            <v>67.830788572745163</v>
          </cell>
          <cell r="M29">
            <v>-2.9721803495988723</v>
          </cell>
          <cell r="N29">
            <v>-6.3684385534043528</v>
          </cell>
          <cell r="O29">
            <v>58.834458590440029</v>
          </cell>
        </row>
        <row r="206">
          <cell r="D206">
            <v>-1.9535469999999999</v>
          </cell>
          <cell r="E206">
            <v>-5.487479999999989E-2</v>
          </cell>
          <cell r="F206">
            <v>4.8354599999999998E-2</v>
          </cell>
          <cell r="G206">
            <v>7.5404900000000052E-2</v>
          </cell>
          <cell r="H206">
            <v>1.4994999999999998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</row>
        <row r="222">
          <cell r="D222">
            <v>612.22646137803633</v>
          </cell>
          <cell r="E222">
            <v>755.9401488583477</v>
          </cell>
          <cell r="F222">
            <v>991.81161270891232</v>
          </cell>
          <cell r="G222">
            <v>752.80413095636118</v>
          </cell>
          <cell r="H222">
            <v>624.40953069327338</v>
          </cell>
          <cell r="I222">
            <v>1173.6255728524438</v>
          </cell>
          <cell r="J222">
            <v>902.86522552711392</v>
          </cell>
          <cell r="K222">
            <v>1003.1392360883528</v>
          </cell>
          <cell r="L222">
            <v>1004.0396179397036</v>
          </cell>
          <cell r="M222">
            <v>972.03011379459099</v>
          </cell>
          <cell r="N222">
            <v>1131.4637987576864</v>
          </cell>
          <cell r="O222">
            <v>1569.4458389386452</v>
          </cell>
        </row>
        <row r="223">
          <cell r="D223">
            <v>-85.285283100000001</v>
          </cell>
          <cell r="E223">
            <v>-107.1679133</v>
          </cell>
          <cell r="F223">
            <v>-152.92069900000001</v>
          </cell>
          <cell r="G223">
            <v>-107.07472529999997</v>
          </cell>
          <cell r="H223">
            <v>-85.710109700000018</v>
          </cell>
          <cell r="I223">
            <v>-176.79216133630072</v>
          </cell>
          <cell r="J223">
            <v>-129.92824154684936</v>
          </cell>
          <cell r="K223">
            <v>-147.65830407586895</v>
          </cell>
          <cell r="L223">
            <v>-148.69209040627999</v>
          </cell>
          <cell r="M223">
            <v>-135.92402764255607</v>
          </cell>
          <cell r="N223">
            <v>-162.43910706469819</v>
          </cell>
          <cell r="O223">
            <v>-229.8664649995788</v>
          </cell>
        </row>
        <row r="225">
          <cell r="D225">
            <v>-440.85755869038957</v>
          </cell>
          <cell r="E225">
            <v>-539.65369538426853</v>
          </cell>
          <cell r="F225">
            <v>-732.22379095507574</v>
          </cell>
          <cell r="G225">
            <v>-538.45421144300394</v>
          </cell>
          <cell r="H225">
            <v>-428.30179487885459</v>
          </cell>
          <cell r="I225">
            <v>-797.57154953632676</v>
          </cell>
          <cell r="J225">
            <v>-625.26779357505825</v>
          </cell>
          <cell r="K225">
            <v>-701.49809436330497</v>
          </cell>
          <cell r="L225">
            <v>-632.46252409298393</v>
          </cell>
          <cell r="M225">
            <v>-676.99132868426511</v>
          </cell>
          <cell r="N225">
            <v>-814.01261605990703</v>
          </cell>
          <cell r="O225">
            <v>-1101.6832051644876</v>
          </cell>
        </row>
        <row r="228">
          <cell r="D228">
            <v>-29.170027381636</v>
          </cell>
          <cell r="E228">
            <v>-21.18745361612903</v>
          </cell>
          <cell r="F228">
            <v>-24.737889650671057</v>
          </cell>
          <cell r="G228">
            <v>-25.384140255491335</v>
          </cell>
          <cell r="H228">
            <v>-21.290418465395721</v>
          </cell>
          <cell r="I228">
            <v>-25.73400774697954</v>
          </cell>
          <cell r="J228">
            <v>-26.7773552091246</v>
          </cell>
          <cell r="K228">
            <v>-29.796384001290015</v>
          </cell>
          <cell r="L228">
            <v>-23.768882705502438</v>
          </cell>
          <cell r="M228">
            <v>-25.128230461665623</v>
          </cell>
          <cell r="N228">
            <v>-25.409152780533987</v>
          </cell>
          <cell r="O228">
            <v>-23.807450519941057</v>
          </cell>
        </row>
        <row r="229">
          <cell r="D229">
            <v>-5.2709534000000007</v>
          </cell>
          <cell r="E229">
            <v>5.3323574000000002</v>
          </cell>
          <cell r="F229">
            <v>-3.6496299999999995E-2</v>
          </cell>
          <cell r="G229">
            <v>-0.12485880000000001</v>
          </cell>
          <cell r="H229">
            <v>-8.8965800000000497E-2</v>
          </cell>
          <cell r="I229">
            <v>-0.20399856124442503</v>
          </cell>
          <cell r="J229">
            <v>-0.22204693273641005</v>
          </cell>
          <cell r="K229">
            <v>-0.23046503607701493</v>
          </cell>
          <cell r="L229">
            <v>-1.1345248926339591</v>
          </cell>
          <cell r="M229">
            <v>-1.70289030821585</v>
          </cell>
          <cell r="N229">
            <v>-1.7733443304865499</v>
          </cell>
          <cell r="O229">
            <v>-2.0103304391690897</v>
          </cell>
        </row>
        <row r="230"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</row>
        <row r="232">
          <cell r="D232">
            <v>-22.075094200000002</v>
          </cell>
          <cell r="E232">
            <v>-7.3505496000000097</v>
          </cell>
          <cell r="F232">
            <v>-8.5696320999999909</v>
          </cell>
          <cell r="G232">
            <v>-8.6392316999999981</v>
          </cell>
          <cell r="H232">
            <v>-7.4864992000000239</v>
          </cell>
          <cell r="I232">
            <v>-11.50355447467707</v>
          </cell>
          <cell r="J232">
            <v>-8.9493338648555731</v>
          </cell>
          <cell r="K232">
            <v>-9.0458944333870317</v>
          </cell>
          <cell r="L232">
            <v>-10.728191392250491</v>
          </cell>
          <cell r="M232">
            <v>-9.171214139945004</v>
          </cell>
          <cell r="N232">
            <v>-9.7134592213744906</v>
          </cell>
          <cell r="O232">
            <v>-10.992718997364223</v>
          </cell>
        </row>
        <row r="233"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</row>
        <row r="234">
          <cell r="D234">
            <v>-10.598455638364001</v>
          </cell>
          <cell r="E234">
            <v>-7.2973572198709657</v>
          </cell>
          <cell r="F234">
            <v>-8.2733199583289405</v>
          </cell>
          <cell r="G234">
            <v>-8.8285599855086669</v>
          </cell>
          <cell r="H234">
            <v>-8.1039181756042815</v>
          </cell>
          <cell r="I234">
            <v>-12.391783867794913</v>
          </cell>
          <cell r="J234">
            <v>-14.571097513551933</v>
          </cell>
          <cell r="K234">
            <v>-19.960888238569801</v>
          </cell>
          <cell r="L234">
            <v>-12.828271380490177</v>
          </cell>
          <cell r="M234">
            <v>-12.931243323021524</v>
          </cell>
          <cell r="N234">
            <v>-14.859925576946152</v>
          </cell>
          <cell r="O234">
            <v>-13.748131080340828</v>
          </cell>
        </row>
        <row r="236">
          <cell r="D236">
            <v>-21.268724286000001</v>
          </cell>
          <cell r="E236">
            <v>-29.590592390000001</v>
          </cell>
          <cell r="F236">
            <v>-30.952623228649806</v>
          </cell>
          <cell r="G236">
            <v>-26.437131634000004</v>
          </cell>
          <cell r="H236">
            <v>-21.682589371999999</v>
          </cell>
          <cell r="I236">
            <v>-32.61818498150582</v>
          </cell>
          <cell r="J236">
            <v>-34.712828052307216</v>
          </cell>
          <cell r="K236">
            <v>-30.912647315636583</v>
          </cell>
          <cell r="L236">
            <v>-19.312322111462013</v>
          </cell>
          <cell r="M236">
            <v>-26.743406856941725</v>
          </cell>
          <cell r="N236">
            <v>-26.007837216757952</v>
          </cell>
          <cell r="O236">
            <v>-12.857628522168774</v>
          </cell>
        </row>
        <row r="237">
          <cell r="D237">
            <v>-1.8589674599999999</v>
          </cell>
          <cell r="E237">
            <v>-0.93709799999999999</v>
          </cell>
          <cell r="F237">
            <v>-1.168674</v>
          </cell>
          <cell r="G237">
            <v>-0.80727700000000002</v>
          </cell>
          <cell r="H237">
            <v>-0.71741299999999997</v>
          </cell>
          <cell r="I237">
            <v>-2.6358229999999998</v>
          </cell>
          <cell r="J237">
            <v>-1.8025659999999999</v>
          </cell>
          <cell r="K237">
            <v>-0.93980699999999995</v>
          </cell>
          <cell r="L237">
            <v>-2.5573359999999998</v>
          </cell>
          <cell r="M237">
            <v>-0.96017799999999998</v>
          </cell>
          <cell r="N237">
            <v>-0.77694099999999999</v>
          </cell>
          <cell r="O237">
            <v>-3.7792810000000001</v>
          </cell>
        </row>
        <row r="238">
          <cell r="D238">
            <v>-3.0503450540000001</v>
          </cell>
          <cell r="E238">
            <v>-2.3303183100000053</v>
          </cell>
          <cell r="F238">
            <v>-8.3251644713501953</v>
          </cell>
          <cell r="G238">
            <v>-4.4889129659999929</v>
          </cell>
          <cell r="H238">
            <v>-3.9742786279999973</v>
          </cell>
          <cell r="I238">
            <v>-9.2721559384941532</v>
          </cell>
          <cell r="J238">
            <v>-6.276161989692894</v>
          </cell>
          <cell r="K238">
            <v>-5.7707439413635147</v>
          </cell>
          <cell r="L238">
            <v>-6.895927201538079</v>
          </cell>
          <cell r="M238">
            <v>-5.7156871050582003</v>
          </cell>
          <cell r="N238">
            <v>-5.4427330392420474</v>
          </cell>
          <cell r="O238">
            <v>-6.0586108258312743</v>
          </cell>
        </row>
        <row r="240">
          <cell r="D240">
            <v>-37.389420916999995</v>
          </cell>
          <cell r="E240">
            <v>-29.881607848000002</v>
          </cell>
          <cell r="F240">
            <v>-39.768504309000001</v>
          </cell>
          <cell r="G240">
            <v>-35.318561353</v>
          </cell>
          <cell r="H240">
            <v>-31.778330893000003</v>
          </cell>
          <cell r="I240">
            <v>-29.066978169999999</v>
          </cell>
          <cell r="J240">
            <v>-30.482307319</v>
          </cell>
          <cell r="K240">
            <v>-30.078009203000001</v>
          </cell>
          <cell r="L240">
            <v>-29.096600758999998</v>
          </cell>
          <cell r="M240">
            <v>-28.667374469000006</v>
          </cell>
          <cell r="N240">
            <v>-27.967542151000004</v>
          </cell>
          <cell r="O240">
            <v>-30.023016151999997</v>
          </cell>
        </row>
        <row r="241">
          <cell r="D241">
            <v>2.2106839143448709</v>
          </cell>
          <cell r="E241">
            <v>2.0894766685329129</v>
          </cell>
          <cell r="F241">
            <v>2.2799490982448782</v>
          </cell>
          <cell r="G241">
            <v>2.4858819092374485</v>
          </cell>
          <cell r="H241">
            <v>2.0734510037522829</v>
          </cell>
          <cell r="I241">
            <v>2.1680656087764358</v>
          </cell>
          <cell r="J241">
            <v>2.1680656078855147</v>
          </cell>
          <cell r="K241">
            <v>2.1680656071918509</v>
          </cell>
          <cell r="L241">
            <v>2.1680656114166741</v>
          </cell>
          <cell r="M241">
            <v>2.168065602974421</v>
          </cell>
          <cell r="N241">
            <v>2.1680656111712704</v>
          </cell>
          <cell r="O241">
            <v>-5.5393740803733076</v>
          </cell>
        </row>
        <row r="248">
          <cell r="D248">
            <v>-0.30846766876945769</v>
          </cell>
          <cell r="E248">
            <v>-1.3543336041457681</v>
          </cell>
          <cell r="F248">
            <v>-2.5510260615006883</v>
          </cell>
          <cell r="G248">
            <v>-0.35512855485592282</v>
          </cell>
          <cell r="H248">
            <v>-0.57385849005973366</v>
          </cell>
          <cell r="I248">
            <v>-1.1704650105622865</v>
          </cell>
          <cell r="J248">
            <v>-0.54710190730667851</v>
          </cell>
          <cell r="K248">
            <v>-1.7626847555189467</v>
          </cell>
          <cell r="L248">
            <v>-1.3857034029914501</v>
          </cell>
          <cell r="M248">
            <v>-1.1949304757237191</v>
          </cell>
          <cell r="N248">
            <v>-1.4941437379146199</v>
          </cell>
          <cell r="O248">
            <v>-1.3918311219561317</v>
          </cell>
        </row>
        <row r="249">
          <cell r="D249">
            <v>8.7524709494160913</v>
          </cell>
          <cell r="E249">
            <v>12.93746193022556</v>
          </cell>
          <cell r="F249">
            <v>18.985245307490537</v>
          </cell>
          <cell r="G249">
            <v>15.721943676126671</v>
          </cell>
          <cell r="H249">
            <v>16.014433256075634</v>
          </cell>
          <cell r="I249">
            <v>25.152508607398499</v>
          </cell>
          <cell r="J249">
            <v>16.964638375273402</v>
          </cell>
          <cell r="K249">
            <v>18.681814591523036</v>
          </cell>
          <cell r="L249">
            <v>18.806999285704915</v>
          </cell>
          <cell r="M249">
            <v>15.868939719888314</v>
          </cell>
          <cell r="N249">
            <v>17.259652281681866</v>
          </cell>
          <cell r="O249">
            <v>29.576109793333622</v>
          </cell>
        </row>
        <row r="251">
          <cell r="D251">
            <v>5.6350322980000023</v>
          </cell>
          <cell r="E251">
            <v>3.683511836000001</v>
          </cell>
          <cell r="F251">
            <v>-4.7641994999999326E-2</v>
          </cell>
          <cell r="G251">
            <v>6.6480954600000022</v>
          </cell>
          <cell r="H251">
            <v>1.9999212620000009</v>
          </cell>
          <cell r="I251">
            <v>4.614094555000003</v>
          </cell>
          <cell r="J251">
            <v>5.1297964779999994</v>
          </cell>
          <cell r="K251">
            <v>4.8360981800000005</v>
          </cell>
          <cell r="L251">
            <v>5.7195056890000018</v>
          </cell>
          <cell r="M251">
            <v>6.2270678330000031</v>
          </cell>
          <cell r="N251">
            <v>4.2401773179999989</v>
          </cell>
          <cell r="O251">
            <v>7.4305935800000018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OP"/>
      <sheetName val="Summary"/>
      <sheetName val="P&amp;L Actual"/>
      <sheetName val="ROP NE (Tagetik)"/>
      <sheetName val="NE last month"/>
      <sheetName val="ROP East (Tagetik)"/>
      <sheetName val="East prev month"/>
      <sheetName val="MZ conso TGK"/>
      <sheetName val="OCS details"/>
      <sheetName val="P&amp;L BP"/>
      <sheetName val="P&amp;L 2+10"/>
      <sheetName val="P&amp;L 7+5"/>
      <sheetName val="P&amp;L 5+7"/>
      <sheetName val="P&amp;L LY"/>
      <sheetName val="MCPP NE (Tagetik)"/>
      <sheetName val="MCPP East (Tagetik)"/>
      <sheetName val="P&amp;L vs BP"/>
      <sheetName val="New KPI Actual"/>
      <sheetName val="New KPI BP"/>
      <sheetName val="New KPI 2+10"/>
      <sheetName val="New KPI 7+5"/>
      <sheetName val="New KPI 5+7"/>
      <sheetName val="New KPI LY"/>
      <sheetName val="MCPP BP @BP"/>
      <sheetName val="MCPP LY @ BP"/>
      <sheetName val="Nissan Europe (MCPP)"/>
      <sheetName val="East (MCPP)"/>
      <sheetName val="SCOS reclass ROP"/>
      <sheetName val="SCOS reclass new KPI"/>
      <sheetName val="FX vs LY"/>
      <sheetName val="FX vs BP"/>
      <sheetName val="FX vs 2+10"/>
      <sheetName val="SCOS reclass old"/>
      <sheetName val="FX vs 5+7"/>
      <sheetName val="FX vs 7+5"/>
      <sheetName val="New KPI vs BP"/>
      <sheetName val="Relief"/>
      <sheetName val="Reclass"/>
      <sheetName val="HQ Tagetik"/>
      <sheetName val="Others"/>
      <sheetName val="HFM Jun"/>
      <sheetName val="HFM Mar"/>
      <sheetName val="HFM Apr"/>
      <sheetName val="HFM May"/>
      <sheetName val="HFM Aug"/>
      <sheetName val="HFM Jul"/>
      <sheetName val="HFM Sep"/>
      <sheetName val="HFM Oct"/>
      <sheetName val="HFM Nov"/>
      <sheetName val="HFM Dec"/>
      <sheetName val="HFM Jan"/>
      <sheetName val="HFM Feb"/>
    </sheetNames>
    <sheetDataSet>
      <sheetData sheetId="0" refreshError="1"/>
      <sheetData sheetId="1" refreshError="1"/>
      <sheetData sheetId="2">
        <row r="5">
          <cell r="H5">
            <v>20429</v>
          </cell>
          <cell r="I5">
            <v>26765</v>
          </cell>
          <cell r="J5">
            <v>33113</v>
          </cell>
          <cell r="K5">
            <v>24555</v>
          </cell>
          <cell r="L5">
            <v>16223</v>
          </cell>
          <cell r="M5">
            <v>39014</v>
          </cell>
          <cell r="N5">
            <v>26247</v>
          </cell>
          <cell r="O5">
            <v>27924</v>
          </cell>
          <cell r="P5">
            <v>28053</v>
          </cell>
          <cell r="Q5">
            <v>29241</v>
          </cell>
          <cell r="R5">
            <v>28500</v>
          </cell>
          <cell r="S5">
            <v>47455</v>
          </cell>
        </row>
        <row r="6"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</row>
        <row r="7"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</row>
        <row r="9">
          <cell r="H9">
            <v>1356.721</v>
          </cell>
          <cell r="I9">
            <v>1405.501</v>
          </cell>
          <cell r="J9">
            <v>1565.7449999999999</v>
          </cell>
          <cell r="K9">
            <v>1387.4110000000001</v>
          </cell>
          <cell r="L9">
            <v>1041.991</v>
          </cell>
          <cell r="M9">
            <v>1548.3879999999999</v>
          </cell>
          <cell r="N9">
            <v>1390.4929999999999</v>
          </cell>
          <cell r="O9">
            <v>1391.193</v>
          </cell>
          <cell r="P9">
            <v>1388.992</v>
          </cell>
          <cell r="Q9">
            <v>1265.3679999999999</v>
          </cell>
          <cell r="R9">
            <v>1239.261</v>
          </cell>
          <cell r="S9">
            <v>1775.1759999999999</v>
          </cell>
        </row>
        <row r="21">
          <cell r="H21">
            <v>16118</v>
          </cell>
          <cell r="I21">
            <v>23011</v>
          </cell>
          <cell r="J21">
            <v>30538</v>
          </cell>
          <cell r="K21">
            <v>21086</v>
          </cell>
          <cell r="L21">
            <v>18342</v>
          </cell>
          <cell r="M21">
            <v>39103</v>
          </cell>
          <cell r="N21">
            <v>22727</v>
          </cell>
          <cell r="O21">
            <v>31354</v>
          </cell>
          <cell r="P21">
            <v>31881</v>
          </cell>
          <cell r="Q21">
            <v>28493</v>
          </cell>
          <cell r="R21">
            <v>32271</v>
          </cell>
          <cell r="S21">
            <v>46870</v>
          </cell>
        </row>
        <row r="22">
          <cell r="H22">
            <v>7</v>
          </cell>
          <cell r="I22">
            <v>1</v>
          </cell>
          <cell r="J22">
            <v>0</v>
          </cell>
          <cell r="K22">
            <v>41</v>
          </cell>
          <cell r="L22">
            <v>0</v>
          </cell>
          <cell r="M22">
            <v>0</v>
          </cell>
          <cell r="N22">
            <v>0</v>
          </cell>
          <cell r="O22">
            <v>10</v>
          </cell>
          <cell r="P22">
            <v>18</v>
          </cell>
          <cell r="Q22">
            <v>14</v>
          </cell>
          <cell r="R22">
            <v>19</v>
          </cell>
          <cell r="S22">
            <v>28</v>
          </cell>
        </row>
        <row r="23"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</row>
        <row r="27">
          <cell r="H27">
            <v>481</v>
          </cell>
          <cell r="I27">
            <v>1491</v>
          </cell>
          <cell r="J27">
            <v>1025</v>
          </cell>
          <cell r="K27">
            <v>347</v>
          </cell>
          <cell r="L27">
            <v>533</v>
          </cell>
          <cell r="M27">
            <v>392</v>
          </cell>
          <cell r="N27">
            <v>601</v>
          </cell>
          <cell r="O27">
            <v>709</v>
          </cell>
          <cell r="P27">
            <v>1107</v>
          </cell>
          <cell r="Q27">
            <v>1072</v>
          </cell>
          <cell r="R27">
            <v>723</v>
          </cell>
          <cell r="S27">
            <v>589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5">
          <cell r="F5">
            <v>10.599852740999999</v>
          </cell>
        </row>
        <row r="33">
          <cell r="F33">
            <v>-3.1056917000000017E-2</v>
          </cell>
          <cell r="G33">
            <v>-2.0865730000000002E-2</v>
          </cell>
          <cell r="H33">
            <v>-1.1517993000000001E-2</v>
          </cell>
          <cell r="I33">
            <v>0.296928782</v>
          </cell>
          <cell r="J33">
            <v>-0.149848024</v>
          </cell>
          <cell r="K33">
            <v>6.1804080000000004E-2</v>
          </cell>
          <cell r="L33">
            <v>-8.2806230000000008E-3</v>
          </cell>
          <cell r="M33">
            <v>-0.15524955999999998</v>
          </cell>
          <cell r="N33">
            <v>-0.22517986899999992</v>
          </cell>
          <cell r="O33">
            <v>-0.17499667600000002</v>
          </cell>
          <cell r="P33">
            <v>-0.23693095199999997</v>
          </cell>
          <cell r="Q33">
            <v>-0.34778111299999986</v>
          </cell>
        </row>
        <row r="45">
          <cell r="F45">
            <v>2.2546439973448797</v>
          </cell>
          <cell r="G45">
            <v>2.2359900205328698</v>
          </cell>
          <cell r="H45">
            <v>2.1925870892448822</v>
          </cell>
          <cell r="I45">
            <v>2.1261450562374615</v>
          </cell>
          <cell r="J45">
            <v>2.1235463107522752</v>
          </cell>
          <cell r="K45">
            <v>2.1022557859426585</v>
          </cell>
          <cell r="L45">
            <v>-1.7845704287208499</v>
          </cell>
          <cell r="M45">
            <v>0.90222124336119403</v>
          </cell>
          <cell r="N45">
            <v>1.5330645305018482</v>
          </cell>
          <cell r="O45">
            <v>1.5330645305018482</v>
          </cell>
          <cell r="P45">
            <v>1.5330645305018482</v>
          </cell>
          <cell r="Q45">
            <v>1.5330645305018482</v>
          </cell>
        </row>
        <row r="201">
          <cell r="F201"/>
          <cell r="G201"/>
          <cell r="H201"/>
          <cell r="I201"/>
          <cell r="J201"/>
          <cell r="K201"/>
          <cell r="L201"/>
          <cell r="M201"/>
          <cell r="N201"/>
          <cell r="O201"/>
          <cell r="P201"/>
          <cell r="Q201"/>
        </row>
        <row r="220">
          <cell r="F220">
            <v>11.986581189000001</v>
          </cell>
          <cell r="G220">
            <v>12.418130976</v>
          </cell>
          <cell r="H220">
            <v>14.339531531</v>
          </cell>
          <cell r="I220">
            <v>11.268922902</v>
          </cell>
          <cell r="J220">
            <v>9.7634507080000006</v>
          </cell>
          <cell r="K220">
            <v>16.207437536</v>
          </cell>
          <cell r="L220">
            <v>12.53863904</v>
          </cell>
          <cell r="M220">
            <v>18.303064538000001</v>
          </cell>
          <cell r="N220">
            <v>15.060278538</v>
          </cell>
          <cell r="O220">
            <v>13.635269458</v>
          </cell>
          <cell r="P220">
            <v>14.511940224</v>
          </cell>
          <cell r="Q220">
            <v>17.520375132000002</v>
          </cell>
        </row>
        <row r="344">
          <cell r="F344">
            <v>0.14099999999999999</v>
          </cell>
          <cell r="G344">
            <v>0.92700000000000005</v>
          </cell>
          <cell r="H344">
            <v>0.183</v>
          </cell>
          <cell r="I344">
            <v>0.89500000000000002</v>
          </cell>
          <cell r="J344">
            <v>0.68600000000000005</v>
          </cell>
          <cell r="K344">
            <v>0.55000000000000004</v>
          </cell>
          <cell r="L344">
            <v>0.46300000000000002</v>
          </cell>
          <cell r="M344">
            <v>0.59499999999999997</v>
          </cell>
          <cell r="N344">
            <v>0.45800000000000002</v>
          </cell>
          <cell r="O344">
            <v>0.51300000000000001</v>
          </cell>
          <cell r="P344">
            <v>0.123</v>
          </cell>
          <cell r="Q344">
            <v>1.107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>
        <row r="234">
          <cell r="EZ234">
            <v>0</v>
          </cell>
        </row>
      </sheetData>
      <sheetData sheetId="36">
        <row r="80"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-3</v>
          </cell>
          <cell r="J80">
            <v>-6.2880000000000003</v>
          </cell>
          <cell r="K80">
            <v>-4.6140309380534603</v>
          </cell>
          <cell r="L80">
            <v>-2.8143546927115102</v>
          </cell>
          <cell r="M80">
            <v>-16.988316393920918</v>
          </cell>
          <cell r="N80">
            <v>3.5500524186264411</v>
          </cell>
          <cell r="O80">
            <v>3.5957046741285494</v>
          </cell>
          <cell r="P80">
            <v>4.0569797648345522</v>
          </cell>
        </row>
        <row r="81"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</row>
        <row r="82"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</row>
        <row r="83"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6.1887594502999181E-2</v>
          </cell>
          <cell r="J83">
            <v>3.9490211041998862E-3</v>
          </cell>
          <cell r="K83">
            <v>-0.56200000000000006</v>
          </cell>
          <cell r="L83">
            <v>-0.16918744808361355</v>
          </cell>
          <cell r="M83">
            <v>-0.26894210212027259</v>
          </cell>
          <cell r="N83">
            <v>-0.21061831147797211</v>
          </cell>
          <cell r="O83">
            <v>-0.24503444961199258</v>
          </cell>
          <cell r="P83">
            <v>-0.21627591146538977</v>
          </cell>
        </row>
        <row r="84"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-0.20057774999999997</v>
          </cell>
          <cell r="L84">
            <v>-0.43116060100000003</v>
          </cell>
          <cell r="M84">
            <v>-0.35323487910000023</v>
          </cell>
          <cell r="N84">
            <v>-0.51499935740000002</v>
          </cell>
          <cell r="O84">
            <v>-0.42440218100000016</v>
          </cell>
          <cell r="P84">
            <v>-0.55543433460000013</v>
          </cell>
        </row>
        <row r="87">
          <cell r="E87">
            <v>-2.2744157</v>
          </cell>
          <cell r="F87">
            <v>-2.6542930999999998</v>
          </cell>
          <cell r="G87">
            <v>-3.4230191999999997</v>
          </cell>
          <cell r="H87">
            <v>-2.6512258999999982</v>
          </cell>
          <cell r="I87">
            <v>-2.2306751000000027</v>
          </cell>
          <cell r="J87">
            <v>-4.3002925000000012</v>
          </cell>
          <cell r="K87">
            <v>-3.0895212999999941</v>
          </cell>
          <cell r="L87">
            <v>-4.2742299900000011</v>
          </cell>
          <cell r="M87">
            <v>-3.7798054000000008</v>
          </cell>
          <cell r="N87">
            <v>-3.6370646039999999</v>
          </cell>
          <cell r="O87">
            <v>-4.193932674</v>
          </cell>
          <cell r="P87">
            <v>-6.425557937999999</v>
          </cell>
        </row>
        <row r="95">
          <cell r="E95">
            <v>0</v>
          </cell>
          <cell r="F95">
            <v>0</v>
          </cell>
          <cell r="G95">
            <v>0.30283913715431171</v>
          </cell>
          <cell r="H95">
            <v>0.18245641091273598</v>
          </cell>
          <cell r="I95">
            <v>5.824764674268023E-3</v>
          </cell>
          <cell r="J95">
            <v>0</v>
          </cell>
          <cell r="K95">
            <v>0</v>
          </cell>
          <cell r="L95">
            <v>-2.9472796992535681E-2</v>
          </cell>
          <cell r="M95">
            <v>6.4808058846303168E-2</v>
          </cell>
          <cell r="N95">
            <v>-0.10179888007643338</v>
          </cell>
          <cell r="O95">
            <v>0.15643374681730879</v>
          </cell>
          <cell r="P95">
            <v>0.15777813163781271</v>
          </cell>
        </row>
        <row r="96">
          <cell r="E96">
            <v>0</v>
          </cell>
          <cell r="F96">
            <v>0</v>
          </cell>
          <cell r="G96">
            <v>0</v>
          </cell>
          <cell r="H96">
            <v>-0.84629999999999994</v>
          </cell>
          <cell r="I96">
            <v>-1.8121546965801907</v>
          </cell>
          <cell r="J96">
            <v>-2.7174581744434483</v>
          </cell>
          <cell r="K96">
            <v>-1.9678247681395822</v>
          </cell>
          <cell r="L96">
            <v>-3.3882201171154969</v>
          </cell>
          <cell r="M96">
            <v>-0.48449580814583354</v>
          </cell>
          <cell r="N96">
            <v>0</v>
          </cell>
          <cell r="O96">
            <v>0</v>
          </cell>
          <cell r="P96">
            <v>0</v>
          </cell>
        </row>
        <row r="97">
          <cell r="E97"/>
          <cell r="F97"/>
          <cell r="G97"/>
          <cell r="H97"/>
          <cell r="I97"/>
          <cell r="J97"/>
          <cell r="K97"/>
          <cell r="L97"/>
          <cell r="M97"/>
          <cell r="N97"/>
          <cell r="O97"/>
          <cell r="P97"/>
        </row>
      </sheetData>
      <sheetData sheetId="37" refreshError="1"/>
      <sheetData sheetId="38" refreshError="1"/>
      <sheetData sheetId="39">
        <row r="9">
          <cell r="C9">
            <v>-12907.326624216572</v>
          </cell>
        </row>
      </sheetData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&amp;L OR (JPY)"/>
      <sheetName val="P&amp;L OR (JPY) Var cos split"/>
      <sheetName val="P&amp;L OR"/>
      <sheetName val="P&amp;L"/>
      <sheetName val="P&amp;L OR (Var cost split)"/>
      <sheetName val="P&amp;L(AS)"/>
      <sheetName val="P&amp;L(AS) JPY"/>
      <sheetName val="Act"/>
      <sheetName val="Act (Var cost split)"/>
      <sheetName val="HFM"/>
      <sheetName val="HFM with var cost split"/>
      <sheetName val="CFMI"/>
      <sheetName val="Manual"/>
      <sheetName val="SAM's"/>
      <sheetName val="New KPI P&amp;L FY25 7+5 - FOR ACTU"/>
    </sheetNames>
    <sheetDataSet>
      <sheetData sheetId="0">
        <row r="57">
          <cell r="S57">
            <v>-22.13106067847766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29">
          <cell r="D29">
            <v>-71.169814299999885</v>
          </cell>
          <cell r="E29">
            <v>-15.481782200000438</v>
          </cell>
          <cell r="F29">
            <v>-49.155462699998822</v>
          </cell>
          <cell r="G29">
            <v>-39.963050500000556</v>
          </cell>
          <cell r="H29">
            <v>-21.139446899999982</v>
          </cell>
          <cell r="I29">
            <v>8.2945073000007596</v>
          </cell>
          <cell r="J29">
            <v>-31.006610800002264</v>
          </cell>
          <cell r="K29">
            <v>-36.71372435720594</v>
          </cell>
          <cell r="L29">
            <v>49.428945304902896</v>
          </cell>
          <cell r="M29">
            <v>12.437199408994829</v>
          </cell>
          <cell r="N29">
            <v>20.710169842295755</v>
          </cell>
          <cell r="O29">
            <v>67.987305405698436</v>
          </cell>
        </row>
        <row r="206">
          <cell r="D206">
            <v>-1.9535469999999999</v>
          </cell>
          <cell r="E206">
            <v>-5.487479999999989E-2</v>
          </cell>
          <cell r="F206">
            <v>4.8354599999999998E-2</v>
          </cell>
          <cell r="G206">
            <v>7.5404900000000052E-2</v>
          </cell>
          <cell r="H206">
            <v>1.4994999999999998</v>
          </cell>
          <cell r="I206">
            <v>21.500419999999998</v>
          </cell>
          <cell r="J206">
            <v>0.17399999999999993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</row>
        <row r="222">
          <cell r="D222">
            <v>612.22646137803633</v>
          </cell>
          <cell r="E222">
            <v>755.9401488583477</v>
          </cell>
          <cell r="F222">
            <v>991.81161270891232</v>
          </cell>
          <cell r="G222">
            <v>752.80413095636118</v>
          </cell>
          <cell r="H222">
            <v>624.40953069327338</v>
          </cell>
          <cell r="I222">
            <v>1224.6119041442605</v>
          </cell>
          <cell r="J222">
            <v>787.44751837815136</v>
          </cell>
          <cell r="K222">
            <v>996.64922492416338</v>
          </cell>
          <cell r="L222">
            <v>1008.9166533043169</v>
          </cell>
          <cell r="M222">
            <v>911.20953238443497</v>
          </cell>
          <cell r="N222">
            <v>1010.9437166237826</v>
          </cell>
          <cell r="O222">
            <v>1391.5238810757905</v>
          </cell>
        </row>
        <row r="223">
          <cell r="D223">
            <v>-85.285283100000001</v>
          </cell>
          <cell r="E223">
            <v>-107.1679133</v>
          </cell>
          <cell r="F223">
            <v>-152.92069900000001</v>
          </cell>
          <cell r="G223">
            <v>-107.07472529999997</v>
          </cell>
          <cell r="H223">
            <v>-85.710109700000018</v>
          </cell>
          <cell r="I223">
            <v>-185.77770159999997</v>
          </cell>
          <cell r="J223">
            <v>-121.39486350000004</v>
          </cell>
          <cell r="K223">
            <v>-150.72587298153226</v>
          </cell>
          <cell r="L223">
            <v>-149.87579884191334</v>
          </cell>
          <cell r="M223">
            <v>-135.8888889597298</v>
          </cell>
          <cell r="N223">
            <v>-142.92732328860322</v>
          </cell>
          <cell r="O223">
            <v>-202.38717167393432</v>
          </cell>
        </row>
        <row r="225">
          <cell r="D225">
            <v>-440.85755869038957</v>
          </cell>
          <cell r="E225">
            <v>-539.65369538426853</v>
          </cell>
          <cell r="F225">
            <v>-732.22379095507551</v>
          </cell>
          <cell r="G225">
            <v>-538.45421144300394</v>
          </cell>
          <cell r="H225">
            <v>-428.30179487885459</v>
          </cell>
          <cell r="I225">
            <v>-814.86479439977643</v>
          </cell>
          <cell r="J225">
            <v>-525.40785305146869</v>
          </cell>
          <cell r="K225">
            <v>-715.84985976649091</v>
          </cell>
          <cell r="L225">
            <v>-634.89806757064343</v>
          </cell>
          <cell r="M225">
            <v>-615.02367710229544</v>
          </cell>
          <cell r="N225">
            <v>-697.13003427259321</v>
          </cell>
          <cell r="O225">
            <v>-960.54272046359279</v>
          </cell>
        </row>
        <row r="228">
          <cell r="D228">
            <v>-29.170027381636</v>
          </cell>
          <cell r="E228">
            <v>-21.18745361612903</v>
          </cell>
          <cell r="F228">
            <v>-24.737889650671057</v>
          </cell>
          <cell r="G228">
            <v>-25.384140255491335</v>
          </cell>
          <cell r="H228">
            <v>-21.290418465395721</v>
          </cell>
          <cell r="I228">
            <v>-24.075647198296117</v>
          </cell>
          <cell r="J228">
            <v>-26.894852409046027</v>
          </cell>
          <cell r="K228">
            <v>-24.448846891068531</v>
          </cell>
          <cell r="L228">
            <v>-23.554192475034142</v>
          </cell>
          <cell r="M228">
            <v>-27.014485888710098</v>
          </cell>
          <cell r="N228">
            <v>-25.483146405433015</v>
          </cell>
          <cell r="O228">
            <v>-24.026130424538174</v>
          </cell>
        </row>
        <row r="229">
          <cell r="D229">
            <v>-5.2709534000000007</v>
          </cell>
          <cell r="E229">
            <v>5.3323574000000002</v>
          </cell>
          <cell r="F229">
            <v>-3.6496299999999995E-2</v>
          </cell>
          <cell r="G229">
            <v>-0.12485880000000001</v>
          </cell>
          <cell r="H229">
            <v>-8.8965800000000497E-2</v>
          </cell>
          <cell r="I229">
            <v>-0.17154370000000002</v>
          </cell>
          <cell r="J229">
            <v>-0.18595979999999998</v>
          </cell>
          <cell r="K229">
            <v>-0.18353208641183505</v>
          </cell>
          <cell r="L229">
            <v>-0.78662451312908399</v>
          </cell>
          <cell r="M229">
            <v>-1.1801973059963797</v>
          </cell>
          <cell r="N229">
            <v>-1.1223189541041301</v>
          </cell>
          <cell r="O229">
            <v>-1.2468634930778504</v>
          </cell>
        </row>
        <row r="230"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</row>
        <row r="232">
          <cell r="D232">
            <v>-22.075094200000002</v>
          </cell>
          <cell r="E232">
            <v>-7.3505496000000097</v>
          </cell>
          <cell r="F232">
            <v>-8.5696320999999909</v>
          </cell>
          <cell r="G232">
            <v>-8.6392316999999981</v>
          </cell>
          <cell r="H232">
            <v>-7.4864992000000239</v>
          </cell>
          <cell r="I232">
            <v>-9.9282397999999965</v>
          </cell>
          <cell r="J232">
            <v>-10.2821514</v>
          </cell>
          <cell r="K232">
            <v>-11.610315860518902</v>
          </cell>
          <cell r="L232">
            <v>-10.682916964628516</v>
          </cell>
          <cell r="M232">
            <v>-6.6166432820694459</v>
          </cell>
          <cell r="N232">
            <v>-8.2443960160479772</v>
          </cell>
          <cell r="O232">
            <v>-6.9226136718058839</v>
          </cell>
        </row>
        <row r="233"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</row>
        <row r="234">
          <cell r="D234">
            <v>-10.598455638364001</v>
          </cell>
          <cell r="E234">
            <v>-7.2973572198709657</v>
          </cell>
          <cell r="F234">
            <v>-8.2733199583289405</v>
          </cell>
          <cell r="G234">
            <v>-8.8285599855086669</v>
          </cell>
          <cell r="H234">
            <v>-8.1039181756042815</v>
          </cell>
          <cell r="I234">
            <v>-14.384273848703881</v>
          </cell>
          <cell r="J234">
            <v>-11.676647556953974</v>
          </cell>
          <cell r="K234">
            <v>-13.499997144031687</v>
          </cell>
          <cell r="L234">
            <v>-18.31387221068054</v>
          </cell>
          <cell r="M234">
            <v>-12.620054813911782</v>
          </cell>
          <cell r="N234">
            <v>-13.588403332553053</v>
          </cell>
          <cell r="O234">
            <v>-13.270802358284605</v>
          </cell>
        </row>
        <row r="236">
          <cell r="D236">
            <v>-21.268724286000001</v>
          </cell>
          <cell r="E236">
            <v>-29.590592390000001</v>
          </cell>
          <cell r="F236">
            <v>-30.952623228649806</v>
          </cell>
          <cell r="G236">
            <v>-26.437131634000004</v>
          </cell>
          <cell r="H236">
            <v>-21.682589371999999</v>
          </cell>
          <cell r="I236">
            <v>-32.637590355999997</v>
          </cell>
          <cell r="J236">
            <v>-30.529672399999995</v>
          </cell>
          <cell r="K236">
            <v>-24.721039563509539</v>
          </cell>
          <cell r="L236">
            <v>-19.137830545188653</v>
          </cell>
          <cell r="M236">
            <v>-27.921033840167748</v>
          </cell>
          <cell r="N236">
            <v>-27.974090143205057</v>
          </cell>
          <cell r="O236">
            <v>-21.464222710402915</v>
          </cell>
        </row>
        <row r="237">
          <cell r="D237">
            <v>-1.8589674599999999</v>
          </cell>
          <cell r="E237">
            <v>-0.93709799999999999</v>
          </cell>
          <cell r="F237">
            <v>-1.168674</v>
          </cell>
          <cell r="G237">
            <v>-0.80727700000000002</v>
          </cell>
          <cell r="H237">
            <v>-0.71741299999999997</v>
          </cell>
          <cell r="I237">
            <v>-2.6038790000000001</v>
          </cell>
          <cell r="J237">
            <v>-1.828635</v>
          </cell>
          <cell r="K237">
            <v>-0.80460635920982937</v>
          </cell>
          <cell r="L237">
            <v>-2.232845476328837</v>
          </cell>
          <cell r="M237">
            <v>-1.2003731405630853</v>
          </cell>
          <cell r="N237">
            <v>-1.0695394895257728</v>
          </cell>
          <cell r="O237">
            <v>-3.7722344629345881</v>
          </cell>
        </row>
        <row r="238">
          <cell r="D238">
            <v>-3.0503450540000001</v>
          </cell>
          <cell r="E238">
            <v>-2.3303183100000053</v>
          </cell>
          <cell r="F238">
            <v>-8.3251644713501953</v>
          </cell>
          <cell r="G238">
            <v>-4.4889129659999929</v>
          </cell>
          <cell r="H238">
            <v>-3.9742786279999973</v>
          </cell>
          <cell r="I238">
            <v>-7.9299096440000048</v>
          </cell>
          <cell r="J238">
            <v>-6.6438274819050047</v>
          </cell>
          <cell r="K238">
            <v>-4.0357621242809945</v>
          </cell>
          <cell r="L238">
            <v>-6.4556845804829095</v>
          </cell>
          <cell r="M238">
            <v>-5.1425286819647038</v>
          </cell>
          <cell r="N238">
            <v>-4.8543336569631252</v>
          </cell>
          <cell r="O238">
            <v>-5.9102111473562147</v>
          </cell>
        </row>
        <row r="240">
          <cell r="D240">
            <v>-37.389420916999995</v>
          </cell>
          <cell r="E240">
            <v>-29.881607848000002</v>
          </cell>
          <cell r="F240">
            <v>-39.768504309000001</v>
          </cell>
          <cell r="G240">
            <v>-35.318561353</v>
          </cell>
          <cell r="H240">
            <v>-31.778330893000003</v>
          </cell>
          <cell r="I240">
            <v>-35.268115913999999</v>
          </cell>
          <cell r="J240">
            <v>-35.747137813000002</v>
          </cell>
          <cell r="K240">
            <v>-34.660205132000002</v>
          </cell>
          <cell r="L240">
            <v>-35.357346678000006</v>
          </cell>
          <cell r="M240">
            <v>-32.881812816999997</v>
          </cell>
          <cell r="N240">
            <v>-32.015299488000004</v>
          </cell>
          <cell r="O240">
            <v>-29.894135939999998</v>
          </cell>
        </row>
        <row r="241">
          <cell r="D241">
            <v>2.2106839143449135</v>
          </cell>
          <cell r="E241">
            <v>2.0894766685329129</v>
          </cell>
          <cell r="F241">
            <v>2.2799490982448782</v>
          </cell>
          <cell r="G241">
            <v>2.4858819092374485</v>
          </cell>
          <cell r="H241">
            <v>2.0734510037522687</v>
          </cell>
          <cell r="I241">
            <v>1.9017874999426483</v>
          </cell>
          <cell r="J241">
            <v>-1.7987944870558459</v>
          </cell>
          <cell r="K241">
            <v>0.89759097968346846</v>
          </cell>
          <cell r="L241">
            <v>1.5284342663604438</v>
          </cell>
          <cell r="M241">
            <v>1.5284342716072121</v>
          </cell>
          <cell r="N241">
            <v>1.5284342684476986</v>
          </cell>
          <cell r="O241">
            <v>1.4821315855431809</v>
          </cell>
        </row>
        <row r="247">
          <cell r="D247">
            <v>-0.30846766876945769</v>
          </cell>
          <cell r="E247">
            <v>-1.3543336041457681</v>
          </cell>
          <cell r="F247">
            <v>-2.5510260615006883</v>
          </cell>
          <cell r="G247">
            <v>-0.35512855485592282</v>
          </cell>
          <cell r="H247">
            <v>-0.57385849005973366</v>
          </cell>
          <cell r="I247">
            <v>-0.48887213762819715</v>
          </cell>
          <cell r="J247">
            <v>-0.68222628174997924</v>
          </cell>
          <cell r="K247">
            <v>-1.2847685413451695</v>
          </cell>
          <cell r="L247">
            <v>-2.1422120677619874</v>
          </cell>
          <cell r="M247">
            <v>-2.1581402004738646</v>
          </cell>
          <cell r="N247">
            <v>-1.1511476073611397</v>
          </cell>
          <cell r="O247">
            <v>-0.96228797817290579</v>
          </cell>
        </row>
        <row r="248">
          <cell r="D248">
            <v>8.7524709494160913</v>
          </cell>
          <cell r="E248">
            <v>12.93746193022556</v>
          </cell>
          <cell r="F248">
            <v>18.985245307490537</v>
          </cell>
          <cell r="G248">
            <v>15.721943676126671</v>
          </cell>
          <cell r="H248">
            <v>16.014433256075634</v>
          </cell>
          <cell r="I248">
            <v>31.961442071772428</v>
          </cell>
          <cell r="J248">
            <v>20.137490229001841</v>
          </cell>
          <cell r="K248">
            <v>19.591205527079097</v>
          </cell>
          <cell r="L248">
            <v>18.25744634456457</v>
          </cell>
          <cell r="M248">
            <v>14.124424457282904</v>
          </cell>
          <cell r="N248">
            <v>17.24431347409902</v>
          </cell>
          <cell r="O248">
            <v>25.451685351785841</v>
          </cell>
        </row>
        <row r="250">
          <cell r="D250">
            <v>5.6350322980000023</v>
          </cell>
          <cell r="E250">
            <v>3.683511836000001</v>
          </cell>
          <cell r="F250">
            <v>-4.7641994999999326E-2</v>
          </cell>
          <cell r="G250">
            <v>6.6480954600000022</v>
          </cell>
          <cell r="H250">
            <v>1.9999212620000009</v>
          </cell>
          <cell r="I250">
            <v>5.4430039739999998</v>
          </cell>
          <cell r="J250">
            <v>4.7834469639999995</v>
          </cell>
          <cell r="K250">
            <v>4.5071539389999984</v>
          </cell>
          <cell r="L250">
            <v>4.7443985400000006</v>
          </cell>
          <cell r="M250">
            <v>6.2490244349999973</v>
          </cell>
          <cell r="N250">
            <v>3.9806944980000001</v>
          </cell>
          <cell r="O250">
            <v>7.9492535859999975</v>
          </cell>
        </row>
      </sheetData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 FY"/>
      <sheetName val="Summary Q"/>
      <sheetName val="vs PY MTD"/>
      <sheetName val="vs PY YTD"/>
      <sheetName val="vs FC5+7 MTD"/>
      <sheetName val="vs FC5+7 YTD"/>
      <sheetName val="vs FC7+5(MTD)"/>
      <sheetName val="vs FC7+5(YTD)"/>
      <sheetName val="vs FC7+5Q4"/>
      <sheetName val="Default formula"/>
      <sheetName val="Table"/>
      <sheetName val="scenario"/>
      <sheetName val="vs FC7+5Q3"/>
      <sheetName val="data"/>
      <sheetName val="Default vs PY"/>
    </sheetNames>
    <sheetDataSet>
      <sheetData sheetId="0"/>
      <sheetData sheetId="1"/>
      <sheetData sheetId="2"/>
      <sheetData sheetId="3"/>
      <sheetData sheetId="4">
        <row r="62">
          <cell r="AH62">
            <v>-0.351705347831611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&amp;L OR (JPY)"/>
      <sheetName val="P&amp;L OR (JPY) cos split"/>
      <sheetName val="P&amp;L OR"/>
      <sheetName val="P&amp;L"/>
      <sheetName val="P&amp;L OR (cost split)"/>
      <sheetName val="P&amp;L(AS)"/>
      <sheetName val="Act"/>
      <sheetName val="Act (cost split)"/>
      <sheetName val="HFM"/>
      <sheetName val="HFM (var cost split)"/>
      <sheetName val="CFMI"/>
      <sheetName val="Manual"/>
    </sheetNames>
    <sheetDataSet>
      <sheetData sheetId="0"/>
      <sheetData sheetId="1"/>
      <sheetData sheetId="2"/>
      <sheetData sheetId="3"/>
      <sheetData sheetId="4"/>
      <sheetData sheetId="5"/>
      <sheetData sheetId="6">
        <row r="29">
          <cell r="D29">
            <v>-71.169814299999885</v>
          </cell>
          <cell r="E29">
            <v>-15.481782200000438</v>
          </cell>
          <cell r="F29">
            <v>-40.399729294503963</v>
          </cell>
          <cell r="G29">
            <v>-24.306955227650356</v>
          </cell>
          <cell r="H29">
            <v>-0.79714528679491536</v>
          </cell>
          <cell r="I29">
            <v>-10.880571416663173</v>
          </cell>
          <cell r="J29">
            <v>9.0613392985633681</v>
          </cell>
          <cell r="K29">
            <v>8.7719529825022278</v>
          </cell>
          <cell r="L29">
            <v>102.38832122540656</v>
          </cell>
          <cell r="M29">
            <v>56.477944882371091</v>
          </cell>
          <cell r="N29">
            <v>45.467958636068985</v>
          </cell>
          <cell r="O29">
            <v>70.843006312981899</v>
          </cell>
        </row>
        <row r="206">
          <cell r="D206">
            <v>-1.9535469999999999</v>
          </cell>
          <cell r="E206">
            <v>-5.487479999999989E-2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</row>
        <row r="222">
          <cell r="D222">
            <v>612.22646137803633</v>
          </cell>
          <cell r="E222">
            <v>755.9401488583477</v>
          </cell>
          <cell r="F222">
            <v>1021.0390608490011</v>
          </cell>
          <cell r="G222">
            <v>746.95913716253426</v>
          </cell>
          <cell r="H222">
            <v>683.1779295495553</v>
          </cell>
          <cell r="I222">
            <v>1224.5490826052048</v>
          </cell>
          <cell r="J222">
            <v>1010.876121336172</v>
          </cell>
          <cell r="K222">
            <v>1112.8101541919978</v>
          </cell>
          <cell r="L222">
            <v>1059.2116010541845</v>
          </cell>
          <cell r="M222">
            <v>1044.632340268377</v>
          </cell>
          <cell r="N222">
            <v>1227.7206516251183</v>
          </cell>
          <cell r="O222">
            <v>1519.8017541143893</v>
          </cell>
        </row>
        <row r="223">
          <cell r="D223">
            <v>-85.285283100000001</v>
          </cell>
          <cell r="E223">
            <v>-107.1679133</v>
          </cell>
          <cell r="F223">
            <v>-164.20759796882641</v>
          </cell>
          <cell r="G223">
            <v>-101.08180005556804</v>
          </cell>
          <cell r="H223">
            <v>-91.171626066174454</v>
          </cell>
          <cell r="I223">
            <v>-180.5076531817171</v>
          </cell>
          <cell r="J223">
            <v>-137.13375238804804</v>
          </cell>
          <cell r="K223">
            <v>-156.06524108065125</v>
          </cell>
          <cell r="L223">
            <v>-147.6808496137696</v>
          </cell>
          <cell r="M223">
            <v>-138.18967518036217</v>
          </cell>
          <cell r="N223">
            <v>-167.86348977568605</v>
          </cell>
          <cell r="O223">
            <v>-224.04938210358443</v>
          </cell>
        </row>
        <row r="225">
          <cell r="D225" t="e">
            <v>#VALUE!</v>
          </cell>
          <cell r="E225" t="e">
            <v>#VALUE!</v>
          </cell>
          <cell r="F225" t="e">
            <v>#VALUE!</v>
          </cell>
          <cell r="G225" t="e">
            <v>#VALUE!</v>
          </cell>
          <cell r="H225" t="e">
            <v>#VALUE!</v>
          </cell>
          <cell r="I225" t="e">
            <v>#VALUE!</v>
          </cell>
          <cell r="J225" t="e">
            <v>#VALUE!</v>
          </cell>
          <cell r="K225" t="e">
            <v>#VALUE!</v>
          </cell>
          <cell r="L225" t="e">
            <v>#VALUE!</v>
          </cell>
          <cell r="M225" t="e">
            <v>#VALUE!</v>
          </cell>
          <cell r="N225" t="e">
            <v>#VALUE!</v>
          </cell>
          <cell r="O225" t="e">
            <v>#VALUE!</v>
          </cell>
        </row>
        <row r="228">
          <cell r="D228">
            <v>-29.170027381636</v>
          </cell>
          <cell r="E228">
            <v>-21.18745361612903</v>
          </cell>
          <cell r="F228">
            <v>-25.668476920984318</v>
          </cell>
          <cell r="G228">
            <v>-26.274561749635822</v>
          </cell>
          <cell r="H228">
            <v>-22.603068863568339</v>
          </cell>
          <cell r="I228">
            <v>-29.007299938335834</v>
          </cell>
          <cell r="J228">
            <v>-26.637389633966851</v>
          </cell>
          <cell r="K228">
            <v>-30.622318482083863</v>
          </cell>
          <cell r="L228">
            <v>-22.293840188033094</v>
          </cell>
          <cell r="M228">
            <v>-25.136963017400159</v>
          </cell>
          <cell r="N228">
            <v>-25.445903540629683</v>
          </cell>
          <cell r="O228">
            <v>-24.975037129757169</v>
          </cell>
        </row>
        <row r="229">
          <cell r="D229">
            <v>-5.2709534000000007</v>
          </cell>
          <cell r="E229">
            <v>5.3323574000000002</v>
          </cell>
          <cell r="F229">
            <v>-4.0781608908256002E-2</v>
          </cell>
          <cell r="G229">
            <v>-0.1340718378600885</v>
          </cell>
          <cell r="H229">
            <v>-0.11818103340596001</v>
          </cell>
          <cell r="I229">
            <v>-0.19358045790366399</v>
          </cell>
          <cell r="J229">
            <v>-0.22088936569838802</v>
          </cell>
          <cell r="K229">
            <v>-0.23625287126604802</v>
          </cell>
          <cell r="L229">
            <v>-1.4065531465263352</v>
          </cell>
          <cell r="M229">
            <v>-2.0189061095458101</v>
          </cell>
          <cell r="N229">
            <v>-2.0293242128863995</v>
          </cell>
          <cell r="O229">
            <v>-2.2421589808118605</v>
          </cell>
        </row>
        <row r="230"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</row>
        <row r="232">
          <cell r="D232">
            <v>-22.075094200000002</v>
          </cell>
          <cell r="E232">
            <v>-7.3505496000000097</v>
          </cell>
          <cell r="F232">
            <v>-8.8222714633050021</v>
          </cell>
          <cell r="G232">
            <v>-9.2180292459112021</v>
          </cell>
          <cell r="H232">
            <v>-6.7244247802645987</v>
          </cell>
          <cell r="I232">
            <v>-9.818318339543282</v>
          </cell>
          <cell r="J232">
            <v>-9.9054457908974296</v>
          </cell>
          <cell r="K232">
            <v>-9.3815547964441652</v>
          </cell>
          <cell r="L232">
            <v>-10.466938157658529</v>
          </cell>
          <cell r="M232">
            <v>-8.1156673102168853</v>
          </cell>
          <cell r="N232">
            <v>-8.9991257791385877</v>
          </cell>
          <cell r="O232">
            <v>-12.950082232073516</v>
          </cell>
        </row>
        <row r="233"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</row>
        <row r="234">
          <cell r="D234">
            <v>-10.598455638364001</v>
          </cell>
          <cell r="E234">
            <v>-7.2973572198709657</v>
          </cell>
          <cell r="F234">
            <v>-9.0471759234408609</v>
          </cell>
          <cell r="G234">
            <v>-9.600807399140022</v>
          </cell>
          <cell r="H234">
            <v>-10.814943150141447</v>
          </cell>
          <cell r="I234">
            <v>-12.529660725340696</v>
          </cell>
          <cell r="J234">
            <v>-12.070533593908293</v>
          </cell>
          <cell r="K234">
            <v>-17.89832175125489</v>
          </cell>
          <cell r="L234">
            <v>-12.885590341661768</v>
          </cell>
          <cell r="M234">
            <v>-13.123289155730117</v>
          </cell>
          <cell r="N234">
            <v>-14.914682200229992</v>
          </cell>
          <cell r="O234">
            <v>-14.008072907293929</v>
          </cell>
        </row>
        <row r="236">
          <cell r="D236">
            <v>-21.268724286000001</v>
          </cell>
          <cell r="E236">
            <v>-29.590592390000001</v>
          </cell>
          <cell r="F236">
            <v>-30.072816938163168</v>
          </cell>
          <cell r="G236">
            <v>-26.450247197109519</v>
          </cell>
          <cell r="H236">
            <v>-21.273570071986832</v>
          </cell>
          <cell r="I236">
            <v>-37.878353316793778</v>
          </cell>
          <cell r="J236">
            <v>-35.220603835045225</v>
          </cell>
          <cell r="K236">
            <v>-27.291479081740938</v>
          </cell>
          <cell r="L236">
            <v>-18.798048180914236</v>
          </cell>
          <cell r="M236">
            <v>-26.875596955986218</v>
          </cell>
          <cell r="N236">
            <v>-22.979419342522469</v>
          </cell>
          <cell r="O236">
            <v>-22.676494680157003</v>
          </cell>
        </row>
        <row r="237">
          <cell r="D237">
            <v>-1.8589674599999999</v>
          </cell>
          <cell r="E237">
            <v>-0.93709799999999999</v>
          </cell>
          <cell r="F237">
            <v>-2.0926028680536786</v>
          </cell>
          <cell r="G237">
            <v>-0.78345014061600937</v>
          </cell>
          <cell r="H237">
            <v>-0.94676948094432345</v>
          </cell>
          <cell r="I237">
            <v>-2.7576919930367776</v>
          </cell>
          <cell r="J237">
            <v>-1.1351351616081578</v>
          </cell>
          <cell r="K237">
            <v>-1.935993576995932</v>
          </cell>
          <cell r="L237">
            <v>-2.6409610893208137</v>
          </cell>
          <cell r="M237">
            <v>-0.91272317506350342</v>
          </cell>
          <cell r="N237">
            <v>-0.97785548773626207</v>
          </cell>
          <cell r="O237">
            <v>-3.8377921869403915</v>
          </cell>
        </row>
        <row r="238">
          <cell r="D238">
            <v>-3.0503450540000001</v>
          </cell>
          <cell r="E238">
            <v>-2.3303183100000053</v>
          </cell>
          <cell r="F238">
            <v>-9.6788611707831649</v>
          </cell>
          <cell r="G238">
            <v>-5.7443580502744798</v>
          </cell>
          <cell r="H238">
            <v>-5.2547237980687838</v>
          </cell>
          <cell r="I238">
            <v>-7.3790617011694</v>
          </cell>
          <cell r="J238">
            <v>-6.2041835693466147</v>
          </cell>
          <cell r="K238">
            <v>-6.0279407602631228</v>
          </cell>
          <cell r="L238">
            <v>-6.7391849147649809</v>
          </cell>
          <cell r="M238">
            <v>-6.1666228399502447</v>
          </cell>
          <cell r="N238">
            <v>-5.7965034907412711</v>
          </cell>
          <cell r="O238">
            <v>-7.0516095929026248</v>
          </cell>
        </row>
        <row r="240">
          <cell r="D240">
            <v>-37.389420916999995</v>
          </cell>
          <cell r="E240">
            <v>-29.881607848000002</v>
          </cell>
          <cell r="F240">
            <v>-37.745484315999995</v>
          </cell>
          <cell r="G240">
            <v>-30.635587975</v>
          </cell>
          <cell r="H240">
            <v>-29.672259560999997</v>
          </cell>
          <cell r="I240">
            <v>-32.416590288999998</v>
          </cell>
          <cell r="J240">
            <v>-31.571825828000001</v>
          </cell>
          <cell r="K240">
            <v>-31.058486646999999</v>
          </cell>
          <cell r="L240">
            <v>-31.776197785000001</v>
          </cell>
          <cell r="M240">
            <v>-27.899405575999999</v>
          </cell>
          <cell r="N240">
            <v>-26.567381841000003</v>
          </cell>
          <cell r="O240">
            <v>-27.605934242</v>
          </cell>
        </row>
        <row r="241">
          <cell r="D241">
            <v>2.2106839143448709</v>
          </cell>
          <cell r="E241">
            <v>2.0894766685329129</v>
          </cell>
          <cell r="F241">
            <v>1.648444068826953</v>
          </cell>
          <cell r="G241">
            <v>1.6484440731049816</v>
          </cell>
          <cell r="H241">
            <v>1.6484440701938419</v>
          </cell>
          <cell r="I241">
            <v>1.6484440747256941</v>
          </cell>
          <cell r="J241">
            <v>1.6484440666261215</v>
          </cell>
          <cell r="K241">
            <v>1.6484440676095695</v>
          </cell>
          <cell r="L241">
            <v>1.6484440686026489</v>
          </cell>
          <cell r="M241">
            <v>1.6484440717881861</v>
          </cell>
          <cell r="N241">
            <v>1.6484440683192347</v>
          </cell>
          <cell r="O241">
            <v>1.6021413844244443</v>
          </cell>
        </row>
        <row r="248">
          <cell r="D248">
            <v>-0.30846766876945769</v>
          </cell>
          <cell r="E248">
            <v>-1.3543336041457685</v>
          </cell>
          <cell r="F248">
            <v>-3.286261146773962</v>
          </cell>
          <cell r="G248">
            <v>-1.710916769298739</v>
          </cell>
          <cell r="H248">
            <v>-1.95991471819673</v>
          </cell>
          <cell r="I248">
            <v>-2.3703674457529891</v>
          </cell>
          <cell r="J248">
            <v>-1.0403817976594922</v>
          </cell>
          <cell r="K248">
            <v>-0.94298507668375364</v>
          </cell>
          <cell r="L248">
            <v>-2.1388980633159189</v>
          </cell>
          <cell r="M248">
            <v>-1.9396369980707124</v>
          </cell>
          <cell r="N248">
            <v>-1.821422300297197</v>
          </cell>
          <cell r="O248">
            <v>-1.7844201833477698</v>
          </cell>
        </row>
        <row r="249">
          <cell r="D249" t="e">
            <v>#VALUE!</v>
          </cell>
          <cell r="E249" t="e">
            <v>#VALUE!</v>
          </cell>
          <cell r="F249" t="e">
            <v>#VALUE!</v>
          </cell>
          <cell r="G249" t="e">
            <v>#VALUE!</v>
          </cell>
          <cell r="H249" t="e">
            <v>#VALUE!</v>
          </cell>
          <cell r="I249" t="e">
            <v>#VALUE!</v>
          </cell>
          <cell r="J249" t="e">
            <v>#VALUE!</v>
          </cell>
          <cell r="K249" t="e">
            <v>#VALUE!</v>
          </cell>
          <cell r="L249" t="e">
            <v>#VALUE!</v>
          </cell>
          <cell r="M249" t="e">
            <v>#VALUE!</v>
          </cell>
          <cell r="N249" t="e">
            <v>#VALUE!</v>
          </cell>
          <cell r="O249" t="e">
            <v>#VALUE!</v>
          </cell>
        </row>
        <row r="251">
          <cell r="D251">
            <v>5.6350322980000023</v>
          </cell>
          <cell r="E251">
            <v>3.683511836000001</v>
          </cell>
          <cell r="F251">
            <v>-2.1730863659999997</v>
          </cell>
          <cell r="G251">
            <v>2.2617562750000033</v>
          </cell>
          <cell r="H251">
            <v>-0.14135901900000292</v>
          </cell>
          <cell r="I251">
            <v>5.7277632759999975</v>
          </cell>
          <cell r="J251">
            <v>5.8367191989999991</v>
          </cell>
          <cell r="K251">
            <v>8.3731578110000022</v>
          </cell>
          <cell r="L251">
            <v>8.357542672000001</v>
          </cell>
          <cell r="M251">
            <v>7.3968599700000013</v>
          </cell>
          <cell r="N251">
            <v>4.8351443089999986</v>
          </cell>
          <cell r="O251">
            <v>8.416263285000003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OP"/>
      <sheetName val="Summary"/>
      <sheetName val="P&amp;L Actual"/>
      <sheetName val="Presented"/>
      <sheetName val="Friday"/>
      <sheetName val="Before G&amp;A upd"/>
      <sheetName val="ROP NE (Tagetik)"/>
      <sheetName val="ROP East (Tagetik)"/>
      <sheetName val="Presented East"/>
      <sheetName val="MZ conso TGK"/>
      <sheetName val="OCS details"/>
      <sheetName val="P&amp;L BP"/>
      <sheetName val="P&amp;L FCT"/>
      <sheetName val="P&amp;L LY"/>
      <sheetName val="P&amp;L vs BP"/>
      <sheetName val="MCPP NE (Tagetik)"/>
      <sheetName val="MCPP East (Tagetik)"/>
      <sheetName val="New KPI Actual"/>
      <sheetName val="New KPI BP"/>
      <sheetName val="New KPI FCT"/>
      <sheetName val="New KPI LY"/>
      <sheetName val="MCPP BP @BP"/>
      <sheetName val="MCPP LY @ BP"/>
      <sheetName val="Nissan Europe (MCPP)"/>
      <sheetName val="East (MCPP)"/>
      <sheetName val="SCOS reclass"/>
      <sheetName val="FX vs BP"/>
      <sheetName val="FX vs FC"/>
      <sheetName val="FX vs LY"/>
      <sheetName val="New KPI vs BP"/>
      <sheetName val="SCOS reclass old"/>
      <sheetName val="Relief"/>
      <sheetName val="Reclass"/>
      <sheetName val="HQ Tagetik"/>
      <sheetName val="Others"/>
      <sheetName val="HFM Apr"/>
      <sheetName val="HFM May"/>
      <sheetName val="HFM Jun"/>
      <sheetName val="HFM Jul"/>
      <sheetName val="HFM Aug"/>
      <sheetName val="HFM Sep"/>
      <sheetName val="HFM Oct"/>
      <sheetName val="HFM Nov"/>
      <sheetName val="HFM Dec"/>
      <sheetName val="HFM Jan"/>
      <sheetName val="HFM Feb"/>
      <sheetName val="HFM Mar"/>
      <sheetName val="Sheet1"/>
    </sheetNames>
    <sheetDataSet>
      <sheetData sheetId="0"/>
      <sheetData sheetId="1"/>
      <sheetData sheetId="2">
        <row r="5">
          <cell r="H5">
            <v>20429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5">
          <cell r="F5">
            <v>10.599852740999999</v>
          </cell>
        </row>
        <row r="45">
          <cell r="F45">
            <v>2.2546439973448797</v>
          </cell>
          <cell r="G45">
            <v>2.2359900205328698</v>
          </cell>
          <cell r="H45">
            <v>1.6530742662997739</v>
          </cell>
          <cell r="I45">
            <v>1.6530742662997739</v>
          </cell>
          <cell r="J45">
            <v>1.6530742662997739</v>
          </cell>
          <cell r="K45">
            <v>1.6530742662997739</v>
          </cell>
          <cell r="L45">
            <v>1.6530742662997739</v>
          </cell>
          <cell r="M45">
            <v>1.6530742662997739</v>
          </cell>
          <cell r="N45">
            <v>1.6530742662997739</v>
          </cell>
          <cell r="O45">
            <v>1.6530742662997739</v>
          </cell>
          <cell r="P45">
            <v>1.6530742662997739</v>
          </cell>
          <cell r="Q45">
            <v>1.6530742662997739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>
        <row r="239">
          <cell r="L239">
            <v>-128.62689810547965</v>
          </cell>
        </row>
      </sheetData>
      <sheetData sheetId="30"/>
      <sheetData sheetId="31">
        <row r="80">
          <cell r="E80"/>
          <cell r="F80"/>
          <cell r="G80"/>
          <cell r="H80"/>
          <cell r="I80"/>
          <cell r="J80"/>
          <cell r="K80"/>
          <cell r="L80"/>
          <cell r="M80"/>
          <cell r="N80"/>
          <cell r="O80"/>
          <cell r="P80"/>
        </row>
        <row r="81">
          <cell r="E81"/>
          <cell r="F81"/>
          <cell r="G81"/>
          <cell r="H81"/>
          <cell r="I81"/>
          <cell r="J81"/>
          <cell r="K81"/>
          <cell r="L81"/>
          <cell r="M81"/>
          <cell r="N81"/>
          <cell r="O81"/>
          <cell r="P81"/>
        </row>
        <row r="82">
          <cell r="E82"/>
          <cell r="F82"/>
          <cell r="G82"/>
          <cell r="H82"/>
          <cell r="I82"/>
          <cell r="J82"/>
          <cell r="K82"/>
          <cell r="L82"/>
          <cell r="M82"/>
          <cell r="N82"/>
          <cell r="O82"/>
          <cell r="P82"/>
        </row>
        <row r="83">
          <cell r="E83"/>
          <cell r="F83"/>
          <cell r="G83"/>
          <cell r="H83"/>
          <cell r="I83"/>
          <cell r="J83"/>
          <cell r="K83"/>
          <cell r="L83"/>
          <cell r="M83"/>
          <cell r="N83"/>
          <cell r="O83"/>
          <cell r="P83"/>
        </row>
        <row r="84">
          <cell r="E84"/>
          <cell r="F84"/>
          <cell r="G84"/>
          <cell r="H84"/>
          <cell r="I84"/>
          <cell r="J84"/>
          <cell r="K84"/>
          <cell r="L84"/>
          <cell r="M84"/>
          <cell r="N84"/>
          <cell r="O84"/>
          <cell r="P84"/>
        </row>
        <row r="87">
          <cell r="E87">
            <v>-2.2744157</v>
          </cell>
          <cell r="F87">
            <v>-2.6542930999999998</v>
          </cell>
          <cell r="G87">
            <v>-4.0104496000000003</v>
          </cell>
          <cell r="H87">
            <v>-2.4572500000000002</v>
          </cell>
          <cell r="I87">
            <v>-2.2584547000000001</v>
          </cell>
          <cell r="J87">
            <v>-4.6160198000000001</v>
          </cell>
          <cell r="K87">
            <v>-3.9315077</v>
          </cell>
          <cell r="L87">
            <v>-4.3019805</v>
          </cell>
          <cell r="M87">
            <v>-4.0755682000000002</v>
          </cell>
          <cell r="N87">
            <v>-4.4592616499999993</v>
          </cell>
          <cell r="O87">
            <v>-5.2592405499999995</v>
          </cell>
          <cell r="P87">
            <v>-6.9579823500000009</v>
          </cell>
        </row>
        <row r="95">
          <cell r="E95"/>
          <cell r="F95"/>
          <cell r="G95"/>
          <cell r="H95"/>
          <cell r="I95"/>
          <cell r="J95"/>
          <cell r="K95"/>
          <cell r="L95"/>
          <cell r="M95"/>
          <cell r="N95"/>
          <cell r="O95"/>
          <cell r="P95"/>
        </row>
        <row r="96">
          <cell r="E96"/>
          <cell r="F96"/>
          <cell r="G96"/>
          <cell r="H96"/>
          <cell r="I96"/>
          <cell r="J96"/>
          <cell r="K96"/>
          <cell r="L96"/>
          <cell r="M96"/>
          <cell r="N96"/>
          <cell r="O96"/>
          <cell r="P96"/>
        </row>
        <row r="97">
          <cell r="E97"/>
          <cell r="F97"/>
          <cell r="G97"/>
          <cell r="H97"/>
          <cell r="I97"/>
          <cell r="J97"/>
          <cell r="K97"/>
          <cell r="L97"/>
          <cell r="M97"/>
          <cell r="N97"/>
          <cell r="O97"/>
          <cell r="P97"/>
        </row>
      </sheetData>
      <sheetData sheetId="32"/>
      <sheetData sheetId="33"/>
      <sheetData sheetId="34">
        <row r="9">
          <cell r="C9">
            <v>-12907.326624216572</v>
          </cell>
        </row>
      </sheetData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 month"/>
      <sheetName val="Summary YTD"/>
      <sheetName val=" VA vs PM"/>
      <sheetName val="MTD VA vs LY_old"/>
      <sheetName val="YTD VA vs LY_old"/>
      <sheetName val="MTD VA vs LY"/>
      <sheetName val="YTD VA LY"/>
      <sheetName val="MTD VA vs BP"/>
      <sheetName val="YTD VA vs BP"/>
      <sheetName val="QTD VA vs BP"/>
      <sheetName val="MTD VA vs 5+7"/>
      <sheetName val="YTD VA vs 5+7"/>
      <sheetName val="MTD VA vs OL (1+2)"/>
      <sheetName val="QTD VA vs OL"/>
      <sheetName val="QTD VA vs 5+7"/>
      <sheetName val="MTD VA vs LY CMPI-FC"/>
      <sheetName val="YTD VA vs LY CMPI-FC"/>
      <sheetName val="QTD VA vs LY CMPI_FC"/>
      <sheetName val="MTD VA vs 7+5"/>
      <sheetName val="YTD VA vs 7+5"/>
      <sheetName val="Act"/>
      <sheetName val="BP"/>
      <sheetName val="FC5+7"/>
      <sheetName val="FC7+5"/>
      <sheetName val="OL"/>
      <sheetName val="LY"/>
      <sheetName val="mapping"/>
      <sheetName val="Summary by Quarter"/>
    </sheetNames>
    <sheetDataSet>
      <sheetData sheetId="0">
        <row r="2">
          <cell r="E2" t="str">
            <v>Feb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2">
          <cell r="A2" t="str">
            <v>Apr</v>
          </cell>
          <cell r="B2" t="str">
            <v>Q1</v>
          </cell>
          <cell r="C2" t="str">
            <v>M01</v>
          </cell>
        </row>
        <row r="3">
          <cell r="A3" t="str">
            <v>May</v>
          </cell>
          <cell r="B3" t="str">
            <v>Q1</v>
          </cell>
          <cell r="C3" t="str">
            <v>M02</v>
          </cell>
        </row>
        <row r="4">
          <cell r="A4" t="str">
            <v>Jun</v>
          </cell>
          <cell r="B4" t="str">
            <v>Q1</v>
          </cell>
          <cell r="C4" t="str">
            <v>M03</v>
          </cell>
        </row>
        <row r="5">
          <cell r="A5" t="str">
            <v>Jul</v>
          </cell>
          <cell r="B5" t="str">
            <v>Q2</v>
          </cell>
          <cell r="C5" t="str">
            <v>M04</v>
          </cell>
        </row>
        <row r="6">
          <cell r="A6" t="str">
            <v>Aug</v>
          </cell>
          <cell r="B6" t="str">
            <v>Q2</v>
          </cell>
          <cell r="C6" t="str">
            <v>M05</v>
          </cell>
        </row>
        <row r="7">
          <cell r="A7" t="str">
            <v>Sep</v>
          </cell>
          <cell r="B7" t="str">
            <v>Q2</v>
          </cell>
          <cell r="C7" t="str">
            <v>M06</v>
          </cell>
        </row>
        <row r="8">
          <cell r="A8" t="str">
            <v>Oct</v>
          </cell>
          <cell r="B8" t="str">
            <v>Q3</v>
          </cell>
          <cell r="C8" t="str">
            <v>M07</v>
          </cell>
        </row>
        <row r="9">
          <cell r="A9" t="str">
            <v>Nov</v>
          </cell>
          <cell r="B9" t="str">
            <v>Q3</v>
          </cell>
          <cell r="C9" t="str">
            <v>M08</v>
          </cell>
        </row>
        <row r="10">
          <cell r="A10" t="str">
            <v>Dec</v>
          </cell>
          <cell r="B10" t="str">
            <v>Q3</v>
          </cell>
          <cell r="C10" t="str">
            <v>M09</v>
          </cell>
        </row>
        <row r="11">
          <cell r="A11" t="str">
            <v>Jan</v>
          </cell>
          <cell r="B11" t="str">
            <v>Q4</v>
          </cell>
          <cell r="C11" t="str">
            <v>M10</v>
          </cell>
        </row>
        <row r="12">
          <cell r="A12" t="str">
            <v>Feb</v>
          </cell>
          <cell r="B12" t="str">
            <v>Q4</v>
          </cell>
          <cell r="C12" t="str">
            <v>M11</v>
          </cell>
        </row>
        <row r="13">
          <cell r="A13" t="str">
            <v>Mar</v>
          </cell>
          <cell r="B13" t="str">
            <v>Q4</v>
          </cell>
          <cell r="C13" t="str">
            <v>M12</v>
          </cell>
        </row>
        <row r="15">
          <cell r="A15" t="str">
            <v>YTD</v>
          </cell>
          <cell r="B15" t="str">
            <v>April</v>
          </cell>
          <cell r="C15" t="str">
            <v>Apr</v>
          </cell>
          <cell r="D15">
            <v>1</v>
          </cell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</row>
        <row r="16">
          <cell r="A16" t="str">
            <v>YTD</v>
          </cell>
          <cell r="B16" t="str">
            <v>May</v>
          </cell>
          <cell r="C16" t="str">
            <v>May</v>
          </cell>
          <cell r="D16">
            <v>1</v>
          </cell>
          <cell r="E16">
            <v>1</v>
          </cell>
          <cell r="O16"/>
        </row>
        <row r="17">
          <cell r="A17" t="str">
            <v>YTD</v>
          </cell>
          <cell r="B17" t="str">
            <v>June</v>
          </cell>
          <cell r="C17" t="str">
            <v>Jun</v>
          </cell>
          <cell r="D17">
            <v>1</v>
          </cell>
          <cell r="E17">
            <v>1</v>
          </cell>
          <cell r="F17">
            <v>1</v>
          </cell>
          <cell r="O17"/>
        </row>
        <row r="18">
          <cell r="A18" t="str">
            <v>YTD</v>
          </cell>
          <cell r="B18" t="str">
            <v>July</v>
          </cell>
          <cell r="C18" t="str">
            <v>Jul</v>
          </cell>
          <cell r="D18">
            <v>1</v>
          </cell>
          <cell r="E18">
            <v>1</v>
          </cell>
          <cell r="F18">
            <v>1</v>
          </cell>
          <cell r="G18">
            <v>1</v>
          </cell>
          <cell r="O18"/>
        </row>
        <row r="19">
          <cell r="A19" t="str">
            <v>YTD</v>
          </cell>
          <cell r="B19" t="str">
            <v>August</v>
          </cell>
          <cell r="C19" t="str">
            <v>Aug</v>
          </cell>
          <cell r="D19">
            <v>1</v>
          </cell>
          <cell r="E19">
            <v>1</v>
          </cell>
          <cell r="F19">
            <v>1</v>
          </cell>
          <cell r="G19">
            <v>1</v>
          </cell>
          <cell r="H19">
            <v>1</v>
          </cell>
          <cell r="O19"/>
        </row>
        <row r="20">
          <cell r="A20" t="str">
            <v>YTD</v>
          </cell>
          <cell r="B20" t="str">
            <v>September</v>
          </cell>
          <cell r="C20" t="str">
            <v>Sep</v>
          </cell>
          <cell r="D20">
            <v>1</v>
          </cell>
          <cell r="E20">
            <v>1</v>
          </cell>
          <cell r="F20">
            <v>1</v>
          </cell>
          <cell r="G20">
            <v>1</v>
          </cell>
          <cell r="H20">
            <v>1</v>
          </cell>
          <cell r="I20">
            <v>1</v>
          </cell>
          <cell r="O20"/>
        </row>
        <row r="21">
          <cell r="A21" t="str">
            <v>YTD</v>
          </cell>
          <cell r="B21" t="str">
            <v>October</v>
          </cell>
          <cell r="C21" t="str">
            <v>Oct</v>
          </cell>
          <cell r="D21">
            <v>1</v>
          </cell>
          <cell r="E21">
            <v>1</v>
          </cell>
          <cell r="F21">
            <v>1</v>
          </cell>
          <cell r="G21">
            <v>1</v>
          </cell>
          <cell r="H21">
            <v>1</v>
          </cell>
          <cell r="I21">
            <v>1</v>
          </cell>
          <cell r="J21">
            <v>1</v>
          </cell>
          <cell r="O21"/>
        </row>
        <row r="22">
          <cell r="A22" t="str">
            <v>YTD</v>
          </cell>
          <cell r="B22" t="str">
            <v>November</v>
          </cell>
          <cell r="C22" t="str">
            <v>Nov</v>
          </cell>
          <cell r="D22">
            <v>1</v>
          </cell>
          <cell r="E22">
            <v>1</v>
          </cell>
          <cell r="F22">
            <v>1</v>
          </cell>
          <cell r="G22">
            <v>1</v>
          </cell>
          <cell r="H22">
            <v>1</v>
          </cell>
          <cell r="I22">
            <v>1</v>
          </cell>
          <cell r="J22">
            <v>1</v>
          </cell>
          <cell r="K22">
            <v>1</v>
          </cell>
          <cell r="O22"/>
        </row>
        <row r="23">
          <cell r="A23" t="str">
            <v>YTD</v>
          </cell>
          <cell r="B23" t="str">
            <v>December</v>
          </cell>
          <cell r="C23" t="str">
            <v>Dec</v>
          </cell>
          <cell r="D23">
            <v>1</v>
          </cell>
          <cell r="E23">
            <v>1</v>
          </cell>
          <cell r="F23">
            <v>1</v>
          </cell>
          <cell r="G23">
            <v>1</v>
          </cell>
          <cell r="H23">
            <v>1</v>
          </cell>
          <cell r="I23">
            <v>1</v>
          </cell>
          <cell r="J23">
            <v>1</v>
          </cell>
          <cell r="K23">
            <v>1</v>
          </cell>
          <cell r="L23">
            <v>1</v>
          </cell>
          <cell r="O23"/>
        </row>
        <row r="24">
          <cell r="A24" t="str">
            <v>YTD</v>
          </cell>
          <cell r="B24" t="str">
            <v>January</v>
          </cell>
          <cell r="C24" t="str">
            <v>Jan</v>
          </cell>
          <cell r="D24">
            <v>1</v>
          </cell>
          <cell r="E24">
            <v>1</v>
          </cell>
          <cell r="F24">
            <v>1</v>
          </cell>
          <cell r="G24">
            <v>1</v>
          </cell>
          <cell r="H24">
            <v>1</v>
          </cell>
          <cell r="I24">
            <v>1</v>
          </cell>
          <cell r="J24">
            <v>1</v>
          </cell>
          <cell r="K24">
            <v>1</v>
          </cell>
          <cell r="L24">
            <v>1</v>
          </cell>
          <cell r="M24">
            <v>1</v>
          </cell>
          <cell r="O24"/>
        </row>
        <row r="25">
          <cell r="A25" t="str">
            <v>YTD</v>
          </cell>
          <cell r="B25" t="str">
            <v>February</v>
          </cell>
          <cell r="C25" t="str">
            <v>Feb</v>
          </cell>
          <cell r="D25">
            <v>1</v>
          </cell>
          <cell r="E25">
            <v>1</v>
          </cell>
          <cell r="F25">
            <v>1</v>
          </cell>
          <cell r="G25">
            <v>1</v>
          </cell>
          <cell r="H25">
            <v>1</v>
          </cell>
          <cell r="I25">
            <v>1</v>
          </cell>
          <cell r="J25">
            <v>1</v>
          </cell>
          <cell r="K25">
            <v>1</v>
          </cell>
          <cell r="L25">
            <v>1</v>
          </cell>
          <cell r="M25">
            <v>1</v>
          </cell>
          <cell r="N25">
            <v>1</v>
          </cell>
          <cell r="O25"/>
        </row>
        <row r="26">
          <cell r="A26" t="str">
            <v>YTD</v>
          </cell>
          <cell r="B26" t="str">
            <v>March</v>
          </cell>
          <cell r="C26" t="str">
            <v>Mar</v>
          </cell>
          <cell r="D26">
            <v>1</v>
          </cell>
          <cell r="E26">
            <v>1</v>
          </cell>
          <cell r="F26">
            <v>1</v>
          </cell>
          <cell r="G26">
            <v>1</v>
          </cell>
          <cell r="H26">
            <v>1</v>
          </cell>
          <cell r="I26">
            <v>1</v>
          </cell>
          <cell r="J26">
            <v>1</v>
          </cell>
          <cell r="K26">
            <v>1</v>
          </cell>
          <cell r="L26">
            <v>1</v>
          </cell>
          <cell r="M26">
            <v>1</v>
          </cell>
          <cell r="N26">
            <v>1</v>
          </cell>
          <cell r="O26">
            <v>1</v>
          </cell>
        </row>
        <row r="28">
          <cell r="A28" t="str">
            <v>MTD</v>
          </cell>
          <cell r="B28" t="str">
            <v>April</v>
          </cell>
          <cell r="C28" t="str">
            <v>Apr</v>
          </cell>
          <cell r="D28">
            <v>1</v>
          </cell>
          <cell r="E28"/>
          <cell r="F28"/>
          <cell r="G28"/>
          <cell r="H28"/>
          <cell r="I28"/>
          <cell r="J28"/>
          <cell r="K28"/>
          <cell r="L28"/>
          <cell r="M28"/>
          <cell r="N28"/>
          <cell r="O28"/>
        </row>
        <row r="29">
          <cell r="A29" t="str">
            <v>MTD</v>
          </cell>
          <cell r="B29" t="str">
            <v>May</v>
          </cell>
          <cell r="C29" t="str">
            <v>May</v>
          </cell>
          <cell r="D29">
            <v>1</v>
          </cell>
          <cell r="E29">
            <v>1</v>
          </cell>
          <cell r="O29"/>
        </row>
        <row r="30">
          <cell r="A30" t="str">
            <v>MTD</v>
          </cell>
          <cell r="B30" t="str">
            <v>June</v>
          </cell>
          <cell r="C30" t="str">
            <v>Jun</v>
          </cell>
          <cell r="D30">
            <v>1</v>
          </cell>
          <cell r="E30">
            <v>1</v>
          </cell>
          <cell r="F30">
            <v>1</v>
          </cell>
          <cell r="O30"/>
        </row>
        <row r="31">
          <cell r="A31" t="str">
            <v>MTD</v>
          </cell>
          <cell r="B31" t="str">
            <v>July</v>
          </cell>
          <cell r="C31" t="str">
            <v>Jul</v>
          </cell>
          <cell r="G31">
            <v>1</v>
          </cell>
          <cell r="O31"/>
        </row>
        <row r="32">
          <cell r="A32" t="str">
            <v>MTD</v>
          </cell>
          <cell r="B32" t="str">
            <v>August</v>
          </cell>
          <cell r="C32" t="str">
            <v>Aug</v>
          </cell>
          <cell r="G32">
            <v>1</v>
          </cell>
          <cell r="H32">
            <v>1</v>
          </cell>
          <cell r="O32"/>
        </row>
        <row r="33">
          <cell r="A33" t="str">
            <v>MTD</v>
          </cell>
          <cell r="B33" t="str">
            <v>September</v>
          </cell>
          <cell r="C33" t="str">
            <v>Sep</v>
          </cell>
          <cell r="G33">
            <v>1</v>
          </cell>
          <cell r="H33">
            <v>1</v>
          </cell>
          <cell r="I33">
            <v>1</v>
          </cell>
          <cell r="O33"/>
        </row>
        <row r="34">
          <cell r="A34" t="str">
            <v>MTD</v>
          </cell>
          <cell r="B34" t="str">
            <v>October</v>
          </cell>
          <cell r="C34" t="str">
            <v>Oct</v>
          </cell>
          <cell r="J34">
            <v>1</v>
          </cell>
          <cell r="O34"/>
        </row>
        <row r="35">
          <cell r="A35" t="str">
            <v>MTD</v>
          </cell>
          <cell r="B35" t="str">
            <v>November</v>
          </cell>
          <cell r="C35" t="str">
            <v>Nov</v>
          </cell>
          <cell r="J35">
            <v>1</v>
          </cell>
          <cell r="K35">
            <v>1</v>
          </cell>
          <cell r="O35"/>
        </row>
        <row r="36">
          <cell r="A36" t="str">
            <v>MTD</v>
          </cell>
          <cell r="B36" t="str">
            <v>December</v>
          </cell>
          <cell r="C36" t="str">
            <v>Dec</v>
          </cell>
          <cell r="J36">
            <v>1</v>
          </cell>
          <cell r="K36">
            <v>1</v>
          </cell>
          <cell r="L36">
            <v>1</v>
          </cell>
          <cell r="O36"/>
        </row>
        <row r="37">
          <cell r="A37" t="str">
            <v>MTD</v>
          </cell>
          <cell r="B37" t="str">
            <v>January</v>
          </cell>
          <cell r="C37" t="str">
            <v>Jan</v>
          </cell>
          <cell r="M37">
            <v>1</v>
          </cell>
          <cell r="O37"/>
        </row>
        <row r="38">
          <cell r="A38" t="str">
            <v>MTD</v>
          </cell>
          <cell r="B38" t="str">
            <v>February</v>
          </cell>
          <cell r="C38" t="str">
            <v>Feb</v>
          </cell>
          <cell r="M38">
            <v>1</v>
          </cell>
          <cell r="N38">
            <v>1</v>
          </cell>
          <cell r="O38"/>
        </row>
        <row r="39">
          <cell r="A39" t="str">
            <v>MTD</v>
          </cell>
          <cell r="B39" t="str">
            <v>March</v>
          </cell>
          <cell r="C39" t="str">
            <v>Mar</v>
          </cell>
          <cell r="D39"/>
          <cell r="E39"/>
          <cell r="F39"/>
          <cell r="G39"/>
          <cell r="H39"/>
          <cell r="I39"/>
          <cell r="J39"/>
          <cell r="K39"/>
          <cell r="L39"/>
          <cell r="M39">
            <v>1</v>
          </cell>
          <cell r="N39">
            <v>1</v>
          </cell>
          <cell r="O39">
            <v>1</v>
          </cell>
        </row>
        <row r="41">
          <cell r="A41" t="str">
            <v>QTD</v>
          </cell>
          <cell r="B41" t="str">
            <v>Q1</v>
          </cell>
          <cell r="C41" t="str">
            <v>Q1</v>
          </cell>
        </row>
        <row r="42">
          <cell r="A42" t="str">
            <v>QTD</v>
          </cell>
          <cell r="B42" t="str">
            <v>Q2</v>
          </cell>
          <cell r="C42" t="str">
            <v>Q2</v>
          </cell>
        </row>
        <row r="43">
          <cell r="A43" t="str">
            <v>QTD</v>
          </cell>
          <cell r="B43" t="str">
            <v>Q3</v>
          </cell>
          <cell r="C43" t="str">
            <v>Q3</v>
          </cell>
        </row>
        <row r="44">
          <cell r="A44" t="str">
            <v>QTD</v>
          </cell>
          <cell r="B44" t="str">
            <v>Q4</v>
          </cell>
          <cell r="C44" t="str">
            <v>Q4</v>
          </cell>
        </row>
        <row r="45">
          <cell r="A45" t="str">
            <v>H1</v>
          </cell>
          <cell r="B45" t="str">
            <v>H1</v>
          </cell>
          <cell r="C45" t="str">
            <v>H1</v>
          </cell>
        </row>
        <row r="46">
          <cell r="A46" t="str">
            <v>H2</v>
          </cell>
          <cell r="B46" t="str">
            <v>H2</v>
          </cell>
          <cell r="C46" t="str">
            <v>H2</v>
          </cell>
        </row>
      </sheetData>
      <sheetData sheetId="27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Q4OL (2+1) vs FC7+5_mEUR"/>
      <sheetName val="CMP-i-local fixed PL_NML Format"/>
      <sheetName val="VA NML OL"/>
      <sheetName val="Baseline info"/>
      <sheetName val="walk"/>
      <sheetName val="OR P&amp;L JPY"/>
      <sheetName val="OR P&amp;L EUR"/>
      <sheetName val="VA details by function"/>
      <sheetName val="FX impact"/>
      <sheetName val="FX conversion"/>
      <sheetName val="Summary (bJPY)"/>
      <sheetName val="Summary (mEUR)"/>
      <sheetName val="MFG out of func check"/>
      <sheetName val="Check list"/>
      <sheetName val="Jul Var vs ACT"/>
      <sheetName val="Aug Var vs ACT"/>
      <sheetName val="HQ"/>
      <sheetName val="HFM"/>
      <sheetName val="mfg others recon"/>
      <sheetName val="Other Adj."/>
      <sheetName val="OCS2"/>
      <sheetName val="AS"/>
      <sheetName val="WS Volume (Europe)"/>
      <sheetName val="WS Volume (Export)"/>
      <sheetName val="S&amp;M"/>
      <sheetName val="S&amp;M-Infiniti"/>
      <sheetName val="FMI"/>
      <sheetName val="NMUK NRV"/>
      <sheetName val="WARR"/>
      <sheetName val="R&amp;D"/>
      <sheetName val="MZ"/>
      <sheetName val="ITP Export"/>
      <sheetName val="G&amp;A"/>
      <sheetName val="Duti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0">
          <cell r="AE10">
            <v>1238.3779</v>
          </cell>
          <cell r="AF10">
            <v>1315.1610000000001</v>
          </cell>
          <cell r="AG10">
            <v>1928.4739999999999</v>
          </cell>
        </row>
        <row r="11">
          <cell r="AE11">
            <v>28.803000000000001</v>
          </cell>
          <cell r="AF11">
            <v>23.689</v>
          </cell>
          <cell r="AG11">
            <v>54.97</v>
          </cell>
        </row>
        <row r="12">
          <cell r="AE12">
            <v>0</v>
          </cell>
          <cell r="AF12">
            <v>0</v>
          </cell>
          <cell r="AG12">
            <v>0</v>
          </cell>
        </row>
        <row r="13">
          <cell r="AE13">
            <v>0</v>
          </cell>
          <cell r="AF13">
            <v>0</v>
          </cell>
          <cell r="AG13">
            <v>0</v>
          </cell>
        </row>
        <row r="14">
          <cell r="AE14">
            <v>28.884</v>
          </cell>
          <cell r="AF14">
            <v>32.723999999999997</v>
          </cell>
          <cell r="AG14">
            <v>48.039000000000001</v>
          </cell>
        </row>
        <row r="15">
          <cell r="AE15">
            <v>2E-3</v>
          </cell>
          <cell r="AF15">
            <v>0</v>
          </cell>
          <cell r="AG15">
            <v>0</v>
          </cell>
        </row>
        <row r="16">
          <cell r="AE16">
            <v>0</v>
          </cell>
          <cell r="AF16">
            <v>0</v>
          </cell>
          <cell r="AG16">
            <v>0</v>
          </cell>
        </row>
        <row r="17">
          <cell r="AE17">
            <v>0.34899999999999998</v>
          </cell>
          <cell r="AF17">
            <v>0.86699999999999999</v>
          </cell>
          <cell r="AG17">
            <v>1.0449999999999999</v>
          </cell>
        </row>
        <row r="25">
          <cell r="AE25">
            <v>867.43498238986717</v>
          </cell>
          <cell r="AF25">
            <v>998.88562123033262</v>
          </cell>
          <cell r="AG25">
            <v>1429.4281031985588</v>
          </cell>
        </row>
        <row r="30">
          <cell r="AE30">
            <v>-134.4247786</v>
          </cell>
          <cell r="AF30">
            <v>-142.08356370906142</v>
          </cell>
          <cell r="AG30">
            <v>-229.3275520496646</v>
          </cell>
        </row>
        <row r="40">
          <cell r="AE40">
            <v>-588.72719208662261</v>
          </cell>
          <cell r="AF40">
            <v>-715.65292210596147</v>
          </cell>
          <cell r="AG40">
            <v>-954.08798131423032</v>
          </cell>
        </row>
        <row r="43">
          <cell r="AE43">
            <v>-26.612439853284165</v>
          </cell>
          <cell r="AF43">
            <v>-27.002141398786573</v>
          </cell>
          <cell r="AG43">
            <v>-23.018219173386992</v>
          </cell>
        </row>
        <row r="44">
          <cell r="AE44">
            <v>-1.2445920000000001</v>
          </cell>
          <cell r="AF44">
            <v>-0.42220004250792786</v>
          </cell>
          <cell r="AG44">
            <v>-1.2479029759011455</v>
          </cell>
        </row>
        <row r="45">
          <cell r="AE45">
            <v>0</v>
          </cell>
          <cell r="AF45">
            <v>0</v>
          </cell>
          <cell r="AG45">
            <v>0</v>
          </cell>
        </row>
        <row r="46">
          <cell r="AE46">
            <v>-8.6311958000000288</v>
          </cell>
          <cell r="AF46">
            <v>-5.8328414206739323</v>
          </cell>
          <cell r="AG46">
            <v>-9.0630430892846459</v>
          </cell>
        </row>
        <row r="47">
          <cell r="AE47">
            <v>0</v>
          </cell>
          <cell r="AF47">
            <v>0</v>
          </cell>
          <cell r="AG47">
            <v>0</v>
          </cell>
        </row>
        <row r="48">
          <cell r="AE48">
            <v>-12.553721652715829</v>
          </cell>
          <cell r="AF48">
            <v>-19.115940716790718</v>
          </cell>
          <cell r="AG48">
            <v>-12.984002155745666</v>
          </cell>
        </row>
        <row r="50">
          <cell r="AE50">
            <v>-26.036586915000001</v>
          </cell>
          <cell r="AF50">
            <v>-29.103860806038227</v>
          </cell>
          <cell r="AG50">
            <v>-24.082792640181903</v>
          </cell>
        </row>
        <row r="51">
          <cell r="AE51">
            <v>-0.86099999999999999</v>
          </cell>
          <cell r="AF51">
            <v>-1.0695394895257728</v>
          </cell>
          <cell r="AG51">
            <v>-3.7722344629345881</v>
          </cell>
        </row>
        <row r="52">
          <cell r="AE52">
            <v>-0.37457424</v>
          </cell>
          <cell r="AF52">
            <v>-0.74416986981121402</v>
          </cell>
          <cell r="AG52">
            <v>-1.6716500893934869</v>
          </cell>
        </row>
        <row r="53">
          <cell r="AE53">
            <v>-2.359306025</v>
          </cell>
          <cell r="AF53">
            <v>-2.0254404760984452</v>
          </cell>
          <cell r="AG53">
            <v>-1.7416087298664731</v>
          </cell>
        </row>
        <row r="54">
          <cell r="AE54">
            <v>-2.4500000000000002</v>
          </cell>
          <cell r="AF54">
            <v>-2.75</v>
          </cell>
          <cell r="AG54">
            <v>-2.8899601326624991</v>
          </cell>
        </row>
        <row r="55">
          <cell r="AE55">
            <v>0.28927108000000601</v>
          </cell>
          <cell r="AF55">
            <v>0.69051599330604319</v>
          </cell>
          <cell r="AG55">
            <v>0.73541598830628629</v>
          </cell>
        </row>
        <row r="58">
          <cell r="AE58">
            <v>-34.384496372999998</v>
          </cell>
          <cell r="AF58">
            <v>-32.015299488000004</v>
          </cell>
          <cell r="AG58">
            <v>-29.894135939999998</v>
          </cell>
        </row>
        <row r="59">
          <cell r="AE59">
            <v>1.1941014209842464</v>
          </cell>
          <cell r="AF59">
            <v>1.5284342684476986</v>
          </cell>
          <cell r="AG59">
            <v>1.5321315855431801</v>
          </cell>
        </row>
        <row r="70">
          <cell r="AE70">
            <v>-14.941574100003159</v>
          </cell>
          <cell r="AF70">
            <v>-36.937774523260757</v>
          </cell>
          <cell r="AG70">
            <v>72.211104097935504</v>
          </cell>
        </row>
        <row r="75">
          <cell r="AE75"/>
          <cell r="AF75">
            <v>0</v>
          </cell>
          <cell r="AG75">
            <v>0</v>
          </cell>
        </row>
        <row r="77">
          <cell r="AE77">
            <v>-0.2891209126082982</v>
          </cell>
          <cell r="AF77">
            <v>-1.0329363860771814</v>
          </cell>
          <cell r="AG77">
            <v>-0.81582825560758876</v>
          </cell>
        </row>
        <row r="78">
          <cell r="AE78">
            <v>20.821520692376762</v>
          </cell>
          <cell r="AF78">
            <v>21.982158005054945</v>
          </cell>
          <cell r="AG78">
            <v>36.042060555405584</v>
          </cell>
        </row>
        <row r="79">
          <cell r="AE79">
            <v>6.4000510820000009</v>
          </cell>
          <cell r="AF79">
            <v>3.9334494769998276</v>
          </cell>
          <cell r="AG79">
            <v>7.0014796862863253</v>
          </cell>
        </row>
        <row r="80">
          <cell r="AE80">
            <v>-1.9876000000000005</v>
          </cell>
          <cell r="AF80">
            <v>-2.926268043516556</v>
          </cell>
          <cell r="AG80">
            <v>-3.2852695187691623</v>
          </cell>
        </row>
        <row r="81">
          <cell r="AE81">
            <v>0.48476128947928415</v>
          </cell>
          <cell r="AF81">
            <v>0</v>
          </cell>
          <cell r="AG81">
            <v>0</v>
          </cell>
        </row>
        <row r="82">
          <cell r="AE82">
            <v>0</v>
          </cell>
          <cell r="AF82">
            <v>-0.15643374681730879</v>
          </cell>
          <cell r="AG82">
            <v>-0.15777813163781271</v>
          </cell>
        </row>
        <row r="83">
          <cell r="AE83">
            <v>12.553012989000001</v>
          </cell>
          <cell r="AF83">
            <v>14.512</v>
          </cell>
          <cell r="AG83">
            <v>17.52</v>
          </cell>
        </row>
        <row r="84">
          <cell r="AE84">
            <v>0</v>
          </cell>
          <cell r="AF84">
            <v>0</v>
          </cell>
          <cell r="AG84">
            <v>0</v>
          </cell>
        </row>
        <row r="85">
          <cell r="AE85">
            <v>3.2673819799999961</v>
          </cell>
          <cell r="AF85">
            <v>4.3610229180000006</v>
          </cell>
          <cell r="AG85">
            <v>6.7596680000000005</v>
          </cell>
        </row>
        <row r="86">
          <cell r="AE86">
            <v>0.88185000000000002</v>
          </cell>
          <cell r="AF86">
            <v>0</v>
          </cell>
          <cell r="AG86">
            <v>0</v>
          </cell>
        </row>
        <row r="87">
          <cell r="AE87">
            <v>1.6693</v>
          </cell>
          <cell r="AF87">
            <v>0.123</v>
          </cell>
          <cell r="AG87">
            <v>1.107</v>
          </cell>
        </row>
        <row r="89">
          <cell r="AE89">
            <v>1.3988883249842416</v>
          </cell>
          <cell r="AF89">
            <v>1.5284342684476986</v>
          </cell>
          <cell r="AG89">
            <v>1.5321315855431801</v>
          </cell>
        </row>
        <row r="91">
          <cell r="AE91">
            <v>0</v>
          </cell>
          <cell r="AF91">
            <v>17.899999999999999</v>
          </cell>
          <cell r="AG91">
            <v>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13">
          <cell r="F13">
            <v>-2.17</v>
          </cell>
        </row>
      </sheetData>
      <sheetData sheetId="18" refreshError="1"/>
      <sheetData sheetId="19" refreshError="1"/>
      <sheetData sheetId="20">
        <row r="13">
          <cell r="K13">
            <v>3.691972216731978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14">
          <cell r="M14">
            <v>-1.1754640057616959</v>
          </cell>
        </row>
      </sheetData>
      <sheetData sheetId="30" refreshError="1"/>
      <sheetData sheetId="31" refreshError="1"/>
      <sheetData sheetId="32" refreshError="1"/>
      <sheetData sheetId="3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Kushalappa, Usha (NissanContractor)" id="{C5CD7A63-2C50-45BC-8FD7-947BA5E19628}" userId="S::NE73183@nissangroup.onmicrosoft.com::966e21cf-25af-436f-a249-914248f8e6fe" providerId="AD"/>
  <person displayName="Kushalappa, Usha (NissanContractor)" id="{A65828F4-DA33-47F5-A330-34EEFB5A89B3}" userId="S::ukushalappa-extern@nissan-europe.com::966e21cf-25af-436f-a249-914248f8e6fe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U59" dT="2025-03-13T17:48:17.00" personId="{A65828F4-DA33-47F5-A330-34EEFB5A89B3}" id="{198B128D-DFE5-44B2-81AF-587CF61A4F8C}">
    <text>In case of Warranty for ROP we don’t calculate similar to CMPI-FC. Check logic</text>
  </threadedComment>
  <threadedComment ref="X62" dT="2025-03-13T19:06:29.58" personId="{A65828F4-DA33-47F5-A330-34EEFB5A89B3}" id="{030A73A9-9C7A-46F3-865A-84FD7E9CDCBA}">
    <text>Diff of 0.42 is FX to be add to Royalty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24" dT="2025-03-11T22:21:05.94" personId="{C5CD7A63-2C50-45BC-8FD7-947BA5E19628}" id="{7B9D578B-330C-4C28-8B4D-D55BBC7D85A2}">
    <text>This data is from Profit in VA FX section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F24" dT="2025-03-11T22:21:05.94" personId="{C5CD7A63-2C50-45BC-8FD7-947BA5E19628}" id="{D82221CF-4213-4A66-81AE-0C29EE133A7C}">
    <text>This data is from Profit in VA FX section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.bin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4.bin"/><Relationship Id="rId7" Type="http://schemas.microsoft.com/office/2017/10/relationships/threadedComment" Target="../threadedComments/threadedComment1.xml"/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2.bin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6.bin"/><Relationship Id="rId2" Type="http://schemas.openxmlformats.org/officeDocument/2006/relationships/customProperty" Target="../customProperty5.bin"/><Relationship Id="rId1" Type="http://schemas.openxmlformats.org/officeDocument/2006/relationships/printerSettings" Target="../printerSettings/printerSettings3.bin"/><Relationship Id="rId4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8.bin"/><Relationship Id="rId7" Type="http://schemas.microsoft.com/office/2017/10/relationships/threadedComment" Target="../threadedComments/threadedComment2.xml"/><Relationship Id="rId2" Type="http://schemas.openxmlformats.org/officeDocument/2006/relationships/customProperty" Target="../customProperty7.bin"/><Relationship Id="rId1" Type="http://schemas.openxmlformats.org/officeDocument/2006/relationships/printerSettings" Target="../printerSettings/printerSettings4.bin"/><Relationship Id="rId6" Type="http://schemas.openxmlformats.org/officeDocument/2006/relationships/comments" Target="../comments2.xml"/><Relationship Id="rId5" Type="http://schemas.openxmlformats.org/officeDocument/2006/relationships/vmlDrawing" Target="../drawings/vmlDrawing2.vml"/><Relationship Id="rId4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customProperty" Target="../customProperty10.bin"/><Relationship Id="rId1" Type="http://schemas.openxmlformats.org/officeDocument/2006/relationships/customProperty" Target="../customProperty9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2.bin"/><Relationship Id="rId2" Type="http://schemas.openxmlformats.org/officeDocument/2006/relationships/customProperty" Target="../customProperty11.bin"/><Relationship Id="rId1" Type="http://schemas.openxmlformats.org/officeDocument/2006/relationships/printerSettings" Target="../printerSettings/printerSettings6.bin"/><Relationship Id="rId6" Type="http://schemas.openxmlformats.org/officeDocument/2006/relationships/comments" Target="../comments3.xml"/><Relationship Id="rId5" Type="http://schemas.openxmlformats.org/officeDocument/2006/relationships/vmlDrawing" Target="../drawings/vmlDrawing3.vml"/><Relationship Id="rId4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4.bin"/><Relationship Id="rId2" Type="http://schemas.openxmlformats.org/officeDocument/2006/relationships/customProperty" Target="../customProperty13.bin"/><Relationship Id="rId1" Type="http://schemas.openxmlformats.org/officeDocument/2006/relationships/printerSettings" Target="../printerSettings/printerSettings7.bin"/><Relationship Id="rId4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6.bin"/><Relationship Id="rId2" Type="http://schemas.openxmlformats.org/officeDocument/2006/relationships/customProperty" Target="../customProperty15.bin"/><Relationship Id="rId1" Type="http://schemas.openxmlformats.org/officeDocument/2006/relationships/printerSettings" Target="../printerSettings/printerSettings8.bin"/><Relationship Id="rId4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4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8.bin"/><Relationship Id="rId2" Type="http://schemas.openxmlformats.org/officeDocument/2006/relationships/customProperty" Target="../customProperty17.bin"/><Relationship Id="rId1" Type="http://schemas.openxmlformats.org/officeDocument/2006/relationships/printerSettings" Target="../printerSettings/printerSettings10.bin"/><Relationship Id="rId4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0.bin"/><Relationship Id="rId2" Type="http://schemas.openxmlformats.org/officeDocument/2006/relationships/customProperty" Target="../customProperty19.bin"/><Relationship Id="rId1" Type="http://schemas.openxmlformats.org/officeDocument/2006/relationships/printerSettings" Target="../printerSettings/printerSettings11.bin"/><Relationship Id="rId4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2.bin"/><Relationship Id="rId2" Type="http://schemas.openxmlformats.org/officeDocument/2006/relationships/customProperty" Target="../customProperty21.bin"/><Relationship Id="rId1" Type="http://schemas.openxmlformats.org/officeDocument/2006/relationships/printerSettings" Target="../printerSettings/printerSettings12.bin"/><Relationship Id="rId4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8.xml"/><Relationship Id="rId2" Type="http://schemas.openxmlformats.org/officeDocument/2006/relationships/customProperty" Target="../customProperty23.bin"/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5.bin"/><Relationship Id="rId2" Type="http://schemas.openxmlformats.org/officeDocument/2006/relationships/customProperty" Target="../customProperty24.bin"/><Relationship Id="rId1" Type="http://schemas.openxmlformats.org/officeDocument/2006/relationships/printerSettings" Target="../printerSettings/printerSettings19.bin"/><Relationship Id="rId4" Type="http://schemas.openxmlformats.org/officeDocument/2006/relationships/drawing" Target="../drawings/drawing19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0.xml"/><Relationship Id="rId2" Type="http://schemas.openxmlformats.org/officeDocument/2006/relationships/customProperty" Target="../customProperty26.bin"/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3.xml"/><Relationship Id="rId2" Type="http://schemas.openxmlformats.org/officeDocument/2006/relationships/customProperty" Target="../customProperty27.bin"/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9.bin"/><Relationship Id="rId2" Type="http://schemas.openxmlformats.org/officeDocument/2006/relationships/customProperty" Target="../customProperty28.bin"/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1.bin"/><Relationship Id="rId1" Type="http://schemas.openxmlformats.org/officeDocument/2006/relationships/customProperty" Target="../customProperty30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3.bin"/><Relationship Id="rId1" Type="http://schemas.openxmlformats.org/officeDocument/2006/relationships/customProperty" Target="../customProperty32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4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5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6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6.bin"/><Relationship Id="rId1" Type="http://schemas.openxmlformats.org/officeDocument/2006/relationships/customProperty" Target="../customProperty35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8.bin"/><Relationship Id="rId1" Type="http://schemas.openxmlformats.org/officeDocument/2006/relationships/customProperty" Target="../customProperty37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40.bin"/><Relationship Id="rId1" Type="http://schemas.openxmlformats.org/officeDocument/2006/relationships/customProperty" Target="../customProperty3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B32E8-7D23-445F-90B2-A9B43E3DC84E}">
  <sheetPr>
    <tabColor rgb="FFAC75D5"/>
  </sheetPr>
  <dimension ref="B2:C15"/>
  <sheetViews>
    <sheetView workbookViewId="0">
      <selection activeCell="C2" sqref="C2"/>
    </sheetView>
  </sheetViews>
  <sheetFormatPr defaultColWidth="9.140625" defaultRowHeight="15"/>
  <cols>
    <col min="1" max="1" width="9.140625" style="556"/>
    <col min="2" max="2" width="28.5703125" style="556" customWidth="1"/>
    <col min="3" max="3" width="10.5703125" style="556" bestFit="1" customWidth="1"/>
    <col min="4" max="16384" width="9.140625" style="556"/>
  </cols>
  <sheetData>
    <row r="2" spans="2:3">
      <c r="B2" s="557" t="s">
        <v>385</v>
      </c>
      <c r="C2" s="559">
        <v>45762</v>
      </c>
    </row>
    <row r="4" spans="2:3" ht="45">
      <c r="B4" s="553" t="s">
        <v>377</v>
      </c>
      <c r="C4" s="556" t="s">
        <v>386</v>
      </c>
    </row>
    <row r="5" spans="2:3" ht="45">
      <c r="B5" s="553" t="s">
        <v>378</v>
      </c>
      <c r="C5" s="556" t="s">
        <v>386</v>
      </c>
    </row>
    <row r="6" spans="2:3" ht="15.75">
      <c r="B6" s="554"/>
    </row>
    <row r="7" spans="2:3" ht="31.5">
      <c r="B7" s="558" t="s">
        <v>379</v>
      </c>
    </row>
    <row r="8" spans="2:3" ht="15.75">
      <c r="B8" s="554" t="s">
        <v>146</v>
      </c>
    </row>
    <row r="9" spans="2:3" ht="15.75">
      <c r="B9" s="555" t="s">
        <v>380</v>
      </c>
      <c r="C9" s="556" t="s">
        <v>386</v>
      </c>
    </row>
    <row r="10" spans="2:3" ht="15.75">
      <c r="B10" s="555" t="s">
        <v>381</v>
      </c>
    </row>
    <row r="11" spans="2:3" ht="15.75">
      <c r="B11" s="555" t="s">
        <v>382</v>
      </c>
      <c r="C11" s="556" t="s">
        <v>386</v>
      </c>
    </row>
    <row r="12" spans="2:3" ht="15.75">
      <c r="B12" s="554"/>
    </row>
    <row r="13" spans="2:3" ht="15.75">
      <c r="B13" s="554" t="s">
        <v>147</v>
      </c>
    </row>
    <row r="14" spans="2:3" ht="15.75">
      <c r="B14" s="555" t="s">
        <v>383</v>
      </c>
    </row>
    <row r="15" spans="2:3" ht="15.75">
      <c r="B15" s="555" t="s">
        <v>384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26330-5784-46CD-A730-E0FDC219B155}">
  <sheetPr>
    <tabColor rgb="FF92D050"/>
  </sheetPr>
  <dimension ref="A1:CQ87"/>
  <sheetViews>
    <sheetView showGridLines="0" topLeftCell="A3" zoomScale="55" zoomScaleNormal="55" workbookViewId="0">
      <pane xSplit="5" ySplit="4" topLeftCell="F7" activePane="bottomRight" state="frozen"/>
      <selection activeCell="CN64" sqref="CN64"/>
      <selection pane="topRight" activeCell="CN64" sqref="CN64"/>
      <selection pane="bottomLeft" activeCell="CN64" sqref="CN64"/>
      <selection pane="bottomRight" activeCell="F6" sqref="F6"/>
    </sheetView>
  </sheetViews>
  <sheetFormatPr defaultColWidth="8.85546875" defaultRowHeight="14.25" outlineLevelRow="3" outlineLevelCol="1"/>
  <cols>
    <col min="1" max="1" width="2.85546875" style="2" customWidth="1"/>
    <col min="2" max="2" width="1.85546875" style="2" customWidth="1"/>
    <col min="3" max="3" width="4.42578125" style="2" customWidth="1"/>
    <col min="4" max="4" width="4" style="2" customWidth="1"/>
    <col min="5" max="5" width="51.42578125" style="2" customWidth="1"/>
    <col min="6" max="6" width="16.5703125" style="2" bestFit="1" customWidth="1"/>
    <col min="7" max="7" width="12.140625" style="2" bestFit="1" customWidth="1"/>
    <col min="8" max="8" width="11.5703125" style="2" bestFit="1" customWidth="1"/>
    <col min="9" max="9" width="12.5703125" style="2" bestFit="1" customWidth="1"/>
    <col min="10" max="10" width="5.85546875" style="2" bestFit="1" customWidth="1"/>
    <col min="11" max="12" width="10.5703125" style="2" hidden="1" customWidth="1" outlineLevel="1"/>
    <col min="13" max="13" width="11.5703125" style="2" hidden="1" customWidth="1" outlineLevel="1"/>
    <col min="14" max="14" width="10.85546875" style="2" hidden="1" customWidth="1" outlineLevel="1"/>
    <col min="15" max="15" width="9.42578125" style="2" hidden="1" customWidth="1" outlineLevel="1"/>
    <col min="16" max="16" width="9.5703125" style="2" hidden="1" customWidth="1" outlineLevel="1"/>
    <col min="17" max="17" width="9.42578125" style="2" hidden="1" customWidth="1" outlineLevel="1"/>
    <col min="18" max="18" width="11.85546875" style="2" hidden="1" customWidth="1" outlineLevel="1"/>
    <col min="19" max="19" width="1.42578125" style="2" hidden="1" customWidth="1" outlineLevel="1"/>
    <col min="20" max="20" width="11.5703125" style="2" hidden="1" customWidth="1" outlineLevel="1"/>
    <col min="21" max="21" width="10.5703125" style="2" hidden="1" customWidth="1" outlineLevel="1"/>
    <col min="22" max="22" width="11.5703125" style="2" hidden="1" customWidth="1" outlineLevel="1"/>
    <col min="23" max="23" width="10.85546875" style="2" hidden="1" customWidth="1" outlineLevel="1"/>
    <col min="24" max="24" width="9.42578125" style="2" hidden="1" customWidth="1" outlineLevel="1"/>
    <col min="25" max="25" width="9.5703125" style="2" hidden="1" customWidth="1" outlineLevel="1"/>
    <col min="26" max="26" width="9.42578125" style="2" hidden="1" customWidth="1" outlineLevel="1"/>
    <col min="27" max="27" width="11.85546875" style="2" hidden="1" customWidth="1" outlineLevel="1"/>
    <col min="28" max="28" width="1.42578125" style="2" customWidth="1" collapsed="1"/>
    <col min="29" max="29" width="10.140625" style="2" customWidth="1" outlineLevel="1"/>
    <col min="30" max="30" width="9.85546875" style="2" customWidth="1" outlineLevel="1"/>
    <col min="31" max="31" width="11.5703125" style="2" customWidth="1" outlineLevel="1"/>
    <col min="32" max="32" width="10.85546875" style="2" customWidth="1" outlineLevel="1"/>
    <col min="33" max="33" width="10.5703125" style="2" customWidth="1" outlineLevel="1"/>
    <col min="34" max="36" width="9.5703125" style="2" customWidth="1" outlineLevel="1"/>
    <col min="37" max="37" width="1.42578125" style="2" customWidth="1"/>
    <col min="38" max="38" width="12.85546875" style="2" customWidth="1"/>
    <col min="39" max="39" width="12.42578125" style="2" customWidth="1"/>
    <col min="40" max="40" width="11.5703125" style="2" customWidth="1"/>
    <col min="41" max="41" width="12.42578125" style="2" customWidth="1"/>
    <col min="42" max="45" width="10.5703125" style="2" customWidth="1"/>
    <col min="46" max="46" width="3" style="2" customWidth="1"/>
    <col min="47" max="47" width="11.5703125" style="2" hidden="1" customWidth="1"/>
    <col min="48" max="48" width="10.5703125" style="2" hidden="1" customWidth="1"/>
    <col min="49" max="49" width="1.42578125" style="2" customWidth="1"/>
    <col min="50" max="51" width="10.5703125" style="2" customWidth="1"/>
    <col min="52" max="52" width="11.140625" style="2" bestFit="1" customWidth="1"/>
    <col min="53" max="57" width="10.5703125" style="2" customWidth="1"/>
    <col min="58" max="58" width="2.42578125" style="2" customWidth="1"/>
    <col min="59" max="59" width="10.140625" style="2" hidden="1" customWidth="1" outlineLevel="1" collapsed="1"/>
    <col min="60" max="60" width="9.85546875" style="2" hidden="1" customWidth="1" outlineLevel="1"/>
    <col min="61" max="61" width="11.5703125" style="2" hidden="1" customWidth="1" outlineLevel="1"/>
    <col min="62" max="64" width="10.85546875" style="2" hidden="1" customWidth="1" outlineLevel="1"/>
    <col min="65" max="65" width="9.85546875" style="2" hidden="1" customWidth="1" outlineLevel="1"/>
    <col min="66" max="66" width="11.5703125" style="2" hidden="1" customWidth="1" outlineLevel="1"/>
    <col min="67" max="67" width="3.140625" style="2" customWidth="1" collapsed="1"/>
    <col min="68" max="68" width="10.140625" style="2" hidden="1" customWidth="1" outlineLevel="1" collapsed="1"/>
    <col min="69" max="69" width="9.85546875" style="2" hidden="1" customWidth="1" outlineLevel="1"/>
    <col min="70" max="70" width="11.5703125" style="2" hidden="1" customWidth="1" outlineLevel="1"/>
    <col min="71" max="73" width="10.85546875" style="2" hidden="1" customWidth="1" outlineLevel="1"/>
    <col min="74" max="74" width="9.85546875" style="2" hidden="1" customWidth="1" outlineLevel="1"/>
    <col min="75" max="75" width="11.5703125" style="2" hidden="1" customWidth="1" outlineLevel="1"/>
    <col min="76" max="76" width="2.42578125" style="2" hidden="1" customWidth="1" outlineLevel="1"/>
    <col min="77" max="77" width="15" style="2" hidden="1" customWidth="1" outlineLevel="1"/>
    <col min="78" max="78" width="4.5703125" style="2" hidden="1" customWidth="1" outlineLevel="1"/>
    <col min="79" max="79" width="10.85546875" style="2" hidden="1" customWidth="1" outlineLevel="1"/>
    <col min="80" max="80" width="4.42578125" style="2" hidden="1" customWidth="1" outlineLevel="1"/>
    <col min="81" max="81" width="15" style="2" hidden="1" customWidth="1" outlineLevel="1"/>
    <col min="82" max="82" width="0.5703125" style="2" customWidth="1" collapsed="1"/>
    <col min="83" max="84" width="10.5703125" style="2" customWidth="1"/>
    <col min="85" max="85" width="11.140625" style="2" bestFit="1" customWidth="1"/>
    <col min="86" max="90" width="10.5703125" style="2" customWidth="1"/>
    <col min="91" max="91" width="0" style="2" hidden="1" customWidth="1" outlineLevel="1"/>
    <col min="92" max="92" width="10.85546875" style="912" hidden="1" customWidth="1" outlineLevel="1"/>
    <col min="93" max="93" width="8.85546875" style="2" collapsed="1"/>
    <col min="94" max="16384" width="8.85546875" style="2"/>
  </cols>
  <sheetData>
    <row r="1" spans="2:92">
      <c r="CN1" s="916"/>
    </row>
    <row r="2" spans="2:92" ht="15" outlineLevel="1">
      <c r="E2" s="213" t="s">
        <v>80</v>
      </c>
      <c r="F2" s="212" t="s">
        <v>150</v>
      </c>
      <c r="AR2" s="503"/>
      <c r="CN2" s="916"/>
    </row>
    <row r="3" spans="2:92">
      <c r="O3" s="703"/>
      <c r="P3" s="703"/>
      <c r="Q3" s="703"/>
      <c r="R3" s="703"/>
      <c r="X3" s="703"/>
      <c r="Y3" s="703"/>
      <c r="Z3" s="703"/>
      <c r="AA3" s="703"/>
      <c r="AP3" s="703"/>
      <c r="AQ3" s="703"/>
      <c r="AR3" s="703"/>
      <c r="AS3" s="703"/>
      <c r="BB3" s="703"/>
      <c r="BC3" s="703"/>
      <c r="BD3" s="703"/>
      <c r="BE3" s="703"/>
      <c r="CI3" s="703"/>
      <c r="CJ3" s="703"/>
      <c r="CK3" s="703"/>
      <c r="CL3" s="703"/>
    </row>
    <row r="4" spans="2:92" ht="15" outlineLevel="1" thickBot="1">
      <c r="B4" s="1" t="s">
        <v>107</v>
      </c>
      <c r="C4" s="1"/>
      <c r="D4" s="1"/>
      <c r="E4" s="1"/>
    </row>
    <row r="5" spans="2:92" ht="57" customHeight="1" outlineLevel="2">
      <c r="B5" s="3" t="s">
        <v>138</v>
      </c>
      <c r="C5" s="4"/>
      <c r="D5" s="5"/>
      <c r="E5" s="5"/>
      <c r="F5" s="1000" t="s">
        <v>146</v>
      </c>
      <c r="G5" s="1001"/>
      <c r="H5" s="1001"/>
      <c r="I5" s="1002"/>
      <c r="J5" s="137"/>
      <c r="K5" s="1003" t="s">
        <v>147</v>
      </c>
      <c r="L5" s="1004"/>
      <c r="M5" s="1004"/>
      <c r="N5" s="1005"/>
      <c r="O5" s="1006" t="s">
        <v>148</v>
      </c>
      <c r="P5" s="1007"/>
      <c r="Q5" s="1007"/>
      <c r="R5" s="1008"/>
      <c r="S5" s="137"/>
      <c r="T5" s="982" t="s">
        <v>436</v>
      </c>
      <c r="U5" s="983"/>
      <c r="V5" s="983"/>
      <c r="W5" s="984"/>
      <c r="X5" s="985" t="s">
        <v>426</v>
      </c>
      <c r="Y5" s="986"/>
      <c r="Z5" s="986"/>
      <c r="AA5" s="987"/>
      <c r="AB5" s="137"/>
      <c r="AC5" s="994" t="s">
        <v>402</v>
      </c>
      <c r="AD5" s="995"/>
      <c r="AE5" s="995"/>
      <c r="AF5" s="996"/>
      <c r="AG5" s="997" t="s">
        <v>244</v>
      </c>
      <c r="AH5" s="998"/>
      <c r="AI5" s="998"/>
      <c r="AJ5" s="999"/>
      <c r="AK5" s="137"/>
      <c r="AL5" s="988" t="s">
        <v>218</v>
      </c>
      <c r="AM5" s="989"/>
      <c r="AN5" s="989"/>
      <c r="AO5" s="990"/>
      <c r="AP5" s="991" t="s">
        <v>265</v>
      </c>
      <c r="AQ5" s="992"/>
      <c r="AR5" s="992"/>
      <c r="AS5" s="993"/>
      <c r="AU5" s="480" t="s">
        <v>310</v>
      </c>
      <c r="AV5" s="841" t="s">
        <v>525</v>
      </c>
      <c r="AW5" s="137"/>
      <c r="AX5" s="982" t="s">
        <v>487</v>
      </c>
      <c r="AY5" s="983"/>
      <c r="AZ5" s="983"/>
      <c r="BA5" s="984"/>
      <c r="BB5" s="985" t="s">
        <v>488</v>
      </c>
      <c r="BC5" s="986"/>
      <c r="BD5" s="986"/>
      <c r="BE5" s="987"/>
      <c r="BG5" s="994" t="s">
        <v>402</v>
      </c>
      <c r="BH5" s="995"/>
      <c r="BI5" s="995"/>
      <c r="BJ5" s="996"/>
      <c r="BK5" s="997" t="s">
        <v>389</v>
      </c>
      <c r="BL5" s="998"/>
      <c r="BM5" s="998"/>
      <c r="BN5" s="999"/>
      <c r="BP5" s="994" t="s">
        <v>407</v>
      </c>
      <c r="BQ5" s="995"/>
      <c r="BR5" s="995"/>
      <c r="BS5" s="996"/>
      <c r="BT5" s="997" t="s">
        <v>408</v>
      </c>
      <c r="BU5" s="998"/>
      <c r="BV5" s="998"/>
      <c r="BW5" s="999"/>
      <c r="BY5" s="339" t="s">
        <v>422</v>
      </c>
      <c r="CA5" s="640" t="s">
        <v>444</v>
      </c>
      <c r="CC5" s="339" t="s">
        <v>447</v>
      </c>
      <c r="CE5" s="1009" t="s">
        <v>526</v>
      </c>
      <c r="CF5" s="1010"/>
      <c r="CG5" s="1010"/>
      <c r="CH5" s="1011"/>
      <c r="CI5" s="1009" t="s">
        <v>527</v>
      </c>
      <c r="CJ5" s="1010"/>
      <c r="CK5" s="1010"/>
      <c r="CL5" s="1011"/>
      <c r="CM5" s="893" t="s">
        <v>530</v>
      </c>
      <c r="CN5" s="893" t="s">
        <v>529</v>
      </c>
    </row>
    <row r="6" spans="2:92" ht="27.75" customHeight="1" outlineLevel="2">
      <c r="B6" s="4"/>
      <c r="C6" s="4"/>
      <c r="D6" s="5"/>
      <c r="E6" s="5"/>
      <c r="F6" s="138" t="str">
        <f>Act!S5</f>
        <v>M01</v>
      </c>
      <c r="G6" s="139" t="str">
        <f>Act!T5</f>
        <v>M02</v>
      </c>
      <c r="H6" s="139" t="str">
        <f>Act!U5</f>
        <v>M03</v>
      </c>
      <c r="I6" s="140" t="s">
        <v>78</v>
      </c>
      <c r="J6" s="137"/>
      <c r="K6" s="139" t="str">
        <f>F6</f>
        <v>M01</v>
      </c>
      <c r="L6" s="139" t="str">
        <f>G6</f>
        <v>M02</v>
      </c>
      <c r="M6" s="139" t="str">
        <f>H6</f>
        <v>M03</v>
      </c>
      <c r="N6" s="141" t="str">
        <f>I6</f>
        <v>Q4</v>
      </c>
      <c r="O6" s="139" t="str">
        <f>K6</f>
        <v>M01</v>
      </c>
      <c r="P6" s="139" t="str">
        <f>L6</f>
        <v>M02</v>
      </c>
      <c r="Q6" s="139" t="str">
        <f>M6</f>
        <v>M03</v>
      </c>
      <c r="R6" s="142" t="str">
        <f>N6</f>
        <v>Q4</v>
      </c>
      <c r="S6" s="137"/>
      <c r="T6" s="139" t="str">
        <f>F6</f>
        <v>M01</v>
      </c>
      <c r="U6" s="139" t="str">
        <f>G6</f>
        <v>M02</v>
      </c>
      <c r="V6" s="139" t="str">
        <f>H6</f>
        <v>M03</v>
      </c>
      <c r="W6" s="143" t="str">
        <f>I6</f>
        <v>Q4</v>
      </c>
      <c r="X6" s="139" t="str">
        <f>F6</f>
        <v>M01</v>
      </c>
      <c r="Y6" s="139" t="str">
        <f>G6</f>
        <v>M02</v>
      </c>
      <c r="Z6" s="139" t="str">
        <f>H6</f>
        <v>M03</v>
      </c>
      <c r="AA6" s="144" t="str">
        <f>W6</f>
        <v>Q4</v>
      </c>
      <c r="AB6" s="137"/>
      <c r="AC6" s="139" t="str">
        <f>O6</f>
        <v>M01</v>
      </c>
      <c r="AD6" s="139" t="str">
        <f>P6</f>
        <v>M02</v>
      </c>
      <c r="AE6" s="139" t="str">
        <f>Q6</f>
        <v>M03</v>
      </c>
      <c r="AF6" s="338" t="str">
        <f>R6</f>
        <v>Q4</v>
      </c>
      <c r="AG6" s="139" t="str">
        <f>O6</f>
        <v>M01</v>
      </c>
      <c r="AH6" s="139" t="str">
        <f>P6</f>
        <v>M02</v>
      </c>
      <c r="AI6" s="139" t="str">
        <f>Q6</f>
        <v>M03</v>
      </c>
      <c r="AJ6" s="339" t="str">
        <f>AF6</f>
        <v>Q4</v>
      </c>
      <c r="AK6" s="137"/>
      <c r="AL6" s="139" t="str">
        <f>X6</f>
        <v>M01</v>
      </c>
      <c r="AM6" s="139" t="str">
        <f>Y6</f>
        <v>M02</v>
      </c>
      <c r="AN6" s="139" t="str">
        <f>Z6</f>
        <v>M03</v>
      </c>
      <c r="AO6" s="391" t="str">
        <f>AA6</f>
        <v>Q4</v>
      </c>
      <c r="AP6" s="139" t="str">
        <f>X6</f>
        <v>M01</v>
      </c>
      <c r="AQ6" s="139" t="str">
        <f>Y6</f>
        <v>M02</v>
      </c>
      <c r="AR6" s="139" t="str">
        <f>Z6</f>
        <v>M03</v>
      </c>
      <c r="AS6" s="392" t="str">
        <f>AO6</f>
        <v>Q4</v>
      </c>
      <c r="AU6" s="139" t="s">
        <v>69</v>
      </c>
      <c r="AV6" s="842" t="s">
        <v>70</v>
      </c>
      <c r="AW6" s="137"/>
      <c r="AX6" s="139" t="str">
        <f>AL6</f>
        <v>M01</v>
      </c>
      <c r="AY6" s="139" t="str">
        <f t="shared" ref="AY6:BE6" si="0">AM6</f>
        <v>M02</v>
      </c>
      <c r="AZ6" s="139" t="str">
        <f t="shared" si="0"/>
        <v>M03</v>
      </c>
      <c r="BA6" s="143" t="str">
        <f>AO6</f>
        <v>Q4</v>
      </c>
      <c r="BB6" s="139" t="str">
        <f t="shared" si="0"/>
        <v>M01</v>
      </c>
      <c r="BC6" s="139" t="str">
        <f t="shared" si="0"/>
        <v>M02</v>
      </c>
      <c r="BD6" s="139" t="str">
        <f t="shared" si="0"/>
        <v>M03</v>
      </c>
      <c r="BE6" s="144" t="str">
        <f t="shared" si="0"/>
        <v>Q4</v>
      </c>
      <c r="BG6" s="139" t="str">
        <f>F6</f>
        <v>M01</v>
      </c>
      <c r="BH6" s="139" t="str">
        <f>G6</f>
        <v>M02</v>
      </c>
      <c r="BI6" s="139" t="str">
        <f>H6</f>
        <v>M03</v>
      </c>
      <c r="BJ6" s="338" t="str">
        <f>I6</f>
        <v>Q4</v>
      </c>
      <c r="BK6" s="139" t="str">
        <f>BG6</f>
        <v>M01</v>
      </c>
      <c r="BL6" s="139" t="str">
        <f>BH6</f>
        <v>M02</v>
      </c>
      <c r="BM6" s="139" t="str">
        <f>BI6</f>
        <v>M03</v>
      </c>
      <c r="BN6" s="339" t="str">
        <f>BJ6</f>
        <v>Q4</v>
      </c>
      <c r="BP6" s="139" t="str">
        <f>O6</f>
        <v>M01</v>
      </c>
      <c r="BQ6" s="139" t="str">
        <f>P6</f>
        <v>M02</v>
      </c>
      <c r="BR6" s="139" t="str">
        <f>Q6</f>
        <v>M03</v>
      </c>
      <c r="BS6" s="338" t="str">
        <f>R6</f>
        <v>Q4</v>
      </c>
      <c r="BT6" s="139" t="str">
        <f>BP6</f>
        <v>M01</v>
      </c>
      <c r="BU6" s="139" t="str">
        <f>BQ6</f>
        <v>M02</v>
      </c>
      <c r="BV6" s="139" t="str">
        <f>BR6</f>
        <v>M03</v>
      </c>
      <c r="BW6" s="339" t="str">
        <f>BS6</f>
        <v>Q4</v>
      </c>
      <c r="BY6" s="339" t="str">
        <f>BV6</f>
        <v>M03</v>
      </c>
      <c r="CA6" s="143" t="s">
        <v>445</v>
      </c>
      <c r="CC6" s="339" t="s">
        <v>75</v>
      </c>
      <c r="CE6" s="139" t="str">
        <f>AX6</f>
        <v>M01</v>
      </c>
      <c r="CF6" s="139" t="str">
        <f t="shared" ref="CF6:CG6" si="1">AY6</f>
        <v>M02</v>
      </c>
      <c r="CG6" s="139" t="str">
        <f t="shared" si="1"/>
        <v>M03</v>
      </c>
      <c r="CH6" s="894" t="str">
        <f>I6</f>
        <v>Q4</v>
      </c>
      <c r="CI6" s="139" t="str">
        <f>CE6</f>
        <v>M01</v>
      </c>
      <c r="CJ6" s="139" t="str">
        <f t="shared" ref="CJ6:CK6" si="2">CF6</f>
        <v>M02</v>
      </c>
      <c r="CK6" s="139" t="str">
        <f t="shared" si="2"/>
        <v>M03</v>
      </c>
      <c r="CL6" s="894" t="str">
        <f>CH6</f>
        <v>Q4</v>
      </c>
      <c r="CN6" s="894"/>
    </row>
    <row r="7" spans="2:92" ht="13.5" customHeight="1" outlineLevel="3">
      <c r="B7" s="6"/>
      <c r="C7" s="7" t="s">
        <v>108</v>
      </c>
      <c r="D7" s="7"/>
      <c r="E7" s="8"/>
      <c r="F7" s="604">
        <f>IF(Act!S$3=1,Act!S6,"")</f>
        <v>1356.722</v>
      </c>
      <c r="G7" s="604" t="str">
        <f>IF(Act!T$3=1,Act!T6,"")</f>
        <v/>
      </c>
      <c r="H7" s="604" t="str">
        <f>IF(Act!U$3=1,Act!U6,"")</f>
        <v/>
      </c>
      <c r="I7" s="606">
        <f>SUM(F7:H7)</f>
        <v>1356.722</v>
      </c>
      <c r="K7" s="605">
        <f>IF(BP!S$3=1,BP!S6,"")</f>
        <v>1306.0789219569999</v>
      </c>
      <c r="L7" s="605" t="str">
        <f>IF(BP!T$3=1,BP!T6,"")</f>
        <v/>
      </c>
      <c r="M7" s="605" t="str">
        <f>IF(BP!U$3=1,BP!U6,"")</f>
        <v/>
      </c>
      <c r="N7" s="607">
        <f>SUM(K7:M7)</f>
        <v>1306.0789219569999</v>
      </c>
      <c r="O7" s="608">
        <f>IFERROR(F7-K7,0)</f>
        <v>50.64307804300006</v>
      </c>
      <c r="P7" s="608">
        <f t="shared" ref="P7:P14" si="3">IFERROR(G7-L7,0)</f>
        <v>0</v>
      </c>
      <c r="Q7" s="608">
        <f t="shared" ref="Q7:Q14" si="4">IFERROR(H7-M7,0)</f>
        <v>0</v>
      </c>
      <c r="R7" s="609">
        <f>I7-N7</f>
        <v>50.64307804300006</v>
      </c>
      <c r="S7" s="104"/>
      <c r="T7" s="605">
        <f>IF('FC2+10'!S$3=1,'FC2+10'!S6,"")</f>
        <v>1356.721</v>
      </c>
      <c r="U7" s="605" t="str">
        <f>IF('FC2+10'!T$3=1,'FC2+10'!T6,"")</f>
        <v/>
      </c>
      <c r="V7" s="605" t="str">
        <f>IF('FC2+10'!U$3=1,'FC2+10'!U6,"")</f>
        <v/>
      </c>
      <c r="W7" s="610">
        <f>SUM(T7:V7)</f>
        <v>1356.721</v>
      </c>
      <c r="X7" s="608">
        <f>IFERROR(F7-T7,0)</f>
        <v>9.9999999997635314E-4</v>
      </c>
      <c r="Y7" s="608">
        <f t="shared" ref="Y7:Y14" si="5">IFERROR(G7-U7,0)</f>
        <v>0</v>
      </c>
      <c r="Z7" s="608">
        <f t="shared" ref="Z7:Z14" si="6">IFERROR(H7-V7,0)</f>
        <v>0</v>
      </c>
      <c r="AA7" s="611">
        <f t="shared" ref="AA7:AA14" si="7">I7-W7</f>
        <v>9.9999999997635314E-4</v>
      </c>
      <c r="AB7" s="104"/>
      <c r="AC7" s="605">
        <f>IF(OL!S$3=1,OL!S6,"")</f>
        <v>1238.3779</v>
      </c>
      <c r="AD7" s="605">
        <f>IF(OL!T$3=1,OL!T6,"")</f>
        <v>1315.1610000000001</v>
      </c>
      <c r="AE7" s="605" t="str">
        <f>IF(OL!U$3=1,OL!U6,"")</f>
        <v/>
      </c>
      <c r="AF7" s="612">
        <f>SUM(AC7:AE7)</f>
        <v>2553.5389</v>
      </c>
      <c r="AG7" s="608">
        <f>IFERROR(F7-AC7,0)</f>
        <v>118.34410000000003</v>
      </c>
      <c r="AH7" s="608">
        <f t="shared" ref="AH7:AH14" si="8">IFERROR(G7-AD7,0)</f>
        <v>0</v>
      </c>
      <c r="AI7" s="608">
        <f t="shared" ref="AI7:AI14" si="9">IFERROR(H7-AE7,0)</f>
        <v>0</v>
      </c>
      <c r="AJ7" s="613">
        <f t="shared" ref="AJ7:AJ14" si="10">IFERROR(I7-AF7,0)</f>
        <v>-1196.8169</v>
      </c>
      <c r="AK7" s="104"/>
      <c r="AL7" s="605">
        <f>IF(LY!S$3=1,LY!S6,"")</f>
        <v>1354.65</v>
      </c>
      <c r="AM7" s="605" t="str">
        <f>IF(LY!T$3=1,LY!T6,"")</f>
        <v/>
      </c>
      <c r="AN7" s="605" t="str">
        <f>IF(LY!U$3=1,LY!U6,"")</f>
        <v/>
      </c>
      <c r="AO7" s="614">
        <f>SUM(AL7:AN7)</f>
        <v>1354.65</v>
      </c>
      <c r="AP7" s="608">
        <f>IFERROR(F7-AL7,0)</f>
        <v>2.071999999999889</v>
      </c>
      <c r="AQ7" s="608">
        <f t="shared" ref="AQ7:AQ14" si="11">IFERROR(G7-AM7,0)</f>
        <v>0</v>
      </c>
      <c r="AR7" s="608">
        <f t="shared" ref="AR7:AS14" si="12">IFERROR(H7-AN7,0)</f>
        <v>0</v>
      </c>
      <c r="AS7" s="615">
        <f t="shared" si="12"/>
        <v>2.071999999999889</v>
      </c>
      <c r="AU7" s="605">
        <f>Act!L6</f>
        <v>1406.473</v>
      </c>
      <c r="AV7" s="843" t="e">
        <f>H7-AU7</f>
        <v>#VALUE!</v>
      </c>
      <c r="AW7" s="104"/>
      <c r="AX7" s="605">
        <f>IF('FC5+7'!S$3=1,'FC5+7'!S6,"")</f>
        <v>1356.721</v>
      </c>
      <c r="AY7" s="605" t="str">
        <f>IF('FC5+7'!T$3=1,'FC5+7'!T6,"")</f>
        <v/>
      </c>
      <c r="AZ7" s="605" t="str">
        <f>IF('FC5+7'!U$3=1,'FC5+7'!U6,"")</f>
        <v/>
      </c>
      <c r="BA7" s="610">
        <f>SUM(AX7:AZ7)</f>
        <v>1356.721</v>
      </c>
      <c r="BB7" s="608">
        <f>IFERROR(F7-AX7,0)</f>
        <v>9.9999999997635314E-4</v>
      </c>
      <c r="BC7" s="608">
        <f t="shared" ref="BC7:BC14" si="13">IFERROR(G7-AY7,0)</f>
        <v>0</v>
      </c>
      <c r="BD7" s="608">
        <f t="shared" ref="BD7:BD14" si="14">IFERROR(H7-AZ7,0)</f>
        <v>0</v>
      </c>
      <c r="BE7" s="611">
        <f t="shared" ref="BE7:BE14" si="15">IFERROR(I7-BA7,0)</f>
        <v>9.9999999997635314E-4</v>
      </c>
      <c r="BG7" s="605">
        <f>F7</f>
        <v>1356.722</v>
      </c>
      <c r="BH7" s="605">
        <v>1374.0031647088058</v>
      </c>
      <c r="BI7" s="605">
        <v>1555.0535076298518</v>
      </c>
      <c r="BJ7" s="612">
        <f>SUM(BG7:BI7)</f>
        <v>4285.778672338658</v>
      </c>
      <c r="BK7" s="608">
        <f>IFERROR(F7-AC7,0)</f>
        <v>118.34410000000003</v>
      </c>
      <c r="BL7" s="608">
        <f>IFERROR(G7-AD7,0)</f>
        <v>0</v>
      </c>
      <c r="BM7" s="608">
        <f>IFERROR(AL7-AE7,0)</f>
        <v>0</v>
      </c>
      <c r="BN7" s="613">
        <f>IFERROR(I7-BJ7,0)</f>
        <v>-2929.0566723386582</v>
      </c>
      <c r="BP7" s="605">
        <f>F7</f>
        <v>1356.722</v>
      </c>
      <c r="BQ7" s="605" t="str">
        <f>G7</f>
        <v/>
      </c>
      <c r="BR7" s="605" t="e">
        <f>#REF!</f>
        <v>#REF!</v>
      </c>
      <c r="BS7" s="612" t="e">
        <f>SUM(BP7:BR7)</f>
        <v>#REF!</v>
      </c>
      <c r="BT7" s="608">
        <f>BP7-AC7</f>
        <v>118.34410000000003</v>
      </c>
      <c r="BU7" s="608" t="e">
        <f>BQ7-AD7</f>
        <v>#VALUE!</v>
      </c>
      <c r="BV7" s="608" t="e">
        <f>BR7-AE7</f>
        <v>#REF!</v>
      </c>
      <c r="BW7" s="613" t="e">
        <f>BS7-AF7</f>
        <v>#REF!</v>
      </c>
      <c r="BY7" s="613" t="e">
        <f>H7-BR7</f>
        <v>#VALUE!</v>
      </c>
      <c r="CA7" s="610">
        <f>'FC2+10'!AA6</f>
        <v>3738.5280000000002</v>
      </c>
      <c r="CC7" s="613">
        <f>CA7-I7</f>
        <v>2381.8060000000005</v>
      </c>
      <c r="CE7" s="605">
        <f>IF('FC7+5'!S$3=1,'FC7+5'!S6,"")</f>
        <v>1356.721</v>
      </c>
      <c r="CF7" s="605" t="str">
        <f>IF('FC7+5'!T$3=1,'FC7+5'!T6,"")</f>
        <v/>
      </c>
      <c r="CG7" s="605" t="str">
        <f>IF('FC7+5'!U$3=1,'FC7+5'!U6,"")</f>
        <v/>
      </c>
      <c r="CH7" s="895">
        <f>SUM(CE7:CG7)</f>
        <v>1356.721</v>
      </c>
      <c r="CI7" s="608">
        <f>IFERROR(F7-CE7,0)</f>
        <v>9.9999999997635314E-4</v>
      </c>
      <c r="CJ7" s="608">
        <f t="shared" ref="CJ7:CJ14" si="16">IFERROR(G7-CF7,0)</f>
        <v>0</v>
      </c>
      <c r="CK7" s="608">
        <f t="shared" ref="CK7:CL14" si="17">IFERROR(H7-CG7,0)</f>
        <v>0</v>
      </c>
      <c r="CL7" s="895">
        <f t="shared" si="17"/>
        <v>9.9999999997635314E-4</v>
      </c>
      <c r="CM7" s="895">
        <f>IF('FC7+5'!AC$3=1,'FC7+5'!AC6,"")</f>
        <v>4279.8050000000003</v>
      </c>
      <c r="CN7" s="895">
        <f>I7-CM7</f>
        <v>-2923.0830000000005</v>
      </c>
    </row>
    <row r="8" spans="2:92" ht="13.5" customHeight="1" outlineLevel="3">
      <c r="B8" s="6"/>
      <c r="C8" s="7" t="s">
        <v>109</v>
      </c>
      <c r="D8" s="7"/>
      <c r="E8" s="8"/>
      <c r="F8" s="604">
        <f>IF(Act!S$3=1,Act!S7,"")</f>
        <v>20.428999999999998</v>
      </c>
      <c r="G8" s="604" t="str">
        <f>IF(Act!T$3=1,Act!T7,"")</f>
        <v/>
      </c>
      <c r="H8" s="604" t="str">
        <f>IF(Act!U$3=1,Act!U7,"")</f>
        <v/>
      </c>
      <c r="I8" s="606">
        <f t="shared" ref="I8:I14" si="18">SUM(F8:H8)</f>
        <v>20.428999999999998</v>
      </c>
      <c r="K8" s="605">
        <f>IF(BP!S$3=1,BP!S7,"")</f>
        <v>21.907</v>
      </c>
      <c r="L8" s="605" t="str">
        <f>IF(BP!T$3=1,BP!T7,"")</f>
        <v/>
      </c>
      <c r="M8" s="605" t="str">
        <f>IF(BP!U$3=1,BP!U7,"")</f>
        <v/>
      </c>
      <c r="N8" s="607">
        <f t="shared" ref="N8:N14" si="19">SUM(K8:M8)</f>
        <v>21.907</v>
      </c>
      <c r="O8" s="608">
        <f t="shared" ref="O8:O14" si="20">IFERROR(F8-K8,0)</f>
        <v>-1.4780000000000015</v>
      </c>
      <c r="P8" s="608">
        <f t="shared" si="3"/>
        <v>0</v>
      </c>
      <c r="Q8" s="608">
        <f t="shared" si="4"/>
        <v>0</v>
      </c>
      <c r="R8" s="609">
        <f t="shared" ref="R8:R14" si="21">F8-K8</f>
        <v>-1.4780000000000015</v>
      </c>
      <c r="S8" s="104"/>
      <c r="T8" s="605">
        <f>IF('FC2+10'!S$3=1,'FC2+10'!S7,"")</f>
        <v>20.428999999999998</v>
      </c>
      <c r="U8" s="605" t="str">
        <f>IF('FC2+10'!T$3=1,'FC2+10'!T7,"")</f>
        <v/>
      </c>
      <c r="V8" s="605" t="str">
        <f>IF('FC2+10'!U$3=1,'FC2+10'!U7,"")</f>
        <v/>
      </c>
      <c r="W8" s="610">
        <f t="shared" ref="W8:W14" si="22">SUM(T8:V8)</f>
        <v>20.428999999999998</v>
      </c>
      <c r="X8" s="608">
        <f t="shared" ref="X8:X14" si="23">IFERROR(F8-T8,0)</f>
        <v>0</v>
      </c>
      <c r="Y8" s="608">
        <f t="shared" si="5"/>
        <v>0</v>
      </c>
      <c r="Z8" s="608">
        <f t="shared" si="6"/>
        <v>0</v>
      </c>
      <c r="AA8" s="611">
        <f t="shared" si="7"/>
        <v>0</v>
      </c>
      <c r="AB8" s="104"/>
      <c r="AC8" s="605">
        <f>IF(OL!S$3=1,OL!S7,"")</f>
        <v>28.803000000000001</v>
      </c>
      <c r="AD8" s="605">
        <f>IF(OL!T$3=1,OL!T7,"")</f>
        <v>23.689</v>
      </c>
      <c r="AE8" s="605" t="str">
        <f>IF(OL!U$3=1,OL!U7,"")</f>
        <v/>
      </c>
      <c r="AF8" s="612">
        <f t="shared" ref="AF8:AF14" si="24">SUM(AC8:AE8)</f>
        <v>52.492000000000004</v>
      </c>
      <c r="AG8" s="608">
        <f t="shared" ref="AG8:AG14" si="25">IFERROR(F8-AC8,0)</f>
        <v>-8.3740000000000023</v>
      </c>
      <c r="AH8" s="608">
        <f t="shared" si="8"/>
        <v>0</v>
      </c>
      <c r="AI8" s="608">
        <f t="shared" si="9"/>
        <v>0</v>
      </c>
      <c r="AJ8" s="613">
        <f t="shared" si="10"/>
        <v>-32.063000000000002</v>
      </c>
      <c r="AK8" s="104"/>
      <c r="AL8" s="605">
        <f>IF(LY!S$3=1,LY!S7,"")</f>
        <v>22.135000000000002</v>
      </c>
      <c r="AM8" s="605" t="str">
        <f>IF(LY!T$3=1,LY!T7,"")</f>
        <v/>
      </c>
      <c r="AN8" s="605" t="str">
        <f>IF(LY!U$3=1,LY!U7,"")</f>
        <v/>
      </c>
      <c r="AO8" s="614">
        <f t="shared" ref="AO8:AO14" si="26">SUM(AL8:AN8)</f>
        <v>22.135000000000002</v>
      </c>
      <c r="AP8" s="608">
        <f t="shared" ref="AP8:AP14" si="27">IFERROR(F8-AL8,0)</f>
        <v>-1.7060000000000031</v>
      </c>
      <c r="AQ8" s="608">
        <f t="shared" si="11"/>
        <v>0</v>
      </c>
      <c r="AR8" s="608">
        <f t="shared" si="12"/>
        <v>0</v>
      </c>
      <c r="AS8" s="615">
        <f t="shared" si="12"/>
        <v>-1.7060000000000031</v>
      </c>
      <c r="AU8" s="605">
        <f>Act!L7</f>
        <v>28.564</v>
      </c>
      <c r="AV8" s="843" t="e">
        <f t="shared" ref="AV8:AV71" si="28">H8-AU8</f>
        <v>#VALUE!</v>
      </c>
      <c r="AW8" s="104"/>
      <c r="AX8" s="605">
        <f>IF('FC5+7'!S$3=1,'FC5+7'!S7,"")</f>
        <v>20.428999999999998</v>
      </c>
      <c r="AY8" s="605" t="str">
        <f>IF('FC5+7'!T$3=1,'FC5+7'!T7,"")</f>
        <v/>
      </c>
      <c r="AZ8" s="605" t="str">
        <f>IF('FC5+7'!U$3=1,'FC5+7'!U7,"")</f>
        <v/>
      </c>
      <c r="BA8" s="610">
        <f t="shared" ref="BA8:BA14" si="29">SUM(AX8:AZ8)</f>
        <v>20.428999999999998</v>
      </c>
      <c r="BB8" s="608">
        <f t="shared" ref="BB8:BB14" si="30">IFERROR(F8-AX8,0)</f>
        <v>0</v>
      </c>
      <c r="BC8" s="608">
        <f t="shared" si="13"/>
        <v>0</v>
      </c>
      <c r="BD8" s="608">
        <f t="shared" si="14"/>
        <v>0</v>
      </c>
      <c r="BE8" s="611">
        <f t="shared" si="15"/>
        <v>0</v>
      </c>
      <c r="BG8" s="605">
        <f t="shared" ref="BG8:BG71" si="31">F8</f>
        <v>20.428999999999998</v>
      </c>
      <c r="BH8" s="605">
        <v>27.635000000000002</v>
      </c>
      <c r="BI8" s="605">
        <v>34.497999999999998</v>
      </c>
      <c r="BJ8" s="612">
        <f t="shared" ref="BJ8:BJ14" si="32">SUM(BG8:BI8)</f>
        <v>82.561999999999998</v>
      </c>
      <c r="BK8" s="608">
        <f t="shared" ref="BK8:BK71" si="33">IFERROR(F8-AC8,0)</f>
        <v>-8.3740000000000023</v>
      </c>
      <c r="BL8" s="608">
        <f t="shared" ref="BL8:BL71" si="34">IFERROR(G8-AD8,0)</f>
        <v>0</v>
      </c>
      <c r="BM8" s="608">
        <f t="shared" ref="BM8:BM71" si="35">IFERROR(AL8-AE8,0)</f>
        <v>0</v>
      </c>
      <c r="BN8" s="613">
        <f t="shared" ref="BN8:BN47" si="36">IFERROR(I8-BJ8,0)</f>
        <v>-62.132999999999996</v>
      </c>
      <c r="BP8" s="605">
        <f t="shared" ref="BP8:BQ71" si="37">F8</f>
        <v>20.428999999999998</v>
      </c>
      <c r="BQ8" s="605" t="str">
        <f t="shared" si="37"/>
        <v/>
      </c>
      <c r="BR8" s="605" t="e">
        <f>#REF!</f>
        <v>#REF!</v>
      </c>
      <c r="BS8" s="612" t="e">
        <f t="shared" ref="BS8:BS14" si="38">SUM(BP8:BR8)</f>
        <v>#REF!</v>
      </c>
      <c r="BT8" s="608">
        <f t="shared" ref="BT8:BT71" si="39">BP8-AC8</f>
        <v>-8.3740000000000023</v>
      </c>
      <c r="BU8" s="608" t="e">
        <f t="shared" ref="BU8:BU71" si="40">BQ8-AD8</f>
        <v>#VALUE!</v>
      </c>
      <c r="BV8" s="608" t="e">
        <f t="shared" ref="BV8:BV71" si="41">BR8-AE8</f>
        <v>#REF!</v>
      </c>
      <c r="BW8" s="613" t="e">
        <f t="shared" ref="BW8:BW71" si="42">BS8-AF8</f>
        <v>#REF!</v>
      </c>
      <c r="BY8" s="613" t="e">
        <f t="shared" ref="BY8:BY71" si="43">H8-BR8</f>
        <v>#VALUE!</v>
      </c>
      <c r="CA8" s="610">
        <f>'FC2+10'!AA7</f>
        <v>80.376000000000005</v>
      </c>
      <c r="CC8" s="613">
        <f t="shared" ref="CC8:CC71" si="44">CA8-I8</f>
        <v>59.947000000000003</v>
      </c>
      <c r="CE8" s="605">
        <f>IF('FC7+5'!S$3=1,'FC7+5'!S7,"")</f>
        <v>20.428999999999998</v>
      </c>
      <c r="CF8" s="605" t="str">
        <f>IF('FC7+5'!T$3=1,'FC7+5'!T7,"")</f>
        <v/>
      </c>
      <c r="CG8" s="605" t="str">
        <f>IF('FC7+5'!U$3=1,'FC7+5'!U7,"")</f>
        <v/>
      </c>
      <c r="CH8" s="895">
        <f t="shared" ref="CH8:CH14" si="45">SUM(CE8:CG8)</f>
        <v>20.428999999999998</v>
      </c>
      <c r="CI8" s="608">
        <f t="shared" ref="CI8:CI14" si="46">IFERROR(F8-CE8,0)</f>
        <v>0</v>
      </c>
      <c r="CJ8" s="608">
        <f t="shared" si="16"/>
        <v>0</v>
      </c>
      <c r="CK8" s="608">
        <f t="shared" si="17"/>
        <v>0</v>
      </c>
      <c r="CL8" s="895">
        <f t="shared" si="17"/>
        <v>0</v>
      </c>
      <c r="CM8" s="895">
        <f>IF('FC7+5'!AC$3=1,'FC7+5'!AC7,"")</f>
        <v>105.196</v>
      </c>
      <c r="CN8" s="895">
        <f t="shared" ref="CN8:CN71" si="47">I8-CM8</f>
        <v>-84.766999999999996</v>
      </c>
    </row>
    <row r="9" spans="2:92" ht="13.5" customHeight="1" outlineLevel="3">
      <c r="B9" s="6"/>
      <c r="C9" s="7" t="s">
        <v>110</v>
      </c>
      <c r="D9" s="7"/>
      <c r="E9" s="8"/>
      <c r="F9" s="604">
        <f>IF(Act!S$3=1,Act!S8,"")</f>
        <v>0</v>
      </c>
      <c r="G9" s="604" t="str">
        <f>IF(Act!T$3=1,Act!T8,"")</f>
        <v/>
      </c>
      <c r="H9" s="604" t="str">
        <f>IF(Act!U$3=1,Act!U8,"")</f>
        <v/>
      </c>
      <c r="I9" s="606">
        <f t="shared" si="18"/>
        <v>0</v>
      </c>
      <c r="K9" s="605">
        <f>IF(BP!S$3=1,BP!S8,"")</f>
        <v>0</v>
      </c>
      <c r="L9" s="605" t="str">
        <f>IF(BP!T$3=1,BP!T8,"")</f>
        <v/>
      </c>
      <c r="M9" s="605" t="str">
        <f>IF(BP!U$3=1,BP!U8,"")</f>
        <v/>
      </c>
      <c r="N9" s="607">
        <f t="shared" si="19"/>
        <v>0</v>
      </c>
      <c r="O9" s="608">
        <f t="shared" si="20"/>
        <v>0</v>
      </c>
      <c r="P9" s="608">
        <f t="shared" si="3"/>
        <v>0</v>
      </c>
      <c r="Q9" s="608">
        <f t="shared" si="4"/>
        <v>0</v>
      </c>
      <c r="R9" s="609">
        <f t="shared" si="21"/>
        <v>0</v>
      </c>
      <c r="S9" s="104"/>
      <c r="T9" s="605">
        <f>IF('FC2+10'!S$3=1,'FC2+10'!S8,"")</f>
        <v>0</v>
      </c>
      <c r="U9" s="605" t="str">
        <f>IF('FC2+10'!T$3=1,'FC2+10'!T8,"")</f>
        <v/>
      </c>
      <c r="V9" s="605" t="str">
        <f>IF('FC2+10'!U$3=1,'FC2+10'!U8,"")</f>
        <v/>
      </c>
      <c r="W9" s="610">
        <f t="shared" si="22"/>
        <v>0</v>
      </c>
      <c r="X9" s="608">
        <f t="shared" si="23"/>
        <v>0</v>
      </c>
      <c r="Y9" s="608">
        <f t="shared" si="5"/>
        <v>0</v>
      </c>
      <c r="Z9" s="608">
        <f t="shared" si="6"/>
        <v>0</v>
      </c>
      <c r="AA9" s="611">
        <f t="shared" si="7"/>
        <v>0</v>
      </c>
      <c r="AB9" s="104"/>
      <c r="AC9" s="605">
        <f>IF(OL!S$3=1,OL!S8,"")</f>
        <v>0</v>
      </c>
      <c r="AD9" s="605">
        <f>IF(OL!T$3=1,OL!T8,"")</f>
        <v>0</v>
      </c>
      <c r="AE9" s="605" t="str">
        <f>IF(OL!U$3=1,OL!U8,"")</f>
        <v/>
      </c>
      <c r="AF9" s="612">
        <f t="shared" si="24"/>
        <v>0</v>
      </c>
      <c r="AG9" s="608">
        <f t="shared" si="25"/>
        <v>0</v>
      </c>
      <c r="AH9" s="608">
        <f t="shared" si="8"/>
        <v>0</v>
      </c>
      <c r="AI9" s="608">
        <f t="shared" si="9"/>
        <v>0</v>
      </c>
      <c r="AJ9" s="613">
        <f t="shared" si="10"/>
        <v>0</v>
      </c>
      <c r="AK9" s="104"/>
      <c r="AL9" s="605">
        <f>IF(LY!S$3=1,LY!S8,"")</f>
        <v>0</v>
      </c>
      <c r="AM9" s="605" t="str">
        <f>IF(LY!T$3=1,LY!T8,"")</f>
        <v/>
      </c>
      <c r="AN9" s="605" t="str">
        <f>IF(LY!U$3=1,LY!U8,"")</f>
        <v/>
      </c>
      <c r="AO9" s="614">
        <f t="shared" si="26"/>
        <v>0</v>
      </c>
      <c r="AP9" s="608">
        <f t="shared" si="27"/>
        <v>0</v>
      </c>
      <c r="AQ9" s="608">
        <f t="shared" si="11"/>
        <v>0</v>
      </c>
      <c r="AR9" s="608">
        <f t="shared" si="12"/>
        <v>0</v>
      </c>
      <c r="AS9" s="615">
        <f t="shared" si="12"/>
        <v>0</v>
      </c>
      <c r="AU9" s="605">
        <f>Act!L8</f>
        <v>0</v>
      </c>
      <c r="AV9" s="843" t="e">
        <f t="shared" si="28"/>
        <v>#VALUE!</v>
      </c>
      <c r="AW9" s="104"/>
      <c r="AX9" s="605">
        <f>IF('FC5+7'!S$3=1,'FC5+7'!S8,"")</f>
        <v>0</v>
      </c>
      <c r="AY9" s="605" t="str">
        <f>IF('FC5+7'!T$3=1,'FC5+7'!T8,"")</f>
        <v/>
      </c>
      <c r="AZ9" s="605" t="str">
        <f>IF('FC5+7'!U$3=1,'FC5+7'!U8,"")</f>
        <v/>
      </c>
      <c r="BA9" s="610">
        <f t="shared" si="29"/>
        <v>0</v>
      </c>
      <c r="BB9" s="608">
        <f t="shared" si="30"/>
        <v>0</v>
      </c>
      <c r="BC9" s="608">
        <f t="shared" si="13"/>
        <v>0</v>
      </c>
      <c r="BD9" s="608">
        <f t="shared" si="14"/>
        <v>0</v>
      </c>
      <c r="BE9" s="611">
        <f t="shared" si="15"/>
        <v>0</v>
      </c>
      <c r="BG9" s="605">
        <f t="shared" si="31"/>
        <v>0</v>
      </c>
      <c r="BH9" s="605">
        <v>0</v>
      </c>
      <c r="BI9" s="605">
        <v>0</v>
      </c>
      <c r="BJ9" s="612">
        <f t="shared" si="32"/>
        <v>0</v>
      </c>
      <c r="BK9" s="608">
        <f t="shared" si="33"/>
        <v>0</v>
      </c>
      <c r="BL9" s="608">
        <f t="shared" si="34"/>
        <v>0</v>
      </c>
      <c r="BM9" s="608">
        <f t="shared" si="35"/>
        <v>0</v>
      </c>
      <c r="BN9" s="613">
        <f t="shared" si="36"/>
        <v>0</v>
      </c>
      <c r="BP9" s="605">
        <f t="shared" si="37"/>
        <v>0</v>
      </c>
      <c r="BQ9" s="605" t="str">
        <f t="shared" si="37"/>
        <v/>
      </c>
      <c r="BR9" s="605" t="e">
        <f>#REF!</f>
        <v>#REF!</v>
      </c>
      <c r="BS9" s="612" t="e">
        <f t="shared" si="38"/>
        <v>#REF!</v>
      </c>
      <c r="BT9" s="608">
        <f t="shared" si="39"/>
        <v>0</v>
      </c>
      <c r="BU9" s="608" t="e">
        <f t="shared" si="40"/>
        <v>#VALUE!</v>
      </c>
      <c r="BV9" s="608" t="e">
        <f t="shared" si="41"/>
        <v>#REF!</v>
      </c>
      <c r="BW9" s="613" t="e">
        <f t="shared" si="42"/>
        <v>#REF!</v>
      </c>
      <c r="BY9" s="613" t="e">
        <f t="shared" si="43"/>
        <v>#VALUE!</v>
      </c>
      <c r="CA9" s="610">
        <f>'FC2+10'!AA8</f>
        <v>0</v>
      </c>
      <c r="CC9" s="613">
        <f t="shared" si="44"/>
        <v>0</v>
      </c>
      <c r="CE9" s="605">
        <f>IF('FC7+5'!S$3=1,'FC7+5'!S8,"")</f>
        <v>0</v>
      </c>
      <c r="CF9" s="605" t="str">
        <f>IF('FC7+5'!T$3=1,'FC7+5'!T8,"")</f>
        <v/>
      </c>
      <c r="CG9" s="605" t="str">
        <f>IF('FC7+5'!U$3=1,'FC7+5'!U8,"")</f>
        <v/>
      </c>
      <c r="CH9" s="895">
        <f t="shared" si="45"/>
        <v>0</v>
      </c>
      <c r="CI9" s="608">
        <f t="shared" si="46"/>
        <v>0</v>
      </c>
      <c r="CJ9" s="608">
        <f t="shared" si="16"/>
        <v>0</v>
      </c>
      <c r="CK9" s="608">
        <f t="shared" si="17"/>
        <v>0</v>
      </c>
      <c r="CL9" s="895">
        <f t="shared" si="17"/>
        <v>0</v>
      </c>
      <c r="CM9" s="895">
        <f>IF('FC7+5'!AC$3=1,'FC7+5'!AC8,"")</f>
        <v>0</v>
      </c>
      <c r="CN9" s="895">
        <f t="shared" si="47"/>
        <v>0</v>
      </c>
    </row>
    <row r="10" spans="2:92" ht="13.5" customHeight="1" outlineLevel="3">
      <c r="B10" s="6"/>
      <c r="C10" s="7" t="s">
        <v>111</v>
      </c>
      <c r="D10" s="7"/>
      <c r="E10" s="8"/>
      <c r="F10" s="604">
        <f>IF(Act!S$3=1,Act!S9,"")</f>
        <v>0</v>
      </c>
      <c r="G10" s="604" t="str">
        <f>IF(Act!T$3=1,Act!T9,"")</f>
        <v/>
      </c>
      <c r="H10" s="604" t="str">
        <f>IF(Act!U$3=1,Act!U9,"")</f>
        <v/>
      </c>
      <c r="I10" s="606">
        <f t="shared" si="18"/>
        <v>0</v>
      </c>
      <c r="K10" s="605">
        <f>IF(BP!S$3=1,BP!S9,"")</f>
        <v>0</v>
      </c>
      <c r="L10" s="605" t="str">
        <f>IF(BP!T$3=1,BP!T9,"")</f>
        <v/>
      </c>
      <c r="M10" s="605" t="str">
        <f>IF(BP!U$3=1,BP!U9,"")</f>
        <v/>
      </c>
      <c r="N10" s="607">
        <f t="shared" si="19"/>
        <v>0</v>
      </c>
      <c r="O10" s="608">
        <f t="shared" si="20"/>
        <v>0</v>
      </c>
      <c r="P10" s="608">
        <f t="shared" si="3"/>
        <v>0</v>
      </c>
      <c r="Q10" s="608">
        <f t="shared" si="4"/>
        <v>0</v>
      </c>
      <c r="R10" s="609">
        <f t="shared" si="21"/>
        <v>0</v>
      </c>
      <c r="S10" s="104"/>
      <c r="T10" s="605">
        <f>IF('FC2+10'!S$3=1,'FC2+10'!S9,"")</f>
        <v>0</v>
      </c>
      <c r="U10" s="605" t="str">
        <f>IF('FC2+10'!T$3=1,'FC2+10'!T9,"")</f>
        <v/>
      </c>
      <c r="V10" s="605" t="str">
        <f>IF('FC2+10'!U$3=1,'FC2+10'!U9,"")</f>
        <v/>
      </c>
      <c r="W10" s="610">
        <f t="shared" si="22"/>
        <v>0</v>
      </c>
      <c r="X10" s="608">
        <f t="shared" si="23"/>
        <v>0</v>
      </c>
      <c r="Y10" s="608">
        <f t="shared" si="5"/>
        <v>0</v>
      </c>
      <c r="Z10" s="608">
        <f t="shared" si="6"/>
        <v>0</v>
      </c>
      <c r="AA10" s="611">
        <f>I10-W10</f>
        <v>0</v>
      </c>
      <c r="AB10" s="104"/>
      <c r="AC10" s="605">
        <f>IF(OL!S$3=1,OL!S9,"")</f>
        <v>0</v>
      </c>
      <c r="AD10" s="605">
        <f>IF(OL!T$3=1,OL!T9,"")</f>
        <v>0</v>
      </c>
      <c r="AE10" s="605" t="str">
        <f>IF(OL!U$3=1,OL!U9,"")</f>
        <v/>
      </c>
      <c r="AF10" s="612">
        <f t="shared" si="24"/>
        <v>0</v>
      </c>
      <c r="AG10" s="608">
        <f t="shared" si="25"/>
        <v>0</v>
      </c>
      <c r="AH10" s="608">
        <f t="shared" si="8"/>
        <v>0</v>
      </c>
      <c r="AI10" s="608">
        <f t="shared" si="9"/>
        <v>0</v>
      </c>
      <c r="AJ10" s="613">
        <f t="shared" si="10"/>
        <v>0</v>
      </c>
      <c r="AK10" s="104"/>
      <c r="AL10" s="605">
        <f>IF(LY!S$3=1,LY!S9,"")</f>
        <v>0</v>
      </c>
      <c r="AM10" s="605" t="str">
        <f>IF(LY!T$3=1,LY!T9,"")</f>
        <v/>
      </c>
      <c r="AN10" s="605" t="str">
        <f>IF(LY!U$3=1,LY!U9,"")</f>
        <v/>
      </c>
      <c r="AO10" s="614">
        <f t="shared" si="26"/>
        <v>0</v>
      </c>
      <c r="AP10" s="608">
        <f t="shared" si="27"/>
        <v>0</v>
      </c>
      <c r="AQ10" s="608">
        <f t="shared" si="11"/>
        <v>0</v>
      </c>
      <c r="AR10" s="608">
        <f t="shared" si="12"/>
        <v>0</v>
      </c>
      <c r="AS10" s="615">
        <f t="shared" si="12"/>
        <v>0</v>
      </c>
      <c r="AU10" s="605">
        <f>Act!L9</f>
        <v>0</v>
      </c>
      <c r="AV10" s="843" t="e">
        <f t="shared" si="28"/>
        <v>#VALUE!</v>
      </c>
      <c r="AW10" s="104"/>
      <c r="AX10" s="605">
        <f>IF('FC5+7'!S$3=1,'FC5+7'!S9,"")</f>
        <v>0</v>
      </c>
      <c r="AY10" s="605" t="str">
        <f>IF('FC5+7'!T$3=1,'FC5+7'!T9,"")</f>
        <v/>
      </c>
      <c r="AZ10" s="605" t="str">
        <f>IF('FC5+7'!U$3=1,'FC5+7'!U9,"")</f>
        <v/>
      </c>
      <c r="BA10" s="610">
        <f t="shared" si="29"/>
        <v>0</v>
      </c>
      <c r="BB10" s="608">
        <f t="shared" si="30"/>
        <v>0</v>
      </c>
      <c r="BC10" s="608">
        <f t="shared" si="13"/>
        <v>0</v>
      </c>
      <c r="BD10" s="608">
        <f t="shared" si="14"/>
        <v>0</v>
      </c>
      <c r="BE10" s="611">
        <f t="shared" si="15"/>
        <v>0</v>
      </c>
      <c r="BG10" s="605">
        <f t="shared" si="31"/>
        <v>0</v>
      </c>
      <c r="BH10" s="605">
        <v>0</v>
      </c>
      <c r="BI10" s="605">
        <v>0</v>
      </c>
      <c r="BJ10" s="612">
        <f t="shared" si="32"/>
        <v>0</v>
      </c>
      <c r="BK10" s="608">
        <f t="shared" si="33"/>
        <v>0</v>
      </c>
      <c r="BL10" s="608">
        <f t="shared" si="34"/>
        <v>0</v>
      </c>
      <c r="BM10" s="608">
        <f t="shared" si="35"/>
        <v>0</v>
      </c>
      <c r="BN10" s="613">
        <f t="shared" si="36"/>
        <v>0</v>
      </c>
      <c r="BP10" s="605">
        <f t="shared" si="37"/>
        <v>0</v>
      </c>
      <c r="BQ10" s="605" t="str">
        <f t="shared" si="37"/>
        <v/>
      </c>
      <c r="BR10" s="605" t="e">
        <f>#REF!</f>
        <v>#REF!</v>
      </c>
      <c r="BS10" s="612" t="e">
        <f t="shared" si="38"/>
        <v>#REF!</v>
      </c>
      <c r="BT10" s="608">
        <f t="shared" si="39"/>
        <v>0</v>
      </c>
      <c r="BU10" s="608" t="e">
        <f t="shared" si="40"/>
        <v>#VALUE!</v>
      </c>
      <c r="BV10" s="608" t="e">
        <f t="shared" si="41"/>
        <v>#REF!</v>
      </c>
      <c r="BW10" s="613" t="e">
        <f t="shared" si="42"/>
        <v>#REF!</v>
      </c>
      <c r="BY10" s="613" t="e">
        <f t="shared" si="43"/>
        <v>#VALUE!</v>
      </c>
      <c r="CA10" s="610">
        <f>'FC2+10'!AA9</f>
        <v>0</v>
      </c>
      <c r="CC10" s="613">
        <f t="shared" si="44"/>
        <v>0</v>
      </c>
      <c r="CE10" s="605">
        <f>IF('FC7+5'!S$3=1,'FC7+5'!S9,"")</f>
        <v>0</v>
      </c>
      <c r="CF10" s="605" t="str">
        <f>IF('FC7+5'!T$3=1,'FC7+5'!T9,"")</f>
        <v/>
      </c>
      <c r="CG10" s="605" t="str">
        <f>IF('FC7+5'!U$3=1,'FC7+5'!U9,"")</f>
        <v/>
      </c>
      <c r="CH10" s="895">
        <f t="shared" si="45"/>
        <v>0</v>
      </c>
      <c r="CI10" s="608">
        <f t="shared" si="46"/>
        <v>0</v>
      </c>
      <c r="CJ10" s="608">
        <f t="shared" si="16"/>
        <v>0</v>
      </c>
      <c r="CK10" s="608">
        <f t="shared" si="17"/>
        <v>0</v>
      </c>
      <c r="CL10" s="895">
        <f t="shared" si="17"/>
        <v>0</v>
      </c>
      <c r="CM10" s="895">
        <f>IF('FC7+5'!AC$3=1,'FC7+5'!AC9,"")</f>
        <v>0</v>
      </c>
      <c r="CN10" s="895">
        <f t="shared" si="47"/>
        <v>0</v>
      </c>
    </row>
    <row r="11" spans="2:92" ht="13.5" customHeight="1" outlineLevel="3">
      <c r="B11" s="6"/>
      <c r="C11" s="7" t="s">
        <v>112</v>
      </c>
      <c r="D11" s="7"/>
      <c r="E11" s="8"/>
      <c r="F11" s="604">
        <f>IF(Act!S$3=1,Act!S10,"")</f>
        <v>16.117999999999999</v>
      </c>
      <c r="G11" s="604" t="str">
        <f>IF(Act!T$3=1,Act!T10,"")</f>
        <v/>
      </c>
      <c r="H11" s="604" t="str">
        <f>IF(Act!U$3=1,Act!U10,"")</f>
        <v/>
      </c>
      <c r="I11" s="606">
        <f t="shared" si="18"/>
        <v>16.117999999999999</v>
      </c>
      <c r="K11" s="605">
        <f>IF(BP!S$3=1,BP!S10,"")</f>
        <v>15.356999999999999</v>
      </c>
      <c r="L11" s="605" t="str">
        <f>IF(BP!T$3=1,BP!T10,"")</f>
        <v/>
      </c>
      <c r="M11" s="605" t="str">
        <f>IF(BP!U$3=1,BP!U10,"")</f>
        <v/>
      </c>
      <c r="N11" s="607">
        <f t="shared" si="19"/>
        <v>15.356999999999999</v>
      </c>
      <c r="O11" s="608">
        <f t="shared" si="20"/>
        <v>0.76099999999999923</v>
      </c>
      <c r="P11" s="608">
        <f t="shared" si="3"/>
        <v>0</v>
      </c>
      <c r="Q11" s="608">
        <f t="shared" si="4"/>
        <v>0</v>
      </c>
      <c r="R11" s="609">
        <f t="shared" si="21"/>
        <v>0.76099999999999923</v>
      </c>
      <c r="S11" s="104"/>
      <c r="T11" s="605">
        <f>IF('FC2+10'!S$3=1,'FC2+10'!S10,"")</f>
        <v>16.117999999999999</v>
      </c>
      <c r="U11" s="605" t="str">
        <f>IF('FC2+10'!T$3=1,'FC2+10'!T10,"")</f>
        <v/>
      </c>
      <c r="V11" s="605" t="str">
        <f>IF('FC2+10'!U$3=1,'FC2+10'!U10,"")</f>
        <v/>
      </c>
      <c r="W11" s="610">
        <f t="shared" si="22"/>
        <v>16.117999999999999</v>
      </c>
      <c r="X11" s="608">
        <f t="shared" si="23"/>
        <v>0</v>
      </c>
      <c r="Y11" s="608">
        <f t="shared" si="5"/>
        <v>0</v>
      </c>
      <c r="Z11" s="608">
        <f t="shared" si="6"/>
        <v>0</v>
      </c>
      <c r="AA11" s="611">
        <f t="shared" si="7"/>
        <v>0</v>
      </c>
      <c r="AB11" s="104"/>
      <c r="AC11" s="605">
        <f>IF(OL!S$3=1,OL!S10,"")</f>
        <v>28.884</v>
      </c>
      <c r="AD11" s="605">
        <f>IF(OL!T$3=1,OL!T10,"")</f>
        <v>32.723999999999997</v>
      </c>
      <c r="AE11" s="605" t="str">
        <f>IF(OL!U$3=1,OL!U10,"")</f>
        <v/>
      </c>
      <c r="AF11" s="612">
        <f t="shared" si="24"/>
        <v>61.607999999999997</v>
      </c>
      <c r="AG11" s="608">
        <f t="shared" si="25"/>
        <v>-12.766000000000002</v>
      </c>
      <c r="AH11" s="608">
        <f t="shared" si="8"/>
        <v>0</v>
      </c>
      <c r="AI11" s="608">
        <f t="shared" si="9"/>
        <v>0</v>
      </c>
      <c r="AJ11" s="613">
        <f t="shared" si="10"/>
        <v>-45.489999999999995</v>
      </c>
      <c r="AK11" s="104"/>
      <c r="AL11" s="605">
        <f>IF(LY!S$3=1,LY!S10,"")</f>
        <v>21.245000000000001</v>
      </c>
      <c r="AM11" s="605" t="str">
        <f>IF(LY!T$3=1,LY!T10,"")</f>
        <v/>
      </c>
      <c r="AN11" s="605" t="str">
        <f>IF(LY!U$3=1,LY!U10,"")</f>
        <v/>
      </c>
      <c r="AO11" s="614">
        <f t="shared" si="26"/>
        <v>21.245000000000001</v>
      </c>
      <c r="AP11" s="608">
        <f t="shared" si="27"/>
        <v>-5.1270000000000024</v>
      </c>
      <c r="AQ11" s="608">
        <f t="shared" si="11"/>
        <v>0</v>
      </c>
      <c r="AR11" s="608">
        <f t="shared" si="12"/>
        <v>0</v>
      </c>
      <c r="AS11" s="615">
        <f t="shared" si="12"/>
        <v>-5.1270000000000024</v>
      </c>
      <c r="AU11" s="605">
        <f>Act!L10</f>
        <v>31.667000000000002</v>
      </c>
      <c r="AV11" s="843" t="e">
        <f t="shared" si="28"/>
        <v>#VALUE!</v>
      </c>
      <c r="AW11" s="104"/>
      <c r="AX11" s="605">
        <f>IF('FC5+7'!S$3=1,'FC5+7'!S10,"")</f>
        <v>16.117999999999999</v>
      </c>
      <c r="AY11" s="605" t="str">
        <f>IF('FC5+7'!T$3=1,'FC5+7'!T10,"")</f>
        <v/>
      </c>
      <c r="AZ11" s="605" t="str">
        <f>IF('FC5+7'!U$3=1,'FC5+7'!U10,"")</f>
        <v/>
      </c>
      <c r="BA11" s="610">
        <f t="shared" si="29"/>
        <v>16.117999999999999</v>
      </c>
      <c r="BB11" s="608">
        <f t="shared" si="30"/>
        <v>0</v>
      </c>
      <c r="BC11" s="608">
        <f t="shared" si="13"/>
        <v>0</v>
      </c>
      <c r="BD11" s="608">
        <f t="shared" si="14"/>
        <v>0</v>
      </c>
      <c r="BE11" s="611">
        <f t="shared" si="15"/>
        <v>0</v>
      </c>
      <c r="BG11" s="605">
        <f t="shared" si="31"/>
        <v>16.117999999999999</v>
      </c>
      <c r="BH11" s="605">
        <v>20.751999999999999</v>
      </c>
      <c r="BI11" s="605">
        <v>33.695</v>
      </c>
      <c r="BJ11" s="612">
        <f t="shared" si="32"/>
        <v>70.564999999999998</v>
      </c>
      <c r="BK11" s="608">
        <f t="shared" si="33"/>
        <v>-12.766000000000002</v>
      </c>
      <c r="BL11" s="608">
        <f t="shared" si="34"/>
        <v>0</v>
      </c>
      <c r="BM11" s="608">
        <f t="shared" si="35"/>
        <v>0</v>
      </c>
      <c r="BN11" s="613">
        <f t="shared" si="36"/>
        <v>-54.447000000000003</v>
      </c>
      <c r="BP11" s="605">
        <f t="shared" si="37"/>
        <v>16.117999999999999</v>
      </c>
      <c r="BQ11" s="605" t="str">
        <f t="shared" si="37"/>
        <v/>
      </c>
      <c r="BR11" s="605" t="e">
        <f>#REF!</f>
        <v>#REF!</v>
      </c>
      <c r="BS11" s="612" t="e">
        <f t="shared" si="38"/>
        <v>#REF!</v>
      </c>
      <c r="BT11" s="608">
        <f t="shared" si="39"/>
        <v>-12.766000000000002</v>
      </c>
      <c r="BU11" s="608" t="e">
        <f t="shared" si="40"/>
        <v>#VALUE!</v>
      </c>
      <c r="BV11" s="608" t="e">
        <f t="shared" si="41"/>
        <v>#REF!</v>
      </c>
      <c r="BW11" s="613" t="e">
        <f t="shared" si="42"/>
        <v>#REF!</v>
      </c>
      <c r="BY11" s="613" t="e">
        <f t="shared" si="43"/>
        <v>#VALUE!</v>
      </c>
      <c r="CA11" s="610">
        <f>'FC2+10'!AA10</f>
        <v>76.488</v>
      </c>
      <c r="CC11" s="613">
        <f t="shared" si="44"/>
        <v>60.370000000000005</v>
      </c>
      <c r="CE11" s="605">
        <f>IF('FC7+5'!S$3=1,'FC7+5'!S10,"")</f>
        <v>16.117999999999999</v>
      </c>
      <c r="CF11" s="605" t="str">
        <f>IF('FC7+5'!T$3=1,'FC7+5'!T10,"")</f>
        <v/>
      </c>
      <c r="CG11" s="605" t="str">
        <f>IF('FC7+5'!U$3=1,'FC7+5'!U10,"")</f>
        <v/>
      </c>
      <c r="CH11" s="895">
        <f t="shared" si="45"/>
        <v>16.117999999999999</v>
      </c>
      <c r="CI11" s="608">
        <f t="shared" si="46"/>
        <v>0</v>
      </c>
      <c r="CJ11" s="608">
        <f t="shared" si="16"/>
        <v>0</v>
      </c>
      <c r="CK11" s="608">
        <f t="shared" si="17"/>
        <v>0</v>
      </c>
      <c r="CL11" s="895">
        <f t="shared" si="17"/>
        <v>0</v>
      </c>
      <c r="CM11" s="895">
        <f>IF('FC7+5'!AC$3=1,'FC7+5'!AC10,"")</f>
        <v>107.63399999999999</v>
      </c>
      <c r="CN11" s="895">
        <f t="shared" si="47"/>
        <v>-91.515999999999991</v>
      </c>
    </row>
    <row r="12" spans="2:92" ht="13.5" customHeight="1" outlineLevel="3">
      <c r="B12" s="6"/>
      <c r="C12" s="7" t="s">
        <v>113</v>
      </c>
      <c r="D12" s="7"/>
      <c r="E12" s="8"/>
      <c r="F12" s="604">
        <f>IF(Act!S$3=1,Act!S11,"")</f>
        <v>7.0000000000000001E-3</v>
      </c>
      <c r="G12" s="604" t="str">
        <f>IF(Act!T$3=1,Act!T11,"")</f>
        <v/>
      </c>
      <c r="H12" s="604" t="str">
        <f>IF(Act!U$3=1,Act!U11,"")</f>
        <v/>
      </c>
      <c r="I12" s="606">
        <f t="shared" si="18"/>
        <v>7.0000000000000001E-3</v>
      </c>
      <c r="K12" s="605">
        <f>IF(BP!S$3=1,BP!S11,"")</f>
        <v>8.9999999999999993E-3</v>
      </c>
      <c r="L12" s="605" t="str">
        <f>IF(BP!T$3=1,BP!T11,"")</f>
        <v/>
      </c>
      <c r="M12" s="605" t="str">
        <f>IF(BP!U$3=1,BP!U11,"")</f>
        <v/>
      </c>
      <c r="N12" s="607">
        <f t="shared" si="19"/>
        <v>8.9999999999999993E-3</v>
      </c>
      <c r="O12" s="608">
        <f t="shared" si="20"/>
        <v>-1.9999999999999992E-3</v>
      </c>
      <c r="P12" s="608">
        <f t="shared" si="3"/>
        <v>0</v>
      </c>
      <c r="Q12" s="608">
        <f t="shared" si="4"/>
        <v>0</v>
      </c>
      <c r="R12" s="609">
        <f t="shared" si="21"/>
        <v>-1.9999999999999992E-3</v>
      </c>
      <c r="S12" s="104"/>
      <c r="T12" s="605">
        <f>IF('FC2+10'!S$3=1,'FC2+10'!S11,"")</f>
        <v>7.0000000000000001E-3</v>
      </c>
      <c r="U12" s="605" t="str">
        <f>IF('FC2+10'!T$3=1,'FC2+10'!T11,"")</f>
        <v/>
      </c>
      <c r="V12" s="605" t="str">
        <f>IF('FC2+10'!U$3=1,'FC2+10'!U11,"")</f>
        <v/>
      </c>
      <c r="W12" s="610">
        <f t="shared" si="22"/>
        <v>7.0000000000000001E-3</v>
      </c>
      <c r="X12" s="608">
        <f t="shared" si="23"/>
        <v>0</v>
      </c>
      <c r="Y12" s="608">
        <f t="shared" si="5"/>
        <v>0</v>
      </c>
      <c r="Z12" s="608">
        <f t="shared" si="6"/>
        <v>0</v>
      </c>
      <c r="AA12" s="611">
        <f t="shared" si="7"/>
        <v>0</v>
      </c>
      <c r="AB12" s="104"/>
      <c r="AC12" s="605">
        <f>IF(OL!S$3=1,OL!S11,"")</f>
        <v>2E-3</v>
      </c>
      <c r="AD12" s="605">
        <f>IF(OL!T$3=1,OL!T11,"")</f>
        <v>0</v>
      </c>
      <c r="AE12" s="605" t="str">
        <f>IF(OL!U$3=1,OL!U11,"")</f>
        <v/>
      </c>
      <c r="AF12" s="612">
        <f t="shared" si="24"/>
        <v>2E-3</v>
      </c>
      <c r="AG12" s="608">
        <f t="shared" si="25"/>
        <v>5.0000000000000001E-3</v>
      </c>
      <c r="AH12" s="608">
        <f t="shared" si="8"/>
        <v>0</v>
      </c>
      <c r="AI12" s="608">
        <f t="shared" si="9"/>
        <v>0</v>
      </c>
      <c r="AJ12" s="613">
        <f t="shared" si="10"/>
        <v>5.0000000000000001E-3</v>
      </c>
      <c r="AK12" s="104"/>
      <c r="AL12" s="605">
        <f>IF(LY!S$3=1,LY!S11,"")</f>
        <v>8.0000000000000002E-3</v>
      </c>
      <c r="AM12" s="605" t="str">
        <f>IF(LY!T$3=1,LY!T11,"")</f>
        <v/>
      </c>
      <c r="AN12" s="605" t="str">
        <f>IF(LY!U$3=1,LY!U11,"")</f>
        <v/>
      </c>
      <c r="AO12" s="614">
        <f t="shared" si="26"/>
        <v>8.0000000000000002E-3</v>
      </c>
      <c r="AP12" s="608">
        <f t="shared" si="27"/>
        <v>-1E-3</v>
      </c>
      <c r="AQ12" s="608">
        <f t="shared" si="11"/>
        <v>0</v>
      </c>
      <c r="AR12" s="608">
        <f t="shared" si="12"/>
        <v>0</v>
      </c>
      <c r="AS12" s="615">
        <f t="shared" si="12"/>
        <v>-1E-3</v>
      </c>
      <c r="AU12" s="605">
        <f>Act!L11</f>
        <v>0</v>
      </c>
      <c r="AV12" s="843" t="e">
        <f t="shared" si="28"/>
        <v>#VALUE!</v>
      </c>
      <c r="AW12" s="104"/>
      <c r="AX12" s="605">
        <f>IF('FC5+7'!S$3=1,'FC5+7'!S11,"")</f>
        <v>7.0000000000000001E-3</v>
      </c>
      <c r="AY12" s="605" t="str">
        <f>IF('FC5+7'!T$3=1,'FC5+7'!T11,"")</f>
        <v/>
      </c>
      <c r="AZ12" s="605" t="str">
        <f>IF('FC5+7'!U$3=1,'FC5+7'!U11,"")</f>
        <v/>
      </c>
      <c r="BA12" s="610">
        <f t="shared" si="29"/>
        <v>7.0000000000000001E-3</v>
      </c>
      <c r="BB12" s="608">
        <f t="shared" si="30"/>
        <v>0</v>
      </c>
      <c r="BC12" s="608">
        <f t="shared" si="13"/>
        <v>0</v>
      </c>
      <c r="BD12" s="608">
        <f t="shared" si="14"/>
        <v>0</v>
      </c>
      <c r="BE12" s="611">
        <f t="shared" si="15"/>
        <v>0</v>
      </c>
      <c r="BG12" s="605">
        <f t="shared" si="31"/>
        <v>7.0000000000000001E-3</v>
      </c>
      <c r="BH12" s="605">
        <v>0</v>
      </c>
      <c r="BI12" s="605">
        <v>0</v>
      </c>
      <c r="BJ12" s="612">
        <f t="shared" si="32"/>
        <v>7.0000000000000001E-3</v>
      </c>
      <c r="BK12" s="608">
        <f t="shared" si="33"/>
        <v>5.0000000000000001E-3</v>
      </c>
      <c r="BL12" s="608">
        <f t="shared" si="34"/>
        <v>0</v>
      </c>
      <c r="BM12" s="608">
        <f t="shared" si="35"/>
        <v>0</v>
      </c>
      <c r="BN12" s="613">
        <f t="shared" si="36"/>
        <v>0</v>
      </c>
      <c r="BP12" s="605">
        <f t="shared" si="37"/>
        <v>7.0000000000000001E-3</v>
      </c>
      <c r="BQ12" s="605" t="str">
        <f t="shared" si="37"/>
        <v/>
      </c>
      <c r="BR12" s="605" t="e">
        <f>#REF!</f>
        <v>#REF!</v>
      </c>
      <c r="BS12" s="612" t="e">
        <f t="shared" si="38"/>
        <v>#REF!</v>
      </c>
      <c r="BT12" s="608">
        <f t="shared" si="39"/>
        <v>5.0000000000000001E-3</v>
      </c>
      <c r="BU12" s="608" t="e">
        <f t="shared" si="40"/>
        <v>#VALUE!</v>
      </c>
      <c r="BV12" s="608" t="e">
        <f t="shared" si="41"/>
        <v>#REF!</v>
      </c>
      <c r="BW12" s="613" t="e">
        <f t="shared" si="42"/>
        <v>#REF!</v>
      </c>
      <c r="BY12" s="613" t="e">
        <f t="shared" si="43"/>
        <v>#VALUE!</v>
      </c>
      <c r="CA12" s="610">
        <f>'FC2+10'!AA11</f>
        <v>3.2000000000000001E-2</v>
      </c>
      <c r="CC12" s="613">
        <f t="shared" si="44"/>
        <v>2.5000000000000001E-2</v>
      </c>
      <c r="CE12" s="605">
        <f>IF('FC7+5'!S$3=1,'FC7+5'!S11,"")</f>
        <v>7.0000000000000001E-3</v>
      </c>
      <c r="CF12" s="605" t="str">
        <f>IF('FC7+5'!T$3=1,'FC7+5'!T11,"")</f>
        <v/>
      </c>
      <c r="CG12" s="605" t="str">
        <f>IF('FC7+5'!U$3=1,'FC7+5'!U11,"")</f>
        <v/>
      </c>
      <c r="CH12" s="895">
        <f t="shared" si="45"/>
        <v>7.0000000000000001E-3</v>
      </c>
      <c r="CI12" s="608">
        <f t="shared" si="46"/>
        <v>0</v>
      </c>
      <c r="CJ12" s="608">
        <f t="shared" si="16"/>
        <v>0</v>
      </c>
      <c r="CK12" s="608">
        <f t="shared" si="17"/>
        <v>0</v>
      </c>
      <c r="CL12" s="895">
        <f t="shared" si="17"/>
        <v>0</v>
      </c>
      <c r="CM12" s="895">
        <f>IF('FC7+5'!AC$3=1,'FC7+5'!AC11,"")</f>
        <v>6.0999999999999999E-2</v>
      </c>
      <c r="CN12" s="895">
        <f t="shared" si="47"/>
        <v>-5.3999999999999999E-2</v>
      </c>
    </row>
    <row r="13" spans="2:92" ht="13.35" customHeight="1" outlineLevel="3">
      <c r="B13" s="6"/>
      <c r="C13" s="7" t="s">
        <v>114</v>
      </c>
      <c r="D13" s="7"/>
      <c r="E13" s="8"/>
      <c r="F13" s="604">
        <f>IF(Act!S$3=1,Act!S12,"")</f>
        <v>0</v>
      </c>
      <c r="G13" s="604" t="str">
        <f>IF(Act!T$3=1,Act!T12,"")</f>
        <v/>
      </c>
      <c r="H13" s="604" t="str">
        <f>IF(Act!U$3=1,Act!U12,"")</f>
        <v/>
      </c>
      <c r="I13" s="616">
        <f t="shared" si="18"/>
        <v>0</v>
      </c>
      <c r="K13" s="617">
        <f>IF(BP!S$3=1,BP!S12,"")</f>
        <v>0</v>
      </c>
      <c r="L13" s="617" t="str">
        <f>IF(BP!T$3=1,BP!T12,"")</f>
        <v/>
      </c>
      <c r="M13" s="617" t="str">
        <f>IF(BP!U$3=1,BP!U12,"")</f>
        <v/>
      </c>
      <c r="N13" s="618">
        <f t="shared" si="19"/>
        <v>0</v>
      </c>
      <c r="O13" s="608">
        <f t="shared" si="20"/>
        <v>0</v>
      </c>
      <c r="P13" s="608">
        <f t="shared" si="3"/>
        <v>0</v>
      </c>
      <c r="Q13" s="608">
        <f t="shared" si="4"/>
        <v>0</v>
      </c>
      <c r="R13" s="619">
        <f t="shared" si="21"/>
        <v>0</v>
      </c>
      <c r="S13" s="104"/>
      <c r="T13" s="605">
        <f>IF('FC2+10'!S$3=1,'FC2+10'!S12,"")</f>
        <v>0</v>
      </c>
      <c r="U13" s="617" t="str">
        <f>IF('FC2+10'!T$3=1,'FC2+10'!T12,"")</f>
        <v/>
      </c>
      <c r="V13" s="617" t="str">
        <f>IF('FC2+10'!U$3=1,'FC2+10'!U12,"")</f>
        <v/>
      </c>
      <c r="W13" s="620">
        <f t="shared" si="22"/>
        <v>0</v>
      </c>
      <c r="X13" s="608">
        <f t="shared" si="23"/>
        <v>0</v>
      </c>
      <c r="Y13" s="608">
        <f t="shared" si="5"/>
        <v>0</v>
      </c>
      <c r="Z13" s="608">
        <f t="shared" si="6"/>
        <v>0</v>
      </c>
      <c r="AA13" s="621">
        <f t="shared" si="7"/>
        <v>0</v>
      </c>
      <c r="AB13" s="104"/>
      <c r="AC13" s="605">
        <f>IF(OL!S$3=1,OL!S12,"")</f>
        <v>0</v>
      </c>
      <c r="AD13" s="605">
        <f>IF(OL!T$3=1,OL!T12,"")</f>
        <v>0</v>
      </c>
      <c r="AE13" s="605" t="str">
        <f>IF(OL!U$3=1,OL!U12,"")</f>
        <v/>
      </c>
      <c r="AF13" s="622">
        <f t="shared" si="24"/>
        <v>0</v>
      </c>
      <c r="AG13" s="608">
        <f t="shared" si="25"/>
        <v>0</v>
      </c>
      <c r="AH13" s="608">
        <f t="shared" si="8"/>
        <v>0</v>
      </c>
      <c r="AI13" s="608">
        <f t="shared" si="9"/>
        <v>0</v>
      </c>
      <c r="AJ13" s="623">
        <f t="shared" si="10"/>
        <v>0</v>
      </c>
      <c r="AK13" s="104"/>
      <c r="AL13" s="605">
        <f>IF(LY!S$3=1,LY!S12,"")</f>
        <v>0</v>
      </c>
      <c r="AM13" s="605" t="str">
        <f>IF(LY!T$3=1,LY!T12,"")</f>
        <v/>
      </c>
      <c r="AN13" s="605" t="str">
        <f>IF(LY!U$3=1,LY!U12,"")</f>
        <v/>
      </c>
      <c r="AO13" s="624">
        <f t="shared" si="26"/>
        <v>0</v>
      </c>
      <c r="AP13" s="608">
        <f t="shared" si="27"/>
        <v>0</v>
      </c>
      <c r="AQ13" s="608">
        <f t="shared" si="11"/>
        <v>0</v>
      </c>
      <c r="AR13" s="608">
        <f t="shared" si="12"/>
        <v>0</v>
      </c>
      <c r="AS13" s="625">
        <f t="shared" si="12"/>
        <v>0</v>
      </c>
      <c r="AU13" s="605">
        <f>Act!L12</f>
        <v>0</v>
      </c>
      <c r="AV13" s="843" t="e">
        <f t="shared" si="28"/>
        <v>#VALUE!</v>
      </c>
      <c r="AW13" s="104"/>
      <c r="AX13" s="605">
        <f>IF('FC5+7'!S$3=1,'FC5+7'!S12,"")</f>
        <v>0</v>
      </c>
      <c r="AY13" s="605" t="str">
        <f>IF('FC5+7'!T$3=1,'FC5+7'!T12,"")</f>
        <v/>
      </c>
      <c r="AZ13" s="605" t="str">
        <f>IF('FC5+7'!U$3=1,'FC5+7'!U12,"")</f>
        <v/>
      </c>
      <c r="BA13" s="620">
        <f t="shared" si="29"/>
        <v>0</v>
      </c>
      <c r="BB13" s="608">
        <f t="shared" si="30"/>
        <v>0</v>
      </c>
      <c r="BC13" s="608">
        <f t="shared" si="13"/>
        <v>0</v>
      </c>
      <c r="BD13" s="608">
        <f t="shared" si="14"/>
        <v>0</v>
      </c>
      <c r="BE13" s="621">
        <f t="shared" si="15"/>
        <v>0</v>
      </c>
      <c r="BG13" s="605">
        <f t="shared" si="31"/>
        <v>0</v>
      </c>
      <c r="BH13" s="605">
        <v>0</v>
      </c>
      <c r="BI13" s="605">
        <v>0</v>
      </c>
      <c r="BJ13" s="622">
        <f t="shared" si="32"/>
        <v>0</v>
      </c>
      <c r="BK13" s="608">
        <f t="shared" si="33"/>
        <v>0</v>
      </c>
      <c r="BL13" s="608">
        <f t="shared" si="34"/>
        <v>0</v>
      </c>
      <c r="BM13" s="608">
        <f t="shared" si="35"/>
        <v>0</v>
      </c>
      <c r="BN13" s="623">
        <f t="shared" si="36"/>
        <v>0</v>
      </c>
      <c r="BP13" s="605">
        <f t="shared" si="37"/>
        <v>0</v>
      </c>
      <c r="BQ13" s="605" t="str">
        <f t="shared" si="37"/>
        <v/>
      </c>
      <c r="BR13" s="605" t="e">
        <f>#REF!</f>
        <v>#REF!</v>
      </c>
      <c r="BS13" s="622" t="e">
        <f t="shared" si="38"/>
        <v>#REF!</v>
      </c>
      <c r="BT13" s="608">
        <f t="shared" si="39"/>
        <v>0</v>
      </c>
      <c r="BU13" s="608" t="e">
        <f t="shared" si="40"/>
        <v>#VALUE!</v>
      </c>
      <c r="BV13" s="608" t="e">
        <f t="shared" si="41"/>
        <v>#REF!</v>
      </c>
      <c r="BW13" s="623" t="e">
        <f t="shared" si="42"/>
        <v>#REF!</v>
      </c>
      <c r="BY13" s="623" t="e">
        <f t="shared" si="43"/>
        <v>#VALUE!</v>
      </c>
      <c r="CA13" s="620">
        <f>'FC2+10'!AA12</f>
        <v>0</v>
      </c>
      <c r="CC13" s="623">
        <f t="shared" si="44"/>
        <v>0</v>
      </c>
      <c r="CE13" s="605">
        <f>IF('FC7+5'!S$3=1,'FC7+5'!S12,"")</f>
        <v>0</v>
      </c>
      <c r="CF13" s="605" t="str">
        <f>IF('FC7+5'!T$3=1,'FC7+5'!T12,"")</f>
        <v/>
      </c>
      <c r="CG13" s="605" t="str">
        <f>IF('FC7+5'!U$3=1,'FC7+5'!U12,"")</f>
        <v/>
      </c>
      <c r="CH13" s="896">
        <f t="shared" si="45"/>
        <v>0</v>
      </c>
      <c r="CI13" s="608">
        <f t="shared" si="46"/>
        <v>0</v>
      </c>
      <c r="CJ13" s="608">
        <f t="shared" si="16"/>
        <v>0</v>
      </c>
      <c r="CK13" s="608">
        <f t="shared" si="17"/>
        <v>0</v>
      </c>
      <c r="CL13" s="896">
        <f t="shared" si="17"/>
        <v>0</v>
      </c>
      <c r="CM13" s="895">
        <f>IF('FC7+5'!AC$3=1,'FC7+5'!AC12,"")</f>
        <v>0</v>
      </c>
      <c r="CN13" s="895">
        <f t="shared" si="47"/>
        <v>0</v>
      </c>
    </row>
    <row r="14" spans="2:92" ht="13.5" customHeight="1" outlineLevel="3">
      <c r="B14" s="6"/>
      <c r="C14" s="7" t="s">
        <v>115</v>
      </c>
      <c r="D14" s="7"/>
      <c r="E14" s="8"/>
      <c r="F14" s="11">
        <f>IF(Act!S$3=1,Act!S13,"")</f>
        <v>0.48099999999999998</v>
      </c>
      <c r="G14" s="11" t="str">
        <f>IF(Act!T$3=1,Act!T13,"")</f>
        <v/>
      </c>
      <c r="H14" s="11" t="str">
        <f>IF(Act!U$3=1,Act!U13,"")</f>
        <v/>
      </c>
      <c r="I14" s="616">
        <f t="shared" si="18"/>
        <v>0.48099999999999998</v>
      </c>
      <c r="K14" s="617">
        <f>IF(BP!S$3=1,BP!S13,"")</f>
        <v>1.0620000000000001</v>
      </c>
      <c r="L14" s="617" t="str">
        <f>IF(BP!T$3=1,BP!T13,"")</f>
        <v/>
      </c>
      <c r="M14" s="617" t="str">
        <f>IF(BP!U$3=1,BP!U13,"")</f>
        <v/>
      </c>
      <c r="N14" s="618">
        <f t="shared" si="19"/>
        <v>1.0620000000000001</v>
      </c>
      <c r="O14" s="608">
        <f t="shared" si="20"/>
        <v>-0.58100000000000007</v>
      </c>
      <c r="P14" s="608">
        <f t="shared" si="3"/>
        <v>0</v>
      </c>
      <c r="Q14" s="608">
        <f t="shared" si="4"/>
        <v>0</v>
      </c>
      <c r="R14" s="619">
        <f t="shared" si="21"/>
        <v>-0.58100000000000007</v>
      </c>
      <c r="S14" s="104"/>
      <c r="T14" s="617">
        <f>IF('FC2+10'!S$3=1,'FC2+10'!S13,"")</f>
        <v>0.48099999999999998</v>
      </c>
      <c r="U14" s="617" t="str">
        <f>IF('FC2+10'!T$3=1,'FC2+10'!T13,"")</f>
        <v/>
      </c>
      <c r="V14" s="617" t="str">
        <f>IF('FC2+10'!U$3=1,'FC2+10'!U13,"")</f>
        <v/>
      </c>
      <c r="W14" s="620">
        <f t="shared" si="22"/>
        <v>0.48099999999999998</v>
      </c>
      <c r="X14" s="608">
        <f t="shared" si="23"/>
        <v>0</v>
      </c>
      <c r="Y14" s="608">
        <f t="shared" si="5"/>
        <v>0</v>
      </c>
      <c r="Z14" s="608">
        <f t="shared" si="6"/>
        <v>0</v>
      </c>
      <c r="AA14" s="621">
        <f t="shared" si="7"/>
        <v>0</v>
      </c>
      <c r="AB14" s="104"/>
      <c r="AC14" s="605">
        <f>IF(OL!S$3=1,OL!S13,"")</f>
        <v>0.34899999999999998</v>
      </c>
      <c r="AD14" s="605">
        <f>IF(OL!T$3=1,OL!T13,"")</f>
        <v>0.86699999999999999</v>
      </c>
      <c r="AE14" s="605" t="str">
        <f>IF(OL!U$3=1,OL!U13,"")</f>
        <v/>
      </c>
      <c r="AF14" s="622">
        <f t="shared" si="24"/>
        <v>1.216</v>
      </c>
      <c r="AG14" s="608">
        <f t="shared" si="25"/>
        <v>0.13200000000000001</v>
      </c>
      <c r="AH14" s="608">
        <f t="shared" si="8"/>
        <v>0</v>
      </c>
      <c r="AI14" s="608">
        <f t="shared" si="9"/>
        <v>0</v>
      </c>
      <c r="AJ14" s="623">
        <f t="shared" si="10"/>
        <v>-0.73499999999999999</v>
      </c>
      <c r="AK14" s="104"/>
      <c r="AL14" s="605">
        <f>IF(LY!S$3=1,LY!S13,"")</f>
        <v>1.903</v>
      </c>
      <c r="AM14" s="605" t="str">
        <f>IF(LY!T$3=1,LY!T13,"")</f>
        <v/>
      </c>
      <c r="AN14" s="605" t="str">
        <f>IF(LY!U$3=1,LY!U13,"")</f>
        <v/>
      </c>
      <c r="AO14" s="624">
        <f t="shared" si="26"/>
        <v>1.903</v>
      </c>
      <c r="AP14" s="608">
        <f t="shared" si="27"/>
        <v>-1.4220000000000002</v>
      </c>
      <c r="AQ14" s="608">
        <f t="shared" si="11"/>
        <v>0</v>
      </c>
      <c r="AR14" s="608">
        <f t="shared" si="12"/>
        <v>0</v>
      </c>
      <c r="AS14" s="625">
        <f t="shared" si="12"/>
        <v>-1.4220000000000002</v>
      </c>
      <c r="AU14" s="617">
        <f>Act!L13</f>
        <v>0.625</v>
      </c>
      <c r="AV14" s="843" t="e">
        <f t="shared" si="28"/>
        <v>#VALUE!</v>
      </c>
      <c r="AW14" s="104"/>
      <c r="AX14" s="605">
        <f>IF('FC5+7'!S$3=1,'FC5+7'!S13,"")</f>
        <v>0.48099999999999998</v>
      </c>
      <c r="AY14" s="605" t="str">
        <f>IF('FC5+7'!T$3=1,'FC5+7'!T13,"")</f>
        <v/>
      </c>
      <c r="AZ14" s="605" t="str">
        <f>IF('FC5+7'!U$3=1,'FC5+7'!U13,"")</f>
        <v/>
      </c>
      <c r="BA14" s="620">
        <f t="shared" si="29"/>
        <v>0.48099999999999998</v>
      </c>
      <c r="BB14" s="608">
        <f t="shared" si="30"/>
        <v>0</v>
      </c>
      <c r="BC14" s="608">
        <f t="shared" si="13"/>
        <v>0</v>
      </c>
      <c r="BD14" s="608">
        <f t="shared" si="14"/>
        <v>0</v>
      </c>
      <c r="BE14" s="621">
        <f t="shared" si="15"/>
        <v>0</v>
      </c>
      <c r="BG14" s="617">
        <f t="shared" si="31"/>
        <v>0.48099999999999998</v>
      </c>
      <c r="BH14" s="617">
        <v>0.86699999999999999</v>
      </c>
      <c r="BI14" s="617">
        <v>1.0449999999999999</v>
      </c>
      <c r="BJ14" s="622">
        <f t="shared" si="32"/>
        <v>2.3929999999999998</v>
      </c>
      <c r="BK14" s="608">
        <f t="shared" si="33"/>
        <v>0.13200000000000001</v>
      </c>
      <c r="BL14" s="608">
        <f t="shared" si="34"/>
        <v>0</v>
      </c>
      <c r="BM14" s="608">
        <f t="shared" si="35"/>
        <v>0</v>
      </c>
      <c r="BN14" s="623">
        <f t="shared" si="36"/>
        <v>-1.9119999999999999</v>
      </c>
      <c r="BP14" s="605">
        <f t="shared" si="37"/>
        <v>0.48099999999999998</v>
      </c>
      <c r="BQ14" s="605" t="str">
        <f t="shared" si="37"/>
        <v/>
      </c>
      <c r="BR14" s="605" t="e">
        <f>#REF!</f>
        <v>#REF!</v>
      </c>
      <c r="BS14" s="622" t="e">
        <f t="shared" si="38"/>
        <v>#REF!</v>
      </c>
      <c r="BT14" s="608">
        <f t="shared" si="39"/>
        <v>0.13200000000000001</v>
      </c>
      <c r="BU14" s="608" t="e">
        <f t="shared" si="40"/>
        <v>#VALUE!</v>
      </c>
      <c r="BV14" s="608" t="e">
        <f t="shared" si="41"/>
        <v>#REF!</v>
      </c>
      <c r="BW14" s="623" t="e">
        <f t="shared" si="42"/>
        <v>#REF!</v>
      </c>
      <c r="BY14" s="623" t="e">
        <f t="shared" si="43"/>
        <v>#VALUE!</v>
      </c>
      <c r="CA14" s="620">
        <f>'FC2+10'!AA13</f>
        <v>2.6859999999999999</v>
      </c>
      <c r="CC14" s="623">
        <f t="shared" si="44"/>
        <v>2.2050000000000001</v>
      </c>
      <c r="CE14" s="605">
        <f>IF('FC7+5'!S$3=1,'FC7+5'!S13,"")</f>
        <v>0.48099999999999998</v>
      </c>
      <c r="CF14" s="605" t="str">
        <f>IF('FC7+5'!T$3=1,'FC7+5'!T13,"")</f>
        <v/>
      </c>
      <c r="CG14" s="605" t="str">
        <f>IF('FC7+5'!U$3=1,'FC7+5'!U13,"")</f>
        <v/>
      </c>
      <c r="CH14" s="896">
        <f t="shared" si="45"/>
        <v>0.48099999999999998</v>
      </c>
      <c r="CI14" s="608">
        <f t="shared" si="46"/>
        <v>0</v>
      </c>
      <c r="CJ14" s="608">
        <f t="shared" si="16"/>
        <v>0</v>
      </c>
      <c r="CK14" s="608">
        <f t="shared" si="17"/>
        <v>0</v>
      </c>
      <c r="CL14" s="896">
        <f t="shared" si="17"/>
        <v>0</v>
      </c>
      <c r="CM14" s="895">
        <f>IF('FC7+5'!AC$3=1,'FC7+5'!AC13,"")</f>
        <v>2.3839999999999999</v>
      </c>
      <c r="CN14" s="895">
        <f t="shared" si="47"/>
        <v>-1.903</v>
      </c>
    </row>
    <row r="15" spans="2:92" ht="13.5" customHeight="1" outlineLevel="3">
      <c r="B15" s="13"/>
      <c r="C15" s="14"/>
      <c r="F15" s="15"/>
      <c r="I15" s="155"/>
      <c r="AV15" s="844"/>
      <c r="BT15" s="2">
        <f t="shared" si="39"/>
        <v>0</v>
      </c>
      <c r="BU15" s="2">
        <f t="shared" si="40"/>
        <v>0</v>
      </c>
      <c r="BV15" s="2">
        <f t="shared" si="41"/>
        <v>0</v>
      </c>
      <c r="BW15" s="2">
        <f t="shared" si="42"/>
        <v>0</v>
      </c>
      <c r="CC15" s="2">
        <f t="shared" si="44"/>
        <v>0</v>
      </c>
      <c r="CH15" s="912"/>
      <c r="CL15" s="912"/>
      <c r="CM15" s="912"/>
    </row>
    <row r="16" spans="2:92" ht="13.5" customHeight="1" outlineLevel="3">
      <c r="B16" s="13"/>
      <c r="C16" s="14"/>
      <c r="D16" s="14"/>
      <c r="E16" s="13"/>
      <c r="F16" s="15"/>
      <c r="I16" s="155"/>
      <c r="AV16" s="844"/>
      <c r="BT16" s="2">
        <f t="shared" si="39"/>
        <v>0</v>
      </c>
      <c r="BU16" s="2">
        <f t="shared" si="40"/>
        <v>0</v>
      </c>
      <c r="BV16" s="2">
        <f t="shared" si="41"/>
        <v>0</v>
      </c>
      <c r="BW16" s="2">
        <f t="shared" si="42"/>
        <v>0</v>
      </c>
      <c r="CC16" s="2">
        <f t="shared" si="44"/>
        <v>0</v>
      </c>
      <c r="CH16" s="912"/>
      <c r="CL16" s="912"/>
      <c r="CM16" s="912"/>
    </row>
    <row r="17" spans="2:92" ht="14.25" customHeight="1" outlineLevel="2">
      <c r="B17" s="16"/>
      <c r="C17" s="16"/>
      <c r="D17" s="17" t="s">
        <v>13</v>
      </c>
      <c r="E17" s="17"/>
      <c r="F17" s="18"/>
      <c r="G17" s="19"/>
      <c r="H17" s="19"/>
      <c r="I17" s="156"/>
      <c r="K17" s="19"/>
      <c r="L17" s="19"/>
      <c r="M17" s="19"/>
      <c r="N17" s="108"/>
      <c r="O17" s="157">
        <f t="shared" ref="O17:O48" si="48">IFERROR(F17-K17,0)</f>
        <v>0</v>
      </c>
      <c r="P17" s="157">
        <f t="shared" ref="P17:P48" si="49">IFERROR(G17-L17,0)</f>
        <v>0</v>
      </c>
      <c r="Q17" s="157">
        <f t="shared" ref="Q17:Q48" si="50">IFERROR(H17-M17,0)</f>
        <v>0</v>
      </c>
      <c r="R17" s="158">
        <f t="shared" ref="R17:R48" si="51">I17-N17</f>
        <v>0</v>
      </c>
      <c r="S17" s="117"/>
      <c r="T17" s="19"/>
      <c r="U17" s="19"/>
      <c r="V17" s="19"/>
      <c r="W17" s="159"/>
      <c r="X17" s="157">
        <f t="shared" ref="X17:X48" si="52">IFERROR(F17-T17,0)</f>
        <v>0</v>
      </c>
      <c r="Y17" s="157">
        <f t="shared" ref="Y17:Y48" si="53">IFERROR(G17-U17,0)</f>
        <v>0</v>
      </c>
      <c r="Z17" s="157">
        <f t="shared" ref="Z17:Z48" si="54">IFERROR(H17-V17,0)</f>
        <v>0</v>
      </c>
      <c r="AA17" s="160">
        <f t="shared" ref="AA17:AA48" si="55">I17-W17</f>
        <v>0</v>
      </c>
      <c r="AB17" s="117"/>
      <c r="AC17" s="19"/>
      <c r="AD17" s="19"/>
      <c r="AE17" s="19">
        <v>0</v>
      </c>
      <c r="AF17" s="351"/>
      <c r="AG17" s="157">
        <f t="shared" ref="AG17:AG48" si="56">IFERROR(F17-AC17,0)</f>
        <v>0</v>
      </c>
      <c r="AH17" s="157">
        <f t="shared" ref="AH17:AH48" si="57">IFERROR(G17-AD17,0)</f>
        <v>0</v>
      </c>
      <c r="AI17" s="157">
        <f t="shared" ref="AI17:AI48" si="58">IFERROR(H17-AE17,0)</f>
        <v>0</v>
      </c>
      <c r="AJ17" s="340">
        <f t="shared" ref="AJ17:AJ48" si="59">IFERROR(I17-AF17,0)</f>
        <v>0</v>
      </c>
      <c r="AK17" s="117"/>
      <c r="AL17" s="19"/>
      <c r="AM17" s="19"/>
      <c r="AN17" s="19"/>
      <c r="AO17" s="383"/>
      <c r="AP17" s="157">
        <f t="shared" ref="AP17:AP48" si="60">IFERROR(F17-AL17,0)</f>
        <v>0</v>
      </c>
      <c r="AQ17" s="157">
        <f t="shared" ref="AQ17:AQ48" si="61">IFERROR(G17-AM17,0)</f>
        <v>0</v>
      </c>
      <c r="AR17" s="157">
        <f t="shared" ref="AR17:AS48" si="62">IFERROR(H17-AN17,0)</f>
        <v>0</v>
      </c>
      <c r="AS17" s="393">
        <f t="shared" si="62"/>
        <v>0</v>
      </c>
      <c r="AU17" s="19">
        <f>Act!L16</f>
        <v>0</v>
      </c>
      <c r="AV17" s="160">
        <f t="shared" si="28"/>
        <v>0</v>
      </c>
      <c r="AW17" s="117"/>
      <c r="AX17" s="19"/>
      <c r="AY17" s="19"/>
      <c r="AZ17" s="19"/>
      <c r="BA17" s="159"/>
      <c r="BB17" s="157">
        <f t="shared" ref="BB17:BB48" si="63">IFERROR(F17-AX17,0)</f>
        <v>0</v>
      </c>
      <c r="BC17" s="157">
        <f t="shared" ref="BC17:BC48" si="64">IFERROR(G17-AY17,0)</f>
        <v>0</v>
      </c>
      <c r="BD17" s="157">
        <f t="shared" ref="BD17:BD48" si="65">IFERROR(H17-AZ17,0)</f>
        <v>0</v>
      </c>
      <c r="BE17" s="160">
        <f t="shared" ref="BE17:BE48" si="66">IFERROR(I17-BA17,0)</f>
        <v>0</v>
      </c>
      <c r="BG17" s="19">
        <f t="shared" si="31"/>
        <v>0</v>
      </c>
      <c r="BH17" s="19"/>
      <c r="BI17" s="19"/>
      <c r="BJ17" s="351"/>
      <c r="BK17" s="157">
        <f t="shared" si="33"/>
        <v>0</v>
      </c>
      <c r="BL17" s="157">
        <f t="shared" si="34"/>
        <v>0</v>
      </c>
      <c r="BM17" s="157">
        <f t="shared" si="35"/>
        <v>0</v>
      </c>
      <c r="BN17" s="340">
        <f t="shared" si="36"/>
        <v>0</v>
      </c>
      <c r="BP17" s="19">
        <f t="shared" si="37"/>
        <v>0</v>
      </c>
      <c r="BQ17" s="19">
        <f t="shared" si="37"/>
        <v>0</v>
      </c>
      <c r="BR17" s="19" t="e">
        <f>#REF!</f>
        <v>#REF!</v>
      </c>
      <c r="BS17" s="351"/>
      <c r="BT17" s="157">
        <f t="shared" si="39"/>
        <v>0</v>
      </c>
      <c r="BU17" s="157">
        <f t="shared" si="40"/>
        <v>0</v>
      </c>
      <c r="BV17" s="157" t="e">
        <f t="shared" si="41"/>
        <v>#REF!</v>
      </c>
      <c r="BW17" s="340">
        <f t="shared" si="42"/>
        <v>0</v>
      </c>
      <c r="BY17" s="340" t="e">
        <f t="shared" si="43"/>
        <v>#REF!</v>
      </c>
      <c r="CA17" s="159">
        <f>'FC2+10'!AA16</f>
        <v>0</v>
      </c>
      <c r="CC17" s="340">
        <f t="shared" si="44"/>
        <v>0</v>
      </c>
      <c r="CE17" s="19"/>
      <c r="CF17" s="19"/>
      <c r="CG17" s="19"/>
      <c r="CH17" s="897"/>
      <c r="CI17" s="157">
        <f t="shared" ref="CI17:CI23" si="67">IFERROR(F17-CE17,0)</f>
        <v>0</v>
      </c>
      <c r="CJ17" s="157">
        <f t="shared" ref="CJ17:CJ23" si="68">IFERROR(G17-CF17,0)</f>
        <v>0</v>
      </c>
      <c r="CK17" s="157">
        <f t="shared" ref="CK17:CK23" si="69">IFERROR(H17-CG17,0)</f>
        <v>0</v>
      </c>
      <c r="CL17" s="897">
        <f t="shared" ref="CL17:CL23" si="70">IFERROR(I17-CH17,0)</f>
        <v>0</v>
      </c>
      <c r="CM17" s="895"/>
      <c r="CN17" s="895">
        <f t="shared" si="47"/>
        <v>0</v>
      </c>
    </row>
    <row r="18" spans="2:92" ht="14.25" customHeight="1" outlineLevel="2">
      <c r="B18" s="20"/>
      <c r="C18" s="20"/>
      <c r="D18" s="21" t="s">
        <v>14</v>
      </c>
      <c r="E18" s="21"/>
      <c r="F18" s="22"/>
      <c r="G18" s="23"/>
      <c r="H18" s="23"/>
      <c r="I18" s="161"/>
      <c r="K18" s="23"/>
      <c r="L18" s="23"/>
      <c r="M18" s="23"/>
      <c r="N18" s="109"/>
      <c r="O18" s="48">
        <f t="shared" si="48"/>
        <v>0</v>
      </c>
      <c r="P18" s="48">
        <f t="shared" si="49"/>
        <v>0</v>
      </c>
      <c r="Q18" s="48">
        <f t="shared" si="50"/>
        <v>0</v>
      </c>
      <c r="R18" s="162">
        <f t="shared" si="51"/>
        <v>0</v>
      </c>
      <c r="S18" s="117"/>
      <c r="T18" s="23"/>
      <c r="U18" s="23"/>
      <c r="V18" s="23"/>
      <c r="W18" s="163"/>
      <c r="X18" s="48">
        <f t="shared" si="52"/>
        <v>0</v>
      </c>
      <c r="Y18" s="48">
        <f t="shared" si="53"/>
        <v>0</v>
      </c>
      <c r="Z18" s="48">
        <f t="shared" si="54"/>
        <v>0</v>
      </c>
      <c r="AA18" s="164">
        <f t="shared" si="55"/>
        <v>0</v>
      </c>
      <c r="AB18" s="117"/>
      <c r="AC18" s="23"/>
      <c r="AD18" s="23"/>
      <c r="AE18" s="23">
        <v>0</v>
      </c>
      <c r="AF18" s="352"/>
      <c r="AG18" s="48">
        <f t="shared" si="56"/>
        <v>0</v>
      </c>
      <c r="AH18" s="48">
        <f t="shared" si="57"/>
        <v>0</v>
      </c>
      <c r="AI18" s="48">
        <f t="shared" si="58"/>
        <v>0</v>
      </c>
      <c r="AJ18" s="341">
        <f t="shared" si="59"/>
        <v>0</v>
      </c>
      <c r="AK18" s="117"/>
      <c r="AL18" s="23"/>
      <c r="AM18" s="23"/>
      <c r="AN18" s="23"/>
      <c r="AO18" s="384"/>
      <c r="AP18" s="48">
        <f t="shared" si="60"/>
        <v>0</v>
      </c>
      <c r="AQ18" s="48">
        <f t="shared" si="61"/>
        <v>0</v>
      </c>
      <c r="AR18" s="48">
        <f t="shared" si="62"/>
        <v>0</v>
      </c>
      <c r="AS18" s="394">
        <f t="shared" si="62"/>
        <v>0</v>
      </c>
      <c r="AU18" s="23">
        <f>Act!L17</f>
        <v>0</v>
      </c>
      <c r="AV18" s="164">
        <f t="shared" si="28"/>
        <v>0</v>
      </c>
      <c r="AW18" s="117"/>
      <c r="AX18" s="23"/>
      <c r="AY18" s="23"/>
      <c r="AZ18" s="23"/>
      <c r="BA18" s="163"/>
      <c r="BB18" s="48">
        <f t="shared" si="63"/>
        <v>0</v>
      </c>
      <c r="BC18" s="48">
        <f t="shared" si="64"/>
        <v>0</v>
      </c>
      <c r="BD18" s="48">
        <f t="shared" si="65"/>
        <v>0</v>
      </c>
      <c r="BE18" s="164">
        <f t="shared" si="66"/>
        <v>0</v>
      </c>
      <c r="BG18" s="23">
        <f t="shared" si="31"/>
        <v>0</v>
      </c>
      <c r="BH18" s="23"/>
      <c r="BI18" s="23"/>
      <c r="BJ18" s="352"/>
      <c r="BK18" s="48">
        <f t="shared" si="33"/>
        <v>0</v>
      </c>
      <c r="BL18" s="48">
        <f t="shared" si="34"/>
        <v>0</v>
      </c>
      <c r="BM18" s="48">
        <f t="shared" si="35"/>
        <v>0</v>
      </c>
      <c r="BN18" s="341">
        <f t="shared" si="36"/>
        <v>0</v>
      </c>
      <c r="BP18" s="23">
        <f t="shared" si="37"/>
        <v>0</v>
      </c>
      <c r="BQ18" s="23">
        <f t="shared" si="37"/>
        <v>0</v>
      </c>
      <c r="BR18" s="23" t="e">
        <f>#REF!</f>
        <v>#REF!</v>
      </c>
      <c r="BS18" s="352"/>
      <c r="BT18" s="48">
        <f t="shared" si="39"/>
        <v>0</v>
      </c>
      <c r="BU18" s="48">
        <f t="shared" si="40"/>
        <v>0</v>
      </c>
      <c r="BV18" s="48" t="e">
        <f t="shared" si="41"/>
        <v>#REF!</v>
      </c>
      <c r="BW18" s="341">
        <f t="shared" si="42"/>
        <v>0</v>
      </c>
      <c r="BY18" s="341" t="e">
        <f t="shared" si="43"/>
        <v>#REF!</v>
      </c>
      <c r="CA18" s="163">
        <f>'FC2+10'!AA17</f>
        <v>0</v>
      </c>
      <c r="CC18" s="341">
        <f t="shared" si="44"/>
        <v>0</v>
      </c>
      <c r="CE18" s="23"/>
      <c r="CF18" s="23"/>
      <c r="CG18" s="23"/>
      <c r="CH18" s="898"/>
      <c r="CI18" s="48">
        <f t="shared" si="67"/>
        <v>0</v>
      </c>
      <c r="CJ18" s="48">
        <f t="shared" si="68"/>
        <v>0</v>
      </c>
      <c r="CK18" s="48">
        <f t="shared" si="69"/>
        <v>0</v>
      </c>
      <c r="CL18" s="898">
        <f t="shared" si="70"/>
        <v>0</v>
      </c>
      <c r="CM18" s="895"/>
      <c r="CN18" s="895">
        <f t="shared" si="47"/>
        <v>0</v>
      </c>
    </row>
    <row r="19" spans="2:92" ht="14.25" customHeight="1" outlineLevel="2">
      <c r="B19" s="24" t="s">
        <v>116</v>
      </c>
      <c r="C19" s="25"/>
      <c r="D19" s="26"/>
      <c r="E19" s="26"/>
      <c r="F19" s="27">
        <f>IF(Act!S$3=1,Act!S18,"")</f>
        <v>612.22646137803633</v>
      </c>
      <c r="G19" s="27" t="str">
        <f>IF(Act!T$3=1,Act!T18,"")</f>
        <v/>
      </c>
      <c r="H19" s="27" t="str">
        <f>IF(Act!U$3=1,Act!U18,"")</f>
        <v/>
      </c>
      <c r="I19" s="156">
        <f>SUM(F19:H19)</f>
        <v>612.22646137803633</v>
      </c>
      <c r="K19" s="157">
        <f>IF(BP!S$3=1,BP!S18,"")</f>
        <v>647.19887781926582</v>
      </c>
      <c r="L19" s="157" t="str">
        <f>IF(BP!T$3=1,BP!T18,"")</f>
        <v/>
      </c>
      <c r="M19" s="157" t="str">
        <f>IF(BP!U$3=1,BP!U18,"")</f>
        <v/>
      </c>
      <c r="N19" s="108">
        <f>SUM(K19:M19)</f>
        <v>647.19887781926582</v>
      </c>
      <c r="O19" s="28">
        <f t="shared" si="48"/>
        <v>-34.972416441229484</v>
      </c>
      <c r="P19" s="28">
        <f t="shared" si="49"/>
        <v>0</v>
      </c>
      <c r="Q19" s="28">
        <f t="shared" si="50"/>
        <v>0</v>
      </c>
      <c r="R19" s="158">
        <f t="shared" si="51"/>
        <v>-34.972416441229484</v>
      </c>
      <c r="S19" s="117"/>
      <c r="T19" s="157">
        <f>IF('FC2+10'!S$3=1,'FC2+10'!S18,"")</f>
        <v>612.22646137803633</v>
      </c>
      <c r="U19" s="157" t="str">
        <f>IF('FC2+10'!T$3=1,'FC2+10'!T18,"")</f>
        <v/>
      </c>
      <c r="V19" s="157" t="str">
        <f>IF('FC2+10'!U$3=1,'FC2+10'!U18,"")</f>
        <v/>
      </c>
      <c r="W19" s="159">
        <f>SUM(T19:V19)</f>
        <v>612.22646137803633</v>
      </c>
      <c r="X19" s="28">
        <f t="shared" si="52"/>
        <v>0</v>
      </c>
      <c r="Y19" s="28">
        <f t="shared" si="53"/>
        <v>0</v>
      </c>
      <c r="Z19" s="28">
        <f t="shared" si="54"/>
        <v>0</v>
      </c>
      <c r="AA19" s="160">
        <f t="shared" si="55"/>
        <v>0</v>
      </c>
      <c r="AB19" s="117"/>
      <c r="AC19" s="157">
        <f>IF(OL!S$3=1,OL!S18,"")</f>
        <v>867.43498238986717</v>
      </c>
      <c r="AD19" s="157">
        <f>IF(OL!T$3=1,OL!T18,"")</f>
        <v>998.88562123033262</v>
      </c>
      <c r="AE19" s="157" t="str">
        <f>IF(OL!U$3=1,OL!U18,"")</f>
        <v/>
      </c>
      <c r="AF19" s="351">
        <f>SUM(AC19:AE19)</f>
        <v>1866.3206036201998</v>
      </c>
      <c r="AG19" s="28">
        <f t="shared" si="56"/>
        <v>-255.20852101183084</v>
      </c>
      <c r="AH19" s="28">
        <f t="shared" si="57"/>
        <v>0</v>
      </c>
      <c r="AI19" s="28">
        <f t="shared" si="58"/>
        <v>0</v>
      </c>
      <c r="AJ19" s="340">
        <f t="shared" si="59"/>
        <v>-1254.0941422421633</v>
      </c>
      <c r="AK19" s="117"/>
      <c r="AL19" s="157">
        <f>IF(LY!S$3=1,LY!S18,"")</f>
        <v>750.84895130224743</v>
      </c>
      <c r="AM19" s="157" t="str">
        <f>IF(LY!T$3=1,LY!T18,"")</f>
        <v/>
      </c>
      <c r="AN19" s="157" t="str">
        <f>IF(LY!U$3=1,LY!U18,"")</f>
        <v/>
      </c>
      <c r="AO19" s="383">
        <f>SUM(AL19:AN19)</f>
        <v>750.84895130224743</v>
      </c>
      <c r="AP19" s="28">
        <f t="shared" si="60"/>
        <v>-138.6224899242111</v>
      </c>
      <c r="AQ19" s="28">
        <f t="shared" si="61"/>
        <v>0</v>
      </c>
      <c r="AR19" s="28">
        <f t="shared" si="62"/>
        <v>0</v>
      </c>
      <c r="AS19" s="393">
        <f t="shared" si="62"/>
        <v>-138.6224899242111</v>
      </c>
      <c r="AU19" s="157">
        <f>Act!L18</f>
        <v>972.88695918759436</v>
      </c>
      <c r="AV19" s="845" t="e">
        <f t="shared" si="28"/>
        <v>#VALUE!</v>
      </c>
      <c r="AW19" s="117"/>
      <c r="AX19" s="157">
        <f>IF('FC5+7'!S$3=1,'FC5+7'!S18,"")</f>
        <v>612.22646137803633</v>
      </c>
      <c r="AY19" s="157" t="str">
        <f>IF('FC5+7'!T$3=1,'FC5+7'!T18,"")</f>
        <v/>
      </c>
      <c r="AZ19" s="157" t="str">
        <f>IF('FC5+7'!U$3=1,'FC5+7'!U18,"")</f>
        <v/>
      </c>
      <c r="BA19" s="159">
        <f>SUM(AX19:AZ19)</f>
        <v>612.22646137803633</v>
      </c>
      <c r="BB19" s="28">
        <f t="shared" si="63"/>
        <v>0</v>
      </c>
      <c r="BC19" s="28">
        <f t="shared" si="64"/>
        <v>0</v>
      </c>
      <c r="BD19" s="28">
        <f t="shared" si="65"/>
        <v>0</v>
      </c>
      <c r="BE19" s="160">
        <f t="shared" si="66"/>
        <v>0</v>
      </c>
      <c r="BG19" s="12">
        <f t="shared" si="31"/>
        <v>612.22646137803633</v>
      </c>
      <c r="BH19" s="157">
        <v>710.14442041303096</v>
      </c>
      <c r="BI19" s="157">
        <v>1097.4923267793154</v>
      </c>
      <c r="BJ19" s="351">
        <f>SUM(BG19:BI19)</f>
        <v>2419.863208570383</v>
      </c>
      <c r="BK19" s="28">
        <f t="shared" si="33"/>
        <v>-255.20852101183084</v>
      </c>
      <c r="BL19" s="28">
        <f t="shared" si="34"/>
        <v>0</v>
      </c>
      <c r="BM19" s="28">
        <f t="shared" si="35"/>
        <v>0</v>
      </c>
      <c r="BN19" s="340">
        <f t="shared" si="36"/>
        <v>-1807.6367471923468</v>
      </c>
      <c r="BP19" s="157">
        <f t="shared" si="37"/>
        <v>612.22646137803633</v>
      </c>
      <c r="BQ19" s="157" t="str">
        <f t="shared" si="37"/>
        <v/>
      </c>
      <c r="BR19" s="157" t="e">
        <f>#REF!</f>
        <v>#REF!</v>
      </c>
      <c r="BS19" s="351" t="e">
        <f>SUM(BP19:BR19)</f>
        <v>#REF!</v>
      </c>
      <c r="BT19" s="28">
        <f t="shared" si="39"/>
        <v>-255.20852101183084</v>
      </c>
      <c r="BU19" s="28" t="e">
        <f t="shared" si="40"/>
        <v>#VALUE!</v>
      </c>
      <c r="BV19" s="28" t="e">
        <f t="shared" si="41"/>
        <v>#REF!</v>
      </c>
      <c r="BW19" s="340" t="e">
        <f t="shared" si="42"/>
        <v>#REF!</v>
      </c>
      <c r="BY19" s="340" t="e">
        <f t="shared" si="43"/>
        <v>#VALUE!</v>
      </c>
      <c r="CA19" s="159">
        <f>'FC2+10'!AA18</f>
        <v>2654.6861493172946</v>
      </c>
      <c r="CC19" s="340">
        <f t="shared" si="44"/>
        <v>2042.4596879392584</v>
      </c>
      <c r="CE19" s="157">
        <f>IF('FC7+5'!S$3=1,'FC7+5'!S18,"")</f>
        <v>612.22646137803633</v>
      </c>
      <c r="CF19" s="157" t="str">
        <f>IF('FC7+5'!T$3=1,'FC7+5'!T18,"")</f>
        <v/>
      </c>
      <c r="CG19" s="157" t="str">
        <f>IF('FC7+5'!U$3=1,'FC7+5'!U18,"")</f>
        <v/>
      </c>
      <c r="CH19" s="897">
        <f>SUM(CE19:CG19)</f>
        <v>612.22646137803633</v>
      </c>
      <c r="CI19" s="28">
        <f t="shared" si="67"/>
        <v>0</v>
      </c>
      <c r="CJ19" s="28">
        <f t="shared" si="68"/>
        <v>0</v>
      </c>
      <c r="CK19" s="28">
        <f t="shared" si="69"/>
        <v>0</v>
      </c>
      <c r="CL19" s="897">
        <f t="shared" si="70"/>
        <v>0</v>
      </c>
      <c r="CM19" s="895">
        <f>IF('FC7+5'!AC$3=1,'FC7+5'!AC18,"")</f>
        <v>3313.6771300840082</v>
      </c>
      <c r="CN19" s="895">
        <f t="shared" si="47"/>
        <v>-2701.450668705972</v>
      </c>
    </row>
    <row r="20" spans="2:92" ht="14.25" customHeight="1" outlineLevel="2">
      <c r="B20" s="20"/>
      <c r="C20" s="16"/>
      <c r="D20" s="17" t="s">
        <v>16</v>
      </c>
      <c r="E20" s="17"/>
      <c r="F20" s="18"/>
      <c r="G20" s="19"/>
      <c r="H20" s="19"/>
      <c r="I20" s="156"/>
      <c r="K20" s="19"/>
      <c r="L20" s="19"/>
      <c r="M20" s="19"/>
      <c r="N20" s="108"/>
      <c r="O20" s="157">
        <f t="shared" si="48"/>
        <v>0</v>
      </c>
      <c r="P20" s="157">
        <f t="shared" si="49"/>
        <v>0</v>
      </c>
      <c r="Q20" s="157">
        <f t="shared" si="50"/>
        <v>0</v>
      </c>
      <c r="R20" s="158">
        <f t="shared" si="51"/>
        <v>0</v>
      </c>
      <c r="S20" s="117"/>
      <c r="T20" s="19"/>
      <c r="U20" s="19"/>
      <c r="V20" s="19"/>
      <c r="W20" s="159"/>
      <c r="X20" s="157">
        <f t="shared" si="52"/>
        <v>0</v>
      </c>
      <c r="Y20" s="157">
        <f t="shared" si="53"/>
        <v>0</v>
      </c>
      <c r="Z20" s="157">
        <f t="shared" si="54"/>
        <v>0</v>
      </c>
      <c r="AA20" s="160">
        <f t="shared" si="55"/>
        <v>0</v>
      </c>
      <c r="AB20" s="117"/>
      <c r="AC20" s="19"/>
      <c r="AD20" s="19"/>
      <c r="AE20" s="19">
        <v>0</v>
      </c>
      <c r="AF20" s="351"/>
      <c r="AG20" s="157">
        <f t="shared" si="56"/>
        <v>0</v>
      </c>
      <c r="AH20" s="157">
        <f t="shared" si="57"/>
        <v>0</v>
      </c>
      <c r="AI20" s="157">
        <f t="shared" si="58"/>
        <v>0</v>
      </c>
      <c r="AJ20" s="340">
        <f t="shared" si="59"/>
        <v>0</v>
      </c>
      <c r="AK20" s="117"/>
      <c r="AL20" s="19"/>
      <c r="AM20" s="19"/>
      <c r="AN20" s="19"/>
      <c r="AO20" s="383"/>
      <c r="AP20" s="157">
        <f t="shared" si="60"/>
        <v>0</v>
      </c>
      <c r="AQ20" s="157">
        <f t="shared" si="61"/>
        <v>0</v>
      </c>
      <c r="AR20" s="157">
        <f t="shared" si="62"/>
        <v>0</v>
      </c>
      <c r="AS20" s="393">
        <f t="shared" si="62"/>
        <v>0</v>
      </c>
      <c r="AU20" s="19">
        <f>Act!L19</f>
        <v>0</v>
      </c>
      <c r="AV20" s="160">
        <f t="shared" si="28"/>
        <v>0</v>
      </c>
      <c r="AW20" s="117"/>
      <c r="AX20" s="19"/>
      <c r="AY20" s="19"/>
      <c r="AZ20" s="19"/>
      <c r="BA20" s="159"/>
      <c r="BB20" s="157">
        <f t="shared" si="63"/>
        <v>0</v>
      </c>
      <c r="BC20" s="157">
        <f t="shared" si="64"/>
        <v>0</v>
      </c>
      <c r="BD20" s="157">
        <f t="shared" si="65"/>
        <v>0</v>
      </c>
      <c r="BE20" s="160">
        <f t="shared" si="66"/>
        <v>0</v>
      </c>
      <c r="BG20" s="19">
        <f t="shared" si="31"/>
        <v>0</v>
      </c>
      <c r="BH20" s="19"/>
      <c r="BI20" s="19"/>
      <c r="BJ20" s="351"/>
      <c r="BK20" s="157">
        <f t="shared" si="33"/>
        <v>0</v>
      </c>
      <c r="BL20" s="157"/>
      <c r="BM20" s="157"/>
      <c r="BN20" s="340">
        <f t="shared" si="36"/>
        <v>0</v>
      </c>
      <c r="BP20" s="19"/>
      <c r="BQ20" s="19"/>
      <c r="BR20" s="19"/>
      <c r="BS20" s="351"/>
      <c r="BT20" s="157">
        <f t="shared" si="39"/>
        <v>0</v>
      </c>
      <c r="BU20" s="157">
        <f t="shared" si="40"/>
        <v>0</v>
      </c>
      <c r="BV20" s="157">
        <f t="shared" si="41"/>
        <v>0</v>
      </c>
      <c r="BW20" s="340">
        <f t="shared" si="42"/>
        <v>0</v>
      </c>
      <c r="BY20" s="340">
        <f t="shared" si="43"/>
        <v>0</v>
      </c>
      <c r="CA20" s="159">
        <f>'FC2+10'!AA19</f>
        <v>0</v>
      </c>
      <c r="CC20" s="340">
        <f t="shared" si="44"/>
        <v>0</v>
      </c>
      <c r="CE20" s="19"/>
      <c r="CF20" s="19"/>
      <c r="CG20" s="19"/>
      <c r="CH20" s="897"/>
      <c r="CI20" s="157">
        <f t="shared" si="67"/>
        <v>0</v>
      </c>
      <c r="CJ20" s="157">
        <f t="shared" si="68"/>
        <v>0</v>
      </c>
      <c r="CK20" s="157">
        <f t="shared" si="69"/>
        <v>0</v>
      </c>
      <c r="CL20" s="897">
        <f t="shared" si="70"/>
        <v>0</v>
      </c>
      <c r="CM20" s="895"/>
      <c r="CN20" s="895">
        <f t="shared" si="47"/>
        <v>0</v>
      </c>
    </row>
    <row r="21" spans="2:92" ht="14.25" customHeight="1" outlineLevel="2">
      <c r="B21" s="20"/>
      <c r="C21" s="30"/>
      <c r="D21" s="31" t="s">
        <v>17</v>
      </c>
      <c r="E21" s="31"/>
      <c r="F21" s="22"/>
      <c r="G21" s="23"/>
      <c r="H21" s="23"/>
      <c r="I21" s="161"/>
      <c r="K21" s="23"/>
      <c r="L21" s="23"/>
      <c r="M21" s="23"/>
      <c r="N21" s="109"/>
      <c r="O21" s="48">
        <f t="shared" si="48"/>
        <v>0</v>
      </c>
      <c r="P21" s="48">
        <f t="shared" si="49"/>
        <v>0</v>
      </c>
      <c r="Q21" s="48">
        <f t="shared" si="50"/>
        <v>0</v>
      </c>
      <c r="R21" s="162">
        <f t="shared" si="51"/>
        <v>0</v>
      </c>
      <c r="S21" s="117"/>
      <c r="T21" s="23"/>
      <c r="U21" s="23"/>
      <c r="V21" s="23"/>
      <c r="W21" s="163"/>
      <c r="X21" s="48">
        <f t="shared" si="52"/>
        <v>0</v>
      </c>
      <c r="Y21" s="48">
        <f t="shared" si="53"/>
        <v>0</v>
      </c>
      <c r="Z21" s="48">
        <f t="shared" si="54"/>
        <v>0</v>
      </c>
      <c r="AA21" s="164">
        <f t="shared" si="55"/>
        <v>0</v>
      </c>
      <c r="AB21" s="117"/>
      <c r="AC21" s="23"/>
      <c r="AD21" s="23"/>
      <c r="AE21" s="23">
        <v>0</v>
      </c>
      <c r="AF21" s="352"/>
      <c r="AG21" s="48">
        <f t="shared" si="56"/>
        <v>0</v>
      </c>
      <c r="AH21" s="48">
        <f t="shared" si="57"/>
        <v>0</v>
      </c>
      <c r="AI21" s="48">
        <f t="shared" si="58"/>
        <v>0</v>
      </c>
      <c r="AJ21" s="341">
        <f t="shared" si="59"/>
        <v>0</v>
      </c>
      <c r="AK21" s="117"/>
      <c r="AL21" s="23"/>
      <c r="AM21" s="23"/>
      <c r="AN21" s="23"/>
      <c r="AO21" s="384"/>
      <c r="AP21" s="48">
        <f t="shared" si="60"/>
        <v>0</v>
      </c>
      <c r="AQ21" s="48">
        <f t="shared" si="61"/>
        <v>0</v>
      </c>
      <c r="AR21" s="48">
        <f t="shared" si="62"/>
        <v>0</v>
      </c>
      <c r="AS21" s="394">
        <f t="shared" si="62"/>
        <v>0</v>
      </c>
      <c r="AU21" s="23">
        <f>Act!L20</f>
        <v>0</v>
      </c>
      <c r="AV21" s="164">
        <f t="shared" si="28"/>
        <v>0</v>
      </c>
      <c r="AW21" s="117"/>
      <c r="AX21" s="23"/>
      <c r="AY21" s="23"/>
      <c r="AZ21" s="23"/>
      <c r="BA21" s="163"/>
      <c r="BB21" s="48">
        <f t="shared" si="63"/>
        <v>0</v>
      </c>
      <c r="BC21" s="48">
        <f t="shared" si="64"/>
        <v>0</v>
      </c>
      <c r="BD21" s="48">
        <f t="shared" si="65"/>
        <v>0</v>
      </c>
      <c r="BE21" s="164">
        <f t="shared" si="66"/>
        <v>0</v>
      </c>
      <c r="BG21" s="23">
        <f t="shared" si="31"/>
        <v>0</v>
      </c>
      <c r="BH21" s="23"/>
      <c r="BI21" s="23"/>
      <c r="BJ21" s="352"/>
      <c r="BK21" s="48">
        <f t="shared" si="33"/>
        <v>0</v>
      </c>
      <c r="BL21" s="48"/>
      <c r="BM21" s="48"/>
      <c r="BN21" s="341">
        <f t="shared" si="36"/>
        <v>0</v>
      </c>
      <c r="BP21" s="23"/>
      <c r="BQ21" s="23"/>
      <c r="BR21" s="23"/>
      <c r="BS21" s="352"/>
      <c r="BT21" s="48">
        <f t="shared" si="39"/>
        <v>0</v>
      </c>
      <c r="BU21" s="48">
        <f t="shared" si="40"/>
        <v>0</v>
      </c>
      <c r="BV21" s="48">
        <f t="shared" si="41"/>
        <v>0</v>
      </c>
      <c r="BW21" s="341">
        <f t="shared" si="42"/>
        <v>0</v>
      </c>
      <c r="BY21" s="341">
        <f t="shared" si="43"/>
        <v>0</v>
      </c>
      <c r="CA21" s="163">
        <f>'FC2+10'!AA20</f>
        <v>0</v>
      </c>
      <c r="CC21" s="341">
        <f t="shared" si="44"/>
        <v>0</v>
      </c>
      <c r="CE21" s="23"/>
      <c r="CF21" s="23"/>
      <c r="CG21" s="23"/>
      <c r="CH21" s="898"/>
      <c r="CI21" s="48">
        <f t="shared" si="67"/>
        <v>0</v>
      </c>
      <c r="CJ21" s="48">
        <f t="shared" si="68"/>
        <v>0</v>
      </c>
      <c r="CK21" s="48">
        <f t="shared" si="69"/>
        <v>0</v>
      </c>
      <c r="CL21" s="898">
        <f t="shared" si="70"/>
        <v>0</v>
      </c>
      <c r="CM21" s="895"/>
      <c r="CN21" s="895">
        <f t="shared" si="47"/>
        <v>0</v>
      </c>
    </row>
    <row r="22" spans="2:92" ht="14.25" customHeight="1" outlineLevel="2">
      <c r="B22" s="32"/>
      <c r="C22" s="26" t="s">
        <v>117</v>
      </c>
      <c r="D22" s="26"/>
      <c r="E22" s="26"/>
      <c r="F22" s="33">
        <f>IF(Act!S$3=1,Act!S21,"")</f>
        <v>-85.285283100000001</v>
      </c>
      <c r="G22" s="33" t="str">
        <f>IF(Act!T$3=1,Act!T21,"")</f>
        <v/>
      </c>
      <c r="H22" s="33" t="str">
        <f>IF(Act!U$3=1,Act!U21,"")</f>
        <v/>
      </c>
      <c r="I22" s="165">
        <f>SUM(F22:H22)</f>
        <v>-85.285283100000001</v>
      </c>
      <c r="K22" s="157">
        <f>IF(BP!S$3=1,BP!S21,"")</f>
        <v>-76.40651055420831</v>
      </c>
      <c r="L22" s="157" t="str">
        <f>IF(BP!T$3=1,BP!T21,"")</f>
        <v/>
      </c>
      <c r="M22" s="157" t="str">
        <f>IF(BP!U$3=1,BP!U21,"")</f>
        <v/>
      </c>
      <c r="N22" s="108">
        <f>SUM(K22:M22)</f>
        <v>-76.40651055420831</v>
      </c>
      <c r="O22" s="34">
        <f t="shared" si="48"/>
        <v>-8.8787725457916906</v>
      </c>
      <c r="P22" s="34">
        <f t="shared" si="49"/>
        <v>0</v>
      </c>
      <c r="Q22" s="34">
        <f t="shared" si="50"/>
        <v>0</v>
      </c>
      <c r="R22" s="166">
        <f t="shared" si="51"/>
        <v>-8.8787725457916906</v>
      </c>
      <c r="S22" s="117"/>
      <c r="T22" s="157">
        <f>IF('FC2+10'!S$3=1,'FC2+10'!S21,"")</f>
        <v>-85.285283100000001</v>
      </c>
      <c r="U22" s="157" t="str">
        <f>IF('FC2+10'!T$3=1,'FC2+10'!T21,"")</f>
        <v/>
      </c>
      <c r="V22" s="157" t="str">
        <f>IF('FC2+10'!U$3=1,'FC2+10'!U21,"")</f>
        <v/>
      </c>
      <c r="W22" s="159">
        <f>SUM(T22:V22)</f>
        <v>-85.285283100000001</v>
      </c>
      <c r="X22" s="34">
        <f t="shared" si="52"/>
        <v>0</v>
      </c>
      <c r="Y22" s="34">
        <f t="shared" si="53"/>
        <v>0</v>
      </c>
      <c r="Z22" s="34">
        <f t="shared" si="54"/>
        <v>0</v>
      </c>
      <c r="AA22" s="160">
        <f t="shared" si="55"/>
        <v>0</v>
      </c>
      <c r="AB22" s="117"/>
      <c r="AC22" s="157">
        <f>IF(OL!S$3=1,OL!S21,"")</f>
        <v>-134.4247786</v>
      </c>
      <c r="AD22" s="157">
        <f>IF(OL!T$3=1,OL!T21,"")</f>
        <v>-142.08356370906142</v>
      </c>
      <c r="AE22" s="157" t="str">
        <f>IF(OL!U$3=1,OL!U21,"")</f>
        <v/>
      </c>
      <c r="AF22" s="351">
        <f>SUM(AC22:AE22)</f>
        <v>-276.50834230906139</v>
      </c>
      <c r="AG22" s="34">
        <f t="shared" si="56"/>
        <v>49.139495499999995</v>
      </c>
      <c r="AH22" s="34">
        <f t="shared" si="57"/>
        <v>0</v>
      </c>
      <c r="AI22" s="34">
        <f t="shared" si="58"/>
        <v>0</v>
      </c>
      <c r="AJ22" s="340">
        <f t="shared" si="59"/>
        <v>191.22305920906138</v>
      </c>
      <c r="AK22" s="117"/>
      <c r="AL22" s="157">
        <f>IF(LY!S$3=1,LY!S21,"")</f>
        <v>-97.808222400000005</v>
      </c>
      <c r="AM22" s="157" t="str">
        <f>IF(LY!T$3=1,LY!T21,"")</f>
        <v/>
      </c>
      <c r="AN22" s="157" t="str">
        <f>IF(LY!U$3=1,LY!U21,"")</f>
        <v/>
      </c>
      <c r="AO22" s="383">
        <f>SUM(AL22:AN22)</f>
        <v>-97.808222400000005</v>
      </c>
      <c r="AP22" s="34">
        <f t="shared" si="60"/>
        <v>12.522939300000004</v>
      </c>
      <c r="AQ22" s="34">
        <f t="shared" si="61"/>
        <v>0</v>
      </c>
      <c r="AR22" s="34">
        <f t="shared" si="62"/>
        <v>0</v>
      </c>
      <c r="AS22" s="393">
        <f t="shared" si="62"/>
        <v>12.522939300000004</v>
      </c>
      <c r="AU22" s="157">
        <f>Act!L21</f>
        <v>-142.95642530000001</v>
      </c>
      <c r="AV22" s="846" t="e">
        <f t="shared" si="28"/>
        <v>#VALUE!</v>
      </c>
      <c r="AW22" s="117"/>
      <c r="AX22" s="157">
        <f>IF('FC5+7'!S$3=1,'FC5+7'!S21,"")</f>
        <v>-85.285283100000001</v>
      </c>
      <c r="AY22" s="157" t="str">
        <f>IF('FC5+7'!T$3=1,'FC5+7'!T21,"")</f>
        <v/>
      </c>
      <c r="AZ22" s="157" t="str">
        <f>IF('FC5+7'!U$3=1,'FC5+7'!U21,"")</f>
        <v/>
      </c>
      <c r="BA22" s="159">
        <f>SUM(AX22:AZ22)</f>
        <v>-85.285283100000001</v>
      </c>
      <c r="BB22" s="34">
        <f t="shared" si="63"/>
        <v>0</v>
      </c>
      <c r="BC22" s="34">
        <f t="shared" si="64"/>
        <v>0</v>
      </c>
      <c r="BD22" s="34">
        <f t="shared" si="65"/>
        <v>0</v>
      </c>
      <c r="BE22" s="160">
        <f t="shared" si="66"/>
        <v>0</v>
      </c>
      <c r="BG22" s="157">
        <f t="shared" si="31"/>
        <v>-85.285283100000001</v>
      </c>
      <c r="BH22" s="157">
        <v>-95.106208366113506</v>
      </c>
      <c r="BI22" s="157">
        <v>-169.78057480022082</v>
      </c>
      <c r="BJ22" s="351">
        <f>SUM(BG22:BI22)</f>
        <v>-350.17206626633435</v>
      </c>
      <c r="BK22" s="34">
        <f t="shared" si="33"/>
        <v>49.139495499999995</v>
      </c>
      <c r="BL22" s="34">
        <f t="shared" si="34"/>
        <v>0</v>
      </c>
      <c r="BM22" s="34">
        <f t="shared" si="35"/>
        <v>0</v>
      </c>
      <c r="BN22" s="340">
        <f t="shared" si="36"/>
        <v>264.88678316633434</v>
      </c>
      <c r="BP22" s="157">
        <f t="shared" si="37"/>
        <v>-85.285283100000001</v>
      </c>
      <c r="BQ22" s="157" t="str">
        <f t="shared" si="37"/>
        <v/>
      </c>
      <c r="BR22" s="157" t="e">
        <f>#REF!</f>
        <v>#REF!</v>
      </c>
      <c r="BS22" s="351" t="e">
        <f>SUM(BP22:BR22)</f>
        <v>#REF!</v>
      </c>
      <c r="BT22" s="34">
        <f t="shared" si="39"/>
        <v>49.139495499999995</v>
      </c>
      <c r="BU22" s="34" t="e">
        <f t="shared" si="40"/>
        <v>#VALUE!</v>
      </c>
      <c r="BV22" s="34" t="e">
        <f t="shared" si="41"/>
        <v>#REF!</v>
      </c>
      <c r="BW22" s="340" t="e">
        <f t="shared" si="42"/>
        <v>#REF!</v>
      </c>
      <c r="BY22" s="340" t="e">
        <f t="shared" si="43"/>
        <v>#VALUE!</v>
      </c>
      <c r="CA22" s="159">
        <f>'FC2+10'!AA21</f>
        <v>-372.76107930345961</v>
      </c>
      <c r="CC22" s="340">
        <f t="shared" si="44"/>
        <v>-287.47579620345959</v>
      </c>
      <c r="CE22" s="157">
        <f>IF('FC7+5'!S$3=1,'FC7+5'!S21,"")</f>
        <v>-85.285283100000001</v>
      </c>
      <c r="CF22" s="157" t="str">
        <f>IF('FC7+5'!T$3=1,'FC7+5'!T21,"")</f>
        <v/>
      </c>
      <c r="CG22" s="157" t="str">
        <f>IF('FC7+5'!U$3=1,'FC7+5'!U21,"")</f>
        <v/>
      </c>
      <c r="CH22" s="897">
        <f>SUM(CE22:CG22)</f>
        <v>-85.285283100000001</v>
      </c>
      <c r="CI22" s="34">
        <f t="shared" si="67"/>
        <v>0</v>
      </c>
      <c r="CJ22" s="34">
        <f t="shared" si="68"/>
        <v>0</v>
      </c>
      <c r="CK22" s="34">
        <f t="shared" si="69"/>
        <v>0</v>
      </c>
      <c r="CL22" s="897">
        <f t="shared" si="70"/>
        <v>0</v>
      </c>
      <c r="CM22" s="895">
        <f>IF('FC7+5'!AC$3=1,'FC7+5'!AC21,"")</f>
        <v>-481.20338392226734</v>
      </c>
      <c r="CN22" s="895">
        <f t="shared" si="47"/>
        <v>395.91810082226732</v>
      </c>
    </row>
    <row r="23" spans="2:92" outlineLevel="2">
      <c r="B23" s="36" t="s">
        <v>118</v>
      </c>
      <c r="C23" s="36"/>
      <c r="D23" s="1"/>
      <c r="E23" s="37"/>
      <c r="F23" s="38">
        <f>SUM(F19,F22)</f>
        <v>526.94117827803632</v>
      </c>
      <c r="G23" s="38">
        <f>SUM(G19,G22)</f>
        <v>0</v>
      </c>
      <c r="H23" s="38">
        <f>SUM(H19,H22)</f>
        <v>0</v>
      </c>
      <c r="I23" s="167">
        <f>SUM(F23:H23)</f>
        <v>526.94117827803632</v>
      </c>
      <c r="K23" s="39">
        <f>SUM(K19,K22)</f>
        <v>570.79236726505746</v>
      </c>
      <c r="L23" s="39">
        <f>SUM(L19,L22)</f>
        <v>0</v>
      </c>
      <c r="M23" s="39">
        <f>SUM(M19,M22)</f>
        <v>0</v>
      </c>
      <c r="N23" s="110">
        <f>SUM(K23:M23)</f>
        <v>570.79236726505746</v>
      </c>
      <c r="O23" s="39">
        <f t="shared" si="48"/>
        <v>-43.851188987021146</v>
      </c>
      <c r="P23" s="39">
        <f t="shared" si="49"/>
        <v>0</v>
      </c>
      <c r="Q23" s="39">
        <f t="shared" si="50"/>
        <v>0</v>
      </c>
      <c r="R23" s="168">
        <f t="shared" si="51"/>
        <v>-43.851188987021146</v>
      </c>
      <c r="S23" s="117"/>
      <c r="T23" s="39">
        <f>SUM(T19,T22)</f>
        <v>526.94117827803632</v>
      </c>
      <c r="U23" s="39">
        <f>SUM(U19,U22)</f>
        <v>0</v>
      </c>
      <c r="V23" s="39">
        <f>SUM(V19,V22)</f>
        <v>0</v>
      </c>
      <c r="W23" s="169">
        <f>SUM(T23:V23)</f>
        <v>526.94117827803632</v>
      </c>
      <c r="X23" s="39">
        <f t="shared" si="52"/>
        <v>0</v>
      </c>
      <c r="Y23" s="39">
        <f t="shared" si="53"/>
        <v>0</v>
      </c>
      <c r="Z23" s="39">
        <f t="shared" si="54"/>
        <v>0</v>
      </c>
      <c r="AA23" s="170">
        <f t="shared" si="55"/>
        <v>0</v>
      </c>
      <c r="AB23" s="117"/>
      <c r="AC23" s="39">
        <f>SUM(AC19,AC22)</f>
        <v>733.01020378986721</v>
      </c>
      <c r="AD23" s="39">
        <f>SUM(AD19,AD22)</f>
        <v>856.80205752127119</v>
      </c>
      <c r="AE23" s="39">
        <f>SUM(AE19,AE22)</f>
        <v>0</v>
      </c>
      <c r="AF23" s="353">
        <f>SUM(AC23:AE23)</f>
        <v>1589.8122613111384</v>
      </c>
      <c r="AG23" s="39">
        <f t="shared" si="56"/>
        <v>-206.06902551183089</v>
      </c>
      <c r="AH23" s="39">
        <f t="shared" si="57"/>
        <v>-856.80205752127119</v>
      </c>
      <c r="AI23" s="39">
        <f t="shared" si="58"/>
        <v>0</v>
      </c>
      <c r="AJ23" s="342">
        <f t="shared" si="59"/>
        <v>-1062.871083033102</v>
      </c>
      <c r="AK23" s="117"/>
      <c r="AL23" s="39">
        <f>SUM(AL19,AL22)</f>
        <v>653.04072890224745</v>
      </c>
      <c r="AM23" s="39">
        <f>SUM(AM19,AM22)</f>
        <v>0</v>
      </c>
      <c r="AN23" s="39">
        <f>SUM(AN19,AN22)</f>
        <v>0</v>
      </c>
      <c r="AO23" s="385">
        <f>SUM(AL23:AN23)</f>
        <v>653.04072890224745</v>
      </c>
      <c r="AP23" s="39">
        <f t="shared" si="60"/>
        <v>-126.09955062421113</v>
      </c>
      <c r="AQ23" s="39">
        <f t="shared" si="61"/>
        <v>0</v>
      </c>
      <c r="AR23" s="39">
        <f t="shared" si="62"/>
        <v>0</v>
      </c>
      <c r="AS23" s="395">
        <f t="shared" si="62"/>
        <v>-126.09955062421113</v>
      </c>
      <c r="AU23" s="39">
        <f>Act!L22</f>
        <v>829.93053388759438</v>
      </c>
      <c r="AV23" s="170">
        <f t="shared" si="28"/>
        <v>-829.93053388759438</v>
      </c>
      <c r="AW23" s="117"/>
      <c r="AX23" s="39">
        <f>SUM(AX19,AX22)</f>
        <v>526.94117827803632</v>
      </c>
      <c r="AY23" s="39">
        <f>SUM(AY19,AY22)</f>
        <v>0</v>
      </c>
      <c r="AZ23" s="39">
        <f>SUM(AZ19,AZ22)</f>
        <v>0</v>
      </c>
      <c r="BA23" s="169">
        <f>SUM(AX23:AZ23)</f>
        <v>526.94117827803632</v>
      </c>
      <c r="BB23" s="39">
        <f t="shared" si="63"/>
        <v>0</v>
      </c>
      <c r="BC23" s="39">
        <f t="shared" si="64"/>
        <v>0</v>
      </c>
      <c r="BD23" s="39">
        <f t="shared" si="65"/>
        <v>0</v>
      </c>
      <c r="BE23" s="170">
        <f t="shared" si="66"/>
        <v>0</v>
      </c>
      <c r="BG23" s="39">
        <f t="shared" si="31"/>
        <v>526.94117827803632</v>
      </c>
      <c r="BH23" s="39">
        <v>615.03821204691747</v>
      </c>
      <c r="BI23" s="39">
        <v>927.71175197909452</v>
      </c>
      <c r="BJ23" s="353">
        <f>SUM(BG23:BI23)</f>
        <v>2069.6911423040483</v>
      </c>
      <c r="BK23" s="39">
        <f t="shared" si="33"/>
        <v>-206.06902551183089</v>
      </c>
      <c r="BL23" s="39">
        <f t="shared" si="34"/>
        <v>-856.80205752127119</v>
      </c>
      <c r="BM23" s="39">
        <f t="shared" si="35"/>
        <v>653.04072890224745</v>
      </c>
      <c r="BN23" s="342">
        <f t="shared" si="36"/>
        <v>-1542.7499640260121</v>
      </c>
      <c r="BP23" s="39">
        <f t="shared" si="37"/>
        <v>526.94117827803632</v>
      </c>
      <c r="BQ23" s="39">
        <f t="shared" si="37"/>
        <v>0</v>
      </c>
      <c r="BR23" s="39" t="e">
        <f>#REF!</f>
        <v>#REF!</v>
      </c>
      <c r="BS23" s="353" t="e">
        <f>SUM(BP23:BR23)</f>
        <v>#REF!</v>
      </c>
      <c r="BT23" s="39">
        <f t="shared" si="39"/>
        <v>-206.06902551183089</v>
      </c>
      <c r="BU23" s="39">
        <f t="shared" si="40"/>
        <v>-856.80205752127119</v>
      </c>
      <c r="BV23" s="39" t="e">
        <f t="shared" si="41"/>
        <v>#REF!</v>
      </c>
      <c r="BW23" s="342" t="e">
        <f t="shared" si="42"/>
        <v>#REF!</v>
      </c>
      <c r="BY23" s="342" t="e">
        <f t="shared" si="43"/>
        <v>#REF!</v>
      </c>
      <c r="CA23" s="169">
        <f>'FC2+10'!AA22</f>
        <v>2281.925070013835</v>
      </c>
      <c r="CC23" s="342">
        <f t="shared" si="44"/>
        <v>1754.9838917357988</v>
      </c>
      <c r="CE23" s="39">
        <f>SUM(CE19,CE22)</f>
        <v>526.94117827803632</v>
      </c>
      <c r="CF23" s="39">
        <f>SUM(CF19,CF22)</f>
        <v>0</v>
      </c>
      <c r="CG23" s="39">
        <f>SUM(CG19,CG22)</f>
        <v>0</v>
      </c>
      <c r="CH23" s="899">
        <f>SUM(CE23:CG23)</f>
        <v>526.94117827803632</v>
      </c>
      <c r="CI23" s="39">
        <f t="shared" si="67"/>
        <v>0</v>
      </c>
      <c r="CJ23" s="39">
        <f t="shared" si="68"/>
        <v>0</v>
      </c>
      <c r="CK23" s="39">
        <f t="shared" si="69"/>
        <v>0</v>
      </c>
      <c r="CL23" s="899">
        <f t="shared" si="70"/>
        <v>0</v>
      </c>
      <c r="CM23" s="895">
        <f>SUM(CM19,CM22)</f>
        <v>2832.473746161741</v>
      </c>
      <c r="CN23" s="895">
        <f t="shared" si="47"/>
        <v>-2305.5325678837048</v>
      </c>
    </row>
    <row r="24" spans="2:92" outlineLevel="2">
      <c r="B24" s="16"/>
      <c r="C24" s="16"/>
      <c r="D24" s="41" t="s">
        <v>20</v>
      </c>
      <c r="E24" s="42"/>
      <c r="F24" s="18"/>
      <c r="G24" s="18"/>
      <c r="H24" s="18"/>
      <c r="I24" s="156"/>
      <c r="K24" s="19"/>
      <c r="L24" s="19"/>
      <c r="M24" s="19"/>
      <c r="N24" s="108"/>
      <c r="O24" s="157">
        <f t="shared" si="48"/>
        <v>0</v>
      </c>
      <c r="P24" s="157">
        <f t="shared" si="49"/>
        <v>0</v>
      </c>
      <c r="Q24" s="157">
        <f t="shared" si="50"/>
        <v>0</v>
      </c>
      <c r="R24" s="158">
        <f t="shared" si="51"/>
        <v>0</v>
      </c>
      <c r="S24" s="117"/>
      <c r="T24" s="19"/>
      <c r="U24" s="19"/>
      <c r="V24" s="19"/>
      <c r="W24" s="159"/>
      <c r="X24" s="157">
        <f t="shared" si="52"/>
        <v>0</v>
      </c>
      <c r="Y24" s="157">
        <f t="shared" si="53"/>
        <v>0</v>
      </c>
      <c r="Z24" s="157">
        <f t="shared" si="54"/>
        <v>0</v>
      </c>
      <c r="AA24" s="160">
        <f t="shared" si="55"/>
        <v>0</v>
      </c>
      <c r="AB24" s="117"/>
      <c r="AC24" s="19"/>
      <c r="AD24" s="19"/>
      <c r="AE24" s="19">
        <v>0</v>
      </c>
      <c r="AF24" s="351"/>
      <c r="AG24" s="157">
        <f t="shared" si="56"/>
        <v>0</v>
      </c>
      <c r="AH24" s="157">
        <f t="shared" si="57"/>
        <v>0</v>
      </c>
      <c r="AI24" s="157">
        <f t="shared" si="58"/>
        <v>0</v>
      </c>
      <c r="AJ24" s="340">
        <f t="shared" si="59"/>
        <v>0</v>
      </c>
      <c r="AK24" s="117"/>
      <c r="AL24" s="19"/>
      <c r="AM24" s="19"/>
      <c r="AN24" s="19"/>
      <c r="AO24" s="383"/>
      <c r="AP24" s="157">
        <f t="shared" si="60"/>
        <v>0</v>
      </c>
      <c r="AQ24" s="157">
        <f t="shared" si="61"/>
        <v>0</v>
      </c>
      <c r="AR24" s="157">
        <f t="shared" si="62"/>
        <v>0</v>
      </c>
      <c r="AS24" s="393">
        <f t="shared" si="62"/>
        <v>0</v>
      </c>
      <c r="AU24" s="19">
        <f>Act!L23</f>
        <v>0</v>
      </c>
      <c r="AV24" s="160">
        <f t="shared" si="28"/>
        <v>0</v>
      </c>
      <c r="AW24" s="117"/>
      <c r="AX24" s="19"/>
      <c r="AY24" s="19"/>
      <c r="AZ24" s="19"/>
      <c r="BA24" s="159"/>
      <c r="BB24" s="157"/>
      <c r="BC24" s="157"/>
      <c r="BD24" s="157"/>
      <c r="BE24" s="160"/>
      <c r="BG24" s="19"/>
      <c r="BH24" s="19"/>
      <c r="BI24" s="19"/>
      <c r="BJ24" s="351"/>
      <c r="BK24" s="157"/>
      <c r="BL24" s="157"/>
      <c r="BM24" s="157"/>
      <c r="BN24" s="340">
        <f t="shared" si="36"/>
        <v>0</v>
      </c>
      <c r="BP24" s="19"/>
      <c r="BQ24" s="19"/>
      <c r="BR24" s="19"/>
      <c r="BS24" s="351"/>
      <c r="BT24" s="157">
        <f t="shared" si="39"/>
        <v>0</v>
      </c>
      <c r="BU24" s="157">
        <f t="shared" si="40"/>
        <v>0</v>
      </c>
      <c r="BV24" s="157">
        <f t="shared" si="41"/>
        <v>0</v>
      </c>
      <c r="BW24" s="340">
        <f t="shared" si="42"/>
        <v>0</v>
      </c>
      <c r="BY24" s="340">
        <f t="shared" si="43"/>
        <v>0</v>
      </c>
      <c r="CA24" s="159">
        <f>'FC2+10'!AA23</f>
        <v>0</v>
      </c>
      <c r="CC24" s="340">
        <f t="shared" si="44"/>
        <v>0</v>
      </c>
      <c r="CE24" s="19"/>
      <c r="CF24" s="19"/>
      <c r="CG24" s="19"/>
      <c r="CH24" s="897"/>
      <c r="CI24" s="157"/>
      <c r="CJ24" s="157"/>
      <c r="CK24" s="157"/>
      <c r="CL24" s="897"/>
      <c r="CM24" s="897"/>
      <c r="CN24" s="897">
        <f t="shared" si="47"/>
        <v>0</v>
      </c>
    </row>
    <row r="25" spans="2:92" outlineLevel="2">
      <c r="B25" s="20"/>
      <c r="C25" s="30"/>
      <c r="D25" s="43" t="s">
        <v>119</v>
      </c>
      <c r="E25" s="44"/>
      <c r="F25" s="45"/>
      <c r="G25" s="45"/>
      <c r="H25" s="45"/>
      <c r="I25" s="171"/>
      <c r="K25" s="46"/>
      <c r="L25" s="46"/>
      <c r="M25" s="46"/>
      <c r="N25" s="111"/>
      <c r="O25" s="172">
        <f t="shared" si="48"/>
        <v>0</v>
      </c>
      <c r="P25" s="172">
        <f t="shared" si="49"/>
        <v>0</v>
      </c>
      <c r="Q25" s="172">
        <f t="shared" si="50"/>
        <v>0</v>
      </c>
      <c r="R25" s="173">
        <f t="shared" si="51"/>
        <v>0</v>
      </c>
      <c r="S25" s="117"/>
      <c r="T25" s="46"/>
      <c r="U25" s="46"/>
      <c r="V25" s="46"/>
      <c r="W25" s="174"/>
      <c r="X25" s="172">
        <f t="shared" si="52"/>
        <v>0</v>
      </c>
      <c r="Y25" s="172">
        <f t="shared" si="53"/>
        <v>0</v>
      </c>
      <c r="Z25" s="172">
        <f t="shared" si="54"/>
        <v>0</v>
      </c>
      <c r="AA25" s="175">
        <f t="shared" si="55"/>
        <v>0</v>
      </c>
      <c r="AB25" s="117"/>
      <c r="AC25" s="46"/>
      <c r="AD25" s="46"/>
      <c r="AE25" s="46">
        <v>0</v>
      </c>
      <c r="AF25" s="354"/>
      <c r="AG25" s="172">
        <f t="shared" si="56"/>
        <v>0</v>
      </c>
      <c r="AH25" s="172">
        <f t="shared" si="57"/>
        <v>0</v>
      </c>
      <c r="AI25" s="172">
        <f t="shared" si="58"/>
        <v>0</v>
      </c>
      <c r="AJ25" s="343">
        <f t="shared" si="59"/>
        <v>0</v>
      </c>
      <c r="AK25" s="117"/>
      <c r="AL25" s="46"/>
      <c r="AM25" s="46"/>
      <c r="AN25" s="46"/>
      <c r="AO25" s="386"/>
      <c r="AP25" s="172">
        <f t="shared" si="60"/>
        <v>0</v>
      </c>
      <c r="AQ25" s="172">
        <f t="shared" si="61"/>
        <v>0</v>
      </c>
      <c r="AR25" s="172">
        <f t="shared" si="62"/>
        <v>0</v>
      </c>
      <c r="AS25" s="396">
        <f t="shared" si="62"/>
        <v>0</v>
      </c>
      <c r="AU25" s="46">
        <f>Act!L24</f>
        <v>0</v>
      </c>
      <c r="AV25" s="175">
        <f t="shared" si="28"/>
        <v>0</v>
      </c>
      <c r="AW25" s="117"/>
      <c r="AX25" s="46"/>
      <c r="AY25" s="46"/>
      <c r="AZ25" s="46"/>
      <c r="BA25" s="174"/>
      <c r="BB25" s="172"/>
      <c r="BC25" s="172"/>
      <c r="BD25" s="172"/>
      <c r="BE25" s="175"/>
      <c r="BG25" s="46"/>
      <c r="BH25" s="46"/>
      <c r="BI25" s="46"/>
      <c r="BJ25" s="354"/>
      <c r="BK25" s="172"/>
      <c r="BL25" s="172"/>
      <c r="BM25" s="172"/>
      <c r="BN25" s="343">
        <f t="shared" si="36"/>
        <v>0</v>
      </c>
      <c r="BP25" s="46"/>
      <c r="BQ25" s="46"/>
      <c r="BR25" s="46"/>
      <c r="BS25" s="354"/>
      <c r="BT25" s="172">
        <f t="shared" si="39"/>
        <v>0</v>
      </c>
      <c r="BU25" s="172">
        <f t="shared" si="40"/>
        <v>0</v>
      </c>
      <c r="BV25" s="172">
        <f t="shared" si="41"/>
        <v>0</v>
      </c>
      <c r="BW25" s="343">
        <f t="shared" si="42"/>
        <v>0</v>
      </c>
      <c r="BY25" s="343">
        <f t="shared" si="43"/>
        <v>0</v>
      </c>
      <c r="CA25" s="174">
        <f>'FC2+10'!AA24</f>
        <v>0</v>
      </c>
      <c r="CC25" s="343">
        <f t="shared" si="44"/>
        <v>0</v>
      </c>
      <c r="CE25" s="46"/>
      <c r="CF25" s="46"/>
      <c r="CG25" s="46"/>
      <c r="CH25" s="900"/>
      <c r="CI25" s="172"/>
      <c r="CJ25" s="172"/>
      <c r="CK25" s="172"/>
      <c r="CL25" s="900"/>
      <c r="CM25" s="900"/>
      <c r="CN25" s="900">
        <f t="shared" si="47"/>
        <v>0</v>
      </c>
    </row>
    <row r="26" spans="2:92" outlineLevel="2">
      <c r="B26" s="20"/>
      <c r="C26" s="26" t="s">
        <v>120</v>
      </c>
      <c r="D26" s="17"/>
      <c r="E26" s="21"/>
      <c r="F26" s="47">
        <f>IF(Act!S$3=1,Act!S25,"")</f>
        <v>-440.85755869038957</v>
      </c>
      <c r="G26" s="47" t="str">
        <f>IF(Act!T$3=1,Act!T25,"")</f>
        <v/>
      </c>
      <c r="H26" s="47" t="str">
        <f>IF(Act!U$3=1,Act!U25,"")</f>
        <v/>
      </c>
      <c r="I26" s="161">
        <f t="shared" ref="I26:I47" si="71">SUM(F26:H26)</f>
        <v>-440.85755869038957</v>
      </c>
      <c r="K26" s="48">
        <f>IF(BP!S$3=1,BP!S25,"")</f>
        <v>-483.27573988985631</v>
      </c>
      <c r="L26" s="48" t="str">
        <f>IF(BP!T$3=1,BP!T25,"")</f>
        <v/>
      </c>
      <c r="M26" s="48" t="str">
        <f>IF(BP!U$3=1,BP!U25,"")</f>
        <v/>
      </c>
      <c r="N26" s="109">
        <f t="shared" ref="N26:N47" si="72">SUM(K26:M26)</f>
        <v>-483.27573988985631</v>
      </c>
      <c r="O26" s="48">
        <f t="shared" si="48"/>
        <v>42.418181199466744</v>
      </c>
      <c r="P26" s="48">
        <f t="shared" si="49"/>
        <v>0</v>
      </c>
      <c r="Q26" s="48">
        <f t="shared" si="50"/>
        <v>0</v>
      </c>
      <c r="R26" s="162">
        <f t="shared" si="51"/>
        <v>42.418181199466744</v>
      </c>
      <c r="S26" s="117"/>
      <c r="T26" s="48" t="e">
        <f>IF('FC2+10'!S$3=1,'FC2+10'!S25,"")</f>
        <v>#VALUE!</v>
      </c>
      <c r="U26" s="48" t="str">
        <f>IF('FC2+10'!T$3=1,'FC2+10'!T25,"")</f>
        <v/>
      </c>
      <c r="V26" s="48" t="str">
        <f>IF('FC2+10'!U$3=1,'FC2+10'!U25,"")</f>
        <v/>
      </c>
      <c r="W26" s="163" t="e">
        <f>SUM(T26:V26)</f>
        <v>#VALUE!</v>
      </c>
      <c r="X26" s="48">
        <f t="shared" si="52"/>
        <v>0</v>
      </c>
      <c r="Y26" s="48">
        <f t="shared" si="53"/>
        <v>0</v>
      </c>
      <c r="Z26" s="48">
        <f t="shared" si="54"/>
        <v>0</v>
      </c>
      <c r="AA26" s="164" t="e">
        <f t="shared" si="55"/>
        <v>#VALUE!</v>
      </c>
      <c r="AB26" s="117"/>
      <c r="AC26" s="48">
        <f>IF(OL!S$3=1,OL!S25,"")</f>
        <v>-588.72719208662261</v>
      </c>
      <c r="AD26" s="48">
        <f>IF(OL!T$3=1,OL!T25,"")</f>
        <v>-715.65292210596147</v>
      </c>
      <c r="AE26" s="48" t="str">
        <f>IF(OL!U$3=1,OL!U25,"")</f>
        <v/>
      </c>
      <c r="AF26" s="352">
        <f>SUM(AC26:AE26)</f>
        <v>-1304.3801141925842</v>
      </c>
      <c r="AG26" s="48">
        <f t="shared" si="56"/>
        <v>147.86963339623304</v>
      </c>
      <c r="AH26" s="48">
        <f t="shared" si="57"/>
        <v>0</v>
      </c>
      <c r="AI26" s="48">
        <f t="shared" si="58"/>
        <v>0</v>
      </c>
      <c r="AJ26" s="341">
        <f t="shared" si="59"/>
        <v>863.52255550219456</v>
      </c>
      <c r="AK26" s="117"/>
      <c r="AL26" s="48">
        <f>IF(LY!S$3=1,LY!S25,"")</f>
        <v>-496.47291143857882</v>
      </c>
      <c r="AM26" s="48" t="str">
        <f>IF(LY!T$3=1,LY!T25,"")</f>
        <v/>
      </c>
      <c r="AN26" s="48" t="str">
        <f>IF(LY!U$3=1,LY!U25,"")</f>
        <v/>
      </c>
      <c r="AO26" s="384">
        <f>SUM(AL26:AN26)</f>
        <v>-496.47291143857882</v>
      </c>
      <c r="AP26" s="48">
        <f t="shared" si="60"/>
        <v>55.615352748189252</v>
      </c>
      <c r="AQ26" s="48">
        <f t="shared" si="61"/>
        <v>0</v>
      </c>
      <c r="AR26" s="48">
        <f t="shared" si="62"/>
        <v>0</v>
      </c>
      <c r="AS26" s="394">
        <f t="shared" si="62"/>
        <v>55.615352748189252</v>
      </c>
      <c r="AU26" s="48">
        <f>Act!L25</f>
        <v>-693.35564568688017</v>
      </c>
      <c r="AV26" s="164" t="e">
        <f t="shared" si="28"/>
        <v>#VALUE!</v>
      </c>
      <c r="AW26" s="117"/>
      <c r="AX26" s="48">
        <f>IF('FC5+7'!S$3=1,'FC5+7'!S25,"")</f>
        <v>-440.85755869038957</v>
      </c>
      <c r="AY26" s="48" t="str">
        <f>IF('FC5+7'!T$3=1,'FC5+7'!T25,"")</f>
        <v/>
      </c>
      <c r="AZ26" s="48" t="str">
        <f>IF('FC5+7'!U$3=1,'FC5+7'!U25,"")</f>
        <v/>
      </c>
      <c r="BA26" s="163">
        <f>SUM(AX26:AZ26)</f>
        <v>-440.85755869038957</v>
      </c>
      <c r="BB26" s="48">
        <f t="shared" si="63"/>
        <v>0</v>
      </c>
      <c r="BC26" s="48">
        <f t="shared" si="64"/>
        <v>0</v>
      </c>
      <c r="BD26" s="48">
        <f t="shared" si="65"/>
        <v>0</v>
      </c>
      <c r="BE26" s="164">
        <f t="shared" si="66"/>
        <v>0</v>
      </c>
      <c r="BG26" s="48">
        <f t="shared" si="31"/>
        <v>-440.85755869038957</v>
      </c>
      <c r="BH26" s="48">
        <v>-492.24093142164071</v>
      </c>
      <c r="BI26" s="48">
        <v>-857.40710412943815</v>
      </c>
      <c r="BJ26" s="352">
        <f>SUM(BG26:BI26)</f>
        <v>-1790.5055942414683</v>
      </c>
      <c r="BK26" s="48">
        <f t="shared" si="33"/>
        <v>147.86963339623304</v>
      </c>
      <c r="BL26" s="48">
        <f t="shared" si="34"/>
        <v>0</v>
      </c>
      <c r="BM26" s="48">
        <f t="shared" si="35"/>
        <v>0</v>
      </c>
      <c r="BN26" s="341">
        <f t="shared" si="36"/>
        <v>1349.6480355510787</v>
      </c>
      <c r="BP26" s="48">
        <f t="shared" si="37"/>
        <v>-440.85755869038957</v>
      </c>
      <c r="BQ26" s="48" t="str">
        <f t="shared" si="37"/>
        <v/>
      </c>
      <c r="BR26" s="48" t="e">
        <f>#REF!</f>
        <v>#REF!</v>
      </c>
      <c r="BS26" s="352" t="e">
        <f>SUM(BP26:BR26)</f>
        <v>#REF!</v>
      </c>
      <c r="BT26" s="48">
        <f t="shared" si="39"/>
        <v>147.86963339623304</v>
      </c>
      <c r="BU26" s="48" t="e">
        <f t="shared" si="40"/>
        <v>#VALUE!</v>
      </c>
      <c r="BV26" s="48" t="e">
        <f t="shared" si="41"/>
        <v>#REF!</v>
      </c>
      <c r="BW26" s="341" t="e">
        <f t="shared" si="42"/>
        <v>#REF!</v>
      </c>
      <c r="BY26" s="341" t="e">
        <f t="shared" si="43"/>
        <v>#VALUE!</v>
      </c>
      <c r="CA26" s="163" t="e">
        <f>'FC2+10'!AA25</f>
        <v>#VALUE!</v>
      </c>
      <c r="CC26" s="341" t="e">
        <f t="shared" si="44"/>
        <v>#VALUE!</v>
      </c>
      <c r="CE26" s="48">
        <f>IF('FC7+5'!S$3=1,'FC7+5'!S25,"")</f>
        <v>-440.85755869038957</v>
      </c>
      <c r="CF26" s="48" t="str">
        <f>IF('FC7+5'!T$3=1,'FC7+5'!T25,"")</f>
        <v/>
      </c>
      <c r="CG26" s="48" t="str">
        <f>IF('FC7+5'!U$3=1,'FC7+5'!U25,"")</f>
        <v/>
      </c>
      <c r="CH26" s="898">
        <f>SUM(CE26:CG26)</f>
        <v>-440.85755869038957</v>
      </c>
      <c r="CI26" s="48">
        <f t="shared" ref="CI26:CI39" si="73">IFERROR(F26-CE26,0)</f>
        <v>0</v>
      </c>
      <c r="CJ26" s="48">
        <f t="shared" ref="CJ26:CJ39" si="74">IFERROR(G26-CF26,0)</f>
        <v>0</v>
      </c>
      <c r="CK26" s="48">
        <f t="shared" ref="CK26:CK39" si="75">IFERROR(H26-CG26,0)</f>
        <v>0</v>
      </c>
      <c r="CL26" s="898">
        <f t="shared" ref="CL26:CL39" si="76">IFERROR(I26-CH26,0)</f>
        <v>0</v>
      </c>
      <c r="CM26" s="895">
        <f>IF('FC7+5'!AC$3=1,'FC7+5'!AC25,"")</f>
        <v>-2272.6964318384817</v>
      </c>
      <c r="CN26" s="895">
        <f t="shared" si="47"/>
        <v>1831.838873148092</v>
      </c>
    </row>
    <row r="27" spans="2:92" outlineLevel="2">
      <c r="B27" s="50" t="s">
        <v>121</v>
      </c>
      <c r="C27" s="50"/>
      <c r="D27" s="37"/>
      <c r="E27" s="37"/>
      <c r="F27" s="51">
        <f>SUM(F23,F26)</f>
        <v>86.083619587646751</v>
      </c>
      <c r="G27" s="51">
        <f>SUM(G23,G26)</f>
        <v>0</v>
      </c>
      <c r="H27" s="51">
        <f>SUM(H23,H26)</f>
        <v>0</v>
      </c>
      <c r="I27" s="167">
        <f t="shared" si="71"/>
        <v>86.083619587646751</v>
      </c>
      <c r="K27" s="52">
        <f>K23+K26</f>
        <v>87.516627375201153</v>
      </c>
      <c r="L27" s="52">
        <f>SUM(L23,L26)</f>
        <v>0</v>
      </c>
      <c r="M27" s="52">
        <f>SUM(M23,M26)</f>
        <v>0</v>
      </c>
      <c r="N27" s="112">
        <f t="shared" si="72"/>
        <v>87.516627375201153</v>
      </c>
      <c r="O27" s="567">
        <f t="shared" si="48"/>
        <v>-1.4330077875544021</v>
      </c>
      <c r="P27" s="52">
        <f t="shared" si="49"/>
        <v>0</v>
      </c>
      <c r="Q27" s="52">
        <f t="shared" si="50"/>
        <v>0</v>
      </c>
      <c r="R27" s="168">
        <f t="shared" si="51"/>
        <v>-1.4330077875544021</v>
      </c>
      <c r="S27" s="176"/>
      <c r="T27" s="52" t="e">
        <f>T23+T26</f>
        <v>#VALUE!</v>
      </c>
      <c r="U27" s="52">
        <f>SUM(U23,U26)</f>
        <v>0</v>
      </c>
      <c r="V27" s="52">
        <f>SUM(V23,V26)</f>
        <v>0</v>
      </c>
      <c r="W27" s="177" t="e">
        <f>SUM(T27:V27)</f>
        <v>#VALUE!</v>
      </c>
      <c r="X27" s="52">
        <f t="shared" si="52"/>
        <v>0</v>
      </c>
      <c r="Y27" s="52">
        <f t="shared" si="53"/>
        <v>0</v>
      </c>
      <c r="Z27" s="52">
        <f t="shared" si="54"/>
        <v>0</v>
      </c>
      <c r="AA27" s="187" t="e">
        <f t="shared" si="55"/>
        <v>#VALUE!</v>
      </c>
      <c r="AB27" s="176"/>
      <c r="AC27" s="52">
        <f>AC23+AC26</f>
        <v>144.2830117032446</v>
      </c>
      <c r="AD27" s="52">
        <f>SUM(AD23,AD26)</f>
        <v>141.14913541530973</v>
      </c>
      <c r="AE27" s="52">
        <f>SUM(AE23,AE26)</f>
        <v>0</v>
      </c>
      <c r="AF27" s="355">
        <f>SUM(AC27:AE27)</f>
        <v>285.43214711855433</v>
      </c>
      <c r="AG27" s="52">
        <f t="shared" si="56"/>
        <v>-58.199392115597846</v>
      </c>
      <c r="AH27" s="52">
        <f t="shared" si="57"/>
        <v>-141.14913541530973</v>
      </c>
      <c r="AI27" s="52">
        <f t="shared" si="58"/>
        <v>0</v>
      </c>
      <c r="AJ27" s="344">
        <f t="shared" si="59"/>
        <v>-199.34852753090757</v>
      </c>
      <c r="AK27" s="176"/>
      <c r="AL27" s="486">
        <f>AL23+AL26</f>
        <v>156.56781746366863</v>
      </c>
      <c r="AM27" s="52">
        <f>SUM(AM23,AM26)</f>
        <v>0</v>
      </c>
      <c r="AN27" s="52">
        <f>SUM(AN23,AN26)</f>
        <v>0</v>
      </c>
      <c r="AO27" s="387">
        <f>SUM(AL27:AN27)</f>
        <v>156.56781746366863</v>
      </c>
      <c r="AP27" s="52">
        <f t="shared" si="60"/>
        <v>-70.484197876021881</v>
      </c>
      <c r="AQ27" s="52">
        <f t="shared" si="61"/>
        <v>0</v>
      </c>
      <c r="AR27" s="52">
        <f t="shared" si="62"/>
        <v>0</v>
      </c>
      <c r="AS27" s="397">
        <f t="shared" si="62"/>
        <v>-70.484197876021881</v>
      </c>
      <c r="AU27" s="52">
        <f>Act!L26</f>
        <v>136.57488820071421</v>
      </c>
      <c r="AV27" s="178">
        <f t="shared" si="28"/>
        <v>-136.57488820071421</v>
      </c>
      <c r="AW27" s="176"/>
      <c r="AX27" s="52">
        <f>AX23+AX26</f>
        <v>86.083619587646751</v>
      </c>
      <c r="AY27" s="52">
        <f>SUM(AY23,AY26)</f>
        <v>0</v>
      </c>
      <c r="AZ27" s="52">
        <f>SUM(AZ23,AZ26)</f>
        <v>0</v>
      </c>
      <c r="BA27" s="177">
        <f>SUM(AX27:AZ27)</f>
        <v>86.083619587646751</v>
      </c>
      <c r="BB27" s="52">
        <f t="shared" si="63"/>
        <v>0</v>
      </c>
      <c r="BC27" s="52">
        <f t="shared" si="64"/>
        <v>0</v>
      </c>
      <c r="BD27" s="52">
        <f t="shared" si="65"/>
        <v>0</v>
      </c>
      <c r="BE27" s="187">
        <f t="shared" si="66"/>
        <v>0</v>
      </c>
      <c r="BG27" s="52">
        <f t="shared" si="31"/>
        <v>86.083619587646751</v>
      </c>
      <c r="BH27" s="52">
        <v>122.79728062527676</v>
      </c>
      <c r="BI27" s="52">
        <v>70.304647849656362</v>
      </c>
      <c r="BJ27" s="355">
        <f>SUM(BG27:BI27)</f>
        <v>279.18554806257987</v>
      </c>
      <c r="BK27" s="52">
        <f t="shared" si="33"/>
        <v>-58.199392115597846</v>
      </c>
      <c r="BL27" s="52">
        <f t="shared" si="34"/>
        <v>-141.14913541530973</v>
      </c>
      <c r="BM27" s="52">
        <f t="shared" si="35"/>
        <v>156.56781746366863</v>
      </c>
      <c r="BN27" s="344">
        <f t="shared" si="36"/>
        <v>-193.10192847493312</v>
      </c>
      <c r="BP27" s="52">
        <f t="shared" si="37"/>
        <v>86.083619587646751</v>
      </c>
      <c r="BQ27" s="52">
        <f t="shared" si="37"/>
        <v>0</v>
      </c>
      <c r="BR27" s="52" t="e">
        <f>#REF!</f>
        <v>#REF!</v>
      </c>
      <c r="BS27" s="355" t="e">
        <f>SUM(BP27:BR27)</f>
        <v>#REF!</v>
      </c>
      <c r="BT27" s="52">
        <f t="shared" si="39"/>
        <v>-58.199392115597846</v>
      </c>
      <c r="BU27" s="52">
        <f t="shared" si="40"/>
        <v>-141.14913541530973</v>
      </c>
      <c r="BV27" s="52" t="e">
        <f t="shared" si="41"/>
        <v>#REF!</v>
      </c>
      <c r="BW27" s="344" t="e">
        <f t="shared" si="42"/>
        <v>#REF!</v>
      </c>
      <c r="BY27" s="344" t="e">
        <f t="shared" si="43"/>
        <v>#REF!</v>
      </c>
      <c r="CA27" s="177" t="e">
        <f>'FC2+10'!AA26</f>
        <v>#VALUE!</v>
      </c>
      <c r="CC27" s="344" t="e">
        <f t="shared" si="44"/>
        <v>#VALUE!</v>
      </c>
      <c r="CE27" s="52">
        <f>CE23+CE26</f>
        <v>86.083619587646751</v>
      </c>
      <c r="CF27" s="52">
        <f>SUM(CF23,CF26)</f>
        <v>0</v>
      </c>
      <c r="CG27" s="52">
        <f>SUM(CG23,CG26)</f>
        <v>0</v>
      </c>
      <c r="CH27" s="901">
        <f>SUM(CE27:CG27)</f>
        <v>86.083619587646751</v>
      </c>
      <c r="CI27" s="52">
        <f t="shared" si="73"/>
        <v>0</v>
      </c>
      <c r="CJ27" s="52">
        <f t="shared" si="74"/>
        <v>0</v>
      </c>
      <c r="CK27" s="52">
        <f t="shared" si="75"/>
        <v>0</v>
      </c>
      <c r="CL27" s="903">
        <f t="shared" si="76"/>
        <v>0</v>
      </c>
      <c r="CM27" s="895">
        <f>CM23+CM26</f>
        <v>559.77731432325936</v>
      </c>
      <c r="CN27" s="895">
        <f t="shared" si="47"/>
        <v>-473.69369473561261</v>
      </c>
    </row>
    <row r="28" spans="2:92" outlineLevel="2">
      <c r="B28" s="54"/>
      <c r="C28" s="55" t="s">
        <v>24</v>
      </c>
      <c r="D28" s="56"/>
      <c r="E28" s="56"/>
      <c r="F28" s="57">
        <f>F27/F19</f>
        <v>0.14060747945112423</v>
      </c>
      <c r="G28" s="57" t="e">
        <f>G27/G19</f>
        <v>#VALUE!</v>
      </c>
      <c r="H28" s="57" t="e">
        <f>H27/H19</f>
        <v>#VALUE!</v>
      </c>
      <c r="I28" s="189">
        <f>I27/I19</f>
        <v>0.14060747945112423</v>
      </c>
      <c r="J28" s="190"/>
      <c r="K28" s="179">
        <f>K27/K19</f>
        <v>0.13522370074263432</v>
      </c>
      <c r="L28" s="179" t="e">
        <f>L27/L19</f>
        <v>#VALUE!</v>
      </c>
      <c r="M28" s="179" t="e">
        <f>M27/M19</f>
        <v>#VALUE!</v>
      </c>
      <c r="N28" s="113">
        <f>N27/N19</f>
        <v>0.13522370074263432</v>
      </c>
      <c r="O28" s="58">
        <f t="shared" si="48"/>
        <v>5.3837787084899114E-3</v>
      </c>
      <c r="P28" s="58">
        <f t="shared" si="49"/>
        <v>0</v>
      </c>
      <c r="Q28" s="58">
        <f t="shared" si="50"/>
        <v>0</v>
      </c>
      <c r="R28" s="180">
        <f t="shared" si="51"/>
        <v>5.3837787084899114E-3</v>
      </c>
      <c r="T28" s="179" t="e">
        <f>T27/T19</f>
        <v>#VALUE!</v>
      </c>
      <c r="U28" s="179" t="e">
        <f>U27/U19</f>
        <v>#VALUE!</v>
      </c>
      <c r="V28" s="179" t="e">
        <f>V27/V19</f>
        <v>#VALUE!</v>
      </c>
      <c r="W28" s="181" t="e">
        <f>W27/W19</f>
        <v>#VALUE!</v>
      </c>
      <c r="X28" s="58">
        <f t="shared" si="52"/>
        <v>0</v>
      </c>
      <c r="Y28" s="58">
        <f t="shared" si="53"/>
        <v>0</v>
      </c>
      <c r="Z28" s="58">
        <f t="shared" si="54"/>
        <v>0</v>
      </c>
      <c r="AA28" s="182" t="e">
        <f t="shared" si="55"/>
        <v>#VALUE!</v>
      </c>
      <c r="AC28" s="179">
        <f>AC27/AC19</f>
        <v>0.1663329409493389</v>
      </c>
      <c r="AD28" s="179">
        <f>AD27/AD19</f>
        <v>0.14130660449537316</v>
      </c>
      <c r="AE28" s="179" t="e">
        <f>AE27/AE19</f>
        <v>#VALUE!</v>
      </c>
      <c r="AF28" s="356">
        <f>AF27/AF19</f>
        <v>0.1529384322098179</v>
      </c>
      <c r="AG28" s="58">
        <f t="shared" si="56"/>
        <v>-2.5725461498214669E-2</v>
      </c>
      <c r="AH28" s="58">
        <f t="shared" si="57"/>
        <v>0</v>
      </c>
      <c r="AI28" s="58">
        <f t="shared" si="58"/>
        <v>0</v>
      </c>
      <c r="AJ28" s="345">
        <f t="shared" si="59"/>
        <v>-1.233095275869367E-2</v>
      </c>
      <c r="AL28" s="179">
        <f>AL27/AL19</f>
        <v>0.20852105765363677</v>
      </c>
      <c r="AM28" s="179" t="e">
        <f>AM27/AM19</f>
        <v>#VALUE!</v>
      </c>
      <c r="AN28" s="179" t="e">
        <f>AN27/AN19</f>
        <v>#VALUE!</v>
      </c>
      <c r="AO28" s="388">
        <f>AO27/AO19</f>
        <v>0.20852105765363677</v>
      </c>
      <c r="AP28" s="58">
        <f t="shared" si="60"/>
        <v>-6.7913578202512537E-2</v>
      </c>
      <c r="AQ28" s="58">
        <f t="shared" si="61"/>
        <v>0</v>
      </c>
      <c r="AR28" s="58">
        <f t="shared" si="62"/>
        <v>0</v>
      </c>
      <c r="AS28" s="398">
        <f t="shared" si="62"/>
        <v>-6.7913578202512537E-2</v>
      </c>
      <c r="AU28" s="179">
        <f>Act!L27</f>
        <v>0.14038104520874714</v>
      </c>
      <c r="AV28" s="193" t="e">
        <f t="shared" si="28"/>
        <v>#VALUE!</v>
      </c>
      <c r="AX28" s="179">
        <f>AX27/AX19</f>
        <v>0.14060747945112423</v>
      </c>
      <c r="AY28" s="179" t="e">
        <f>AY27/AY19</f>
        <v>#VALUE!</v>
      </c>
      <c r="AZ28" s="179" t="e">
        <f>AZ27/AZ19</f>
        <v>#VALUE!</v>
      </c>
      <c r="BA28" s="181">
        <f>BA27/BA19</f>
        <v>0.14060747945112423</v>
      </c>
      <c r="BB28" s="58">
        <f t="shared" si="63"/>
        <v>0</v>
      </c>
      <c r="BC28" s="58">
        <f t="shared" si="64"/>
        <v>0</v>
      </c>
      <c r="BD28" s="58">
        <f t="shared" si="65"/>
        <v>0</v>
      </c>
      <c r="BE28" s="182">
        <f t="shared" si="66"/>
        <v>0</v>
      </c>
      <c r="BG28" s="179">
        <f t="shared" si="31"/>
        <v>0.14060747945112423</v>
      </c>
      <c r="BH28" s="179">
        <v>0.17291874313939687</v>
      </c>
      <c r="BI28" s="179">
        <v>6.4059352520460286E-2</v>
      </c>
      <c r="BJ28" s="356">
        <f>BJ27/BJ19</f>
        <v>0.11537245042355856</v>
      </c>
      <c r="BK28" s="58">
        <f t="shared" si="33"/>
        <v>-2.5725461498214669E-2</v>
      </c>
      <c r="BL28" s="58">
        <f t="shared" si="34"/>
        <v>0</v>
      </c>
      <c r="BM28" s="58">
        <f t="shared" si="35"/>
        <v>0</v>
      </c>
      <c r="BN28" s="345">
        <f t="shared" si="36"/>
        <v>2.5235029027565664E-2</v>
      </c>
      <c r="BP28" s="179">
        <f t="shared" si="37"/>
        <v>0.14060747945112423</v>
      </c>
      <c r="BQ28" s="179" t="e">
        <f t="shared" si="37"/>
        <v>#VALUE!</v>
      </c>
      <c r="BR28" s="179" t="e">
        <f>#REF!</f>
        <v>#REF!</v>
      </c>
      <c r="BS28" s="356" t="e">
        <f>BS27/BS19</f>
        <v>#REF!</v>
      </c>
      <c r="BT28" s="58">
        <f t="shared" si="39"/>
        <v>-2.5725461498214669E-2</v>
      </c>
      <c r="BU28" s="58" t="e">
        <f t="shared" si="40"/>
        <v>#VALUE!</v>
      </c>
      <c r="BV28" s="58" t="e">
        <f t="shared" si="41"/>
        <v>#REF!</v>
      </c>
      <c r="BW28" s="345" t="e">
        <f t="shared" si="42"/>
        <v>#REF!</v>
      </c>
      <c r="BY28" s="345" t="e">
        <f t="shared" si="43"/>
        <v>#VALUE!</v>
      </c>
      <c r="CA28" s="181">
        <f>'FC2+10'!AA27</f>
        <v>0</v>
      </c>
      <c r="CC28" s="345">
        <f t="shared" si="44"/>
        <v>-0.14060747945112423</v>
      </c>
      <c r="CE28" s="179">
        <f>CE27/CE19</f>
        <v>0.14060747945112423</v>
      </c>
      <c r="CF28" s="179" t="e">
        <f>CF27/CF19</f>
        <v>#VALUE!</v>
      </c>
      <c r="CG28" s="179" t="e">
        <f>CG27/CG19</f>
        <v>#VALUE!</v>
      </c>
      <c r="CH28" s="902">
        <f>CH27/CH19</f>
        <v>0.14060747945112423</v>
      </c>
      <c r="CI28" s="58">
        <f t="shared" si="73"/>
        <v>0</v>
      </c>
      <c r="CJ28" s="58">
        <f t="shared" si="74"/>
        <v>0</v>
      </c>
      <c r="CK28" s="58">
        <f t="shared" si="75"/>
        <v>0</v>
      </c>
      <c r="CL28" s="902">
        <f t="shared" si="76"/>
        <v>0</v>
      </c>
      <c r="CM28" s="920">
        <f>CM27/CM19</f>
        <v>0.16892934717181329</v>
      </c>
      <c r="CN28" s="920">
        <f t="shared" si="47"/>
        <v>-2.8321867720689065E-2</v>
      </c>
    </row>
    <row r="29" spans="2:92" outlineLevel="2">
      <c r="B29" s="20"/>
      <c r="C29" s="20"/>
      <c r="D29" s="60" t="s">
        <v>25</v>
      </c>
      <c r="E29" s="21"/>
      <c r="F29" s="22">
        <f>IF(Act!S$3=1,Act!S28,"")</f>
        <v>-29.170027381636</v>
      </c>
      <c r="G29" s="22" t="str">
        <f>IF(Act!T$3=1,Act!T28,"")</f>
        <v/>
      </c>
      <c r="H29" s="22" t="str">
        <f>IF(Act!U$3=1,Act!U28,"")</f>
        <v/>
      </c>
      <c r="I29" s="161">
        <f t="shared" si="71"/>
        <v>-29.170027381636</v>
      </c>
      <c r="K29" s="23">
        <f>IF(BP!S$3=1,BP!S28,"")</f>
        <v>-30.776830314468711</v>
      </c>
      <c r="L29" s="23" t="str">
        <f>IF(BP!T$3=1,BP!T28,"")</f>
        <v/>
      </c>
      <c r="M29" s="23" t="str">
        <f>IF(BP!U$3=1,BP!U28,"")</f>
        <v/>
      </c>
      <c r="N29" s="109">
        <f t="shared" si="72"/>
        <v>-30.776830314468711</v>
      </c>
      <c r="O29" s="48">
        <f t="shared" si="48"/>
        <v>1.6068029328327107</v>
      </c>
      <c r="P29" s="48">
        <f t="shared" si="49"/>
        <v>0</v>
      </c>
      <c r="Q29" s="48">
        <f t="shared" si="50"/>
        <v>0</v>
      </c>
      <c r="R29" s="162">
        <f t="shared" si="51"/>
        <v>1.6068029328327107</v>
      </c>
      <c r="S29" s="117"/>
      <c r="T29" s="23">
        <f>IF('FC2+10'!S$3=1,'FC2+10'!S28,"")</f>
        <v>-29.170027381636</v>
      </c>
      <c r="U29" s="23" t="str">
        <f>IF('FC2+10'!T$3=1,'FC2+10'!T28,"")</f>
        <v/>
      </c>
      <c r="V29" s="23" t="str">
        <f>IF('FC2+10'!U$3=1,'FC2+10'!U28,"")</f>
        <v/>
      </c>
      <c r="W29" s="163">
        <f t="shared" ref="W29:W47" si="77">SUM(T29:V29)</f>
        <v>-29.170027381636</v>
      </c>
      <c r="X29" s="48">
        <f t="shared" si="52"/>
        <v>0</v>
      </c>
      <c r="Y29" s="48">
        <f t="shared" si="53"/>
        <v>0</v>
      </c>
      <c r="Z29" s="48">
        <f t="shared" si="54"/>
        <v>0</v>
      </c>
      <c r="AA29" s="164">
        <f t="shared" si="55"/>
        <v>0</v>
      </c>
      <c r="AB29" s="117"/>
      <c r="AC29" s="23">
        <f>IF(OL!S$3=1,OL!S28,"")</f>
        <v>-26.612439853284165</v>
      </c>
      <c r="AD29" s="23">
        <f>IF(OL!T$3=1,OL!T28,"")</f>
        <v>-27.002141398786573</v>
      </c>
      <c r="AE29" s="23" t="str">
        <f>IF(OL!U$3=1,OL!U28,"")</f>
        <v/>
      </c>
      <c r="AF29" s="352">
        <f>SUM(AC29:AE29)</f>
        <v>-53.614581252070735</v>
      </c>
      <c r="AG29" s="48">
        <f t="shared" si="56"/>
        <v>-2.557587528351835</v>
      </c>
      <c r="AH29" s="48">
        <f t="shared" si="57"/>
        <v>0</v>
      </c>
      <c r="AI29" s="48">
        <f t="shared" si="58"/>
        <v>0</v>
      </c>
      <c r="AJ29" s="341">
        <f t="shared" si="59"/>
        <v>24.444553870434735</v>
      </c>
      <c r="AK29" s="117"/>
      <c r="AL29" s="23">
        <f>IF(LY!S$3=1,LY!S28,"")</f>
        <v>-28.523003541549954</v>
      </c>
      <c r="AM29" s="23" t="str">
        <f>IF(LY!T$3=1,LY!T28,"")</f>
        <v/>
      </c>
      <c r="AN29" s="23" t="str">
        <f>IF(LY!U$3=1,LY!U28,"")</f>
        <v/>
      </c>
      <c r="AO29" s="384">
        <f>SUM(AL29:AN29)</f>
        <v>-28.523003541549954</v>
      </c>
      <c r="AP29" s="48">
        <f t="shared" si="60"/>
        <v>-0.64702384008604596</v>
      </c>
      <c r="AQ29" s="48">
        <f t="shared" si="61"/>
        <v>0</v>
      </c>
      <c r="AR29" s="48">
        <f t="shared" si="62"/>
        <v>0</v>
      </c>
      <c r="AS29" s="394">
        <f t="shared" si="62"/>
        <v>-0.64702384008604596</v>
      </c>
      <c r="AU29" s="23">
        <f>Act!L28</f>
        <v>-23.077292290909099</v>
      </c>
      <c r="AV29" s="164" t="e">
        <f t="shared" si="28"/>
        <v>#VALUE!</v>
      </c>
      <c r="AW29" s="117"/>
      <c r="AX29" s="23">
        <f>IF('FC5+7'!S$3=1,'FC5+7'!S28,"")</f>
        <v>-29.170027381636</v>
      </c>
      <c r="AY29" s="23" t="str">
        <f>IF('FC5+7'!T$3=1,'FC5+7'!T28,"")</f>
        <v/>
      </c>
      <c r="AZ29" s="23" t="str">
        <f>IF('FC5+7'!U$3=1,'FC5+7'!U28,"")</f>
        <v/>
      </c>
      <c r="BA29" s="163">
        <f>SUM(AX29:AZ29)</f>
        <v>-29.170027381636</v>
      </c>
      <c r="BB29" s="48">
        <f t="shared" si="63"/>
        <v>0</v>
      </c>
      <c r="BC29" s="48">
        <f t="shared" si="64"/>
        <v>0</v>
      </c>
      <c r="BD29" s="48">
        <f t="shared" si="65"/>
        <v>0</v>
      </c>
      <c r="BE29" s="164">
        <f t="shared" si="66"/>
        <v>0</v>
      </c>
      <c r="BG29" s="23">
        <f t="shared" si="31"/>
        <v>-29.170027381636</v>
      </c>
      <c r="BH29" s="23">
        <v>-28.299800748606938</v>
      </c>
      <c r="BI29" s="23">
        <v>-29.878045283130579</v>
      </c>
      <c r="BJ29" s="352">
        <f>SUM(BG29:BI29)</f>
        <v>-87.34787341337352</v>
      </c>
      <c r="BK29" s="48">
        <f t="shared" si="33"/>
        <v>-2.557587528351835</v>
      </c>
      <c r="BL29" s="48">
        <f t="shared" si="34"/>
        <v>0</v>
      </c>
      <c r="BM29" s="48">
        <f t="shared" si="35"/>
        <v>0</v>
      </c>
      <c r="BN29" s="341">
        <f t="shared" si="36"/>
        <v>58.177846031737516</v>
      </c>
      <c r="BP29" s="23">
        <f t="shared" si="37"/>
        <v>-29.170027381636</v>
      </c>
      <c r="BQ29" s="23" t="str">
        <f t="shared" si="37"/>
        <v/>
      </c>
      <c r="BR29" s="23" t="e">
        <f>#REF!</f>
        <v>#REF!</v>
      </c>
      <c r="BS29" s="352" t="e">
        <f>SUM(BP29:BR29)</f>
        <v>#REF!</v>
      </c>
      <c r="BT29" s="48">
        <f t="shared" si="39"/>
        <v>-2.557587528351835</v>
      </c>
      <c r="BU29" s="48" t="e">
        <f t="shared" si="40"/>
        <v>#VALUE!</v>
      </c>
      <c r="BV29" s="48" t="e">
        <f t="shared" si="41"/>
        <v>#REF!</v>
      </c>
      <c r="BW29" s="341" t="e">
        <f t="shared" si="42"/>
        <v>#REF!</v>
      </c>
      <c r="BY29" s="341" t="e">
        <f t="shared" si="43"/>
        <v>#VALUE!</v>
      </c>
      <c r="CA29" s="163">
        <f>'FC2+10'!AA28</f>
        <v>-77.884930551539995</v>
      </c>
      <c r="CC29" s="341">
        <f t="shared" si="44"/>
        <v>-48.714903169903991</v>
      </c>
      <c r="CE29" s="23">
        <f>IF('FC7+5'!S$3=1,'FC7+5'!S28,"")</f>
        <v>-29.170027381636</v>
      </c>
      <c r="CF29" s="23" t="str">
        <f>IF('FC7+5'!T$3=1,'FC7+5'!T28,"")</f>
        <v/>
      </c>
      <c r="CG29" s="23" t="str">
        <f>IF('FC7+5'!U$3=1,'FC7+5'!U28,"")</f>
        <v/>
      </c>
      <c r="CH29" s="898">
        <f>SUM(CE29:CG29)</f>
        <v>-29.170027381636</v>
      </c>
      <c r="CI29" s="48">
        <f t="shared" si="73"/>
        <v>0</v>
      </c>
      <c r="CJ29" s="48">
        <f t="shared" si="74"/>
        <v>0</v>
      </c>
      <c r="CK29" s="48">
        <f t="shared" si="75"/>
        <v>0</v>
      </c>
      <c r="CL29" s="898">
        <f t="shared" si="76"/>
        <v>0</v>
      </c>
      <c r="CM29" s="898">
        <f>IF('FC7+5'!AC$3=1,'FC7+5'!AC28,"")</f>
        <v>-76.523762718681297</v>
      </c>
      <c r="CN29" s="898">
        <f t="shared" si="47"/>
        <v>47.353735337045293</v>
      </c>
    </row>
    <row r="30" spans="2:92" outlineLevel="2">
      <c r="B30" s="20"/>
      <c r="C30" s="20"/>
      <c r="D30" s="60" t="s">
        <v>26</v>
      </c>
      <c r="E30" s="21"/>
      <c r="F30" s="22">
        <f>IF(Act!S$3=1,Act!S29,"")</f>
        <v>-5.2709534000000007</v>
      </c>
      <c r="G30" s="22" t="str">
        <f>IF(Act!T$3=1,Act!T29,"")</f>
        <v/>
      </c>
      <c r="H30" s="22" t="str">
        <f>IF(Act!U$3=1,Act!U29,"")</f>
        <v/>
      </c>
      <c r="I30" s="161">
        <f t="shared" si="71"/>
        <v>-5.2709534000000007</v>
      </c>
      <c r="K30" s="23">
        <f>IF(BP!S$3=1,BP!S29,"")</f>
        <v>-5.1304774386536698</v>
      </c>
      <c r="L30" s="23" t="str">
        <f>IF(BP!T$3=1,BP!T29,"")</f>
        <v/>
      </c>
      <c r="M30" s="23" t="str">
        <f>IF(BP!U$3=1,BP!U29,"")</f>
        <v/>
      </c>
      <c r="N30" s="109">
        <f t="shared" si="72"/>
        <v>-5.1304774386536698</v>
      </c>
      <c r="O30" s="48">
        <f t="shared" si="48"/>
        <v>-0.14047596134633089</v>
      </c>
      <c r="P30" s="48">
        <f t="shared" si="49"/>
        <v>0</v>
      </c>
      <c r="Q30" s="48">
        <f t="shared" si="50"/>
        <v>0</v>
      </c>
      <c r="R30" s="162">
        <f t="shared" si="51"/>
        <v>-0.14047596134633089</v>
      </c>
      <c r="S30" s="117"/>
      <c r="T30" s="23">
        <f>IF('FC2+10'!S$3=1,'FC2+10'!S29,"")</f>
        <v>-5.2709534000000007</v>
      </c>
      <c r="U30" s="23" t="str">
        <f>IF('FC2+10'!T$3=1,'FC2+10'!T29,"")</f>
        <v/>
      </c>
      <c r="V30" s="23" t="str">
        <f>IF('FC2+10'!U$3=1,'FC2+10'!U29,"")</f>
        <v/>
      </c>
      <c r="W30" s="163">
        <f t="shared" si="77"/>
        <v>-5.2709534000000007</v>
      </c>
      <c r="X30" s="48">
        <f t="shared" si="52"/>
        <v>0</v>
      </c>
      <c r="Y30" s="48">
        <f t="shared" si="53"/>
        <v>0</v>
      </c>
      <c r="Z30" s="48">
        <f t="shared" si="54"/>
        <v>0</v>
      </c>
      <c r="AA30" s="164">
        <f t="shared" si="55"/>
        <v>0</v>
      </c>
      <c r="AB30" s="117"/>
      <c r="AC30" s="23">
        <f>IF(OL!S$3=1,OL!S29,"")</f>
        <v>-1.2445920000000001</v>
      </c>
      <c r="AD30" s="23">
        <f>IF(OL!T$3=1,OL!T29,"")</f>
        <v>-0.42220004250792786</v>
      </c>
      <c r="AE30" s="23" t="str">
        <f>IF(OL!U$3=1,OL!U29,"")</f>
        <v/>
      </c>
      <c r="AF30" s="352">
        <f>SUM(AC30:AE30)</f>
        <v>-1.6667920425079279</v>
      </c>
      <c r="AG30" s="48">
        <f t="shared" si="56"/>
        <v>-4.0263614000000008</v>
      </c>
      <c r="AH30" s="48">
        <f t="shared" si="57"/>
        <v>0</v>
      </c>
      <c r="AI30" s="48">
        <f t="shared" si="58"/>
        <v>0</v>
      </c>
      <c r="AJ30" s="341">
        <f t="shared" si="59"/>
        <v>-3.6041613574920728</v>
      </c>
      <c r="AK30" s="117"/>
      <c r="AL30" s="23">
        <f>IF(LY!S$3=1,LY!S29,"")</f>
        <v>-6.6325747000000002</v>
      </c>
      <c r="AM30" s="23" t="str">
        <f>IF(LY!T$3=1,LY!T29,"")</f>
        <v/>
      </c>
      <c r="AN30" s="23" t="str">
        <f>IF(LY!U$3=1,LY!U29,"")</f>
        <v/>
      </c>
      <c r="AO30" s="384">
        <f>SUM(AL30:AN30)</f>
        <v>-6.6325747000000002</v>
      </c>
      <c r="AP30" s="48">
        <f t="shared" si="60"/>
        <v>1.3616212999999995</v>
      </c>
      <c r="AQ30" s="48">
        <f t="shared" si="61"/>
        <v>0</v>
      </c>
      <c r="AR30" s="48">
        <f t="shared" si="62"/>
        <v>0</v>
      </c>
      <c r="AS30" s="394">
        <f t="shared" si="62"/>
        <v>1.3616212999999995</v>
      </c>
      <c r="AU30" s="23">
        <f>Act!L29</f>
        <v>-0.15909600000000002</v>
      </c>
      <c r="AV30" s="164" t="e">
        <f t="shared" si="28"/>
        <v>#VALUE!</v>
      </c>
      <c r="AW30" s="117"/>
      <c r="AX30" s="23">
        <f>IF('FC5+7'!S$3=1,'FC5+7'!S29,"")</f>
        <v>-5.2709534000000007</v>
      </c>
      <c r="AY30" s="23" t="str">
        <f>IF('FC5+7'!T$3=1,'FC5+7'!T29,"")</f>
        <v/>
      </c>
      <c r="AZ30" s="23" t="str">
        <f>IF('FC5+7'!U$3=1,'FC5+7'!U29,"")</f>
        <v/>
      </c>
      <c r="BA30" s="163">
        <f>SUM(AX30:AZ30)</f>
        <v>-5.2709534000000007</v>
      </c>
      <c r="BB30" s="48">
        <f t="shared" si="63"/>
        <v>0</v>
      </c>
      <c r="BC30" s="48">
        <f t="shared" si="64"/>
        <v>0</v>
      </c>
      <c r="BD30" s="48">
        <f t="shared" si="65"/>
        <v>0</v>
      </c>
      <c r="BE30" s="164">
        <f t="shared" si="66"/>
        <v>0</v>
      </c>
      <c r="BG30" s="23">
        <f t="shared" si="31"/>
        <v>-5.2709534000000007</v>
      </c>
      <c r="BH30" s="23">
        <v>-3.5255096056859725</v>
      </c>
      <c r="BI30" s="23">
        <v>-3.7706107179214157</v>
      </c>
      <c r="BJ30" s="352">
        <f>SUM(BG30:BI30)</f>
        <v>-12.56707372360739</v>
      </c>
      <c r="BK30" s="48">
        <f t="shared" si="33"/>
        <v>-4.0263614000000008</v>
      </c>
      <c r="BL30" s="48">
        <f t="shared" si="34"/>
        <v>0</v>
      </c>
      <c r="BM30" s="48">
        <f t="shared" si="35"/>
        <v>0</v>
      </c>
      <c r="BN30" s="341">
        <f t="shared" si="36"/>
        <v>7.296120323607389</v>
      </c>
      <c r="BP30" s="23">
        <f t="shared" si="37"/>
        <v>-5.2709534000000007</v>
      </c>
      <c r="BQ30" s="23" t="str">
        <f t="shared" si="37"/>
        <v/>
      </c>
      <c r="BR30" s="23" t="e">
        <f>#REF!</f>
        <v>#REF!</v>
      </c>
      <c r="BS30" s="352" t="e">
        <f>SUM(BP30:BR30)</f>
        <v>#REF!</v>
      </c>
      <c r="BT30" s="48">
        <f t="shared" si="39"/>
        <v>-4.0263614000000008</v>
      </c>
      <c r="BU30" s="48" t="e">
        <f t="shared" si="40"/>
        <v>#VALUE!</v>
      </c>
      <c r="BV30" s="48" t="e">
        <f t="shared" si="41"/>
        <v>#REF!</v>
      </c>
      <c r="BW30" s="341" t="e">
        <f t="shared" si="42"/>
        <v>#REF!</v>
      </c>
      <c r="BY30" s="341" t="e">
        <f t="shared" si="43"/>
        <v>#VALUE!</v>
      </c>
      <c r="CA30" s="163">
        <f>'FC2+10'!AA29</f>
        <v>-0.44583332916971252</v>
      </c>
      <c r="CC30" s="341">
        <f t="shared" si="44"/>
        <v>4.8251200708302884</v>
      </c>
      <c r="CE30" s="23">
        <f>IF('FC7+5'!S$3=1,'FC7+5'!S29,"")</f>
        <v>-5.2709534000000007</v>
      </c>
      <c r="CF30" s="23" t="str">
        <f>IF('FC7+5'!T$3=1,'FC7+5'!T29,"")</f>
        <v/>
      </c>
      <c r="CG30" s="23" t="str">
        <f>IF('FC7+5'!U$3=1,'FC7+5'!U29,"")</f>
        <v/>
      </c>
      <c r="CH30" s="898">
        <f>SUM(CE30:CG30)</f>
        <v>-5.2709534000000007</v>
      </c>
      <c r="CI30" s="48">
        <f t="shared" si="73"/>
        <v>0</v>
      </c>
      <c r="CJ30" s="48">
        <f t="shared" si="74"/>
        <v>0</v>
      </c>
      <c r="CK30" s="48">
        <f t="shared" si="75"/>
        <v>0</v>
      </c>
      <c r="CL30" s="898">
        <f t="shared" si="76"/>
        <v>0</v>
      </c>
      <c r="CM30" s="898">
        <f>IF('FC7+5'!AC$3=1,'FC7+5'!AC29,"")</f>
        <v>-3.5493797531783602</v>
      </c>
      <c r="CN30" s="898">
        <f t="shared" si="47"/>
        <v>-1.7215736468216405</v>
      </c>
    </row>
    <row r="31" spans="2:92" outlineLevel="2">
      <c r="B31" s="20"/>
      <c r="C31" s="20"/>
      <c r="D31" s="60" t="s">
        <v>122</v>
      </c>
      <c r="E31" s="21"/>
      <c r="F31" s="22">
        <f>IF(Act!S$3=1,Act!S30,"")</f>
        <v>0</v>
      </c>
      <c r="G31" s="22" t="str">
        <f>IF(Act!T$3=1,Act!T30,"")</f>
        <v/>
      </c>
      <c r="H31" s="22" t="str">
        <f>IF(Act!U$3=1,Act!U30,"")</f>
        <v/>
      </c>
      <c r="I31" s="161">
        <f t="shared" si="71"/>
        <v>0</v>
      </c>
      <c r="K31" s="23">
        <f>IF(BP!S$3=1,BP!S30,"")</f>
        <v>-1.0794793314293116E-2</v>
      </c>
      <c r="L31" s="23" t="str">
        <f>IF(BP!T$3=1,BP!T30,"")</f>
        <v/>
      </c>
      <c r="M31" s="23" t="str">
        <f>IF(BP!U$3=1,BP!U30,"")</f>
        <v/>
      </c>
      <c r="N31" s="109">
        <f t="shared" si="72"/>
        <v>-1.0794793314293116E-2</v>
      </c>
      <c r="O31" s="48">
        <f t="shared" si="48"/>
        <v>1.0794793314293116E-2</v>
      </c>
      <c r="P31" s="48">
        <f t="shared" si="49"/>
        <v>0</v>
      </c>
      <c r="Q31" s="48">
        <f t="shared" si="50"/>
        <v>0</v>
      </c>
      <c r="R31" s="162">
        <f t="shared" si="51"/>
        <v>1.0794793314293116E-2</v>
      </c>
      <c r="S31" s="117"/>
      <c r="T31" s="23">
        <f>IF('FC2+10'!S$3=1,'FC2+10'!S30,"")</f>
        <v>0</v>
      </c>
      <c r="U31" s="23" t="str">
        <f>IF('FC2+10'!T$3=1,'FC2+10'!T30,"")</f>
        <v/>
      </c>
      <c r="V31" s="23" t="str">
        <f>IF('FC2+10'!U$3=1,'FC2+10'!U30,"")</f>
        <v/>
      </c>
      <c r="W31" s="163">
        <f>SUM(T31:V31)</f>
        <v>0</v>
      </c>
      <c r="X31" s="48">
        <f t="shared" si="52"/>
        <v>0</v>
      </c>
      <c r="Y31" s="48">
        <f t="shared" si="53"/>
        <v>0</v>
      </c>
      <c r="Z31" s="48">
        <f t="shared" si="54"/>
        <v>0</v>
      </c>
      <c r="AA31" s="164">
        <f t="shared" si="55"/>
        <v>0</v>
      </c>
      <c r="AB31" s="117"/>
      <c r="AC31" s="23">
        <f>IF(OL!S$3=1,OL!S30,"")</f>
        <v>0</v>
      </c>
      <c r="AD31" s="23">
        <f>IF(OL!T$3=1,OL!T30,"")</f>
        <v>0</v>
      </c>
      <c r="AE31" s="23" t="str">
        <f>IF(OL!U$3=1,OL!U30,"")</f>
        <v/>
      </c>
      <c r="AF31" s="352">
        <f>SUM(AC31:AE31)</f>
        <v>0</v>
      </c>
      <c r="AG31" s="48">
        <f t="shared" si="56"/>
        <v>0</v>
      </c>
      <c r="AH31" s="48">
        <f t="shared" si="57"/>
        <v>0</v>
      </c>
      <c r="AI31" s="48">
        <f t="shared" si="58"/>
        <v>0</v>
      </c>
      <c r="AJ31" s="341">
        <f t="shared" si="59"/>
        <v>0</v>
      </c>
      <c r="AK31" s="117"/>
      <c r="AL31" s="23">
        <f>IF(LY!S$3=1,LY!S30,"")</f>
        <v>0</v>
      </c>
      <c r="AM31" s="23" t="str">
        <f>IF(LY!T$3=1,LY!T30,"")</f>
        <v/>
      </c>
      <c r="AN31" s="23" t="str">
        <f>IF(LY!U$3=1,LY!U30,"")</f>
        <v/>
      </c>
      <c r="AO31" s="384">
        <f>SUM(AL31:AN31)</f>
        <v>0</v>
      </c>
      <c r="AP31" s="48">
        <f t="shared" si="60"/>
        <v>0</v>
      </c>
      <c r="AQ31" s="48">
        <f t="shared" si="61"/>
        <v>0</v>
      </c>
      <c r="AR31" s="48">
        <f t="shared" si="62"/>
        <v>0</v>
      </c>
      <c r="AS31" s="394">
        <f t="shared" si="62"/>
        <v>0</v>
      </c>
      <c r="AU31" s="23">
        <f>Act!L30</f>
        <v>0</v>
      </c>
      <c r="AV31" s="164" t="e">
        <f t="shared" si="28"/>
        <v>#VALUE!</v>
      </c>
      <c r="AW31" s="117"/>
      <c r="AX31" s="23">
        <f>IF('FC5+7'!S$3=1,'FC5+7'!S30,"")</f>
        <v>0</v>
      </c>
      <c r="AY31" s="23" t="str">
        <f>IF('FC5+7'!T$3=1,'FC5+7'!T30,"")</f>
        <v/>
      </c>
      <c r="AZ31" s="23" t="str">
        <f>IF('FC5+7'!U$3=1,'FC5+7'!U30,"")</f>
        <v/>
      </c>
      <c r="BA31" s="163">
        <f>SUM(AX31:AZ31)</f>
        <v>0</v>
      </c>
      <c r="BB31" s="48">
        <f t="shared" si="63"/>
        <v>0</v>
      </c>
      <c r="BC31" s="48">
        <f t="shared" si="64"/>
        <v>0</v>
      </c>
      <c r="BD31" s="48">
        <f t="shared" si="65"/>
        <v>0</v>
      </c>
      <c r="BE31" s="164">
        <f t="shared" si="66"/>
        <v>0</v>
      </c>
      <c r="BG31" s="23">
        <f t="shared" si="31"/>
        <v>0</v>
      </c>
      <c r="BH31" s="23">
        <v>0</v>
      </c>
      <c r="BI31" s="23">
        <v>0</v>
      </c>
      <c r="BJ31" s="352">
        <f>SUM(BG31:BI31)</f>
        <v>0</v>
      </c>
      <c r="BK31" s="48">
        <f t="shared" si="33"/>
        <v>0</v>
      </c>
      <c r="BL31" s="48">
        <f t="shared" si="34"/>
        <v>0</v>
      </c>
      <c r="BM31" s="48">
        <f t="shared" si="35"/>
        <v>0</v>
      </c>
      <c r="BN31" s="341">
        <f t="shared" si="36"/>
        <v>0</v>
      </c>
      <c r="BP31" s="23">
        <f t="shared" si="37"/>
        <v>0</v>
      </c>
      <c r="BQ31" s="23" t="str">
        <f t="shared" si="37"/>
        <v/>
      </c>
      <c r="BR31" s="23" t="e">
        <f>#REF!</f>
        <v>#REF!</v>
      </c>
      <c r="BS31" s="352" t="e">
        <f>SUM(BP31:BR31)</f>
        <v>#REF!</v>
      </c>
      <c r="BT31" s="48">
        <f t="shared" si="39"/>
        <v>0</v>
      </c>
      <c r="BU31" s="48" t="e">
        <f t="shared" si="40"/>
        <v>#VALUE!</v>
      </c>
      <c r="BV31" s="48" t="e">
        <f t="shared" si="41"/>
        <v>#REF!</v>
      </c>
      <c r="BW31" s="341" t="e">
        <f t="shared" si="42"/>
        <v>#REF!</v>
      </c>
      <c r="BY31" s="341" t="e">
        <f t="shared" si="43"/>
        <v>#VALUE!</v>
      </c>
      <c r="CA31" s="163">
        <f>'FC2+10'!AA30</f>
        <v>0</v>
      </c>
      <c r="CC31" s="341">
        <f t="shared" si="44"/>
        <v>0</v>
      </c>
      <c r="CE31" s="23">
        <f>IF('FC7+5'!S$3=1,'FC7+5'!S30,"")</f>
        <v>0</v>
      </c>
      <c r="CF31" s="23" t="str">
        <f>IF('FC7+5'!T$3=1,'FC7+5'!T30,"")</f>
        <v/>
      </c>
      <c r="CG31" s="23" t="str">
        <f>IF('FC7+5'!U$3=1,'FC7+5'!U30,"")</f>
        <v/>
      </c>
      <c r="CH31" s="898">
        <f>SUM(CE31:CG31)</f>
        <v>0</v>
      </c>
      <c r="CI31" s="48">
        <f t="shared" si="73"/>
        <v>0</v>
      </c>
      <c r="CJ31" s="48">
        <f t="shared" si="74"/>
        <v>0</v>
      </c>
      <c r="CK31" s="48">
        <f t="shared" si="75"/>
        <v>0</v>
      </c>
      <c r="CL31" s="898">
        <f t="shared" si="76"/>
        <v>0</v>
      </c>
      <c r="CM31" s="898">
        <f>IF('FC7+5'!AC$3=1,'FC7+5'!AC30,"")</f>
        <v>0</v>
      </c>
      <c r="CN31" s="898">
        <f t="shared" si="47"/>
        <v>0</v>
      </c>
    </row>
    <row r="32" spans="2:92" outlineLevel="2">
      <c r="B32" s="20"/>
      <c r="C32" s="20"/>
      <c r="D32" s="60" t="s">
        <v>28</v>
      </c>
      <c r="E32" s="21"/>
      <c r="F32" s="22">
        <f>IF(Act!S$3=1,Act!S31,"")</f>
        <v>-22.075094200000002</v>
      </c>
      <c r="G32" s="22" t="str">
        <f>IF(Act!T$3=1,Act!T31,"")</f>
        <v/>
      </c>
      <c r="H32" s="22" t="str">
        <f>IF(Act!U$3=1,Act!U31,"")</f>
        <v/>
      </c>
      <c r="I32" s="161">
        <f t="shared" si="71"/>
        <v>-22.075094200000002</v>
      </c>
      <c r="K32" s="23">
        <f>IF(BP!S$3=1,BP!S31,"")</f>
        <v>-20.539578819208952</v>
      </c>
      <c r="L32" s="23" t="str">
        <f>IF(BP!T$3=1,BP!T31,"")</f>
        <v/>
      </c>
      <c r="M32" s="23" t="str">
        <f>IF(BP!U$3=1,BP!U31,"")</f>
        <v/>
      </c>
      <c r="N32" s="109">
        <f t="shared" si="72"/>
        <v>-20.539578819208952</v>
      </c>
      <c r="O32" s="48">
        <f t="shared" si="48"/>
        <v>-1.5355153807910504</v>
      </c>
      <c r="P32" s="48">
        <f t="shared" si="49"/>
        <v>0</v>
      </c>
      <c r="Q32" s="48">
        <f t="shared" si="50"/>
        <v>0</v>
      </c>
      <c r="R32" s="162">
        <f t="shared" si="51"/>
        <v>-1.5355153807910504</v>
      </c>
      <c r="S32" s="117"/>
      <c r="T32" s="23">
        <f>IF('FC2+10'!S$3=1,'FC2+10'!S31,"")</f>
        <v>-22.075094200000002</v>
      </c>
      <c r="U32" s="23" t="str">
        <f>IF('FC2+10'!T$3=1,'FC2+10'!T31,"")</f>
        <v/>
      </c>
      <c r="V32" s="23" t="str">
        <f>IF('FC2+10'!U$3=1,'FC2+10'!U31,"")</f>
        <v/>
      </c>
      <c r="W32" s="163">
        <f t="shared" si="77"/>
        <v>-22.075094200000002</v>
      </c>
      <c r="X32" s="48">
        <f t="shared" si="52"/>
        <v>0</v>
      </c>
      <c r="Y32" s="48">
        <f t="shared" si="53"/>
        <v>0</v>
      </c>
      <c r="Z32" s="48">
        <f t="shared" si="54"/>
        <v>0</v>
      </c>
      <c r="AA32" s="164">
        <f t="shared" si="55"/>
        <v>0</v>
      </c>
      <c r="AB32" s="117"/>
      <c r="AC32" s="23">
        <f>IF(OL!S$3=1,OL!S31,"")</f>
        <v>-8.6311958000000288</v>
      </c>
      <c r="AD32" s="23">
        <f>IF(OL!T$3=1,OL!T31,"")</f>
        <v>-5.8328414206739323</v>
      </c>
      <c r="AE32" s="23" t="str">
        <f>IF(OL!U$3=1,OL!U31,"")</f>
        <v/>
      </c>
      <c r="AF32" s="352">
        <f t="shared" ref="AF32:AF47" si="78">SUM(AC32:AE32)</f>
        <v>-14.464037220673962</v>
      </c>
      <c r="AG32" s="48">
        <f t="shared" si="56"/>
        <v>-13.443898399999973</v>
      </c>
      <c r="AH32" s="48">
        <f t="shared" si="57"/>
        <v>0</v>
      </c>
      <c r="AI32" s="48">
        <f t="shared" si="58"/>
        <v>0</v>
      </c>
      <c r="AJ32" s="341">
        <f t="shared" si="59"/>
        <v>-7.6110569793260403</v>
      </c>
      <c r="AK32" s="117"/>
      <c r="AL32" s="23">
        <f>IF(LY!S$3=1,LY!S31,"")</f>
        <v>-7.1486412999999995</v>
      </c>
      <c r="AM32" s="23" t="str">
        <f>IF(LY!T$3=1,LY!T31,"")</f>
        <v/>
      </c>
      <c r="AN32" s="23" t="str">
        <f>IF(LY!U$3=1,LY!U31,"")</f>
        <v/>
      </c>
      <c r="AO32" s="384">
        <f t="shared" ref="AO32:AO47" si="79">SUM(AL32:AN32)</f>
        <v>-7.1486412999999995</v>
      </c>
      <c r="AP32" s="48">
        <f t="shared" si="60"/>
        <v>-14.926452900000003</v>
      </c>
      <c r="AQ32" s="48">
        <f t="shared" si="61"/>
        <v>0</v>
      </c>
      <c r="AR32" s="48">
        <f t="shared" si="62"/>
        <v>0</v>
      </c>
      <c r="AS32" s="394">
        <f t="shared" si="62"/>
        <v>-14.926452900000003</v>
      </c>
      <c r="AU32" s="23">
        <f>Act!L31</f>
        <v>-9.4293348000000137</v>
      </c>
      <c r="AV32" s="164" t="e">
        <f t="shared" si="28"/>
        <v>#VALUE!</v>
      </c>
      <c r="AW32" s="117"/>
      <c r="AX32" s="23">
        <f>IF('FC5+7'!S$3=1,'FC5+7'!S31,"")</f>
        <v>-22.075094200000002</v>
      </c>
      <c r="AY32" s="23" t="str">
        <f>IF('FC5+7'!T$3=1,'FC5+7'!T31,"")</f>
        <v/>
      </c>
      <c r="AZ32" s="23" t="str">
        <f>IF('FC5+7'!U$3=1,'FC5+7'!U31,"")</f>
        <v/>
      </c>
      <c r="BA32" s="163">
        <f t="shared" ref="BA32:BA47" si="80">SUM(AX32:AZ32)</f>
        <v>-22.075094200000002</v>
      </c>
      <c r="BB32" s="48">
        <f t="shared" si="63"/>
        <v>0</v>
      </c>
      <c r="BC32" s="48">
        <f t="shared" si="64"/>
        <v>0</v>
      </c>
      <c r="BD32" s="48">
        <f t="shared" si="65"/>
        <v>0</v>
      </c>
      <c r="BE32" s="164">
        <f t="shared" si="66"/>
        <v>0</v>
      </c>
      <c r="BG32" s="23">
        <f t="shared" si="31"/>
        <v>-22.075094200000002</v>
      </c>
      <c r="BH32" s="23">
        <v>-6.6139371904380591</v>
      </c>
      <c r="BI32" s="23">
        <v>-7.4965247023979096</v>
      </c>
      <c r="BJ32" s="352">
        <f t="shared" ref="BJ32:BJ47" si="81">SUM(BG32:BI32)</f>
        <v>-36.185556092835967</v>
      </c>
      <c r="BK32" s="48">
        <f t="shared" si="33"/>
        <v>-13.443898399999973</v>
      </c>
      <c r="BL32" s="48">
        <f t="shared" si="34"/>
        <v>0</v>
      </c>
      <c r="BM32" s="48">
        <f t="shared" si="35"/>
        <v>0</v>
      </c>
      <c r="BN32" s="341">
        <f t="shared" si="36"/>
        <v>14.110461892835964</v>
      </c>
      <c r="BP32" s="23">
        <f t="shared" si="37"/>
        <v>-22.075094200000002</v>
      </c>
      <c r="BQ32" s="23" t="str">
        <f t="shared" si="37"/>
        <v/>
      </c>
      <c r="BR32" s="23" t="e">
        <f>#REF!</f>
        <v>#REF!</v>
      </c>
      <c r="BS32" s="352" t="e">
        <f t="shared" ref="BS32:BS47" si="82">SUM(BP32:BR32)</f>
        <v>#REF!</v>
      </c>
      <c r="BT32" s="48">
        <f t="shared" si="39"/>
        <v>-13.443898399999973</v>
      </c>
      <c r="BU32" s="48" t="e">
        <f t="shared" si="40"/>
        <v>#VALUE!</v>
      </c>
      <c r="BV32" s="48" t="e">
        <f t="shared" si="41"/>
        <v>#REF!</v>
      </c>
      <c r="BW32" s="341" t="e">
        <f t="shared" si="42"/>
        <v>#REF!</v>
      </c>
      <c r="BY32" s="341" t="e">
        <f t="shared" si="43"/>
        <v>#VALUE!</v>
      </c>
      <c r="CA32" s="163">
        <f>'FC2+10'!AA31</f>
        <v>-25.760772365719085</v>
      </c>
      <c r="CC32" s="341">
        <f t="shared" si="44"/>
        <v>-3.6856781657190822</v>
      </c>
      <c r="CE32" s="23">
        <f>IF('FC7+5'!S$3=1,'FC7+5'!S31,"")</f>
        <v>-22.075094200000002</v>
      </c>
      <c r="CF32" s="23" t="str">
        <f>IF('FC7+5'!T$3=1,'FC7+5'!T31,"")</f>
        <v/>
      </c>
      <c r="CG32" s="23" t="str">
        <f>IF('FC7+5'!U$3=1,'FC7+5'!U31,"")</f>
        <v/>
      </c>
      <c r="CH32" s="898">
        <f t="shared" ref="CH32:CH39" si="83">SUM(CE32:CG32)</f>
        <v>-22.075094200000002</v>
      </c>
      <c r="CI32" s="48">
        <f t="shared" si="73"/>
        <v>0</v>
      </c>
      <c r="CJ32" s="48">
        <f t="shared" si="74"/>
        <v>0</v>
      </c>
      <c r="CK32" s="48">
        <f t="shared" si="75"/>
        <v>0</v>
      </c>
      <c r="CL32" s="898">
        <f t="shared" si="76"/>
        <v>0</v>
      </c>
      <c r="CM32" s="898">
        <f>IF('FC7+5'!AC$3=1,'FC7+5'!AC31,"")</f>
        <v>-21.783652969923306</v>
      </c>
      <c r="CN32" s="898">
        <f t="shared" si="47"/>
        <v>-0.2914412300766962</v>
      </c>
    </row>
    <row r="33" spans="2:95" outlineLevel="2">
      <c r="B33" s="20"/>
      <c r="C33" s="20"/>
      <c r="D33" s="60" t="s">
        <v>123</v>
      </c>
      <c r="E33" s="21"/>
      <c r="F33" s="61">
        <f>IF(Act!S$3=1,Act!S32,"")</f>
        <v>0</v>
      </c>
      <c r="G33" s="61" t="str">
        <f>IF(Act!T$3=1,Act!T32,"")</f>
        <v/>
      </c>
      <c r="H33" s="61" t="str">
        <f>IF(Act!U$3=1,Act!U32,"")</f>
        <v/>
      </c>
      <c r="I33" s="183">
        <f t="shared" si="71"/>
        <v>0</v>
      </c>
      <c r="K33" s="62">
        <f>IF(BP!S$3=1,BP!S32,"")</f>
        <v>0</v>
      </c>
      <c r="L33" s="62" t="str">
        <f>IF(BP!T$3=1,BP!T32,"")</f>
        <v/>
      </c>
      <c r="M33" s="62" t="str">
        <f>IF(BP!U$3=1,BP!U32,"")</f>
        <v/>
      </c>
      <c r="N33" s="62">
        <f t="shared" si="72"/>
        <v>0</v>
      </c>
      <c r="O33" s="62">
        <f t="shared" si="48"/>
        <v>0</v>
      </c>
      <c r="P33" s="62">
        <f t="shared" si="49"/>
        <v>0</v>
      </c>
      <c r="Q33" s="62">
        <f t="shared" si="50"/>
        <v>0</v>
      </c>
      <c r="R33" s="62">
        <f t="shared" si="51"/>
        <v>0</v>
      </c>
      <c r="S33" s="117"/>
      <c r="T33" s="62">
        <f>IF('FC2+10'!S$3=1,'FC2+10'!S32,"")</f>
        <v>0</v>
      </c>
      <c r="U33" s="62" t="str">
        <f>IF('FC2+10'!T$3=1,'FC2+10'!T32,"")</f>
        <v/>
      </c>
      <c r="V33" s="62" t="str">
        <f>IF('FC2+10'!U$3=1,'FC2+10'!U32,"")</f>
        <v/>
      </c>
      <c r="W33" s="62">
        <f t="shared" si="77"/>
        <v>0</v>
      </c>
      <c r="X33" s="62">
        <f t="shared" si="52"/>
        <v>0</v>
      </c>
      <c r="Y33" s="62">
        <f t="shared" si="53"/>
        <v>0</v>
      </c>
      <c r="Z33" s="62">
        <f t="shared" si="54"/>
        <v>0</v>
      </c>
      <c r="AA33" s="62">
        <f t="shared" si="55"/>
        <v>0</v>
      </c>
      <c r="AB33" s="117"/>
      <c r="AC33" s="62">
        <f>IF(OL!S$3=1,OL!S32,"")</f>
        <v>0</v>
      </c>
      <c r="AD33" s="62">
        <f>IF(OL!T$3=1,OL!T32,"")</f>
        <v>0</v>
      </c>
      <c r="AE33" s="62" t="str">
        <f>IF(OL!U$3=1,OL!U32,"")</f>
        <v/>
      </c>
      <c r="AF33" s="352">
        <f t="shared" si="78"/>
        <v>0</v>
      </c>
      <c r="AG33" s="62">
        <f t="shared" si="56"/>
        <v>0</v>
      </c>
      <c r="AH33" s="62">
        <f t="shared" si="57"/>
        <v>0</v>
      </c>
      <c r="AI33" s="62">
        <f t="shared" si="58"/>
        <v>0</v>
      </c>
      <c r="AJ33" s="341">
        <f t="shared" si="59"/>
        <v>0</v>
      </c>
      <c r="AK33" s="117"/>
      <c r="AL33" s="62">
        <f>IF(LY!S$3=1,LY!S32,"")</f>
        <v>0</v>
      </c>
      <c r="AM33" s="62" t="str">
        <f>IF(LY!T$3=1,LY!T32,"")</f>
        <v/>
      </c>
      <c r="AN33" s="62" t="str">
        <f>IF(LY!U$3=1,LY!U32,"")</f>
        <v/>
      </c>
      <c r="AO33" s="384">
        <f t="shared" si="79"/>
        <v>0</v>
      </c>
      <c r="AP33" s="62">
        <f t="shared" si="60"/>
        <v>0</v>
      </c>
      <c r="AQ33" s="62">
        <f t="shared" si="61"/>
        <v>0</v>
      </c>
      <c r="AR33" s="62">
        <f t="shared" si="62"/>
        <v>0</v>
      </c>
      <c r="AS33" s="394">
        <f t="shared" si="62"/>
        <v>0</v>
      </c>
      <c r="AU33" s="62">
        <f>Act!L32</f>
        <v>0</v>
      </c>
      <c r="AV33" s="164" t="e">
        <f t="shared" si="28"/>
        <v>#VALUE!</v>
      </c>
      <c r="AW33" s="117"/>
      <c r="AX33" s="62">
        <f>IF('FC5+7'!S$3=1,'FC5+7'!S32,"")</f>
        <v>0</v>
      </c>
      <c r="AY33" s="62" t="str">
        <f>IF('FC5+7'!T$3=1,'FC5+7'!T32,"")</f>
        <v/>
      </c>
      <c r="AZ33" s="62" t="str">
        <f>IF('FC5+7'!U$3=1,'FC5+7'!U32,"")</f>
        <v/>
      </c>
      <c r="BA33" s="62">
        <f t="shared" si="80"/>
        <v>0</v>
      </c>
      <c r="BB33" s="62">
        <f t="shared" si="63"/>
        <v>0</v>
      </c>
      <c r="BC33" s="62">
        <f t="shared" si="64"/>
        <v>0</v>
      </c>
      <c r="BD33" s="62">
        <f t="shared" si="65"/>
        <v>0</v>
      </c>
      <c r="BE33" s="62">
        <f t="shared" si="66"/>
        <v>0</v>
      </c>
      <c r="BG33" s="62">
        <f t="shared" si="31"/>
        <v>0</v>
      </c>
      <c r="BH33" s="62">
        <v>0</v>
      </c>
      <c r="BI33" s="62">
        <v>0</v>
      </c>
      <c r="BJ33" s="352">
        <f t="shared" si="81"/>
        <v>0</v>
      </c>
      <c r="BK33" s="62">
        <f t="shared" si="33"/>
        <v>0</v>
      </c>
      <c r="BL33" s="62">
        <f t="shared" si="34"/>
        <v>0</v>
      </c>
      <c r="BM33" s="62">
        <f t="shared" si="35"/>
        <v>0</v>
      </c>
      <c r="BN33" s="341">
        <f t="shared" si="36"/>
        <v>0</v>
      </c>
      <c r="BP33" s="62">
        <f t="shared" si="37"/>
        <v>0</v>
      </c>
      <c r="BQ33" s="62" t="str">
        <f t="shared" si="37"/>
        <v/>
      </c>
      <c r="BR33" s="62" t="e">
        <f>#REF!</f>
        <v>#REF!</v>
      </c>
      <c r="BS33" s="352" t="e">
        <f t="shared" si="82"/>
        <v>#REF!</v>
      </c>
      <c r="BT33" s="62">
        <f t="shared" si="39"/>
        <v>0</v>
      </c>
      <c r="BU33" s="62" t="e">
        <f t="shared" si="40"/>
        <v>#VALUE!</v>
      </c>
      <c r="BV33" s="62" t="e">
        <f t="shared" si="41"/>
        <v>#REF!</v>
      </c>
      <c r="BW33" s="341" t="e">
        <f t="shared" si="42"/>
        <v>#REF!</v>
      </c>
      <c r="BY33" s="341" t="e">
        <f t="shared" si="43"/>
        <v>#VALUE!</v>
      </c>
      <c r="CA33" s="62">
        <f>'FC2+10'!AA32</f>
        <v>0</v>
      </c>
      <c r="CC33" s="341">
        <f t="shared" si="44"/>
        <v>0</v>
      </c>
      <c r="CE33" s="62">
        <f>IF('FC5+7'!S$3=1,'FC5+7'!S32,"")</f>
        <v>0</v>
      </c>
      <c r="CF33" s="62" t="str">
        <f>IF('FC5+7'!BA$3=1,'FC5+7'!BA32,"")</f>
        <v/>
      </c>
      <c r="CG33" s="62" t="str">
        <f>IF('FC5+7'!BB$3=1,'FC5+7'!BB32,"")</f>
        <v/>
      </c>
      <c r="CH33" s="898">
        <f t="shared" si="83"/>
        <v>0</v>
      </c>
      <c r="CI33" s="62">
        <f t="shared" si="73"/>
        <v>0</v>
      </c>
      <c r="CJ33" s="62">
        <f t="shared" si="74"/>
        <v>0</v>
      </c>
      <c r="CK33" s="62">
        <f t="shared" si="75"/>
        <v>0</v>
      </c>
      <c r="CL33" s="898">
        <f t="shared" si="76"/>
        <v>0</v>
      </c>
      <c r="CM33" s="898" t="str">
        <f>IF('FC5+7'!AC$3=1,'FC5+7'!AC32,"")</f>
        <v/>
      </c>
      <c r="CN33" s="898"/>
    </row>
    <row r="34" spans="2:95" outlineLevel="2">
      <c r="B34" s="20"/>
      <c r="C34" s="30"/>
      <c r="D34" s="63" t="s">
        <v>30</v>
      </c>
      <c r="E34" s="31"/>
      <c r="F34" s="45">
        <f>IF(Act!S$3=1,Act!S33,"")</f>
        <v>-10.598455638364001</v>
      </c>
      <c r="G34" s="45" t="str">
        <f>IF(Act!T$3=1,Act!T33,"")</f>
        <v/>
      </c>
      <c r="H34" s="45" t="str">
        <f>IF(Act!U$3=1,Act!U33,"")</f>
        <v/>
      </c>
      <c r="I34" s="171">
        <f t="shared" si="71"/>
        <v>-10.598455638364001</v>
      </c>
      <c r="K34" s="46">
        <f>IF(BP!S$3=1,BP!S33,"")</f>
        <v>-28.939301343479638</v>
      </c>
      <c r="L34" s="46" t="str">
        <f>IF(BP!T$3=1,BP!T33,"")</f>
        <v/>
      </c>
      <c r="M34" s="46" t="str">
        <f>IF(BP!U$3=1,BP!U33,"")</f>
        <v/>
      </c>
      <c r="N34" s="111">
        <f t="shared" si="72"/>
        <v>-28.939301343479638</v>
      </c>
      <c r="O34" s="172">
        <f t="shared" si="48"/>
        <v>18.340845705115637</v>
      </c>
      <c r="P34" s="172">
        <f t="shared" si="49"/>
        <v>0</v>
      </c>
      <c r="Q34" s="172">
        <f t="shared" si="50"/>
        <v>0</v>
      </c>
      <c r="R34" s="173">
        <f t="shared" si="51"/>
        <v>18.340845705115637</v>
      </c>
      <c r="S34" s="117"/>
      <c r="T34" s="46">
        <f>IF('FC2+10'!S$3=1,'FC2+10'!S33,"")</f>
        <v>-10.598455638364001</v>
      </c>
      <c r="U34" s="46" t="str">
        <f>IF('FC2+10'!T$3=1,'FC2+10'!T33,"")</f>
        <v/>
      </c>
      <c r="V34" s="46" t="str">
        <f>IF('FC2+10'!U$3=1,'FC2+10'!U33,"")</f>
        <v/>
      </c>
      <c r="W34" s="174">
        <f t="shared" si="77"/>
        <v>-10.598455638364001</v>
      </c>
      <c r="X34" s="172">
        <f t="shared" si="52"/>
        <v>0</v>
      </c>
      <c r="Y34" s="172">
        <f t="shared" si="53"/>
        <v>0</v>
      </c>
      <c r="Z34" s="172">
        <f t="shared" si="54"/>
        <v>0</v>
      </c>
      <c r="AA34" s="175">
        <f t="shared" si="55"/>
        <v>0</v>
      </c>
      <c r="AB34" s="117"/>
      <c r="AC34" s="46">
        <f>IF(OL!S$3=1,OL!S33,"")</f>
        <v>-12.553721652715829</v>
      </c>
      <c r="AD34" s="46">
        <f>IF(OL!T$3=1,OL!T33,"")</f>
        <v>-19.115940716790718</v>
      </c>
      <c r="AE34" s="46" t="str">
        <f>IF(OL!U$3=1,OL!U33,"")</f>
        <v/>
      </c>
      <c r="AF34" s="354">
        <f t="shared" si="78"/>
        <v>-31.669662369506547</v>
      </c>
      <c r="AG34" s="172">
        <f t="shared" si="56"/>
        <v>1.9552660143518281</v>
      </c>
      <c r="AH34" s="172">
        <f t="shared" si="57"/>
        <v>0</v>
      </c>
      <c r="AI34" s="172">
        <f t="shared" si="58"/>
        <v>0</v>
      </c>
      <c r="AJ34" s="343">
        <f t="shared" si="59"/>
        <v>21.071206731142546</v>
      </c>
      <c r="AK34" s="117"/>
      <c r="AL34" s="46">
        <f>IF(LY!S$3=1,LY!S33,"")</f>
        <v>-10.486303654450047</v>
      </c>
      <c r="AM34" s="46" t="str">
        <f>IF(LY!T$3=1,LY!T33,"")</f>
        <v/>
      </c>
      <c r="AN34" s="46" t="str">
        <f>IF(LY!U$3=1,LY!U33,"")</f>
        <v/>
      </c>
      <c r="AO34" s="386">
        <f t="shared" si="79"/>
        <v>-10.486303654450047</v>
      </c>
      <c r="AP34" s="172">
        <f t="shared" si="60"/>
        <v>-0.11215198391395376</v>
      </c>
      <c r="AQ34" s="172">
        <f t="shared" si="61"/>
        <v>0</v>
      </c>
      <c r="AR34" s="172">
        <f t="shared" si="62"/>
        <v>0</v>
      </c>
      <c r="AS34" s="396">
        <f t="shared" si="62"/>
        <v>-0.11215198391395376</v>
      </c>
      <c r="AU34" s="46">
        <f>Act!L33</f>
        <v>-11.569580245090913</v>
      </c>
      <c r="AV34" s="175" t="e">
        <f t="shared" si="28"/>
        <v>#VALUE!</v>
      </c>
      <c r="AW34" s="117"/>
      <c r="AX34" s="46">
        <f>IF('FC5+7'!S$3=1,'FC5+7'!S33,"")</f>
        <v>-10.598455638364001</v>
      </c>
      <c r="AY34" s="46" t="str">
        <f>IF('FC5+7'!T$3=1,'FC5+7'!T33,"")</f>
        <v/>
      </c>
      <c r="AZ34" s="46" t="str">
        <f>IF('FC5+7'!U$3=1,'FC5+7'!U33,"")</f>
        <v/>
      </c>
      <c r="BA34" s="174">
        <f t="shared" si="80"/>
        <v>-10.598455638364001</v>
      </c>
      <c r="BB34" s="172">
        <f t="shared" si="63"/>
        <v>0</v>
      </c>
      <c r="BC34" s="172">
        <f t="shared" si="64"/>
        <v>0</v>
      </c>
      <c r="BD34" s="172">
        <f t="shared" si="65"/>
        <v>0</v>
      </c>
      <c r="BE34" s="175">
        <f t="shared" si="66"/>
        <v>0</v>
      </c>
      <c r="BG34" s="46">
        <f t="shared" si="31"/>
        <v>-10.598455638364001</v>
      </c>
      <c r="BH34" s="46">
        <v>-10.654559356377996</v>
      </c>
      <c r="BI34" s="46">
        <v>-13.48701532247183</v>
      </c>
      <c r="BJ34" s="354">
        <f t="shared" si="81"/>
        <v>-34.740030317213822</v>
      </c>
      <c r="BK34" s="172">
        <f t="shared" si="33"/>
        <v>1.9552660143518281</v>
      </c>
      <c r="BL34" s="172">
        <f t="shared" si="34"/>
        <v>0</v>
      </c>
      <c r="BM34" s="172">
        <f t="shared" si="35"/>
        <v>0</v>
      </c>
      <c r="BN34" s="343">
        <f t="shared" si="36"/>
        <v>24.141574678849821</v>
      </c>
      <c r="BP34" s="46">
        <f t="shared" si="37"/>
        <v>-10.598455638364001</v>
      </c>
      <c r="BQ34" s="46" t="str">
        <f t="shared" si="37"/>
        <v/>
      </c>
      <c r="BR34" s="46" t="e">
        <f>#REF!</f>
        <v>#REF!</v>
      </c>
      <c r="BS34" s="354" t="e">
        <f t="shared" si="82"/>
        <v>#REF!</v>
      </c>
      <c r="BT34" s="172">
        <f t="shared" si="39"/>
        <v>1.9552660143518281</v>
      </c>
      <c r="BU34" s="172" t="e">
        <f t="shared" si="40"/>
        <v>#VALUE!</v>
      </c>
      <c r="BV34" s="172" t="e">
        <f t="shared" si="41"/>
        <v>#REF!</v>
      </c>
      <c r="BW34" s="343" t="e">
        <f t="shared" si="42"/>
        <v>#REF!</v>
      </c>
      <c r="BY34" s="343" t="e">
        <f t="shared" si="43"/>
        <v>#VALUE!</v>
      </c>
      <c r="CA34" s="174">
        <f>'FC2+10'!AA33</f>
        <v>-32.945411274622167</v>
      </c>
      <c r="CC34" s="343">
        <f t="shared" si="44"/>
        <v>-22.346955636258166</v>
      </c>
      <c r="CE34" s="46">
        <f>IF('FC7+5'!S$3=1,'FC7+5'!S33,"")</f>
        <v>-10.598455638364001</v>
      </c>
      <c r="CF34" s="46" t="str">
        <f>IF('FC7+5'!T$3=1,'FC7+5'!T33,"")</f>
        <v/>
      </c>
      <c r="CG34" s="46" t="str">
        <f>IF('FC7+5'!U$3=1,'FC7+5'!U33,"")</f>
        <v/>
      </c>
      <c r="CH34" s="900">
        <f t="shared" si="83"/>
        <v>-10.598455638364001</v>
      </c>
      <c r="CI34" s="172">
        <f t="shared" si="73"/>
        <v>0</v>
      </c>
      <c r="CJ34" s="172">
        <f t="shared" si="74"/>
        <v>0</v>
      </c>
      <c r="CK34" s="172">
        <f t="shared" si="75"/>
        <v>0</v>
      </c>
      <c r="CL34" s="900">
        <f t="shared" si="76"/>
        <v>0</v>
      </c>
      <c r="CM34" s="900">
        <f>IF('FC7+5'!AC$3=1,'FC7+5'!AC33,"")</f>
        <v>-39.47926050474944</v>
      </c>
      <c r="CN34" s="900">
        <f t="shared" si="47"/>
        <v>28.880804866385439</v>
      </c>
    </row>
    <row r="35" spans="2:95" outlineLevel="2">
      <c r="B35" s="30"/>
      <c r="C35" s="31" t="s">
        <v>124</v>
      </c>
      <c r="D35" s="21"/>
      <c r="E35" s="21"/>
      <c r="F35" s="64">
        <f>SUM(F29:F31,F32:F34)</f>
        <v>-67.114530620000011</v>
      </c>
      <c r="G35" s="64">
        <f>SUM(G29:G31,G32:G34)</f>
        <v>0</v>
      </c>
      <c r="H35" s="64">
        <f>SUM(H29:H31,H32:H34)</f>
        <v>0</v>
      </c>
      <c r="I35" s="184">
        <f t="shared" si="71"/>
        <v>-67.114530620000011</v>
      </c>
      <c r="K35" s="65">
        <f>SUM(K29:K31,K32:K34)</f>
        <v>-85.396982709125268</v>
      </c>
      <c r="L35" s="65">
        <f>SUM(L29:L31,L32:L34)</f>
        <v>0</v>
      </c>
      <c r="M35" s="65">
        <f>SUM(M29:M31,M32:M34)</f>
        <v>0</v>
      </c>
      <c r="N35" s="114">
        <f t="shared" si="72"/>
        <v>-85.396982709125268</v>
      </c>
      <c r="O35" s="65">
        <f t="shared" si="48"/>
        <v>18.282452089125258</v>
      </c>
      <c r="P35" s="65">
        <f t="shared" si="49"/>
        <v>0</v>
      </c>
      <c r="Q35" s="65">
        <f t="shared" si="50"/>
        <v>0</v>
      </c>
      <c r="R35" s="185">
        <f t="shared" si="51"/>
        <v>18.282452089125258</v>
      </c>
      <c r="S35" s="117"/>
      <c r="T35" s="65">
        <f>SUM(T29:T31,T32:T34)</f>
        <v>-67.114530620000011</v>
      </c>
      <c r="U35" s="65">
        <f>SUM(U29:U31,U32:U34)</f>
        <v>0</v>
      </c>
      <c r="V35" s="65">
        <f>SUM(V29:V31,V32:V34)</f>
        <v>0</v>
      </c>
      <c r="W35" s="186">
        <f t="shared" si="77"/>
        <v>-67.114530620000011</v>
      </c>
      <c r="X35" s="65">
        <f t="shared" si="52"/>
        <v>0</v>
      </c>
      <c r="Y35" s="65">
        <f t="shared" si="53"/>
        <v>0</v>
      </c>
      <c r="Z35" s="65">
        <f t="shared" si="54"/>
        <v>0</v>
      </c>
      <c r="AA35" s="187">
        <f t="shared" si="55"/>
        <v>0</v>
      </c>
      <c r="AB35" s="117"/>
      <c r="AC35" s="65">
        <f>SUM(AC29:AC31,AC32:AC34)</f>
        <v>-49.041949306000028</v>
      </c>
      <c r="AD35" s="65">
        <f>SUM(AD29:AD31,AD32:AD34)</f>
        <v>-52.373123578759149</v>
      </c>
      <c r="AE35" s="65">
        <f>SUM(AE29:AE31,AE32:AE34)</f>
        <v>0</v>
      </c>
      <c r="AF35" s="357">
        <f t="shared" si="78"/>
        <v>-101.41507288475918</v>
      </c>
      <c r="AG35" s="65">
        <f t="shared" si="56"/>
        <v>-18.072581313999983</v>
      </c>
      <c r="AH35" s="65">
        <f t="shared" si="57"/>
        <v>52.373123578759149</v>
      </c>
      <c r="AI35" s="65">
        <f t="shared" si="58"/>
        <v>0</v>
      </c>
      <c r="AJ35" s="346">
        <f t="shared" si="59"/>
        <v>34.300542264759173</v>
      </c>
      <c r="AK35" s="117"/>
      <c r="AL35" s="65">
        <f>SUM(AL29:AL31,AL32:AL34)</f>
        <v>-52.790523196000002</v>
      </c>
      <c r="AM35" s="65">
        <f>SUM(AM29:AM31,AM32:AM34)</f>
        <v>0</v>
      </c>
      <c r="AN35" s="65">
        <f>SUM(AN29:AN31,AN32:AN34)</f>
        <v>0</v>
      </c>
      <c r="AO35" s="389">
        <f t="shared" si="79"/>
        <v>-52.790523196000002</v>
      </c>
      <c r="AP35" s="65">
        <f t="shared" si="60"/>
        <v>-14.324007424000008</v>
      </c>
      <c r="AQ35" s="65">
        <f t="shared" si="61"/>
        <v>0</v>
      </c>
      <c r="AR35" s="65">
        <f t="shared" si="62"/>
        <v>0</v>
      </c>
      <c r="AS35" s="399">
        <f t="shared" si="62"/>
        <v>-14.324007424000008</v>
      </c>
      <c r="AU35" s="65">
        <f>Act!L34</f>
        <v>-44.235303336000023</v>
      </c>
      <c r="AV35" s="187">
        <f t="shared" si="28"/>
        <v>44.235303336000023</v>
      </c>
      <c r="AW35" s="117"/>
      <c r="AX35" s="65">
        <f>SUM(AX29:AX31,AX32:AX34)</f>
        <v>-67.114530620000011</v>
      </c>
      <c r="AY35" s="65">
        <f>SUM(AY29:AY31,AY32:AY34)</f>
        <v>0</v>
      </c>
      <c r="AZ35" s="65">
        <f>SUM(AZ29:AZ31,AZ32:AZ34)</f>
        <v>0</v>
      </c>
      <c r="BA35" s="186">
        <f t="shared" si="80"/>
        <v>-67.114530620000011</v>
      </c>
      <c r="BB35" s="65">
        <f t="shared" si="63"/>
        <v>0</v>
      </c>
      <c r="BC35" s="65">
        <f t="shared" si="64"/>
        <v>0</v>
      </c>
      <c r="BD35" s="65">
        <f t="shared" si="65"/>
        <v>0</v>
      </c>
      <c r="BE35" s="187">
        <f t="shared" si="66"/>
        <v>0</v>
      </c>
      <c r="BG35" s="65">
        <f t="shared" si="31"/>
        <v>-67.114530620000011</v>
      </c>
      <c r="BH35" s="65">
        <v>-49.093806901108962</v>
      </c>
      <c r="BI35" s="65">
        <v>-54.632196025921743</v>
      </c>
      <c r="BJ35" s="357">
        <f t="shared" si="81"/>
        <v>-170.8405335470307</v>
      </c>
      <c r="BK35" s="65">
        <f t="shared" si="33"/>
        <v>-18.072581313999983</v>
      </c>
      <c r="BL35" s="65">
        <f t="shared" si="34"/>
        <v>52.373123578759149</v>
      </c>
      <c r="BM35" s="65">
        <f t="shared" si="35"/>
        <v>-52.790523196000002</v>
      </c>
      <c r="BN35" s="346">
        <f t="shared" si="36"/>
        <v>103.72600292703069</v>
      </c>
      <c r="BP35" s="65">
        <f t="shared" si="37"/>
        <v>-67.114530620000011</v>
      </c>
      <c r="BQ35" s="65">
        <f t="shared" si="37"/>
        <v>0</v>
      </c>
      <c r="BR35" s="65" t="e">
        <f>#REF!</f>
        <v>#REF!</v>
      </c>
      <c r="BS35" s="357" t="e">
        <f t="shared" si="82"/>
        <v>#REF!</v>
      </c>
      <c r="BT35" s="65">
        <f t="shared" si="39"/>
        <v>-18.072581313999983</v>
      </c>
      <c r="BU35" s="65">
        <f t="shared" si="40"/>
        <v>52.373123578759149</v>
      </c>
      <c r="BV35" s="65" t="e">
        <f t="shared" si="41"/>
        <v>#REF!</v>
      </c>
      <c r="BW35" s="346" t="e">
        <f t="shared" si="42"/>
        <v>#REF!</v>
      </c>
      <c r="BY35" s="346" t="e">
        <f t="shared" si="43"/>
        <v>#REF!</v>
      </c>
      <c r="CA35" s="186">
        <f>'FC2+10'!AA34</f>
        <v>-137.03694752105096</v>
      </c>
      <c r="CC35" s="346">
        <f t="shared" si="44"/>
        <v>-69.922416901050951</v>
      </c>
      <c r="CE35" s="65">
        <f>SUM(CE29:CE31,CE32:CE34)</f>
        <v>-67.114530620000011</v>
      </c>
      <c r="CF35" s="65">
        <f>SUM(CF29:CF31,CF32:CF34)</f>
        <v>0</v>
      </c>
      <c r="CG35" s="65">
        <f>SUM(CG29:CG31,CG32:CG34)</f>
        <v>0</v>
      </c>
      <c r="CH35" s="903">
        <f t="shared" si="83"/>
        <v>-67.114530620000011</v>
      </c>
      <c r="CI35" s="65">
        <f t="shared" si="73"/>
        <v>0</v>
      </c>
      <c r="CJ35" s="65">
        <f t="shared" si="74"/>
        <v>0</v>
      </c>
      <c r="CK35" s="65">
        <f t="shared" si="75"/>
        <v>0</v>
      </c>
      <c r="CL35" s="903">
        <f t="shared" si="76"/>
        <v>0</v>
      </c>
      <c r="CM35" s="903">
        <f>SUM(CM29:CM31,CM32:CM34)</f>
        <v>-141.33605594653241</v>
      </c>
      <c r="CN35" s="903">
        <f t="shared" si="47"/>
        <v>74.221525326532401</v>
      </c>
    </row>
    <row r="36" spans="2:95" outlineLevel="2">
      <c r="B36" s="20"/>
      <c r="C36" s="20"/>
      <c r="D36" s="67" t="s">
        <v>32</v>
      </c>
      <c r="E36" s="17"/>
      <c r="F36" s="18">
        <f>IF(Act!S$3=1,Act!S35,"")</f>
        <v>-21.268724286000001</v>
      </c>
      <c r="G36" s="18" t="str">
        <f>IF(Act!T$3=1,Act!T35,"")</f>
        <v/>
      </c>
      <c r="H36" s="18" t="str">
        <f>IF(Act!U$3=1,Act!U35,"")</f>
        <v/>
      </c>
      <c r="I36" s="156">
        <f t="shared" si="71"/>
        <v>-21.268724286000001</v>
      </c>
      <c r="K36" s="19">
        <f>IF(BP!S$3=1,BP!S35,"")</f>
        <v>-24.460347858954336</v>
      </c>
      <c r="L36" s="19" t="str">
        <f>IF(BP!T$3=1,BP!T35,"")</f>
        <v/>
      </c>
      <c r="M36" s="19" t="str">
        <f>IF(BP!U$3=1,BP!U35,"")</f>
        <v/>
      </c>
      <c r="N36" s="108">
        <f t="shared" si="72"/>
        <v>-24.460347858954336</v>
      </c>
      <c r="O36" s="157">
        <f t="shared" si="48"/>
        <v>3.1916235729543345</v>
      </c>
      <c r="P36" s="157">
        <f t="shared" si="49"/>
        <v>0</v>
      </c>
      <c r="Q36" s="157">
        <f t="shared" si="50"/>
        <v>0</v>
      </c>
      <c r="R36" s="158">
        <f t="shared" si="51"/>
        <v>3.1916235729543345</v>
      </c>
      <c r="S36" s="117"/>
      <c r="T36" s="19">
        <f>IF('FC2+10'!S$3=1,'FC2+10'!S35,"")</f>
        <v>-21.268724286000001</v>
      </c>
      <c r="U36" s="19" t="str">
        <f>IF('FC2+10'!T$3=1,'FC2+10'!T35,"")</f>
        <v/>
      </c>
      <c r="V36" s="19" t="str">
        <f>IF('FC2+10'!U$3=1,'FC2+10'!U35,"")</f>
        <v/>
      </c>
      <c r="W36" s="159">
        <f t="shared" si="77"/>
        <v>-21.268724286000001</v>
      </c>
      <c r="X36" s="157">
        <f t="shared" si="52"/>
        <v>0</v>
      </c>
      <c r="Y36" s="157">
        <f t="shared" si="53"/>
        <v>0</v>
      </c>
      <c r="Z36" s="157">
        <f t="shared" si="54"/>
        <v>0</v>
      </c>
      <c r="AA36" s="160">
        <f t="shared" si="55"/>
        <v>0</v>
      </c>
      <c r="AB36" s="117"/>
      <c r="AC36" s="19">
        <f>IF(OL!S$3=1,OL!S35,"")</f>
        <v>-26.036586915000001</v>
      </c>
      <c r="AD36" s="19">
        <f>IF(OL!T$3=1,OL!T35,"")</f>
        <v>-29.103860806038227</v>
      </c>
      <c r="AE36" s="19" t="str">
        <f>IF(OL!U$3=1,OL!U35,"")</f>
        <v/>
      </c>
      <c r="AF36" s="351">
        <f t="shared" si="78"/>
        <v>-55.140447721038228</v>
      </c>
      <c r="AG36" s="157">
        <f t="shared" si="56"/>
        <v>4.7678626289999997</v>
      </c>
      <c r="AH36" s="157">
        <f t="shared" si="57"/>
        <v>0</v>
      </c>
      <c r="AI36" s="157">
        <f t="shared" si="58"/>
        <v>0</v>
      </c>
      <c r="AJ36" s="340">
        <f t="shared" si="59"/>
        <v>33.871723435038227</v>
      </c>
      <c r="AK36" s="117"/>
      <c r="AL36" s="19">
        <f>IF(LY!S$3=1,LY!S35,"")</f>
        <v>-29.814473399000001</v>
      </c>
      <c r="AM36" s="19" t="str">
        <f>IF(LY!T$3=1,LY!T35,"")</f>
        <v/>
      </c>
      <c r="AN36" s="19" t="str">
        <f>IF(LY!U$3=1,LY!U35,"")</f>
        <v/>
      </c>
      <c r="AO36" s="383">
        <f t="shared" si="79"/>
        <v>-29.814473399000001</v>
      </c>
      <c r="AP36" s="157">
        <f t="shared" si="60"/>
        <v>8.5457491129999994</v>
      </c>
      <c r="AQ36" s="157">
        <f t="shared" si="61"/>
        <v>0</v>
      </c>
      <c r="AR36" s="157">
        <f t="shared" si="62"/>
        <v>0</v>
      </c>
      <c r="AS36" s="393">
        <f t="shared" si="62"/>
        <v>8.5457491129999994</v>
      </c>
      <c r="AU36" s="19">
        <f>Act!L35</f>
        <v>-23.951743748909092</v>
      </c>
      <c r="AV36" s="160" t="e">
        <f t="shared" si="28"/>
        <v>#VALUE!</v>
      </c>
      <c r="AW36" s="117"/>
      <c r="AX36" s="19">
        <f>IF('FC5+7'!S$3=1,'FC5+7'!S35,"")</f>
        <v>-21.268724286000001</v>
      </c>
      <c r="AY36" s="19" t="str">
        <f>IF('FC5+7'!T$3=1,'FC5+7'!T35,"")</f>
        <v/>
      </c>
      <c r="AZ36" s="19" t="str">
        <f>IF('FC5+7'!U$3=1,'FC5+7'!U35,"")</f>
        <v/>
      </c>
      <c r="BA36" s="159">
        <f t="shared" si="80"/>
        <v>-21.268724286000001</v>
      </c>
      <c r="BB36" s="157">
        <f>IFERROR(F36-AX36,0)</f>
        <v>0</v>
      </c>
      <c r="BC36" s="157">
        <f>IFERROR(G36-AY36,0)</f>
        <v>0</v>
      </c>
      <c r="BD36" s="157">
        <f t="shared" si="65"/>
        <v>0</v>
      </c>
      <c r="BE36" s="160">
        <f t="shared" si="66"/>
        <v>0</v>
      </c>
      <c r="BG36" s="19">
        <f t="shared" si="31"/>
        <v>-21.268724286000001</v>
      </c>
      <c r="BH36" s="19">
        <v>-27.7142098014304</v>
      </c>
      <c r="BI36" s="19">
        <v>-34.438520955804478</v>
      </c>
      <c r="BJ36" s="351">
        <f t="shared" si="81"/>
        <v>-83.421455043234886</v>
      </c>
      <c r="BK36" s="157">
        <f t="shared" si="33"/>
        <v>4.7678626289999997</v>
      </c>
      <c r="BL36" s="157">
        <f t="shared" si="34"/>
        <v>0</v>
      </c>
      <c r="BM36" s="157">
        <f t="shared" si="35"/>
        <v>0</v>
      </c>
      <c r="BN36" s="340">
        <f t="shared" si="36"/>
        <v>62.152730757234885</v>
      </c>
      <c r="BP36" s="19">
        <f t="shared" si="37"/>
        <v>-21.268724286000001</v>
      </c>
      <c r="BQ36" s="19" t="str">
        <f t="shared" si="37"/>
        <v/>
      </c>
      <c r="BR36" s="19" t="e">
        <f>#REF!</f>
        <v>#REF!</v>
      </c>
      <c r="BS36" s="351" t="e">
        <f t="shared" si="82"/>
        <v>#REF!</v>
      </c>
      <c r="BT36" s="157">
        <f t="shared" si="39"/>
        <v>4.7678626289999997</v>
      </c>
      <c r="BU36" s="157" t="e">
        <f t="shared" si="40"/>
        <v>#VALUE!</v>
      </c>
      <c r="BV36" s="157" t="e">
        <f t="shared" si="41"/>
        <v>#REF!</v>
      </c>
      <c r="BW36" s="340" t="e">
        <f t="shared" si="42"/>
        <v>#REF!</v>
      </c>
      <c r="BY36" s="340" t="e">
        <f t="shared" si="43"/>
        <v>#VALUE!</v>
      </c>
      <c r="CA36" s="159">
        <f>'FC2+10'!AA35</f>
        <v>-85.602170585890121</v>
      </c>
      <c r="CC36" s="340">
        <f t="shared" si="44"/>
        <v>-64.333446299890113</v>
      </c>
      <c r="CE36" s="19">
        <f>IF('FC7+5'!S$3=1,'FC7+5'!S35,"")</f>
        <v>-21.268724286000001</v>
      </c>
      <c r="CF36" s="19" t="str">
        <f>IF('FC7+5'!T$3=1,'FC7+5'!T35,"")</f>
        <v/>
      </c>
      <c r="CG36" s="19" t="str">
        <f>IF('FC7+5'!U$3=1,'FC7+5'!U35,"")</f>
        <v/>
      </c>
      <c r="CH36" s="897">
        <f t="shared" si="83"/>
        <v>-21.268724286000001</v>
      </c>
      <c r="CI36" s="157">
        <f t="shared" si="73"/>
        <v>0</v>
      </c>
      <c r="CJ36" s="157">
        <f t="shared" si="74"/>
        <v>0</v>
      </c>
      <c r="CK36" s="157">
        <f t="shared" si="75"/>
        <v>0</v>
      </c>
      <c r="CL36" s="897">
        <f t="shared" si="76"/>
        <v>0</v>
      </c>
      <c r="CM36" s="897">
        <f>IF('FC7+5'!AC$3=1,'FC7+5'!AC35,"")</f>
        <v>-77.35934669377572</v>
      </c>
      <c r="CN36" s="897">
        <f t="shared" si="47"/>
        <v>56.090622407775719</v>
      </c>
    </row>
    <row r="37" spans="2:95" outlineLevel="2">
      <c r="B37" s="20"/>
      <c r="C37" s="20"/>
      <c r="D37" s="462" t="s">
        <v>300</v>
      </c>
      <c r="E37" s="21"/>
      <c r="F37" s="22">
        <f>IF(Act!S$3=1,Act!S36,"")</f>
        <v>0</v>
      </c>
      <c r="G37" s="22" t="str">
        <f>IF(Act!T$3=1,Act!T36,"")</f>
        <v/>
      </c>
      <c r="H37" s="22" t="str">
        <f>IF(Act!U$3=1,Act!U36,"")</f>
        <v/>
      </c>
      <c r="I37" s="161">
        <f t="shared" si="71"/>
        <v>0</v>
      </c>
      <c r="K37" s="23">
        <f>IF(BP!S$3=1,BP!S36,"")</f>
        <v>0</v>
      </c>
      <c r="L37" s="23" t="str">
        <f>IF(BP!T$3=1,BP!T36,"")</f>
        <v/>
      </c>
      <c r="M37" s="23" t="str">
        <f>IF(BP!U$3=1,BP!U36,"")</f>
        <v/>
      </c>
      <c r="N37" s="109">
        <f t="shared" si="72"/>
        <v>0</v>
      </c>
      <c r="O37" s="48">
        <f t="shared" si="48"/>
        <v>0</v>
      </c>
      <c r="P37" s="48">
        <f t="shared" si="49"/>
        <v>0</v>
      </c>
      <c r="Q37" s="48">
        <f t="shared" si="50"/>
        <v>0</v>
      </c>
      <c r="R37" s="162">
        <f t="shared" si="51"/>
        <v>0</v>
      </c>
      <c r="S37" s="117"/>
      <c r="T37" s="23">
        <f>IF('FC2+10'!S$3=1,'FC2+10'!S36,"")</f>
        <v>0</v>
      </c>
      <c r="U37" s="23" t="str">
        <f>IF('FC2+10'!T$3=1,'FC2+10'!T36,"")</f>
        <v/>
      </c>
      <c r="V37" s="23" t="str">
        <f>IF('FC2+10'!U$3=1,'FC2+10'!U36,"")</f>
        <v/>
      </c>
      <c r="W37" s="163">
        <f t="shared" si="77"/>
        <v>0</v>
      </c>
      <c r="X37" s="48">
        <f t="shared" si="52"/>
        <v>0</v>
      </c>
      <c r="Y37" s="48">
        <f t="shared" si="53"/>
        <v>0</v>
      </c>
      <c r="Z37" s="48">
        <f t="shared" si="54"/>
        <v>0</v>
      </c>
      <c r="AA37" s="164">
        <f t="shared" si="55"/>
        <v>0</v>
      </c>
      <c r="AB37" s="117"/>
      <c r="AC37" s="23">
        <f>IF(OL!S$3=1,OL!S36,"")</f>
        <v>0</v>
      </c>
      <c r="AD37" s="23">
        <f>IF(OL!T$3=1,OL!T36,"")</f>
        <v>0</v>
      </c>
      <c r="AE37" s="23" t="str">
        <f>IF(OL!U$3=1,OL!U36,"")</f>
        <v/>
      </c>
      <c r="AF37" s="352">
        <f t="shared" si="78"/>
        <v>0</v>
      </c>
      <c r="AG37" s="48">
        <f t="shared" si="56"/>
        <v>0</v>
      </c>
      <c r="AH37" s="48">
        <f t="shared" si="57"/>
        <v>0</v>
      </c>
      <c r="AI37" s="48">
        <f t="shared" si="58"/>
        <v>0</v>
      </c>
      <c r="AJ37" s="341">
        <f t="shared" si="59"/>
        <v>0</v>
      </c>
      <c r="AK37" s="117"/>
      <c r="AL37" s="23">
        <f>IF(LY!S$3=1,LY!S36,"")</f>
        <v>0</v>
      </c>
      <c r="AM37" s="23" t="str">
        <f>IF(LY!T$3=1,LY!T36,"")</f>
        <v/>
      </c>
      <c r="AN37" s="23" t="str">
        <f>IF(LY!U$3=1,LY!U36,"")</f>
        <v/>
      </c>
      <c r="AO37" s="384">
        <f t="shared" si="79"/>
        <v>0</v>
      </c>
      <c r="AP37" s="48">
        <f t="shared" si="60"/>
        <v>0</v>
      </c>
      <c r="AQ37" s="48">
        <f t="shared" si="61"/>
        <v>0</v>
      </c>
      <c r="AR37" s="48">
        <f t="shared" si="62"/>
        <v>0</v>
      </c>
      <c r="AS37" s="394">
        <f t="shared" si="62"/>
        <v>0</v>
      </c>
      <c r="AU37" s="23">
        <f>Act!L36</f>
        <v>0</v>
      </c>
      <c r="AV37" s="164" t="e">
        <f t="shared" si="28"/>
        <v>#VALUE!</v>
      </c>
      <c r="AW37" s="117"/>
      <c r="AX37" s="23">
        <f>IF('FC5+7'!S$3=1,'FC5+7'!S36,"")</f>
        <v>0</v>
      </c>
      <c r="AY37" s="23" t="str">
        <f>IF('FC5+7'!T$3=1,'FC5+7'!T36,"")</f>
        <v/>
      </c>
      <c r="AZ37" s="23" t="str">
        <f>IF('FC5+7'!U$3=1,'FC5+7'!U36,"")</f>
        <v/>
      </c>
      <c r="BA37" s="163">
        <f t="shared" si="80"/>
        <v>0</v>
      </c>
      <c r="BB37" s="48">
        <f t="shared" si="63"/>
        <v>0</v>
      </c>
      <c r="BC37" s="48">
        <f t="shared" si="64"/>
        <v>0</v>
      </c>
      <c r="BD37" s="48">
        <f t="shared" si="65"/>
        <v>0</v>
      </c>
      <c r="BE37" s="164">
        <f t="shared" si="66"/>
        <v>0</v>
      </c>
      <c r="BG37" s="23">
        <f t="shared" si="31"/>
        <v>0</v>
      </c>
      <c r="BH37" s="23">
        <v>0</v>
      </c>
      <c r="BI37" s="23">
        <v>0</v>
      </c>
      <c r="BJ37" s="352">
        <f t="shared" si="81"/>
        <v>0</v>
      </c>
      <c r="BK37" s="48">
        <f t="shared" si="33"/>
        <v>0</v>
      </c>
      <c r="BL37" s="48">
        <f t="shared" si="34"/>
        <v>0</v>
      </c>
      <c r="BM37" s="48">
        <f t="shared" si="35"/>
        <v>0</v>
      </c>
      <c r="BN37" s="341">
        <f t="shared" si="36"/>
        <v>0</v>
      </c>
      <c r="BP37" s="23">
        <f t="shared" si="37"/>
        <v>0</v>
      </c>
      <c r="BQ37" s="23" t="str">
        <f t="shared" si="37"/>
        <v/>
      </c>
      <c r="BR37" s="23" t="e">
        <f>#REF!</f>
        <v>#REF!</v>
      </c>
      <c r="BS37" s="352" t="e">
        <f t="shared" si="82"/>
        <v>#REF!</v>
      </c>
      <c r="BT37" s="48">
        <f t="shared" si="39"/>
        <v>0</v>
      </c>
      <c r="BU37" s="48" t="e">
        <f t="shared" si="40"/>
        <v>#VALUE!</v>
      </c>
      <c r="BV37" s="48" t="e">
        <f t="shared" si="41"/>
        <v>#REF!</v>
      </c>
      <c r="BW37" s="341" t="e">
        <f t="shared" si="42"/>
        <v>#REF!</v>
      </c>
      <c r="BY37" s="341" t="e">
        <f t="shared" si="43"/>
        <v>#VALUE!</v>
      </c>
      <c r="CA37" s="163">
        <f>'FC2+10'!AA36</f>
        <v>0</v>
      </c>
      <c r="CC37" s="341">
        <f t="shared" si="44"/>
        <v>0</v>
      </c>
      <c r="CE37" s="23">
        <f>IF('FC7+5'!S$3=1,'FC7+5'!S36,"")</f>
        <v>0</v>
      </c>
      <c r="CF37" s="23" t="str">
        <f>IF('FC7+5'!T$3=1,'FC7+5'!T36,"")</f>
        <v/>
      </c>
      <c r="CG37" s="23" t="str">
        <f>IF('FC7+5'!U$3=1,'FC7+5'!U36,"")</f>
        <v/>
      </c>
      <c r="CH37" s="898">
        <f t="shared" si="83"/>
        <v>0</v>
      </c>
      <c r="CI37" s="48">
        <f t="shared" si="73"/>
        <v>0</v>
      </c>
      <c r="CJ37" s="48">
        <f t="shared" si="74"/>
        <v>0</v>
      </c>
      <c r="CK37" s="48">
        <f t="shared" si="75"/>
        <v>0</v>
      </c>
      <c r="CL37" s="898">
        <f t="shared" si="76"/>
        <v>0</v>
      </c>
      <c r="CM37" s="898">
        <f>IF('FC7+5'!AC$3=1,'FC7+5'!AC36,"")</f>
        <v>0</v>
      </c>
      <c r="CN37" s="898">
        <f t="shared" si="47"/>
        <v>0</v>
      </c>
    </row>
    <row r="38" spans="2:95" s="117" customFormat="1" outlineLevel="2">
      <c r="B38" s="778"/>
      <c r="C38" s="779"/>
      <c r="D38" s="780" t="s">
        <v>299</v>
      </c>
      <c r="E38" s="781"/>
      <c r="F38" s="782">
        <f>IF(Act!S$3=1,Act!S37,"")</f>
        <v>-4.9093125139999998</v>
      </c>
      <c r="G38" s="782" t="str">
        <f>IF(Act!T$3=1,Act!T37,"")</f>
        <v/>
      </c>
      <c r="H38" s="782" t="str">
        <f>IF(Act!U$3=1,Act!U37,"")</f>
        <v/>
      </c>
      <c r="I38" s="783">
        <f t="shared" si="71"/>
        <v>-4.9093125139999998</v>
      </c>
      <c r="J38" s="503"/>
      <c r="K38" s="784">
        <f>IF(BP!S$3=1,BP!S37,"")</f>
        <v>-5.1334380068634538</v>
      </c>
      <c r="L38" s="784" t="str">
        <f>IF(BP!T$3=1,BP!T37,"")</f>
        <v/>
      </c>
      <c r="M38" s="784" t="str">
        <f>IF(BP!U$3=1,BP!U37,"")</f>
        <v/>
      </c>
      <c r="N38" s="785">
        <f t="shared" si="72"/>
        <v>-5.1334380068634538</v>
      </c>
      <c r="O38" s="786">
        <f t="shared" si="48"/>
        <v>0.22412549286345396</v>
      </c>
      <c r="P38" s="786">
        <f t="shared" si="49"/>
        <v>0</v>
      </c>
      <c r="Q38" s="786">
        <f t="shared" si="50"/>
        <v>0</v>
      </c>
      <c r="R38" s="787">
        <f t="shared" si="51"/>
        <v>0.22412549286345396</v>
      </c>
      <c r="S38" s="503"/>
      <c r="T38" s="784">
        <f>IF('FC2+10'!S$3=1,'FC2+10'!S37,"")</f>
        <v>-4.9093125139999998</v>
      </c>
      <c r="U38" s="784" t="str">
        <f>IF('FC2+10'!T$3=1,'FC2+10'!T37,"")</f>
        <v/>
      </c>
      <c r="V38" s="784" t="str">
        <f>IF('FC2+10'!U$3=1,'FC2+10'!U37,"")</f>
        <v/>
      </c>
      <c r="W38" s="788">
        <f t="shared" si="77"/>
        <v>-4.9093125139999998</v>
      </c>
      <c r="X38" s="786">
        <f t="shared" si="52"/>
        <v>0</v>
      </c>
      <c r="Y38" s="786">
        <f t="shared" si="53"/>
        <v>0</v>
      </c>
      <c r="Z38" s="786">
        <f t="shared" si="54"/>
        <v>0</v>
      </c>
      <c r="AA38" s="789">
        <f t="shared" si="55"/>
        <v>0</v>
      </c>
      <c r="AB38" s="503"/>
      <c r="AC38" s="784">
        <f>IF(OL!S$3=1,OL!S37,"")</f>
        <v>-5.7556091849999937</v>
      </c>
      <c r="AD38" s="784">
        <f>IF(OL!T$3=1,OL!T37,"")</f>
        <v>-5.8986338421293887</v>
      </c>
      <c r="AE38" s="784" t="str">
        <f>IF(OL!U$3=1,OL!U37,"")</f>
        <v/>
      </c>
      <c r="AF38" s="790">
        <f t="shared" si="78"/>
        <v>-11.654243027129382</v>
      </c>
      <c r="AG38" s="786">
        <f t="shared" si="56"/>
        <v>0.84629667099999395</v>
      </c>
      <c r="AH38" s="786">
        <f t="shared" si="57"/>
        <v>0</v>
      </c>
      <c r="AI38" s="786">
        <f t="shared" si="58"/>
        <v>0</v>
      </c>
      <c r="AJ38" s="791">
        <f t="shared" si="59"/>
        <v>6.7449305131293826</v>
      </c>
      <c r="AK38" s="503"/>
      <c r="AL38" s="784">
        <f>IF(LY!S$3=1,LY!S37,"")</f>
        <v>-4.2758629010000035</v>
      </c>
      <c r="AM38" s="784" t="str">
        <f>IF(LY!T$3=1,LY!T37,"")</f>
        <v/>
      </c>
      <c r="AN38" s="784" t="str">
        <f>IF(LY!U$3=1,LY!U37,"")</f>
        <v/>
      </c>
      <c r="AO38" s="792">
        <f t="shared" si="79"/>
        <v>-4.2758629010000035</v>
      </c>
      <c r="AP38" s="786">
        <f t="shared" si="60"/>
        <v>-0.63344961299999625</v>
      </c>
      <c r="AQ38" s="786">
        <f t="shared" si="61"/>
        <v>0</v>
      </c>
      <c r="AR38" s="786">
        <f t="shared" si="62"/>
        <v>0</v>
      </c>
      <c r="AS38" s="793">
        <f t="shared" si="62"/>
        <v>-0.63344961299999625</v>
      </c>
      <c r="AT38" s="503"/>
      <c r="AU38" s="784">
        <f>Act!L37</f>
        <v>-4.8106854510909081</v>
      </c>
      <c r="AV38" s="789" t="e">
        <f t="shared" si="28"/>
        <v>#VALUE!</v>
      </c>
      <c r="AW38" s="503"/>
      <c r="AX38" s="784">
        <f>IF('FC5+7'!S$3=1,'FC5+7'!S37,"")</f>
        <v>-4.9093125139999998</v>
      </c>
      <c r="AY38" s="784" t="str">
        <f>IF('FC5+7'!T$3=1,'FC5+7'!T37,"")</f>
        <v/>
      </c>
      <c r="AZ38" s="784" t="str">
        <f>IF('FC5+7'!U$3=1,'FC5+7'!U37,"")</f>
        <v/>
      </c>
      <c r="BA38" s="788">
        <f t="shared" si="80"/>
        <v>-4.9093125139999998</v>
      </c>
      <c r="BB38" s="786">
        <f t="shared" si="63"/>
        <v>0</v>
      </c>
      <c r="BC38" s="786">
        <f t="shared" si="64"/>
        <v>0</v>
      </c>
      <c r="BD38" s="786">
        <f t="shared" si="65"/>
        <v>0</v>
      </c>
      <c r="BE38" s="789">
        <f t="shared" si="66"/>
        <v>0</v>
      </c>
      <c r="BG38" s="46">
        <f t="shared" si="31"/>
        <v>-4.9093125139999998</v>
      </c>
      <c r="BH38" s="46">
        <v>-3.9114144561328361</v>
      </c>
      <c r="BI38" s="46">
        <v>-7.7889688868438203</v>
      </c>
      <c r="BJ38" s="354">
        <f t="shared" si="81"/>
        <v>-16.609695856976657</v>
      </c>
      <c r="BK38" s="172">
        <f t="shared" si="33"/>
        <v>0.84629667099999395</v>
      </c>
      <c r="BL38" s="172">
        <f t="shared" si="34"/>
        <v>0</v>
      </c>
      <c r="BM38" s="172">
        <f t="shared" si="35"/>
        <v>0</v>
      </c>
      <c r="BN38" s="343">
        <f t="shared" si="36"/>
        <v>11.700383342976657</v>
      </c>
      <c r="BP38" s="46">
        <f t="shared" si="37"/>
        <v>-4.9093125139999998</v>
      </c>
      <c r="BQ38" s="46" t="str">
        <f t="shared" si="37"/>
        <v/>
      </c>
      <c r="BR38" s="46" t="e">
        <f>#REF!</f>
        <v>#REF!</v>
      </c>
      <c r="BS38" s="354" t="e">
        <f t="shared" si="82"/>
        <v>#REF!</v>
      </c>
      <c r="BT38" s="172">
        <f t="shared" si="39"/>
        <v>0.84629667099999395</v>
      </c>
      <c r="BU38" s="172" t="e">
        <f t="shared" si="40"/>
        <v>#VALUE!</v>
      </c>
      <c r="BV38" s="172" t="e">
        <f t="shared" si="41"/>
        <v>#REF!</v>
      </c>
      <c r="BW38" s="343" t="e">
        <f t="shared" si="42"/>
        <v>#REF!</v>
      </c>
      <c r="BY38" s="343" t="e">
        <f t="shared" si="43"/>
        <v>#VALUE!</v>
      </c>
      <c r="CA38" s="174">
        <f>'FC2+10'!AA37</f>
        <v>-22.866055164109774</v>
      </c>
      <c r="CC38" s="343">
        <f t="shared" si="44"/>
        <v>-17.956742650109774</v>
      </c>
      <c r="CE38" s="784">
        <f>IF('FC7+5'!S$3=1,'FC7+5'!S37,"")</f>
        <v>-4.9093125139999998</v>
      </c>
      <c r="CF38" s="784" t="str">
        <f>IF('FC7+5'!T$3=1,'FC7+5'!T37,"")</f>
        <v/>
      </c>
      <c r="CG38" s="784" t="str">
        <f>IF('FC7+5'!U$3=1,'FC7+5'!U37,"")</f>
        <v/>
      </c>
      <c r="CH38" s="904">
        <f t="shared" si="83"/>
        <v>-4.9093125139999998</v>
      </c>
      <c r="CI38" s="786">
        <f t="shared" si="73"/>
        <v>0</v>
      </c>
      <c r="CJ38" s="786">
        <f t="shared" si="74"/>
        <v>0</v>
      </c>
      <c r="CK38" s="786">
        <f t="shared" si="75"/>
        <v>0</v>
      </c>
      <c r="CL38" s="904">
        <f t="shared" si="76"/>
        <v>0</v>
      </c>
      <c r="CM38" s="900">
        <f>IF('FC7+5'!AC$3=1,'FC7+5'!AC37,"")</f>
        <v>-21.949220579307489</v>
      </c>
      <c r="CN38" s="900">
        <f t="shared" si="47"/>
        <v>17.03990806530749</v>
      </c>
      <c r="CQ38" s="2"/>
    </row>
    <row r="39" spans="2:95" outlineLevel="2">
      <c r="B39" s="30"/>
      <c r="C39" s="31" t="s">
        <v>127</v>
      </c>
      <c r="D39" s="21"/>
      <c r="E39" s="21"/>
      <c r="F39" s="68">
        <f>SUM(F36:F38)</f>
        <v>-26.178036800000001</v>
      </c>
      <c r="G39" s="68">
        <f>SUM(G36:G38)</f>
        <v>0</v>
      </c>
      <c r="H39" s="68">
        <f>SUM(H36:H38)</f>
        <v>0</v>
      </c>
      <c r="I39" s="188">
        <f t="shared" si="71"/>
        <v>-26.178036800000001</v>
      </c>
      <c r="K39" s="65">
        <f>SUM(K36:K38)</f>
        <v>-29.593785865817789</v>
      </c>
      <c r="L39" s="65">
        <f>SUM(L36:L38)</f>
        <v>0</v>
      </c>
      <c r="M39" s="65">
        <f>SUM(M36:M38)</f>
        <v>0</v>
      </c>
      <c r="N39" s="114">
        <f t="shared" si="72"/>
        <v>-29.593785865817789</v>
      </c>
      <c r="O39" s="69">
        <f t="shared" si="48"/>
        <v>3.4157490658177885</v>
      </c>
      <c r="P39" s="69">
        <f t="shared" si="49"/>
        <v>0</v>
      </c>
      <c r="Q39" s="69">
        <f t="shared" si="50"/>
        <v>0</v>
      </c>
      <c r="R39" s="185">
        <f t="shared" si="51"/>
        <v>3.4157490658177885</v>
      </c>
      <c r="S39" s="117"/>
      <c r="T39" s="65">
        <f>SUM(T36:T38)</f>
        <v>-26.178036800000001</v>
      </c>
      <c r="U39" s="65">
        <f>SUM(U36:U38)</f>
        <v>0</v>
      </c>
      <c r="V39" s="65">
        <f>SUM(V36:V38)</f>
        <v>0</v>
      </c>
      <c r="W39" s="186">
        <f t="shared" si="77"/>
        <v>-26.178036800000001</v>
      </c>
      <c r="X39" s="69">
        <f t="shared" si="52"/>
        <v>0</v>
      </c>
      <c r="Y39" s="69">
        <f t="shared" si="53"/>
        <v>0</v>
      </c>
      <c r="Z39" s="69">
        <f t="shared" si="54"/>
        <v>0</v>
      </c>
      <c r="AA39" s="756">
        <f t="shared" si="55"/>
        <v>0</v>
      </c>
      <c r="AB39" s="117"/>
      <c r="AC39" s="65">
        <f>SUM(AC36:AC38)</f>
        <v>-31.792196099999995</v>
      </c>
      <c r="AD39" s="65">
        <f>SUM(AD36:AD38)</f>
        <v>-35.002494648167612</v>
      </c>
      <c r="AE39" s="65">
        <f>SUM(AE36:AE38)</f>
        <v>0</v>
      </c>
      <c r="AF39" s="357">
        <f t="shared" si="78"/>
        <v>-66.794690748167611</v>
      </c>
      <c r="AG39" s="69">
        <f t="shared" si="56"/>
        <v>5.6141592999999936</v>
      </c>
      <c r="AH39" s="69">
        <f t="shared" si="57"/>
        <v>35.002494648167612</v>
      </c>
      <c r="AI39" s="69">
        <f t="shared" si="58"/>
        <v>0</v>
      </c>
      <c r="AJ39" s="346">
        <f t="shared" si="59"/>
        <v>40.61665394816761</v>
      </c>
      <c r="AK39" s="117"/>
      <c r="AL39" s="65">
        <f>SUM(AL36:AL38)</f>
        <v>-34.090336300000004</v>
      </c>
      <c r="AM39" s="65">
        <f>SUM(AM36:AM38)</f>
        <v>0</v>
      </c>
      <c r="AN39" s="65">
        <f>SUM(AN36:AN38)</f>
        <v>0</v>
      </c>
      <c r="AO39" s="389">
        <f t="shared" si="79"/>
        <v>-34.090336300000004</v>
      </c>
      <c r="AP39" s="69">
        <f t="shared" si="60"/>
        <v>7.9122995000000031</v>
      </c>
      <c r="AQ39" s="69">
        <f t="shared" si="61"/>
        <v>0</v>
      </c>
      <c r="AR39" s="69">
        <f t="shared" si="62"/>
        <v>0</v>
      </c>
      <c r="AS39" s="399">
        <f t="shared" si="62"/>
        <v>7.9122995000000031</v>
      </c>
      <c r="AU39" s="65">
        <f>Act!L38</f>
        <v>-28.7624292</v>
      </c>
      <c r="AV39" s="198">
        <f t="shared" si="28"/>
        <v>28.7624292</v>
      </c>
      <c r="AW39" s="117"/>
      <c r="AX39" s="65">
        <f>SUM(AX36:AX38)</f>
        <v>-26.178036800000001</v>
      </c>
      <c r="AY39" s="65">
        <f>SUM(AY36:AY38)</f>
        <v>0</v>
      </c>
      <c r="AZ39" s="65">
        <f>SUM(AZ36:AZ38)</f>
        <v>0</v>
      </c>
      <c r="BA39" s="186">
        <f t="shared" si="80"/>
        <v>-26.178036800000001</v>
      </c>
      <c r="BB39" s="69">
        <f t="shared" si="63"/>
        <v>0</v>
      </c>
      <c r="BC39" s="69">
        <f t="shared" si="64"/>
        <v>0</v>
      </c>
      <c r="BD39" s="69">
        <f t="shared" si="65"/>
        <v>0</v>
      </c>
      <c r="BE39" s="187">
        <f t="shared" si="66"/>
        <v>0</v>
      </c>
      <c r="BG39" s="65">
        <f t="shared" si="31"/>
        <v>-26.178036800000001</v>
      </c>
      <c r="BH39" s="65">
        <v>-31.625624257563235</v>
      </c>
      <c r="BI39" s="65">
        <v>-42.227489842648296</v>
      </c>
      <c r="BJ39" s="357">
        <f t="shared" si="81"/>
        <v>-100.03115090021153</v>
      </c>
      <c r="BK39" s="69">
        <f t="shared" si="33"/>
        <v>5.6141592999999936</v>
      </c>
      <c r="BL39" s="69">
        <f t="shared" si="34"/>
        <v>35.002494648167612</v>
      </c>
      <c r="BM39" s="69">
        <f t="shared" si="35"/>
        <v>-34.090336300000004</v>
      </c>
      <c r="BN39" s="346">
        <f t="shared" si="36"/>
        <v>73.853114100211528</v>
      </c>
      <c r="BP39" s="65">
        <f t="shared" si="37"/>
        <v>-26.178036800000001</v>
      </c>
      <c r="BQ39" s="65">
        <f t="shared" si="37"/>
        <v>0</v>
      </c>
      <c r="BR39" s="65" t="e">
        <f>#REF!</f>
        <v>#REF!</v>
      </c>
      <c r="BS39" s="357" t="e">
        <f t="shared" si="82"/>
        <v>#REF!</v>
      </c>
      <c r="BT39" s="69">
        <f t="shared" si="39"/>
        <v>5.6141592999999936</v>
      </c>
      <c r="BU39" s="69">
        <f t="shared" si="40"/>
        <v>35.002494648167612</v>
      </c>
      <c r="BV39" s="69" t="e">
        <f t="shared" si="41"/>
        <v>#REF!</v>
      </c>
      <c r="BW39" s="346" t="e">
        <f t="shared" si="42"/>
        <v>#REF!</v>
      </c>
      <c r="BY39" s="346" t="e">
        <f t="shared" si="43"/>
        <v>#REF!</v>
      </c>
      <c r="CA39" s="186">
        <f>'FC2+10'!AA38</f>
        <v>-108.4682257499999</v>
      </c>
      <c r="CC39" s="346">
        <f t="shared" si="44"/>
        <v>-82.290188949999902</v>
      </c>
      <c r="CE39" s="65">
        <f>SUM(CE36:CE38)</f>
        <v>-26.178036800000001</v>
      </c>
      <c r="CF39" s="65">
        <f>SUM(CF36:CF38)</f>
        <v>0</v>
      </c>
      <c r="CG39" s="65">
        <f>SUM(CG36:CG38)</f>
        <v>0</v>
      </c>
      <c r="CH39" s="903">
        <f t="shared" si="83"/>
        <v>-26.178036800000001</v>
      </c>
      <c r="CI39" s="69">
        <f t="shared" si="73"/>
        <v>0</v>
      </c>
      <c r="CJ39" s="69">
        <f t="shared" si="74"/>
        <v>0</v>
      </c>
      <c r="CK39" s="69">
        <f t="shared" si="75"/>
        <v>0</v>
      </c>
      <c r="CL39" s="903">
        <f t="shared" si="76"/>
        <v>0</v>
      </c>
      <c r="CM39" s="903">
        <f>SUM(CM36:CM38)</f>
        <v>-99.308567273083213</v>
      </c>
      <c r="CN39" s="903">
        <f t="shared" si="47"/>
        <v>73.130530473083212</v>
      </c>
    </row>
    <row r="40" spans="2:95" outlineLevel="2">
      <c r="B40" s="71"/>
      <c r="C40" s="72"/>
      <c r="D40" s="73" t="s">
        <v>128</v>
      </c>
      <c r="E40" s="17"/>
      <c r="F40" s="61"/>
      <c r="G40" s="62"/>
      <c r="H40" s="62"/>
      <c r="I40" s="183"/>
      <c r="K40" s="115"/>
      <c r="L40" s="115"/>
      <c r="M40" s="115"/>
      <c r="N40" s="115"/>
      <c r="O40" s="62"/>
      <c r="P40" s="62"/>
      <c r="Q40" s="62"/>
      <c r="R40" s="115"/>
      <c r="S40" s="117"/>
      <c r="T40" s="115"/>
      <c r="U40" s="115"/>
      <c r="V40" s="115"/>
      <c r="W40" s="115"/>
      <c r="X40" s="62"/>
      <c r="Y40" s="62"/>
      <c r="Z40" s="62"/>
      <c r="AA40" s="115"/>
      <c r="AB40" s="117"/>
      <c r="AC40" s="115"/>
      <c r="AD40" s="115"/>
      <c r="AE40" s="115"/>
      <c r="AF40" s="351"/>
      <c r="AG40" s="62"/>
      <c r="AH40" s="62"/>
      <c r="AI40" s="62"/>
      <c r="AJ40" s="340"/>
      <c r="AK40" s="117"/>
      <c r="AL40" s="115"/>
      <c r="AM40" s="115"/>
      <c r="AN40" s="115"/>
      <c r="AO40" s="383"/>
      <c r="AP40" s="62"/>
      <c r="AQ40" s="62"/>
      <c r="AR40" s="62"/>
      <c r="AS40" s="393"/>
      <c r="AU40" s="115">
        <f>Act!L39</f>
        <v>0</v>
      </c>
      <c r="AV40" s="164">
        <f t="shared" si="28"/>
        <v>0</v>
      </c>
      <c r="AW40" s="117"/>
      <c r="AX40" s="115"/>
      <c r="AY40" s="115"/>
      <c r="AZ40" s="115"/>
      <c r="BA40" s="115"/>
      <c r="BB40" s="62"/>
      <c r="BC40" s="62"/>
      <c r="BD40" s="62"/>
      <c r="BE40" s="115"/>
      <c r="BG40" s="115"/>
      <c r="BH40" s="115"/>
      <c r="BI40" s="115"/>
      <c r="BJ40" s="351"/>
      <c r="BK40" s="62"/>
      <c r="BL40" s="62"/>
      <c r="BM40" s="62"/>
      <c r="BN40" s="340"/>
      <c r="BP40" s="115"/>
      <c r="BQ40" s="115"/>
      <c r="BR40" s="115"/>
      <c r="BS40" s="351"/>
      <c r="BT40" s="62"/>
      <c r="BU40" s="62"/>
      <c r="BV40" s="62"/>
      <c r="BW40" s="340"/>
      <c r="BY40" s="340">
        <f t="shared" si="43"/>
        <v>0</v>
      </c>
      <c r="CA40" s="115">
        <f>'FC2+10'!AA39</f>
        <v>0</v>
      </c>
      <c r="CC40" s="340">
        <f t="shared" si="44"/>
        <v>0</v>
      </c>
      <c r="CE40" s="115"/>
      <c r="CF40" s="115"/>
      <c r="CG40" s="115"/>
      <c r="CH40" s="897"/>
      <c r="CI40" s="62"/>
      <c r="CJ40" s="62"/>
      <c r="CK40" s="62"/>
      <c r="CL40" s="897"/>
      <c r="CM40" s="897"/>
      <c r="CN40" s="897">
        <f t="shared" si="47"/>
        <v>0</v>
      </c>
    </row>
    <row r="41" spans="2:95" outlineLevel="2">
      <c r="B41" s="74"/>
      <c r="C41" s="71"/>
      <c r="D41" s="75" t="s">
        <v>36</v>
      </c>
      <c r="E41" s="21"/>
      <c r="F41" s="22"/>
      <c r="G41" s="23"/>
      <c r="H41" s="23"/>
      <c r="I41" s="161"/>
      <c r="K41" s="23"/>
      <c r="L41" s="23"/>
      <c r="M41" s="23"/>
      <c r="N41" s="109"/>
      <c r="O41" s="48"/>
      <c r="P41" s="48"/>
      <c r="Q41" s="48"/>
      <c r="R41" s="162"/>
      <c r="S41" s="117"/>
      <c r="T41" s="23"/>
      <c r="U41" s="23"/>
      <c r="V41" s="23"/>
      <c r="W41" s="163"/>
      <c r="X41" s="48"/>
      <c r="Y41" s="48"/>
      <c r="Z41" s="48"/>
      <c r="AA41" s="164"/>
      <c r="AB41" s="117"/>
      <c r="AC41" s="23"/>
      <c r="AD41" s="23"/>
      <c r="AE41" s="23"/>
      <c r="AF41" s="352"/>
      <c r="AG41" s="48"/>
      <c r="AH41" s="48"/>
      <c r="AI41" s="48"/>
      <c r="AJ41" s="341"/>
      <c r="AK41" s="117"/>
      <c r="AL41" s="23"/>
      <c r="AM41" s="23"/>
      <c r="AN41" s="23"/>
      <c r="AO41" s="384"/>
      <c r="AP41" s="48"/>
      <c r="AQ41" s="48"/>
      <c r="AR41" s="48"/>
      <c r="AS41" s="394"/>
      <c r="AU41" s="23">
        <f>Act!L40</f>
        <v>0</v>
      </c>
      <c r="AV41" s="164">
        <f t="shared" si="28"/>
        <v>0</v>
      </c>
      <c r="AW41" s="117"/>
      <c r="AX41" s="23"/>
      <c r="AY41" s="23"/>
      <c r="AZ41" s="23"/>
      <c r="BA41" s="163"/>
      <c r="BB41" s="48"/>
      <c r="BC41" s="48"/>
      <c r="BD41" s="48"/>
      <c r="BE41" s="164"/>
      <c r="BG41" s="23"/>
      <c r="BH41" s="23"/>
      <c r="BI41" s="23"/>
      <c r="BJ41" s="352"/>
      <c r="BK41" s="48"/>
      <c r="BL41" s="48"/>
      <c r="BM41" s="48"/>
      <c r="BN41" s="341"/>
      <c r="BP41" s="23"/>
      <c r="BQ41" s="23"/>
      <c r="BR41" s="23"/>
      <c r="BS41" s="352"/>
      <c r="BT41" s="48"/>
      <c r="BU41" s="48"/>
      <c r="BV41" s="48"/>
      <c r="BW41" s="341"/>
      <c r="BY41" s="341">
        <f t="shared" si="43"/>
        <v>0</v>
      </c>
      <c r="CA41" s="163">
        <f>'FC2+10'!AA40</f>
        <v>0</v>
      </c>
      <c r="CC41" s="341">
        <f t="shared" si="44"/>
        <v>0</v>
      </c>
      <c r="CE41" s="23"/>
      <c r="CF41" s="23"/>
      <c r="CG41" s="23"/>
      <c r="CH41" s="898"/>
      <c r="CI41" s="48"/>
      <c r="CJ41" s="48"/>
      <c r="CK41" s="48"/>
      <c r="CL41" s="898"/>
      <c r="CM41" s="898"/>
      <c r="CN41" s="898">
        <f t="shared" si="47"/>
        <v>0</v>
      </c>
    </row>
    <row r="42" spans="2:95" outlineLevel="2">
      <c r="B42" s="74"/>
      <c r="C42" s="71"/>
      <c r="D42" s="60" t="s">
        <v>37</v>
      </c>
      <c r="E42" s="21"/>
      <c r="F42" s="22">
        <f>IF(Act!S$3=1,Act!S41,"")</f>
        <v>-37.389420916999995</v>
      </c>
      <c r="G42" s="22" t="str">
        <f>IF(Act!T$3=1,Act!T41,"")</f>
        <v/>
      </c>
      <c r="H42" s="22" t="str">
        <f>IF(Act!U$3=1,Act!U41,"")</f>
        <v/>
      </c>
      <c r="I42" s="161">
        <f>SUM(F42:H42)</f>
        <v>-37.389420916999995</v>
      </c>
      <c r="K42" s="23">
        <f>IF(BP!S$3=1,BP!S41,"")</f>
        <v>-33.444605725999999</v>
      </c>
      <c r="L42" s="23" t="str">
        <f>IF(BP!T$3=1,BP!T41,"")</f>
        <v/>
      </c>
      <c r="M42" s="23" t="str">
        <f>IF(BP!U$3=1,BP!U41,"")</f>
        <v/>
      </c>
      <c r="N42" s="109">
        <f t="shared" si="72"/>
        <v>-33.444605725999999</v>
      </c>
      <c r="O42" s="48">
        <f t="shared" si="48"/>
        <v>-3.9448151909999964</v>
      </c>
      <c r="P42" s="48">
        <f t="shared" si="49"/>
        <v>0</v>
      </c>
      <c r="Q42" s="48">
        <f t="shared" si="50"/>
        <v>0</v>
      </c>
      <c r="R42" s="162">
        <f t="shared" si="51"/>
        <v>-3.9448151909999964</v>
      </c>
      <c r="S42" s="117"/>
      <c r="T42" s="23">
        <f>IF('FC2+10'!S$3=1,'FC2+10'!S41,"")</f>
        <v>-37.389420916999995</v>
      </c>
      <c r="U42" s="23" t="str">
        <f>IF('FC2+10'!T$3=1,'FC2+10'!T41,"")</f>
        <v/>
      </c>
      <c r="V42" s="23" t="str">
        <f>IF('FC2+10'!U$3=1,'FC2+10'!U41,"")</f>
        <v/>
      </c>
      <c r="W42" s="163">
        <f t="shared" si="77"/>
        <v>-37.389420916999995</v>
      </c>
      <c r="X42" s="48">
        <f t="shared" si="52"/>
        <v>0</v>
      </c>
      <c r="Y42" s="48">
        <f t="shared" si="53"/>
        <v>0</v>
      </c>
      <c r="Z42" s="48">
        <f t="shared" si="54"/>
        <v>0</v>
      </c>
      <c r="AA42" s="164">
        <f t="shared" si="55"/>
        <v>0</v>
      </c>
      <c r="AB42" s="117"/>
      <c r="AC42" s="23">
        <f>IF(OL!S$3=1,OL!S41,"")</f>
        <v>-34.384496372999998</v>
      </c>
      <c r="AD42" s="23">
        <f>IF(OL!T$3=1,OL!T41,"")</f>
        <v>-32.015299488000004</v>
      </c>
      <c r="AE42" s="23" t="str">
        <f>IF(OL!U$3=1,OL!U41,"")</f>
        <v/>
      </c>
      <c r="AF42" s="352">
        <f t="shared" si="78"/>
        <v>-66.399795861000001</v>
      </c>
      <c r="AG42" s="48">
        <f t="shared" si="56"/>
        <v>-3.0049245439999979</v>
      </c>
      <c r="AH42" s="48">
        <f t="shared" si="57"/>
        <v>0</v>
      </c>
      <c r="AI42" s="48">
        <f t="shared" si="58"/>
        <v>0</v>
      </c>
      <c r="AJ42" s="341">
        <f t="shared" si="59"/>
        <v>29.010374944000006</v>
      </c>
      <c r="AK42" s="117"/>
      <c r="AL42" s="23">
        <f>IF(LY!S$3=1,LY!S41,"")</f>
        <v>-36.348637458000006</v>
      </c>
      <c r="AM42" s="23" t="str">
        <f>IF(LY!T$3=1,LY!T41,"")</f>
        <v/>
      </c>
      <c r="AN42" s="23" t="str">
        <f>IF(LY!U$3=1,LY!U41,"")</f>
        <v/>
      </c>
      <c r="AO42" s="384">
        <f t="shared" si="79"/>
        <v>-36.348637458000006</v>
      </c>
      <c r="AP42" s="48">
        <f t="shared" si="60"/>
        <v>-1.0407834589999894</v>
      </c>
      <c r="AQ42" s="48">
        <f t="shared" si="61"/>
        <v>0</v>
      </c>
      <c r="AR42" s="48">
        <f t="shared" si="62"/>
        <v>0</v>
      </c>
      <c r="AS42" s="394">
        <f t="shared" si="62"/>
        <v>-1.0407834589999894</v>
      </c>
      <c r="AU42" s="23">
        <f>Act!L41</f>
        <v>-33.939043177999999</v>
      </c>
      <c r="AV42" s="164" t="e">
        <f t="shared" si="28"/>
        <v>#VALUE!</v>
      </c>
      <c r="AW42" s="117"/>
      <c r="AX42" s="23">
        <f>IF('FC5+7'!S$3=1,'FC5+7'!S41,"")</f>
        <v>-37.389420916999995</v>
      </c>
      <c r="AY42" s="23" t="str">
        <f>IF('FC5+7'!T$3=1,'FC5+7'!T41,"")</f>
        <v/>
      </c>
      <c r="AZ42" s="23" t="str">
        <f>IF('FC5+7'!U$3=1,'FC5+7'!U41,"")</f>
        <v/>
      </c>
      <c r="BA42" s="163">
        <f t="shared" si="80"/>
        <v>-37.389420916999995</v>
      </c>
      <c r="BB42" s="48">
        <f t="shared" si="63"/>
        <v>0</v>
      </c>
      <c r="BC42" s="48">
        <f t="shared" si="64"/>
        <v>0</v>
      </c>
      <c r="BD42" s="48">
        <f t="shared" si="65"/>
        <v>0</v>
      </c>
      <c r="BE42" s="164">
        <f t="shared" si="66"/>
        <v>0</v>
      </c>
      <c r="BG42" s="23">
        <f t="shared" si="31"/>
        <v>-37.389420916999995</v>
      </c>
      <c r="BH42" s="23">
        <v>-30.12</v>
      </c>
      <c r="BI42" s="23">
        <v>-35.61</v>
      </c>
      <c r="BJ42" s="352">
        <f t="shared" si="81"/>
        <v>-103.119420917</v>
      </c>
      <c r="BK42" s="48">
        <f t="shared" si="33"/>
        <v>-3.0049245439999979</v>
      </c>
      <c r="BL42" s="48">
        <f t="shared" si="34"/>
        <v>0</v>
      </c>
      <c r="BM42" s="48">
        <f t="shared" si="35"/>
        <v>0</v>
      </c>
      <c r="BN42" s="341">
        <f t="shared" si="36"/>
        <v>65.73</v>
      </c>
      <c r="BP42" s="23">
        <f t="shared" si="37"/>
        <v>-37.389420916999995</v>
      </c>
      <c r="BQ42" s="23" t="str">
        <f t="shared" si="37"/>
        <v/>
      </c>
      <c r="BR42" s="23" t="e">
        <f>#REF!</f>
        <v>#REF!</v>
      </c>
      <c r="BS42" s="352" t="e">
        <f t="shared" si="82"/>
        <v>#REF!</v>
      </c>
      <c r="BT42" s="48">
        <f t="shared" si="39"/>
        <v>-3.0049245439999979</v>
      </c>
      <c r="BU42" s="48" t="e">
        <f t="shared" si="40"/>
        <v>#VALUE!</v>
      </c>
      <c r="BV42" s="48" t="e">
        <f t="shared" si="41"/>
        <v>#REF!</v>
      </c>
      <c r="BW42" s="341" t="e">
        <f t="shared" si="42"/>
        <v>#REF!</v>
      </c>
      <c r="BY42" s="341" t="e">
        <f t="shared" si="43"/>
        <v>#VALUE!</v>
      </c>
      <c r="CA42" s="163">
        <f>'FC2+10'!AA41</f>
        <v>-92.724437824999995</v>
      </c>
      <c r="CC42" s="341">
        <f t="shared" si="44"/>
        <v>-55.335016908</v>
      </c>
      <c r="CE42" s="23">
        <f>IF('FC7+5'!S$3=1,'FC7+5'!S41,"")</f>
        <v>-37.389420916999995</v>
      </c>
      <c r="CF42" s="23" t="str">
        <f>IF('FC7+5'!T$3=1,'FC7+5'!T41,"")</f>
        <v/>
      </c>
      <c r="CG42" s="23" t="str">
        <f>IF('FC7+5'!U$3=1,'FC7+5'!U41,"")</f>
        <v/>
      </c>
      <c r="CH42" s="898">
        <f t="shared" ref="CH42" si="84">SUM(CE42:CG42)</f>
        <v>-37.389420916999995</v>
      </c>
      <c r="CI42" s="48">
        <f t="shared" ref="CI42" si="85">IFERROR(F42-CE42,0)</f>
        <v>0</v>
      </c>
      <c r="CJ42" s="48">
        <f t="shared" ref="CJ42" si="86">IFERROR(G42-CF42,0)</f>
        <v>0</v>
      </c>
      <c r="CK42" s="48">
        <f t="shared" ref="CK42" si="87">IFERROR(H42-CG42,0)</f>
        <v>0</v>
      </c>
      <c r="CL42" s="898">
        <f t="shared" ref="CL42" si="88">IFERROR(I42-CH42,0)</f>
        <v>0</v>
      </c>
      <c r="CM42" s="895">
        <f>IF('FC7+5'!AC$3=1,'FC7+5'!AC41,"")</f>
        <v>-94.791248245000006</v>
      </c>
      <c r="CN42" s="895">
        <f t="shared" si="47"/>
        <v>57.40182732800001</v>
      </c>
    </row>
    <row r="43" spans="2:95" outlineLevel="2">
      <c r="B43" s="74"/>
      <c r="C43" s="71"/>
      <c r="D43" s="76" t="s">
        <v>38</v>
      </c>
      <c r="E43" s="21"/>
      <c r="F43" s="22"/>
      <c r="G43" s="22"/>
      <c r="H43" s="22"/>
      <c r="I43" s="161"/>
      <c r="K43" s="23"/>
      <c r="L43" s="23"/>
      <c r="M43" s="23"/>
      <c r="N43" s="109"/>
      <c r="O43" s="48"/>
      <c r="P43" s="48"/>
      <c r="Q43" s="48"/>
      <c r="R43" s="162"/>
      <c r="S43" s="117"/>
      <c r="T43" s="23"/>
      <c r="U43" s="23"/>
      <c r="V43" s="23"/>
      <c r="W43" s="163"/>
      <c r="X43" s="48"/>
      <c r="Y43" s="48"/>
      <c r="Z43" s="48"/>
      <c r="AA43" s="164"/>
      <c r="AB43" s="117"/>
      <c r="AC43" s="23">
        <f>IF(OL!S$3=1,OL!S42,"")</f>
        <v>0</v>
      </c>
      <c r="AD43" s="23">
        <f>IF(OL!T$3=1,OL!T42,"")</f>
        <v>0</v>
      </c>
      <c r="AE43" s="23" t="str">
        <f>IF(OL!U$3=1,OL!U42,"")</f>
        <v/>
      </c>
      <c r="AF43" s="352"/>
      <c r="AG43" s="48"/>
      <c r="AH43" s="48"/>
      <c r="AI43" s="48"/>
      <c r="AJ43" s="341"/>
      <c r="AK43" s="117"/>
      <c r="AL43" s="23"/>
      <c r="AM43" s="23"/>
      <c r="AN43" s="23"/>
      <c r="AO43" s="384"/>
      <c r="AP43" s="48"/>
      <c r="AQ43" s="48"/>
      <c r="AR43" s="48"/>
      <c r="AS43" s="394"/>
      <c r="AU43" s="23">
        <f>Act!L42</f>
        <v>0</v>
      </c>
      <c r="AV43" s="164">
        <f t="shared" si="28"/>
        <v>0</v>
      </c>
      <c r="AW43" s="117"/>
      <c r="AX43" s="23"/>
      <c r="AY43" s="23"/>
      <c r="AZ43" s="23"/>
      <c r="BA43" s="163"/>
      <c r="BB43" s="48"/>
      <c r="BC43" s="48"/>
      <c r="BD43" s="48"/>
      <c r="BE43" s="164"/>
      <c r="BG43" s="23"/>
      <c r="BH43" s="23"/>
      <c r="BI43" s="23"/>
      <c r="BJ43" s="352"/>
      <c r="BK43" s="48"/>
      <c r="BL43" s="48"/>
      <c r="BM43" s="48"/>
      <c r="BN43" s="341"/>
      <c r="BP43" s="23"/>
      <c r="BQ43" s="23"/>
      <c r="BR43" s="23"/>
      <c r="BS43" s="352"/>
      <c r="BT43" s="48"/>
      <c r="BU43" s="48"/>
      <c r="BV43" s="48"/>
      <c r="BW43" s="341"/>
      <c r="BY43" s="341">
        <f t="shared" si="43"/>
        <v>0</v>
      </c>
      <c r="CA43" s="163">
        <f>'FC2+10'!AA42</f>
        <v>0</v>
      </c>
      <c r="CC43" s="341">
        <f t="shared" si="44"/>
        <v>0</v>
      </c>
      <c r="CE43" s="23"/>
      <c r="CF43" s="23"/>
      <c r="CG43" s="23"/>
      <c r="CH43" s="898"/>
      <c r="CI43" s="48"/>
      <c r="CJ43" s="48"/>
      <c r="CK43" s="48"/>
      <c r="CL43" s="898"/>
      <c r="CM43" s="898"/>
      <c r="CN43" s="898">
        <f t="shared" si="47"/>
        <v>0</v>
      </c>
    </row>
    <row r="44" spans="2:95" s="503" customFormat="1" outlineLevel="2">
      <c r="B44" s="762"/>
      <c r="C44" s="763"/>
      <c r="D44" s="764" t="s">
        <v>39</v>
      </c>
      <c r="E44" s="765"/>
      <c r="F44" s="766">
        <f>IF(Act!S$3=1,Act!S43,"")</f>
        <v>2.2106839143449135</v>
      </c>
      <c r="G44" s="766" t="str">
        <f>IF(Act!T$3=1,Act!T43,"")</f>
        <v/>
      </c>
      <c r="H44" s="766" t="str">
        <f>IF(Act!U$3=1,Act!U43,"")</f>
        <v/>
      </c>
      <c r="I44" s="767">
        <f t="shared" si="71"/>
        <v>2.2106839143449135</v>
      </c>
      <c r="K44" s="768">
        <f>IF(BP!S$3=1,BP!S43,"")</f>
        <v>2.967261417728039</v>
      </c>
      <c r="L44" s="768" t="str">
        <f>IF(BP!T$3=1,BP!T43,"")</f>
        <v/>
      </c>
      <c r="M44" s="768" t="str">
        <f>IF(BP!U$3=1,BP!U43,"")</f>
        <v/>
      </c>
      <c r="N44" s="769">
        <f t="shared" si="72"/>
        <v>2.967261417728039</v>
      </c>
      <c r="O44" s="770">
        <f t="shared" si="48"/>
        <v>-0.75657750338312546</v>
      </c>
      <c r="P44" s="770">
        <f t="shared" si="49"/>
        <v>0</v>
      </c>
      <c r="Q44" s="770">
        <f t="shared" si="50"/>
        <v>0</v>
      </c>
      <c r="R44" s="771">
        <f t="shared" si="51"/>
        <v>-0.75657750338312546</v>
      </c>
      <c r="T44" s="768">
        <f>IF('FC2+10'!S$3=1,'FC2+10'!S43,"")</f>
        <v>2.2106839143448709</v>
      </c>
      <c r="U44" s="768" t="str">
        <f>IF('FC2+10'!T$3=1,'FC2+10'!T43,"")</f>
        <v/>
      </c>
      <c r="V44" s="768" t="str">
        <f>IF('FC2+10'!U$3=1,'FC2+10'!U43,"")</f>
        <v/>
      </c>
      <c r="W44" s="772">
        <f t="shared" si="77"/>
        <v>2.2106839143448709</v>
      </c>
      <c r="X44" s="770">
        <f t="shared" si="52"/>
        <v>4.2632564145606011E-14</v>
      </c>
      <c r="Y44" s="770">
        <f t="shared" si="53"/>
        <v>0</v>
      </c>
      <c r="Z44" s="770">
        <f t="shared" si="54"/>
        <v>0</v>
      </c>
      <c r="AA44" s="773">
        <f t="shared" si="55"/>
        <v>4.2632564145606011E-14</v>
      </c>
      <c r="AC44" s="768">
        <f>IF(OL!S$3=1,OL!S43,"")</f>
        <v>1.1941014209842464</v>
      </c>
      <c r="AD44" s="768">
        <f>IF(OL!T$3=1,OL!T43,"")</f>
        <v>1.5284342684476986</v>
      </c>
      <c r="AE44" s="768" t="str">
        <f>IF(OL!U$3=1,OL!U43,"")</f>
        <v/>
      </c>
      <c r="AF44" s="774">
        <f t="shared" si="78"/>
        <v>2.722535689431945</v>
      </c>
      <c r="AG44" s="770">
        <f t="shared" si="56"/>
        <v>1.0165824933606671</v>
      </c>
      <c r="AH44" s="770">
        <f t="shared" si="57"/>
        <v>0</v>
      </c>
      <c r="AI44" s="770">
        <f t="shared" si="58"/>
        <v>0</v>
      </c>
      <c r="AJ44" s="775">
        <f t="shared" si="59"/>
        <v>-0.5118517750870315</v>
      </c>
      <c r="AL44" s="768">
        <f>IF(LY!S$3=1,LY!S43,"")</f>
        <v>2.2319049163122133</v>
      </c>
      <c r="AM44" s="768" t="str">
        <f>IF(LY!T$3=1,LY!T43,"")</f>
        <v/>
      </c>
      <c r="AN44" s="768" t="str">
        <f>IF(LY!U$3=1,LY!U43,"")</f>
        <v/>
      </c>
      <c r="AO44" s="776">
        <f t="shared" si="79"/>
        <v>2.2319049163122133</v>
      </c>
      <c r="AP44" s="770">
        <f t="shared" si="60"/>
        <v>-2.1221001967299813E-2</v>
      </c>
      <c r="AQ44" s="770">
        <f t="shared" si="61"/>
        <v>0</v>
      </c>
      <c r="AR44" s="770">
        <f t="shared" si="62"/>
        <v>0</v>
      </c>
      <c r="AS44" s="777">
        <f t="shared" si="62"/>
        <v>-2.1221001967299813E-2</v>
      </c>
      <c r="AU44" s="768">
        <f>Act!L43</f>
        <v>1.052079276941204</v>
      </c>
      <c r="AV44" s="773" t="e">
        <f t="shared" si="28"/>
        <v>#VALUE!</v>
      </c>
      <c r="AX44" s="768">
        <f>IF('FC5+7'!S$3=1,'FC5+7'!S43,"")</f>
        <v>2.2106839143448709</v>
      </c>
      <c r="AY44" s="768" t="str">
        <f>IF('FC5+7'!T$3=1,'FC5+7'!T43,"")</f>
        <v/>
      </c>
      <c r="AZ44" s="768" t="str">
        <f>IF('FC5+7'!U$3=1,'FC5+7'!U43,"")</f>
        <v/>
      </c>
      <c r="BA44" s="772">
        <f t="shared" si="80"/>
        <v>2.2106839143448709</v>
      </c>
      <c r="BB44" s="770">
        <f t="shared" si="63"/>
        <v>4.2632564145606011E-14</v>
      </c>
      <c r="BC44" s="770">
        <f t="shared" si="64"/>
        <v>0</v>
      </c>
      <c r="BD44" s="770">
        <f t="shared" si="65"/>
        <v>0</v>
      </c>
      <c r="BE44" s="773">
        <f t="shared" si="66"/>
        <v>4.2632564145606011E-14</v>
      </c>
      <c r="BG44" s="768">
        <f t="shared" si="31"/>
        <v>2.2106839143449135</v>
      </c>
      <c r="BH44" s="768">
        <v>2.4500000000000002</v>
      </c>
      <c r="BI44" s="768">
        <v>2.4500000000000002</v>
      </c>
      <c r="BJ44" s="774">
        <f t="shared" si="81"/>
        <v>7.1106839143449134</v>
      </c>
      <c r="BK44" s="770">
        <f t="shared" si="33"/>
        <v>1.0165824933606671</v>
      </c>
      <c r="BL44" s="770">
        <f t="shared" si="34"/>
        <v>0</v>
      </c>
      <c r="BM44" s="770">
        <f t="shared" si="35"/>
        <v>0</v>
      </c>
      <c r="BN44" s="775">
        <f t="shared" si="36"/>
        <v>-4.9000000000000004</v>
      </c>
      <c r="BP44" s="768">
        <f t="shared" si="37"/>
        <v>2.2106839143449135</v>
      </c>
      <c r="BQ44" s="768" t="str">
        <f t="shared" si="37"/>
        <v/>
      </c>
      <c r="BR44" s="768" t="e">
        <f>#REF!</f>
        <v>#REF!</v>
      </c>
      <c r="BS44" s="774" t="e">
        <f t="shared" si="82"/>
        <v>#REF!</v>
      </c>
      <c r="BT44" s="770">
        <f t="shared" si="39"/>
        <v>1.0165824933606671</v>
      </c>
      <c r="BU44" s="770" t="e">
        <f t="shared" si="40"/>
        <v>#VALUE!</v>
      </c>
      <c r="BV44" s="770" t="e">
        <f t="shared" si="41"/>
        <v>#REF!</v>
      </c>
      <c r="BW44" s="775" t="e">
        <f t="shared" si="42"/>
        <v>#REF!</v>
      </c>
      <c r="BY44" s="775" t="e">
        <f t="shared" si="43"/>
        <v>#VALUE!</v>
      </c>
      <c r="CA44" s="772">
        <f>'FC2+10'!AA43</f>
        <v>4.9453322180245181</v>
      </c>
      <c r="CC44" s="775">
        <f t="shared" si="44"/>
        <v>2.7346483036796045</v>
      </c>
      <c r="CE44" s="768">
        <f>IF('FC7+5'!S$3=1,'FC7+5'!S43,"")</f>
        <v>2.2106839143449135</v>
      </c>
      <c r="CF44" s="768" t="str">
        <f>IF('FC7+5'!T$3=1,'FC7+5'!T43,"")</f>
        <v/>
      </c>
      <c r="CG44" s="768" t="str">
        <f>IF('FC7+5'!U$3=1,'FC7+5'!U43,"")</f>
        <v/>
      </c>
      <c r="CH44" s="905">
        <f t="shared" ref="CH44:CH47" si="89">SUM(CE44:CG44)</f>
        <v>2.2106839143449135</v>
      </c>
      <c r="CI44" s="770">
        <f t="shared" ref="CI44:CI48" si="90">IFERROR(F44-CE44,0)</f>
        <v>0</v>
      </c>
      <c r="CJ44" s="770">
        <f t="shared" ref="CJ44:CJ48" si="91">IFERROR(G44-CF44,0)</f>
        <v>0</v>
      </c>
      <c r="CK44" s="770">
        <f t="shared" ref="CK44:CK48" si="92">IFERROR(H44-CG44,0)</f>
        <v>0</v>
      </c>
      <c r="CL44" s="905">
        <f t="shared" ref="CL44:CL48" si="93">IFERROR(I44-CH44,0)</f>
        <v>0</v>
      </c>
      <c r="CM44" s="905">
        <f>IF('FC7+5'!AC$3=1,'FC7+5'!AC43,"")</f>
        <v>4.5390001255980916</v>
      </c>
      <c r="CN44" s="905">
        <f t="shared" si="47"/>
        <v>-2.3283162112531781</v>
      </c>
      <c r="CQ44" s="2"/>
    </row>
    <row r="45" spans="2:95" outlineLevel="2">
      <c r="B45" s="77"/>
      <c r="C45" s="17" t="s">
        <v>129</v>
      </c>
      <c r="D45" s="17"/>
      <c r="E45" s="17"/>
      <c r="F45" s="38">
        <f>SUM(F40:F44)</f>
        <v>-35.178737002655083</v>
      </c>
      <c r="G45" s="38">
        <f>SUM(G40:G44)</f>
        <v>0</v>
      </c>
      <c r="H45" s="38">
        <f>SUM(H40:H44)</f>
        <v>0</v>
      </c>
      <c r="I45" s="167">
        <f t="shared" si="71"/>
        <v>-35.178737002655083</v>
      </c>
      <c r="K45" s="39">
        <f>SUM(K40:K44)</f>
        <v>-30.47734430827196</v>
      </c>
      <c r="L45" s="39">
        <f>SUM(L40:L44)</f>
        <v>0</v>
      </c>
      <c r="M45" s="39">
        <f>SUM(M40:M44)</f>
        <v>0</v>
      </c>
      <c r="N45" s="110">
        <f t="shared" si="72"/>
        <v>-30.47734430827196</v>
      </c>
      <c r="O45" s="39">
        <f t="shared" si="48"/>
        <v>-4.7013926943831237</v>
      </c>
      <c r="P45" s="39">
        <f t="shared" si="49"/>
        <v>0</v>
      </c>
      <c r="Q45" s="39">
        <f t="shared" si="50"/>
        <v>0</v>
      </c>
      <c r="R45" s="168">
        <f t="shared" si="51"/>
        <v>-4.7013926943831237</v>
      </c>
      <c r="S45" s="117"/>
      <c r="T45" s="39">
        <f>SUM(T40:T44)</f>
        <v>-35.178737002655126</v>
      </c>
      <c r="U45" s="39">
        <f>SUM(U40:U44)</f>
        <v>0</v>
      </c>
      <c r="V45" s="39">
        <f>SUM(V40:V44)</f>
        <v>0</v>
      </c>
      <c r="W45" s="169">
        <f t="shared" si="77"/>
        <v>-35.178737002655126</v>
      </c>
      <c r="X45" s="39">
        <f t="shared" si="52"/>
        <v>4.2632564145606011E-14</v>
      </c>
      <c r="Y45" s="39">
        <f t="shared" si="53"/>
        <v>0</v>
      </c>
      <c r="Z45" s="39">
        <f t="shared" si="54"/>
        <v>0</v>
      </c>
      <c r="AA45" s="170">
        <f t="shared" si="55"/>
        <v>0</v>
      </c>
      <c r="AB45" s="117"/>
      <c r="AC45" s="39">
        <f>SUM(AC40:AC44)</f>
        <v>-33.190394952015751</v>
      </c>
      <c r="AD45" s="39">
        <f>SUM(AD40:AD44)</f>
        <v>-30.486865219552307</v>
      </c>
      <c r="AE45" s="39">
        <f>SUM(AE40:AE44)</f>
        <v>0</v>
      </c>
      <c r="AF45" s="353">
        <f t="shared" si="78"/>
        <v>-63.677260171568058</v>
      </c>
      <c r="AG45" s="39">
        <f t="shared" si="56"/>
        <v>-1.9883420506393321</v>
      </c>
      <c r="AH45" s="39">
        <f t="shared" si="57"/>
        <v>30.486865219552307</v>
      </c>
      <c r="AI45" s="39">
        <f t="shared" si="58"/>
        <v>0</v>
      </c>
      <c r="AJ45" s="342">
        <f t="shared" si="59"/>
        <v>28.498523168912975</v>
      </c>
      <c r="AK45" s="117"/>
      <c r="AL45" s="39">
        <f>SUM(AL40:AL44)</f>
        <v>-34.116732541687796</v>
      </c>
      <c r="AM45" s="39">
        <f>SUM(AM40:AM44)</f>
        <v>0</v>
      </c>
      <c r="AN45" s="39">
        <f>SUM(AN40:AN44)</f>
        <v>0</v>
      </c>
      <c r="AO45" s="385">
        <f t="shared" si="79"/>
        <v>-34.116732541687796</v>
      </c>
      <c r="AP45" s="39">
        <f t="shared" si="60"/>
        <v>-1.0620044609672874</v>
      </c>
      <c r="AQ45" s="39">
        <f t="shared" si="61"/>
        <v>0</v>
      </c>
      <c r="AR45" s="39">
        <f t="shared" si="62"/>
        <v>0</v>
      </c>
      <c r="AS45" s="395">
        <f t="shared" si="62"/>
        <v>-1.0620044609672874</v>
      </c>
      <c r="AT45" s="117"/>
      <c r="AU45" s="39">
        <f>Act!L44</f>
        <v>-32.886963901058792</v>
      </c>
      <c r="AV45" s="170">
        <f t="shared" si="28"/>
        <v>32.886963901058792</v>
      </c>
      <c r="AW45" s="117"/>
      <c r="AX45" s="39">
        <f>SUM(AX40:AX44)</f>
        <v>-35.178737002655126</v>
      </c>
      <c r="AY45" s="39">
        <f>SUM(AY40:AY44)</f>
        <v>0</v>
      </c>
      <c r="AZ45" s="39">
        <f>SUM(AZ40:AZ44)</f>
        <v>0</v>
      </c>
      <c r="BA45" s="169">
        <f t="shared" si="80"/>
        <v>-35.178737002655126</v>
      </c>
      <c r="BB45" s="39">
        <f t="shared" si="63"/>
        <v>4.2632564145606011E-14</v>
      </c>
      <c r="BC45" s="39">
        <f t="shared" si="64"/>
        <v>0</v>
      </c>
      <c r="BD45" s="39">
        <f t="shared" si="65"/>
        <v>0</v>
      </c>
      <c r="BE45" s="170">
        <f t="shared" si="66"/>
        <v>4.2632564145606011E-14</v>
      </c>
      <c r="BG45" s="39">
        <f t="shared" si="31"/>
        <v>-35.178737002655083</v>
      </c>
      <c r="BH45" s="39">
        <v>-27.67</v>
      </c>
      <c r="BI45" s="39">
        <v>-33.159999999999997</v>
      </c>
      <c r="BJ45" s="353">
        <f t="shared" si="81"/>
        <v>-96.008737002655081</v>
      </c>
      <c r="BK45" s="39">
        <f t="shared" si="33"/>
        <v>-1.9883420506393321</v>
      </c>
      <c r="BL45" s="39">
        <f t="shared" si="34"/>
        <v>30.486865219552307</v>
      </c>
      <c r="BM45" s="39">
        <f t="shared" si="35"/>
        <v>-34.116732541687796</v>
      </c>
      <c r="BN45" s="342">
        <f t="shared" si="36"/>
        <v>60.83</v>
      </c>
      <c r="BP45" s="39">
        <f t="shared" si="37"/>
        <v>-35.178737002655083</v>
      </c>
      <c r="BQ45" s="39">
        <f t="shared" si="37"/>
        <v>0</v>
      </c>
      <c r="BR45" s="39" t="e">
        <f>#REF!</f>
        <v>#REF!</v>
      </c>
      <c r="BS45" s="353" t="e">
        <f t="shared" si="82"/>
        <v>#REF!</v>
      </c>
      <c r="BT45" s="39">
        <f t="shared" si="39"/>
        <v>-1.9883420506393321</v>
      </c>
      <c r="BU45" s="39">
        <f t="shared" si="40"/>
        <v>30.486865219552307</v>
      </c>
      <c r="BV45" s="39" t="e">
        <f t="shared" si="41"/>
        <v>#REF!</v>
      </c>
      <c r="BW45" s="342" t="e">
        <f t="shared" si="42"/>
        <v>#REF!</v>
      </c>
      <c r="BY45" s="342" t="e">
        <f t="shared" si="43"/>
        <v>#REF!</v>
      </c>
      <c r="CA45" s="169">
        <f>'FC2+10'!AA44</f>
        <v>-87.779105606975477</v>
      </c>
      <c r="CC45" s="342">
        <f t="shared" si="44"/>
        <v>-52.600368604320394</v>
      </c>
      <c r="CE45" s="39">
        <f>SUM(CE40:CE44)</f>
        <v>-35.178737002655083</v>
      </c>
      <c r="CF45" s="39">
        <f>SUM(CF40:CF44)</f>
        <v>0</v>
      </c>
      <c r="CG45" s="39">
        <f>SUM(CG40:CG44)</f>
        <v>0</v>
      </c>
      <c r="CH45" s="899">
        <f t="shared" si="89"/>
        <v>-35.178737002655083</v>
      </c>
      <c r="CI45" s="39">
        <f t="shared" si="90"/>
        <v>0</v>
      </c>
      <c r="CJ45" s="39">
        <f t="shared" si="91"/>
        <v>0</v>
      </c>
      <c r="CK45" s="39">
        <f t="shared" si="92"/>
        <v>0</v>
      </c>
      <c r="CL45" s="899">
        <f t="shared" si="93"/>
        <v>0</v>
      </c>
      <c r="CM45" s="895">
        <f>SUM(CM40:CM44)</f>
        <v>-90.252248119401912</v>
      </c>
      <c r="CN45" s="895">
        <f t="shared" si="47"/>
        <v>55.073511116746829</v>
      </c>
    </row>
    <row r="46" spans="2:95" outlineLevel="2">
      <c r="B46" s="78" t="s">
        <v>130</v>
      </c>
      <c r="C46" s="73"/>
      <c r="D46" s="73"/>
      <c r="E46" s="73"/>
      <c r="F46" s="51">
        <f>SUM(F45,F39,F35)</f>
        <v>-128.47130442265509</v>
      </c>
      <c r="G46" s="51">
        <f>SUM(G45,G39,G35)</f>
        <v>0</v>
      </c>
      <c r="H46" s="51">
        <f>SUM(H45,H39,H35)</f>
        <v>0</v>
      </c>
      <c r="I46" s="167">
        <f t="shared" si="71"/>
        <v>-128.47130442265509</v>
      </c>
      <c r="K46" s="52">
        <f>SUM(K45,K39,K35)</f>
        <v>-145.46811288321501</v>
      </c>
      <c r="L46" s="52">
        <f>SUM(L45,L39,L35)</f>
        <v>0</v>
      </c>
      <c r="M46" s="52">
        <f>SUM(M45,M39,M35)</f>
        <v>0</v>
      </c>
      <c r="N46" s="112">
        <f t="shared" si="72"/>
        <v>-145.46811288321501</v>
      </c>
      <c r="O46" s="52">
        <f t="shared" si="48"/>
        <v>16.996808460559919</v>
      </c>
      <c r="P46" s="52">
        <f t="shared" si="49"/>
        <v>0</v>
      </c>
      <c r="Q46" s="52">
        <f t="shared" si="50"/>
        <v>0</v>
      </c>
      <c r="R46" s="168">
        <f t="shared" si="51"/>
        <v>16.996808460559919</v>
      </c>
      <c r="S46" s="176"/>
      <c r="T46" s="52">
        <f>SUM(T45,T39,T35)</f>
        <v>-128.47130442265512</v>
      </c>
      <c r="U46" s="52">
        <f>SUM(U45,U39,U35)</f>
        <v>0</v>
      </c>
      <c r="V46" s="52">
        <f>SUM(V45,V39,V35)</f>
        <v>0</v>
      </c>
      <c r="W46" s="177">
        <f t="shared" si="77"/>
        <v>-128.47130442265512</v>
      </c>
      <c r="X46" s="52">
        <f t="shared" si="52"/>
        <v>2.8421709430404007E-14</v>
      </c>
      <c r="Y46" s="52">
        <f t="shared" si="53"/>
        <v>0</v>
      </c>
      <c r="Z46" s="52">
        <f t="shared" si="54"/>
        <v>0</v>
      </c>
      <c r="AA46" s="170">
        <f t="shared" si="55"/>
        <v>0</v>
      </c>
      <c r="AB46" s="176"/>
      <c r="AC46" s="52">
        <f>SUM(AC45,AC39,AC35)</f>
        <v>-114.02454035801577</v>
      </c>
      <c r="AD46" s="52">
        <f>SUM(AD45,AD39,AD35)</f>
        <v>-117.86248344647906</v>
      </c>
      <c r="AE46" s="52">
        <f>SUM(AE45,AE39,AE35)</f>
        <v>0</v>
      </c>
      <c r="AF46" s="355">
        <f t="shared" si="78"/>
        <v>-231.88702380449485</v>
      </c>
      <c r="AG46" s="52">
        <f t="shared" si="56"/>
        <v>-14.446764064639325</v>
      </c>
      <c r="AH46" s="52">
        <f t="shared" si="57"/>
        <v>117.86248344647906</v>
      </c>
      <c r="AI46" s="52">
        <f t="shared" si="58"/>
        <v>0</v>
      </c>
      <c r="AJ46" s="344">
        <f t="shared" si="59"/>
        <v>103.41571938183975</v>
      </c>
      <c r="AK46" s="176"/>
      <c r="AL46" s="52">
        <f>SUM(AL45,AL39,AL35)</f>
        <v>-120.99759203768781</v>
      </c>
      <c r="AM46" s="52">
        <f>SUM(AM45,AM39,AM35)</f>
        <v>0</v>
      </c>
      <c r="AN46" s="52">
        <f>SUM(AN45,AN39,AN35)</f>
        <v>0</v>
      </c>
      <c r="AO46" s="387">
        <f t="shared" si="79"/>
        <v>-120.99759203768781</v>
      </c>
      <c r="AP46" s="52">
        <f t="shared" si="60"/>
        <v>-7.4737123849672855</v>
      </c>
      <c r="AQ46" s="52">
        <f t="shared" si="61"/>
        <v>0</v>
      </c>
      <c r="AR46" s="52">
        <f t="shared" si="62"/>
        <v>0</v>
      </c>
      <c r="AS46" s="397">
        <f t="shared" si="62"/>
        <v>-7.4737123849672855</v>
      </c>
      <c r="AU46" s="52">
        <f>Act!L45</f>
        <v>-105.88469643705881</v>
      </c>
      <c r="AV46" s="178">
        <f t="shared" si="28"/>
        <v>105.88469643705881</v>
      </c>
      <c r="AW46" s="176"/>
      <c r="AX46" s="52">
        <f>SUM(AX45,AX39,AX35)</f>
        <v>-128.47130442265512</v>
      </c>
      <c r="AY46" s="52">
        <f>SUM(AY45,AY39,AY35)</f>
        <v>0</v>
      </c>
      <c r="AZ46" s="52">
        <f>SUM(AZ45,AZ39,AZ35)</f>
        <v>0</v>
      </c>
      <c r="BA46" s="177">
        <f t="shared" si="80"/>
        <v>-128.47130442265512</v>
      </c>
      <c r="BB46" s="52">
        <f t="shared" si="63"/>
        <v>2.8421709430404007E-14</v>
      </c>
      <c r="BC46" s="52">
        <f t="shared" si="64"/>
        <v>0</v>
      </c>
      <c r="BD46" s="52">
        <f t="shared" si="65"/>
        <v>0</v>
      </c>
      <c r="BE46" s="170">
        <f t="shared" si="66"/>
        <v>2.8421709430404007E-14</v>
      </c>
      <c r="BG46" s="52">
        <f t="shared" si="31"/>
        <v>-128.47130442265509</v>
      </c>
      <c r="BH46" s="52">
        <v>-108.3894311586722</v>
      </c>
      <c r="BI46" s="52">
        <v>-130.01968586857004</v>
      </c>
      <c r="BJ46" s="355">
        <f t="shared" si="81"/>
        <v>-366.88042144989731</v>
      </c>
      <c r="BK46" s="52">
        <f t="shared" si="33"/>
        <v>-14.446764064639325</v>
      </c>
      <c r="BL46" s="52">
        <f t="shared" si="34"/>
        <v>117.86248344647906</v>
      </c>
      <c r="BM46" s="52">
        <f t="shared" si="35"/>
        <v>-120.99759203768781</v>
      </c>
      <c r="BN46" s="344">
        <f t="shared" si="36"/>
        <v>238.40911702724222</v>
      </c>
      <c r="BP46" s="52">
        <f t="shared" si="37"/>
        <v>-128.47130442265509</v>
      </c>
      <c r="BQ46" s="52">
        <f t="shared" si="37"/>
        <v>0</v>
      </c>
      <c r="BR46" s="52" t="e">
        <f>#REF!</f>
        <v>#REF!</v>
      </c>
      <c r="BS46" s="355" t="e">
        <f t="shared" si="82"/>
        <v>#REF!</v>
      </c>
      <c r="BT46" s="52">
        <f t="shared" si="39"/>
        <v>-14.446764064639325</v>
      </c>
      <c r="BU46" s="52">
        <f t="shared" si="40"/>
        <v>117.86248344647906</v>
      </c>
      <c r="BV46" s="52" t="e">
        <f t="shared" si="41"/>
        <v>#REF!</v>
      </c>
      <c r="BW46" s="344" t="e">
        <f t="shared" si="42"/>
        <v>#REF!</v>
      </c>
      <c r="BY46" s="344" t="e">
        <f t="shared" si="43"/>
        <v>#REF!</v>
      </c>
      <c r="CA46" s="177">
        <f>'FC2+10'!AA45</f>
        <v>-333.28427887802638</v>
      </c>
      <c r="CC46" s="344">
        <f t="shared" si="44"/>
        <v>-204.81297445537129</v>
      </c>
      <c r="CE46" s="52">
        <f>SUM(CE45,CE39,CE35)</f>
        <v>-128.47130442265509</v>
      </c>
      <c r="CF46" s="52">
        <f>SUM(CF45,CF39,CF35)</f>
        <v>0</v>
      </c>
      <c r="CG46" s="52">
        <f>SUM(CG45,CG39,CG35)</f>
        <v>0</v>
      </c>
      <c r="CH46" s="901">
        <f t="shared" si="89"/>
        <v>-128.47130442265509</v>
      </c>
      <c r="CI46" s="52">
        <f t="shared" si="90"/>
        <v>0</v>
      </c>
      <c r="CJ46" s="52">
        <f t="shared" si="91"/>
        <v>0</v>
      </c>
      <c r="CK46" s="52">
        <f t="shared" si="92"/>
        <v>0</v>
      </c>
      <c r="CL46" s="899">
        <f t="shared" si="93"/>
        <v>0</v>
      </c>
      <c r="CM46" s="895">
        <f>SUM(CM45,CM39,CM35)</f>
        <v>-330.89687133901754</v>
      </c>
      <c r="CN46" s="895">
        <f t="shared" si="47"/>
        <v>202.42556691636244</v>
      </c>
    </row>
    <row r="47" spans="2:95" outlineLevel="2">
      <c r="B47" s="50" t="s">
        <v>131</v>
      </c>
      <c r="C47" s="50"/>
      <c r="D47" s="37"/>
      <c r="E47" s="37"/>
      <c r="F47" s="51">
        <f>F27+F46</f>
        <v>-42.387684835008343</v>
      </c>
      <c r="G47" s="51">
        <f>G27+G46</f>
        <v>0</v>
      </c>
      <c r="H47" s="51">
        <f>H27+H46</f>
        <v>0</v>
      </c>
      <c r="I47" s="167">
        <f t="shared" si="71"/>
        <v>-42.387684835008343</v>
      </c>
      <c r="K47" s="52">
        <f>K27+K46</f>
        <v>-57.95148550801386</v>
      </c>
      <c r="L47" s="52">
        <f>L27+L46</f>
        <v>0</v>
      </c>
      <c r="M47" s="52">
        <f>M27+M46</f>
        <v>0</v>
      </c>
      <c r="N47" s="112">
        <f t="shared" si="72"/>
        <v>-57.95148550801386</v>
      </c>
      <c r="O47" s="52">
        <f t="shared" si="48"/>
        <v>15.563800673005517</v>
      </c>
      <c r="P47" s="52">
        <f t="shared" si="49"/>
        <v>0</v>
      </c>
      <c r="Q47" s="52">
        <f t="shared" si="50"/>
        <v>0</v>
      </c>
      <c r="R47" s="168">
        <f t="shared" si="51"/>
        <v>15.563800673005517</v>
      </c>
      <c r="S47" s="176"/>
      <c r="T47" s="52" t="e">
        <f>T27+T46</f>
        <v>#VALUE!</v>
      </c>
      <c r="U47" s="52">
        <f>U27+U46</f>
        <v>0</v>
      </c>
      <c r="V47" s="52">
        <f>V27+V46</f>
        <v>0</v>
      </c>
      <c r="W47" s="177" t="e">
        <f t="shared" si="77"/>
        <v>#VALUE!</v>
      </c>
      <c r="X47" s="52">
        <f t="shared" si="52"/>
        <v>0</v>
      </c>
      <c r="Y47" s="52">
        <f t="shared" si="53"/>
        <v>0</v>
      </c>
      <c r="Z47" s="52">
        <f t="shared" si="54"/>
        <v>0</v>
      </c>
      <c r="AA47" s="178" t="e">
        <f t="shared" si="55"/>
        <v>#VALUE!</v>
      </c>
      <c r="AB47" s="176"/>
      <c r="AC47" s="52">
        <f>AC27+AC46</f>
        <v>30.258471345228827</v>
      </c>
      <c r="AD47" s="52">
        <f>AD27+AD46</f>
        <v>23.286651968830668</v>
      </c>
      <c r="AE47" s="52">
        <f>AE27+AE46</f>
        <v>0</v>
      </c>
      <c r="AF47" s="355">
        <f t="shared" si="78"/>
        <v>53.545123314059495</v>
      </c>
      <c r="AG47" s="52">
        <f t="shared" si="56"/>
        <v>-72.64615618023717</v>
      </c>
      <c r="AH47" s="52">
        <f t="shared" si="57"/>
        <v>-23.286651968830668</v>
      </c>
      <c r="AI47" s="52">
        <f t="shared" si="58"/>
        <v>0</v>
      </c>
      <c r="AJ47" s="344">
        <f t="shared" si="59"/>
        <v>-95.932808149067839</v>
      </c>
      <c r="AK47" s="176"/>
      <c r="AL47" s="52">
        <f>AL27+AL46</f>
        <v>35.570225425980823</v>
      </c>
      <c r="AM47" s="52">
        <f>AM27+AM46</f>
        <v>0</v>
      </c>
      <c r="AN47" s="52">
        <f>AN27+AN46</f>
        <v>0</v>
      </c>
      <c r="AO47" s="387">
        <f t="shared" si="79"/>
        <v>35.570225425980823</v>
      </c>
      <c r="AP47" s="52">
        <f t="shared" si="60"/>
        <v>-77.957910260989166</v>
      </c>
      <c r="AQ47" s="52">
        <f t="shared" si="61"/>
        <v>0</v>
      </c>
      <c r="AR47" s="52">
        <f t="shared" si="62"/>
        <v>0</v>
      </c>
      <c r="AS47" s="397">
        <f t="shared" si="62"/>
        <v>-77.957910260989166</v>
      </c>
      <c r="AU47" s="52">
        <f>Act!L46</f>
        <v>30.690191763655406</v>
      </c>
      <c r="AV47" s="178">
        <f t="shared" si="28"/>
        <v>-30.690191763655406</v>
      </c>
      <c r="AW47" s="176"/>
      <c r="AX47" s="52">
        <f>AX27+AX46</f>
        <v>-42.387684835008372</v>
      </c>
      <c r="AY47" s="52">
        <f>AY27+AY46</f>
        <v>0</v>
      </c>
      <c r="AZ47" s="52">
        <f>AZ27+AZ46</f>
        <v>0</v>
      </c>
      <c r="BA47" s="177">
        <f t="shared" si="80"/>
        <v>-42.387684835008372</v>
      </c>
      <c r="BB47" s="486">
        <f t="shared" si="63"/>
        <v>2.8421709430404007E-14</v>
      </c>
      <c r="BC47" s="52">
        <f t="shared" si="64"/>
        <v>0</v>
      </c>
      <c r="BD47" s="52">
        <f t="shared" si="65"/>
        <v>0</v>
      </c>
      <c r="BE47" s="178">
        <f t="shared" si="66"/>
        <v>2.8421709430404007E-14</v>
      </c>
      <c r="BG47" s="52">
        <f t="shared" si="31"/>
        <v>-42.387684835008343</v>
      </c>
      <c r="BH47" s="52">
        <v>14.40784946660456</v>
      </c>
      <c r="BI47" s="52">
        <v>-59.715038018913674</v>
      </c>
      <c r="BJ47" s="355">
        <f t="shared" si="81"/>
        <v>-87.694873387317458</v>
      </c>
      <c r="BK47" s="52">
        <f t="shared" si="33"/>
        <v>-72.64615618023717</v>
      </c>
      <c r="BL47" s="52">
        <f t="shared" si="34"/>
        <v>-23.286651968830668</v>
      </c>
      <c r="BM47" s="52">
        <f t="shared" si="35"/>
        <v>35.570225425980823</v>
      </c>
      <c r="BN47" s="344">
        <f t="shared" si="36"/>
        <v>45.307188552309114</v>
      </c>
      <c r="BP47" s="52">
        <f t="shared" si="37"/>
        <v>-42.387684835008343</v>
      </c>
      <c r="BQ47" s="52">
        <f t="shared" si="37"/>
        <v>0</v>
      </c>
      <c r="BR47" s="52" t="e">
        <f>#REF!</f>
        <v>#REF!</v>
      </c>
      <c r="BS47" s="355" t="e">
        <f t="shared" si="82"/>
        <v>#REF!</v>
      </c>
      <c r="BT47" s="52">
        <f t="shared" si="39"/>
        <v>-72.64615618023717</v>
      </c>
      <c r="BU47" s="52">
        <f t="shared" si="40"/>
        <v>-23.286651968830668</v>
      </c>
      <c r="BV47" s="52" t="e">
        <f t="shared" si="41"/>
        <v>#REF!</v>
      </c>
      <c r="BW47" s="344" t="e">
        <f t="shared" si="42"/>
        <v>#REF!</v>
      </c>
      <c r="BY47" s="344" t="e">
        <f t="shared" si="43"/>
        <v>#REF!</v>
      </c>
      <c r="CA47" s="177" t="e">
        <f>'FC2+10'!AA46</f>
        <v>#VALUE!</v>
      </c>
      <c r="CC47" s="344" t="e">
        <f t="shared" si="44"/>
        <v>#VALUE!</v>
      </c>
      <c r="CE47" s="52">
        <f>CE27+CE46</f>
        <v>-42.387684835008343</v>
      </c>
      <c r="CF47" s="52">
        <f>CF27+CF46</f>
        <v>0</v>
      </c>
      <c r="CG47" s="52">
        <f>CG27+CG46</f>
        <v>0</v>
      </c>
      <c r="CH47" s="924">
        <f t="shared" si="89"/>
        <v>-42.387684835008343</v>
      </c>
      <c r="CI47" s="486">
        <f t="shared" si="90"/>
        <v>0</v>
      </c>
      <c r="CJ47" s="52">
        <f t="shared" si="91"/>
        <v>0</v>
      </c>
      <c r="CK47" s="52">
        <f t="shared" si="92"/>
        <v>0</v>
      </c>
      <c r="CL47" s="901">
        <f t="shared" si="93"/>
        <v>0</v>
      </c>
      <c r="CM47" s="895">
        <f>CM27+CM46</f>
        <v>228.88044298424182</v>
      </c>
      <c r="CN47" s="895">
        <f t="shared" si="47"/>
        <v>-271.26812781925014</v>
      </c>
    </row>
    <row r="48" spans="2:95" outlineLevel="2">
      <c r="B48" s="54"/>
      <c r="C48" s="55" t="s">
        <v>43</v>
      </c>
      <c r="D48" s="56"/>
      <c r="E48" s="56"/>
      <c r="F48" s="57">
        <f>F47/F23</f>
        <v>-8.0441018053523272E-2</v>
      </c>
      <c r="G48" s="57" t="e">
        <f>G47/G23</f>
        <v>#DIV/0!</v>
      </c>
      <c r="H48" s="57" t="e">
        <f>H47/H23</f>
        <v>#DIV/0!</v>
      </c>
      <c r="I48" s="189">
        <f>I47/I23</f>
        <v>-8.0441018053523272E-2</v>
      </c>
      <c r="J48" s="190"/>
      <c r="K48" s="58">
        <f>K47/K23</f>
        <v>-0.10152813672980156</v>
      </c>
      <c r="L48" s="58" t="e">
        <f>L47/L23</f>
        <v>#DIV/0!</v>
      </c>
      <c r="M48" s="58" t="e">
        <f>M47/M23</f>
        <v>#DIV/0!</v>
      </c>
      <c r="N48" s="116">
        <f>N47/N23</f>
        <v>-0.10152813672980156</v>
      </c>
      <c r="O48" s="58">
        <f t="shared" si="48"/>
        <v>2.1087118676278285E-2</v>
      </c>
      <c r="P48" s="58">
        <f t="shared" si="49"/>
        <v>0</v>
      </c>
      <c r="Q48" s="58">
        <f t="shared" si="50"/>
        <v>0</v>
      </c>
      <c r="R48" s="180">
        <f t="shared" si="51"/>
        <v>2.1087118676278285E-2</v>
      </c>
      <c r="S48" s="191"/>
      <c r="T48" s="58" t="e">
        <f>T47/T23</f>
        <v>#VALUE!</v>
      </c>
      <c r="U48" s="58" t="e">
        <f>U47/U23</f>
        <v>#DIV/0!</v>
      </c>
      <c r="V48" s="58" t="e">
        <f>V47/V23</f>
        <v>#DIV/0!</v>
      </c>
      <c r="W48" s="192" t="e">
        <f>W47/W23</f>
        <v>#VALUE!</v>
      </c>
      <c r="X48" s="58">
        <f t="shared" si="52"/>
        <v>0</v>
      </c>
      <c r="Y48" s="58">
        <f t="shared" si="53"/>
        <v>0</v>
      </c>
      <c r="Z48" s="58">
        <f t="shared" si="54"/>
        <v>0</v>
      </c>
      <c r="AA48" s="193" t="e">
        <f t="shared" si="55"/>
        <v>#VALUE!</v>
      </c>
      <c r="AB48" s="191"/>
      <c r="AC48" s="58">
        <f>AC47/AC23</f>
        <v>4.1279740976024742E-2</v>
      </c>
      <c r="AD48" s="58">
        <f>AD47/AD23</f>
        <v>2.7178566816469799E-2</v>
      </c>
      <c r="AE48" s="58" t="e">
        <f>AE47/AE23</f>
        <v>#DIV/0!</v>
      </c>
      <c r="AF48" s="358">
        <f>AF47/AF23</f>
        <v>3.368015495735336E-2</v>
      </c>
      <c r="AG48" s="58">
        <f t="shared" si="56"/>
        <v>-0.12172075902954801</v>
      </c>
      <c r="AH48" s="58">
        <f t="shared" si="57"/>
        <v>0</v>
      </c>
      <c r="AI48" s="58">
        <f t="shared" si="58"/>
        <v>0</v>
      </c>
      <c r="AJ48" s="347">
        <f t="shared" si="59"/>
        <v>-0.11412117301087663</v>
      </c>
      <c r="AK48" s="191"/>
      <c r="AL48" s="58">
        <f>AL47/AL23</f>
        <v>5.4468617119446575E-2</v>
      </c>
      <c r="AM48" s="58" t="e">
        <f>AM47/AM23</f>
        <v>#DIV/0!</v>
      </c>
      <c r="AN48" s="58" t="e">
        <f>AN47/AN23</f>
        <v>#DIV/0!</v>
      </c>
      <c r="AO48" s="390">
        <f>AO47/AO23</f>
        <v>5.4468617119446575E-2</v>
      </c>
      <c r="AP48" s="58">
        <f t="shared" si="60"/>
        <v>-0.13490963517296983</v>
      </c>
      <c r="AQ48" s="58">
        <f t="shared" si="61"/>
        <v>0</v>
      </c>
      <c r="AR48" s="58">
        <f t="shared" si="62"/>
        <v>0</v>
      </c>
      <c r="AS48" s="400">
        <f t="shared" si="62"/>
        <v>-0.13490963517296983</v>
      </c>
      <c r="AU48" s="58">
        <f>Act!L47</f>
        <v>3.6979229598765526E-2</v>
      </c>
      <c r="AV48" s="193" t="e">
        <f t="shared" si="28"/>
        <v>#DIV/0!</v>
      </c>
      <c r="AW48" s="191"/>
      <c r="AX48" s="58">
        <f>AX47/AX23</f>
        <v>-8.0441018053523328E-2</v>
      </c>
      <c r="AY48" s="58" t="e">
        <f>AY47/AY23</f>
        <v>#DIV/0!</v>
      </c>
      <c r="AZ48" s="58" t="e">
        <f>AZ47/AZ23</f>
        <v>#DIV/0!</v>
      </c>
      <c r="BA48" s="192">
        <f>BA47/BA23</f>
        <v>-8.0441018053523328E-2</v>
      </c>
      <c r="BB48" s="58">
        <f t="shared" si="63"/>
        <v>5.5511151231257827E-17</v>
      </c>
      <c r="BC48" s="58">
        <f t="shared" si="64"/>
        <v>0</v>
      </c>
      <c r="BD48" s="58">
        <f t="shared" si="65"/>
        <v>0</v>
      </c>
      <c r="BE48" s="193">
        <f t="shared" si="66"/>
        <v>5.5511151231257827E-17</v>
      </c>
      <c r="BG48" s="58">
        <f t="shared" si="31"/>
        <v>-8.0441018053523272E-2</v>
      </c>
      <c r="BH48" s="58">
        <v>2.3425941973025693E-2</v>
      </c>
      <c r="BI48" s="58">
        <v>-6.4368094822042657E-2</v>
      </c>
      <c r="BJ48" s="358">
        <f>BJ47/BJ23</f>
        <v>-4.23709951667922E-2</v>
      </c>
      <c r="BK48" s="58">
        <f t="shared" si="33"/>
        <v>-0.12172075902954801</v>
      </c>
      <c r="BL48" s="58">
        <f t="shared" si="34"/>
        <v>0</v>
      </c>
      <c r="BM48" s="58">
        <f t="shared" si="35"/>
        <v>0</v>
      </c>
      <c r="BN48" s="347">
        <f>IFERROR(I48-BJ48,0)</f>
        <v>-3.8070022886731072E-2</v>
      </c>
      <c r="BP48" s="58">
        <f t="shared" si="37"/>
        <v>-8.0441018053523272E-2</v>
      </c>
      <c r="BQ48" s="58" t="e">
        <f t="shared" si="37"/>
        <v>#DIV/0!</v>
      </c>
      <c r="BR48" s="58" t="e">
        <f>#REF!</f>
        <v>#REF!</v>
      </c>
      <c r="BS48" s="358" t="e">
        <f>BS47/BS23</f>
        <v>#REF!</v>
      </c>
      <c r="BT48" s="58">
        <f t="shared" si="39"/>
        <v>-0.12172075902954801</v>
      </c>
      <c r="BU48" s="58" t="e">
        <f t="shared" si="40"/>
        <v>#DIV/0!</v>
      </c>
      <c r="BV48" s="58" t="e">
        <f t="shared" si="41"/>
        <v>#REF!</v>
      </c>
      <c r="BW48" s="347" t="e">
        <f t="shared" si="42"/>
        <v>#REF!</v>
      </c>
      <c r="BY48" s="347" t="e">
        <f t="shared" si="43"/>
        <v>#DIV/0!</v>
      </c>
      <c r="CA48" s="192" t="e">
        <f>'FC2+10'!AA47</f>
        <v>#VALUE!</v>
      </c>
      <c r="CC48" s="347" t="e">
        <f t="shared" si="44"/>
        <v>#VALUE!</v>
      </c>
      <c r="CE48" s="58">
        <f>CE47/CE23</f>
        <v>-8.0441018053523272E-2</v>
      </c>
      <c r="CF48" s="58" t="e">
        <f>CF47/CF23</f>
        <v>#DIV/0!</v>
      </c>
      <c r="CG48" s="58" t="e">
        <f>CG47/CG23</f>
        <v>#DIV/0!</v>
      </c>
      <c r="CH48" s="906">
        <f>CH47/CH23</f>
        <v>-8.0441018053523272E-2</v>
      </c>
      <c r="CI48" s="58">
        <f t="shared" si="90"/>
        <v>0</v>
      </c>
      <c r="CJ48" s="58">
        <f t="shared" si="91"/>
        <v>0</v>
      </c>
      <c r="CK48" s="58">
        <f t="shared" si="92"/>
        <v>0</v>
      </c>
      <c r="CL48" s="906">
        <f t="shared" si="93"/>
        <v>0</v>
      </c>
      <c r="CM48" s="920">
        <f>CM47/CM23</f>
        <v>8.0805847995730096E-2</v>
      </c>
      <c r="CN48" s="920">
        <f t="shared" si="47"/>
        <v>-0.16124686604925337</v>
      </c>
    </row>
    <row r="49" spans="1:92" ht="14.1" customHeight="1" outlineLevel="1">
      <c r="F49" s="15"/>
      <c r="G49" s="15"/>
      <c r="H49" s="15"/>
      <c r="I49" s="194"/>
      <c r="K49" s="117"/>
      <c r="L49" s="117"/>
      <c r="M49" s="117"/>
      <c r="N49" s="117"/>
      <c r="R49" s="117"/>
      <c r="S49" s="117"/>
      <c r="T49" s="117"/>
      <c r="U49" s="117"/>
      <c r="V49" s="117"/>
      <c r="W49" s="117"/>
      <c r="AA49" s="117"/>
      <c r="AB49" s="117"/>
      <c r="AC49" s="117"/>
      <c r="AD49" s="117"/>
      <c r="AE49" s="117">
        <v>0</v>
      </c>
      <c r="AF49" s="117"/>
      <c r="AJ49" s="117"/>
      <c r="AK49" s="117"/>
      <c r="AL49" s="117"/>
      <c r="AM49" s="117"/>
      <c r="AN49" s="117"/>
      <c r="AO49" s="117"/>
      <c r="AS49" s="117"/>
      <c r="AU49" s="117">
        <f>Act!L48</f>
        <v>0</v>
      </c>
      <c r="AV49" s="844">
        <f t="shared" si="28"/>
        <v>0</v>
      </c>
      <c r="AW49" s="117"/>
      <c r="AX49" s="117"/>
      <c r="AY49" s="117"/>
      <c r="AZ49" s="117"/>
      <c r="BA49" s="117"/>
      <c r="BE49" s="117"/>
      <c r="BG49" s="117">
        <f t="shared" si="31"/>
        <v>0</v>
      </c>
      <c r="BH49" s="117"/>
      <c r="BI49" s="117"/>
      <c r="BJ49" s="117"/>
      <c r="BK49" s="2">
        <f t="shared" si="33"/>
        <v>0</v>
      </c>
      <c r="BL49" s="2">
        <f t="shared" si="34"/>
        <v>0</v>
      </c>
      <c r="BM49" s="2">
        <f t="shared" si="35"/>
        <v>0</v>
      </c>
      <c r="BN49" s="117"/>
      <c r="BP49" s="117"/>
      <c r="BQ49" s="117"/>
      <c r="BR49" s="117"/>
      <c r="BS49" s="117"/>
      <c r="BW49" s="117"/>
      <c r="BY49" s="117"/>
      <c r="CA49" s="117">
        <f>'FC2+10'!AA48</f>
        <v>0</v>
      </c>
      <c r="CC49" s="117">
        <f t="shared" si="44"/>
        <v>0</v>
      </c>
      <c r="CE49" s="117"/>
      <c r="CF49" s="117"/>
      <c r="CG49" s="117"/>
      <c r="CH49" s="913"/>
      <c r="CL49" s="913"/>
      <c r="CM49" s="917"/>
      <c r="CN49" s="917">
        <f t="shared" si="47"/>
        <v>0</v>
      </c>
    </row>
    <row r="50" spans="1:92" ht="14.1" customHeight="1" outlineLevel="1">
      <c r="B50" s="79"/>
      <c r="C50" s="80" t="s">
        <v>132</v>
      </c>
      <c r="D50" s="81"/>
      <c r="E50" s="81"/>
      <c r="F50" s="82"/>
      <c r="G50" s="82"/>
      <c r="H50" s="82"/>
      <c r="I50" s="188"/>
      <c r="K50" s="196"/>
      <c r="L50" s="196"/>
      <c r="M50" s="196"/>
      <c r="N50" s="118"/>
      <c r="O50" s="95"/>
      <c r="P50" s="95"/>
      <c r="Q50" s="95"/>
      <c r="R50" s="207">
        <f>F50-K50</f>
        <v>0</v>
      </c>
      <c r="S50" s="117"/>
      <c r="T50" s="196"/>
      <c r="U50" s="196"/>
      <c r="V50" s="196"/>
      <c r="W50" s="208"/>
      <c r="X50" s="95"/>
      <c r="Y50" s="95"/>
      <c r="Z50" s="95"/>
      <c r="AA50" s="197">
        <f>O50-T50</f>
        <v>0</v>
      </c>
      <c r="AB50" s="117"/>
      <c r="AC50" s="196"/>
      <c r="AD50" s="196"/>
      <c r="AE50" s="196">
        <v>0</v>
      </c>
      <c r="AF50" s="208"/>
      <c r="AG50" s="95"/>
      <c r="AH50" s="95"/>
      <c r="AI50" s="95"/>
      <c r="AJ50" s="197">
        <f>X50-AC50</f>
        <v>0</v>
      </c>
      <c r="AK50" s="117"/>
      <c r="AL50" s="196"/>
      <c r="AM50" s="196"/>
      <c r="AN50" s="196"/>
      <c r="AO50" s="208"/>
      <c r="AP50" s="95"/>
      <c r="AQ50" s="95"/>
      <c r="AR50" s="95"/>
      <c r="AS50" s="197">
        <f>AG50-AL50</f>
        <v>0</v>
      </c>
      <c r="AU50" s="196">
        <f>Act!L49</f>
        <v>0</v>
      </c>
      <c r="AV50" s="847">
        <f t="shared" si="28"/>
        <v>0</v>
      </c>
      <c r="AW50" s="117"/>
      <c r="AX50" s="196"/>
      <c r="AY50" s="196"/>
      <c r="AZ50" s="196"/>
      <c r="BA50" s="208"/>
      <c r="BB50" s="95"/>
      <c r="BC50" s="95"/>
      <c r="BD50" s="95"/>
      <c r="BE50" s="197">
        <f>AS50-AX50</f>
        <v>0</v>
      </c>
      <c r="BG50" s="196">
        <f t="shared" si="31"/>
        <v>0</v>
      </c>
      <c r="BH50" s="196"/>
      <c r="BI50" s="196"/>
      <c r="BJ50" s="208"/>
      <c r="BK50" s="95">
        <f t="shared" si="33"/>
        <v>0</v>
      </c>
      <c r="BL50" s="95">
        <f t="shared" si="34"/>
        <v>0</v>
      </c>
      <c r="BM50" s="95">
        <f t="shared" si="35"/>
        <v>0</v>
      </c>
      <c r="BN50" s="197">
        <f>IFERROR(I50-BJ50,0)</f>
        <v>0</v>
      </c>
      <c r="BP50" s="196"/>
      <c r="BQ50" s="196"/>
      <c r="BR50" s="196"/>
      <c r="BS50" s="208"/>
      <c r="BT50" s="95"/>
      <c r="BU50" s="95"/>
      <c r="BV50" s="95"/>
      <c r="BW50" s="197"/>
      <c r="BY50" s="197">
        <f t="shared" si="43"/>
        <v>0</v>
      </c>
      <c r="CA50" s="208">
        <f>'FC2+10'!AA49</f>
        <v>0</v>
      </c>
      <c r="CC50" s="197">
        <f t="shared" si="44"/>
        <v>0</v>
      </c>
      <c r="CE50" s="196"/>
      <c r="CF50" s="196"/>
      <c r="CG50" s="196"/>
      <c r="CH50" s="907"/>
      <c r="CI50" s="95"/>
      <c r="CJ50" s="95"/>
      <c r="CK50" s="95"/>
      <c r="CL50" s="907">
        <f>BZ50-CE50</f>
        <v>0</v>
      </c>
      <c r="CM50" s="895"/>
      <c r="CN50" s="895">
        <f t="shared" si="47"/>
        <v>0</v>
      </c>
    </row>
    <row r="51" spans="1:92" ht="14.1" customHeight="1" outlineLevel="1">
      <c r="B51" s="84"/>
      <c r="C51" s="80" t="s">
        <v>133</v>
      </c>
      <c r="D51" s="81"/>
      <c r="E51" s="81"/>
      <c r="F51" s="82"/>
      <c r="G51" s="82"/>
      <c r="H51" s="82"/>
      <c r="I51" s="188"/>
      <c r="K51" s="196"/>
      <c r="L51" s="196"/>
      <c r="M51" s="196"/>
      <c r="N51" s="118"/>
      <c r="O51" s="95"/>
      <c r="P51" s="95"/>
      <c r="Q51" s="95"/>
      <c r="R51" s="207">
        <f>F51-K51</f>
        <v>0</v>
      </c>
      <c r="S51" s="117"/>
      <c r="T51" s="196"/>
      <c r="U51" s="196"/>
      <c r="V51" s="196"/>
      <c r="W51" s="208"/>
      <c r="X51" s="95"/>
      <c r="Y51" s="95"/>
      <c r="Z51" s="95"/>
      <c r="AA51" s="197">
        <f>O51-T51</f>
        <v>0</v>
      </c>
      <c r="AB51" s="117"/>
      <c r="AC51" s="196"/>
      <c r="AD51" s="196"/>
      <c r="AE51" s="196">
        <v>0</v>
      </c>
      <c r="AF51" s="208"/>
      <c r="AG51" s="95"/>
      <c r="AH51" s="95"/>
      <c r="AI51" s="95"/>
      <c r="AJ51" s="197">
        <f>X51-AC51</f>
        <v>0</v>
      </c>
      <c r="AK51" s="117"/>
      <c r="AL51" s="196"/>
      <c r="AM51" s="196"/>
      <c r="AN51" s="196"/>
      <c r="AO51" s="208"/>
      <c r="AP51" s="95"/>
      <c r="AQ51" s="95"/>
      <c r="AR51" s="95"/>
      <c r="AS51" s="197">
        <f>AG51-AL51</f>
        <v>0</v>
      </c>
      <c r="AU51" s="196">
        <f>Act!L50</f>
        <v>0</v>
      </c>
      <c r="AV51" s="847">
        <f t="shared" si="28"/>
        <v>0</v>
      </c>
      <c r="AW51" s="117"/>
      <c r="AX51" s="196"/>
      <c r="AY51" s="196"/>
      <c r="AZ51" s="196"/>
      <c r="BA51" s="208"/>
      <c r="BB51" s="95"/>
      <c r="BC51" s="95"/>
      <c r="BD51" s="95"/>
      <c r="BE51" s="197">
        <f>AS51-AX51</f>
        <v>0</v>
      </c>
      <c r="BG51" s="196">
        <f t="shared" si="31"/>
        <v>0</v>
      </c>
      <c r="BH51" s="196"/>
      <c r="BI51" s="196"/>
      <c r="BJ51" s="208"/>
      <c r="BK51" s="95">
        <f t="shared" si="33"/>
        <v>0</v>
      </c>
      <c r="BL51" s="95">
        <f t="shared" si="34"/>
        <v>0</v>
      </c>
      <c r="BM51" s="95">
        <f t="shared" si="35"/>
        <v>0</v>
      </c>
      <c r="BN51" s="197">
        <f>IFERROR(I51-BJ51,0)</f>
        <v>0</v>
      </c>
      <c r="BP51" s="196"/>
      <c r="BQ51" s="196"/>
      <c r="BR51" s="196"/>
      <c r="BS51" s="208"/>
      <c r="BT51" s="95"/>
      <c r="BU51" s="95"/>
      <c r="BV51" s="95"/>
      <c r="BW51" s="197"/>
      <c r="BY51" s="197">
        <f t="shared" si="43"/>
        <v>0</v>
      </c>
      <c r="CA51" s="208">
        <f>'FC2+10'!AA50</f>
        <v>0</v>
      </c>
      <c r="CC51" s="197">
        <f t="shared" si="44"/>
        <v>0</v>
      </c>
      <c r="CE51" s="196"/>
      <c r="CF51" s="196"/>
      <c r="CG51" s="196"/>
      <c r="CH51" s="907"/>
      <c r="CI51" s="95"/>
      <c r="CJ51" s="95"/>
      <c r="CK51" s="95"/>
      <c r="CL51" s="907">
        <f>BZ51-CE51</f>
        <v>0</v>
      </c>
      <c r="CM51" s="895"/>
      <c r="CN51" s="895">
        <f t="shared" si="47"/>
        <v>0</v>
      </c>
    </row>
    <row r="52" spans="1:92" ht="14.1" customHeight="1" outlineLevel="1">
      <c r="B52" s="84"/>
      <c r="C52" s="80" t="s">
        <v>134</v>
      </c>
      <c r="D52" s="81"/>
      <c r="E52" s="81"/>
      <c r="F52" s="82"/>
      <c r="G52" s="82"/>
      <c r="H52" s="82"/>
      <c r="I52" s="188"/>
      <c r="K52" s="196"/>
      <c r="L52" s="196"/>
      <c r="M52" s="196"/>
      <c r="N52" s="118"/>
      <c r="O52" s="95"/>
      <c r="P52" s="95"/>
      <c r="Q52" s="95"/>
      <c r="R52" s="207">
        <f>F52-K52</f>
        <v>0</v>
      </c>
      <c r="S52" s="117"/>
      <c r="T52" s="196"/>
      <c r="U52" s="196"/>
      <c r="V52" s="196"/>
      <c r="W52" s="208"/>
      <c r="X52" s="95"/>
      <c r="Y52" s="95"/>
      <c r="Z52" s="95"/>
      <c r="AA52" s="197">
        <f>O52-T52</f>
        <v>0</v>
      </c>
      <c r="AB52" s="117"/>
      <c r="AC52" s="196"/>
      <c r="AD52" s="196"/>
      <c r="AE52" s="196">
        <v>0</v>
      </c>
      <c r="AF52" s="208"/>
      <c r="AG52" s="95"/>
      <c r="AH52" s="95"/>
      <c r="AI52" s="95"/>
      <c r="AJ52" s="197">
        <f>X52-AC52</f>
        <v>0</v>
      </c>
      <c r="AK52" s="117"/>
      <c r="AL52" s="196"/>
      <c r="AM52" s="196"/>
      <c r="AN52" s="196"/>
      <c r="AO52" s="208"/>
      <c r="AP52" s="95"/>
      <c r="AQ52" s="95"/>
      <c r="AR52" s="95"/>
      <c r="AS52" s="197">
        <f>AG52-AL52</f>
        <v>0</v>
      </c>
      <c r="AU52" s="196">
        <f>Act!L51</f>
        <v>0</v>
      </c>
      <c r="AV52" s="847">
        <f t="shared" si="28"/>
        <v>0</v>
      </c>
      <c r="AW52" s="117"/>
      <c r="AX52" s="196"/>
      <c r="AY52" s="196"/>
      <c r="AZ52" s="196"/>
      <c r="BA52" s="208"/>
      <c r="BB52" s="95"/>
      <c r="BC52" s="95"/>
      <c r="BD52" s="95"/>
      <c r="BE52" s="197">
        <f>AS52-AX52</f>
        <v>0</v>
      </c>
      <c r="BG52" s="196">
        <f t="shared" si="31"/>
        <v>0</v>
      </c>
      <c r="BH52" s="196"/>
      <c r="BI52" s="196"/>
      <c r="BJ52" s="208"/>
      <c r="BK52" s="95">
        <f t="shared" si="33"/>
        <v>0</v>
      </c>
      <c r="BL52" s="95">
        <f t="shared" si="34"/>
        <v>0</v>
      </c>
      <c r="BM52" s="95">
        <f t="shared" si="35"/>
        <v>0</v>
      </c>
      <c r="BN52" s="197">
        <f>IFERROR(I52-BJ52,0)</f>
        <v>0</v>
      </c>
      <c r="BP52" s="196"/>
      <c r="BQ52" s="196"/>
      <c r="BR52" s="196"/>
      <c r="BS52" s="208"/>
      <c r="BT52" s="95"/>
      <c r="BU52" s="95"/>
      <c r="BV52" s="95"/>
      <c r="BW52" s="197"/>
      <c r="BY52" s="197">
        <f t="shared" si="43"/>
        <v>0</v>
      </c>
      <c r="CA52" s="208">
        <f>'FC2+10'!AA51</f>
        <v>0</v>
      </c>
      <c r="CC52" s="197">
        <f t="shared" si="44"/>
        <v>0</v>
      </c>
      <c r="CE52" s="196"/>
      <c r="CF52" s="196"/>
      <c r="CG52" s="196"/>
      <c r="CH52" s="907"/>
      <c r="CI52" s="95"/>
      <c r="CJ52" s="95"/>
      <c r="CK52" s="95"/>
      <c r="CL52" s="907">
        <f>BZ52-CE52</f>
        <v>0</v>
      </c>
      <c r="CM52" s="895"/>
      <c r="CN52" s="895">
        <f t="shared" si="47"/>
        <v>0</v>
      </c>
    </row>
    <row r="53" spans="1:92" ht="18" customHeight="1" outlineLevel="1">
      <c r="B53" s="85" t="s">
        <v>135</v>
      </c>
      <c r="C53" s="86"/>
      <c r="D53" s="86"/>
      <c r="E53" s="86"/>
      <c r="F53" s="82">
        <f>SUM(F50:F52)</f>
        <v>0</v>
      </c>
      <c r="G53" s="82"/>
      <c r="H53" s="82"/>
      <c r="I53" s="188"/>
      <c r="K53" s="195"/>
      <c r="L53" s="195"/>
      <c r="M53" s="195"/>
      <c r="N53" s="119"/>
      <c r="O53" s="95"/>
      <c r="P53" s="95"/>
      <c r="Q53" s="95"/>
      <c r="R53" s="200">
        <f>F53-K53</f>
        <v>0</v>
      </c>
      <c r="S53" s="117"/>
      <c r="T53" s="195"/>
      <c r="U53" s="195"/>
      <c r="V53" s="195"/>
      <c r="W53" s="201"/>
      <c r="X53" s="95"/>
      <c r="Y53" s="95"/>
      <c r="Z53" s="95"/>
      <c r="AA53" s="198">
        <f>O53-T53</f>
        <v>0</v>
      </c>
      <c r="AB53" s="117"/>
      <c r="AC53" s="195"/>
      <c r="AD53" s="195"/>
      <c r="AE53" s="195">
        <v>0</v>
      </c>
      <c r="AF53" s="201"/>
      <c r="AG53" s="95"/>
      <c r="AH53" s="95"/>
      <c r="AI53" s="95"/>
      <c r="AJ53" s="198">
        <f>X53-AC53</f>
        <v>0</v>
      </c>
      <c r="AK53" s="117"/>
      <c r="AL53" s="195"/>
      <c r="AM53" s="195"/>
      <c r="AN53" s="195"/>
      <c r="AO53" s="201"/>
      <c r="AP53" s="95"/>
      <c r="AQ53" s="95"/>
      <c r="AR53" s="95"/>
      <c r="AS53" s="198">
        <f>AG53-AL53</f>
        <v>0</v>
      </c>
      <c r="AU53" s="195">
        <f>Act!L52</f>
        <v>0</v>
      </c>
      <c r="AV53" s="847">
        <f t="shared" si="28"/>
        <v>0</v>
      </c>
      <c r="AW53" s="117"/>
      <c r="AX53" s="195"/>
      <c r="AY53" s="195"/>
      <c r="AZ53" s="195"/>
      <c r="BA53" s="201"/>
      <c r="BB53" s="95"/>
      <c r="BC53" s="95"/>
      <c r="BD53" s="95"/>
      <c r="BE53" s="198">
        <f>AS53-AX53</f>
        <v>0</v>
      </c>
      <c r="BG53" s="195">
        <f t="shared" si="31"/>
        <v>0</v>
      </c>
      <c r="BH53" s="195"/>
      <c r="BI53" s="195"/>
      <c r="BJ53" s="201"/>
      <c r="BK53" s="95">
        <f t="shared" si="33"/>
        <v>0</v>
      </c>
      <c r="BL53" s="95">
        <f t="shared" si="34"/>
        <v>0</v>
      </c>
      <c r="BM53" s="95">
        <f t="shared" si="35"/>
        <v>0</v>
      </c>
      <c r="BN53" s="198">
        <f>IFERROR(I53-BJ53,0)</f>
        <v>0</v>
      </c>
      <c r="BP53" s="195"/>
      <c r="BQ53" s="195"/>
      <c r="BR53" s="195"/>
      <c r="BS53" s="201"/>
      <c r="BT53" s="95"/>
      <c r="BU53" s="95"/>
      <c r="BV53" s="95"/>
      <c r="BW53" s="198"/>
      <c r="BY53" s="198">
        <f t="shared" si="43"/>
        <v>0</v>
      </c>
      <c r="CA53" s="201">
        <f>'FC2+10'!AA52</f>
        <v>0</v>
      </c>
      <c r="CC53" s="198">
        <f t="shared" si="44"/>
        <v>0</v>
      </c>
      <c r="CE53" s="195"/>
      <c r="CF53" s="195"/>
      <c r="CG53" s="195"/>
      <c r="CH53" s="908"/>
      <c r="CI53" s="95"/>
      <c r="CJ53" s="95"/>
      <c r="CK53" s="95"/>
      <c r="CL53" s="908">
        <f>BZ53-CE53</f>
        <v>0</v>
      </c>
      <c r="CM53" s="895"/>
      <c r="CN53" s="895">
        <f t="shared" si="47"/>
        <v>0</v>
      </c>
    </row>
    <row r="54" spans="1:92" ht="8.25" customHeight="1" outlineLevel="1">
      <c r="F54" s="15"/>
      <c r="G54" s="15"/>
      <c r="H54" s="15"/>
      <c r="I54" s="194"/>
      <c r="K54" s="117"/>
      <c r="L54" s="117"/>
      <c r="M54" s="117"/>
      <c r="N54" s="117"/>
      <c r="R54" s="117"/>
      <c r="S54" s="117"/>
      <c r="T54" s="117"/>
      <c r="U54" s="117"/>
      <c r="V54" s="117"/>
      <c r="W54" s="117"/>
      <c r="AA54" s="117"/>
      <c r="AB54" s="117"/>
      <c r="AC54" s="117"/>
      <c r="AD54" s="117"/>
      <c r="AE54" s="117">
        <v>0</v>
      </c>
      <c r="AF54" s="117"/>
      <c r="AJ54" s="117"/>
      <c r="AK54" s="117"/>
      <c r="AL54" s="117"/>
      <c r="AM54" s="117"/>
      <c r="AN54" s="117"/>
      <c r="AO54" s="117"/>
      <c r="AS54" s="117"/>
      <c r="AU54" s="117"/>
      <c r="AV54" s="844"/>
      <c r="AW54" s="117"/>
      <c r="AX54" s="117"/>
      <c r="AY54" s="117"/>
      <c r="AZ54" s="117"/>
      <c r="BA54" s="117"/>
      <c r="BE54" s="117"/>
      <c r="BG54" s="117">
        <f t="shared" si="31"/>
        <v>0</v>
      </c>
      <c r="BH54" s="117"/>
      <c r="BI54" s="117"/>
      <c r="BJ54" s="117"/>
      <c r="BK54" s="2">
        <f t="shared" si="33"/>
        <v>0</v>
      </c>
      <c r="BL54" s="2">
        <f t="shared" si="34"/>
        <v>0</v>
      </c>
      <c r="BM54" s="2">
        <f t="shared" si="35"/>
        <v>0</v>
      </c>
      <c r="BN54" s="117"/>
      <c r="BP54" s="117"/>
      <c r="BQ54" s="117"/>
      <c r="BR54" s="117"/>
      <c r="BS54" s="117"/>
      <c r="BW54" s="117"/>
      <c r="BY54" s="117"/>
      <c r="CA54" s="117">
        <f>'FC2+10'!AA53</f>
        <v>0</v>
      </c>
      <c r="CC54" s="117">
        <f t="shared" si="44"/>
        <v>0</v>
      </c>
      <c r="CE54" s="117"/>
      <c r="CF54" s="117"/>
      <c r="CG54" s="117"/>
      <c r="CH54" s="913"/>
      <c r="CL54" s="913"/>
      <c r="CM54" s="917"/>
      <c r="CN54" s="917"/>
    </row>
    <row r="55" spans="1:92" ht="18" customHeight="1" outlineLevel="1">
      <c r="B55" s="87" t="s">
        <v>136</v>
      </c>
      <c r="C55" s="88"/>
      <c r="D55" s="86"/>
      <c r="E55" s="86"/>
      <c r="F55" s="89">
        <f>IF(Act!S$3=1,Act!S54,"")</f>
        <v>-71.169814299999885</v>
      </c>
      <c r="G55" s="89" t="str">
        <f>IF(Act!T$3=1,Act!T54,"")</f>
        <v/>
      </c>
      <c r="H55" s="921" t="str">
        <f>IF(Act!U$3=1,Act!U54,"")</f>
        <v/>
      </c>
      <c r="I55" s="654">
        <f>SUM(F55:H55)</f>
        <v>-71.169814299999885</v>
      </c>
      <c r="K55" s="195">
        <f>IF(BP!S$3=1,BP!S54,"")</f>
        <v>-88.502035834526794</v>
      </c>
      <c r="L55" s="195" t="str">
        <f>IF(BP!T$3=1,BP!T54,"")</f>
        <v/>
      </c>
      <c r="M55" s="195" t="str">
        <f>IF(BP!U$3=1,BP!U54,"")</f>
        <v/>
      </c>
      <c r="N55" s="119">
        <f>SUM(K55:M55)</f>
        <v>-88.502035834526794</v>
      </c>
      <c r="O55" s="199">
        <f>IFERROR(F55-K55,0)</f>
        <v>17.332221534526909</v>
      </c>
      <c r="P55" s="671">
        <f>IFERROR(G55-L55,0)</f>
        <v>0</v>
      </c>
      <c r="Q55" s="199">
        <f>IFERROR(H55-M55,0)</f>
        <v>0</v>
      </c>
      <c r="R55" s="200">
        <f>I55-N55</f>
        <v>17.332221534526909</v>
      </c>
      <c r="S55" s="117"/>
      <c r="T55" s="195">
        <f>IF('FC2+10'!S$3=1,'FC2+10'!S54,"")</f>
        <v>-71.169814299999885</v>
      </c>
      <c r="U55" s="90" t="str">
        <f>IF('FC2+10'!T$3=1,'FC2+10'!T54,"")</f>
        <v/>
      </c>
      <c r="V55" s="195" t="str">
        <f>IF('FC2+10'!U$3=1,'FC2+10'!U54,"")</f>
        <v/>
      </c>
      <c r="W55" s="201">
        <f>SUM(T55:V55)</f>
        <v>-71.169814299999885</v>
      </c>
      <c r="X55" s="199">
        <f>IFERROR(F55-T55,0)</f>
        <v>0</v>
      </c>
      <c r="Y55" s="199">
        <f>IFERROR(G55-U55,0)</f>
        <v>0</v>
      </c>
      <c r="Z55" s="199">
        <f>IFERROR(H55-V55,0)</f>
        <v>0</v>
      </c>
      <c r="AA55" s="198">
        <f>I55-W55</f>
        <v>0</v>
      </c>
      <c r="AB55" s="117"/>
      <c r="AC55" s="195">
        <f>IF(OL!S$3=1,OL!S54,"")</f>
        <v>-14.941574100003159</v>
      </c>
      <c r="AD55" s="195">
        <f>IF(OL!T$3=1,OL!T54,"")</f>
        <v>-36.937774523260757</v>
      </c>
      <c r="AE55" s="195" t="str">
        <f>IF(OL!U$3=1,OL!U54,"")</f>
        <v/>
      </c>
      <c r="AF55" s="359">
        <f>SUM(AC55:AE55)</f>
        <v>-51.879348623263915</v>
      </c>
      <c r="AG55" s="199">
        <f>IFERROR(F55-AC55,0)</f>
        <v>-56.228240199996726</v>
      </c>
      <c r="AH55" s="199">
        <f>IFERROR(G55-AD55,0)</f>
        <v>0</v>
      </c>
      <c r="AI55" s="199">
        <f>IFERROR(H55-AE55,0)</f>
        <v>0</v>
      </c>
      <c r="AJ55" s="348">
        <f>IFERROR(I55-AF55,0)</f>
        <v>-19.29046567673597</v>
      </c>
      <c r="AK55" s="117"/>
      <c r="AL55" s="195">
        <f>IF(LY!S$3=1,LY!S54,"")</f>
        <v>-36.381775600000196</v>
      </c>
      <c r="AM55" s="195" t="str">
        <f>IF(LY!T$3=1,LY!T54,"")</f>
        <v/>
      </c>
      <c r="AN55" s="195" t="str">
        <f>IF(LY!U$3=1,LY!U54,"")</f>
        <v/>
      </c>
      <c r="AO55" s="382">
        <f>SUM(AL55:AN55)</f>
        <v>-36.381775600000196</v>
      </c>
      <c r="AP55" s="199">
        <f>IFERROR(F55-AL55,0)</f>
        <v>-34.788038699999689</v>
      </c>
      <c r="AQ55" s="199">
        <f>IFERROR(G55-AM55,0)</f>
        <v>0</v>
      </c>
      <c r="AR55" s="199">
        <f>IFERROR(H55-AN55,0)</f>
        <v>0</v>
      </c>
      <c r="AS55" s="401">
        <f t="shared" ref="AR55:AS74" si="94">IFERROR(I55-AO55,0)</f>
        <v>-34.788038699999689</v>
      </c>
      <c r="AU55" s="195">
        <f>Act!L54</f>
        <v>-27.709236999998488</v>
      </c>
      <c r="AV55" s="848" t="e">
        <f t="shared" si="28"/>
        <v>#VALUE!</v>
      </c>
      <c r="AW55" s="117"/>
      <c r="AX55" s="195">
        <f>IF('FC5+7'!S$3=1,'FC5+7'!S54,"")</f>
        <v>-71.169814299999885</v>
      </c>
      <c r="AY55" s="90" t="str">
        <f>IF('FC5+7'!T$3=1,'FC5+7'!T54,"")</f>
        <v/>
      </c>
      <c r="AZ55" s="195" t="str">
        <f>IF('FC5+7'!U$3=1,'FC5+7'!U54,"")</f>
        <v/>
      </c>
      <c r="BA55" s="201">
        <f>SUM(AX55:AZ55)</f>
        <v>-71.169814299999885</v>
      </c>
      <c r="BB55" s="705">
        <f>IFERROR(F55-AX55,0)</f>
        <v>0</v>
      </c>
      <c r="BC55" s="199">
        <f>IFERROR(G55-AY55,0)</f>
        <v>0</v>
      </c>
      <c r="BD55" s="199">
        <f>IFERROR(H55-AZ55,0)</f>
        <v>0</v>
      </c>
      <c r="BE55" s="198">
        <f>IFERROR(I55-BA55,0)</f>
        <v>0</v>
      </c>
      <c r="BG55" s="195">
        <f t="shared" si="31"/>
        <v>-71.169814299999885</v>
      </c>
      <c r="BH55" s="195">
        <v>-1.5891260088933663</v>
      </c>
      <c r="BI55" s="195">
        <v>-84.885629536674571</v>
      </c>
      <c r="BJ55" s="359">
        <f>SUM(BG55:BI55)</f>
        <v>-157.64456984556782</v>
      </c>
      <c r="BK55" s="199">
        <f t="shared" si="33"/>
        <v>-56.228240199996726</v>
      </c>
      <c r="BL55" s="199">
        <f t="shared" si="34"/>
        <v>0</v>
      </c>
      <c r="BM55" s="199">
        <f t="shared" si="35"/>
        <v>0</v>
      </c>
      <c r="BN55" s="348">
        <f t="shared" ref="BN55:BN75" si="95">IFERROR(I55-BJ55,0)</f>
        <v>86.47475554556793</v>
      </c>
      <c r="BP55" s="195">
        <v>-89.070287299999734</v>
      </c>
      <c r="BQ55" s="195">
        <v>-33.835182200000673</v>
      </c>
      <c r="BR55" s="195">
        <v>-69.825243156095723</v>
      </c>
      <c r="BS55" s="359">
        <f>SUM(BP55:BR55)</f>
        <v>-192.73071265609613</v>
      </c>
      <c r="BT55" s="199">
        <f t="shared" si="39"/>
        <v>-74.128713199996582</v>
      </c>
      <c r="BU55" s="199">
        <f t="shared" si="40"/>
        <v>3.1025923232600832</v>
      </c>
      <c r="BV55" s="199" t="e">
        <f t="shared" si="41"/>
        <v>#VALUE!</v>
      </c>
      <c r="BW55" s="348">
        <f t="shared" si="42"/>
        <v>-140.85136403283221</v>
      </c>
      <c r="BY55" s="348" t="e">
        <f t="shared" si="43"/>
        <v>#VALUE!</v>
      </c>
      <c r="CA55" s="201">
        <f>'FC2+10'!AA54</f>
        <v>-35.984671931108444</v>
      </c>
      <c r="CC55" s="348">
        <f t="shared" si="44"/>
        <v>35.185142368891441</v>
      </c>
      <c r="CE55" s="195">
        <f>IF('FC7+5'!S$3=1,'FC7+5'!S54,"")</f>
        <v>-71.169814299999885</v>
      </c>
      <c r="CF55" s="195" t="str">
        <f>IF('FC7+5'!T$3=1,'FC7+5'!T54,"")</f>
        <v/>
      </c>
      <c r="CG55" s="195" t="str">
        <f>IF('FC7+5'!U$3=1,'FC7+5'!U54,"")</f>
        <v/>
      </c>
      <c r="CH55" s="908">
        <f>SUM(CE55:CG55)</f>
        <v>-71.169814299999885</v>
      </c>
      <c r="CI55" s="705">
        <f t="shared" ref="CI55" si="96">IFERROR(F55-CE55,0)</f>
        <v>0</v>
      </c>
      <c r="CJ55" s="199">
        <f t="shared" ref="CJ55" si="97">IFERROR(G55-CF55,0)</f>
        <v>0</v>
      </c>
      <c r="CK55" s="199">
        <f t="shared" ref="CK55" si="98">IFERROR(H55-CG55,0)</f>
        <v>0</v>
      </c>
      <c r="CL55" s="908">
        <f t="shared" ref="CL55" si="99">IFERROR(I55-CH55,0)</f>
        <v>0</v>
      </c>
      <c r="CM55" s="895">
        <f>IF('FC7+5'!AC$3=1,'FC7+5'!AC54,"")</f>
        <v>101.13467465698902</v>
      </c>
      <c r="CN55" s="895">
        <f t="shared" si="47"/>
        <v>-172.30448895698891</v>
      </c>
    </row>
    <row r="56" spans="1:92" ht="7.5" customHeight="1" outlineLevel="1">
      <c r="F56" s="15"/>
      <c r="G56" s="15"/>
      <c r="H56" s="15"/>
      <c r="I56" s="194"/>
      <c r="K56" s="117"/>
      <c r="L56" s="117"/>
      <c r="M56" s="117"/>
      <c r="N56" s="117"/>
      <c r="O56" s="202"/>
      <c r="P56" s="202"/>
      <c r="Q56" s="202"/>
      <c r="R56" s="117"/>
      <c r="S56" s="117"/>
      <c r="T56" s="117"/>
      <c r="U56" s="117"/>
      <c r="V56" s="117"/>
      <c r="W56" s="117"/>
      <c r="X56" s="202"/>
      <c r="Y56" s="202"/>
      <c r="Z56" s="202"/>
      <c r="AA56" s="117"/>
      <c r="AB56" s="117"/>
      <c r="AC56" s="117"/>
      <c r="AD56" s="117"/>
      <c r="AE56" s="117" t="str">
        <f>IF(OL!U$3=1,OL!U55,"")</f>
        <v/>
      </c>
      <c r="AF56" s="117"/>
      <c r="AG56" s="202"/>
      <c r="AH56" s="202"/>
      <c r="AI56" s="202"/>
      <c r="AJ56" s="117"/>
      <c r="AK56" s="117"/>
      <c r="AL56" s="117"/>
      <c r="AM56" s="117"/>
      <c r="AN56" s="117"/>
      <c r="AO56" s="117"/>
      <c r="AP56" s="202"/>
      <c r="AQ56" s="202"/>
      <c r="AR56" s="202"/>
      <c r="AS56" s="117"/>
      <c r="AU56" s="117"/>
      <c r="AV56" s="849"/>
      <c r="AW56" s="117"/>
      <c r="AX56" s="117"/>
      <c r="AY56" s="117"/>
      <c r="AZ56" s="117"/>
      <c r="BA56" s="117"/>
      <c r="BB56" s="202"/>
      <c r="BC56" s="202"/>
      <c r="BD56" s="202"/>
      <c r="BE56" s="117"/>
      <c r="BG56" s="117">
        <f t="shared" si="31"/>
        <v>0</v>
      </c>
      <c r="BH56" s="117"/>
      <c r="BI56" s="117"/>
      <c r="BJ56" s="117"/>
      <c r="BK56" s="202">
        <f t="shared" si="33"/>
        <v>0</v>
      </c>
      <c r="BL56" s="202">
        <f t="shared" si="34"/>
        <v>0</v>
      </c>
      <c r="BM56" s="202">
        <f t="shared" si="35"/>
        <v>0</v>
      </c>
      <c r="BN56" s="117"/>
      <c r="BP56" s="117"/>
      <c r="BQ56" s="117"/>
      <c r="BR56" s="117"/>
      <c r="BS56" s="117"/>
      <c r="BT56" s="202"/>
      <c r="BU56" s="202"/>
      <c r="BV56" s="202"/>
      <c r="BW56" s="117"/>
      <c r="BY56" s="117"/>
      <c r="CA56" s="117">
        <f>'FC2+10'!AA55</f>
        <v>0</v>
      </c>
      <c r="CC56" s="117">
        <f t="shared" si="44"/>
        <v>0</v>
      </c>
      <c r="CE56" s="117"/>
      <c r="CF56" s="117"/>
      <c r="CG56" s="117"/>
      <c r="CH56" s="913"/>
      <c r="CI56" s="202"/>
      <c r="CJ56" s="202"/>
      <c r="CK56" s="202"/>
      <c r="CL56" s="913"/>
      <c r="CM56" s="917"/>
      <c r="CN56" s="917">
        <f t="shared" si="47"/>
        <v>0</v>
      </c>
    </row>
    <row r="57" spans="1:92" ht="18" customHeight="1" outlineLevel="1" thickBot="1">
      <c r="B57" s="80" t="s">
        <v>137</v>
      </c>
      <c r="C57" s="91"/>
      <c r="D57" s="81"/>
      <c r="E57" s="91"/>
      <c r="F57" s="92">
        <f>IF(Act!S$3=1,Act!S56,"")</f>
        <v>-3.1056917000000017E-2</v>
      </c>
      <c r="G57" s="92" t="str">
        <f>IF(Act!T$3=1,Act!T56,"")</f>
        <v/>
      </c>
      <c r="H57" s="92" t="str">
        <f>IF(Act!U$3=1,Act!U56,"")</f>
        <v/>
      </c>
      <c r="I57" s="203">
        <f>SUM(F57:H57)</f>
        <v>-3.1056917000000017E-2</v>
      </c>
      <c r="K57" s="204">
        <f>IF(BP!S$3=1,BP!S56,"")</f>
        <v>-5.8145287999999989E-2</v>
      </c>
      <c r="L57" s="204" t="str">
        <f>IF(BP!T$3=1,BP!T56,"")</f>
        <v/>
      </c>
      <c r="M57" s="204" t="str">
        <f>IF(BP!U$3=1,BP!U56,"")</f>
        <v/>
      </c>
      <c r="N57" s="120">
        <f>SUM(K57:M57)</f>
        <v>-5.8145287999999989E-2</v>
      </c>
      <c r="O57" s="199">
        <f>IFERROR(F57-K57,0)</f>
        <v>2.7088370999999972E-2</v>
      </c>
      <c r="P57" s="199">
        <f>IFERROR(G57-L57,0)</f>
        <v>0</v>
      </c>
      <c r="Q57" s="199">
        <f>IFERROR(H57-M57,0)</f>
        <v>0</v>
      </c>
      <c r="R57" s="200">
        <f>I57-N57</f>
        <v>2.7088370999999972E-2</v>
      </c>
      <c r="S57" s="117"/>
      <c r="T57" s="209">
        <f>IF('FC2+10'!S$3=1,'FC2+10'!S56,"")</f>
        <v>-3.1056917000000017E-2</v>
      </c>
      <c r="U57" s="204" t="str">
        <f>IF('FC2+10'!T$3=1,'FC2+10'!T56,"")</f>
        <v/>
      </c>
      <c r="V57" s="204" t="str">
        <f>IF('FC2+10'!U$3=1,'FC2+10'!U56,"")</f>
        <v/>
      </c>
      <c r="W57" s="205">
        <f>SUM(T57:V57)</f>
        <v>-3.1056917000000017E-2</v>
      </c>
      <c r="X57" s="199">
        <f>IFERROR(F57-T57,0)</f>
        <v>0</v>
      </c>
      <c r="Y57" s="199">
        <f>IFERROR(G57-U57,0)</f>
        <v>0</v>
      </c>
      <c r="Z57" s="199">
        <f>IFERROR(H57-V57,0)</f>
        <v>0</v>
      </c>
      <c r="AA57" s="206">
        <f>I57-W57</f>
        <v>0</v>
      </c>
      <c r="AB57" s="117"/>
      <c r="AC57" s="209">
        <f>IF(OL!S$3=1,OL!S56,"")</f>
        <v>0</v>
      </c>
      <c r="AD57" s="209">
        <f>IF(OL!T$3=1,OL!T56,"")</f>
        <v>0</v>
      </c>
      <c r="AE57" s="209" t="str">
        <f>IF(OL!U$3=1,OL!U56,"")</f>
        <v/>
      </c>
      <c r="AF57" s="360">
        <f>SUM(AC57:AE57)</f>
        <v>0</v>
      </c>
      <c r="AG57" s="199">
        <f>IFERROR(F57-AC57,0)</f>
        <v>-3.1056917000000017E-2</v>
      </c>
      <c r="AH57" s="199">
        <f>IFERROR(G57-AD57,0)</f>
        <v>0</v>
      </c>
      <c r="AI57" s="199">
        <f>IFERROR(H57-AE57,0)</f>
        <v>0</v>
      </c>
      <c r="AJ57" s="349">
        <f>IFERROR(I57-AF57,0)</f>
        <v>-3.1056917000000017E-2</v>
      </c>
      <c r="AK57" s="117"/>
      <c r="AL57" s="209">
        <f>IF(LY!S$3=1,LY!S56,"")</f>
        <v>7.0850710000000096E-3</v>
      </c>
      <c r="AM57" s="209" t="str">
        <f>IF(LY!T$3=1,LY!T56,"")</f>
        <v/>
      </c>
      <c r="AN57" s="209" t="str">
        <f>IF(LY!U$3=1,LY!U56,"")</f>
        <v/>
      </c>
      <c r="AO57" s="381">
        <f>SUM(AL57:AN57)</f>
        <v>7.0850710000000096E-3</v>
      </c>
      <c r="AP57" s="199">
        <f>IFERROR(F57-AL57,0)</f>
        <v>-3.8141988000000029E-2</v>
      </c>
      <c r="AQ57" s="199">
        <f>IFERROR(G57-AM57,0)</f>
        <v>0</v>
      </c>
      <c r="AR57" s="199">
        <f>IFERROR(H57-AN57,0)</f>
        <v>0</v>
      </c>
      <c r="AS57" s="402">
        <f t="shared" si="94"/>
        <v>-3.8141988000000029E-2</v>
      </c>
      <c r="AU57" s="209">
        <f>Act!L56</f>
        <v>-7.4329570000000005E-3</v>
      </c>
      <c r="AV57" s="848" t="e">
        <f t="shared" si="28"/>
        <v>#VALUE!</v>
      </c>
      <c r="AW57" s="117"/>
      <c r="AX57" s="209">
        <f>IF('FC5+7'!S$3=1,'FC5+7'!S56,"")</f>
        <v>-3.1056917000000017E-2</v>
      </c>
      <c r="AY57" s="204" t="str">
        <f>IF('FC5+7'!T$3=1,'FC5+7'!T56,"")</f>
        <v/>
      </c>
      <c r="AZ57" s="204" t="str">
        <f>IF('FC5+7'!U$3=1,'FC5+7'!U56,"")</f>
        <v/>
      </c>
      <c r="BA57" s="205">
        <f>SUM(AX57:AZ57)</f>
        <v>-3.1056917000000017E-2</v>
      </c>
      <c r="BB57" s="199">
        <f>IFERROR(F57-AX57,0)</f>
        <v>0</v>
      </c>
      <c r="BC57" s="199">
        <f>IFERROR(G57-AY57,0)</f>
        <v>0</v>
      </c>
      <c r="BD57" s="199">
        <f>IFERROR(H57-AZ57,0)</f>
        <v>0</v>
      </c>
      <c r="BE57" s="206">
        <f>IFERROR(I57-BA57,0)</f>
        <v>0</v>
      </c>
      <c r="BG57" s="209">
        <f t="shared" si="31"/>
        <v>-3.1056917000000017E-2</v>
      </c>
      <c r="BH57" s="209">
        <v>0</v>
      </c>
      <c r="BI57" s="209">
        <v>0</v>
      </c>
      <c r="BJ57" s="360">
        <f>SUM(BG57:BI57)</f>
        <v>-3.1056917000000017E-2</v>
      </c>
      <c r="BK57" s="199">
        <f t="shared" si="33"/>
        <v>-3.1056917000000017E-2</v>
      </c>
      <c r="BL57" s="199">
        <f t="shared" si="34"/>
        <v>0</v>
      </c>
      <c r="BM57" s="199">
        <f t="shared" si="35"/>
        <v>0</v>
      </c>
      <c r="BN57" s="349">
        <f t="shared" si="95"/>
        <v>0</v>
      </c>
      <c r="BP57" s="209">
        <f t="shared" si="37"/>
        <v>-3.1056917000000017E-2</v>
      </c>
      <c r="BQ57" s="209" t="str">
        <f t="shared" si="37"/>
        <v/>
      </c>
      <c r="BR57" s="209" t="e">
        <f>#REF!</f>
        <v>#REF!</v>
      </c>
      <c r="BS57" s="360" t="e">
        <f>SUM(BP57:BR57)</f>
        <v>#REF!</v>
      </c>
      <c r="BT57" s="199">
        <f t="shared" si="39"/>
        <v>-3.1056917000000017E-2</v>
      </c>
      <c r="BU57" s="199" t="e">
        <f t="shared" si="40"/>
        <v>#VALUE!</v>
      </c>
      <c r="BV57" s="199" t="e">
        <f t="shared" si="41"/>
        <v>#REF!</v>
      </c>
      <c r="BW57" s="349" t="e">
        <f t="shared" si="42"/>
        <v>#REF!</v>
      </c>
      <c r="BY57" s="349" t="e">
        <f t="shared" si="43"/>
        <v>#VALUE!</v>
      </c>
      <c r="CA57" s="205">
        <f>'FC2+10'!AA56</f>
        <v>-0.21429378500000004</v>
      </c>
      <c r="CC57" s="349">
        <f t="shared" si="44"/>
        <v>-0.18323686800000002</v>
      </c>
      <c r="CE57" s="209">
        <f>IF('FC7+5'!S$3=1,'FC7+5'!S56,"")</f>
        <v>-3.1056917000000017E-2</v>
      </c>
      <c r="CF57" s="209" t="str">
        <f>IF('FC7+5'!T$3=1,'FC7+5'!T56,"")</f>
        <v/>
      </c>
      <c r="CG57" s="209" t="str">
        <f>IF('FC7+5'!U$3=1,'FC7+5'!U56,"")</f>
        <v/>
      </c>
      <c r="CH57" s="909">
        <f>SUM(CE57:CG57)</f>
        <v>-3.1056917000000017E-2</v>
      </c>
      <c r="CI57" s="199">
        <f t="shared" ref="CI57" si="100">IFERROR(F57-CE57,0)</f>
        <v>0</v>
      </c>
      <c r="CJ57" s="199">
        <f t="shared" ref="CJ57" si="101">IFERROR(G57-CF57,0)</f>
        <v>0</v>
      </c>
      <c r="CK57" s="199">
        <f t="shared" ref="CK57" si="102">IFERROR(H57-CG57,0)</f>
        <v>0</v>
      </c>
      <c r="CL57" s="909">
        <f t="shared" ref="CL57" si="103">IFERROR(I57-CH57,0)</f>
        <v>0</v>
      </c>
      <c r="CM57" s="895">
        <f>IF('FC7+5'!AC$3=1,'FC7+5'!AC56,"")</f>
        <v>-0.75970874099999985</v>
      </c>
      <c r="CN57" s="895">
        <f t="shared" si="47"/>
        <v>0.72865182399999984</v>
      </c>
    </row>
    <row r="58" spans="1:92" ht="6" customHeight="1" outlineLevel="1"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7"/>
      <c r="N58" s="137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137"/>
      <c r="Z58" s="137"/>
      <c r="AA58" s="137"/>
      <c r="AB58" s="137"/>
      <c r="AC58" s="137"/>
      <c r="AD58" s="137"/>
      <c r="AE58" s="137">
        <v>0</v>
      </c>
      <c r="AF58" s="137"/>
      <c r="AG58" s="137"/>
      <c r="AH58" s="137"/>
      <c r="AI58" s="137"/>
      <c r="AJ58" s="137"/>
      <c r="AK58" s="137"/>
      <c r="AL58" s="137"/>
      <c r="AM58" s="137"/>
      <c r="AN58" s="137"/>
      <c r="AO58" s="137"/>
      <c r="AP58" s="137"/>
      <c r="AQ58" s="137"/>
      <c r="AR58" s="137"/>
      <c r="AS58" s="137"/>
      <c r="AT58" s="137"/>
      <c r="AU58" s="137"/>
      <c r="AV58" s="850"/>
      <c r="AW58" s="137"/>
      <c r="AX58" s="137"/>
      <c r="AY58" s="137"/>
      <c r="AZ58" s="137"/>
      <c r="BA58" s="137"/>
      <c r="BB58" s="137"/>
      <c r="BC58" s="137"/>
      <c r="BD58" s="137"/>
      <c r="BE58" s="137"/>
      <c r="BG58" s="137">
        <f t="shared" si="31"/>
        <v>0</v>
      </c>
      <c r="BH58" s="137"/>
      <c r="BI58" s="137"/>
      <c r="BJ58" s="137"/>
      <c r="BK58" s="137">
        <f t="shared" si="33"/>
        <v>0</v>
      </c>
      <c r="BL58" s="137">
        <f t="shared" si="34"/>
        <v>0</v>
      </c>
      <c r="BM58" s="137">
        <f t="shared" si="35"/>
        <v>0</v>
      </c>
      <c r="BN58" s="137"/>
      <c r="BP58" s="137"/>
      <c r="BQ58" s="137"/>
      <c r="BR58" s="137"/>
      <c r="BS58" s="137"/>
      <c r="BT58" s="137"/>
      <c r="BU58" s="137"/>
      <c r="BV58" s="137"/>
      <c r="BW58" s="137"/>
      <c r="BY58" s="137"/>
      <c r="CA58" s="137">
        <f>'FC2+10'!AA57</f>
        <v>0</v>
      </c>
      <c r="CC58" s="137">
        <f t="shared" si="44"/>
        <v>0</v>
      </c>
      <c r="CE58" s="137"/>
      <c r="CF58" s="137"/>
      <c r="CG58" s="137"/>
      <c r="CH58" s="914"/>
      <c r="CI58" s="137"/>
      <c r="CJ58" s="137"/>
      <c r="CK58" s="137"/>
      <c r="CL58" s="914"/>
      <c r="CM58" s="918"/>
      <c r="CN58" s="918"/>
    </row>
    <row r="59" spans="1:92" ht="14.45" customHeight="1" outlineLevel="1">
      <c r="B59" s="444"/>
      <c r="C59" s="445"/>
      <c r="D59" s="446" t="s">
        <v>297</v>
      </c>
      <c r="E59" s="453"/>
      <c r="F59" s="18">
        <f>IF(Act!S$3=1,Act!S58,"")</f>
        <v>-1.8589674599999999</v>
      </c>
      <c r="G59" s="18" t="str">
        <f>IF(Act!T$3=1,Act!T58,"")</f>
        <v/>
      </c>
      <c r="H59" s="18" t="str">
        <f>IF(Act!U$3=1,Act!U58,"")</f>
        <v/>
      </c>
      <c r="I59" s="464">
        <f>SUM(F59:H59)</f>
        <v>-1.8589674599999999</v>
      </c>
      <c r="K59" s="19">
        <f>IF(BP!S$3=1,BP!S58,"")</f>
        <v>-1.9284679710456645</v>
      </c>
      <c r="L59" s="19" t="str">
        <f>IF(BP!T$3=1,BP!T58,"")</f>
        <v/>
      </c>
      <c r="M59" s="19" t="str">
        <f>IF(BP!U$3=1,BP!U58,"")</f>
        <v/>
      </c>
      <c r="N59" s="110">
        <f>SUM(K59:M59)</f>
        <v>-1.9284679710456645</v>
      </c>
      <c r="O59" s="157">
        <f t="shared" ref="O59:Q60" si="104">IFERROR(F59-K59,0)</f>
        <v>6.950051104566457E-2</v>
      </c>
      <c r="P59" s="157">
        <f t="shared" si="104"/>
        <v>0</v>
      </c>
      <c r="Q59" s="157">
        <f t="shared" si="104"/>
        <v>0</v>
      </c>
      <c r="R59" s="168">
        <f>SUM(O59:Q59)</f>
        <v>6.950051104566457E-2</v>
      </c>
      <c r="S59" s="117"/>
      <c r="T59" s="469">
        <f>IF('FC2+10'!S$3=1,'FC2+10'!S58,"")</f>
        <v>-1.8589674599999999</v>
      </c>
      <c r="U59" s="470" t="str">
        <f>IF('FC2+10'!T$3=1,'FC2+10'!T58,"")</f>
        <v/>
      </c>
      <c r="V59" s="470" t="str">
        <f>IF('FC2+10'!U$3=1,'FC2+10'!U58,"")</f>
        <v/>
      </c>
      <c r="W59" s="169">
        <f>SUM(T59:V59)</f>
        <v>-1.8589674599999999</v>
      </c>
      <c r="X59" s="157">
        <f t="shared" ref="X59:Z60" si="105">IFERROR(F59-T59,0)</f>
        <v>0</v>
      </c>
      <c r="Y59" s="157">
        <f t="shared" si="105"/>
        <v>0</v>
      </c>
      <c r="Z59" s="157">
        <f t="shared" si="105"/>
        <v>0</v>
      </c>
      <c r="AA59" s="170">
        <f>SUM(X59:Z59)</f>
        <v>0</v>
      </c>
      <c r="AB59" s="117"/>
      <c r="AC59" s="469">
        <f>IF(OL!S$3=1,OL!S58,"")</f>
        <v>-0.86099999999999999</v>
      </c>
      <c r="AD59" s="470">
        <f>IF(OL!T$3=1,OL!T58,"")</f>
        <v>-1.0695394895257728</v>
      </c>
      <c r="AE59" s="470" t="str">
        <f>IF(OL!U$3=1,OL!U58,"")</f>
        <v/>
      </c>
      <c r="AF59" s="475">
        <f>SUM(AC59:AE59)</f>
        <v>-1.9305394895257728</v>
      </c>
      <c r="AG59" s="157">
        <f t="shared" ref="AG59:AI61" si="106">IFERROR(F59-AC59,0)</f>
        <v>-0.99796745999999992</v>
      </c>
      <c r="AH59" s="157">
        <f t="shared" si="106"/>
        <v>0</v>
      </c>
      <c r="AI59" s="157">
        <f t="shared" si="106"/>
        <v>0</v>
      </c>
      <c r="AJ59" s="342">
        <f>SUM(AG59:AI59)</f>
        <v>-0.99796745999999992</v>
      </c>
      <c r="AK59" s="117"/>
      <c r="AL59" s="469">
        <f>IF(LY!S$3=1,LY!S58,"")</f>
        <v>-2.0801910000000001</v>
      </c>
      <c r="AM59" s="470" t="str">
        <f>IF(LY!T$3=1,LY!T58,"")</f>
        <v/>
      </c>
      <c r="AN59" s="470" t="str">
        <f>IF(LY!U$3=1,LY!U58,"")</f>
        <v/>
      </c>
      <c r="AO59" s="385">
        <f>SUM(AL59:AN59)</f>
        <v>-2.0801910000000001</v>
      </c>
      <c r="AP59" s="157">
        <f t="shared" ref="AP59:AR60" si="107">IFERROR(F59-AL59,0)</f>
        <v>0.22122354000000022</v>
      </c>
      <c r="AQ59" s="157">
        <f t="shared" si="107"/>
        <v>0</v>
      </c>
      <c r="AR59" s="157">
        <f t="shared" si="107"/>
        <v>0</v>
      </c>
      <c r="AS59" s="395">
        <f>SUM(AP59:AR59)</f>
        <v>0.22122354000000022</v>
      </c>
      <c r="AU59" s="469">
        <f>Act!L58</f>
        <v>-0.80425389000000003</v>
      </c>
      <c r="AV59" s="160" t="e">
        <f t="shared" si="28"/>
        <v>#VALUE!</v>
      </c>
      <c r="AW59" s="117"/>
      <c r="AX59" s="469">
        <f>IF('FC5+7'!S$3=1,'FC5+7'!S58,"")</f>
        <v>-1.8589674599999999</v>
      </c>
      <c r="AY59" s="470" t="str">
        <f>IF('FC5+7'!T$3=1,'FC5+7'!T58,"")</f>
        <v/>
      </c>
      <c r="AZ59" s="470" t="str">
        <f>IF('FC5+7'!U$3=1,'FC5+7'!U58,"")</f>
        <v/>
      </c>
      <c r="BA59" s="169">
        <f>SUM(AX59:AZ59)</f>
        <v>-1.8589674599999999</v>
      </c>
      <c r="BB59" s="157">
        <f t="shared" ref="BB59:BE61" si="108">IFERROR(F59-AX59,0)</f>
        <v>0</v>
      </c>
      <c r="BC59" s="545">
        <f t="shared" si="108"/>
        <v>0</v>
      </c>
      <c r="BD59" s="157">
        <f t="shared" si="108"/>
        <v>0</v>
      </c>
      <c r="BE59" s="170">
        <f t="shared" si="108"/>
        <v>0</v>
      </c>
      <c r="BG59" s="469">
        <f t="shared" si="31"/>
        <v>-1.8589674599999999</v>
      </c>
      <c r="BH59" s="470">
        <v>-0.93709822478656601</v>
      </c>
      <c r="BI59" s="470">
        <v>-3.3629486279224547</v>
      </c>
      <c r="BJ59" s="475">
        <f>SUM(BG59:BI59)</f>
        <v>-6.1590143127090204</v>
      </c>
      <c r="BK59" s="157">
        <f t="shared" si="33"/>
        <v>-0.99796745999999992</v>
      </c>
      <c r="BL59" s="157">
        <f t="shared" si="34"/>
        <v>0</v>
      </c>
      <c r="BM59" s="157">
        <f t="shared" si="35"/>
        <v>0</v>
      </c>
      <c r="BN59" s="342">
        <f t="shared" si="95"/>
        <v>4.3000468527090208</v>
      </c>
      <c r="BP59" s="469">
        <f t="shared" si="37"/>
        <v>-1.8589674599999999</v>
      </c>
      <c r="BQ59" s="470" t="str">
        <f t="shared" si="37"/>
        <v/>
      </c>
      <c r="BR59" s="470" t="e">
        <f>#REF!</f>
        <v>#REF!</v>
      </c>
      <c r="BS59" s="475" t="e">
        <f>SUM(BP59:BR59)</f>
        <v>#REF!</v>
      </c>
      <c r="BT59" s="157">
        <f t="shared" si="39"/>
        <v>-0.99796745999999992</v>
      </c>
      <c r="BU59" s="157" t="e">
        <f t="shared" si="40"/>
        <v>#VALUE!</v>
      </c>
      <c r="BV59" s="157" t="e">
        <f t="shared" si="41"/>
        <v>#REF!</v>
      </c>
      <c r="BW59" s="342" t="e">
        <f t="shared" si="42"/>
        <v>#REF!</v>
      </c>
      <c r="BY59" s="342" t="e">
        <f t="shared" si="43"/>
        <v>#VALUE!</v>
      </c>
      <c r="CA59" s="169">
        <f>'FC2+10'!AA58</f>
        <v>-4.4879116145971105</v>
      </c>
      <c r="CC59" s="342">
        <f t="shared" si="44"/>
        <v>-2.6289441545971108</v>
      </c>
      <c r="CE59" s="469">
        <f>IF('FC7+5'!S$3=1,'FC7+5'!S58,"")</f>
        <v>-1.8589674599999999</v>
      </c>
      <c r="CF59" s="469" t="str">
        <f>IF('FC7+5'!T$3=1,'FC7+5'!T58,"")</f>
        <v/>
      </c>
      <c r="CG59" s="469" t="str">
        <f>IF('FC7+5'!U$3=1,'FC7+5'!U58,"")</f>
        <v/>
      </c>
      <c r="CH59" s="899">
        <f>SUM(CE59:CG59)</f>
        <v>-1.8589674599999999</v>
      </c>
      <c r="CI59" s="157">
        <f t="shared" ref="CI59:CI61" si="109">IFERROR(F59-CE59,0)</f>
        <v>0</v>
      </c>
      <c r="CJ59" s="545">
        <f t="shared" ref="CJ59:CJ61" si="110">IFERROR(G59-CF59,0)</f>
        <v>0</v>
      </c>
      <c r="CK59" s="157">
        <f t="shared" ref="CK59:CK61" si="111">IFERROR(H59-CG59,0)</f>
        <v>0</v>
      </c>
      <c r="CL59" s="899">
        <f t="shared" ref="CL59:CL61" si="112">IFERROR(I59-CH59,0)</f>
        <v>0</v>
      </c>
      <c r="CM59" s="899">
        <f>IF('FC7+5'!AC$3=1,'FC7+5'!AC58,"")</f>
        <v>-6.0421470930234467</v>
      </c>
      <c r="CN59" s="899">
        <f t="shared" si="47"/>
        <v>4.183179633023447</v>
      </c>
    </row>
    <row r="60" spans="1:92" ht="11.45" customHeight="1" outlineLevel="1">
      <c r="B60" s="447"/>
      <c r="C60" s="448"/>
      <c r="D60" s="449" t="s">
        <v>33</v>
      </c>
      <c r="E60" s="454"/>
      <c r="F60" s="45">
        <f>IF(Act!S$3=1,Act!S59,"")</f>
        <v>-3.0503450540000001</v>
      </c>
      <c r="G60" s="45" t="str">
        <f>IF(Act!T$3=1,Act!T59,"")</f>
        <v/>
      </c>
      <c r="H60" s="45" t="str">
        <f>IF(Act!U$3=1,Act!U59,"")</f>
        <v/>
      </c>
      <c r="I60" s="465">
        <f>SUM(F60:H60)</f>
        <v>-3.0503450540000001</v>
      </c>
      <c r="K60" s="46">
        <f>IF(BP!S$3=1,BP!S59,"")</f>
        <v>-3.2049700358177891</v>
      </c>
      <c r="L60" s="46" t="str">
        <f>IF(BP!T$3=1,BP!T59,"")</f>
        <v/>
      </c>
      <c r="M60" s="46" t="str">
        <f>IF(BP!U$3=1,BP!U59,"")</f>
        <v/>
      </c>
      <c r="N60" s="466">
        <f>SUM(K60:M60)</f>
        <v>-3.2049700358177891</v>
      </c>
      <c r="O60" s="172">
        <f t="shared" si="104"/>
        <v>0.15462498181778894</v>
      </c>
      <c r="P60" s="172">
        <f t="shared" si="104"/>
        <v>0</v>
      </c>
      <c r="Q60" s="172">
        <f t="shared" si="104"/>
        <v>0</v>
      </c>
      <c r="R60" s="467">
        <f>SUM(O60:Q60)</f>
        <v>0.15462498181778894</v>
      </c>
      <c r="S60" s="117"/>
      <c r="T60" s="471">
        <f>IF('FC2+10'!S$3=1,'FC2+10'!S59,"")</f>
        <v>-3.0503450540000001</v>
      </c>
      <c r="U60" s="472" t="str">
        <f>IF('FC2+10'!T$3=1,'FC2+10'!T59,"")</f>
        <v/>
      </c>
      <c r="V60" s="472" t="str">
        <f>IF('FC2+10'!U$3=1,'FC2+10'!U59,"")</f>
        <v/>
      </c>
      <c r="W60" s="468">
        <f>SUM(T60:V60)</f>
        <v>-3.0503450540000001</v>
      </c>
      <c r="X60" s="172">
        <f t="shared" si="105"/>
        <v>0</v>
      </c>
      <c r="Y60" s="172">
        <f t="shared" si="105"/>
        <v>0</v>
      </c>
      <c r="Z60" s="172">
        <f t="shared" si="105"/>
        <v>0</v>
      </c>
      <c r="AA60" s="473">
        <f>SUM(X60:Z60)</f>
        <v>0</v>
      </c>
      <c r="AB60" s="117"/>
      <c r="AC60" s="471">
        <f>IF(OL!S$3=1,OL!S59,"")</f>
        <v>-4.894609184999994</v>
      </c>
      <c r="AD60" s="472">
        <f>IF(OL!T$3=1,OL!T59,"")</f>
        <v>-4.8290943526036161</v>
      </c>
      <c r="AE60" s="472" t="str">
        <f>IF(OL!U$3=1,OL!U59,"")</f>
        <v/>
      </c>
      <c r="AF60" s="476">
        <f>SUM(AC60:AE60)</f>
        <v>-9.7237035376036101</v>
      </c>
      <c r="AG60" s="172">
        <f t="shared" si="106"/>
        <v>1.8442641309999939</v>
      </c>
      <c r="AH60" s="172">
        <f t="shared" si="106"/>
        <v>0</v>
      </c>
      <c r="AI60" s="172">
        <f t="shared" si="106"/>
        <v>0</v>
      </c>
      <c r="AJ60" s="477">
        <f>SUM(AG60:AI60)</f>
        <v>1.8442641309999939</v>
      </c>
      <c r="AK60" s="117"/>
      <c r="AL60" s="471">
        <f>IF(LY!S$3=1,LY!S59,"")</f>
        <v>-2.1956719010000034</v>
      </c>
      <c r="AM60" s="472" t="str">
        <f>IF(LY!T$3=1,LY!T59,"")</f>
        <v/>
      </c>
      <c r="AN60" s="472" t="str">
        <f>IF(LY!U$3=1,LY!U59,"")</f>
        <v/>
      </c>
      <c r="AO60" s="474">
        <f>SUM(AL60:AN60)</f>
        <v>-2.1956719010000034</v>
      </c>
      <c r="AP60" s="172">
        <f t="shared" si="107"/>
        <v>-0.85467315299999669</v>
      </c>
      <c r="AQ60" s="172">
        <f t="shared" si="107"/>
        <v>0</v>
      </c>
      <c r="AR60" s="172">
        <f t="shared" si="107"/>
        <v>0</v>
      </c>
      <c r="AS60" s="794">
        <f>SUM(AP60:AR60)</f>
        <v>-0.85467315299999669</v>
      </c>
      <c r="AU60" s="471">
        <f>Act!L59</f>
        <v>-4.006431561090908</v>
      </c>
      <c r="AV60" s="175" t="e">
        <f t="shared" si="28"/>
        <v>#VALUE!</v>
      </c>
      <c r="AW60" s="117"/>
      <c r="AX60" s="471">
        <f>IF('FC5+7'!S$3=1,'FC5+7'!S59,"")</f>
        <v>-3.0503450540000001</v>
      </c>
      <c r="AY60" s="472" t="str">
        <f>IF('FC5+7'!T$3=1,'FC5+7'!T59,"")</f>
        <v/>
      </c>
      <c r="AZ60" s="472" t="str">
        <f>IF('FC5+7'!U$3=1,'FC5+7'!U59,"")</f>
        <v/>
      </c>
      <c r="BA60" s="468">
        <f>SUM(AX60:AZ60)</f>
        <v>-3.0503450540000001</v>
      </c>
      <c r="BB60" s="172">
        <f t="shared" si="108"/>
        <v>0</v>
      </c>
      <c r="BC60" s="172">
        <f t="shared" si="108"/>
        <v>0</v>
      </c>
      <c r="BD60" s="172">
        <f t="shared" si="108"/>
        <v>0</v>
      </c>
      <c r="BE60" s="473">
        <f t="shared" si="108"/>
        <v>0</v>
      </c>
      <c r="BG60" s="471">
        <f t="shared" si="31"/>
        <v>-3.0503450540000001</v>
      </c>
      <c r="BH60" s="472">
        <v>-2.9743162313462701</v>
      </c>
      <c r="BI60" s="472">
        <v>-4.4260202589213655</v>
      </c>
      <c r="BJ60" s="476">
        <f>SUM(BG60:BI60)</f>
        <v>-10.450681544267635</v>
      </c>
      <c r="BK60" s="172">
        <f t="shared" si="33"/>
        <v>1.8442641309999939</v>
      </c>
      <c r="BL60" s="172">
        <f t="shared" si="34"/>
        <v>0</v>
      </c>
      <c r="BM60" s="172">
        <f t="shared" si="35"/>
        <v>0</v>
      </c>
      <c r="BN60" s="477">
        <f t="shared" si="95"/>
        <v>7.4003364902676347</v>
      </c>
      <c r="BP60" s="471">
        <f t="shared" si="37"/>
        <v>-3.0503450540000001</v>
      </c>
      <c r="BQ60" s="472" t="str">
        <f t="shared" si="37"/>
        <v/>
      </c>
      <c r="BR60" s="472" t="e">
        <f>#REF!</f>
        <v>#REF!</v>
      </c>
      <c r="BS60" s="476" t="e">
        <f>SUM(BP60:BR60)</f>
        <v>#REF!</v>
      </c>
      <c r="BT60" s="172">
        <f t="shared" si="39"/>
        <v>1.8442641309999939</v>
      </c>
      <c r="BU60" s="172" t="e">
        <f t="shared" si="40"/>
        <v>#VALUE!</v>
      </c>
      <c r="BV60" s="172" t="e">
        <f t="shared" si="41"/>
        <v>#REF!</v>
      </c>
      <c r="BW60" s="477" t="e">
        <f t="shared" si="42"/>
        <v>#REF!</v>
      </c>
      <c r="BY60" s="477" t="e">
        <f t="shared" si="43"/>
        <v>#VALUE!</v>
      </c>
      <c r="CA60" s="468">
        <f>'FC2+10'!AA59</f>
        <v>-18.378143549512664</v>
      </c>
      <c r="CC60" s="477">
        <f t="shared" si="44"/>
        <v>-15.327798495512663</v>
      </c>
      <c r="CE60" s="471">
        <f>IF('FC7+5'!S$3=1,'FC7+5'!S59,"")</f>
        <v>-3.0503450540000001</v>
      </c>
      <c r="CF60" s="471" t="str">
        <f>IF('FC7+5'!T$3=1,'FC7+5'!T59,"")</f>
        <v/>
      </c>
      <c r="CG60" s="471" t="str">
        <f>IF('FC7+5'!U$3=1,'FC7+5'!U59,"")</f>
        <v/>
      </c>
      <c r="CH60" s="910">
        <f>SUM(CE60:CG60)</f>
        <v>-3.0503450540000001</v>
      </c>
      <c r="CI60" s="172">
        <f t="shared" si="109"/>
        <v>0</v>
      </c>
      <c r="CJ60" s="172">
        <f t="shared" si="110"/>
        <v>0</v>
      </c>
      <c r="CK60" s="172">
        <f t="shared" si="111"/>
        <v>0</v>
      </c>
      <c r="CL60" s="910">
        <f t="shared" si="112"/>
        <v>0</v>
      </c>
      <c r="CM60" s="910">
        <f>IF('FC7+5'!AC$3=1,'FC7+5'!AC59,"")</f>
        <v>-15.907073486284045</v>
      </c>
      <c r="CN60" s="910">
        <f t="shared" si="47"/>
        <v>12.856728432284044</v>
      </c>
    </row>
    <row r="61" spans="1:92" ht="13.5" customHeight="1" outlineLevel="1">
      <c r="B61" s="450"/>
      <c r="C61" s="451" t="s">
        <v>299</v>
      </c>
      <c r="D61" s="452"/>
      <c r="E61" s="455"/>
      <c r="F61" s="69">
        <f>SUM(F59:F60)</f>
        <v>-4.9093125139999998</v>
      </c>
      <c r="G61" s="69">
        <f>SUM(G59:G60)</f>
        <v>0</v>
      </c>
      <c r="H61" s="69">
        <f>SUM(H59:H60)</f>
        <v>0</v>
      </c>
      <c r="I61" s="188">
        <f>SUM(F61:H61)</f>
        <v>-4.9093125139999998</v>
      </c>
      <c r="K61" s="69">
        <f>SUM(K59:K60)</f>
        <v>-5.1334380068634538</v>
      </c>
      <c r="L61" s="69">
        <f>SUM(L59:L60)</f>
        <v>0</v>
      </c>
      <c r="M61" s="69">
        <f>SUM(M59:M60)</f>
        <v>0</v>
      </c>
      <c r="N61" s="119">
        <f>SUM(K61:M61)</f>
        <v>-5.1334380068634538</v>
      </c>
      <c r="O61" s="69">
        <f>SUM(O59:O60)</f>
        <v>0.22412549286345351</v>
      </c>
      <c r="P61" s="69">
        <f>SUM(P59:P60)</f>
        <v>0</v>
      </c>
      <c r="Q61" s="69">
        <f>SUM(Q59:Q60)</f>
        <v>0</v>
      </c>
      <c r="R61" s="200">
        <f>SUM(O61:Q61)</f>
        <v>0.22412549286345351</v>
      </c>
      <c r="S61" s="117"/>
      <c r="T61" s="69">
        <f>SUM(T59:T60)</f>
        <v>-4.9093125139999998</v>
      </c>
      <c r="U61" s="69">
        <f>SUM(U59:U60)</f>
        <v>0</v>
      </c>
      <c r="V61" s="69">
        <f>SUM(V59:V60)</f>
        <v>0</v>
      </c>
      <c r="W61" s="201">
        <f>SUM(T61:V61)</f>
        <v>-4.9093125139999998</v>
      </c>
      <c r="X61" s="69">
        <f>SUM(X59:X60)</f>
        <v>0</v>
      </c>
      <c r="Y61" s="69">
        <f>SUM(Y59:Y60)</f>
        <v>0</v>
      </c>
      <c r="Z61" s="69">
        <f>SUM(Z59:Z60)</f>
        <v>0</v>
      </c>
      <c r="AA61" s="198">
        <f>SUM(X61:Z61)</f>
        <v>0</v>
      </c>
      <c r="AB61" s="117"/>
      <c r="AC61" s="69">
        <f>SUM(AC59:AC60)</f>
        <v>-5.7556091849999937</v>
      </c>
      <c r="AD61" s="69">
        <f>SUM(AD59:AD60)</f>
        <v>-5.8986338421293887</v>
      </c>
      <c r="AE61" s="69">
        <f>SUM(AE59:AE60)</f>
        <v>0</v>
      </c>
      <c r="AF61" s="361">
        <f>SUM(AC61:AE61)</f>
        <v>-11.654243027129382</v>
      </c>
      <c r="AG61" s="69">
        <f t="shared" si="106"/>
        <v>0.84629667099999395</v>
      </c>
      <c r="AH61" s="69">
        <f t="shared" si="106"/>
        <v>5.8986338421293887</v>
      </c>
      <c r="AI61" s="69">
        <f t="shared" si="106"/>
        <v>0</v>
      </c>
      <c r="AJ61" s="348">
        <f>SUM(AG61:AI61)</f>
        <v>6.7449305131293826</v>
      </c>
      <c r="AK61" s="117"/>
      <c r="AL61" s="69">
        <f>SUM(AL59:AL60)</f>
        <v>-4.2758629010000035</v>
      </c>
      <c r="AM61" s="69">
        <f>SUM(AM59:AM60)</f>
        <v>0</v>
      </c>
      <c r="AN61" s="69">
        <f>SUM(AN59:AN60)</f>
        <v>0</v>
      </c>
      <c r="AO61" s="382">
        <f>SUM(AL61:AN61)</f>
        <v>-4.2758629010000035</v>
      </c>
      <c r="AP61" s="69">
        <f>SUM(AP59:AP60)</f>
        <v>-0.63344961299999647</v>
      </c>
      <c r="AQ61" s="892">
        <f>SUM(AQ59:AQ60)</f>
        <v>0</v>
      </c>
      <c r="AR61" s="69">
        <f>SUM(AR59:AR60)</f>
        <v>0</v>
      </c>
      <c r="AS61" s="401">
        <f>SUM(AP61:AR61)</f>
        <v>-0.63344961299999647</v>
      </c>
      <c r="AU61" s="69">
        <f>Act!L60</f>
        <v>-4.8106854510909081</v>
      </c>
      <c r="AV61" s="198">
        <f t="shared" si="28"/>
        <v>4.8106854510909081</v>
      </c>
      <c r="AW61" s="117"/>
      <c r="AX61" s="69">
        <f>SUM(AX59:AX60)</f>
        <v>-4.9093125139999998</v>
      </c>
      <c r="AY61" s="69">
        <f>SUM(AY59:AY60)</f>
        <v>0</v>
      </c>
      <c r="AZ61" s="69">
        <f>SUM(AZ59:AZ60)</f>
        <v>0</v>
      </c>
      <c r="BA61" s="201">
        <f>SUM(AX61:AZ61)</f>
        <v>-4.9093125139999998</v>
      </c>
      <c r="BB61" s="69">
        <f t="shared" si="108"/>
        <v>0</v>
      </c>
      <c r="BC61" s="69">
        <f t="shared" si="108"/>
        <v>0</v>
      </c>
      <c r="BD61" s="69">
        <f t="shared" si="108"/>
        <v>0</v>
      </c>
      <c r="BE61" s="198">
        <f t="shared" si="108"/>
        <v>0</v>
      </c>
      <c r="BG61" s="69">
        <f t="shared" si="31"/>
        <v>-4.9093125139999998</v>
      </c>
      <c r="BH61" s="69">
        <v>-3.9114144561328361</v>
      </c>
      <c r="BI61" s="69">
        <v>-7.7889688868438203</v>
      </c>
      <c r="BJ61" s="361">
        <f>SUM(BG61:BI61)</f>
        <v>-16.609695856976657</v>
      </c>
      <c r="BK61" s="69">
        <f t="shared" si="33"/>
        <v>0.84629667099999395</v>
      </c>
      <c r="BL61" s="69">
        <f t="shared" si="34"/>
        <v>5.8986338421293887</v>
      </c>
      <c r="BM61" s="69">
        <f t="shared" si="35"/>
        <v>-4.2758629010000035</v>
      </c>
      <c r="BN61" s="348">
        <f t="shared" si="95"/>
        <v>11.700383342976657</v>
      </c>
      <c r="BP61" s="69">
        <f t="shared" si="37"/>
        <v>-4.9093125139999998</v>
      </c>
      <c r="BQ61" s="69">
        <f t="shared" si="37"/>
        <v>0</v>
      </c>
      <c r="BR61" s="69" t="e">
        <f>#REF!</f>
        <v>#REF!</v>
      </c>
      <c r="BS61" s="361" t="e">
        <f>SUM(BP61:BR61)</f>
        <v>#REF!</v>
      </c>
      <c r="BT61" s="69">
        <f t="shared" si="39"/>
        <v>0.84629667099999395</v>
      </c>
      <c r="BU61" s="69">
        <f t="shared" si="40"/>
        <v>5.8986338421293887</v>
      </c>
      <c r="BV61" s="69" t="e">
        <f t="shared" si="41"/>
        <v>#REF!</v>
      </c>
      <c r="BW61" s="348" t="e">
        <f t="shared" si="42"/>
        <v>#REF!</v>
      </c>
      <c r="BY61" s="348" t="e">
        <f t="shared" si="43"/>
        <v>#REF!</v>
      </c>
      <c r="CA61" s="201">
        <f>'FC2+10'!AA60</f>
        <v>-22.866055164109774</v>
      </c>
      <c r="CC61" s="348">
        <f t="shared" si="44"/>
        <v>-17.956742650109774</v>
      </c>
      <c r="CE61" s="69">
        <f>SUM(CE59:CE60)</f>
        <v>-4.9093125139999998</v>
      </c>
      <c r="CF61" s="69">
        <f>SUM(CF59:CF60)</f>
        <v>0</v>
      </c>
      <c r="CG61" s="69">
        <f>SUM(CG59:CG60)</f>
        <v>0</v>
      </c>
      <c r="CH61" s="908">
        <f>SUM(CE61:CG61)</f>
        <v>-4.9093125139999998</v>
      </c>
      <c r="CI61" s="69">
        <f t="shared" si="109"/>
        <v>0</v>
      </c>
      <c r="CJ61" s="69">
        <f t="shared" si="110"/>
        <v>0</v>
      </c>
      <c r="CK61" s="69">
        <f t="shared" si="111"/>
        <v>0</v>
      </c>
      <c r="CL61" s="908">
        <f t="shared" si="112"/>
        <v>0</v>
      </c>
      <c r="CM61" s="908">
        <f>SUM(CM59:CM60)</f>
        <v>-21.949220579307493</v>
      </c>
      <c r="CN61" s="908">
        <f t="shared" si="47"/>
        <v>17.039908065307493</v>
      </c>
    </row>
    <row r="62" spans="1:92" ht="15">
      <c r="A62" s="94"/>
      <c r="B62" s="94"/>
      <c r="C62" s="94"/>
      <c r="D62" s="94"/>
      <c r="E62" s="94"/>
      <c r="F62" s="94"/>
      <c r="G62" s="94"/>
      <c r="H62" s="94"/>
      <c r="I62" s="94"/>
      <c r="K62" s="94"/>
      <c r="L62" s="94"/>
      <c r="M62" s="94"/>
      <c r="N62" s="94"/>
      <c r="O62" s="94"/>
      <c r="P62" s="94"/>
      <c r="Q62" s="94"/>
      <c r="R62" s="94"/>
      <c r="T62" s="94"/>
      <c r="U62" s="94"/>
      <c r="V62" s="94"/>
      <c r="W62" s="211"/>
      <c r="X62" s="94"/>
      <c r="Y62" s="94"/>
      <c r="Z62" s="94"/>
      <c r="AA62" s="211"/>
      <c r="AC62" s="94"/>
      <c r="AD62" s="94"/>
      <c r="AE62" s="94"/>
      <c r="AF62" s="211"/>
      <c r="AG62" s="94"/>
      <c r="AH62" s="94"/>
      <c r="AI62" s="94"/>
      <c r="AJ62" s="211"/>
      <c r="AL62" s="94"/>
      <c r="AM62" s="94"/>
      <c r="AN62" s="94"/>
      <c r="AO62" s="211"/>
      <c r="AP62" s="94"/>
      <c r="AQ62" s="94"/>
      <c r="AR62" s="94"/>
      <c r="AS62" s="211"/>
      <c r="AU62" s="94"/>
      <c r="AV62" s="851"/>
      <c r="AX62" s="94"/>
      <c r="AY62" s="94"/>
      <c r="AZ62" s="94"/>
      <c r="BA62" s="211"/>
      <c r="BB62" s="94"/>
      <c r="BC62" s="94"/>
      <c r="BD62" s="94"/>
      <c r="BE62" s="211"/>
      <c r="BG62" s="94"/>
      <c r="BH62" s="94"/>
      <c r="BI62" s="94"/>
      <c r="BJ62" s="211"/>
      <c r="BK62" s="94"/>
      <c r="BL62" s="94"/>
      <c r="BM62" s="94"/>
      <c r="BN62" s="211"/>
      <c r="BP62" s="94"/>
      <c r="BQ62" s="94"/>
      <c r="BR62" s="94"/>
      <c r="BS62" s="211"/>
      <c r="BT62" s="94"/>
      <c r="BU62" s="94"/>
      <c r="BV62" s="94"/>
      <c r="BW62" s="211"/>
      <c r="BY62" s="211"/>
      <c r="CA62" s="211">
        <f>'FC2+10'!AA61</f>
        <v>0</v>
      </c>
      <c r="CC62" s="211">
        <f t="shared" si="44"/>
        <v>0</v>
      </c>
      <c r="CE62" s="94"/>
      <c r="CF62" s="94"/>
      <c r="CG62" s="94"/>
      <c r="CH62" s="915"/>
      <c r="CI62" s="94"/>
      <c r="CJ62" s="94"/>
      <c r="CK62" s="94"/>
      <c r="CL62" s="915"/>
      <c r="CM62" s="919"/>
      <c r="CN62" s="919"/>
    </row>
    <row r="63" spans="1:92" ht="15">
      <c r="A63" s="94" t="s">
        <v>140</v>
      </c>
      <c r="B63" s="94"/>
      <c r="C63" s="94"/>
      <c r="D63" s="78" t="s">
        <v>50</v>
      </c>
      <c r="E63" s="73"/>
      <c r="F63" s="69">
        <f>IF(Act!S$3=1,Act!S62,"")</f>
        <v>-0.30846766876945769</v>
      </c>
      <c r="G63" s="69" t="str">
        <f>IF(Act!T$3=1,Act!T62,"")</f>
        <v/>
      </c>
      <c r="H63" s="69" t="str">
        <f>IF(Act!U$3=1,Act!U62,"")</f>
        <v/>
      </c>
      <c r="I63" s="188">
        <f t="shared" ref="I63:I74" si="113">SUM(F63:H63)</f>
        <v>-0.30846766876945769</v>
      </c>
      <c r="K63" s="69">
        <f>IF(BP!S$3=1,BP!S62,"")</f>
        <v>-1.8855914316298077</v>
      </c>
      <c r="L63" s="69" t="str">
        <f>IF(BP!T$3=1,BP!T62,"")</f>
        <v/>
      </c>
      <c r="M63" s="69" t="str">
        <f>IF(BP!U$3=1,BP!U62,"")</f>
        <v/>
      </c>
      <c r="N63" s="119">
        <f t="shared" ref="N63:N74" si="114">SUM(K63:M63)</f>
        <v>-1.8855914316298077</v>
      </c>
      <c r="O63" s="210">
        <f t="shared" ref="O63:O73" si="115">IFERROR(F63-K63,0)</f>
        <v>1.5771237628603501</v>
      </c>
      <c r="P63" s="210">
        <f t="shared" ref="P63:P73" si="116">IFERROR(G63-L63,0)</f>
        <v>0</v>
      </c>
      <c r="Q63" s="210">
        <f t="shared" ref="Q63:Q73" si="117">IFERROR(H63-M63,0)</f>
        <v>0</v>
      </c>
      <c r="R63" s="200">
        <f t="shared" ref="R63:R73" si="118">I63-N63</f>
        <v>1.5771237628603501</v>
      </c>
      <c r="T63" s="69">
        <f>IF('FC2+10'!S$3=1,'FC2+10'!S62,"")</f>
        <v>-0.30846766876945769</v>
      </c>
      <c r="U63" s="69" t="str">
        <f>IF('FC2+10'!T$3=1,'FC2+10'!T62,"")</f>
        <v/>
      </c>
      <c r="V63" s="69" t="str">
        <f>IF('FC2+10'!U$3=1,'FC2+10'!U62,"")</f>
        <v/>
      </c>
      <c r="W63" s="208">
        <f t="shared" ref="W63:W73" si="119">SUM(T63:V63)</f>
        <v>-0.30846766876945769</v>
      </c>
      <c r="X63" s="210">
        <f t="shared" ref="X63:X73" si="120">IFERROR(F63-T63,0)</f>
        <v>0</v>
      </c>
      <c r="Y63" s="210">
        <f t="shared" ref="Y63:Y73" si="121">IFERROR(G63-U63,0)</f>
        <v>0</v>
      </c>
      <c r="Z63" s="210">
        <f t="shared" ref="Z63:Z73" si="122">IFERROR(H63-V63,0)</f>
        <v>0</v>
      </c>
      <c r="AA63" s="197">
        <f t="shared" ref="AA63:AA73" si="123">I63-W63</f>
        <v>0</v>
      </c>
      <c r="AC63" s="69">
        <f>IF(OL!S$3=1,OL!S62,"")</f>
        <v>-0.2891209126082982</v>
      </c>
      <c r="AD63" s="69">
        <f>IF(OL!T$3=1,OL!T62,"")</f>
        <v>-1.0329363860771814</v>
      </c>
      <c r="AE63" s="69" t="str">
        <f>IF(OL!U$3=1,OL!U62,"")</f>
        <v/>
      </c>
      <c r="AF63" s="361">
        <f t="shared" ref="AF63:AF73" si="124">SUM(AC63:AE63)</f>
        <v>-1.3220572986854795</v>
      </c>
      <c r="AG63" s="210">
        <f t="shared" ref="AG63:AG73" si="125">IFERROR(F63-AC63,0)</f>
        <v>-1.9346756161159495E-2</v>
      </c>
      <c r="AH63" s="210">
        <f t="shared" ref="AH63:AH73" si="126">IFERROR(G63-AD63,0)</f>
        <v>0</v>
      </c>
      <c r="AI63" s="210">
        <f t="shared" ref="AI63:AI73" si="127">IFERROR(H63-AE63,0)</f>
        <v>0</v>
      </c>
      <c r="AJ63" s="350">
        <f t="shared" ref="AJ63:AJ73" si="128">IFERROR(I63-AF63,0)</f>
        <v>1.0135896299160219</v>
      </c>
      <c r="AL63" s="69">
        <f>IF(LY!S$3=1,LY!S62,"")</f>
        <v>-1.9522354038620318</v>
      </c>
      <c r="AM63" s="69" t="str">
        <f>IF(LY!T$3=1,LY!T62,"")</f>
        <v/>
      </c>
      <c r="AN63" s="69" t="str">
        <f>IF(LY!U$3=1,LY!U62,"")</f>
        <v/>
      </c>
      <c r="AO63" s="380">
        <f t="shared" ref="AO63:AO74" si="129">SUM(AL63:AN63)</f>
        <v>-1.9522354038620318</v>
      </c>
      <c r="AP63" s="210">
        <f t="shared" ref="AP63:AP74" si="130">IFERROR(F63-AL63,0)</f>
        <v>1.6437677350925741</v>
      </c>
      <c r="AQ63" s="210">
        <f t="shared" ref="AQ63:AQ74" si="131">IFERROR(G63-AM63,0)</f>
        <v>0</v>
      </c>
      <c r="AR63" s="210">
        <f t="shared" si="94"/>
        <v>0</v>
      </c>
      <c r="AS63" s="403">
        <f t="shared" si="94"/>
        <v>1.6437677350925741</v>
      </c>
      <c r="AU63" s="69">
        <f>Act!L62</f>
        <v>-1.1950801823577795</v>
      </c>
      <c r="AV63" s="852" t="e">
        <f t="shared" si="28"/>
        <v>#VALUE!</v>
      </c>
      <c r="AX63" s="69">
        <f>IF('FC5+7'!S$3=1,'FC5+7'!S62,"")</f>
        <v>-0.30846766876945769</v>
      </c>
      <c r="AY63" s="69" t="str">
        <f>IF('FC5+7'!T$3=1,'FC5+7'!T62,"")</f>
        <v/>
      </c>
      <c r="AZ63" s="69" t="str">
        <f>IF('FC5+7'!U$3=1,'FC5+7'!U62,"")</f>
        <v/>
      </c>
      <c r="BA63" s="208">
        <f t="shared" ref="BA63:BA75" si="132">SUM(AX63:AZ63)</f>
        <v>-0.30846766876945769</v>
      </c>
      <c r="BB63" s="704">
        <f t="shared" ref="BB63:BB75" si="133">IFERROR(F63-AX63,0)</f>
        <v>0</v>
      </c>
      <c r="BC63" s="210">
        <f t="shared" ref="BC63:BC75" si="134">IFERROR(G63-AY63,0)</f>
        <v>0</v>
      </c>
      <c r="BD63" s="210">
        <f t="shared" ref="BD63:BD75" si="135">IFERROR(H63-AZ63,0)</f>
        <v>0</v>
      </c>
      <c r="BE63" s="197">
        <f t="shared" ref="BE63:BE75" si="136">IFERROR(I63-BA63,0)</f>
        <v>0</v>
      </c>
      <c r="BG63" s="69">
        <f t="shared" si="31"/>
        <v>-0.30846766876945769</v>
      </c>
      <c r="BH63" s="69">
        <v>-1.9370230578080589</v>
      </c>
      <c r="BI63" s="69">
        <v>-2.2181609070604011</v>
      </c>
      <c r="BJ63" s="361">
        <f t="shared" ref="BJ63:BJ73" si="137">SUM(BG63:BI63)</f>
        <v>-4.4636516336379177</v>
      </c>
      <c r="BK63" s="210">
        <f t="shared" si="33"/>
        <v>-1.9346756161159495E-2</v>
      </c>
      <c r="BL63" s="210">
        <f t="shared" si="34"/>
        <v>0</v>
      </c>
      <c r="BM63" s="210">
        <f t="shared" si="35"/>
        <v>0</v>
      </c>
      <c r="BN63" s="350">
        <f t="shared" si="95"/>
        <v>4.1551839648684599</v>
      </c>
      <c r="BP63" s="69">
        <f t="shared" si="37"/>
        <v>-0.30846766876945769</v>
      </c>
      <c r="BQ63" s="69" t="str">
        <f t="shared" si="37"/>
        <v/>
      </c>
      <c r="BR63" s="69" t="e">
        <f>#REF!</f>
        <v>#REF!</v>
      </c>
      <c r="BS63" s="361" t="e">
        <f t="shared" ref="BS63:BS73" si="138">SUM(BP63:BR63)</f>
        <v>#REF!</v>
      </c>
      <c r="BT63" s="210">
        <f t="shared" si="39"/>
        <v>-1.9346756161159495E-2</v>
      </c>
      <c r="BU63" s="210" t="e">
        <f t="shared" si="40"/>
        <v>#VALUE!</v>
      </c>
      <c r="BV63" s="210" t="e">
        <f t="shared" si="41"/>
        <v>#REF!</v>
      </c>
      <c r="BW63" s="350" t="e">
        <f t="shared" si="42"/>
        <v>#REF!</v>
      </c>
      <c r="BY63" s="350" t="e">
        <f t="shared" si="43"/>
        <v>#VALUE!</v>
      </c>
      <c r="CA63" s="208">
        <f>'FC2+10'!AA62</f>
        <v>-6.0411989332484577</v>
      </c>
      <c r="CC63" s="350">
        <f t="shared" si="44"/>
        <v>-5.7327312644789998</v>
      </c>
      <c r="CE63" s="69">
        <f>IF('FC7+5'!S$3=1,'FC7+5'!S62,"")</f>
        <v>-0.30846766876945769</v>
      </c>
      <c r="CF63" s="69" t="str">
        <f>IF('FC7+5'!T$3=1,'FC7+5'!T62,"")</f>
        <v/>
      </c>
      <c r="CG63" s="69" t="str">
        <f>IF('FC7+5'!U$3=1,'FC7+5'!U62,"")</f>
        <v/>
      </c>
      <c r="CH63" s="907">
        <f t="shared" ref="CH63:CH75" si="139">SUM(CE63:CG63)</f>
        <v>-0.30846766876945769</v>
      </c>
      <c r="CI63" s="704">
        <f t="shared" ref="CI63:CI78" si="140">IFERROR(F63-CE63,0)</f>
        <v>0</v>
      </c>
      <c r="CJ63" s="210">
        <f t="shared" ref="CJ63:CJ78" si="141">IFERROR(G63-CF63,0)</f>
        <v>0</v>
      </c>
      <c r="CK63" s="210">
        <f t="shared" ref="CK63:CK78" si="142">IFERROR(H63-CG63,0)</f>
        <v>0</v>
      </c>
      <c r="CL63" s="907">
        <f t="shared" ref="CL63:CL78" si="143">IFERROR(I63-CH63,0)</f>
        <v>0</v>
      </c>
      <c r="CM63" s="907">
        <f>IF('FC7+5'!AC$3=1,'FC7+5'!AC62,"")</f>
        <v>-4.2715757860079107</v>
      </c>
      <c r="CN63" s="907">
        <f t="shared" si="47"/>
        <v>3.9631081172384528</v>
      </c>
    </row>
    <row r="64" spans="1:92" ht="15">
      <c r="A64" s="94" t="s">
        <v>139</v>
      </c>
      <c r="B64" s="94"/>
      <c r="C64" s="94"/>
      <c r="D64" s="78" t="s">
        <v>51</v>
      </c>
      <c r="E64" s="73"/>
      <c r="F64" s="69">
        <f>IF(Act!S$3=1,Act!S63,"")</f>
        <v>8.7524709494160913</v>
      </c>
      <c r="G64" s="69" t="str">
        <f>IF(Act!T$3=1,Act!T63,"")</f>
        <v/>
      </c>
      <c r="H64" s="69" t="str">
        <f>IF(Act!U$3=1,Act!U63,"")</f>
        <v/>
      </c>
      <c r="I64" s="188">
        <f t="shared" si="113"/>
        <v>8.7524709494160913</v>
      </c>
      <c r="K64" s="69">
        <f>IF(BP!S$3=1,BP!S63,"")</f>
        <v>9.9425425774371732</v>
      </c>
      <c r="L64" s="69" t="str">
        <f>IF(BP!T$3=1,BP!T63,"")</f>
        <v/>
      </c>
      <c r="M64" s="69" t="str">
        <f>IF(BP!U$3=1,BP!U63,"")</f>
        <v/>
      </c>
      <c r="N64" s="119">
        <f t="shared" si="114"/>
        <v>9.9425425774371732</v>
      </c>
      <c r="O64" s="210">
        <f t="shared" si="115"/>
        <v>-1.1900716280210819</v>
      </c>
      <c r="P64" s="210">
        <f t="shared" si="116"/>
        <v>0</v>
      </c>
      <c r="Q64" s="210">
        <f t="shared" si="117"/>
        <v>0</v>
      </c>
      <c r="R64" s="200">
        <f t="shared" si="118"/>
        <v>-1.1900716280210819</v>
      </c>
      <c r="T64" s="69" t="e">
        <f>IF('FC2+10'!S$3=1,'FC2+10'!S63,"")</f>
        <v>#VALUE!</v>
      </c>
      <c r="U64" s="69" t="str">
        <f>IF('FC2+10'!T$3=1,'FC2+10'!T63,"")</f>
        <v/>
      </c>
      <c r="V64" s="69" t="str">
        <f>IF('FC2+10'!U$3=1,'FC2+10'!U63,"")</f>
        <v/>
      </c>
      <c r="W64" s="208" t="e">
        <f t="shared" si="119"/>
        <v>#VALUE!</v>
      </c>
      <c r="X64" s="210">
        <f t="shared" si="120"/>
        <v>0</v>
      </c>
      <c r="Y64" s="210">
        <f t="shared" si="121"/>
        <v>0</v>
      </c>
      <c r="Z64" s="210">
        <f t="shared" si="122"/>
        <v>0</v>
      </c>
      <c r="AA64" s="197" t="e">
        <f t="shared" si="123"/>
        <v>#VALUE!</v>
      </c>
      <c r="AC64" s="69">
        <f>IF(OL!S$3=1,OL!S63,"")</f>
        <v>20.821520692376762</v>
      </c>
      <c r="AD64" s="69">
        <f>IF(OL!T$3=1,OL!T63,"")</f>
        <v>21.982158005054945</v>
      </c>
      <c r="AE64" s="69" t="str">
        <f>IF(OL!U$3=1,OL!U63,"")</f>
        <v/>
      </c>
      <c r="AF64" s="361">
        <f t="shared" si="124"/>
        <v>42.803678697431707</v>
      </c>
      <c r="AG64" s="210">
        <f t="shared" si="125"/>
        <v>-12.06904974296067</v>
      </c>
      <c r="AH64" s="210">
        <f t="shared" si="126"/>
        <v>0</v>
      </c>
      <c r="AI64" s="210">
        <f t="shared" si="127"/>
        <v>0</v>
      </c>
      <c r="AJ64" s="350">
        <f t="shared" si="128"/>
        <v>-34.051207748015614</v>
      </c>
      <c r="AL64" s="69">
        <f>IF(LY!S$3=1,LY!S63,"")</f>
        <v>42.988954795866356</v>
      </c>
      <c r="AM64" s="69" t="str">
        <f>IF(LY!T$3=1,LY!T63,"")</f>
        <v/>
      </c>
      <c r="AN64" s="69" t="str">
        <f>IF(LY!U$3=1,LY!U63,"")</f>
        <v/>
      </c>
      <c r="AO64" s="380">
        <f t="shared" si="129"/>
        <v>42.988954795866356</v>
      </c>
      <c r="AP64" s="210">
        <f t="shared" si="130"/>
        <v>-34.236483846450263</v>
      </c>
      <c r="AQ64" s="210">
        <f t="shared" si="131"/>
        <v>0</v>
      </c>
      <c r="AR64" s="210">
        <f t="shared" si="94"/>
        <v>0</v>
      </c>
      <c r="AS64" s="403">
        <f t="shared" si="94"/>
        <v>-34.236483846450263</v>
      </c>
      <c r="AU64" s="69">
        <f>Act!L63</f>
        <v>24.88120383916127</v>
      </c>
      <c r="AV64" s="852" t="e">
        <f t="shared" si="28"/>
        <v>#VALUE!</v>
      </c>
      <c r="AX64" s="69">
        <f>IF('FC5+7'!S$3=1,'FC5+7'!S63,"")</f>
        <v>8.7524709494160913</v>
      </c>
      <c r="AY64" s="69" t="str">
        <f>IF('FC5+7'!T$3=1,'FC5+7'!T63,"")</f>
        <v/>
      </c>
      <c r="AZ64" s="69" t="str">
        <f>IF('FC5+7'!U$3=1,'FC5+7'!U63,"")</f>
        <v/>
      </c>
      <c r="BA64" s="208">
        <f t="shared" si="132"/>
        <v>8.7524709494160913</v>
      </c>
      <c r="BB64" s="704">
        <f t="shared" si="133"/>
        <v>0</v>
      </c>
      <c r="BC64" s="210">
        <f t="shared" si="134"/>
        <v>0</v>
      </c>
      <c r="BD64" s="210">
        <f t="shared" si="135"/>
        <v>0</v>
      </c>
      <c r="BE64" s="197">
        <f t="shared" si="136"/>
        <v>0</v>
      </c>
      <c r="BG64" s="69">
        <f t="shared" si="31"/>
        <v>8.7524709494160913</v>
      </c>
      <c r="BH64" s="69">
        <v>12.864467150287958</v>
      </c>
      <c r="BI64" s="69">
        <v>22.950198190217154</v>
      </c>
      <c r="BJ64" s="361">
        <f t="shared" si="137"/>
        <v>44.567136289921208</v>
      </c>
      <c r="BK64" s="210">
        <f t="shared" si="33"/>
        <v>-12.06904974296067</v>
      </c>
      <c r="BL64" s="210">
        <f t="shared" si="34"/>
        <v>0</v>
      </c>
      <c r="BM64" s="210">
        <f t="shared" si="35"/>
        <v>0</v>
      </c>
      <c r="BN64" s="350">
        <f t="shared" si="95"/>
        <v>-35.814665340505115</v>
      </c>
      <c r="BP64" s="69">
        <f t="shared" si="37"/>
        <v>8.7524709494160913</v>
      </c>
      <c r="BQ64" s="69" t="str">
        <f t="shared" si="37"/>
        <v/>
      </c>
      <c r="BR64" s="69" t="e">
        <f>#REF!</f>
        <v>#REF!</v>
      </c>
      <c r="BS64" s="361" t="e">
        <f t="shared" si="138"/>
        <v>#REF!</v>
      </c>
      <c r="BT64" s="210">
        <f t="shared" si="39"/>
        <v>-12.06904974296067</v>
      </c>
      <c r="BU64" s="210" t="e">
        <f t="shared" si="40"/>
        <v>#VALUE!</v>
      </c>
      <c r="BV64" s="210" t="e">
        <f t="shared" si="41"/>
        <v>#REF!</v>
      </c>
      <c r="BW64" s="350" t="e">
        <f t="shared" si="42"/>
        <v>#REF!</v>
      </c>
      <c r="BY64" s="350" t="e">
        <f t="shared" si="43"/>
        <v>#VALUE!</v>
      </c>
      <c r="CA64" s="208" t="e">
        <f>'FC2+10'!AA63</f>
        <v>#VALUE!</v>
      </c>
      <c r="CC64" s="350" t="e">
        <f t="shared" si="44"/>
        <v>#VALUE!</v>
      </c>
      <c r="CE64" s="69">
        <f>IF('FC7+5'!S$3=1,'FC7+5'!S63,"")</f>
        <v>8.7524709494160913</v>
      </c>
      <c r="CF64" s="69" t="str">
        <f>IF('FC7+5'!T$3=1,'FC7+5'!T63,"")</f>
        <v/>
      </c>
      <c r="CG64" s="69" t="str">
        <f>IF('FC7+5'!U$3=1,'FC7+5'!U63,"")</f>
        <v/>
      </c>
      <c r="CH64" s="907">
        <f t="shared" si="139"/>
        <v>8.7524709494160913</v>
      </c>
      <c r="CI64" s="704">
        <f t="shared" si="140"/>
        <v>0</v>
      </c>
      <c r="CJ64" s="210">
        <f t="shared" si="141"/>
        <v>0</v>
      </c>
      <c r="CK64" s="210">
        <f t="shared" si="142"/>
        <v>0</v>
      </c>
      <c r="CL64" s="907">
        <f t="shared" si="143"/>
        <v>0</v>
      </c>
      <c r="CM64" s="907">
        <f>IF('FC7+5'!AC$3=1,'FC7+5'!AC63,"")</f>
        <v>56.820423283167763</v>
      </c>
      <c r="CN64" s="907">
        <f t="shared" si="47"/>
        <v>-48.06795233375167</v>
      </c>
    </row>
    <row r="65" spans="1:92" ht="15">
      <c r="A65" s="94" t="s">
        <v>141</v>
      </c>
      <c r="B65" s="94"/>
      <c r="C65" s="94"/>
      <c r="D65" s="78" t="s">
        <v>52</v>
      </c>
      <c r="E65" s="73"/>
      <c r="F65" s="69">
        <f>IF(Act!S$3=1,Act!S64,"")</f>
        <v>5.6350322980000023</v>
      </c>
      <c r="G65" s="69" t="str">
        <f>IF(Act!T$3=1,Act!T64,"")</f>
        <v/>
      </c>
      <c r="H65" s="69" t="str">
        <f>IF(Act!U$3=1,Act!U64,"")</f>
        <v/>
      </c>
      <c r="I65" s="188">
        <f t="shared" si="113"/>
        <v>5.6350322980000023</v>
      </c>
      <c r="K65" s="69">
        <f>IF(BP!S$3=1,BP!S64,"")</f>
        <v>4.8602805066857062</v>
      </c>
      <c r="L65" s="69" t="str">
        <f>IF(BP!T$3=1,BP!T64,"")</f>
        <v/>
      </c>
      <c r="M65" s="69" t="str">
        <f>IF(BP!U$3=1,BP!U64,"")</f>
        <v/>
      </c>
      <c r="N65" s="119">
        <f t="shared" si="114"/>
        <v>4.8602805066857062</v>
      </c>
      <c r="O65" s="210">
        <f t="shared" si="115"/>
        <v>0.77475179131429606</v>
      </c>
      <c r="P65" s="210">
        <f t="shared" si="116"/>
        <v>0</v>
      </c>
      <c r="Q65" s="210">
        <f t="shared" si="117"/>
        <v>0</v>
      </c>
      <c r="R65" s="200">
        <f t="shared" si="118"/>
        <v>0.77475179131429606</v>
      </c>
      <c r="T65" s="69">
        <f>IF('FC2+10'!S$3=1,'FC2+10'!S64,"")</f>
        <v>5.6350322980000023</v>
      </c>
      <c r="U65" s="69" t="str">
        <f>IF('FC2+10'!T$3=1,'FC2+10'!T64,"")</f>
        <v/>
      </c>
      <c r="V65" s="69" t="str">
        <f>IF('FC2+10'!U$3=1,'FC2+10'!U64,"")</f>
        <v/>
      </c>
      <c r="W65" s="208">
        <f t="shared" si="119"/>
        <v>5.6350322980000023</v>
      </c>
      <c r="X65" s="210">
        <f t="shared" si="120"/>
        <v>0</v>
      </c>
      <c r="Y65" s="492">
        <f t="shared" si="121"/>
        <v>0</v>
      </c>
      <c r="Z65" s="210">
        <f t="shared" si="122"/>
        <v>0</v>
      </c>
      <c r="AA65" s="197">
        <f t="shared" si="123"/>
        <v>0</v>
      </c>
      <c r="AC65" s="69">
        <f>IF(OL!S$3=1,OL!S64,"")</f>
        <v>6.4000510820000009</v>
      </c>
      <c r="AD65" s="69">
        <f>IF(OL!T$3=1,OL!T64,"")</f>
        <v>3.9334494769998276</v>
      </c>
      <c r="AE65" s="69" t="str">
        <f>IF(OL!U$3=1,OL!U64,"")</f>
        <v/>
      </c>
      <c r="AF65" s="361">
        <f t="shared" si="124"/>
        <v>10.333500558999829</v>
      </c>
      <c r="AG65" s="210">
        <f t="shared" si="125"/>
        <v>-0.76501878399999867</v>
      </c>
      <c r="AH65" s="210">
        <f t="shared" si="126"/>
        <v>0</v>
      </c>
      <c r="AI65" s="210">
        <f t="shared" si="127"/>
        <v>0</v>
      </c>
      <c r="AJ65" s="350">
        <f t="shared" si="128"/>
        <v>-4.6984682609998263</v>
      </c>
      <c r="AL65" s="69">
        <f>IF(LY!S$3=1,LY!S64,"")</f>
        <v>7.2111129989999991</v>
      </c>
      <c r="AM65" s="69" t="str">
        <f>IF(LY!T$3=1,LY!T64,"")</f>
        <v/>
      </c>
      <c r="AN65" s="69" t="str">
        <f>IF(LY!U$3=1,LY!U64,"")</f>
        <v/>
      </c>
      <c r="AO65" s="380">
        <f t="shared" si="129"/>
        <v>7.2111129989999991</v>
      </c>
      <c r="AP65" s="210">
        <f t="shared" si="130"/>
        <v>-1.5760807009999969</v>
      </c>
      <c r="AQ65" s="210">
        <f t="shared" si="131"/>
        <v>0</v>
      </c>
      <c r="AR65" s="210">
        <f t="shared" si="94"/>
        <v>0</v>
      </c>
      <c r="AS65" s="403">
        <f t="shared" si="94"/>
        <v>-1.5760807009999969</v>
      </c>
      <c r="AU65" s="69">
        <f>Act!L64</f>
        <v>4.1163949669999997</v>
      </c>
      <c r="AV65" s="852" t="e">
        <f t="shared" si="28"/>
        <v>#VALUE!</v>
      </c>
      <c r="AX65" s="69">
        <f>IF('FC5+7'!S$3=1,'FC5+7'!S64,"")</f>
        <v>5.6350322980000023</v>
      </c>
      <c r="AY65" s="69" t="str">
        <f>IF('FC5+7'!T$3=1,'FC5+7'!T64,"")</f>
        <v/>
      </c>
      <c r="AZ65" s="69" t="str">
        <f>IF('FC5+7'!U$3=1,'FC5+7'!U64,"")</f>
        <v/>
      </c>
      <c r="BA65" s="208">
        <f t="shared" si="132"/>
        <v>5.6350322980000023</v>
      </c>
      <c r="BB65" s="704">
        <f t="shared" si="133"/>
        <v>0</v>
      </c>
      <c r="BC65" s="492">
        <f t="shared" si="134"/>
        <v>0</v>
      </c>
      <c r="BD65" s="210">
        <f t="shared" si="135"/>
        <v>0</v>
      </c>
      <c r="BE65" s="197">
        <f t="shared" si="136"/>
        <v>0</v>
      </c>
      <c r="BG65" s="69">
        <f t="shared" si="31"/>
        <v>5.6350322980000023</v>
      </c>
      <c r="BH65" s="69">
        <v>5.2813312818932943</v>
      </c>
      <c r="BI65" s="69">
        <v>2.5835055260633606</v>
      </c>
      <c r="BJ65" s="361">
        <f t="shared" si="137"/>
        <v>13.499869105956657</v>
      </c>
      <c r="BK65" s="210">
        <f t="shared" si="33"/>
        <v>-0.76501878399999867</v>
      </c>
      <c r="BL65" s="210">
        <f t="shared" si="34"/>
        <v>0</v>
      </c>
      <c r="BM65" s="210">
        <f t="shared" si="35"/>
        <v>0</v>
      </c>
      <c r="BN65" s="350">
        <f t="shared" si="95"/>
        <v>-7.8648368079566549</v>
      </c>
      <c r="BP65" s="69">
        <f t="shared" si="37"/>
        <v>5.6350322980000023</v>
      </c>
      <c r="BQ65" s="69" t="str">
        <f t="shared" si="37"/>
        <v/>
      </c>
      <c r="BR65" s="69" t="e">
        <f>#REF!</f>
        <v>#REF!</v>
      </c>
      <c r="BS65" s="361" t="e">
        <f t="shared" si="138"/>
        <v>#REF!</v>
      </c>
      <c r="BT65" s="210">
        <f t="shared" si="39"/>
        <v>-0.76501878399999867</v>
      </c>
      <c r="BU65" s="210" t="e">
        <f t="shared" si="40"/>
        <v>#VALUE!</v>
      </c>
      <c r="BV65" s="210" t="e">
        <f t="shared" si="41"/>
        <v>#REF!</v>
      </c>
      <c r="BW65" s="350" t="e">
        <f t="shared" si="42"/>
        <v>#REF!</v>
      </c>
      <c r="BY65" s="350" t="e">
        <f t="shared" si="43"/>
        <v>#VALUE!</v>
      </c>
      <c r="CA65" s="208">
        <f>'FC2+10'!AA64</f>
        <v>7.8481605319999979</v>
      </c>
      <c r="CC65" s="350">
        <f t="shared" si="44"/>
        <v>2.2131282339999956</v>
      </c>
      <c r="CE65" s="69">
        <f>IF('FC7+5'!S$3=1,'FC7+5'!S64,"")</f>
        <v>5.6350322980000023</v>
      </c>
      <c r="CF65" s="69" t="str">
        <f>IF('FC7+5'!T$3=1,'FC7+5'!T64,"")</f>
        <v/>
      </c>
      <c r="CG65" s="69" t="str">
        <f>IF('FC7+5'!U$3=1,'FC7+5'!U64,"")</f>
        <v/>
      </c>
      <c r="CH65" s="907">
        <f t="shared" si="139"/>
        <v>5.6350322980000023</v>
      </c>
      <c r="CI65" s="704">
        <f t="shared" si="140"/>
        <v>0</v>
      </c>
      <c r="CJ65" s="492">
        <f t="shared" si="141"/>
        <v>0</v>
      </c>
      <c r="CK65" s="210">
        <f t="shared" si="142"/>
        <v>0</v>
      </c>
      <c r="CL65" s="907">
        <f t="shared" si="143"/>
        <v>0</v>
      </c>
      <c r="CM65" s="907">
        <f>IF('FC7+5'!AC$3=1,'FC7+5'!AC64,"")</f>
        <v>18.178972518999995</v>
      </c>
      <c r="CN65" s="907">
        <f t="shared" si="47"/>
        <v>-12.543940220999993</v>
      </c>
    </row>
    <row r="66" spans="1:92" ht="15">
      <c r="A66" s="94" t="s">
        <v>142</v>
      </c>
      <c r="B66" s="94"/>
      <c r="C66" s="94"/>
      <c r="D66" s="78" t="s">
        <v>53</v>
      </c>
      <c r="E66" s="73"/>
      <c r="F66" s="69">
        <f>IF(Act!S$3=1,Act!S65,"")</f>
        <v>0</v>
      </c>
      <c r="G66" s="69" t="str">
        <f>IF(Act!T$3=1,Act!T65,"")</f>
        <v/>
      </c>
      <c r="H66" s="69" t="str">
        <f>IF(Act!U$3=1,Act!U65,"")</f>
        <v/>
      </c>
      <c r="I66" s="188">
        <f t="shared" si="113"/>
        <v>0</v>
      </c>
      <c r="K66" s="69">
        <f>IF(BP!S$3=1,BP!S65,"")</f>
        <v>0</v>
      </c>
      <c r="L66" s="69" t="str">
        <f>IF(BP!T$3=1,BP!T65,"")</f>
        <v/>
      </c>
      <c r="M66" s="69" t="str">
        <f>IF(BP!U$3=1,BP!U65,"")</f>
        <v/>
      </c>
      <c r="N66" s="119">
        <f t="shared" si="114"/>
        <v>0</v>
      </c>
      <c r="O66" s="210">
        <f t="shared" si="115"/>
        <v>0</v>
      </c>
      <c r="P66" s="210">
        <f t="shared" si="116"/>
        <v>0</v>
      </c>
      <c r="Q66" s="210">
        <f t="shared" si="117"/>
        <v>0</v>
      </c>
      <c r="R66" s="200">
        <f t="shared" si="118"/>
        <v>0</v>
      </c>
      <c r="T66" s="69">
        <f>IF('FC2+10'!S$3=1,'FC2+10'!S65,"")</f>
        <v>0</v>
      </c>
      <c r="U66" s="69" t="str">
        <f>IF('FC2+10'!T$3=1,'FC2+10'!T65,"")</f>
        <v/>
      </c>
      <c r="V66" s="69" t="str">
        <f>IF('FC2+10'!U$3=1,'FC2+10'!U65,"")</f>
        <v/>
      </c>
      <c r="W66" s="208">
        <f t="shared" si="119"/>
        <v>0</v>
      </c>
      <c r="X66" s="210">
        <f t="shared" si="120"/>
        <v>0</v>
      </c>
      <c r="Y66" s="210">
        <f t="shared" si="121"/>
        <v>0</v>
      </c>
      <c r="Z66" s="210">
        <f t="shared" si="122"/>
        <v>0</v>
      </c>
      <c r="AA66" s="197">
        <f t="shared" si="123"/>
        <v>0</v>
      </c>
      <c r="AC66" s="69">
        <f>IF(OL!S$3=1,OL!S65,"")</f>
        <v>-1.9876000000000005</v>
      </c>
      <c r="AD66" s="69">
        <f>IF(OL!T$3=1,OL!T65,"")</f>
        <v>-2.926268043516556</v>
      </c>
      <c r="AE66" s="69" t="str">
        <f>IF(OL!U$3=1,OL!U65,"")</f>
        <v/>
      </c>
      <c r="AF66" s="361">
        <f t="shared" si="124"/>
        <v>-4.9138680435165565</v>
      </c>
      <c r="AG66" s="210">
        <f t="shared" si="125"/>
        <v>1.9876000000000005</v>
      </c>
      <c r="AH66" s="210">
        <f t="shared" si="126"/>
        <v>0</v>
      </c>
      <c r="AI66" s="210">
        <f t="shared" si="127"/>
        <v>0</v>
      </c>
      <c r="AJ66" s="350">
        <f>IFERROR(I66-AF66,0)</f>
        <v>4.9138680435165565</v>
      </c>
      <c r="AL66" s="69">
        <f>IF(LY!S$3=1,LY!S65,"")</f>
        <v>-7.7550386182731463</v>
      </c>
      <c r="AM66" s="69" t="str">
        <f>IF(LY!T$3=1,LY!T65,"")</f>
        <v/>
      </c>
      <c r="AN66" s="69" t="str">
        <f>IF(LY!U$3=1,LY!U65,"")</f>
        <v/>
      </c>
      <c r="AO66" s="380">
        <f t="shared" si="129"/>
        <v>-7.7550386182731463</v>
      </c>
      <c r="AP66" s="210">
        <f t="shared" si="130"/>
        <v>7.7550386182731463</v>
      </c>
      <c r="AQ66" s="210">
        <f t="shared" si="131"/>
        <v>0</v>
      </c>
      <c r="AR66" s="210">
        <f t="shared" si="94"/>
        <v>0</v>
      </c>
      <c r="AS66" s="403">
        <f t="shared" si="94"/>
        <v>7.7550386182731463</v>
      </c>
      <c r="AU66" s="69">
        <f>Act!L65</f>
        <v>5.6592178242072579</v>
      </c>
      <c r="AV66" s="852" t="e">
        <f t="shared" si="28"/>
        <v>#VALUE!</v>
      </c>
      <c r="AX66" s="69">
        <f>IF('FC5+7'!S$3=1,'FC5+7'!S65,"")</f>
        <v>0</v>
      </c>
      <c r="AY66" s="69" t="str">
        <f>IF('FC5+7'!T$3=1,'FC5+7'!T65,"")</f>
        <v/>
      </c>
      <c r="AZ66" s="69" t="str">
        <f>IF('FC5+7'!U$3=1,'FC5+7'!U65,"")</f>
        <v/>
      </c>
      <c r="BA66" s="208">
        <f t="shared" si="132"/>
        <v>0</v>
      </c>
      <c r="BB66" s="704">
        <f t="shared" si="133"/>
        <v>0</v>
      </c>
      <c r="BC66" s="210">
        <f t="shared" si="134"/>
        <v>0</v>
      </c>
      <c r="BD66" s="210">
        <f t="shared" si="135"/>
        <v>0</v>
      </c>
      <c r="BE66" s="197">
        <f t="shared" si="136"/>
        <v>0</v>
      </c>
      <c r="BG66" s="69">
        <f t="shared" si="31"/>
        <v>0</v>
      </c>
      <c r="BH66" s="69">
        <v>-18.088526048733961</v>
      </c>
      <c r="BI66" s="69">
        <v>-18.835148407721896</v>
      </c>
      <c r="BJ66" s="361">
        <f t="shared" si="137"/>
        <v>-36.923674456455856</v>
      </c>
      <c r="BK66" s="210">
        <f t="shared" si="33"/>
        <v>1.9876000000000005</v>
      </c>
      <c r="BL66" s="210">
        <f t="shared" si="34"/>
        <v>0</v>
      </c>
      <c r="BM66" s="210">
        <f t="shared" si="35"/>
        <v>0</v>
      </c>
      <c r="BN66" s="350">
        <f t="shared" si="95"/>
        <v>36.923674456455856</v>
      </c>
      <c r="BP66" s="69">
        <f t="shared" si="37"/>
        <v>0</v>
      </c>
      <c r="BQ66" s="69" t="str">
        <f t="shared" si="37"/>
        <v/>
      </c>
      <c r="BR66" s="69" t="e">
        <f>#REF!</f>
        <v>#REF!</v>
      </c>
      <c r="BS66" s="361" t="e">
        <f t="shared" si="138"/>
        <v>#REF!</v>
      </c>
      <c r="BT66" s="210">
        <f t="shared" si="39"/>
        <v>1.9876000000000005</v>
      </c>
      <c r="BU66" s="210" t="e">
        <f t="shared" si="40"/>
        <v>#VALUE!</v>
      </c>
      <c r="BV66" s="210" t="e">
        <f t="shared" si="41"/>
        <v>#REF!</v>
      </c>
      <c r="BW66" s="350" t="e">
        <f t="shared" si="42"/>
        <v>#REF!</v>
      </c>
      <c r="BY66" s="350" t="e">
        <f t="shared" si="43"/>
        <v>#VALUE!</v>
      </c>
      <c r="CA66" s="208">
        <f>'FC2+10'!AA65</f>
        <v>0</v>
      </c>
      <c r="CC66" s="350">
        <f t="shared" si="44"/>
        <v>0</v>
      </c>
      <c r="CE66" s="69">
        <f>IF('FC7+5'!S$3=1,'FC7+5'!S65,"")</f>
        <v>0</v>
      </c>
      <c r="CF66" s="69" t="str">
        <f>IF('FC7+5'!T$3=1,'FC7+5'!T65,"")</f>
        <v/>
      </c>
      <c r="CG66" s="69" t="str">
        <f>IF('FC7+5'!U$3=1,'FC7+5'!U65,"")</f>
        <v/>
      </c>
      <c r="CH66" s="907">
        <f t="shared" si="139"/>
        <v>0</v>
      </c>
      <c r="CI66" s="704">
        <f t="shared" si="140"/>
        <v>0</v>
      </c>
      <c r="CJ66" s="210">
        <f t="shared" si="141"/>
        <v>0</v>
      </c>
      <c r="CK66" s="210">
        <f t="shared" si="142"/>
        <v>0</v>
      </c>
      <c r="CL66" s="907">
        <f t="shared" si="143"/>
        <v>0</v>
      </c>
      <c r="CM66" s="907">
        <f>IF('FC7+5'!AC$3=1,'FC7+5'!AC65,"")</f>
        <v>-9.0359723120341879</v>
      </c>
      <c r="CN66" s="907">
        <f t="shared" si="47"/>
        <v>9.0359723120341879</v>
      </c>
    </row>
    <row r="67" spans="1:92" ht="15">
      <c r="A67" s="94" t="s">
        <v>142</v>
      </c>
      <c r="B67" s="94"/>
      <c r="C67" s="94"/>
      <c r="D67" s="78" t="s">
        <v>54</v>
      </c>
      <c r="E67" s="73"/>
      <c r="F67" s="69">
        <f>IF(Act!S$3=1,Act!S66,"")</f>
        <v>0</v>
      </c>
      <c r="G67" s="69" t="str">
        <f>IF(Act!T$3=1,Act!T66,"")</f>
        <v/>
      </c>
      <c r="H67" s="69" t="str">
        <f>IF(Act!U$3=1,Act!U66,"")</f>
        <v/>
      </c>
      <c r="I67" s="188">
        <f t="shared" si="113"/>
        <v>0</v>
      </c>
      <c r="K67" s="69">
        <f>IF(BP!S$3=1,BP!S66,"")</f>
        <v>0</v>
      </c>
      <c r="L67" s="69" t="str">
        <f>IF(BP!T$3=1,BP!T66,"")</f>
        <v/>
      </c>
      <c r="M67" s="69" t="str">
        <f>IF(BP!U$3=1,BP!U66,"")</f>
        <v/>
      </c>
      <c r="N67" s="119">
        <f t="shared" si="114"/>
        <v>0</v>
      </c>
      <c r="O67" s="210">
        <f t="shared" si="115"/>
        <v>0</v>
      </c>
      <c r="P67" s="210">
        <f t="shared" si="116"/>
        <v>0</v>
      </c>
      <c r="Q67" s="210">
        <f t="shared" si="117"/>
        <v>0</v>
      </c>
      <c r="R67" s="200">
        <f t="shared" si="118"/>
        <v>0</v>
      </c>
      <c r="T67" s="69">
        <f>IF('FC2+10'!S$3=1,'FC2+10'!S66,"")</f>
        <v>0</v>
      </c>
      <c r="U67" s="69" t="str">
        <f>IF('FC2+10'!T$3=1,'FC2+10'!T66,"")</f>
        <v/>
      </c>
      <c r="V67" s="69" t="str">
        <f>IF('FC2+10'!U$3=1,'FC2+10'!U66,"")</f>
        <v/>
      </c>
      <c r="W67" s="208">
        <f t="shared" si="119"/>
        <v>0</v>
      </c>
      <c r="X67" s="210">
        <f t="shared" si="120"/>
        <v>0</v>
      </c>
      <c r="Y67" s="210">
        <f t="shared" si="121"/>
        <v>0</v>
      </c>
      <c r="Z67" s="210">
        <f t="shared" si="122"/>
        <v>0</v>
      </c>
      <c r="AA67" s="197">
        <f t="shared" si="123"/>
        <v>0</v>
      </c>
      <c r="AC67" s="69">
        <f>IF(OL!S$3=1,OL!S66,"")</f>
        <v>0.48476128947928415</v>
      </c>
      <c r="AD67" s="69">
        <f>IF(OL!T$3=1,OL!T66,"")</f>
        <v>0</v>
      </c>
      <c r="AE67" s="69" t="str">
        <f>IF(OL!U$3=1,OL!U66,"")</f>
        <v/>
      </c>
      <c r="AF67" s="361">
        <f t="shared" si="124"/>
        <v>0.48476128947928415</v>
      </c>
      <c r="AG67" s="210">
        <f t="shared" si="125"/>
        <v>-0.48476128947928415</v>
      </c>
      <c r="AH67" s="210">
        <f t="shared" si="126"/>
        <v>0</v>
      </c>
      <c r="AI67" s="210">
        <f t="shared" si="127"/>
        <v>0</v>
      </c>
      <c r="AJ67" s="350">
        <f t="shared" si="128"/>
        <v>-0.48476128947928415</v>
      </c>
      <c r="AL67" s="69">
        <f>IF(LY!S$3=1,LY!S66,"")</f>
        <v>14.308090452968873</v>
      </c>
      <c r="AM67" s="69" t="str">
        <f>IF(LY!T$3=1,LY!T66,"")</f>
        <v/>
      </c>
      <c r="AN67" s="69" t="str">
        <f>IF(LY!U$3=1,LY!U66,"")</f>
        <v/>
      </c>
      <c r="AO67" s="380">
        <f t="shared" si="129"/>
        <v>14.308090452968873</v>
      </c>
      <c r="AP67" s="210">
        <f t="shared" si="130"/>
        <v>-14.308090452968873</v>
      </c>
      <c r="AQ67" s="210">
        <f t="shared" si="131"/>
        <v>0</v>
      </c>
      <c r="AR67" s="210">
        <f t="shared" si="94"/>
        <v>0</v>
      </c>
      <c r="AS67" s="403">
        <f t="shared" si="94"/>
        <v>-14.308090452968873</v>
      </c>
      <c r="AU67" s="69">
        <f>Act!L66</f>
        <v>1.4279864052818758</v>
      </c>
      <c r="AV67" s="852" t="e">
        <f t="shared" si="28"/>
        <v>#VALUE!</v>
      </c>
      <c r="AX67" s="69">
        <f>IF('FC5+7'!S$3=1,'FC5+7'!S66,"")</f>
        <v>0</v>
      </c>
      <c r="AY67" s="69" t="str">
        <f>IF('FC5+7'!T$3=1,'FC5+7'!T66,"")</f>
        <v/>
      </c>
      <c r="AZ67" s="69" t="str">
        <f>IF('FC5+7'!U$3=1,'FC5+7'!U66,"")</f>
        <v/>
      </c>
      <c r="BA67" s="208">
        <f t="shared" si="132"/>
        <v>0</v>
      </c>
      <c r="BB67" s="704">
        <f t="shared" si="133"/>
        <v>0</v>
      </c>
      <c r="BC67" s="210">
        <f t="shared" si="134"/>
        <v>0</v>
      </c>
      <c r="BD67" s="210">
        <f t="shared" si="135"/>
        <v>0</v>
      </c>
      <c r="BE67" s="197">
        <f t="shared" si="136"/>
        <v>0</v>
      </c>
      <c r="BG67" s="69">
        <f t="shared" si="31"/>
        <v>0</v>
      </c>
      <c r="BH67" s="69">
        <v>-0.34</v>
      </c>
      <c r="BI67" s="69">
        <v>-0.63</v>
      </c>
      <c r="BJ67" s="361">
        <f t="shared" si="137"/>
        <v>-0.97</v>
      </c>
      <c r="BK67" s="210">
        <f t="shared" si="33"/>
        <v>-0.48476128947928415</v>
      </c>
      <c r="BL67" s="210">
        <f t="shared" si="34"/>
        <v>0</v>
      </c>
      <c r="BM67" s="210">
        <f t="shared" si="35"/>
        <v>0</v>
      </c>
      <c r="BN67" s="350">
        <f t="shared" si="95"/>
        <v>0.97</v>
      </c>
      <c r="BP67" s="69">
        <f t="shared" si="37"/>
        <v>0</v>
      </c>
      <c r="BQ67" s="69" t="str">
        <f t="shared" si="37"/>
        <v/>
      </c>
      <c r="BR67" s="69" t="e">
        <f>#REF!</f>
        <v>#REF!</v>
      </c>
      <c r="BS67" s="361" t="e">
        <f t="shared" si="138"/>
        <v>#REF!</v>
      </c>
      <c r="BT67" s="210">
        <f t="shared" si="39"/>
        <v>-0.48476128947928415</v>
      </c>
      <c r="BU67" s="210" t="e">
        <f t="shared" si="40"/>
        <v>#VALUE!</v>
      </c>
      <c r="BV67" s="210" t="e">
        <f t="shared" si="41"/>
        <v>#REF!</v>
      </c>
      <c r="BW67" s="350" t="e">
        <f t="shared" si="42"/>
        <v>#REF!</v>
      </c>
      <c r="BY67" s="350" t="e">
        <f t="shared" si="43"/>
        <v>#VALUE!</v>
      </c>
      <c r="CA67" s="208">
        <f>'FC2+10'!AA66</f>
        <v>0</v>
      </c>
      <c r="CC67" s="350">
        <f t="shared" si="44"/>
        <v>0</v>
      </c>
      <c r="CE67" s="69">
        <f>IF('FC7+5'!S$3=1,'FC7+5'!S66,"")</f>
        <v>0</v>
      </c>
      <c r="CF67" s="69" t="str">
        <f>IF('FC7+5'!T$3=1,'FC7+5'!T66,"")</f>
        <v/>
      </c>
      <c r="CG67" s="69" t="str">
        <f>IF('FC7+5'!U$3=1,'FC7+5'!U66,"")</f>
        <v/>
      </c>
      <c r="CH67" s="907">
        <f t="shared" si="139"/>
        <v>0</v>
      </c>
      <c r="CI67" s="704">
        <f t="shared" si="140"/>
        <v>0</v>
      </c>
      <c r="CJ67" s="210">
        <f t="shared" si="141"/>
        <v>0</v>
      </c>
      <c r="CK67" s="210">
        <f t="shared" si="142"/>
        <v>0</v>
      </c>
      <c r="CL67" s="907">
        <f t="shared" si="143"/>
        <v>0</v>
      </c>
      <c r="CM67" s="907">
        <f>IF('FC7+5'!AC$3=1,'FC7+5'!AC66,"")</f>
        <v>0</v>
      </c>
      <c r="CN67" s="907">
        <f t="shared" si="47"/>
        <v>0</v>
      </c>
    </row>
    <row r="68" spans="1:92" ht="15">
      <c r="A68" s="94" t="s">
        <v>142</v>
      </c>
      <c r="B68" s="94"/>
      <c r="C68" s="94"/>
      <c r="D68" s="78" t="s">
        <v>55</v>
      </c>
      <c r="E68" s="73"/>
      <c r="F68" s="69">
        <f>IF(Act!S$3=1,Act!S67,"")</f>
        <v>0</v>
      </c>
      <c r="G68" s="69" t="str">
        <f>IF(Act!T$3=1,Act!T67,"")</f>
        <v/>
      </c>
      <c r="H68" s="69" t="str">
        <f>IF(Act!U$3=1,Act!U67,"")</f>
        <v/>
      </c>
      <c r="I68" s="188">
        <f t="shared" si="113"/>
        <v>0</v>
      </c>
      <c r="K68" s="69">
        <f>IF(BP!S$3=1,BP!S67,"")</f>
        <v>0</v>
      </c>
      <c r="L68" s="69" t="str">
        <f>IF(BP!T$3=1,BP!T67,"")</f>
        <v/>
      </c>
      <c r="M68" s="69" t="str">
        <f>IF(BP!U$3=1,BP!U67,"")</f>
        <v/>
      </c>
      <c r="N68" s="119">
        <f t="shared" si="114"/>
        <v>0</v>
      </c>
      <c r="O68" s="210">
        <f t="shared" si="115"/>
        <v>0</v>
      </c>
      <c r="P68" s="210">
        <f t="shared" si="116"/>
        <v>0</v>
      </c>
      <c r="Q68" s="210">
        <f t="shared" si="117"/>
        <v>0</v>
      </c>
      <c r="R68" s="200">
        <f t="shared" si="118"/>
        <v>0</v>
      </c>
      <c r="T68" s="69">
        <f>IF('FC2+10'!S$3=1,'FC2+10'!S67,"")</f>
        <v>0</v>
      </c>
      <c r="U68" s="69" t="str">
        <f>IF('FC2+10'!T$3=1,'FC2+10'!T67,"")</f>
        <v/>
      </c>
      <c r="V68" s="69" t="str">
        <f>IF('FC2+10'!U$3=1,'FC2+10'!U67,"")</f>
        <v/>
      </c>
      <c r="W68" s="208">
        <f t="shared" si="119"/>
        <v>0</v>
      </c>
      <c r="X68" s="210">
        <f t="shared" si="120"/>
        <v>0</v>
      </c>
      <c r="Y68" s="210">
        <f t="shared" si="121"/>
        <v>0</v>
      </c>
      <c r="Z68" s="210">
        <f t="shared" si="122"/>
        <v>0</v>
      </c>
      <c r="AA68" s="197">
        <f t="shared" si="123"/>
        <v>0</v>
      </c>
      <c r="AC68" s="69">
        <f>IF(OL!S$3=1,OL!S67,"")</f>
        <v>0</v>
      </c>
      <c r="AD68" s="69">
        <f>IF(OL!T$3=1,OL!T67,"")</f>
        <v>-0.15643374681730879</v>
      </c>
      <c r="AE68" s="69" t="str">
        <f>IF(OL!U$3=1,OL!U67,"")</f>
        <v/>
      </c>
      <c r="AF68" s="361">
        <f t="shared" si="124"/>
        <v>-0.15643374681730879</v>
      </c>
      <c r="AG68" s="210">
        <f t="shared" si="125"/>
        <v>0</v>
      </c>
      <c r="AH68" s="210">
        <f t="shared" si="126"/>
        <v>0</v>
      </c>
      <c r="AI68" s="210">
        <f t="shared" si="127"/>
        <v>0</v>
      </c>
      <c r="AJ68" s="350">
        <f t="shared" si="128"/>
        <v>0.15643374681730879</v>
      </c>
      <c r="AL68" s="69">
        <f>IF(LY!S$3=1,LY!S67,"")</f>
        <v>-3.337221031150573E-3</v>
      </c>
      <c r="AM68" s="69" t="str">
        <f>IF(LY!T$3=1,LY!T67,"")</f>
        <v/>
      </c>
      <c r="AN68" s="69" t="str">
        <f>IF(LY!U$3=1,LY!U67,"")</f>
        <v/>
      </c>
      <c r="AO68" s="380">
        <f t="shared" si="129"/>
        <v>-3.337221031150573E-3</v>
      </c>
      <c r="AP68" s="210">
        <f t="shared" si="130"/>
        <v>3.337221031150573E-3</v>
      </c>
      <c r="AQ68" s="210">
        <f t="shared" si="131"/>
        <v>0</v>
      </c>
      <c r="AR68" s="210">
        <f t="shared" si="94"/>
        <v>0</v>
      </c>
      <c r="AS68" s="403">
        <f t="shared" si="94"/>
        <v>3.337221031150573E-3</v>
      </c>
      <c r="AU68" s="69">
        <f>Act!L67</f>
        <v>0</v>
      </c>
      <c r="AV68" s="852" t="e">
        <f t="shared" si="28"/>
        <v>#VALUE!</v>
      </c>
      <c r="AX68" s="69">
        <f>IF('FC5+7'!S$3=1,'FC5+7'!S67,"")</f>
        <v>0</v>
      </c>
      <c r="AY68" s="69" t="str">
        <f>IF('FC5+7'!T$3=1,'FC5+7'!T67,"")</f>
        <v/>
      </c>
      <c r="AZ68" s="69" t="str">
        <f>IF('FC5+7'!U$3=1,'FC5+7'!U67,"")</f>
        <v/>
      </c>
      <c r="BA68" s="208">
        <f t="shared" si="132"/>
        <v>0</v>
      </c>
      <c r="BB68" s="704">
        <f t="shared" si="133"/>
        <v>0</v>
      </c>
      <c r="BC68" s="210">
        <f t="shared" si="134"/>
        <v>0</v>
      </c>
      <c r="BD68" s="210">
        <f t="shared" si="135"/>
        <v>0</v>
      </c>
      <c r="BE68" s="197">
        <f t="shared" si="136"/>
        <v>0</v>
      </c>
      <c r="BG68" s="69">
        <f t="shared" si="31"/>
        <v>0</v>
      </c>
      <c r="BH68" s="69">
        <v>-0.64449135014132075</v>
      </c>
      <c r="BI68" s="69">
        <v>-0.42545938373732567</v>
      </c>
      <c r="BJ68" s="361">
        <f t="shared" si="137"/>
        <v>-1.0699507338786465</v>
      </c>
      <c r="BK68" s="210">
        <f t="shared" si="33"/>
        <v>0</v>
      </c>
      <c r="BL68" s="210">
        <f t="shared" si="34"/>
        <v>0</v>
      </c>
      <c r="BM68" s="210">
        <f t="shared" si="35"/>
        <v>0</v>
      </c>
      <c r="BN68" s="350">
        <f t="shared" si="95"/>
        <v>1.0699507338786465</v>
      </c>
      <c r="BP68" s="69">
        <f t="shared" si="37"/>
        <v>0</v>
      </c>
      <c r="BQ68" s="69" t="str">
        <f t="shared" si="37"/>
        <v/>
      </c>
      <c r="BR68" s="69" t="e">
        <f>#REF!</f>
        <v>#REF!</v>
      </c>
      <c r="BS68" s="361" t="e">
        <f t="shared" si="138"/>
        <v>#REF!</v>
      </c>
      <c r="BT68" s="210">
        <f t="shared" si="39"/>
        <v>0</v>
      </c>
      <c r="BU68" s="210" t="e">
        <f t="shared" si="40"/>
        <v>#VALUE!</v>
      </c>
      <c r="BV68" s="210" t="e">
        <f t="shared" si="41"/>
        <v>#REF!</v>
      </c>
      <c r="BW68" s="350" t="e">
        <f t="shared" si="42"/>
        <v>#REF!</v>
      </c>
      <c r="BY68" s="350" t="e">
        <f t="shared" si="43"/>
        <v>#VALUE!</v>
      </c>
      <c r="CA68" s="208">
        <f>'FC2+10'!AA67</f>
        <v>0</v>
      </c>
      <c r="CC68" s="350">
        <f t="shared" si="44"/>
        <v>0</v>
      </c>
      <c r="CE68" s="69">
        <f>IF('FC7+5'!S$3=1,'FC7+5'!S67,"")</f>
        <v>0</v>
      </c>
      <c r="CF68" s="69" t="str">
        <f>IF('FC7+5'!T$3=1,'FC7+5'!T67,"")</f>
        <v/>
      </c>
      <c r="CG68" s="69" t="str">
        <f>IF('FC7+5'!U$3=1,'FC7+5'!U67,"")</f>
        <v/>
      </c>
      <c r="CH68" s="907">
        <f t="shared" si="139"/>
        <v>0</v>
      </c>
      <c r="CI68" s="704">
        <f t="shared" si="140"/>
        <v>0</v>
      </c>
      <c r="CJ68" s="210">
        <f t="shared" si="141"/>
        <v>0</v>
      </c>
      <c r="CK68" s="210">
        <f t="shared" si="142"/>
        <v>0</v>
      </c>
      <c r="CL68" s="907">
        <f t="shared" si="143"/>
        <v>0</v>
      </c>
      <c r="CM68" s="907">
        <f>IF('FC7+5'!AC$3=1,'FC7+5'!AC67,"")</f>
        <v>-0.2124129983786881</v>
      </c>
      <c r="CN68" s="907">
        <f t="shared" si="47"/>
        <v>0.2124129983786881</v>
      </c>
    </row>
    <row r="69" spans="1:92" ht="15">
      <c r="A69" s="94" t="s">
        <v>139</v>
      </c>
      <c r="B69" s="94"/>
      <c r="C69" s="94"/>
      <c r="D69" s="78" t="s">
        <v>56</v>
      </c>
      <c r="E69" s="73"/>
      <c r="F69" s="70">
        <f>IF(Act!S$3=1,Act!S68,"")</f>
        <v>11.986581189000001</v>
      </c>
      <c r="G69" s="70" t="str">
        <f>IF(Act!T$3=1,Act!T68,"")</f>
        <v/>
      </c>
      <c r="H69" s="70" t="str">
        <f>IF(Act!U$3=1,Act!U68,"")</f>
        <v/>
      </c>
      <c r="I69" s="188">
        <f t="shared" si="113"/>
        <v>11.986581189000001</v>
      </c>
      <c r="K69" s="69">
        <f>IF(BP!S$3=1,BP!S68,"")</f>
        <v>12.788907688</v>
      </c>
      <c r="L69" s="69" t="str">
        <f>IF(BP!T$3=1,BP!T68,"")</f>
        <v/>
      </c>
      <c r="M69" s="69" t="str">
        <f>IF(BP!U$3=1,BP!U68,"")</f>
        <v/>
      </c>
      <c r="N69" s="119">
        <f t="shared" si="114"/>
        <v>12.788907688</v>
      </c>
      <c r="O69" s="210">
        <f t="shared" si="115"/>
        <v>-0.80232649899999942</v>
      </c>
      <c r="P69" s="210">
        <f t="shared" si="116"/>
        <v>0</v>
      </c>
      <c r="Q69" s="210">
        <f t="shared" si="117"/>
        <v>0</v>
      </c>
      <c r="R69" s="200">
        <f t="shared" si="118"/>
        <v>-0.80232649899999942</v>
      </c>
      <c r="T69" s="69">
        <f>IF('FC2+10'!S$3=1,'FC2+10'!S68,"")</f>
        <v>11.986581189000001</v>
      </c>
      <c r="U69" s="69" t="str">
        <f>IF('FC2+10'!T$3=1,'FC2+10'!T68,"")</f>
        <v/>
      </c>
      <c r="V69" s="69" t="str">
        <f>IF('FC2+10'!U$3=1,'FC2+10'!U68,"")</f>
        <v/>
      </c>
      <c r="W69" s="208">
        <f t="shared" si="119"/>
        <v>11.986581189000001</v>
      </c>
      <c r="X69" s="210">
        <f t="shared" si="120"/>
        <v>0</v>
      </c>
      <c r="Y69" s="210">
        <f t="shared" si="121"/>
        <v>0</v>
      </c>
      <c r="Z69" s="210">
        <f t="shared" si="122"/>
        <v>0</v>
      </c>
      <c r="AA69" s="197">
        <f t="shared" si="123"/>
        <v>0</v>
      </c>
      <c r="AC69" s="69">
        <f>IF(OL!S$3=1,OL!S68,"")</f>
        <v>12.553012989000001</v>
      </c>
      <c r="AD69" s="69">
        <f>IF(OL!T$3=1,OL!T68,"")</f>
        <v>14.512</v>
      </c>
      <c r="AE69" s="69" t="str">
        <f>IF(OL!U$3=1,OL!U68,"")</f>
        <v/>
      </c>
      <c r="AF69" s="361">
        <f t="shared" si="124"/>
        <v>27.065012989000003</v>
      </c>
      <c r="AG69" s="210">
        <f t="shared" si="125"/>
        <v>-0.56643180000000015</v>
      </c>
      <c r="AH69" s="210">
        <f t="shared" si="126"/>
        <v>0</v>
      </c>
      <c r="AI69" s="210">
        <f t="shared" si="127"/>
        <v>0</v>
      </c>
      <c r="AJ69" s="350">
        <f t="shared" si="128"/>
        <v>-15.078431800000002</v>
      </c>
      <c r="AL69" s="69">
        <f>IF(LY!S$3=1,LY!S68,"")</f>
        <v>11.462629563</v>
      </c>
      <c r="AM69" s="69" t="str">
        <f>IF(LY!T$3=1,LY!T68,"")</f>
        <v/>
      </c>
      <c r="AN69" s="69" t="str">
        <f>IF(LY!U$3=1,LY!U68,"")</f>
        <v/>
      </c>
      <c r="AO69" s="380">
        <f t="shared" si="129"/>
        <v>11.462629563</v>
      </c>
      <c r="AP69" s="210">
        <f t="shared" si="130"/>
        <v>0.52395162600000056</v>
      </c>
      <c r="AQ69" s="210">
        <f t="shared" si="131"/>
        <v>0</v>
      </c>
      <c r="AR69" s="210">
        <f t="shared" si="94"/>
        <v>0</v>
      </c>
      <c r="AS69" s="403">
        <f t="shared" si="94"/>
        <v>0.52395162600000056</v>
      </c>
      <c r="AU69" s="69">
        <f>Act!L68</f>
        <v>17.910946447000001</v>
      </c>
      <c r="AV69" s="852" t="e">
        <f t="shared" si="28"/>
        <v>#VALUE!</v>
      </c>
      <c r="AX69" s="69">
        <f>IF('FC5+7'!S$3=1,'FC5+7'!S68,"")</f>
        <v>11.986581189000001</v>
      </c>
      <c r="AY69" s="69" t="str">
        <f>IF('FC5+7'!T$3=1,'FC5+7'!T68,"")</f>
        <v/>
      </c>
      <c r="AZ69" s="69" t="str">
        <f>IF('FC5+7'!U$3=1,'FC5+7'!U68,"")</f>
        <v/>
      </c>
      <c r="BA69" s="208">
        <f t="shared" si="132"/>
        <v>11.986581189000001</v>
      </c>
      <c r="BB69" s="704">
        <f t="shared" si="133"/>
        <v>0</v>
      </c>
      <c r="BC69" s="210">
        <f t="shared" si="134"/>
        <v>0</v>
      </c>
      <c r="BD69" s="210">
        <f t="shared" si="135"/>
        <v>0</v>
      </c>
      <c r="BE69" s="197">
        <f t="shared" si="136"/>
        <v>0</v>
      </c>
      <c r="BG69" s="69">
        <f t="shared" si="31"/>
        <v>11.986581189000001</v>
      </c>
      <c r="BH69" s="69">
        <v>13.502000000000001</v>
      </c>
      <c r="BI69" s="69">
        <v>14.537000000000001</v>
      </c>
      <c r="BJ69" s="361">
        <f t="shared" si="137"/>
        <v>40.025581189</v>
      </c>
      <c r="BK69" s="210">
        <f t="shared" si="33"/>
        <v>-0.56643180000000015</v>
      </c>
      <c r="BL69" s="210">
        <f t="shared" si="34"/>
        <v>0</v>
      </c>
      <c r="BM69" s="210">
        <f t="shared" si="35"/>
        <v>0</v>
      </c>
      <c r="BN69" s="350">
        <f t="shared" si="95"/>
        <v>-28.039000000000001</v>
      </c>
      <c r="BP69" s="69">
        <f t="shared" si="37"/>
        <v>11.986581189000001</v>
      </c>
      <c r="BQ69" s="69" t="str">
        <f t="shared" si="37"/>
        <v/>
      </c>
      <c r="BR69" s="69" t="e">
        <f>#REF!</f>
        <v>#REF!</v>
      </c>
      <c r="BS69" s="361" t="e">
        <f t="shared" si="138"/>
        <v>#REF!</v>
      </c>
      <c r="BT69" s="210">
        <f t="shared" si="39"/>
        <v>-0.56643180000000015</v>
      </c>
      <c r="BU69" s="210" t="e">
        <f t="shared" si="40"/>
        <v>#VALUE!</v>
      </c>
      <c r="BV69" s="210" t="e">
        <f t="shared" si="41"/>
        <v>#REF!</v>
      </c>
      <c r="BW69" s="350" t="e">
        <f t="shared" si="42"/>
        <v>#REF!</v>
      </c>
      <c r="BY69" s="350" t="e">
        <f t="shared" si="43"/>
        <v>#VALUE!</v>
      </c>
      <c r="CA69" s="208">
        <f>'FC2+10'!AA68</f>
        <v>37.564025657000002</v>
      </c>
      <c r="CC69" s="350">
        <f t="shared" si="44"/>
        <v>25.577444468000003</v>
      </c>
      <c r="CE69" s="69">
        <f>IF('FC7+5'!S$3=1,'FC7+5'!S68,"")</f>
        <v>11.986581189000001</v>
      </c>
      <c r="CF69" s="69" t="str">
        <f>IF('FC7+5'!T$3=1,'FC7+5'!T68,"")</f>
        <v/>
      </c>
      <c r="CG69" s="69" t="str">
        <f>IF('FC7+5'!U$3=1,'FC7+5'!U68,"")</f>
        <v/>
      </c>
      <c r="CH69" s="907">
        <f t="shared" si="139"/>
        <v>11.986581189000001</v>
      </c>
      <c r="CI69" s="704">
        <f t="shared" si="140"/>
        <v>0</v>
      </c>
      <c r="CJ69" s="210">
        <f t="shared" si="141"/>
        <v>0</v>
      </c>
      <c r="CK69" s="210">
        <f t="shared" si="142"/>
        <v>0</v>
      </c>
      <c r="CL69" s="907">
        <f t="shared" si="143"/>
        <v>0</v>
      </c>
      <c r="CM69" s="907">
        <f>IF('FC7+5'!AC$3=1,'FC7+5'!AC68,"")</f>
        <v>45.667584814000001</v>
      </c>
      <c r="CN69" s="907">
        <f t="shared" si="47"/>
        <v>-33.681003625000002</v>
      </c>
    </row>
    <row r="70" spans="1:92" ht="15">
      <c r="A70" s="94" t="s">
        <v>143</v>
      </c>
      <c r="B70" s="94"/>
      <c r="C70" s="94"/>
      <c r="D70" s="78" t="s">
        <v>57</v>
      </c>
      <c r="E70" s="73"/>
      <c r="F70" s="70">
        <f>IF(Act!S$3=1,Act!S69,"")</f>
        <v>0</v>
      </c>
      <c r="G70" s="70" t="str">
        <f>IF(Act!T$3=1,Act!T69,"")</f>
        <v/>
      </c>
      <c r="H70" s="70" t="str">
        <f>IF(Act!U$3=1,Act!U69,"")</f>
        <v/>
      </c>
      <c r="I70" s="188">
        <f t="shared" si="113"/>
        <v>0</v>
      </c>
      <c r="K70" s="69">
        <f>IF(BP!S$3=1,BP!S69,"")</f>
        <v>0</v>
      </c>
      <c r="L70" s="69" t="str">
        <f>IF(BP!T$3=1,BP!T69,"")</f>
        <v/>
      </c>
      <c r="M70" s="69" t="str">
        <f>IF(BP!U$3=1,BP!U69,"")</f>
        <v/>
      </c>
      <c r="N70" s="119">
        <f t="shared" si="114"/>
        <v>0</v>
      </c>
      <c r="O70" s="210">
        <f t="shared" si="115"/>
        <v>0</v>
      </c>
      <c r="P70" s="210">
        <f t="shared" si="116"/>
        <v>0</v>
      </c>
      <c r="Q70" s="210">
        <f t="shared" si="117"/>
        <v>0</v>
      </c>
      <c r="R70" s="200">
        <f t="shared" si="118"/>
        <v>0</v>
      </c>
      <c r="T70" s="69">
        <f>IF('FC2+10'!S$3=1,'FC2+10'!S69,"")</f>
        <v>0</v>
      </c>
      <c r="U70" s="69" t="str">
        <f>IF('FC2+10'!T$3=1,'FC2+10'!T69,"")</f>
        <v/>
      </c>
      <c r="V70" s="69" t="str">
        <f>IF('FC2+10'!U$3=1,'FC2+10'!U69,"")</f>
        <v/>
      </c>
      <c r="W70" s="208">
        <f t="shared" si="119"/>
        <v>0</v>
      </c>
      <c r="X70" s="210">
        <f t="shared" si="120"/>
        <v>0</v>
      </c>
      <c r="Y70" s="210">
        <f t="shared" si="121"/>
        <v>0</v>
      </c>
      <c r="Z70" s="210">
        <f t="shared" si="122"/>
        <v>0</v>
      </c>
      <c r="AA70" s="197">
        <f t="shared" si="123"/>
        <v>0</v>
      </c>
      <c r="AC70" s="69">
        <f>IF(OL!S$3=1,OL!S69,"")</f>
        <v>0</v>
      </c>
      <c r="AD70" s="69">
        <f>IF(OL!T$3=1,OL!T69,"")</f>
        <v>0</v>
      </c>
      <c r="AE70" s="69" t="str">
        <f>IF(OL!U$3=1,OL!U69,"")</f>
        <v/>
      </c>
      <c r="AF70" s="361">
        <f t="shared" si="124"/>
        <v>0</v>
      </c>
      <c r="AG70" s="210">
        <f t="shared" si="125"/>
        <v>0</v>
      </c>
      <c r="AH70" s="210">
        <f t="shared" si="126"/>
        <v>0</v>
      </c>
      <c r="AI70" s="210">
        <f t="shared" si="127"/>
        <v>0</v>
      </c>
      <c r="AJ70" s="350">
        <f t="shared" si="128"/>
        <v>0</v>
      </c>
      <c r="AL70" s="69">
        <f>IF(LY!S$3=1,LY!S69,"")</f>
        <v>0</v>
      </c>
      <c r="AM70" s="69" t="str">
        <f>IF(LY!T$3=1,LY!T69,"")</f>
        <v/>
      </c>
      <c r="AN70" s="69" t="str">
        <f>IF(LY!U$3=1,LY!U69,"")</f>
        <v/>
      </c>
      <c r="AO70" s="380">
        <f t="shared" si="129"/>
        <v>0</v>
      </c>
      <c r="AP70" s="210">
        <f t="shared" si="130"/>
        <v>0</v>
      </c>
      <c r="AQ70" s="210">
        <f t="shared" si="131"/>
        <v>0</v>
      </c>
      <c r="AR70" s="210">
        <f t="shared" si="94"/>
        <v>0</v>
      </c>
      <c r="AS70" s="403">
        <f t="shared" si="94"/>
        <v>0</v>
      </c>
      <c r="AU70" s="69">
        <f>Act!L69</f>
        <v>0</v>
      </c>
      <c r="AV70" s="852" t="e">
        <f t="shared" si="28"/>
        <v>#VALUE!</v>
      </c>
      <c r="AX70" s="69">
        <f>IF('FC5+7'!S$3=1,'FC5+7'!S69,"")</f>
        <v>0</v>
      </c>
      <c r="AY70" s="69" t="str">
        <f>IF('FC5+7'!T$3=1,'FC5+7'!T69,"")</f>
        <v/>
      </c>
      <c r="AZ70" s="69" t="str">
        <f>IF('FC5+7'!U$3=1,'FC5+7'!U69,"")</f>
        <v/>
      </c>
      <c r="BA70" s="208">
        <f t="shared" si="132"/>
        <v>0</v>
      </c>
      <c r="BB70" s="704">
        <f t="shared" si="133"/>
        <v>0</v>
      </c>
      <c r="BC70" s="210">
        <f t="shared" si="134"/>
        <v>0</v>
      </c>
      <c r="BD70" s="210">
        <f t="shared" si="135"/>
        <v>0</v>
      </c>
      <c r="BE70" s="197">
        <f t="shared" si="136"/>
        <v>0</v>
      </c>
      <c r="BG70" s="69">
        <f t="shared" si="31"/>
        <v>0</v>
      </c>
      <c r="BH70" s="69">
        <v>0</v>
      </c>
      <c r="BI70" s="69">
        <v>0</v>
      </c>
      <c r="BJ70" s="361">
        <f t="shared" si="137"/>
        <v>0</v>
      </c>
      <c r="BK70" s="210">
        <f t="shared" si="33"/>
        <v>0</v>
      </c>
      <c r="BL70" s="210">
        <f t="shared" si="34"/>
        <v>0</v>
      </c>
      <c r="BM70" s="210">
        <f t="shared" si="35"/>
        <v>0</v>
      </c>
      <c r="BN70" s="350">
        <f t="shared" si="95"/>
        <v>0</v>
      </c>
      <c r="BP70" s="69">
        <f t="shared" si="37"/>
        <v>0</v>
      </c>
      <c r="BQ70" s="69" t="str">
        <f t="shared" si="37"/>
        <v/>
      </c>
      <c r="BR70" s="69" t="e">
        <f>#REF!</f>
        <v>#REF!</v>
      </c>
      <c r="BS70" s="361" t="e">
        <f t="shared" si="138"/>
        <v>#REF!</v>
      </c>
      <c r="BT70" s="210">
        <f t="shared" si="39"/>
        <v>0</v>
      </c>
      <c r="BU70" s="210" t="e">
        <f t="shared" si="40"/>
        <v>#VALUE!</v>
      </c>
      <c r="BV70" s="210" t="e">
        <f t="shared" si="41"/>
        <v>#REF!</v>
      </c>
      <c r="BW70" s="350" t="e">
        <f t="shared" si="42"/>
        <v>#REF!</v>
      </c>
      <c r="BY70" s="350" t="e">
        <f t="shared" si="43"/>
        <v>#VALUE!</v>
      </c>
      <c r="CA70" s="208">
        <f>'FC2+10'!AA69</f>
        <v>0</v>
      </c>
      <c r="CC70" s="350">
        <f t="shared" si="44"/>
        <v>0</v>
      </c>
      <c r="CE70" s="69">
        <f>IF('FC7+5'!S$3=1,'FC7+5'!S69,"")</f>
        <v>0</v>
      </c>
      <c r="CF70" s="69" t="str">
        <f>IF('FC7+5'!T$3=1,'FC7+5'!T69,"")</f>
        <v/>
      </c>
      <c r="CG70" s="69" t="str">
        <f>IF('FC7+5'!U$3=1,'FC7+5'!U69,"")</f>
        <v/>
      </c>
      <c r="CH70" s="907">
        <f t="shared" si="139"/>
        <v>0</v>
      </c>
      <c r="CI70" s="704">
        <f t="shared" si="140"/>
        <v>0</v>
      </c>
      <c r="CJ70" s="210">
        <f t="shared" si="141"/>
        <v>0</v>
      </c>
      <c r="CK70" s="210">
        <f t="shared" si="142"/>
        <v>0</v>
      </c>
      <c r="CL70" s="907">
        <f t="shared" si="143"/>
        <v>0</v>
      </c>
      <c r="CM70" s="907">
        <f>IF('FC7+5'!AC$3=1,'FC7+5'!AC69,"")</f>
        <v>0</v>
      </c>
      <c r="CN70" s="907">
        <f t="shared" si="47"/>
        <v>0</v>
      </c>
    </row>
    <row r="71" spans="1:92" ht="15">
      <c r="A71" s="94" t="s">
        <v>144</v>
      </c>
      <c r="B71" s="94"/>
      <c r="C71" s="94"/>
      <c r="D71" s="78" t="s">
        <v>58</v>
      </c>
      <c r="E71" s="73"/>
      <c r="F71" s="70">
        <f>IF(Act!S$3=1,Act!S70,"")</f>
        <v>2.2744157</v>
      </c>
      <c r="G71" s="70" t="str">
        <f>IF(Act!T$3=1,Act!T70,"")</f>
        <v/>
      </c>
      <c r="H71" s="70" t="str">
        <f>IF(Act!U$3=1,Act!U70,"")</f>
        <v/>
      </c>
      <c r="I71" s="188">
        <f t="shared" si="113"/>
        <v>2.2744157</v>
      </c>
      <c r="K71" s="69">
        <f>IF(BP!S$3=1,BP!S70,"")</f>
        <v>1.9631086</v>
      </c>
      <c r="L71" s="69" t="str">
        <f>IF(BP!T$3=1,BP!T70,"")</f>
        <v/>
      </c>
      <c r="M71" s="69" t="str">
        <f>IF(BP!U$3=1,BP!U70,"")</f>
        <v/>
      </c>
      <c r="N71" s="119">
        <f t="shared" si="114"/>
        <v>1.9631086</v>
      </c>
      <c r="O71" s="210">
        <f t="shared" si="115"/>
        <v>0.31130710000000006</v>
      </c>
      <c r="P71" s="210">
        <f t="shared" si="116"/>
        <v>0</v>
      </c>
      <c r="Q71" s="210">
        <f t="shared" si="117"/>
        <v>0</v>
      </c>
      <c r="R71" s="200">
        <f t="shared" si="118"/>
        <v>0.31130710000000006</v>
      </c>
      <c r="T71" s="69">
        <f>IF('FC2+10'!S$3=1,'FC2+10'!S70,"")</f>
        <v>2.2744157</v>
      </c>
      <c r="U71" s="69" t="str">
        <f>IF('FC2+10'!T$3=1,'FC2+10'!T70,"")</f>
        <v/>
      </c>
      <c r="V71" s="69" t="str">
        <f>IF('FC2+10'!U$3=1,'FC2+10'!U70,"")</f>
        <v/>
      </c>
      <c r="W71" s="208">
        <f t="shared" si="119"/>
        <v>2.2744157</v>
      </c>
      <c r="X71" s="210">
        <f t="shared" si="120"/>
        <v>0</v>
      </c>
      <c r="Y71" s="210">
        <f t="shared" si="121"/>
        <v>0</v>
      </c>
      <c r="Z71" s="210">
        <f t="shared" si="122"/>
        <v>0</v>
      </c>
      <c r="AA71" s="197">
        <f t="shared" si="123"/>
        <v>0</v>
      </c>
      <c r="AC71" s="69">
        <f>IF(OL!S$3=1,OL!S70,"")</f>
        <v>3.2673819799999961</v>
      </c>
      <c r="AD71" s="69">
        <f>IF(OL!T$3=1,OL!T70,"")</f>
        <v>4.3610229180000006</v>
      </c>
      <c r="AE71" s="69" t="str">
        <f>IF(OL!U$3=1,OL!U70,"")</f>
        <v/>
      </c>
      <c r="AF71" s="361">
        <f t="shared" si="124"/>
        <v>7.6284048979999968</v>
      </c>
      <c r="AG71" s="210">
        <f t="shared" si="125"/>
        <v>-0.99296627999999609</v>
      </c>
      <c r="AH71" s="210">
        <f t="shared" si="126"/>
        <v>0</v>
      </c>
      <c r="AI71" s="210">
        <f t="shared" si="127"/>
        <v>0</v>
      </c>
      <c r="AJ71" s="350">
        <f t="shared" si="128"/>
        <v>-5.3539891979999972</v>
      </c>
      <c r="AL71" s="69">
        <f>IF(LY!S$3=1,LY!S70,"")</f>
        <v>2.4191639000000005</v>
      </c>
      <c r="AM71" s="69" t="str">
        <f>IF(LY!T$3=1,LY!T70,"")</f>
        <v/>
      </c>
      <c r="AN71" s="69" t="str">
        <f>IF(LY!U$3=1,LY!U70,"")</f>
        <v/>
      </c>
      <c r="AO71" s="380">
        <f t="shared" si="129"/>
        <v>2.4191639000000005</v>
      </c>
      <c r="AP71" s="210">
        <f t="shared" si="130"/>
        <v>-0.14474820000000044</v>
      </c>
      <c r="AQ71" s="210">
        <f t="shared" si="131"/>
        <v>0</v>
      </c>
      <c r="AR71" s="210">
        <f t="shared" si="94"/>
        <v>0</v>
      </c>
      <c r="AS71" s="403">
        <f t="shared" si="94"/>
        <v>-0.14474820000000044</v>
      </c>
      <c r="AU71" s="69">
        <f>Act!L70</f>
        <v>3.5320670200000031</v>
      </c>
      <c r="AV71" s="852" t="e">
        <f t="shared" si="28"/>
        <v>#VALUE!</v>
      </c>
      <c r="AX71" s="69">
        <f>IF('FC5+7'!S$3=1,'FC5+7'!S70,"")</f>
        <v>2.2744157</v>
      </c>
      <c r="AY71" s="69" t="str">
        <f>IF('FC5+7'!T$3=1,'FC5+7'!T70,"")</f>
        <v/>
      </c>
      <c r="AZ71" s="69" t="str">
        <f>IF('FC5+7'!U$3=1,'FC5+7'!U70,"")</f>
        <v/>
      </c>
      <c r="BA71" s="208">
        <f t="shared" si="132"/>
        <v>2.2744157</v>
      </c>
      <c r="BB71" s="704">
        <f t="shared" si="133"/>
        <v>0</v>
      </c>
      <c r="BC71" s="210">
        <f t="shared" si="134"/>
        <v>0</v>
      </c>
      <c r="BD71" s="210">
        <f t="shared" si="135"/>
        <v>0</v>
      </c>
      <c r="BE71" s="197">
        <f t="shared" si="136"/>
        <v>0</v>
      </c>
      <c r="BG71" s="69">
        <f t="shared" si="31"/>
        <v>2.2744157</v>
      </c>
      <c r="BH71" s="69">
        <v>2.4110575000000001</v>
      </c>
      <c r="BI71" s="69">
        <v>4.2274964999999991</v>
      </c>
      <c r="BJ71" s="361">
        <f t="shared" si="137"/>
        <v>8.9129696999999997</v>
      </c>
      <c r="BK71" s="210">
        <f t="shared" si="33"/>
        <v>-0.99296627999999609</v>
      </c>
      <c r="BL71" s="210">
        <f t="shared" si="34"/>
        <v>0</v>
      </c>
      <c r="BM71" s="210">
        <f t="shared" si="35"/>
        <v>0</v>
      </c>
      <c r="BN71" s="350">
        <f t="shared" si="95"/>
        <v>-6.6385539999999992</v>
      </c>
      <c r="BP71" s="69">
        <f t="shared" si="37"/>
        <v>2.2744157</v>
      </c>
      <c r="BQ71" s="69" t="str">
        <f t="shared" si="37"/>
        <v/>
      </c>
      <c r="BR71" s="69" t="e">
        <f>#REF!</f>
        <v>#REF!</v>
      </c>
      <c r="BS71" s="361" t="e">
        <f t="shared" si="138"/>
        <v>#REF!</v>
      </c>
      <c r="BT71" s="210">
        <f t="shared" si="39"/>
        <v>-0.99296627999999609</v>
      </c>
      <c r="BU71" s="210" t="e">
        <f t="shared" si="40"/>
        <v>#VALUE!</v>
      </c>
      <c r="BV71" s="210" t="e">
        <f t="shared" si="41"/>
        <v>#REF!</v>
      </c>
      <c r="BW71" s="350" t="e">
        <f t="shared" si="42"/>
        <v>#REF!</v>
      </c>
      <c r="BY71" s="350" t="e">
        <f t="shared" si="43"/>
        <v>#VALUE!</v>
      </c>
      <c r="CA71" s="208">
        <f>'FC2+10'!AA70</f>
        <v>9.3317245</v>
      </c>
      <c r="CC71" s="350">
        <f t="shared" si="44"/>
        <v>7.0573087999999995</v>
      </c>
      <c r="CE71" s="69">
        <f>IF('FC7+5'!S$3=1,'FC7+5'!S70,"")</f>
        <v>2.2744157</v>
      </c>
      <c r="CF71" s="69" t="str">
        <f>IF('FC7+5'!T$3=1,'FC7+5'!T70,"")</f>
        <v/>
      </c>
      <c r="CG71" s="69" t="str">
        <f>IF('FC7+5'!U$3=1,'FC7+5'!U70,"")</f>
        <v/>
      </c>
      <c r="CH71" s="907">
        <f t="shared" si="139"/>
        <v>2.2744157</v>
      </c>
      <c r="CI71" s="704">
        <f t="shared" si="140"/>
        <v>0</v>
      </c>
      <c r="CJ71" s="210">
        <f t="shared" si="141"/>
        <v>0</v>
      </c>
      <c r="CK71" s="210">
        <f t="shared" si="142"/>
        <v>0</v>
      </c>
      <c r="CL71" s="907">
        <f t="shared" si="143"/>
        <v>0</v>
      </c>
      <c r="CM71" s="907">
        <f>IF('FC7+5'!AC$3=1,'FC7+5'!AC70,"")</f>
        <v>14.256555215999999</v>
      </c>
      <c r="CN71" s="907">
        <f t="shared" si="47"/>
        <v>-11.982139515999998</v>
      </c>
    </row>
    <row r="72" spans="1:92" ht="15">
      <c r="A72" s="94" t="s">
        <v>59</v>
      </c>
      <c r="B72" s="94"/>
      <c r="C72" s="94"/>
      <c r="D72" s="78" t="s">
        <v>59</v>
      </c>
      <c r="E72" s="73"/>
      <c r="F72" s="70">
        <f>IF(Act!S$3=1,Act!S71,"")</f>
        <v>-1.9535469999999999</v>
      </c>
      <c r="G72" s="70" t="str">
        <f>IF(Act!T$3=1,Act!T71,"")</f>
        <v/>
      </c>
      <c r="H72" s="70" t="str">
        <f>IF(Act!U$3=1,Act!U71,"")</f>
        <v/>
      </c>
      <c r="I72" s="188">
        <f t="shared" si="113"/>
        <v>-1.9535469999999999</v>
      </c>
      <c r="K72" s="69">
        <f>IF(BP!S$3=1,BP!S71,"")</f>
        <v>0</v>
      </c>
      <c r="L72" s="69" t="str">
        <f>IF(BP!T$3=1,BP!T71,"")</f>
        <v/>
      </c>
      <c r="M72" s="69" t="str">
        <f>IF(BP!U$3=1,BP!U71,"")</f>
        <v/>
      </c>
      <c r="N72" s="119">
        <f t="shared" si="114"/>
        <v>0</v>
      </c>
      <c r="O72" s="210">
        <f t="shared" si="115"/>
        <v>-1.9535469999999999</v>
      </c>
      <c r="P72" s="210">
        <f t="shared" si="116"/>
        <v>0</v>
      </c>
      <c r="Q72" s="210">
        <f t="shared" si="117"/>
        <v>0</v>
      </c>
      <c r="R72" s="200">
        <f t="shared" si="118"/>
        <v>-1.9535469999999999</v>
      </c>
      <c r="T72" s="69">
        <f>IF('FC2+10'!S$3=1,'FC2+10'!S71,"")</f>
        <v>-1.9535469999999999</v>
      </c>
      <c r="U72" s="69" t="str">
        <f>IF('FC2+10'!T$3=1,'FC2+10'!T71,"")</f>
        <v/>
      </c>
      <c r="V72" s="69" t="str">
        <f>IF('FC2+10'!U$3=1,'FC2+10'!U71,"")</f>
        <v/>
      </c>
      <c r="W72" s="208">
        <f t="shared" si="119"/>
        <v>-1.9535469999999999</v>
      </c>
      <c r="X72" s="210">
        <f t="shared" si="120"/>
        <v>0</v>
      </c>
      <c r="Y72" s="210">
        <f t="shared" si="121"/>
        <v>0</v>
      </c>
      <c r="Z72" s="210">
        <f t="shared" si="122"/>
        <v>0</v>
      </c>
      <c r="AA72" s="197">
        <f t="shared" si="123"/>
        <v>0</v>
      </c>
      <c r="AC72" s="69">
        <f>IF(OL!S$3=1,OL!S71,"")</f>
        <v>0.88185000000000002</v>
      </c>
      <c r="AD72" s="69">
        <f>IF(OL!T$3=1,OL!T71,"")</f>
        <v>0</v>
      </c>
      <c r="AE72" s="69" t="str">
        <f>IF(OL!U$3=1,OL!U71,"")</f>
        <v/>
      </c>
      <c r="AF72" s="361">
        <f t="shared" si="124"/>
        <v>0.88185000000000002</v>
      </c>
      <c r="AG72" s="210">
        <f t="shared" si="125"/>
        <v>-2.8353969999999999</v>
      </c>
      <c r="AH72" s="210">
        <f t="shared" si="126"/>
        <v>0</v>
      </c>
      <c r="AI72" s="210">
        <f t="shared" si="127"/>
        <v>0</v>
      </c>
      <c r="AJ72" s="350">
        <f t="shared" si="128"/>
        <v>-2.8353969999999999</v>
      </c>
      <c r="AL72" s="69">
        <f>IF(LY!S$3=1,LY!S71,"")</f>
        <v>0.11997990000000003</v>
      </c>
      <c r="AM72" s="69" t="str">
        <f>IF(LY!T$3=1,LY!T71,"")</f>
        <v/>
      </c>
      <c r="AN72" s="69" t="str">
        <f>IF(LY!U$3=1,LY!U71,"")</f>
        <v/>
      </c>
      <c r="AO72" s="380">
        <f t="shared" si="129"/>
        <v>0.11997990000000003</v>
      </c>
      <c r="AP72" s="210">
        <f t="shared" si="130"/>
        <v>-2.0735269000000001</v>
      </c>
      <c r="AQ72" s="210">
        <f t="shared" si="131"/>
        <v>0</v>
      </c>
      <c r="AR72" s="210">
        <f t="shared" si="94"/>
        <v>0</v>
      </c>
      <c r="AS72" s="403">
        <f t="shared" si="94"/>
        <v>-2.0735269000000001</v>
      </c>
      <c r="AU72" s="69">
        <f>Act!L71</f>
        <v>0.61047119999999977</v>
      </c>
      <c r="AV72" s="852" t="e">
        <f t="shared" ref="AV72:AV79" si="144">H72-AU72</f>
        <v>#VALUE!</v>
      </c>
      <c r="AX72" s="69">
        <f>IF('FC5+7'!S$3=1,'FC5+7'!S71,"")</f>
        <v>-1.9535469999999999</v>
      </c>
      <c r="AY72" s="69" t="str">
        <f>IF('FC5+7'!T$3=1,'FC5+7'!T71,"")</f>
        <v/>
      </c>
      <c r="AZ72" s="69" t="str">
        <f>IF('FC5+7'!U$3=1,'FC5+7'!U71,"")</f>
        <v/>
      </c>
      <c r="BA72" s="208">
        <f t="shared" si="132"/>
        <v>-1.9535469999999999</v>
      </c>
      <c r="BB72" s="704">
        <f t="shared" si="133"/>
        <v>0</v>
      </c>
      <c r="BC72" s="210">
        <f t="shared" si="134"/>
        <v>0</v>
      </c>
      <c r="BD72" s="210">
        <f t="shared" si="135"/>
        <v>0</v>
      </c>
      <c r="BE72" s="197">
        <f t="shared" si="136"/>
        <v>0</v>
      </c>
      <c r="BG72" s="69">
        <f t="shared" ref="BG72:BG78" si="145">F72</f>
        <v>-1.9535469999999999</v>
      </c>
      <c r="BH72" s="69">
        <v>0</v>
      </c>
      <c r="BI72" s="69">
        <v>0</v>
      </c>
      <c r="BJ72" s="361">
        <f t="shared" si="137"/>
        <v>-1.9535469999999999</v>
      </c>
      <c r="BK72" s="210">
        <f t="shared" ref="BK72:BL78" si="146">IFERROR(F72-AC72,0)</f>
        <v>-2.8353969999999999</v>
      </c>
      <c r="BL72" s="210">
        <f t="shared" si="146"/>
        <v>0</v>
      </c>
      <c r="BM72" s="210">
        <f t="shared" ref="BM72:BM78" si="147">IFERROR(AL72-AE72,0)</f>
        <v>0</v>
      </c>
      <c r="BN72" s="350">
        <f t="shared" si="95"/>
        <v>0</v>
      </c>
      <c r="BP72" s="69">
        <f t="shared" ref="BP72:BQ74" si="148">F72</f>
        <v>-1.9535469999999999</v>
      </c>
      <c r="BQ72" s="69" t="str">
        <f t="shared" si="148"/>
        <v/>
      </c>
      <c r="BR72" s="69" t="e">
        <f>#REF!</f>
        <v>#REF!</v>
      </c>
      <c r="BS72" s="361" t="e">
        <f t="shared" si="138"/>
        <v>#REF!</v>
      </c>
      <c r="BT72" s="210">
        <f t="shared" ref="BT72:BW78" si="149">BP72-AC72</f>
        <v>-2.8353969999999999</v>
      </c>
      <c r="BU72" s="210" t="e">
        <f t="shared" si="149"/>
        <v>#VALUE!</v>
      </c>
      <c r="BV72" s="210" t="e">
        <f t="shared" si="149"/>
        <v>#REF!</v>
      </c>
      <c r="BW72" s="350" t="e">
        <f t="shared" si="149"/>
        <v>#REF!</v>
      </c>
      <c r="BY72" s="350" t="e">
        <f t="shared" ref="BY72:BY78" si="150">H72-BR72</f>
        <v>#VALUE!</v>
      </c>
      <c r="CA72" s="208">
        <f>'FC2+10'!AA71</f>
        <v>0</v>
      </c>
      <c r="CC72" s="350">
        <f t="shared" ref="CC72:CC79" si="151">CA72-I72</f>
        <v>1.9535469999999999</v>
      </c>
      <c r="CE72" s="69">
        <f>IF('FC7+5'!S$3=1,'FC7+5'!S71,"")</f>
        <v>-1.9535469999999999</v>
      </c>
      <c r="CF72" s="69" t="str">
        <f>IF('FC7+5'!T$3=1,'FC7+5'!T71,"")</f>
        <v/>
      </c>
      <c r="CG72" s="69" t="str">
        <f>IF('FC7+5'!U$3=1,'FC7+5'!U71,"")</f>
        <v/>
      </c>
      <c r="CH72" s="907">
        <f t="shared" si="139"/>
        <v>-1.9535469999999999</v>
      </c>
      <c r="CI72" s="704">
        <f t="shared" si="140"/>
        <v>0</v>
      </c>
      <c r="CJ72" s="210">
        <f t="shared" si="141"/>
        <v>0</v>
      </c>
      <c r="CK72" s="210">
        <f t="shared" si="142"/>
        <v>0</v>
      </c>
      <c r="CL72" s="907">
        <f t="shared" si="143"/>
        <v>0</v>
      </c>
      <c r="CM72" s="907">
        <f>IF('FC7+5'!AC$3=1,'FC7+5'!AC71,"")</f>
        <v>0</v>
      </c>
      <c r="CN72" s="907">
        <f t="shared" ref="CN72:CN79" si="152">I72-CM72</f>
        <v>-1.9535469999999999</v>
      </c>
    </row>
    <row r="73" spans="1:92" ht="15">
      <c r="A73" s="94" t="s">
        <v>145</v>
      </c>
      <c r="B73" s="94"/>
      <c r="C73" s="94"/>
      <c r="D73" s="78" t="s">
        <v>60</v>
      </c>
      <c r="E73" s="97"/>
      <c r="F73" s="70">
        <f>IF(Act!S$3=1,Act!S72,"")</f>
        <v>0.14099999999999999</v>
      </c>
      <c r="G73" s="70" t="str">
        <f>IF(Act!T$3=1,Act!T72,"")</f>
        <v/>
      </c>
      <c r="H73" s="70" t="str">
        <f>IF(Act!U$3=1,Act!U72,"")</f>
        <v/>
      </c>
      <c r="I73" s="188">
        <f t="shared" si="113"/>
        <v>0.14099999999999999</v>
      </c>
      <c r="K73" s="69">
        <f>IF(BP!S$3=1,BP!S72,"")</f>
        <v>0.41615999999999997</v>
      </c>
      <c r="L73" s="69" t="str">
        <f>IF(BP!T$3=1,BP!T72,"")</f>
        <v/>
      </c>
      <c r="M73" s="69" t="str">
        <f>IF(BP!U$3=1,BP!U72,"")</f>
        <v/>
      </c>
      <c r="N73" s="119">
        <f t="shared" si="114"/>
        <v>0.41615999999999997</v>
      </c>
      <c r="O73" s="210">
        <f t="shared" si="115"/>
        <v>-0.27515999999999996</v>
      </c>
      <c r="P73" s="210">
        <f t="shared" si="116"/>
        <v>0</v>
      </c>
      <c r="Q73" s="210">
        <f t="shared" si="117"/>
        <v>0</v>
      </c>
      <c r="R73" s="200">
        <f t="shared" si="118"/>
        <v>-0.27515999999999996</v>
      </c>
      <c r="T73" s="69">
        <f>IF('FC2+10'!S$3=1,'FC2+10'!S72,"")</f>
        <v>0.14099999999999999</v>
      </c>
      <c r="U73" s="69" t="str">
        <f>IF('FC2+10'!T$3=1,'FC2+10'!T72,"")</f>
        <v/>
      </c>
      <c r="V73" s="69" t="str">
        <f>IF('FC2+10'!U$3=1,'FC2+10'!U72,"")</f>
        <v/>
      </c>
      <c r="W73" s="208">
        <f t="shared" si="119"/>
        <v>0.14099999999999999</v>
      </c>
      <c r="X73" s="210">
        <f t="shared" si="120"/>
        <v>0</v>
      </c>
      <c r="Y73" s="210">
        <f t="shared" si="121"/>
        <v>0</v>
      </c>
      <c r="Z73" s="210">
        <f t="shared" si="122"/>
        <v>0</v>
      </c>
      <c r="AA73" s="197">
        <f t="shared" si="123"/>
        <v>0</v>
      </c>
      <c r="AC73" s="69">
        <f>IF(OL!S$3=1,OL!S72,"")</f>
        <v>1.6693</v>
      </c>
      <c r="AD73" s="69">
        <f>IF(OL!T$3=1,OL!T72,"")</f>
        <v>0.123</v>
      </c>
      <c r="AE73" s="69" t="str">
        <f>IF(OL!U$3=1,OL!U72,"")</f>
        <v/>
      </c>
      <c r="AF73" s="361">
        <f t="shared" si="124"/>
        <v>1.7923</v>
      </c>
      <c r="AG73" s="210">
        <f t="shared" si="125"/>
        <v>-1.5283</v>
      </c>
      <c r="AH73" s="210">
        <f t="shared" si="126"/>
        <v>0</v>
      </c>
      <c r="AI73" s="210">
        <f t="shared" si="127"/>
        <v>0</v>
      </c>
      <c r="AJ73" s="350">
        <f t="shared" si="128"/>
        <v>-1.6513</v>
      </c>
      <c r="AL73" s="69">
        <f>IF(LY!S$3=1,LY!S72,"")</f>
        <v>0.93799999999999994</v>
      </c>
      <c r="AM73" s="69" t="str">
        <f>IF(LY!T$3=1,LY!T72,"")</f>
        <v/>
      </c>
      <c r="AN73" s="69" t="str">
        <f>IF(LY!U$3=1,LY!U72,"")</f>
        <v/>
      </c>
      <c r="AO73" s="380">
        <f t="shared" si="129"/>
        <v>0.93799999999999994</v>
      </c>
      <c r="AP73" s="210">
        <f t="shared" si="130"/>
        <v>-0.79699999999999993</v>
      </c>
      <c r="AQ73" s="210">
        <f t="shared" si="131"/>
        <v>0</v>
      </c>
      <c r="AR73" s="210">
        <f t="shared" si="94"/>
        <v>0</v>
      </c>
      <c r="AS73" s="403">
        <f t="shared" si="94"/>
        <v>-0.79699999999999993</v>
      </c>
      <c r="AU73" s="69">
        <f>Act!L72</f>
        <v>0.55400000000000005</v>
      </c>
      <c r="AV73" s="852" t="e">
        <f t="shared" si="144"/>
        <v>#VALUE!</v>
      </c>
      <c r="AX73" s="69">
        <f>IF('FC5+7'!S$3=1,'FC5+7'!S72,"")</f>
        <v>0.14099999999999999</v>
      </c>
      <c r="AY73" s="69" t="str">
        <f>IF('FC5+7'!T$3=1,'FC5+7'!T72,"")</f>
        <v/>
      </c>
      <c r="AZ73" s="69" t="str">
        <f>IF('FC5+7'!U$3=1,'FC5+7'!U72,"")</f>
        <v/>
      </c>
      <c r="BA73" s="208">
        <f t="shared" si="132"/>
        <v>0.14099999999999999</v>
      </c>
      <c r="BB73" s="704">
        <f t="shared" si="133"/>
        <v>0</v>
      </c>
      <c r="BC73" s="210">
        <f t="shared" si="134"/>
        <v>0</v>
      </c>
      <c r="BD73" s="210">
        <f t="shared" si="135"/>
        <v>0</v>
      </c>
      <c r="BE73" s="197">
        <f t="shared" si="136"/>
        <v>0</v>
      </c>
      <c r="BG73" s="69">
        <f t="shared" si="145"/>
        <v>0.14099999999999999</v>
      </c>
      <c r="BH73" s="69">
        <v>0.44816</v>
      </c>
      <c r="BI73" s="69">
        <v>0.48115999999999998</v>
      </c>
      <c r="BJ73" s="361">
        <f t="shared" si="137"/>
        <v>1.0703199999999999</v>
      </c>
      <c r="BK73" s="210">
        <f t="shared" si="146"/>
        <v>-1.5283</v>
      </c>
      <c r="BL73" s="210">
        <f t="shared" si="146"/>
        <v>0</v>
      </c>
      <c r="BM73" s="210">
        <f t="shared" si="147"/>
        <v>0</v>
      </c>
      <c r="BN73" s="350">
        <f t="shared" si="95"/>
        <v>-0.92931999999999992</v>
      </c>
      <c r="BP73" s="69">
        <f t="shared" si="148"/>
        <v>0.14099999999999999</v>
      </c>
      <c r="BQ73" s="69" t="str">
        <f t="shared" si="148"/>
        <v/>
      </c>
      <c r="BR73" s="69" t="e">
        <f>#REF!</f>
        <v>#REF!</v>
      </c>
      <c r="BS73" s="361" t="e">
        <f t="shared" si="138"/>
        <v>#REF!</v>
      </c>
      <c r="BT73" s="210">
        <f t="shared" si="149"/>
        <v>-1.5283</v>
      </c>
      <c r="BU73" s="210" t="e">
        <f t="shared" si="149"/>
        <v>#VALUE!</v>
      </c>
      <c r="BV73" s="210" t="e">
        <f t="shared" si="149"/>
        <v>#REF!</v>
      </c>
      <c r="BW73" s="350" t="e">
        <f t="shared" si="149"/>
        <v>#REF!</v>
      </c>
      <c r="BY73" s="350" t="e">
        <f t="shared" si="150"/>
        <v>#VALUE!</v>
      </c>
      <c r="CA73" s="208">
        <f>'FC2+10'!AA72</f>
        <v>1.6814799999999999</v>
      </c>
      <c r="CC73" s="350">
        <f t="shared" si="151"/>
        <v>1.5404799999999998</v>
      </c>
      <c r="CE73" s="69">
        <f>IF('FC7+5'!S$3=1,'FC7+5'!S72,"")</f>
        <v>0.14099999999999999</v>
      </c>
      <c r="CF73" s="69" t="str">
        <f>IF('FC7+5'!T$3=1,'FC7+5'!T72,"")</f>
        <v/>
      </c>
      <c r="CG73" s="69" t="str">
        <f>IF('FC7+5'!U$3=1,'FC7+5'!U72,"")</f>
        <v/>
      </c>
      <c r="CH73" s="907">
        <f t="shared" si="139"/>
        <v>0.14099999999999999</v>
      </c>
      <c r="CI73" s="704">
        <f t="shared" si="140"/>
        <v>0</v>
      </c>
      <c r="CJ73" s="210">
        <f t="shared" si="141"/>
        <v>0</v>
      </c>
      <c r="CK73" s="210">
        <f t="shared" si="142"/>
        <v>0</v>
      </c>
      <c r="CL73" s="907">
        <f t="shared" si="143"/>
        <v>0</v>
      </c>
      <c r="CM73" s="907">
        <f>IF('FC7+5'!AC$3=1,'FC7+5'!AC72,"")</f>
        <v>1.7429999999999999</v>
      </c>
      <c r="CN73" s="907">
        <f t="shared" si="152"/>
        <v>-1.6019999999999999</v>
      </c>
    </row>
    <row r="74" spans="1:92" ht="15">
      <c r="A74" s="94" t="s">
        <v>263</v>
      </c>
      <c r="B74" s="94"/>
      <c r="C74" s="94"/>
      <c r="D74" s="78" t="s">
        <v>262</v>
      </c>
      <c r="E74" s="97"/>
      <c r="F74" s="70">
        <f>IF(Act!S$3=1,Act!S73,"")</f>
        <v>2.2546439973448797</v>
      </c>
      <c r="G74" s="70" t="str">
        <f>IF(Act!T$3=1,Act!T73,"")</f>
        <v/>
      </c>
      <c r="H74" s="70" t="str">
        <f>IF(Act!U$3=1,Act!U73,"")</f>
        <v/>
      </c>
      <c r="I74" s="188">
        <f t="shared" si="113"/>
        <v>2.2546439973448797</v>
      </c>
      <c r="K74" s="69">
        <f>IF(BP!S$3=1,BP!S73,"")</f>
        <v>2.4651423860199198</v>
      </c>
      <c r="L74" s="69" t="str">
        <f>IF(BP!T$3=1,BP!T73,"")</f>
        <v/>
      </c>
      <c r="M74" s="69" t="str">
        <f>IF(BP!U$3=1,BP!U73,"")</f>
        <v/>
      </c>
      <c r="N74" s="119">
        <f t="shared" si="114"/>
        <v>2.4651423860199198</v>
      </c>
      <c r="O74" s="210">
        <f t="shared" ref="O74:Q75" si="153">IFERROR(F74-K74,0)</f>
        <v>-0.21049838867504</v>
      </c>
      <c r="P74" s="210">
        <f t="shared" si="153"/>
        <v>0</v>
      </c>
      <c r="Q74" s="210">
        <f t="shared" si="153"/>
        <v>0</v>
      </c>
      <c r="R74" s="200">
        <f>I74-N74</f>
        <v>-0.21049838867504</v>
      </c>
      <c r="T74" s="69">
        <f>IF('FC2+10'!S$3=1,'FC2+10'!S73,"")</f>
        <v>2.2546439973448797</v>
      </c>
      <c r="U74" s="69" t="str">
        <f>IF('FC2+10'!T$3=1,'FC2+10'!T73,"")</f>
        <v/>
      </c>
      <c r="V74" s="69" t="str">
        <f>IF('FC2+10'!U$3=1,'FC2+10'!U73,"")</f>
        <v/>
      </c>
      <c r="W74" s="208">
        <f t="shared" ref="W74:W79" si="154">SUM(T74:V74)</f>
        <v>2.2546439973448797</v>
      </c>
      <c r="X74" s="210">
        <f t="shared" ref="X74:Z75" si="155">IFERROR(F74-T74,0)</f>
        <v>0</v>
      </c>
      <c r="Y74" s="210">
        <f t="shared" si="155"/>
        <v>0</v>
      </c>
      <c r="Z74" s="210">
        <f t="shared" si="155"/>
        <v>0</v>
      </c>
      <c r="AA74" s="418">
        <f t="shared" ref="AA74:AA79" si="156">I74-W74</f>
        <v>0</v>
      </c>
      <c r="AC74" s="69">
        <f>IF(OL!S$3=1,OL!S73,"")</f>
        <v>1.3988883249842416</v>
      </c>
      <c r="AD74" s="69">
        <f>IF(OL!T$3=1,OL!T73,"")</f>
        <v>1.5284342684476986</v>
      </c>
      <c r="AE74" s="69" t="str">
        <f>IF(OL!U$3=1,OL!U73,"")</f>
        <v/>
      </c>
      <c r="AF74" s="361">
        <f>SUM(AC74:AE74)</f>
        <v>2.9273225934319402</v>
      </c>
      <c r="AG74" s="210">
        <f t="shared" ref="AG74:AJ75" si="157">IFERROR(F74-AC74,0)</f>
        <v>0.8557556723606381</v>
      </c>
      <c r="AH74" s="210">
        <f t="shared" si="157"/>
        <v>0</v>
      </c>
      <c r="AI74" s="210">
        <f t="shared" si="157"/>
        <v>0</v>
      </c>
      <c r="AJ74" s="350">
        <f t="shared" si="157"/>
        <v>-0.67267859608706049</v>
      </c>
      <c r="AL74" s="69">
        <f>IF(LY!S$3=1,LY!S73,"")</f>
        <v>2.214680658312179</v>
      </c>
      <c r="AM74" s="69" t="str">
        <f>IF(LY!T$3=1,LY!T73,"")</f>
        <v/>
      </c>
      <c r="AN74" s="69" t="str">
        <f>IF(LY!U$3=1,LY!U73,"")</f>
        <v/>
      </c>
      <c r="AO74" s="380">
        <f t="shared" si="129"/>
        <v>2.214680658312179</v>
      </c>
      <c r="AP74" s="210">
        <f t="shared" si="130"/>
        <v>3.9963339032700773E-2</v>
      </c>
      <c r="AQ74" s="210">
        <f t="shared" si="131"/>
        <v>0</v>
      </c>
      <c r="AR74" s="210">
        <f t="shared" si="94"/>
        <v>0</v>
      </c>
      <c r="AS74" s="403">
        <f t="shared" si="94"/>
        <v>3.9963339032700773E-2</v>
      </c>
      <c r="AU74" s="69">
        <f>Act!L73</f>
        <v>0.90222124336119403</v>
      </c>
      <c r="AV74" s="852" t="e">
        <f t="shared" si="144"/>
        <v>#VALUE!</v>
      </c>
      <c r="AX74" s="69">
        <f>IF('FC5+7'!S$3=1,'FC5+7'!S73,"")</f>
        <v>2.2546439973448797</v>
      </c>
      <c r="AY74" s="69" t="str">
        <f>IF('FC5+7'!T$3=1,'FC5+7'!T73,"")</f>
        <v/>
      </c>
      <c r="AZ74" s="69" t="str">
        <f>IF('FC5+7'!U$3=1,'FC5+7'!U73,"")</f>
        <v/>
      </c>
      <c r="BA74" s="208">
        <f t="shared" si="132"/>
        <v>2.2546439973448797</v>
      </c>
      <c r="BB74" s="704">
        <f t="shared" si="133"/>
        <v>0</v>
      </c>
      <c r="BC74" s="546">
        <f t="shared" si="134"/>
        <v>0</v>
      </c>
      <c r="BD74" s="210">
        <f t="shared" si="135"/>
        <v>0</v>
      </c>
      <c r="BE74" s="418">
        <f t="shared" si="136"/>
        <v>0</v>
      </c>
      <c r="BG74" s="69">
        <f t="shared" si="145"/>
        <v>2.2546439973448797</v>
      </c>
      <c r="BH74" s="69">
        <v>2.5</v>
      </c>
      <c r="BI74" s="69">
        <v>2.5</v>
      </c>
      <c r="BJ74" s="361">
        <f>SUM(BG74:BI74)</f>
        <v>7.2546439973448802</v>
      </c>
      <c r="BK74" s="210">
        <f t="shared" si="146"/>
        <v>0.8557556723606381</v>
      </c>
      <c r="BL74" s="210">
        <f t="shared" si="146"/>
        <v>0</v>
      </c>
      <c r="BM74" s="210">
        <f t="shared" si="147"/>
        <v>0</v>
      </c>
      <c r="BN74" s="350">
        <f t="shared" si="95"/>
        <v>-5</v>
      </c>
      <c r="BP74" s="69">
        <f t="shared" si="148"/>
        <v>2.2546439973448797</v>
      </c>
      <c r="BQ74" s="69" t="str">
        <f t="shared" si="148"/>
        <v/>
      </c>
      <c r="BR74" s="69" t="e">
        <f>#REF!</f>
        <v>#REF!</v>
      </c>
      <c r="BS74" s="361" t="e">
        <f>SUM(BP74:BR74)</f>
        <v>#REF!</v>
      </c>
      <c r="BT74" s="210">
        <f t="shared" si="149"/>
        <v>0.8557556723606381</v>
      </c>
      <c r="BU74" s="210" t="e">
        <f t="shared" si="149"/>
        <v>#VALUE!</v>
      </c>
      <c r="BV74" s="210" t="e">
        <f t="shared" si="149"/>
        <v>#REF!</v>
      </c>
      <c r="BW74" s="350" t="e">
        <f t="shared" si="149"/>
        <v>#REF!</v>
      </c>
      <c r="BY74" s="350" t="e">
        <f t="shared" si="150"/>
        <v>#VALUE!</v>
      </c>
      <c r="CA74" s="208">
        <f>'FC2+10'!AA73</f>
        <v>4.9592227988993223</v>
      </c>
      <c r="CC74" s="350">
        <f t="shared" si="151"/>
        <v>2.7045788015544425</v>
      </c>
      <c r="CE74" s="69">
        <f>IF('FC7+5'!S$3=1,'FC7+5'!S73,"")</f>
        <v>2.2546439973448797</v>
      </c>
      <c r="CF74" s="69" t="str">
        <f>IF('FC7+5'!T$3=1,'FC7+5'!T73,"")</f>
        <v/>
      </c>
      <c r="CG74" s="69" t="str">
        <f>IF('FC7+5'!U$3=1,'FC7+5'!U73,"")</f>
        <v/>
      </c>
      <c r="CH74" s="907">
        <f t="shared" si="139"/>
        <v>2.2546439973448797</v>
      </c>
      <c r="CI74" s="704">
        <f t="shared" si="140"/>
        <v>0</v>
      </c>
      <c r="CJ74" s="546">
        <f t="shared" si="141"/>
        <v>0</v>
      </c>
      <c r="CK74" s="210">
        <f t="shared" si="142"/>
        <v>0</v>
      </c>
      <c r="CL74" s="911">
        <f t="shared" si="143"/>
        <v>0</v>
      </c>
      <c r="CM74" s="907">
        <f>IF('FC7+5'!AC$3=1,'FC7+5'!AC73,"")</f>
        <v>4.5991935915055446</v>
      </c>
      <c r="CN74" s="907">
        <f t="shared" si="152"/>
        <v>-2.3445495941606649</v>
      </c>
    </row>
    <row r="75" spans="1:92" ht="15">
      <c r="A75" s="493" t="s">
        <v>313</v>
      </c>
      <c r="B75" s="94"/>
      <c r="C75" s="94"/>
      <c r="D75" s="78" t="s">
        <v>425</v>
      </c>
      <c r="E75" s="97"/>
      <c r="F75" s="70">
        <f>IF(Act!S$3=1,Act!S74,"")</f>
        <v>0</v>
      </c>
      <c r="G75" s="70" t="str">
        <f>IF(Act!T$3=1,Act!T74,"")</f>
        <v/>
      </c>
      <c r="H75" s="70" t="str">
        <f>IF(Act!U$3=1,Act!U74,"")</f>
        <v/>
      </c>
      <c r="I75" s="188">
        <f>SUM(F75:H75)</f>
        <v>0</v>
      </c>
      <c r="K75" s="69">
        <f>IF(BP!S$3=1,BP!S74,"")</f>
        <v>0</v>
      </c>
      <c r="L75" s="69" t="str">
        <f>IF(BP!T$3=1,BP!T74,"")</f>
        <v/>
      </c>
      <c r="M75" s="69" t="str">
        <f>IF(BP!U$3=1,BP!U74,"")</f>
        <v/>
      </c>
      <c r="N75" s="119">
        <f>SUM(K75:M75)</f>
        <v>0</v>
      </c>
      <c r="O75" s="210">
        <f t="shared" si="153"/>
        <v>0</v>
      </c>
      <c r="P75" s="210">
        <f t="shared" si="153"/>
        <v>0</v>
      </c>
      <c r="Q75" s="210">
        <f t="shared" si="153"/>
        <v>0</v>
      </c>
      <c r="R75" s="200">
        <f>I75-N75</f>
        <v>0</v>
      </c>
      <c r="T75" s="69">
        <f>IF('FC2+10'!S$3=1,'FC2+10'!S74,"")</f>
        <v>0</v>
      </c>
      <c r="U75" s="69" t="str">
        <f>IF('FC2+10'!T$3=1,'FC2+10'!T74,"")</f>
        <v/>
      </c>
      <c r="V75" s="69" t="str">
        <f>IF('FC2+10'!U$3=1,'FC2+10'!U74,"")</f>
        <v/>
      </c>
      <c r="W75" s="208">
        <f t="shared" si="154"/>
        <v>0</v>
      </c>
      <c r="X75" s="210">
        <f t="shared" si="155"/>
        <v>0</v>
      </c>
      <c r="Y75" s="210">
        <f t="shared" si="155"/>
        <v>0</v>
      </c>
      <c r="Z75" s="210">
        <f t="shared" si="155"/>
        <v>0</v>
      </c>
      <c r="AA75" s="418">
        <f t="shared" si="156"/>
        <v>0</v>
      </c>
      <c r="AC75" s="69">
        <f>IF(OL!S$3=1,OL!S74,"")</f>
        <v>0</v>
      </c>
      <c r="AD75" s="69">
        <f>IF(OL!T$3=1,OL!T74,"")</f>
        <v>17.899999999999999</v>
      </c>
      <c r="AE75" s="69" t="str">
        <f>IF(OL!U$3=1,OL!U74,"")</f>
        <v/>
      </c>
      <c r="AF75" s="361">
        <f>SUM(AC75:AE75)</f>
        <v>17.899999999999999</v>
      </c>
      <c r="AG75" s="210">
        <f t="shared" si="157"/>
        <v>0</v>
      </c>
      <c r="AH75" s="210">
        <f t="shared" si="157"/>
        <v>0</v>
      </c>
      <c r="AI75" s="210">
        <f t="shared" si="157"/>
        <v>0</v>
      </c>
      <c r="AJ75" s="350">
        <f t="shared" si="157"/>
        <v>-17.899999999999999</v>
      </c>
      <c r="AL75" s="69">
        <f>IF(LY!S$3=1,LY!S74,"")</f>
        <v>0</v>
      </c>
      <c r="AM75" s="69" t="str">
        <f>IF(LY!T$3=1,LY!T74,"")</f>
        <v/>
      </c>
      <c r="AN75" s="69" t="str">
        <f>IF(LY!U$3=1,LY!U74,"")</f>
        <v/>
      </c>
      <c r="AO75" s="380">
        <f>SUM(AL75:AN75)</f>
        <v>0</v>
      </c>
      <c r="AP75" s="210">
        <f t="shared" ref="AP75:AS79" si="158">IFERROR(F75-AL75,0)</f>
        <v>0</v>
      </c>
      <c r="AQ75" s="210">
        <f t="shared" si="158"/>
        <v>0</v>
      </c>
      <c r="AR75" s="210">
        <f t="shared" si="158"/>
        <v>0</v>
      </c>
      <c r="AS75" s="403">
        <f t="shared" si="158"/>
        <v>0</v>
      </c>
      <c r="AU75" s="69">
        <f>Act!L74</f>
        <v>0</v>
      </c>
      <c r="AV75" s="852" t="e">
        <f t="shared" si="144"/>
        <v>#VALUE!</v>
      </c>
      <c r="AX75" s="69">
        <f>IF('FC5+7'!S$3=1,'FC5+7'!S74,"")</f>
        <v>0</v>
      </c>
      <c r="AY75" s="69" t="str">
        <f>IF('FC5+7'!T$3=1,'FC5+7'!T74,"")</f>
        <v/>
      </c>
      <c r="AZ75" s="69" t="str">
        <f>IF('FC5+7'!U$3=1,'FC5+7'!U74,"")</f>
        <v/>
      </c>
      <c r="BA75" s="208">
        <f t="shared" si="132"/>
        <v>0</v>
      </c>
      <c r="BB75" s="704">
        <f t="shared" si="133"/>
        <v>0</v>
      </c>
      <c r="BC75" s="546">
        <f t="shared" si="134"/>
        <v>0</v>
      </c>
      <c r="BD75" s="210">
        <f t="shared" si="135"/>
        <v>0</v>
      </c>
      <c r="BE75" s="418">
        <f t="shared" si="136"/>
        <v>0</v>
      </c>
      <c r="BG75" s="69">
        <f t="shared" si="145"/>
        <v>0</v>
      </c>
      <c r="BH75" s="69">
        <v>0</v>
      </c>
      <c r="BI75" s="69">
        <v>0</v>
      </c>
      <c r="BJ75" s="361">
        <f>SUM(BG75:BI75)</f>
        <v>0</v>
      </c>
      <c r="BK75" s="210">
        <f t="shared" si="146"/>
        <v>0</v>
      </c>
      <c r="BL75" s="210">
        <f t="shared" si="146"/>
        <v>0</v>
      </c>
      <c r="BM75" s="210">
        <f t="shared" si="147"/>
        <v>0</v>
      </c>
      <c r="BN75" s="350">
        <f t="shared" si="95"/>
        <v>0</v>
      </c>
      <c r="BP75" s="69"/>
      <c r="BQ75" s="69"/>
      <c r="BR75" s="69"/>
      <c r="BS75" s="361">
        <f>SUM(BP75:BR75)</f>
        <v>0</v>
      </c>
      <c r="BT75" s="210">
        <f t="shared" si="149"/>
        <v>0</v>
      </c>
      <c r="BU75" s="210">
        <f t="shared" si="149"/>
        <v>-17.899999999999999</v>
      </c>
      <c r="BV75" s="210" t="e">
        <f t="shared" si="149"/>
        <v>#VALUE!</v>
      </c>
      <c r="BW75" s="350">
        <f t="shared" si="149"/>
        <v>-17.899999999999999</v>
      </c>
      <c r="BY75" s="350" t="e">
        <f t="shared" si="150"/>
        <v>#VALUE!</v>
      </c>
      <c r="CA75" s="208">
        <f>'FC2+10'!AA74</f>
        <v>0</v>
      </c>
      <c r="CC75" s="350">
        <f t="shared" si="151"/>
        <v>0</v>
      </c>
      <c r="CE75" s="69">
        <f>IF('FC7+5'!S$3=1,'FC7+5'!S74,"")</f>
        <v>0</v>
      </c>
      <c r="CF75" s="69" t="str">
        <f>IF('FC7+5'!T$3=1,'FC7+5'!T74,"")</f>
        <v/>
      </c>
      <c r="CG75" s="69" t="str">
        <f>IF('FC7+5'!U$3=1,'FC7+5'!U74,"")</f>
        <v/>
      </c>
      <c r="CH75" s="907">
        <f t="shared" si="139"/>
        <v>0</v>
      </c>
      <c r="CI75" s="704">
        <f t="shared" si="140"/>
        <v>0</v>
      </c>
      <c r="CJ75" s="546">
        <f t="shared" si="141"/>
        <v>0</v>
      </c>
      <c r="CK75" s="210">
        <f t="shared" si="142"/>
        <v>0</v>
      </c>
      <c r="CL75" s="911">
        <f t="shared" si="143"/>
        <v>0</v>
      </c>
      <c r="CM75" s="907">
        <f>IF('FC7+5'!AC$3=1,'FC7+5'!AC74,"")</f>
        <v>0</v>
      </c>
      <c r="CN75" s="907">
        <f t="shared" si="152"/>
        <v>0</v>
      </c>
    </row>
    <row r="76" spans="1:92" ht="15">
      <c r="A76" s="493" t="s">
        <v>260</v>
      </c>
      <c r="B76" s="94"/>
      <c r="C76" s="94"/>
      <c r="D76" s="78" t="s">
        <v>446</v>
      </c>
      <c r="E76" s="97"/>
      <c r="F76" s="70">
        <f>IF(Act!S$3=1,Act!S75,"")</f>
        <v>0</v>
      </c>
      <c r="G76" s="70" t="str">
        <f>IF(Act!T$3=1,Act!T75,"")</f>
        <v/>
      </c>
      <c r="H76" s="70" t="str">
        <f>IF(Act!U$3=1,Act!U75,"")</f>
        <v/>
      </c>
      <c r="I76" s="188">
        <f>SUM(F76:H76)</f>
        <v>0</v>
      </c>
      <c r="K76" s="69">
        <f>IF(BP!S$3=1,BP!S75,"")</f>
        <v>0</v>
      </c>
      <c r="L76" s="69" t="str">
        <f>IF(BP!T$3=1,BP!T75,"")</f>
        <v/>
      </c>
      <c r="M76" s="69" t="str">
        <f>IF(BP!U$3=1,BP!U75,"")</f>
        <v/>
      </c>
      <c r="N76" s="119">
        <f>SUM(K76:M76)</f>
        <v>0</v>
      </c>
      <c r="O76" s="210">
        <f t="shared" ref="O76:Q78" si="159">IFERROR(F76-K76,0)</f>
        <v>0</v>
      </c>
      <c r="P76" s="210">
        <f t="shared" si="159"/>
        <v>0</v>
      </c>
      <c r="Q76" s="210">
        <f t="shared" si="159"/>
        <v>0</v>
      </c>
      <c r="R76" s="200">
        <f>I76-N76</f>
        <v>0</v>
      </c>
      <c r="T76" s="69">
        <f>IF('FC2+10'!S$3=1,'FC2+10'!S75,"")</f>
        <v>0</v>
      </c>
      <c r="U76" s="69" t="str">
        <f>IF('FC2+10'!T$3=1,'FC2+10'!T75,"")</f>
        <v/>
      </c>
      <c r="V76" s="69" t="str">
        <f>IF('FC2+10'!U$3=1,'FC2+10'!U75,"")</f>
        <v/>
      </c>
      <c r="W76" s="208">
        <f t="shared" si="154"/>
        <v>0</v>
      </c>
      <c r="X76" s="210">
        <f t="shared" ref="X76:Z79" si="160">IFERROR(F76-T76,0)</f>
        <v>0</v>
      </c>
      <c r="Y76" s="210">
        <f t="shared" si="160"/>
        <v>0</v>
      </c>
      <c r="Z76" s="210">
        <f t="shared" si="160"/>
        <v>0</v>
      </c>
      <c r="AA76" s="418">
        <f t="shared" si="156"/>
        <v>0</v>
      </c>
      <c r="AC76" s="69"/>
      <c r="AD76" s="69"/>
      <c r="AE76" s="69" t="str">
        <f>IF(OL!U$3=1,OL!U75,"")</f>
        <v/>
      </c>
      <c r="AF76" s="361">
        <f>SUM(AC76:AE76)</f>
        <v>0</v>
      </c>
      <c r="AG76" s="210">
        <f t="shared" ref="AG76:AJ78" si="161">IFERROR(F76-AC76,0)</f>
        <v>0</v>
      </c>
      <c r="AH76" s="210">
        <f t="shared" si="161"/>
        <v>0</v>
      </c>
      <c r="AI76" s="210">
        <f t="shared" si="161"/>
        <v>0</v>
      </c>
      <c r="AJ76" s="350">
        <f t="shared" si="161"/>
        <v>0</v>
      </c>
      <c r="AL76" s="69">
        <f>IF(LY!S$3=1,LY!S75,"")</f>
        <v>0</v>
      </c>
      <c r="AM76" s="69" t="str">
        <f>IF(LY!T$3=1,LY!T75,"")</f>
        <v/>
      </c>
      <c r="AN76" s="69" t="str">
        <f>IF(LY!U$3=1,LY!U75,"")</f>
        <v/>
      </c>
      <c r="AO76" s="380">
        <f>SUM(AL76:AN76)</f>
        <v>0</v>
      </c>
      <c r="AP76" s="210">
        <f t="shared" si="158"/>
        <v>0</v>
      </c>
      <c r="AQ76" s="210">
        <f t="shared" si="158"/>
        <v>0</v>
      </c>
      <c r="AR76" s="210">
        <f t="shared" si="158"/>
        <v>0</v>
      </c>
      <c r="AS76" s="403">
        <f t="shared" si="158"/>
        <v>0</v>
      </c>
      <c r="AU76" s="69">
        <f>Act!L75</f>
        <v>0</v>
      </c>
      <c r="AV76" s="852" t="e">
        <f t="shared" si="144"/>
        <v>#VALUE!</v>
      </c>
      <c r="AX76" s="69">
        <f>IF('FC5+7'!S$3=1,'FC5+7'!S75,"")</f>
        <v>0</v>
      </c>
      <c r="AY76" s="69" t="str">
        <f>IF('FC5+7'!T$3=1,'FC5+7'!T75,"")</f>
        <v/>
      </c>
      <c r="AZ76" s="69" t="str">
        <f>IF('FC5+7'!U$3=1,'FC5+7'!U75,"")</f>
        <v/>
      </c>
      <c r="BA76" s="208">
        <f>SUM(AX76:AZ76)</f>
        <v>0</v>
      </c>
      <c r="BB76" s="704">
        <f>IFERROR(F76-AX76,0)</f>
        <v>0</v>
      </c>
      <c r="BC76" s="546">
        <f>IFERROR(G76-AY76,0)</f>
        <v>0</v>
      </c>
      <c r="BD76" s="210">
        <f>IFERROR(H76-AZ76,0)</f>
        <v>0</v>
      </c>
      <c r="BE76" s="418">
        <f>IFERROR(I76-BA76,0)</f>
        <v>0</v>
      </c>
      <c r="BG76" s="69">
        <f t="shared" si="145"/>
        <v>0</v>
      </c>
      <c r="BH76" s="69">
        <v>0</v>
      </c>
      <c r="BI76" s="69">
        <v>0</v>
      </c>
      <c r="BJ76" s="361">
        <f>SUM(BG76:BI76)</f>
        <v>0</v>
      </c>
      <c r="BK76" s="210">
        <f t="shared" si="146"/>
        <v>0</v>
      </c>
      <c r="BL76" s="210">
        <f t="shared" si="146"/>
        <v>0</v>
      </c>
      <c r="BM76" s="210">
        <f t="shared" si="147"/>
        <v>0</v>
      </c>
      <c r="BN76" s="350">
        <f>IFERROR(I76-BJ76,0)</f>
        <v>0</v>
      </c>
      <c r="BP76" s="69"/>
      <c r="BQ76" s="69"/>
      <c r="BR76" s="69"/>
      <c r="BS76" s="361">
        <f>SUM(BP76:BR76)</f>
        <v>0</v>
      </c>
      <c r="BT76" s="210">
        <f t="shared" si="149"/>
        <v>0</v>
      </c>
      <c r="BU76" s="210">
        <f t="shared" si="149"/>
        <v>0</v>
      </c>
      <c r="BV76" s="210" t="e">
        <f t="shared" si="149"/>
        <v>#VALUE!</v>
      </c>
      <c r="BW76" s="350">
        <f t="shared" si="149"/>
        <v>0</v>
      </c>
      <c r="BY76" s="350" t="e">
        <f t="shared" si="150"/>
        <v>#VALUE!</v>
      </c>
      <c r="CA76" s="208">
        <f>'FC2+10'!AA75</f>
        <v>0</v>
      </c>
      <c r="CC76" s="350">
        <f t="shared" si="151"/>
        <v>0</v>
      </c>
      <c r="CE76" s="69">
        <f>IF('FC7+5'!S$3=1,'FC7+5'!S75,"")</f>
        <v>0</v>
      </c>
      <c r="CF76" s="69" t="str">
        <f>IF('FC7+5'!T$3=1,'FC7+5'!T75,"")</f>
        <v/>
      </c>
      <c r="CG76" s="69" t="str">
        <f>IF('FC7+5'!U$3=1,'FC7+5'!U75,"")</f>
        <v/>
      </c>
      <c r="CH76" s="907">
        <f>SUM(CE76:CG76)</f>
        <v>0</v>
      </c>
      <c r="CI76" s="704">
        <f t="shared" si="140"/>
        <v>0</v>
      </c>
      <c r="CJ76" s="546">
        <f t="shared" si="141"/>
        <v>0</v>
      </c>
      <c r="CK76" s="210">
        <f t="shared" si="142"/>
        <v>0</v>
      </c>
      <c r="CL76" s="911">
        <f t="shared" si="143"/>
        <v>0</v>
      </c>
      <c r="CM76" s="907">
        <f>IF('FC7+5'!AC$3=1,'FC7+5'!AC75,"")</f>
        <v>0</v>
      </c>
      <c r="CN76" s="907">
        <f t="shared" si="152"/>
        <v>0</v>
      </c>
    </row>
    <row r="77" spans="1:92" ht="15">
      <c r="A77" s="493"/>
      <c r="B77" s="94"/>
      <c r="C77" s="94"/>
      <c r="D77" s="78" t="s">
        <v>424</v>
      </c>
      <c r="E77" s="97"/>
      <c r="F77" s="70">
        <f>IF(Act!S$3=1,Act!S76,"")</f>
        <v>0</v>
      </c>
      <c r="G77" s="70" t="str">
        <f>IF(Act!T$3=1,Act!T76,"")</f>
        <v/>
      </c>
      <c r="H77" s="70" t="str">
        <f>IF(Act!U$3=1,Act!U76,"")</f>
        <v/>
      </c>
      <c r="I77" s="188">
        <f>SUM(F77:H77)</f>
        <v>0</v>
      </c>
      <c r="K77" s="69">
        <f>IF(BP!S$3=1,BP!S76,"")</f>
        <v>0</v>
      </c>
      <c r="L77" s="69" t="str">
        <f>IF(BP!T$3=1,BP!T76,"")</f>
        <v/>
      </c>
      <c r="M77" s="69" t="str">
        <f>IF(BP!U$3=1,BP!U76,"")</f>
        <v/>
      </c>
      <c r="N77" s="119">
        <f>SUM(K77:M77)</f>
        <v>0</v>
      </c>
      <c r="O77" s="210">
        <f t="shared" si="159"/>
        <v>0</v>
      </c>
      <c r="P77" s="210">
        <f t="shared" si="159"/>
        <v>0</v>
      </c>
      <c r="Q77" s="210">
        <f t="shared" si="159"/>
        <v>0</v>
      </c>
      <c r="R77" s="200">
        <f>I77-N77</f>
        <v>0</v>
      </c>
      <c r="T77" s="69">
        <f>IF('FC2+10'!S$3=1,'FC2+10'!S76,"")</f>
        <v>0</v>
      </c>
      <c r="U77" s="69" t="str">
        <f>IF('FC2+10'!T$3=1,'FC2+10'!T76,"")</f>
        <v/>
      </c>
      <c r="V77" s="69" t="str">
        <f>IF('FC2+10'!U$3=1,'FC2+10'!U76,"")</f>
        <v/>
      </c>
      <c r="W77" s="208">
        <f t="shared" si="154"/>
        <v>0</v>
      </c>
      <c r="X77" s="210">
        <f t="shared" si="160"/>
        <v>0</v>
      </c>
      <c r="Y77" s="210">
        <f t="shared" si="160"/>
        <v>0</v>
      </c>
      <c r="Z77" s="210">
        <f t="shared" si="160"/>
        <v>0</v>
      </c>
      <c r="AA77" s="418">
        <f t="shared" si="156"/>
        <v>0</v>
      </c>
      <c r="AC77" s="69"/>
      <c r="AD77" s="69"/>
      <c r="AE77" s="69" t="str">
        <f>IF(OL!U$3=1,OL!U76,"")</f>
        <v/>
      </c>
      <c r="AF77" s="361">
        <f>SUM(AC77:AE77)</f>
        <v>0</v>
      </c>
      <c r="AG77" s="210">
        <f t="shared" si="161"/>
        <v>0</v>
      </c>
      <c r="AH77" s="210">
        <f t="shared" si="161"/>
        <v>0</v>
      </c>
      <c r="AI77" s="210">
        <f t="shared" si="161"/>
        <v>0</v>
      </c>
      <c r="AJ77" s="350">
        <f t="shared" si="161"/>
        <v>0</v>
      </c>
      <c r="AL77" s="69">
        <f>IF(LY!S$3=1,LY!S76,"")</f>
        <v>0</v>
      </c>
      <c r="AM77" s="69" t="str">
        <f>IF(LY!T$3=1,LY!T76,"")</f>
        <v/>
      </c>
      <c r="AN77" s="69" t="str">
        <f>IF(LY!U$3=1,LY!U76,"")</f>
        <v/>
      </c>
      <c r="AO77" s="380">
        <f>SUM(AL77:AN77)</f>
        <v>0</v>
      </c>
      <c r="AP77" s="210">
        <f t="shared" si="158"/>
        <v>0</v>
      </c>
      <c r="AQ77" s="210">
        <f t="shared" si="158"/>
        <v>0</v>
      </c>
      <c r="AR77" s="210">
        <f t="shared" si="158"/>
        <v>0</v>
      </c>
      <c r="AS77" s="403">
        <f t="shared" si="158"/>
        <v>0</v>
      </c>
      <c r="AU77" s="69">
        <f>Act!L76</f>
        <v>0</v>
      </c>
      <c r="AV77" s="852" t="e">
        <f t="shared" si="144"/>
        <v>#VALUE!</v>
      </c>
      <c r="AX77" s="69">
        <v>0</v>
      </c>
      <c r="AY77" s="69">
        <v>0</v>
      </c>
      <c r="AZ77" s="69">
        <v>0</v>
      </c>
      <c r="BA77" s="208">
        <f>SUM(AX77:AZ77)</f>
        <v>0</v>
      </c>
      <c r="BB77" s="704">
        <v>0</v>
      </c>
      <c r="BC77" s="546">
        <v>0</v>
      </c>
      <c r="BD77" s="210">
        <v>0</v>
      </c>
      <c r="BE77" s="418">
        <v>0</v>
      </c>
      <c r="BG77" s="69">
        <f t="shared" si="145"/>
        <v>0</v>
      </c>
      <c r="BH77" s="69">
        <v>0</v>
      </c>
      <c r="BI77" s="69">
        <v>0</v>
      </c>
      <c r="BJ77" s="361">
        <f>SUM(BG77:BI77)</f>
        <v>0</v>
      </c>
      <c r="BK77" s="210">
        <f t="shared" si="146"/>
        <v>0</v>
      </c>
      <c r="BL77" s="210">
        <f t="shared" si="146"/>
        <v>0</v>
      </c>
      <c r="BM77" s="210">
        <f t="shared" si="147"/>
        <v>0</v>
      </c>
      <c r="BN77" s="350">
        <f>IFERROR(I77-BJ77,0)</f>
        <v>0</v>
      </c>
      <c r="BP77" s="69"/>
      <c r="BQ77" s="69"/>
      <c r="BR77" s="69"/>
      <c r="BS77" s="361">
        <f>SUM(BP77:BR77)</f>
        <v>0</v>
      </c>
      <c r="BT77" s="210">
        <f t="shared" si="149"/>
        <v>0</v>
      </c>
      <c r="BU77" s="210">
        <f t="shared" si="149"/>
        <v>0</v>
      </c>
      <c r="BV77" s="210" t="e">
        <f t="shared" si="149"/>
        <v>#VALUE!</v>
      </c>
      <c r="BW77" s="350">
        <f t="shared" si="149"/>
        <v>0</v>
      </c>
      <c r="BY77" s="350" t="e">
        <f t="shared" si="150"/>
        <v>#VALUE!</v>
      </c>
      <c r="CA77" s="208">
        <f>'FC2+10'!AA76</f>
        <v>0</v>
      </c>
      <c r="CC77" s="350">
        <f t="shared" si="151"/>
        <v>0</v>
      </c>
      <c r="CE77" s="69">
        <v>0</v>
      </c>
      <c r="CF77" s="69">
        <v>0</v>
      </c>
      <c r="CG77" s="69">
        <v>0</v>
      </c>
      <c r="CH77" s="907">
        <f>SUM(CE77:CG77)</f>
        <v>0</v>
      </c>
      <c r="CI77" s="704">
        <f t="shared" si="140"/>
        <v>0</v>
      </c>
      <c r="CJ77" s="546">
        <f t="shared" si="141"/>
        <v>0</v>
      </c>
      <c r="CK77" s="210">
        <f t="shared" si="142"/>
        <v>0</v>
      </c>
      <c r="CL77" s="911">
        <f t="shared" si="143"/>
        <v>0</v>
      </c>
      <c r="CM77" s="907">
        <v>0</v>
      </c>
      <c r="CN77" s="907">
        <f t="shared" si="152"/>
        <v>0</v>
      </c>
    </row>
    <row r="78" spans="1:92" ht="15">
      <c r="A78" s="94"/>
      <c r="B78" s="94"/>
      <c r="C78" s="94"/>
      <c r="D78" s="78" t="s">
        <v>421</v>
      </c>
      <c r="E78" s="97"/>
      <c r="F78" s="70">
        <f>IF(Act!S$3=1,Act!S77,"")</f>
        <v>0</v>
      </c>
      <c r="G78" s="70" t="str">
        <f>IF(Act!T$3=1,Act!T77,"")</f>
        <v/>
      </c>
      <c r="H78" s="70" t="str">
        <f>IF(Act!U$3=1,Act!U77,"")</f>
        <v/>
      </c>
      <c r="I78" s="188">
        <f>SUM(F78:H78)</f>
        <v>0</v>
      </c>
      <c r="K78" s="69">
        <f>IF(BP!S$3=1,BP!S77,"")</f>
        <v>0</v>
      </c>
      <c r="L78" s="69" t="str">
        <f>IF(BP!T$3=1,BP!T77,"")</f>
        <v/>
      </c>
      <c r="M78" s="69" t="str">
        <f>IF(BP!U$3=1,BP!U77,"")</f>
        <v/>
      </c>
      <c r="N78" s="119">
        <f>SUM(K78:M78)</f>
        <v>0</v>
      </c>
      <c r="O78" s="210">
        <f t="shared" si="159"/>
        <v>0</v>
      </c>
      <c r="P78" s="210">
        <f t="shared" si="159"/>
        <v>0</v>
      </c>
      <c r="Q78" s="210">
        <f t="shared" si="159"/>
        <v>0</v>
      </c>
      <c r="R78" s="200">
        <f>I78-N78</f>
        <v>0</v>
      </c>
      <c r="T78" s="69">
        <f>IF('FC2+10'!S$3=1,'FC2+10'!S77,"")</f>
        <v>0</v>
      </c>
      <c r="U78" s="69" t="str">
        <f>IF('FC2+10'!T$3=1,'FC2+10'!T77,"")</f>
        <v/>
      </c>
      <c r="V78" s="69" t="str">
        <f>IF('FC2+10'!U$3=1,'FC2+10'!U77,"")</f>
        <v/>
      </c>
      <c r="W78" s="208">
        <f t="shared" si="154"/>
        <v>0</v>
      </c>
      <c r="X78" s="210">
        <f t="shared" si="160"/>
        <v>0</v>
      </c>
      <c r="Y78" s="210">
        <f t="shared" si="160"/>
        <v>0</v>
      </c>
      <c r="Z78" s="210">
        <f t="shared" si="160"/>
        <v>0</v>
      </c>
      <c r="AA78" s="418">
        <f t="shared" si="156"/>
        <v>0</v>
      </c>
      <c r="AC78" s="69"/>
      <c r="AD78" s="69"/>
      <c r="AE78" s="69" t="str">
        <f>IF(OL!U$3=1,OL!U77,"")</f>
        <v/>
      </c>
      <c r="AF78" s="361">
        <f>SUM(AC78:AE78)</f>
        <v>0</v>
      </c>
      <c r="AG78" s="210">
        <f t="shared" si="161"/>
        <v>0</v>
      </c>
      <c r="AH78" s="210">
        <f t="shared" si="161"/>
        <v>0</v>
      </c>
      <c r="AI78" s="210">
        <f t="shared" si="161"/>
        <v>0</v>
      </c>
      <c r="AJ78" s="350">
        <f t="shared" si="161"/>
        <v>0</v>
      </c>
      <c r="AL78" s="69">
        <f>IF(LY!S$3=1,LY!S77,"")</f>
        <v>0</v>
      </c>
      <c r="AM78" s="69" t="str">
        <f>IF(LY!T$3=1,LY!T77,"")</f>
        <v/>
      </c>
      <c r="AN78" s="69" t="str">
        <f>IF(LY!U$3=1,LY!U77,"")</f>
        <v/>
      </c>
      <c r="AO78" s="380">
        <f>SUM(AL78:AN78)</f>
        <v>0</v>
      </c>
      <c r="AP78" s="210">
        <f t="shared" si="158"/>
        <v>0</v>
      </c>
      <c r="AQ78" s="210">
        <f t="shared" si="158"/>
        <v>0</v>
      </c>
      <c r="AR78" s="210">
        <f t="shared" si="158"/>
        <v>0</v>
      </c>
      <c r="AS78" s="403">
        <f t="shared" si="158"/>
        <v>0</v>
      </c>
      <c r="AU78" s="69">
        <f>Act!L77</f>
        <v>0</v>
      </c>
      <c r="AV78" s="852" t="e">
        <f t="shared" si="144"/>
        <v>#VALUE!</v>
      </c>
      <c r="AX78" s="69">
        <v>0</v>
      </c>
      <c r="AY78" s="69">
        <v>0</v>
      </c>
      <c r="AZ78" s="69">
        <v>0</v>
      </c>
      <c r="BA78" s="208">
        <f>SUM(AX78:AZ78)</f>
        <v>0</v>
      </c>
      <c r="BB78" s="210">
        <v>0</v>
      </c>
      <c r="BC78" s="546">
        <v>0</v>
      </c>
      <c r="BD78" s="210">
        <v>0</v>
      </c>
      <c r="BE78" s="418">
        <v>0</v>
      </c>
      <c r="BG78" s="69">
        <f t="shared" si="145"/>
        <v>0</v>
      </c>
      <c r="BH78" s="69">
        <v>0</v>
      </c>
      <c r="BI78" s="69">
        <v>0</v>
      </c>
      <c r="BJ78" s="361">
        <f>SUM(BG78:BI78)</f>
        <v>0</v>
      </c>
      <c r="BK78" s="210">
        <f t="shared" si="146"/>
        <v>0</v>
      </c>
      <c r="BL78" s="210">
        <f t="shared" si="146"/>
        <v>0</v>
      </c>
      <c r="BM78" s="210">
        <f t="shared" si="147"/>
        <v>0</v>
      </c>
      <c r="BN78" s="350">
        <f>IFERROR(I78-BJ78,0)</f>
        <v>0</v>
      </c>
      <c r="BP78" s="69">
        <v>0</v>
      </c>
      <c r="BQ78" s="69">
        <v>-2.9958999999999998</v>
      </c>
      <c r="BR78" s="69"/>
      <c r="BS78" s="361">
        <f>SUM(BP78:BR78)</f>
        <v>-2.9958999999999998</v>
      </c>
      <c r="BT78" s="210">
        <f t="shared" si="149"/>
        <v>0</v>
      </c>
      <c r="BU78" s="210">
        <f t="shared" si="149"/>
        <v>-2.9958999999999998</v>
      </c>
      <c r="BV78" s="210" t="e">
        <f t="shared" si="149"/>
        <v>#VALUE!</v>
      </c>
      <c r="BW78" s="350">
        <f t="shared" si="149"/>
        <v>-2.9958999999999998</v>
      </c>
      <c r="BY78" s="350" t="e">
        <f t="shared" si="150"/>
        <v>#VALUE!</v>
      </c>
      <c r="CA78" s="208">
        <f>'FC2+10'!AA77</f>
        <v>0</v>
      </c>
      <c r="CC78" s="350">
        <f t="shared" si="151"/>
        <v>0</v>
      </c>
      <c r="CE78" s="69">
        <v>0</v>
      </c>
      <c r="CF78" s="69">
        <v>0</v>
      </c>
      <c r="CG78" s="69">
        <v>0</v>
      </c>
      <c r="CH78" s="907">
        <f>SUM(CE78:CG78)</f>
        <v>0</v>
      </c>
      <c r="CI78" s="210">
        <f t="shared" si="140"/>
        <v>0</v>
      </c>
      <c r="CJ78" s="546">
        <f t="shared" si="141"/>
        <v>0</v>
      </c>
      <c r="CK78" s="210">
        <f t="shared" si="142"/>
        <v>0</v>
      </c>
      <c r="CL78" s="911">
        <f t="shared" si="143"/>
        <v>0</v>
      </c>
      <c r="CM78" s="907">
        <v>0</v>
      </c>
      <c r="CN78" s="907">
        <f t="shared" si="152"/>
        <v>0</v>
      </c>
    </row>
    <row r="79" spans="1:92" ht="15">
      <c r="A79" s="94"/>
      <c r="B79" s="94" t="s">
        <v>200</v>
      </c>
      <c r="C79" s="94"/>
      <c r="D79" s="78" t="s">
        <v>144</v>
      </c>
      <c r="E79" s="97"/>
      <c r="F79" s="70"/>
      <c r="G79" s="70"/>
      <c r="H79" s="70"/>
      <c r="I79" s="188"/>
      <c r="K79" s="69"/>
      <c r="L79" s="69"/>
      <c r="M79" s="69"/>
      <c r="N79" s="119"/>
      <c r="O79" s="210"/>
      <c r="P79" s="210"/>
      <c r="Q79" s="210"/>
      <c r="R79" s="200"/>
      <c r="T79" s="69"/>
      <c r="U79" s="69"/>
      <c r="V79" s="69"/>
      <c r="W79" s="208">
        <f t="shared" si="154"/>
        <v>0</v>
      </c>
      <c r="X79" s="210">
        <f t="shared" si="160"/>
        <v>0</v>
      </c>
      <c r="Y79" s="210">
        <f t="shared" si="160"/>
        <v>0</v>
      </c>
      <c r="Z79" s="210">
        <f t="shared" si="160"/>
        <v>0</v>
      </c>
      <c r="AA79" s="418">
        <f t="shared" si="156"/>
        <v>0</v>
      </c>
      <c r="AC79" s="69"/>
      <c r="AD79" s="69"/>
      <c r="AE79" s="69" t="str">
        <f>IF(OL!U$3=1,OL!U78,"")</f>
        <v/>
      </c>
      <c r="AF79" s="361"/>
      <c r="AG79" s="210"/>
      <c r="AH79" s="210"/>
      <c r="AI79" s="210"/>
      <c r="AJ79" s="350"/>
      <c r="AL79" s="69"/>
      <c r="AM79" s="69"/>
      <c r="AN79" s="69"/>
      <c r="AO79" s="380">
        <f>SUM(AL79:AN79)</f>
        <v>0</v>
      </c>
      <c r="AP79" s="210">
        <f t="shared" si="158"/>
        <v>0</v>
      </c>
      <c r="AQ79" s="210">
        <f t="shared" si="158"/>
        <v>0</v>
      </c>
      <c r="AR79" s="210">
        <f t="shared" si="158"/>
        <v>0</v>
      </c>
      <c r="AS79" s="403">
        <f t="shared" si="158"/>
        <v>0</v>
      </c>
      <c r="AU79" s="69">
        <f>Act!L78</f>
        <v>0</v>
      </c>
      <c r="AV79" s="852">
        <f t="shared" si="144"/>
        <v>0</v>
      </c>
      <c r="AX79" s="69"/>
      <c r="AY79" s="69"/>
      <c r="AZ79" s="69"/>
      <c r="BA79" s="208"/>
      <c r="BB79" s="210"/>
      <c r="BC79" s="546"/>
      <c r="BD79" s="210"/>
      <c r="BE79" s="418"/>
      <c r="BG79" s="69"/>
      <c r="BH79" s="69"/>
      <c r="BI79" s="69"/>
      <c r="BJ79" s="361"/>
      <c r="BK79" s="210"/>
      <c r="BL79" s="210"/>
      <c r="BM79" s="210"/>
      <c r="BN79" s="350"/>
      <c r="BP79" s="69"/>
      <c r="BQ79" s="69"/>
      <c r="BR79" s="69"/>
      <c r="BS79" s="361"/>
      <c r="BT79" s="210"/>
      <c r="BU79" s="210"/>
      <c r="BV79" s="210"/>
      <c r="BW79" s="350"/>
      <c r="BY79" s="350"/>
      <c r="CA79" s="208"/>
      <c r="CC79" s="350">
        <f t="shared" si="151"/>
        <v>0</v>
      </c>
      <c r="CE79" s="69"/>
      <c r="CF79" s="69"/>
      <c r="CG79" s="69"/>
      <c r="CH79" s="907"/>
      <c r="CI79" s="210"/>
      <c r="CJ79" s="546"/>
      <c r="CK79" s="210"/>
      <c r="CL79" s="911"/>
      <c r="CM79" s="907"/>
      <c r="CN79" s="907">
        <f t="shared" si="152"/>
        <v>0</v>
      </c>
    </row>
    <row r="80" spans="1:92" ht="15">
      <c r="A80" s="94"/>
      <c r="B80" s="94"/>
      <c r="C80" s="94"/>
      <c r="D80" s="94"/>
      <c r="E80" s="94"/>
      <c r="BP80" s="117"/>
      <c r="BQ80" s="117"/>
      <c r="CM80" s="912"/>
    </row>
    <row r="81" spans="1:92" ht="15">
      <c r="A81" s="94"/>
      <c r="B81" s="94"/>
      <c r="C81" s="94"/>
      <c r="D81" s="94"/>
      <c r="E81" s="94" t="s">
        <v>61</v>
      </c>
      <c r="F81" s="98">
        <f>IFERROR(F47-SUM(F63:F78)-F55,0)</f>
        <v>2.8421709430404007E-14</v>
      </c>
      <c r="G81" s="98">
        <f>IFERROR(G47-SUM(G63:G78)-G55,0)</f>
        <v>0</v>
      </c>
      <c r="H81" s="98">
        <f>IFERROR(H47-SUM(H63:H78)-H55,0)</f>
        <v>0</v>
      </c>
      <c r="I81" s="98">
        <f>IFERROR(I47-SUM(I63:I78)-I55,0)</f>
        <v>2.8421709430404007E-14</v>
      </c>
      <c r="J81" s="98">
        <f>IFERROR(J47-SUM(J63:J75)-J55,0)</f>
        <v>0</v>
      </c>
      <c r="K81" s="98">
        <f t="shared" ref="K81:R81" si="162">IFERROR(K47-SUM(K63:K78)-K55,0)</f>
        <v>-5.6843418860808015E-14</v>
      </c>
      <c r="L81" s="98">
        <f t="shared" si="162"/>
        <v>0</v>
      </c>
      <c r="M81" s="98">
        <f t="shared" si="162"/>
        <v>0</v>
      </c>
      <c r="N81" s="98">
        <f t="shared" si="162"/>
        <v>-5.6843418860808015E-14</v>
      </c>
      <c r="O81" s="98">
        <f t="shared" si="162"/>
        <v>8.1712414612411521E-14</v>
      </c>
      <c r="P81" s="98">
        <f t="shared" si="162"/>
        <v>0</v>
      </c>
      <c r="Q81" s="98">
        <f t="shared" si="162"/>
        <v>0</v>
      </c>
      <c r="R81" s="98">
        <f t="shared" si="162"/>
        <v>8.1712414612411521E-14</v>
      </c>
      <c r="S81" s="2">
        <f>IFERROR(S47-SUM(S63:S75)-S55,0)</f>
        <v>0</v>
      </c>
      <c r="T81" s="98">
        <f>IFERROR(T47-SUM(T63:T79)-T55,0)</f>
        <v>0</v>
      </c>
      <c r="U81" s="98">
        <f t="shared" ref="U81:AA81" si="163">IFERROR(U47-SUM(U63:U79)-U55,0)</f>
        <v>0</v>
      </c>
      <c r="V81" s="98">
        <f t="shared" si="163"/>
        <v>0</v>
      </c>
      <c r="W81" s="98">
        <f t="shared" si="163"/>
        <v>0</v>
      </c>
      <c r="X81" s="98">
        <f t="shared" si="163"/>
        <v>0</v>
      </c>
      <c r="Y81" s="98">
        <f t="shared" si="163"/>
        <v>0</v>
      </c>
      <c r="Z81" s="98">
        <f t="shared" si="163"/>
        <v>0</v>
      </c>
      <c r="AA81" s="98">
        <f t="shared" si="163"/>
        <v>0</v>
      </c>
      <c r="AB81" s="2">
        <f t="shared" ref="AB81:AK81" si="164">IFERROR(AB47-SUM(AB63:AB75)-AB55,0)</f>
        <v>0</v>
      </c>
      <c r="AC81" s="98">
        <f t="shared" si="164"/>
        <v>0</v>
      </c>
      <c r="AD81" s="98">
        <f t="shared" si="164"/>
        <v>0</v>
      </c>
      <c r="AE81" s="98">
        <f t="shared" si="164"/>
        <v>0</v>
      </c>
      <c r="AF81" s="98">
        <f t="shared" si="164"/>
        <v>7.1054273576010019E-15</v>
      </c>
      <c r="AG81" s="98">
        <f t="shared" si="164"/>
        <v>2.8421709430404007E-14</v>
      </c>
      <c r="AH81" s="98">
        <f t="shared" si="164"/>
        <v>-23.286651968830668</v>
      </c>
      <c r="AI81" s="98">
        <f t="shared" si="164"/>
        <v>0</v>
      </c>
      <c r="AJ81" s="98">
        <f t="shared" si="164"/>
        <v>3.5527136788005009E-14</v>
      </c>
      <c r="AK81" s="2">
        <f t="shared" si="164"/>
        <v>0</v>
      </c>
      <c r="AL81" s="98">
        <f t="shared" ref="AL81:AS81" si="165">IFERROR(AL47-SUM(AL63:AL78)-AL55,0)</f>
        <v>-5.6843418860808015E-14</v>
      </c>
      <c r="AM81" s="98">
        <f t="shared" si="165"/>
        <v>0</v>
      </c>
      <c r="AN81" s="98">
        <f t="shared" si="165"/>
        <v>0</v>
      </c>
      <c r="AO81" s="98">
        <f t="shared" si="165"/>
        <v>-5.6843418860808015E-14</v>
      </c>
      <c r="AP81" s="98">
        <f t="shared" si="165"/>
        <v>7.1054273576010019E-14</v>
      </c>
      <c r="AQ81" s="98">
        <f t="shared" si="165"/>
        <v>0</v>
      </c>
      <c r="AR81" s="98">
        <f t="shared" si="165"/>
        <v>0</v>
      </c>
      <c r="AS81" s="98">
        <f t="shared" si="165"/>
        <v>7.1054273576010019E-14</v>
      </c>
      <c r="AU81" s="98">
        <f t="shared" ref="AU81:CC81" si="166">IFERROR(AU47-SUM(AU63:AU78)-AU55,0)</f>
        <v>7.1054273576010019E-14</v>
      </c>
      <c r="AV81" s="98">
        <f>IFERROR(AV47-SUM(AV63:AV78)-AV55,0)</f>
        <v>0</v>
      </c>
      <c r="AW81" s="2">
        <f t="shared" si="166"/>
        <v>0</v>
      </c>
      <c r="AX81" s="98">
        <f t="shared" ref="AX81:BE81" si="167">IFERROR(AX47-SUM(AX63:AX77)-AX55,0)</f>
        <v>0</v>
      </c>
      <c r="AY81" s="98">
        <f t="shared" si="167"/>
        <v>0</v>
      </c>
      <c r="AZ81" s="98">
        <f t="shared" si="167"/>
        <v>0</v>
      </c>
      <c r="BA81" s="98">
        <f t="shared" si="167"/>
        <v>0</v>
      </c>
      <c r="BB81" s="98">
        <f t="shared" si="167"/>
        <v>2.8421709430404007E-14</v>
      </c>
      <c r="BC81" s="98">
        <f t="shared" si="167"/>
        <v>0</v>
      </c>
      <c r="BD81" s="98">
        <f t="shared" si="167"/>
        <v>0</v>
      </c>
      <c r="BE81" s="98">
        <f t="shared" si="167"/>
        <v>2.8421709430404007E-14</v>
      </c>
      <c r="BF81" s="2">
        <f t="shared" si="166"/>
        <v>0</v>
      </c>
      <c r="BG81" s="98">
        <f t="shared" si="166"/>
        <v>2.8421709430404007E-14</v>
      </c>
      <c r="BH81" s="98">
        <f t="shared" si="166"/>
        <v>1.4210854715202004E-14</v>
      </c>
      <c r="BI81" s="98">
        <f t="shared" si="166"/>
        <v>0</v>
      </c>
      <c r="BJ81" s="98">
        <f t="shared" si="166"/>
        <v>2.8421709430404007E-14</v>
      </c>
      <c r="BK81" s="98">
        <f t="shared" si="166"/>
        <v>2.8421709430404007E-14</v>
      </c>
      <c r="BL81" s="98">
        <f t="shared" si="166"/>
        <v>-23.286651968830668</v>
      </c>
      <c r="BM81" s="98">
        <f t="shared" si="166"/>
        <v>35.570225425980823</v>
      </c>
      <c r="BN81" s="98">
        <f t="shared" si="166"/>
        <v>-1.4210854715202004E-14</v>
      </c>
      <c r="BP81" s="98">
        <f t="shared" si="166"/>
        <v>17.900472999999877</v>
      </c>
      <c r="BQ81" s="98">
        <f t="shared" si="166"/>
        <v>36.831082200000672</v>
      </c>
      <c r="BR81" s="98">
        <f t="shared" si="166"/>
        <v>0</v>
      </c>
      <c r="BS81" s="98">
        <f t="shared" si="166"/>
        <v>0</v>
      </c>
      <c r="BT81" s="98">
        <f t="shared" si="166"/>
        <v>17.900472999999884</v>
      </c>
      <c r="BU81" s="98">
        <f t="shared" si="166"/>
        <v>0</v>
      </c>
      <c r="BV81" s="98">
        <f t="shared" si="166"/>
        <v>0</v>
      </c>
      <c r="BW81" s="98">
        <f t="shared" si="166"/>
        <v>0</v>
      </c>
      <c r="BY81" s="98">
        <f t="shared" si="166"/>
        <v>0</v>
      </c>
      <c r="CA81" s="98">
        <f t="shared" si="166"/>
        <v>0</v>
      </c>
      <c r="CC81" s="98">
        <f t="shared" si="166"/>
        <v>0</v>
      </c>
      <c r="CE81" s="98">
        <f t="shared" ref="CE81:CL81" si="168">IFERROR(CE47-SUM(CE63:CE77)-CE55,0)</f>
        <v>2.8421709430404007E-14</v>
      </c>
      <c r="CF81" s="98">
        <f t="shared" si="168"/>
        <v>0</v>
      </c>
      <c r="CG81" s="98">
        <f t="shared" si="168"/>
        <v>0</v>
      </c>
      <c r="CH81" s="98">
        <f t="shared" si="168"/>
        <v>2.8421709430404007E-14</v>
      </c>
      <c r="CI81" s="98">
        <f t="shared" si="168"/>
        <v>0</v>
      </c>
      <c r="CJ81" s="98">
        <f t="shared" si="168"/>
        <v>0</v>
      </c>
      <c r="CK81" s="98">
        <f t="shared" si="168"/>
        <v>0</v>
      </c>
      <c r="CL81" s="98">
        <f t="shared" si="168"/>
        <v>0</v>
      </c>
      <c r="CM81" s="98">
        <f t="shared" ref="CM81" si="169">IFERROR(CM47-SUM(CM63:CM77)-CM55,0)</f>
        <v>2.9842794901924208E-13</v>
      </c>
      <c r="CN81" s="98">
        <f t="shared" ref="CN81" si="170">IFERROR(CN47-SUM(CN63:CN77)-CN55,0)</f>
        <v>-2.2737367544323206E-13</v>
      </c>
    </row>
    <row r="82" spans="1:92" ht="15">
      <c r="A82" s="94"/>
      <c r="B82" s="94"/>
      <c r="C82" s="94"/>
      <c r="D82" s="94"/>
      <c r="E82" s="94" t="s">
        <v>62</v>
      </c>
      <c r="F82" s="98">
        <f>IFERROR(F27-SUM(F63:F64,F66:F71,F73),0)</f>
        <v>63.237619418000122</v>
      </c>
      <c r="G82" s="98">
        <f t="shared" ref="G82:BR82" si="171">IFERROR(G27-SUM(G63:G64,G66:G71,G73),0)</f>
        <v>0</v>
      </c>
      <c r="H82" s="98">
        <f>IFERROR(H27-SUM(H63:H64,H66:H71,H73),0)</f>
        <v>0</v>
      </c>
      <c r="I82" s="98">
        <f t="shared" si="171"/>
        <v>63.237619418000122</v>
      </c>
      <c r="J82" s="98">
        <f t="shared" si="171"/>
        <v>0</v>
      </c>
      <c r="K82" s="98">
        <f t="shared" si="171"/>
        <v>64.291499941393781</v>
      </c>
      <c r="L82" s="98">
        <f t="shared" si="171"/>
        <v>0</v>
      </c>
      <c r="M82" s="98">
        <f t="shared" si="171"/>
        <v>0</v>
      </c>
      <c r="N82" s="98">
        <f t="shared" si="171"/>
        <v>64.291499941393781</v>
      </c>
      <c r="O82" s="98">
        <f t="shared" si="171"/>
        <v>-1.053880523393671</v>
      </c>
      <c r="P82" s="98">
        <f t="shared" si="171"/>
        <v>0</v>
      </c>
      <c r="Q82" s="98">
        <f t="shared" si="171"/>
        <v>0</v>
      </c>
      <c r="R82" s="98">
        <f t="shared" si="171"/>
        <v>-1.053880523393671</v>
      </c>
      <c r="S82" s="2">
        <f t="shared" si="171"/>
        <v>0</v>
      </c>
      <c r="T82" s="98">
        <f>IFERROR(T27-SUM(T63:T64,T66:T71,T73,T79),0)</f>
        <v>0</v>
      </c>
      <c r="U82" s="98">
        <f t="shared" ref="U82:AA82" si="172">IFERROR(U27-SUM(U63:U64,U66:U71,U73,U79),0)</f>
        <v>0</v>
      </c>
      <c r="V82" s="98">
        <f t="shared" si="172"/>
        <v>0</v>
      </c>
      <c r="W82" s="98">
        <f t="shared" si="172"/>
        <v>0</v>
      </c>
      <c r="X82" s="98">
        <f t="shared" si="172"/>
        <v>0</v>
      </c>
      <c r="Y82" s="98">
        <f t="shared" si="172"/>
        <v>0</v>
      </c>
      <c r="Z82" s="98">
        <f t="shared" si="172"/>
        <v>0</v>
      </c>
      <c r="AA82" s="98">
        <f t="shared" si="172"/>
        <v>0</v>
      </c>
      <c r="AB82" s="2">
        <f t="shared" si="171"/>
        <v>0</v>
      </c>
      <c r="AC82" s="98">
        <f t="shared" si="171"/>
        <v>107.76375566499685</v>
      </c>
      <c r="AD82" s="98">
        <f t="shared" si="171"/>
        <v>104.28659266866583</v>
      </c>
      <c r="AE82" s="98">
        <f t="shared" si="171"/>
        <v>0</v>
      </c>
      <c r="AF82" s="98">
        <f t="shared" si="171"/>
        <v>212.05034833366267</v>
      </c>
      <c r="AG82" s="98">
        <f t="shared" si="171"/>
        <v>-44.526136246996735</v>
      </c>
      <c r="AH82" s="98">
        <f t="shared" si="171"/>
        <v>-141.14913541530973</v>
      </c>
      <c r="AI82" s="98">
        <f t="shared" si="171"/>
        <v>0</v>
      </c>
      <c r="AJ82" s="98">
        <f t="shared" si="171"/>
        <v>-148.81272891566257</v>
      </c>
      <c r="AK82" s="2">
        <f t="shared" si="171"/>
        <v>0</v>
      </c>
      <c r="AL82" s="98">
        <f t="shared" si="171"/>
        <v>94.16158999499973</v>
      </c>
      <c r="AM82" s="98">
        <f t="shared" si="171"/>
        <v>0</v>
      </c>
      <c r="AN82" s="98">
        <f t="shared" si="171"/>
        <v>0</v>
      </c>
      <c r="AO82" s="98">
        <f t="shared" si="171"/>
        <v>94.16158999499973</v>
      </c>
      <c r="AP82" s="98">
        <f>IFERROR(AP27-SUM(AP63:AP64,AP66:AP71,AP73,AP76),0)</f>
        <v>-30.923970576999622</v>
      </c>
      <c r="AQ82" s="98">
        <f>IFERROR(AQ27-SUM(AQ63:AQ64,AQ66:AQ71,AQ73,AQ76),0)</f>
        <v>0</v>
      </c>
      <c r="AR82" s="98">
        <f>IFERROR(AR27-SUM(AR63:AR64,AR66:AR71,AR73,AR76),0)</f>
        <v>0</v>
      </c>
      <c r="AS82" s="98">
        <f>IFERROR(AS27-SUM(AS63:AS64,AS66:AS71,AS73,AS76),0)</f>
        <v>-30.923970576999622</v>
      </c>
      <c r="AT82" s="2">
        <f t="shared" si="171"/>
        <v>0</v>
      </c>
      <c r="AU82" s="98">
        <f>IFERROR(AU27-SUM(AU63:AU64,AU66:AU71,AU73),0)</f>
        <v>83.804546847421591</v>
      </c>
      <c r="AV82" s="98">
        <f>IFERROR(AV27-SUM(AV63:AV64,AV66:AV71,AV73),0)</f>
        <v>0</v>
      </c>
      <c r="AW82" s="2">
        <f t="shared" si="171"/>
        <v>0</v>
      </c>
      <c r="AX82" s="98">
        <f t="shared" si="171"/>
        <v>63.237619418000122</v>
      </c>
      <c r="AY82" s="98">
        <f t="shared" si="171"/>
        <v>0</v>
      </c>
      <c r="AZ82" s="98">
        <f t="shared" si="171"/>
        <v>0</v>
      </c>
      <c r="BA82" s="98">
        <f t="shared" si="171"/>
        <v>63.237619418000122</v>
      </c>
      <c r="BB82" s="98">
        <f t="shared" si="171"/>
        <v>0</v>
      </c>
      <c r="BC82" s="98">
        <f t="shared" si="171"/>
        <v>0</v>
      </c>
      <c r="BD82" s="98">
        <f t="shared" si="171"/>
        <v>0</v>
      </c>
      <c r="BE82" s="98">
        <f t="shared" si="171"/>
        <v>0</v>
      </c>
      <c r="BF82" s="2">
        <f t="shared" si="171"/>
        <v>0</v>
      </c>
      <c r="BG82" s="98">
        <f t="shared" si="171"/>
        <v>63.237619418000122</v>
      </c>
      <c r="BH82" s="98">
        <f t="shared" si="171"/>
        <v>114.58163643167214</v>
      </c>
      <c r="BI82" s="98">
        <f t="shared" si="171"/>
        <v>50.217561857958827</v>
      </c>
      <c r="BJ82" s="98">
        <f t="shared" si="171"/>
        <v>228.03681770763109</v>
      </c>
      <c r="BK82" s="98">
        <f t="shared" si="171"/>
        <v>-44.526136246996735</v>
      </c>
      <c r="BL82" s="98">
        <f t="shared" si="171"/>
        <v>-141.14913541530973</v>
      </c>
      <c r="BM82" s="98">
        <f t="shared" si="171"/>
        <v>156.56781746366863</v>
      </c>
      <c r="BN82" s="98">
        <f t="shared" si="171"/>
        <v>-164.79919828963097</v>
      </c>
      <c r="BO82" s="2">
        <f t="shared" si="171"/>
        <v>0</v>
      </c>
      <c r="BP82" s="98">
        <f t="shared" si="171"/>
        <v>63.237619418000122</v>
      </c>
      <c r="BQ82" s="98">
        <f t="shared" si="171"/>
        <v>0</v>
      </c>
      <c r="BR82" s="98">
        <f t="shared" si="171"/>
        <v>0</v>
      </c>
      <c r="BS82" s="98">
        <f t="shared" ref="BS82:CC82" si="173">IFERROR(BS27-SUM(BS63:BS64,BS66:BS71,BS73),0)</f>
        <v>0</v>
      </c>
      <c r="BT82" s="98">
        <f t="shared" si="173"/>
        <v>-44.526136246996735</v>
      </c>
      <c r="BU82" s="98">
        <f t="shared" si="173"/>
        <v>0</v>
      </c>
      <c r="BV82" s="98">
        <f t="shared" si="173"/>
        <v>0</v>
      </c>
      <c r="BW82" s="98">
        <f t="shared" si="173"/>
        <v>0</v>
      </c>
      <c r="BX82" s="2">
        <f t="shared" si="173"/>
        <v>0</v>
      </c>
      <c r="BY82" s="98">
        <f t="shared" si="173"/>
        <v>0</v>
      </c>
      <c r="BZ82" s="2">
        <f t="shared" si="173"/>
        <v>0</v>
      </c>
      <c r="CA82" s="98">
        <f t="shared" si="173"/>
        <v>0</v>
      </c>
      <c r="CB82" s="2">
        <f t="shared" si="173"/>
        <v>0</v>
      </c>
      <c r="CC82" s="98">
        <f t="shared" si="173"/>
        <v>0</v>
      </c>
      <c r="CE82" s="98">
        <f t="shared" ref="CE82:CL82" si="174">IFERROR(CE27-SUM(CE63:CE64,CE66:CE71,CE73),0)</f>
        <v>63.237619418000122</v>
      </c>
      <c r="CF82" s="98">
        <f t="shared" si="174"/>
        <v>0</v>
      </c>
      <c r="CG82" s="98">
        <f t="shared" si="174"/>
        <v>0</v>
      </c>
      <c r="CH82" s="98">
        <f t="shared" si="174"/>
        <v>63.237619418000122</v>
      </c>
      <c r="CI82" s="98">
        <f t="shared" si="174"/>
        <v>0</v>
      </c>
      <c r="CJ82" s="98">
        <f t="shared" si="174"/>
        <v>0</v>
      </c>
      <c r="CK82" s="98">
        <f t="shared" si="174"/>
        <v>0</v>
      </c>
      <c r="CL82" s="98">
        <f t="shared" si="174"/>
        <v>0</v>
      </c>
      <c r="CM82" s="98">
        <f t="shared" ref="CM82" si="175">IFERROR(CM27-SUM(CM63:CM64,CM66:CM71,CM73),0)</f>
        <v>454.80971210651239</v>
      </c>
      <c r="CN82" s="98">
        <f t="shared" ref="CN82" si="176">IFERROR(CN27-SUM(CN63:CN64,CN66:CN71,CN73),0)</f>
        <v>-391.57209268851227</v>
      </c>
    </row>
    <row r="83" spans="1:92" ht="15">
      <c r="A83" s="94"/>
      <c r="B83" s="94"/>
      <c r="C83" s="94"/>
      <c r="D83" s="94"/>
      <c r="E83" s="94" t="s">
        <v>63</v>
      </c>
      <c r="F83" s="98">
        <f>IFERROR(F46-F65-F72-F74-F75-F76-F77-F78,0)</f>
        <v>-134.40743371799999</v>
      </c>
      <c r="G83" s="98">
        <f>IFERROR(G46-G65-G72-G74-G75-G76-G77-G78,0)</f>
        <v>0</v>
      </c>
      <c r="H83" s="98">
        <f>IFERROR(H46-H65-H72-H74-H75-H76-H77-H78,0)</f>
        <v>0</v>
      </c>
      <c r="I83" s="98">
        <f>IFERROR(I46-I65-I72-I74-I75-I76-I77-I78,0)</f>
        <v>-134.40743371799999</v>
      </c>
      <c r="J83" s="98">
        <f t="shared" ref="J83:BR83" si="177">IFERROR(J46-J65-J72-J74-J75-J76-J77-J78,0)</f>
        <v>0</v>
      </c>
      <c r="K83" s="98">
        <f t="shared" si="177"/>
        <v>-152.79353577592065</v>
      </c>
      <c r="L83" s="98">
        <f t="shared" si="177"/>
        <v>0</v>
      </c>
      <c r="M83" s="98">
        <f t="shared" si="177"/>
        <v>0</v>
      </c>
      <c r="N83" s="98">
        <f t="shared" si="177"/>
        <v>-152.79353577592065</v>
      </c>
      <c r="O83" s="98">
        <f t="shared" si="177"/>
        <v>18.386102057920667</v>
      </c>
      <c r="P83" s="98">
        <f t="shared" si="177"/>
        <v>0</v>
      </c>
      <c r="Q83" s="98">
        <f t="shared" si="177"/>
        <v>0</v>
      </c>
      <c r="R83" s="98">
        <f t="shared" si="177"/>
        <v>18.386102057920667</v>
      </c>
      <c r="S83" s="2">
        <f t="shared" si="177"/>
        <v>0</v>
      </c>
      <c r="T83" s="98">
        <f t="shared" si="177"/>
        <v>-134.40743371800002</v>
      </c>
      <c r="U83" s="98">
        <f t="shared" ref="U83:AA83" si="178">IFERROR(U46-U65-U72-U74-U75-U76-U77-U78,0)</f>
        <v>0</v>
      </c>
      <c r="V83" s="98">
        <f t="shared" si="178"/>
        <v>0</v>
      </c>
      <c r="W83" s="98">
        <f t="shared" si="178"/>
        <v>-134.40743371800002</v>
      </c>
      <c r="X83" s="98">
        <f t="shared" si="178"/>
        <v>2.8421709430404007E-14</v>
      </c>
      <c r="Y83" s="98">
        <f t="shared" si="178"/>
        <v>0</v>
      </c>
      <c r="Z83" s="98">
        <f t="shared" si="178"/>
        <v>0</v>
      </c>
      <c r="AA83" s="98">
        <f t="shared" si="178"/>
        <v>0</v>
      </c>
      <c r="AB83" s="2">
        <f t="shared" si="177"/>
        <v>0</v>
      </c>
      <c r="AC83" s="98">
        <f t="shared" si="177"/>
        <v>-122.70532976500002</v>
      </c>
      <c r="AD83" s="98">
        <f t="shared" si="177"/>
        <v>-141.22436719192658</v>
      </c>
      <c r="AE83" s="98">
        <f t="shared" si="177"/>
        <v>0</v>
      </c>
      <c r="AF83" s="98">
        <f t="shared" si="177"/>
        <v>-263.92969695692659</v>
      </c>
      <c r="AG83" s="98">
        <f t="shared" si="177"/>
        <v>-11.702103952999964</v>
      </c>
      <c r="AH83" s="98">
        <f t="shared" si="177"/>
        <v>117.86248344647906</v>
      </c>
      <c r="AI83" s="98">
        <f t="shared" si="177"/>
        <v>0</v>
      </c>
      <c r="AJ83" s="98">
        <f t="shared" si="177"/>
        <v>129.52226323892666</v>
      </c>
      <c r="AK83" s="2">
        <f t="shared" si="177"/>
        <v>0</v>
      </c>
      <c r="AL83" s="98">
        <f t="shared" ref="AL83:AS83" si="179">IFERROR(AL46-AL65-AL72-AL74-AL75-AL77-AL78,0)</f>
        <v>-130.54336559499998</v>
      </c>
      <c r="AM83" s="98">
        <f t="shared" si="179"/>
        <v>0</v>
      </c>
      <c r="AN83" s="98">
        <f t="shared" si="179"/>
        <v>0</v>
      </c>
      <c r="AO83" s="98">
        <f t="shared" si="179"/>
        <v>-130.54336559499998</v>
      </c>
      <c r="AP83" s="98">
        <f t="shared" si="179"/>
        <v>-3.8640681229999894</v>
      </c>
      <c r="AQ83" s="98">
        <f t="shared" si="179"/>
        <v>0</v>
      </c>
      <c r="AR83" s="98">
        <f t="shared" si="179"/>
        <v>0</v>
      </c>
      <c r="AS83" s="98">
        <f t="shared" si="179"/>
        <v>-3.8640681229999894</v>
      </c>
      <c r="AU83" s="98">
        <f t="shared" si="177"/>
        <v>-111.51378384742002</v>
      </c>
      <c r="AV83" s="98">
        <f t="shared" si="177"/>
        <v>0</v>
      </c>
      <c r="AW83" s="2">
        <f t="shared" si="177"/>
        <v>0</v>
      </c>
      <c r="AX83" s="98">
        <f t="shared" si="177"/>
        <v>-134.40743371800002</v>
      </c>
      <c r="AY83" s="98">
        <f t="shared" si="177"/>
        <v>0</v>
      </c>
      <c r="AZ83" s="98">
        <f t="shared" si="177"/>
        <v>0</v>
      </c>
      <c r="BA83" s="98">
        <f t="shared" si="177"/>
        <v>-134.40743371800002</v>
      </c>
      <c r="BB83" s="98">
        <f t="shared" si="177"/>
        <v>2.8421709430404007E-14</v>
      </c>
      <c r="BC83" s="98">
        <f t="shared" si="177"/>
        <v>0</v>
      </c>
      <c r="BD83" s="98">
        <f t="shared" si="177"/>
        <v>0</v>
      </c>
      <c r="BE83" s="98">
        <f t="shared" si="177"/>
        <v>2.8421709430404007E-14</v>
      </c>
      <c r="BF83" s="2">
        <f t="shared" si="177"/>
        <v>0</v>
      </c>
      <c r="BG83" s="98">
        <f t="shared" si="177"/>
        <v>-134.40743371799999</v>
      </c>
      <c r="BH83" s="98">
        <f t="shared" si="177"/>
        <v>-116.17076244056548</v>
      </c>
      <c r="BI83" s="98">
        <f t="shared" si="177"/>
        <v>-135.1031913946334</v>
      </c>
      <c r="BJ83" s="98">
        <f t="shared" si="177"/>
        <v>-385.68138755319882</v>
      </c>
      <c r="BK83" s="98">
        <f t="shared" si="177"/>
        <v>-11.702103952999964</v>
      </c>
      <c r="BL83" s="98">
        <f t="shared" si="177"/>
        <v>117.86248344647906</v>
      </c>
      <c r="BM83" s="98">
        <f t="shared" si="177"/>
        <v>-120.99759203768781</v>
      </c>
      <c r="BN83" s="98">
        <f t="shared" si="177"/>
        <v>251.27395383519888</v>
      </c>
      <c r="BP83" s="98">
        <f t="shared" si="177"/>
        <v>-134.40743371799999</v>
      </c>
      <c r="BQ83" s="98">
        <f t="shared" si="177"/>
        <v>0</v>
      </c>
      <c r="BR83" s="98">
        <f t="shared" si="177"/>
        <v>0</v>
      </c>
      <c r="BS83" s="98">
        <f t="shared" ref="BS83:CA83" si="180">IFERROR(BS46-BS65-BS72-BS74-BS75-BS76-BS77-BS78,0)</f>
        <v>0</v>
      </c>
      <c r="BT83" s="98">
        <f t="shared" si="180"/>
        <v>-11.702103952999964</v>
      </c>
      <c r="BU83" s="98">
        <f t="shared" si="180"/>
        <v>0</v>
      </c>
      <c r="BV83" s="98">
        <f t="shared" si="180"/>
        <v>0</v>
      </c>
      <c r="BW83" s="98">
        <f t="shared" si="180"/>
        <v>0</v>
      </c>
      <c r="BY83" s="98">
        <f t="shared" si="180"/>
        <v>0</v>
      </c>
      <c r="CA83" s="98">
        <f t="shared" si="180"/>
        <v>-346.0916622089257</v>
      </c>
      <c r="CC83" s="98">
        <f>IFERROR(CC46-CC65-CC72-CC74-CC75-CC76-CC77-CC78,0)</f>
        <v>-211.6842284909257</v>
      </c>
      <c r="CE83" s="98">
        <f t="shared" ref="CE83:CL83" si="181">IFERROR(CE46-CE65-CE72-CE74-CE75-CE76-CE77-CE78,0)</f>
        <v>-134.40743371799999</v>
      </c>
      <c r="CF83" s="98">
        <f t="shared" si="181"/>
        <v>0</v>
      </c>
      <c r="CG83" s="98">
        <f t="shared" si="181"/>
        <v>0</v>
      </c>
      <c r="CH83" s="98">
        <f t="shared" si="181"/>
        <v>-134.40743371799999</v>
      </c>
      <c r="CI83" s="98">
        <f t="shared" si="181"/>
        <v>0</v>
      </c>
      <c r="CJ83" s="98">
        <f t="shared" si="181"/>
        <v>0</v>
      </c>
      <c r="CK83" s="98">
        <f t="shared" si="181"/>
        <v>0</v>
      </c>
      <c r="CL83" s="98">
        <f t="shared" si="181"/>
        <v>0</v>
      </c>
      <c r="CM83" s="98">
        <f t="shared" ref="CM83" si="182">IFERROR(CM46-CM65-CM72-CM74-CM75-CM76-CM77-CM78,0)</f>
        <v>-353.67503744952307</v>
      </c>
      <c r="CN83" s="98">
        <f t="shared" ref="CN83" si="183">IFERROR(CN46-CN65-CN72-CN74-CN75-CN76-CN77-CN78,0)</f>
        <v>219.26760373152308</v>
      </c>
    </row>
    <row r="84" spans="1:92">
      <c r="E84" s="2" t="s">
        <v>64</v>
      </c>
      <c r="F84" s="99">
        <f>IFERROR(SUM(F82:F83)-F55,0)</f>
        <v>1.4210854715202004E-14</v>
      </c>
      <c r="G84" s="99">
        <f>IFERROR(SUM(G82:G83)-G55,0)</f>
        <v>0</v>
      </c>
      <c r="H84" s="99">
        <f>IFERROR(SUM(H82:H83)-H55,0)</f>
        <v>0</v>
      </c>
      <c r="I84" s="99">
        <f>IFERROR(SUM(I82:I83)-I55,0)</f>
        <v>1.4210854715202004E-14</v>
      </c>
      <c r="J84" s="2">
        <f t="shared" ref="J84:BR84" si="184">IFERROR(SUM(J82:J83)-J55,0)</f>
        <v>0</v>
      </c>
      <c r="K84" s="99">
        <f t="shared" si="184"/>
        <v>-7.1054273576010019E-14</v>
      </c>
      <c r="L84" s="99">
        <f t="shared" si="184"/>
        <v>0</v>
      </c>
      <c r="M84" s="99">
        <f t="shared" si="184"/>
        <v>0</v>
      </c>
      <c r="N84" s="99">
        <f t="shared" si="184"/>
        <v>-7.1054273576010019E-14</v>
      </c>
      <c r="O84" s="99">
        <f t="shared" si="184"/>
        <v>8.5265128291212022E-14</v>
      </c>
      <c r="P84" s="99">
        <f t="shared" si="184"/>
        <v>0</v>
      </c>
      <c r="Q84" s="99">
        <f t="shared" si="184"/>
        <v>0</v>
      </c>
      <c r="R84" s="99">
        <f t="shared" si="184"/>
        <v>8.5265128291212022E-14</v>
      </c>
      <c r="S84" s="2">
        <f t="shared" si="184"/>
        <v>0</v>
      </c>
      <c r="T84" s="99">
        <f t="shared" si="184"/>
        <v>-63.237619418000136</v>
      </c>
      <c r="U84" s="99">
        <f t="shared" ref="U84:AA84" si="185">IFERROR(SUM(U82:U83)-U55,0)</f>
        <v>0</v>
      </c>
      <c r="V84" s="99">
        <f t="shared" si="185"/>
        <v>0</v>
      </c>
      <c r="W84" s="99">
        <f t="shared" si="185"/>
        <v>-63.237619418000136</v>
      </c>
      <c r="X84" s="99">
        <f t="shared" si="185"/>
        <v>2.8421709430404007E-14</v>
      </c>
      <c r="Y84" s="99">
        <f t="shared" si="185"/>
        <v>0</v>
      </c>
      <c r="Z84" s="99">
        <f t="shared" si="185"/>
        <v>0</v>
      </c>
      <c r="AA84" s="99">
        <f t="shared" si="185"/>
        <v>0</v>
      </c>
      <c r="AB84" s="2">
        <f t="shared" si="184"/>
        <v>0</v>
      </c>
      <c r="AC84" s="99">
        <f t="shared" si="184"/>
        <v>-7.1054273576010019E-15</v>
      </c>
      <c r="AD84" s="99">
        <f t="shared" si="184"/>
        <v>1.4210854715202004E-14</v>
      </c>
      <c r="AE84" s="99">
        <f t="shared" si="184"/>
        <v>0</v>
      </c>
      <c r="AF84" s="99">
        <f t="shared" si="184"/>
        <v>-7.1054273576010019E-15</v>
      </c>
      <c r="AG84" s="99">
        <f t="shared" si="184"/>
        <v>2.8421709430404007E-14</v>
      </c>
      <c r="AH84" s="99">
        <f t="shared" si="184"/>
        <v>-23.286651968830668</v>
      </c>
      <c r="AI84" s="99">
        <f t="shared" si="184"/>
        <v>0</v>
      </c>
      <c r="AJ84" s="99">
        <f t="shared" si="184"/>
        <v>4.9737991503207013E-14</v>
      </c>
      <c r="AK84" s="2">
        <f t="shared" si="184"/>
        <v>0</v>
      </c>
      <c r="AL84" s="99">
        <f t="shared" ref="AL84:AS84" si="186">IFERROR(SUM(AL82:AL83)-AL55,0)</f>
        <v>-5.6843418860808015E-14</v>
      </c>
      <c r="AM84" s="99">
        <f t="shared" si="186"/>
        <v>0</v>
      </c>
      <c r="AN84" s="99">
        <f t="shared" si="186"/>
        <v>0</v>
      </c>
      <c r="AO84" s="99">
        <f t="shared" si="186"/>
        <v>-5.6843418860808015E-14</v>
      </c>
      <c r="AP84" s="99">
        <f t="shared" si="186"/>
        <v>7.815970093361102E-14</v>
      </c>
      <c r="AQ84" s="99">
        <f t="shared" si="186"/>
        <v>0</v>
      </c>
      <c r="AR84" s="99">
        <f t="shared" si="186"/>
        <v>0</v>
      </c>
      <c r="AS84" s="99">
        <f t="shared" si="186"/>
        <v>7.815970093361102E-14</v>
      </c>
      <c r="AU84" s="99">
        <f t="shared" si="184"/>
        <v>6.3948846218409017E-14</v>
      </c>
      <c r="AV84" s="99">
        <f t="shared" si="184"/>
        <v>0</v>
      </c>
      <c r="AW84" s="2">
        <f t="shared" si="184"/>
        <v>0</v>
      </c>
      <c r="AX84" s="99">
        <f t="shared" si="184"/>
        <v>-1.4210854715202004E-14</v>
      </c>
      <c r="AY84" s="99">
        <f>IFERROR(SUM(AY82:AY83)-AY55,0)</f>
        <v>0</v>
      </c>
      <c r="AZ84" s="99">
        <f t="shared" si="184"/>
        <v>0</v>
      </c>
      <c r="BA84" s="99">
        <f t="shared" si="184"/>
        <v>-1.4210854715202004E-14</v>
      </c>
      <c r="BB84" s="99">
        <f t="shared" si="184"/>
        <v>2.8421709430404007E-14</v>
      </c>
      <c r="BC84" s="99">
        <f t="shared" si="184"/>
        <v>0</v>
      </c>
      <c r="BD84" s="99">
        <f t="shared" si="184"/>
        <v>0</v>
      </c>
      <c r="BE84" s="99">
        <f t="shared" si="184"/>
        <v>2.8421709430404007E-14</v>
      </c>
      <c r="BF84" s="2">
        <f t="shared" si="184"/>
        <v>0</v>
      </c>
      <c r="BG84" s="99">
        <f t="shared" si="184"/>
        <v>1.4210854715202004E-14</v>
      </c>
      <c r="BH84" s="99">
        <f t="shared" si="184"/>
        <v>2.1316282072803006E-14</v>
      </c>
      <c r="BI84" s="99">
        <f t="shared" si="184"/>
        <v>0</v>
      </c>
      <c r="BJ84" s="99">
        <f t="shared" si="184"/>
        <v>8.5265128291212022E-14</v>
      </c>
      <c r="BK84" s="99">
        <f t="shared" si="184"/>
        <v>2.8421709430404007E-14</v>
      </c>
      <c r="BL84" s="99">
        <f t="shared" si="184"/>
        <v>-23.286651968830668</v>
      </c>
      <c r="BM84" s="99">
        <f t="shared" si="184"/>
        <v>35.570225425980823</v>
      </c>
      <c r="BN84" s="99">
        <f t="shared" si="184"/>
        <v>-1.4210854715202004E-14</v>
      </c>
      <c r="BP84" s="99">
        <f t="shared" si="184"/>
        <v>17.900472999999863</v>
      </c>
      <c r="BQ84" s="99">
        <f t="shared" si="184"/>
        <v>33.835182200000673</v>
      </c>
      <c r="BR84" s="99">
        <f t="shared" si="184"/>
        <v>69.825243156095723</v>
      </c>
      <c r="BS84" s="99">
        <f t="shared" ref="BS84:CC84" si="187">IFERROR(SUM(BS82:BS83)-BS55,0)</f>
        <v>192.73071265609613</v>
      </c>
      <c r="BT84" s="99">
        <f t="shared" si="187"/>
        <v>17.900472999999884</v>
      </c>
      <c r="BU84" s="99">
        <f t="shared" si="187"/>
        <v>-3.1025923232600832</v>
      </c>
      <c r="BV84" s="99">
        <f t="shared" si="187"/>
        <v>0</v>
      </c>
      <c r="BW84" s="99">
        <f t="shared" si="187"/>
        <v>140.85136403283221</v>
      </c>
      <c r="BY84" s="99">
        <f t="shared" si="187"/>
        <v>0</v>
      </c>
      <c r="CA84" s="99">
        <f t="shared" si="187"/>
        <v>-310.10699027781726</v>
      </c>
      <c r="CC84" s="99">
        <f t="shared" si="187"/>
        <v>-246.86937085981714</v>
      </c>
      <c r="CE84" s="99">
        <f t="shared" ref="CE84" si="188">IFERROR(SUM(CE82:CE83)-CE55,0)</f>
        <v>1.4210854715202004E-14</v>
      </c>
      <c r="CF84" s="99">
        <f>IFERROR(SUM(CF82:CF83)-CF55,0)</f>
        <v>0</v>
      </c>
      <c r="CG84" s="99">
        <f t="shared" ref="CG84:CL84" si="189">IFERROR(SUM(CG82:CG83)-CG55,0)</f>
        <v>0</v>
      </c>
      <c r="CH84" s="99">
        <f t="shared" si="189"/>
        <v>1.4210854715202004E-14</v>
      </c>
      <c r="CI84" s="99">
        <f t="shared" si="189"/>
        <v>0</v>
      </c>
      <c r="CJ84" s="99">
        <f t="shared" si="189"/>
        <v>0</v>
      </c>
      <c r="CK84" s="99">
        <f t="shared" si="189"/>
        <v>0</v>
      </c>
      <c r="CL84" s="99">
        <f t="shared" si="189"/>
        <v>0</v>
      </c>
      <c r="CM84" s="99">
        <f t="shared" ref="CM84" si="190">IFERROR(SUM(CM82:CM83)-CM55,0)</f>
        <v>2.9842794901924208E-13</v>
      </c>
      <c r="CN84" s="99">
        <f t="shared" ref="CN84" si="191">IFERROR(SUM(CN82:CN83)-CN55,0)</f>
        <v>-2.8421709430404007E-13</v>
      </c>
    </row>
    <row r="86" spans="1:92">
      <c r="BD86" s="503"/>
      <c r="CK86" s="503"/>
    </row>
    <row r="87" spans="1:92">
      <c r="BY87" s="117" t="e">
        <f>BY55-SUM(BY82:BY83)</f>
        <v>#VALUE!</v>
      </c>
      <c r="CC87" s="117">
        <f>CC55-SUM(CC82:CC83)</f>
        <v>246.86937085981714</v>
      </c>
    </row>
  </sheetData>
  <mergeCells count="17">
    <mergeCell ref="CE5:CH5"/>
    <mergeCell ref="CI5:CL5"/>
    <mergeCell ref="BP5:BS5"/>
    <mergeCell ref="BT5:BW5"/>
    <mergeCell ref="BG5:BJ5"/>
    <mergeCell ref="BK5:BN5"/>
    <mergeCell ref="F5:I5"/>
    <mergeCell ref="K5:N5"/>
    <mergeCell ref="O5:R5"/>
    <mergeCell ref="T5:W5"/>
    <mergeCell ref="X5:AA5"/>
    <mergeCell ref="AX5:BA5"/>
    <mergeCell ref="BB5:BE5"/>
    <mergeCell ref="AL5:AO5"/>
    <mergeCell ref="AP5:AS5"/>
    <mergeCell ref="AC5:AF5"/>
    <mergeCell ref="AG5:AJ5"/>
  </mergeCells>
  <pageMargins left="0.7" right="0.7" top="0.75" bottom="0.75" header="0.3" footer="0.3"/>
  <pageSetup paperSize="9" orientation="portrait" horizontalDpi="1200" verticalDpi="1200" r:id="rId1"/>
  <customProperties>
    <customPr name="_pios_id" r:id="rId2"/>
    <customPr name="EpmWorksheetKeyString_GUID" r:id="rId3"/>
  </customProperties>
  <ignoredErrors>
    <ignoredError sqref="N61" formula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C1A33E1-BE31-49B7-872F-54AA9DF6EFE4}">
          <x14:formula1>
            <xm:f>mapping!$A$2:$A$13</xm:f>
          </x14:formula1>
          <xm:sqref>E2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81F8D-0DF7-4ACA-AEE4-8C4705C5529F}">
  <sheetPr>
    <tabColor rgb="FFC9A6E4"/>
  </sheetPr>
  <dimension ref="B1:CE85"/>
  <sheetViews>
    <sheetView showGridLines="0" topLeftCell="A47" zoomScale="55" zoomScaleNormal="55" workbookViewId="0">
      <selection activeCell="U59" sqref="U59"/>
    </sheetView>
  </sheetViews>
  <sheetFormatPr defaultRowHeight="15"/>
  <cols>
    <col min="2" max="2" width="21.5703125" customWidth="1"/>
    <col min="3" max="3" width="12.42578125" customWidth="1"/>
    <col min="4" max="4" width="20.42578125" bestFit="1" customWidth="1"/>
    <col min="5" max="5" width="14.42578125" bestFit="1" customWidth="1"/>
    <col min="6" max="6" width="14.5703125" bestFit="1" customWidth="1"/>
    <col min="7" max="7" width="15.42578125" bestFit="1" customWidth="1"/>
    <col min="8" max="8" width="9.85546875" customWidth="1"/>
    <col min="9" max="9" width="12.140625" customWidth="1"/>
    <col min="10" max="10" width="10" customWidth="1"/>
    <col min="11" max="11" width="10.140625" customWidth="1"/>
    <col min="12" max="12" width="9" customWidth="1"/>
    <col min="13" max="13" width="12.5703125" bestFit="1" customWidth="1"/>
    <col min="14" max="14" width="13.140625" customWidth="1"/>
    <col min="15" max="15" width="11" customWidth="1"/>
    <col min="18" max="18" width="10.5703125" customWidth="1"/>
    <col min="19" max="19" width="12.140625" bestFit="1" customWidth="1"/>
    <col min="20" max="20" width="12.140625" customWidth="1"/>
    <col min="21" max="21" width="27.140625" customWidth="1"/>
    <col min="22" max="22" width="10" customWidth="1"/>
    <col min="24" max="24" width="10.5703125" customWidth="1"/>
    <col min="25" max="25" width="11.5703125" customWidth="1"/>
    <col min="26" max="26" width="13.42578125" bestFit="1" customWidth="1"/>
    <col min="28" max="28" width="10.140625" customWidth="1"/>
    <col min="29" max="29" width="10.42578125" customWidth="1"/>
    <col min="33" max="33" width="9.5703125" bestFit="1" customWidth="1"/>
    <col min="34" max="34" width="9.42578125" bestFit="1" customWidth="1"/>
    <col min="36" max="36" width="8.5703125" customWidth="1"/>
  </cols>
  <sheetData>
    <row r="1" spans="2:83" ht="28.5">
      <c r="B1" s="304" t="str">
        <f>'Summary month'!E2</f>
        <v>Apr</v>
      </c>
      <c r="C1" t="str">
        <f>VLOOKUP(B1,mapping!$A$2:$C$13,3,0)</f>
        <v>M01</v>
      </c>
    </row>
    <row r="3" spans="2:83" ht="28.5">
      <c r="B3" s="299" t="s">
        <v>202</v>
      </c>
      <c r="N3" t="s">
        <v>567</v>
      </c>
      <c r="O3" s="711">
        <f>'[1]P&amp;L Actual'!$Q$6</f>
        <v>0</v>
      </c>
      <c r="Q3" s="699"/>
      <c r="R3" s="699"/>
      <c r="S3" s="821" t="s">
        <v>518</v>
      </c>
      <c r="T3" s="699"/>
      <c r="U3" s="699"/>
      <c r="Z3" s="549"/>
    </row>
    <row r="4" spans="2:83">
      <c r="B4" s="216"/>
      <c r="C4" s="216"/>
      <c r="D4" s="216"/>
      <c r="E4" s="216"/>
      <c r="F4" s="216"/>
      <c r="G4" s="216"/>
      <c r="H4" s="216"/>
      <c r="I4" s="216"/>
      <c r="J4" s="549"/>
    </row>
    <row r="5" spans="2:83" ht="20.25">
      <c r="B5" s="216"/>
      <c r="C5" s="226" t="str">
        <f>B10</f>
        <v>LY MTD</v>
      </c>
      <c r="D5" s="226" t="str">
        <f>C10</f>
        <v>Act MTD</v>
      </c>
      <c r="E5" s="226" t="s">
        <v>320</v>
      </c>
      <c r="F5" s="226" t="s">
        <v>321</v>
      </c>
      <c r="G5" s="226" t="s">
        <v>322</v>
      </c>
      <c r="H5" s="797" t="s">
        <v>323</v>
      </c>
      <c r="I5" s="720"/>
      <c r="L5">
        <f>'[2]YTD VA LY'!$I$25</f>
        <v>0</v>
      </c>
    </row>
    <row r="6" spans="2:83" ht="20.25">
      <c r="B6" s="226" t="s">
        <v>327</v>
      </c>
      <c r="C6" s="809">
        <f>INDEX('Summary month'!$AL$82:$AN$82,1,MATCH($C$1,'Summary month'!$O$6:$Q$6,0))</f>
        <v>94.16158999499973</v>
      </c>
      <c r="D6" s="809">
        <f>INDEX('Summary month'!$F$82:$H$82,1,MATCH($C$1,'Summary month'!$O$6:$Q$6,0))</f>
        <v>63.237619418000122</v>
      </c>
      <c r="E6" s="806">
        <f>+D6-C6</f>
        <v>-30.923970576999608</v>
      </c>
      <c r="F6" s="806">
        <f>B19</f>
        <v>-5.4219767508006784</v>
      </c>
      <c r="G6" s="806" t="e">
        <f>SUM(C19:S19)</f>
        <v>#REF!</v>
      </c>
      <c r="H6" s="803" t="e">
        <f>E6-F6-G6</f>
        <v>#REF!</v>
      </c>
      <c r="I6" s="720"/>
      <c r="J6" s="334"/>
      <c r="K6" s="216"/>
      <c r="L6" s="216"/>
      <c r="M6" s="216"/>
      <c r="N6" s="334"/>
      <c r="O6" s="216"/>
      <c r="P6" s="216"/>
      <c r="Q6" s="216"/>
    </row>
    <row r="7" spans="2:83" ht="20.25">
      <c r="B7" s="226" t="s">
        <v>325</v>
      </c>
      <c r="C7" s="809">
        <f>'Summary month'!AM83</f>
        <v>0</v>
      </c>
      <c r="D7" s="809">
        <f>'Summary month'!G83</f>
        <v>0</v>
      </c>
      <c r="E7" s="806">
        <f>+D7-C7</f>
        <v>0</v>
      </c>
      <c r="F7" s="806">
        <f>T19</f>
        <v>2.6826351678126352</v>
      </c>
      <c r="G7" s="806">
        <f>SUM(U19:AH19)</f>
        <v>-6.5467032908126246</v>
      </c>
      <c r="H7" s="803">
        <f>E7-F7-G7</f>
        <v>3.8640681229999894</v>
      </c>
      <c r="I7" s="720"/>
      <c r="J7" s="334"/>
      <c r="K7" s="216"/>
      <c r="L7" s="216"/>
      <c r="M7" s="216"/>
      <c r="N7" s="334"/>
      <c r="O7" s="216"/>
      <c r="P7" s="216"/>
      <c r="Q7" s="216"/>
    </row>
    <row r="8" spans="2:83" ht="20.25">
      <c r="B8" s="226" t="s">
        <v>326</v>
      </c>
      <c r="C8" s="806">
        <f>+C6+C7</f>
        <v>94.16158999499973</v>
      </c>
      <c r="D8" s="806">
        <f>+D6+D7</f>
        <v>63.237619418000122</v>
      </c>
      <c r="E8" s="806">
        <f>+D8-C8</f>
        <v>-30.923970576999608</v>
      </c>
      <c r="F8" s="806" t="e">
        <f>+E8-G8</f>
        <v>#REF!</v>
      </c>
      <c r="G8" s="806" t="e">
        <f>+G6+G7</f>
        <v>#REF!</v>
      </c>
      <c r="H8" s="803" t="e">
        <f>E8-F8-G8</f>
        <v>#REF!</v>
      </c>
      <c r="I8" s="720"/>
      <c r="J8" s="334"/>
      <c r="K8" s="216"/>
      <c r="L8" s="216"/>
      <c r="M8" s="216"/>
      <c r="N8" s="334" t="s">
        <v>303</v>
      </c>
      <c r="O8" s="216" t="s">
        <v>279</v>
      </c>
      <c r="P8" s="216" t="s">
        <v>143</v>
      </c>
      <c r="Q8" s="216" t="s">
        <v>305</v>
      </c>
      <c r="R8" t="s">
        <v>306</v>
      </c>
    </row>
    <row r="9" spans="2:83" ht="18">
      <c r="B9" s="215"/>
      <c r="C9" s="216"/>
      <c r="D9" s="215"/>
      <c r="E9" s="216"/>
      <c r="F9" s="215"/>
      <c r="G9" s="217" t="s">
        <v>138</v>
      </c>
      <c r="H9" s="720"/>
      <c r="I9" s="720"/>
      <c r="K9" s="882">
        <f>SUM(K10:K11)-E12</f>
        <v>0</v>
      </c>
      <c r="L9" s="216"/>
      <c r="M9" s="216"/>
      <c r="N9" s="216">
        <f>'[1]New KPI vs BP'!$CA$34-P9-Q9-O9</f>
        <v>-2.0765823073577843</v>
      </c>
      <c r="O9" s="216">
        <f>'[1]New KPI vs BP'!$CA$19</f>
        <v>0.70969703797435812</v>
      </c>
      <c r="P9" s="216">
        <f>'[1]New KPI vs BP'!$CA$15</f>
        <v>-1.5175597239769543</v>
      </c>
      <c r="Q9" s="216">
        <f>L10-AJ76+AA20</f>
        <v>0.14510341037233676</v>
      </c>
      <c r="R9" s="216">
        <f>L9-(Q9)</f>
        <v>-0.14510341037233676</v>
      </c>
      <c r="S9" s="216"/>
      <c r="T9" s="216"/>
      <c r="U9" s="216"/>
      <c r="V9" s="216"/>
      <c r="W9" s="216"/>
      <c r="X9" s="216"/>
      <c r="Y9" s="216"/>
      <c r="Z9" s="216"/>
      <c r="AA9" s="216"/>
      <c r="AB9" s="216"/>
      <c r="AC9" s="216"/>
      <c r="AD9" s="216"/>
      <c r="AE9" s="216"/>
      <c r="AF9" s="216"/>
      <c r="AG9" s="216"/>
      <c r="AH9" s="216"/>
    </row>
    <row r="10" spans="2:83" ht="20.100000000000001" customHeight="1">
      <c r="B10" s="1014" t="s">
        <v>220</v>
      </c>
      <c r="C10" s="1014" t="s">
        <v>207</v>
      </c>
      <c r="D10" s="218"/>
      <c r="E10" s="219"/>
      <c r="F10" s="219"/>
      <c r="G10" s="220"/>
      <c r="H10" s="720"/>
      <c r="I10" s="720"/>
      <c r="J10" s="720" t="s">
        <v>301</v>
      </c>
      <c r="K10" s="721">
        <f>SUM(E13:E15,G13:G15)</f>
        <v>-5.4219767508006784</v>
      </c>
      <c r="L10" s="216"/>
      <c r="M10" s="216"/>
      <c r="N10" s="216"/>
      <c r="O10" s="221"/>
      <c r="P10" s="221"/>
      <c r="Q10" s="221"/>
      <c r="R10" s="216"/>
      <c r="S10" s="216"/>
      <c r="T10" s="216"/>
      <c r="U10" s="216"/>
      <c r="V10" s="216"/>
      <c r="W10" s="221"/>
      <c r="X10" s="221"/>
      <c r="Y10" s="221"/>
      <c r="Z10" s="221"/>
      <c r="AA10" s="221"/>
      <c r="AB10" s="221"/>
      <c r="AC10" s="221"/>
      <c r="AD10" s="221"/>
      <c r="AE10" s="221"/>
      <c r="AF10" s="221"/>
      <c r="AG10" s="221"/>
      <c r="AH10" s="221"/>
    </row>
    <row r="11" spans="2:83" ht="40.5">
      <c r="B11" s="1015"/>
      <c r="C11" s="1016"/>
      <c r="D11" s="222"/>
      <c r="E11" s="223" t="s">
        <v>154</v>
      </c>
      <c r="F11" s="224" t="s">
        <v>155</v>
      </c>
      <c r="G11" s="225" t="s">
        <v>156</v>
      </c>
      <c r="H11" s="720"/>
      <c r="I11" s="720" t="s">
        <v>208</v>
      </c>
      <c r="J11" s="720" t="s">
        <v>302</v>
      </c>
      <c r="K11" s="722">
        <f>SUM(U20:AH20)</f>
        <v>2.6826351678126352</v>
      </c>
      <c r="L11" s="216"/>
      <c r="M11" s="216"/>
      <c r="N11" s="216"/>
      <c r="O11" s="216"/>
      <c r="P11" s="216"/>
      <c r="Q11" s="216"/>
      <c r="R11" s="216"/>
      <c r="AC11" s="814" t="s">
        <v>489</v>
      </c>
      <c r="AD11" s="857">
        <f>'[3]MTD vs LY'!$E$5</f>
        <v>1.0408928000000015</v>
      </c>
      <c r="AE11" s="680" t="s">
        <v>477</v>
      </c>
      <c r="AF11" s="680"/>
      <c r="AH11" s="216"/>
    </row>
    <row r="12" spans="2:83" ht="20.25">
      <c r="B12" s="806">
        <f>INDEX('Summary month'!$AL$55:$AN$55,1,MATCH($C$1,'Summary month'!$O$6:$Q$6,0))</f>
        <v>-36.381775600000196</v>
      </c>
      <c r="C12" s="806">
        <f>INDEX('Summary month'!$F$55:$H$55,1,MATCH($C$1,'Summary month'!$O$6:$Q$6,0))</f>
        <v>-71.169814299999885</v>
      </c>
      <c r="D12" s="807">
        <f>C12-B12</f>
        <v>-34.788038699999689</v>
      </c>
      <c r="E12" s="228">
        <f>'[1]New KPI vs BP'!$CA$34</f>
        <v>-2.7393415829880436</v>
      </c>
      <c r="F12" s="228">
        <f>INDEX('Summary month'!$AP$82:$AR$82,1,MATCH($C$1,'Summary month'!$O$6:$Q$6,0))-K10</f>
        <v>-25.501993826198945</v>
      </c>
      <c r="G12" s="229">
        <f>INDEX('Summary month'!$AP$83:$AR$83,1,MATCH($C$1,'Summary month'!$O$6:$Q$6,0))-K11</f>
        <v>-6.5467032908126246</v>
      </c>
      <c r="H12" s="720"/>
      <c r="I12" s="709">
        <f>SUM(E12:G12)-D12</f>
        <v>7.815970093361102E-14</v>
      </c>
      <c r="J12" s="216"/>
      <c r="K12" s="216"/>
      <c r="L12" s="216"/>
      <c r="M12" s="216"/>
      <c r="N12" s="216"/>
      <c r="O12" s="230"/>
      <c r="P12" s="216"/>
      <c r="Q12" s="216"/>
      <c r="R12" s="216"/>
      <c r="AC12" s="814" t="s">
        <v>267</v>
      </c>
      <c r="AD12" s="857">
        <f>-3568/1000</f>
        <v>-3.5680000000000001</v>
      </c>
      <c r="AE12" s="680" t="s">
        <v>478</v>
      </c>
      <c r="AF12" s="680"/>
      <c r="AH12" s="230"/>
    </row>
    <row r="13" spans="2:83">
      <c r="B13" s="216"/>
      <c r="C13" s="216"/>
      <c r="D13" s="720" t="s">
        <v>139</v>
      </c>
      <c r="E13" s="853">
        <f>'[1]New KPI vs BP'!$CA$471+'[1]New KPI vs BP'!$CA$472+'[1]New KPI vs BP'!$CA$509</f>
        <v>-3.2114266765723531</v>
      </c>
      <c r="F13" s="720" t="s">
        <v>143</v>
      </c>
      <c r="G13" s="853">
        <f>'[1]New KPI vs BP'!$CA$479</f>
        <v>-1.5175597239769543</v>
      </c>
      <c r="H13" s="216"/>
      <c r="I13" s="216"/>
      <c r="J13" s="216"/>
      <c r="K13" s="216"/>
      <c r="L13" s="216"/>
      <c r="M13" s="216"/>
      <c r="N13" s="720" t="s">
        <v>53</v>
      </c>
      <c r="O13" s="753">
        <f>'Summary month'!AQ66</f>
        <v>0</v>
      </c>
      <c r="Q13" s="216"/>
      <c r="R13" s="216"/>
      <c r="W13" s="729" t="s">
        <v>145</v>
      </c>
      <c r="X13" s="810">
        <f>'[1]P&amp;L vs BP'!$AP$166-Y13</f>
        <v>0.11757229700000016</v>
      </c>
      <c r="Y13" s="811">
        <f>'[1]New KPI vs BP'!$CA$494</f>
        <v>0</v>
      </c>
      <c r="AC13" s="814" t="s">
        <v>141</v>
      </c>
      <c r="AD13" s="857">
        <f>'[3]MTD vs LY'!$E$9</f>
        <v>-0.52825604299999995</v>
      </c>
      <c r="AE13" s="680" t="s">
        <v>479</v>
      </c>
      <c r="AF13" s="680"/>
      <c r="AH13" s="216"/>
    </row>
    <row r="14" spans="2:83">
      <c r="B14" s="216"/>
      <c r="C14" s="216"/>
      <c r="D14" s="720" t="s">
        <v>200</v>
      </c>
      <c r="E14" s="853">
        <f>'[1]New KPI vs BP'!$CA$478</f>
        <v>-0.15883614569764504</v>
      </c>
      <c r="F14" s="720" t="s">
        <v>144</v>
      </c>
      <c r="G14" s="855">
        <f>'[1]New KPI vs BP'!$CA$19</f>
        <v>0.70969703797435812</v>
      </c>
      <c r="H14" s="216"/>
      <c r="I14" s="216"/>
      <c r="J14" s="216"/>
      <c r="K14" s="216"/>
      <c r="L14" s="216"/>
      <c r="M14" s="216"/>
      <c r="N14" s="720" t="s">
        <v>54</v>
      </c>
      <c r="O14" s="753">
        <f>'Summary month'!AQ67</f>
        <v>0</v>
      </c>
      <c r="Q14" s="216"/>
      <c r="R14" s="216"/>
      <c r="W14" s="729" t="s">
        <v>193</v>
      </c>
      <c r="X14" s="810">
        <f>'[1]P&amp;L vs BP'!$AP$134-Y14</f>
        <v>-6.1806023977338649E-2</v>
      </c>
      <c r="Y14" s="812">
        <f>'[1]New KPI vs BP'!$CA$492+'[1]New KPI vs BP'!$CA$517</f>
        <v>6.2629889773386316E-3</v>
      </c>
      <c r="AC14" s="814" t="s">
        <v>268</v>
      </c>
      <c r="AD14" s="858">
        <f>AD19-SUM(AD11:AD13)</f>
        <v>2.9432112590860449</v>
      </c>
      <c r="AE14" s="680"/>
      <c r="AF14" s="681"/>
      <c r="AH14" s="216"/>
    </row>
    <row r="15" spans="2:83" ht="21" thickBot="1">
      <c r="B15" s="231" t="s">
        <v>157</v>
      </c>
      <c r="C15" s="232"/>
      <c r="D15" s="725" t="s">
        <v>145</v>
      </c>
      <c r="E15" s="854">
        <f>'[1]New KPI vs BP'!$CA$475</f>
        <v>-1.1488051356988813</v>
      </c>
      <c r="F15" s="725" t="s">
        <v>193</v>
      </c>
      <c r="G15" s="856">
        <f>'[1]New KPI vs BP'!$CA$473</f>
        <v>-9.5046106829203225E-2</v>
      </c>
      <c r="H15" s="232"/>
      <c r="I15" s="232"/>
      <c r="J15" s="232"/>
      <c r="K15" s="232"/>
      <c r="L15" s="232"/>
      <c r="M15" s="232"/>
      <c r="N15" s="725" t="s">
        <v>55</v>
      </c>
      <c r="O15" s="753">
        <f>'Summary month'!AQ68</f>
        <v>0</v>
      </c>
      <c r="Q15" s="232"/>
      <c r="R15" s="232" t="s">
        <v>60</v>
      </c>
      <c r="W15" s="729" t="s">
        <v>144</v>
      </c>
      <c r="X15" s="813">
        <f>X19-SUM(X13:X14)</f>
        <v>-0.91670241499999683</v>
      </c>
      <c r="Y15" s="729"/>
      <c r="AA15" t="s">
        <v>52</v>
      </c>
      <c r="AB15" t="s">
        <v>59</v>
      </c>
      <c r="AH15" s="217" t="s">
        <v>138</v>
      </c>
      <c r="CE15" t="e">
        <v>#NAME?</v>
      </c>
    </row>
    <row r="16" spans="2:83" ht="21" thickBot="1">
      <c r="B16" s="233"/>
      <c r="C16" s="234" t="s">
        <v>159</v>
      </c>
      <c r="D16" s="234"/>
      <c r="E16" s="234"/>
      <c r="F16" s="234"/>
      <c r="G16" s="234"/>
      <c r="H16" s="234"/>
      <c r="I16" s="234"/>
      <c r="J16" s="234"/>
      <c r="K16" s="234"/>
      <c r="L16" s="234"/>
      <c r="M16" s="234"/>
      <c r="N16" s="234"/>
      <c r="O16" s="234"/>
      <c r="P16" s="234"/>
      <c r="Q16" s="234"/>
      <c r="R16" s="234"/>
      <c r="S16" s="235"/>
      <c r="T16" s="236"/>
      <c r="U16" s="237" t="s">
        <v>160</v>
      </c>
      <c r="V16" s="237"/>
      <c r="W16" s="237"/>
      <c r="X16" s="237"/>
      <c r="Y16" s="237"/>
      <c r="Z16" s="237"/>
      <c r="AA16" s="237"/>
      <c r="AB16" s="237"/>
      <c r="AC16" s="237"/>
      <c r="AD16" s="237"/>
      <c r="AE16" s="237"/>
      <c r="AF16" s="237"/>
      <c r="AG16" s="237"/>
      <c r="AH16" s="238"/>
    </row>
    <row r="17" spans="2:42" ht="20.100000000000001" customHeight="1">
      <c r="B17" s="1027" t="s">
        <v>274</v>
      </c>
      <c r="C17" s="239" t="s">
        <v>161</v>
      </c>
      <c r="D17" s="240"/>
      <c r="E17" s="240"/>
      <c r="F17" s="240"/>
      <c r="G17" s="241"/>
      <c r="H17" s="1017" t="s">
        <v>162</v>
      </c>
      <c r="I17" s="242" t="s">
        <v>163</v>
      </c>
      <c r="J17" s="243"/>
      <c r="K17" s="243"/>
      <c r="L17" s="243"/>
      <c r="M17" s="243"/>
      <c r="N17" s="244"/>
      <c r="O17" s="1019" t="s">
        <v>164</v>
      </c>
      <c r="P17" s="1019" t="s">
        <v>165</v>
      </c>
      <c r="Q17" s="1019" t="s">
        <v>166</v>
      </c>
      <c r="R17" s="1022" t="s">
        <v>167</v>
      </c>
      <c r="S17" s="1023" t="s">
        <v>168</v>
      </c>
      <c r="T17" s="1027" t="s">
        <v>274</v>
      </c>
      <c r="U17" s="245" t="s">
        <v>169</v>
      </c>
      <c r="V17" s="246"/>
      <c r="W17" s="246"/>
      <c r="X17" s="247"/>
      <c r="Y17" s="248" t="s">
        <v>163</v>
      </c>
      <c r="Z17" s="246"/>
      <c r="AA17" s="246"/>
      <c r="AB17" s="246"/>
      <c r="AC17" s="246"/>
      <c r="AD17" s="247"/>
      <c r="AE17" s="1022" t="s">
        <v>166</v>
      </c>
      <c r="AF17" s="1025" t="s">
        <v>167</v>
      </c>
      <c r="AG17" s="311"/>
      <c r="AH17" s="1012" t="s">
        <v>168</v>
      </c>
    </row>
    <row r="18" spans="2:42" ht="77.45" customHeight="1">
      <c r="B18" s="1028"/>
      <c r="C18" s="249" t="s">
        <v>170</v>
      </c>
      <c r="D18" s="250" t="s">
        <v>171</v>
      </c>
      <c r="E18" s="250" t="s">
        <v>172</v>
      </c>
      <c r="F18" s="250" t="s">
        <v>173</v>
      </c>
      <c r="G18" s="251" t="s">
        <v>174</v>
      </c>
      <c r="H18" s="1018"/>
      <c r="I18" s="250" t="s">
        <v>175</v>
      </c>
      <c r="J18" s="250" t="s">
        <v>176</v>
      </c>
      <c r="K18" s="250" t="s">
        <v>177</v>
      </c>
      <c r="L18" s="250" t="s">
        <v>178</v>
      </c>
      <c r="M18" s="250" t="s">
        <v>168</v>
      </c>
      <c r="N18" s="250" t="s">
        <v>179</v>
      </c>
      <c r="O18" s="1020"/>
      <c r="P18" s="1021"/>
      <c r="Q18" s="1021"/>
      <c r="R18" s="1021"/>
      <c r="S18" s="1024"/>
      <c r="T18" s="1028"/>
      <c r="U18" s="307" t="s">
        <v>203</v>
      </c>
      <c r="V18" s="308" t="s">
        <v>180</v>
      </c>
      <c r="W18" s="309" t="s">
        <v>181</v>
      </c>
      <c r="X18" s="310" t="s">
        <v>33</v>
      </c>
      <c r="Y18" s="305" t="s">
        <v>25</v>
      </c>
      <c r="Z18" s="306" t="s">
        <v>183</v>
      </c>
      <c r="AA18" s="306" t="s">
        <v>204</v>
      </c>
      <c r="AB18" s="306" t="s">
        <v>205</v>
      </c>
      <c r="AC18" s="306" t="s">
        <v>184</v>
      </c>
      <c r="AD18" s="306" t="s">
        <v>30</v>
      </c>
      <c r="AE18" s="1021"/>
      <c r="AF18" s="1026"/>
      <c r="AG18" s="312" t="s">
        <v>37</v>
      </c>
      <c r="AH18" s="1013"/>
    </row>
    <row r="19" spans="2:42" ht="21" thickBot="1">
      <c r="B19" s="712">
        <f>K10</f>
        <v>-5.4219767508006784</v>
      </c>
      <c r="C19" s="713" t="e">
        <f>'[1]New KPI vs BP'!$CB$5+'[1]New KPI vs BP'!$CB$26-U19-V19-SUM(E19:G19)</f>
        <v>#REF!</v>
      </c>
      <c r="D19" s="710">
        <f>'[1]New KPI vs BP'!$CB$15-O15</f>
        <v>0.89735418951821511</v>
      </c>
      <c r="E19" s="710" t="e">
        <f>#REF!-'[2]YTD VA LY'!$E$19</f>
        <v>#REF!</v>
      </c>
      <c r="F19" s="883"/>
      <c r="G19" s="710" t="e">
        <f>#REF!-'[2]YTD VA LY'!$G$19</f>
        <v>#REF!</v>
      </c>
      <c r="H19" s="254"/>
      <c r="I19" s="891">
        <f>I23</f>
        <v>17.322002899463094</v>
      </c>
      <c r="J19" s="891">
        <f>J23</f>
        <v>1.142172104029604E-2</v>
      </c>
      <c r="K19" s="891">
        <f>K23</f>
        <v>2.6593171845490673</v>
      </c>
      <c r="L19" s="891">
        <f>L23</f>
        <v>-2.4193085178715954</v>
      </c>
      <c r="M19" s="891">
        <f>M23+SUM(M39:M41)</f>
        <v>-13.656326262008633</v>
      </c>
      <c r="N19" s="254"/>
      <c r="O19" s="719">
        <f>SUM(O13:O15)</f>
        <v>0</v>
      </c>
      <c r="P19" s="254"/>
      <c r="Q19" s="256"/>
      <c r="R19" s="710">
        <f>'[1]New KPI vs BP'!$CB$9-X13</f>
        <v>-0.85073942030112715</v>
      </c>
      <c r="S19" s="714" t="e">
        <f>F12-SUM(C19:R19)</f>
        <v>#REF!</v>
      </c>
      <c r="T19" s="713">
        <f>K11</f>
        <v>2.6826351678126352</v>
      </c>
      <c r="U19" s="713">
        <f>INDEX('Summary month'!$AP$17:$AR$74,MATCH(U18,'Summary month'!$D$17:$D$74,0),MATCH($C$1,'Summary month'!$AP$6:$AR$6,0))-U20</f>
        <v>8.067995889173595</v>
      </c>
      <c r="V19" s="715">
        <f>INDEX('Summary month'!$AP$17:$AR$74,MATCH(V18,'Summary month'!$D$17:$D$74,0),MATCH($C$1,'Summary month'!$AP$6:$AR$6,0))-V20</f>
        <v>0.22122354000000022</v>
      </c>
      <c r="W19" s="258"/>
      <c r="X19" s="757">
        <f>INDEX('Summary month'!$AP$17:$AR$74,MATCH(X18,'Summary month'!$D$17:$D$74,0),MATCH($C$1,'Summary month'!$AP$6:$AR$6,0))-X20</f>
        <v>-0.86093614197733537</v>
      </c>
      <c r="Y19" s="715">
        <f>INDEX('Summary month'!$AP$17:$AR$74,MATCH(Y18,'Summary month'!$D$17:$D$74,0),MATCH($C$1,'Summary month'!$AP$6:$AR$6,0))-Y20</f>
        <v>-1.8210009176901458</v>
      </c>
      <c r="Z19" s="715">
        <f>INDEX('Summary month'!$AP$17:$AR$74,MATCH(Z18,'Summary month'!$D$17:$D$74,0),MATCH($C$1,'Summary month'!$AP$6:$AR$6,0))-Z20</f>
        <v>1.3616212999999995</v>
      </c>
      <c r="AA19" s="715">
        <f>INDEX('Summary month'!$AP$17:$AR$74,MATCH(AA18,'Summary month'!$D$17:$D$74,0),MATCH($C$1,'Summary month'!$AP$6:$AR$6,0))-INDEX('Summary month'!$AP$17:$AR$74,MATCH(AA15,'Summary month'!$D$17:$D$74,0),MATCH($C$1,'Summary month'!$O$6:$Q$6,0))-AA20</f>
        <v>1.4309772906276601</v>
      </c>
      <c r="AB19" s="715">
        <f>-INDEX('Summary month'!$AP$17:$AR$74,MATCH(AB15,'Summary month'!$D$17:$D$74,0),MATCH($C$1,'Summary month'!$O$6:$Q$6,0))-AB20</f>
        <v>2.0735269000000001</v>
      </c>
      <c r="AC19" s="715">
        <f>INDEX('Summary month'!$AP$17:$AR$74,MATCH(AC18,'Summary month'!$D$17:$D$74,0),MATCH($C$1,'Summary month'!$AP$6:$AR$6,0))-AC20</f>
        <v>-14.926452900000003</v>
      </c>
      <c r="AD19" s="715">
        <f>INDEX('Summary month'!$AP$17:$AR$74,MATCH(AD18,'Summary month'!$D$17:$D$74,0),MATCH($C$1,'Summary month'!$AP$6:$AR$6,0))-AD20</f>
        <v>-0.11215198391395376</v>
      </c>
      <c r="AE19" s="716"/>
      <c r="AF19" s="717"/>
      <c r="AG19" s="710">
        <f>INDEX('Summary month'!$AP$17:$AR$74,MATCH(AG18,'Summary month'!$D$17:$D$74,0),MATCH($C$1,'Summary month'!$AP$6:$AR$6,0))-AG20</f>
        <v>-1.9203219260324458</v>
      </c>
      <c r="AH19" s="718">
        <f>G12-SUM(U19:AG19)</f>
        <v>-6.1184340999997922E-2</v>
      </c>
    </row>
    <row r="20" spans="2:42" ht="18">
      <c r="B20" s="216"/>
      <c r="C20" s="439"/>
      <c r="D20" s="439"/>
      <c r="E20" s="439"/>
      <c r="F20" s="439"/>
      <c r="G20" s="439" t="s">
        <v>569</v>
      </c>
      <c r="H20" s="439"/>
      <c r="I20" s="515"/>
      <c r="J20" s="515"/>
      <c r="K20" s="523">
        <f>'[1]New KPI vs BP'!$CA$10+'[1]New KPI vs BP'!$CA$12</f>
        <v>-0.15883614569764504</v>
      </c>
      <c r="L20" s="262"/>
      <c r="M20" s="439"/>
      <c r="N20" s="439"/>
      <c r="O20" s="439"/>
      <c r="P20" s="439"/>
      <c r="Q20" s="439"/>
      <c r="R20" s="439"/>
      <c r="S20" s="439"/>
      <c r="T20" s="439"/>
      <c r="U20" s="811">
        <f>'[1]New KPI vs BP'!$CA$490+'[1]New KPI vs BP'!$CA$491+'[1]New KPI vs BP'!$CA$516</f>
        <v>0.47775322382640367</v>
      </c>
      <c r="V20" s="129"/>
      <c r="W20" s="479"/>
      <c r="X20" s="818">
        <f>SUM(Y13:Y14)</f>
        <v>6.2629889773386316E-3</v>
      </c>
      <c r="Y20" s="818">
        <f>'[1]New KPI vs BP'!$CA$495</f>
        <v>1.1739770776040999</v>
      </c>
      <c r="Z20" s="527"/>
      <c r="AA20" s="746">
        <f>'[1]New KPI vs BP'!$CA$502</f>
        <v>0.14510341037233676</v>
      </c>
      <c r="AB20" s="479"/>
      <c r="AC20" s="479"/>
      <c r="AD20" s="479"/>
      <c r="AE20" s="129" t="s">
        <v>262</v>
      </c>
      <c r="AF20" s="479"/>
      <c r="AG20" s="746">
        <f>'[1]New KPI vs BP'!$CA$496+'[1]New KPI vs BP'!$CA$518</f>
        <v>0.87953846703245653</v>
      </c>
      <c r="AH20" s="479"/>
    </row>
    <row r="21" spans="2:42" ht="18">
      <c r="B21" s="221"/>
      <c r="C21" s="261"/>
      <c r="D21" s="326"/>
      <c r="E21" s="262"/>
      <c r="F21" s="262"/>
      <c r="G21" s="262"/>
      <c r="H21" s="428"/>
      <c r="I21" s="262"/>
      <c r="J21" s="262"/>
      <c r="K21" s="404"/>
      <c r="L21" s="262"/>
      <c r="M21" s="262"/>
      <c r="N21" s="262"/>
      <c r="O21" s="326"/>
      <c r="P21" s="262"/>
      <c r="V21" s="332"/>
      <c r="W21" s="221"/>
    </row>
    <row r="22" spans="2:42" ht="18">
      <c r="B22" s="221" t="s">
        <v>507</v>
      </c>
      <c r="C22" s="261">
        <f>'[1]New KPI vs BP'!$CB$5</f>
        <v>16.778267069145148</v>
      </c>
      <c r="D22" s="326">
        <f>'[1]New KPI vs BP'!$CB$15</f>
        <v>0.89735418951821511</v>
      </c>
      <c r="E22" s="262" t="e">
        <f>#REF!</f>
        <v>#REF!</v>
      </c>
      <c r="F22" s="731" t="s">
        <v>492</v>
      </c>
      <c r="G22" s="262" t="e">
        <f>#REF!</f>
        <v>#REF!</v>
      </c>
      <c r="H22" s="428"/>
      <c r="I22" s="734" t="s">
        <v>493</v>
      </c>
      <c r="J22" s="734"/>
      <c r="K22" s="734"/>
      <c r="L22" s="733"/>
      <c r="M22" s="733"/>
      <c r="N22" s="262"/>
      <c r="O22" s="735" t="s">
        <v>494</v>
      </c>
      <c r="P22" s="262"/>
      <c r="V22" s="332"/>
      <c r="W22" s="221"/>
      <c r="AN22" s="276" t="s">
        <v>424</v>
      </c>
      <c r="AO22" s="277"/>
      <c r="AP22" s="278">
        <v>7.59</v>
      </c>
    </row>
    <row r="23" spans="2:42" ht="18">
      <c r="B23" s="221" t="s">
        <v>508</v>
      </c>
      <c r="C23" s="261">
        <f>'[1]New KPI vs BP'!$CB$6</f>
        <v>0</v>
      </c>
      <c r="D23" s="326">
        <f>O15</f>
        <v>0</v>
      </c>
      <c r="E23" s="262">
        <v>-66.717972867013913</v>
      </c>
      <c r="F23" s="262"/>
      <c r="G23" s="732">
        <v>44.993038712865442</v>
      </c>
      <c r="H23" s="428"/>
      <c r="I23" s="734">
        <f>'[4]vs PY MTD'!I54</f>
        <v>17.322002899463094</v>
      </c>
      <c r="J23" s="734">
        <f>'[4]vs PY MTD'!J54</f>
        <v>1.142172104029604E-2</v>
      </c>
      <c r="K23" s="734">
        <f>'[4]vs PY MTD'!K54</f>
        <v>2.6593171845490673</v>
      </c>
      <c r="L23" s="733">
        <f>'[4]vs PY MTD'!L54</f>
        <v>-2.4193085178715954</v>
      </c>
      <c r="M23" s="733">
        <f>'[4]vs PY MTD'!M54</f>
        <v>-19.504273651081583</v>
      </c>
      <c r="N23" s="262"/>
      <c r="O23" s="735" t="s">
        <v>495</v>
      </c>
      <c r="P23" s="262"/>
      <c r="V23" s="332"/>
      <c r="W23" s="221"/>
      <c r="AN23" s="276" t="s">
        <v>421</v>
      </c>
      <c r="AO23" s="277"/>
      <c r="AP23" s="278">
        <v>0.84326311868053405</v>
      </c>
    </row>
    <row r="24" spans="2:42" ht="18">
      <c r="B24" s="221" t="s">
        <v>509</v>
      </c>
      <c r="C24" s="261">
        <f>'[1]New KPI vs BP'!$CB$26</f>
        <v>-7.6822924303201381E-2</v>
      </c>
      <c r="D24" s="326"/>
      <c r="E24" s="262"/>
      <c r="F24" s="262"/>
      <c r="G24" s="262"/>
      <c r="H24" s="428"/>
      <c r="I24" s="262"/>
      <c r="J24" s="262"/>
      <c r="K24" s="404"/>
      <c r="L24" s="262"/>
      <c r="M24" s="262"/>
      <c r="N24" s="262"/>
      <c r="O24" s="735" t="s">
        <v>496</v>
      </c>
      <c r="P24" s="262"/>
      <c r="V24" s="332"/>
      <c r="W24" s="221"/>
    </row>
    <row r="25" spans="2:42" ht="18">
      <c r="B25" s="221"/>
      <c r="C25" s="261" t="e">
        <f>-SUM(E19:G19,U19:V19)</f>
        <v>#REF!</v>
      </c>
      <c r="D25" s="326"/>
      <c r="E25" s="262"/>
      <c r="F25" s="262"/>
      <c r="G25" s="262"/>
      <c r="H25" s="428"/>
      <c r="I25" s="262"/>
      <c r="J25" s="262"/>
      <c r="K25" s="404"/>
      <c r="L25" s="262"/>
      <c r="M25" s="262"/>
      <c r="N25" s="262"/>
      <c r="O25" s="735" t="s">
        <v>497</v>
      </c>
      <c r="P25" s="262"/>
      <c r="V25" s="332"/>
      <c r="W25" s="221"/>
      <c r="AF25">
        <v>1.3497170353466006</v>
      </c>
    </row>
    <row r="26" spans="2:42" ht="21" thickBot="1">
      <c r="B26" s="221"/>
      <c r="C26" s="713" t="e">
        <f>SUM(C22:C25)</f>
        <v>#REF!</v>
      </c>
      <c r="D26" s="710">
        <f>D22-D23</f>
        <v>0.89735418951821511</v>
      </c>
      <c r="E26" s="710" t="e">
        <f>E22-E23</f>
        <v>#REF!</v>
      </c>
      <c r="F26" s="730"/>
      <c r="G26" s="710" t="e">
        <f>G22-G23</f>
        <v>#REF!</v>
      </c>
      <c r="H26" s="428"/>
      <c r="I26" s="262"/>
      <c r="J26" s="262"/>
      <c r="K26" s="404"/>
      <c r="L26" s="262"/>
      <c r="M26" s="262"/>
      <c r="N26" s="262"/>
      <c r="O26" s="326"/>
      <c r="P26" s="262"/>
      <c r="V26" s="332"/>
      <c r="W26" s="221"/>
    </row>
    <row r="27" spans="2:42" ht="18">
      <c r="B27" s="221"/>
      <c r="C27" s="261"/>
      <c r="D27" s="326"/>
      <c r="E27" s="262"/>
      <c r="F27" s="262"/>
      <c r="G27" s="262"/>
      <c r="H27" s="428"/>
      <c r="I27" s="262"/>
      <c r="J27" s="262"/>
      <c r="K27" s="404"/>
      <c r="L27" s="262"/>
      <c r="M27" s="262"/>
      <c r="N27" s="262"/>
      <c r="O27" s="326"/>
      <c r="P27" s="262"/>
      <c r="V27" s="332"/>
      <c r="W27" s="221"/>
    </row>
    <row r="28" spans="2:42" ht="18">
      <c r="B28" s="221"/>
      <c r="C28" s="261"/>
      <c r="D28" s="326"/>
      <c r="E28" s="262"/>
      <c r="F28" s="262"/>
      <c r="G28" s="262"/>
      <c r="H28" s="428"/>
      <c r="I28" s="262"/>
      <c r="J28" s="262"/>
      <c r="K28" s="404"/>
      <c r="L28" s="262"/>
      <c r="M28" s="262"/>
      <c r="N28" s="262"/>
      <c r="O28" s="326"/>
      <c r="P28" s="262"/>
      <c r="V28" s="332"/>
      <c r="W28" s="221"/>
    </row>
    <row r="29" spans="2:42" ht="18">
      <c r="B29" s="221"/>
      <c r="C29" s="261"/>
      <c r="D29" s="326"/>
      <c r="E29" s="262"/>
      <c r="F29" s="262"/>
      <c r="G29" s="262"/>
      <c r="H29" s="428"/>
      <c r="I29" s="262"/>
      <c r="J29" s="262"/>
      <c r="K29" s="404"/>
      <c r="L29" s="262"/>
      <c r="M29" s="262"/>
      <c r="N29" s="262"/>
      <c r="O29" s="326"/>
      <c r="P29" s="262"/>
      <c r="V29" s="332"/>
      <c r="W29" s="221"/>
    </row>
    <row r="30" spans="2:42" ht="18">
      <c r="B30" s="221"/>
      <c r="C30" s="261"/>
      <c r="D30" s="326"/>
      <c r="E30" s="262"/>
      <c r="F30" s="262"/>
      <c r="G30" s="262"/>
      <c r="H30" s="428"/>
      <c r="I30" s="262"/>
      <c r="J30" s="262"/>
      <c r="K30" s="404"/>
      <c r="L30" s="262"/>
      <c r="M30" s="262"/>
      <c r="N30" s="262"/>
      <c r="O30" s="326"/>
      <c r="P30" s="262"/>
      <c r="V30" s="332"/>
      <c r="W30" s="221"/>
    </row>
    <row r="31" spans="2:42" ht="18">
      <c r="B31" s="221"/>
      <c r="C31" s="261"/>
      <c r="D31" s="326"/>
      <c r="E31" s="262"/>
      <c r="F31" s="262"/>
      <c r="G31" s="262"/>
      <c r="H31" s="428"/>
      <c r="I31" s="262"/>
      <c r="J31" s="262"/>
      <c r="K31" s="404"/>
      <c r="L31" s="262"/>
      <c r="M31" s="262"/>
      <c r="N31" s="262"/>
      <c r="O31" s="326"/>
      <c r="P31" s="262"/>
      <c r="V31" s="332"/>
      <c r="W31" s="221"/>
    </row>
    <row r="32" spans="2:42" ht="18">
      <c r="B32" s="216"/>
      <c r="C32" s="266"/>
      <c r="D32" s="266"/>
      <c r="E32" s="678"/>
      <c r="F32" s="678"/>
      <c r="G32" s="679" t="s">
        <v>475</v>
      </c>
      <c r="H32" s="266"/>
      <c r="I32" s="266"/>
      <c r="J32" s="266"/>
      <c r="K32" s="266"/>
      <c r="L32" s="266"/>
      <c r="M32" s="266"/>
      <c r="N32" s="266"/>
      <c r="O32" s="266"/>
      <c r="P32" s="266"/>
      <c r="Q32" s="266"/>
      <c r="R32" s="266"/>
      <c r="S32" s="266"/>
      <c r="U32" s="221"/>
      <c r="V32" s="221"/>
      <c r="W32" s="216"/>
    </row>
    <row r="33" spans="2:36" ht="20.25">
      <c r="B33" s="216"/>
      <c r="C33" s="334"/>
      <c r="D33" s="216"/>
      <c r="E33" s="416"/>
      <c r="G33" s="729" t="s">
        <v>288</v>
      </c>
      <c r="H33" s="928">
        <f>'[5]Vs LY'!$F$21-AD12</f>
        <v>5.7185437950499249</v>
      </c>
      <c r="I33" s="273" t="s">
        <v>188</v>
      </c>
      <c r="J33" s="274"/>
      <c r="K33" s="274"/>
      <c r="L33" s="274"/>
      <c r="M33" s="683">
        <f>M19</f>
        <v>-13.656326262008633</v>
      </c>
      <c r="N33" s="216"/>
      <c r="P33" s="273" t="s">
        <v>191</v>
      </c>
      <c r="Q33" s="274"/>
      <c r="R33" s="274"/>
      <c r="S33" s="684" t="e">
        <f>S19</f>
        <v>#REF!</v>
      </c>
      <c r="U33" s="216"/>
      <c r="V33" s="216"/>
      <c r="W33" s="216"/>
      <c r="X33" s="263" t="s">
        <v>185</v>
      </c>
      <c r="Y33" s="264"/>
      <c r="Z33" s="264"/>
      <c r="AA33" s="265">
        <f>AD19</f>
        <v>-0.11215198391395376</v>
      </c>
      <c r="AE33" s="263" t="s">
        <v>186</v>
      </c>
      <c r="AF33" s="264"/>
      <c r="AG33" s="264"/>
      <c r="AH33" s="265">
        <f>AH19</f>
        <v>-6.1184340999997922E-2</v>
      </c>
      <c r="AI33" t="s">
        <v>262</v>
      </c>
      <c r="AJ33">
        <f>'Summary month'!AQ74</f>
        <v>0</v>
      </c>
    </row>
    <row r="34" spans="2:36" ht="18">
      <c r="B34" s="216"/>
      <c r="C34" s="429"/>
      <c r="D34" s="216"/>
      <c r="E34" s="216">
        <v>2.1505437950499253</v>
      </c>
      <c r="G34" s="729" t="s">
        <v>290</v>
      </c>
      <c r="H34" s="928">
        <f>'[5]Vs LY'!$F$22</f>
        <v>0.18807509922320509</v>
      </c>
      <c r="I34" s="279">
        <v>1</v>
      </c>
      <c r="J34" s="859" t="str">
        <f>'[4]vs PY MTD'!J59</f>
        <v>Supplier Claims</v>
      </c>
      <c r="K34" s="817"/>
      <c r="L34" s="817"/>
      <c r="M34" s="929">
        <f>'[4]vs PY MTD'!M59</f>
        <v>0</v>
      </c>
      <c r="N34" s="323"/>
      <c r="P34" s="279">
        <v>1</v>
      </c>
      <c r="Q34" s="269" t="s">
        <v>193</v>
      </c>
      <c r="R34" s="270"/>
      <c r="S34" s="280">
        <f>'[1]New KPI vs BP'!$BY$7+'[1]New KPI vs BP'!$BY$27-X14</f>
        <v>-0.35972331202266405</v>
      </c>
      <c r="U34" s="334"/>
      <c r="V34" s="216"/>
      <c r="W34" s="216"/>
      <c r="X34" s="268">
        <v>1</v>
      </c>
      <c r="Y34" s="276" t="s">
        <v>413</v>
      </c>
      <c r="Z34" s="277"/>
      <c r="AA34" s="278">
        <f>AD11</f>
        <v>1.0408928000000015</v>
      </c>
      <c r="AE34" s="268">
        <v>1</v>
      </c>
      <c r="AF34" s="269" t="s">
        <v>39</v>
      </c>
      <c r="AG34" s="270"/>
      <c r="AH34" s="271">
        <f>'Summary month'!AQ44-'Summary month'!AQ74</f>
        <v>0</v>
      </c>
      <c r="AI34" t="s">
        <v>315</v>
      </c>
      <c r="AJ34">
        <f>-90957/10^6</f>
        <v>-9.0956999999999996E-2</v>
      </c>
    </row>
    <row r="35" spans="2:36" ht="18">
      <c r="C35" s="216"/>
      <c r="D35" s="216"/>
      <c r="E35" s="216"/>
      <c r="G35" s="862" t="s">
        <v>282</v>
      </c>
      <c r="H35" s="928">
        <f>'[5]Vs LY'!$F$23</f>
        <v>-5.8671505200185381E-2</v>
      </c>
      <c r="I35" s="279">
        <v>2</v>
      </c>
      <c r="J35" s="860" t="str">
        <f>'[4]vs PY MTD'!J60</f>
        <v>OMP</v>
      </c>
      <c r="K35" s="815"/>
      <c r="L35" s="815"/>
      <c r="M35" s="930">
        <f>'[4]vs PY MTD'!M60</f>
        <v>-3.830843443308293</v>
      </c>
      <c r="P35" s="279">
        <v>2</v>
      </c>
      <c r="Q35" s="276" t="s">
        <v>195</v>
      </c>
      <c r="R35" s="277"/>
      <c r="S35" s="281">
        <f>U43</f>
        <v>-14.752834291901115</v>
      </c>
      <c r="U35" s="216"/>
      <c r="V35" s="216"/>
      <c r="W35" s="216"/>
      <c r="X35" s="268">
        <v>2</v>
      </c>
      <c r="Y35" s="276" t="s">
        <v>517</v>
      </c>
      <c r="Z35" s="277"/>
      <c r="AA35" s="278">
        <f>'[3]MTD vs LY'!$E$11</f>
        <v>-3.5985595000000012</v>
      </c>
      <c r="AE35" s="268">
        <v>2</v>
      </c>
      <c r="AF35" s="276"/>
      <c r="AG35" s="277"/>
      <c r="AH35" s="278"/>
    </row>
    <row r="36" spans="2:36" ht="18">
      <c r="B36" s="216"/>
      <c r="C36" s="329"/>
      <c r="D36" s="497"/>
      <c r="E36" s="216"/>
      <c r="G36" s="720" t="s">
        <v>294</v>
      </c>
      <c r="H36" s="981">
        <f>'[5]Vs LY'!$F$25</f>
        <v>-0.23736499999999999</v>
      </c>
      <c r="I36" s="279">
        <v>3</v>
      </c>
      <c r="J36" s="860" t="str">
        <f>'[4]vs PY MTD'!J61</f>
        <v>Inflation claims</v>
      </c>
      <c r="K36" s="815"/>
      <c r="L36" s="815"/>
      <c r="M36" s="930">
        <f>'[4]vs PY MTD'!M61</f>
        <v>-12.852131627896267</v>
      </c>
      <c r="N36" s="374"/>
      <c r="P36" s="279">
        <v>3</v>
      </c>
      <c r="Q36" s="276" t="s">
        <v>246</v>
      </c>
      <c r="R36" s="277"/>
      <c r="S36" s="281">
        <f>U44</f>
        <v>-4.0539673994127225</v>
      </c>
      <c r="U36" s="216"/>
      <c r="V36" s="216"/>
      <c r="W36" s="216"/>
      <c r="X36" s="268">
        <v>3</v>
      </c>
      <c r="Y36" s="276" t="s">
        <v>141</v>
      </c>
      <c r="Z36" s="277"/>
      <c r="AA36" s="278">
        <f>AD13</f>
        <v>-0.52825604299999995</v>
      </c>
      <c r="AE36" s="268">
        <v>3</v>
      </c>
      <c r="AF36" s="276"/>
      <c r="AG36" s="277"/>
      <c r="AH36" s="278"/>
      <c r="AJ36" s="327">
        <f>'Summary month'!AQ44-'Summary month'!AQ74</f>
        <v>0</v>
      </c>
    </row>
    <row r="37" spans="2:36" ht="18">
      <c r="B37" s="216"/>
      <c r="C37" s="334"/>
      <c r="D37" s="272"/>
      <c r="E37" s="272"/>
      <c r="G37" s="216"/>
      <c r="I37" s="279">
        <v>4</v>
      </c>
      <c r="J37" s="276" t="str">
        <f>'[4]vs PY MTD'!J62</f>
        <v>Renault &amp; ACI Price</v>
      </c>
      <c r="K37" s="815"/>
      <c r="L37" s="815"/>
      <c r="M37" s="930">
        <f>'[4]vs PY MTD'!M62</f>
        <v>1.718998934</v>
      </c>
      <c r="N37" s="374"/>
      <c r="P37" s="279">
        <v>4</v>
      </c>
      <c r="Q37" s="276" t="s">
        <v>568</v>
      </c>
      <c r="R37" s="277"/>
      <c r="S37" s="281">
        <v>8.9</v>
      </c>
      <c r="U37" s="216"/>
      <c r="V37" s="216"/>
      <c r="W37" s="216"/>
      <c r="X37" s="268">
        <v>4</v>
      </c>
      <c r="Y37" s="276" t="s">
        <v>565</v>
      </c>
      <c r="Z37" s="277"/>
      <c r="AA37" s="278">
        <f>'[3]MTD vs LY'!$E$7</f>
        <v>0.4826929870445783</v>
      </c>
      <c r="AE37" s="268">
        <v>4</v>
      </c>
      <c r="AF37" s="276"/>
      <c r="AG37" s="277"/>
      <c r="AH37" s="278"/>
    </row>
    <row r="38" spans="2:36" ht="18">
      <c r="B38" s="216"/>
      <c r="C38" s="272"/>
      <c r="D38" s="216"/>
      <c r="E38" s="216"/>
      <c r="F38" s="416"/>
      <c r="G38" s="216"/>
      <c r="H38" s="216"/>
      <c r="I38" s="279">
        <v>5</v>
      </c>
      <c r="J38" s="276" t="s">
        <v>401</v>
      </c>
      <c r="K38" s="815"/>
      <c r="L38" s="815"/>
      <c r="M38" s="930">
        <f>'[4]vs PY MTD'!$M$67--0.237365</f>
        <v>-4.3029325138770238</v>
      </c>
      <c r="N38" s="374"/>
      <c r="P38" s="279">
        <v>5</v>
      </c>
      <c r="Q38" s="276" t="s">
        <v>223</v>
      </c>
      <c r="R38" s="277"/>
      <c r="S38" s="281">
        <f>V42</f>
        <v>19.370083630801819</v>
      </c>
      <c r="V38" s="315"/>
      <c r="W38" s="216"/>
      <c r="X38" s="268">
        <v>5</v>
      </c>
      <c r="Y38" s="276" t="s">
        <v>570</v>
      </c>
      <c r="Z38" s="277"/>
      <c r="AA38" s="278">
        <f>'[3]MTD vs LY'!$E$6+'[3]MTD vs LY'!$E$8</f>
        <v>-0.2022523</v>
      </c>
      <c r="AE38" s="282">
        <v>5</v>
      </c>
      <c r="AF38" s="283" t="s">
        <v>182</v>
      </c>
      <c r="AG38" s="284"/>
      <c r="AH38" s="285">
        <f>AH33-SUM(AH34:AH37)</f>
        <v>-6.1184340999997922E-2</v>
      </c>
    </row>
    <row r="39" spans="2:36" ht="18">
      <c r="B39" s="216"/>
      <c r="C39" s="272"/>
      <c r="D39" s="216"/>
      <c r="E39" s="216"/>
      <c r="F39" s="216"/>
      <c r="G39" s="216"/>
      <c r="H39" s="216"/>
      <c r="I39" s="279">
        <v>6</v>
      </c>
      <c r="J39" s="276" t="str">
        <f>G33</f>
        <v>X-badges TP</v>
      </c>
      <c r="K39" s="277"/>
      <c r="L39" s="277"/>
      <c r="M39" s="861">
        <v>5.7185437950499303</v>
      </c>
      <c r="P39" s="279">
        <v>6</v>
      </c>
      <c r="Q39" s="276" t="s">
        <v>366</v>
      </c>
      <c r="R39" s="277"/>
      <c r="S39" s="281">
        <f>U45</f>
        <v>-0.38548446999999997</v>
      </c>
      <c r="W39" s="216"/>
      <c r="X39" s="268">
        <v>6</v>
      </c>
      <c r="Y39" s="276"/>
      <c r="Z39" s="277"/>
      <c r="AA39" s="278"/>
      <c r="AB39" s="286"/>
      <c r="AE39" s="216"/>
      <c r="AF39" s="216"/>
      <c r="AG39" s="216"/>
      <c r="AH39" s="286"/>
    </row>
    <row r="40" spans="2:36" ht="18">
      <c r="B40" s="216"/>
      <c r="C40" s="272"/>
      <c r="D40" s="272"/>
      <c r="E40" s="216"/>
      <c r="F40" s="216"/>
      <c r="G40" s="216"/>
      <c r="H40" s="216">
        <v>-0.23736499999999999</v>
      </c>
      <c r="I40" s="279">
        <v>7</v>
      </c>
      <c r="J40" s="276" t="str">
        <f t="shared" ref="J40:J41" si="0">G34</f>
        <v>Duties for CBUs</v>
      </c>
      <c r="K40" s="277"/>
      <c r="L40" s="277"/>
      <c r="M40" s="861">
        <v>0.18807509922320509</v>
      </c>
      <c r="P40" s="279">
        <v>7</v>
      </c>
      <c r="Q40" s="276" t="s">
        <v>403</v>
      </c>
      <c r="R40" s="277"/>
      <c r="S40" s="281">
        <f>U48</f>
        <v>-0.71133662680673837</v>
      </c>
      <c r="T40" s="680" t="s">
        <v>476</v>
      </c>
      <c r="U40" s="681"/>
      <c r="W40" s="216"/>
      <c r="X40" s="282">
        <v>7</v>
      </c>
      <c r="Y40" s="283" t="s">
        <v>182</v>
      </c>
      <c r="Z40" s="284"/>
      <c r="AA40" s="285">
        <f>AA33-SUM(AA34:AA39)</f>
        <v>2.6933300720414675</v>
      </c>
      <c r="AB40" s="216" t="s">
        <v>272</v>
      </c>
      <c r="AC40" s="479"/>
      <c r="AG40" s="216"/>
      <c r="AH40" s="216"/>
    </row>
    <row r="41" spans="2:36" ht="18">
      <c r="B41" s="216"/>
      <c r="C41" s="291"/>
      <c r="D41" s="216"/>
      <c r="E41" s="216"/>
      <c r="F41" s="292" t="s">
        <v>189</v>
      </c>
      <c r="G41" s="216"/>
      <c r="H41" s="216"/>
      <c r="I41" s="279">
        <v>8</v>
      </c>
      <c r="J41" s="276" t="str">
        <f t="shared" si="0"/>
        <v>Outbound logistics</v>
      </c>
      <c r="K41" s="277"/>
      <c r="L41" s="277"/>
      <c r="M41" s="861">
        <v>-5.8671505200185381E-2</v>
      </c>
      <c r="P41" s="279">
        <v>8</v>
      </c>
      <c r="Q41" s="276" t="s">
        <v>336</v>
      </c>
      <c r="R41" s="277"/>
      <c r="S41" s="281">
        <f>U47</f>
        <v>0.22031469452382046</v>
      </c>
      <c r="W41" s="216"/>
      <c r="Y41" s="216"/>
      <c r="Z41" s="216"/>
      <c r="AA41" s="216"/>
      <c r="AB41" s="216" t="s">
        <v>333</v>
      </c>
      <c r="AC41" s="522"/>
      <c r="AG41" s="216"/>
      <c r="AH41" s="216"/>
    </row>
    <row r="42" spans="2:36" ht="18">
      <c r="B42" s="216"/>
      <c r="C42" s="216"/>
      <c r="D42" s="293" t="s">
        <v>218</v>
      </c>
      <c r="E42" s="293" t="s">
        <v>287</v>
      </c>
      <c r="F42" s="293" t="s">
        <v>190</v>
      </c>
      <c r="G42" s="216"/>
      <c r="H42" s="216"/>
      <c r="I42" s="279">
        <v>9</v>
      </c>
      <c r="J42" s="276" t="s">
        <v>294</v>
      </c>
      <c r="K42" s="277"/>
      <c r="L42" s="277"/>
      <c r="M42" s="861">
        <f>H36</f>
        <v>-0.23736499999999999</v>
      </c>
      <c r="N42" s="272"/>
      <c r="P42" s="279">
        <v>9</v>
      </c>
      <c r="Q42" s="276"/>
      <c r="R42" s="277"/>
      <c r="S42" s="278"/>
      <c r="T42" t="s">
        <v>223</v>
      </c>
      <c r="U42" s="317"/>
      <c r="V42" s="805">
        <f>'[1]New KPI vs BP'!$BY$23</f>
        <v>19.370083630801819</v>
      </c>
      <c r="Y42" s="216"/>
      <c r="Z42" s="216"/>
      <c r="AA42" s="216"/>
      <c r="AB42" t="s">
        <v>340</v>
      </c>
      <c r="AC42" s="522"/>
      <c r="AG42" s="216"/>
      <c r="AH42" s="216"/>
    </row>
    <row r="43" spans="2:36" ht="20.25">
      <c r="B43" s="216"/>
      <c r="C43" s="799" t="s">
        <v>192</v>
      </c>
      <c r="D43" s="800">
        <f>'[1]P&amp;L vs BP'!$AO$28</f>
        <v>34258</v>
      </c>
      <c r="E43" s="800">
        <f>'[1]P&amp;L vs BP'!AN28</f>
        <v>29345</v>
      </c>
      <c r="F43" s="800">
        <f>E43-D43</f>
        <v>-4913</v>
      </c>
      <c r="G43" s="216"/>
      <c r="H43" s="216"/>
      <c r="I43" s="279">
        <v>10</v>
      </c>
      <c r="J43" s="276"/>
      <c r="K43" s="277"/>
      <c r="L43" s="277"/>
      <c r="M43" s="736"/>
      <c r="P43" s="288">
        <v>10</v>
      </c>
      <c r="Q43" s="283" t="s">
        <v>182</v>
      </c>
      <c r="R43" s="284"/>
      <c r="S43" s="290" t="e">
        <f>S33-SUM(S34:S42)</f>
        <v>#REF!</v>
      </c>
      <c r="T43" t="s">
        <v>195</v>
      </c>
      <c r="U43" s="810">
        <f>'[6]MTD vs LY'!$F$8</f>
        <v>-14.752834291901115</v>
      </c>
      <c r="V43" s="729"/>
      <c r="Y43" s="216"/>
      <c r="Z43" s="216"/>
      <c r="AA43" s="216"/>
      <c r="AG43" s="216"/>
      <c r="AH43" s="216"/>
    </row>
    <row r="44" spans="2:36" ht="20.25">
      <c r="B44" s="216"/>
      <c r="C44" s="799" t="s">
        <v>194</v>
      </c>
      <c r="D44" s="800">
        <f>'[1]P&amp;L vs BP'!AO27</f>
        <v>850</v>
      </c>
      <c r="E44" s="800">
        <f>'[1]P&amp;L vs BP'!AN27</f>
        <v>727</v>
      </c>
      <c r="F44" s="800">
        <f>E44-D44</f>
        <v>-123</v>
      </c>
      <c r="G44" s="323"/>
      <c r="H44" s="216"/>
      <c r="I44" s="279">
        <v>11</v>
      </c>
      <c r="J44" s="276"/>
      <c r="K44" s="277"/>
      <c r="L44" s="277"/>
      <c r="M44" s="861"/>
      <c r="N44" s="216"/>
      <c r="O44" s="216"/>
      <c r="P44" s="216"/>
      <c r="Q44" s="216"/>
      <c r="R44" s="216"/>
      <c r="S44" s="286"/>
      <c r="T44" t="s">
        <v>246</v>
      </c>
      <c r="U44" s="925">
        <f>'[6]MTD vs LY'!$F$18</f>
        <v>-4.0539673994127225</v>
      </c>
      <c r="V44" s="729"/>
      <c r="Y44" s="216"/>
      <c r="Z44" s="216"/>
      <c r="AA44" s="216"/>
      <c r="AD44" s="216"/>
      <c r="AE44" s="216"/>
      <c r="AG44" s="216"/>
      <c r="AH44" s="216"/>
    </row>
    <row r="45" spans="2:36" ht="18">
      <c r="B45" s="216"/>
      <c r="C45" s="216"/>
      <c r="D45" s="298"/>
      <c r="E45" s="298"/>
      <c r="F45" s="298"/>
      <c r="G45" s="216"/>
      <c r="H45" s="216"/>
      <c r="I45" s="279">
        <v>12</v>
      </c>
      <c r="J45" s="276"/>
      <c r="K45" s="277"/>
      <c r="L45" s="277"/>
      <c r="M45" s="736"/>
      <c r="N45" s="216"/>
      <c r="O45" s="216"/>
      <c r="P45" s="216"/>
      <c r="Q45" s="216"/>
      <c r="R45" s="216"/>
      <c r="S45" s="286" t="e">
        <f>S43-S44</f>
        <v>#REF!</v>
      </c>
      <c r="T45" t="s">
        <v>516</v>
      </c>
      <c r="U45" s="926">
        <f>'[6]MTD vs LY'!$F$17</f>
        <v>-0.38548446999999997</v>
      </c>
      <c r="V45" s="720"/>
      <c r="Z45" s="216"/>
      <c r="AA45" s="216"/>
      <c r="AD45" s="216"/>
      <c r="AE45" s="216"/>
      <c r="AF45" s="216"/>
      <c r="AG45" s="216"/>
      <c r="AH45" s="216"/>
    </row>
    <row r="46" spans="2:36" ht="20.25">
      <c r="B46" s="216"/>
      <c r="C46" s="799" t="s">
        <v>196</v>
      </c>
      <c r="D46" s="800">
        <f>'[1]P&amp;L vs BP'!AO18</f>
        <v>25782</v>
      </c>
      <c r="E46" s="800">
        <f>'[1]P&amp;L vs BP'!AN18</f>
        <v>25381</v>
      </c>
      <c r="F46" s="800">
        <f>E46-D46</f>
        <v>-401</v>
      </c>
      <c r="G46" s="216"/>
      <c r="H46" s="216"/>
      <c r="I46" s="288">
        <v>13</v>
      </c>
      <c r="J46" s="289" t="s">
        <v>144</v>
      </c>
      <c r="K46" s="284"/>
      <c r="L46" s="284"/>
      <c r="M46" s="290">
        <f>M33-SUM(M34:M42)</f>
        <v>0</v>
      </c>
      <c r="N46" s="216"/>
      <c r="T46" s="362" t="s">
        <v>519</v>
      </c>
      <c r="U46" s="810">
        <f>'[6]MTD vs LY'!$F$13</f>
        <v>0.15833332999999994</v>
      </c>
      <c r="V46" s="927">
        <f>SUM('[1]New KPI vs BP'!$BY$21:$BY$22,'[1]New KPI vs BP'!$BY$32)-SUM(U42:U45)</f>
        <v>0.11703855452381973</v>
      </c>
      <c r="Z46" s="216"/>
      <c r="AA46" s="216"/>
      <c r="AB46" s="216"/>
      <c r="AC46" s="216"/>
      <c r="AD46" s="216"/>
      <c r="AE46" s="216"/>
      <c r="AF46" s="216"/>
      <c r="AG46" s="216"/>
      <c r="AH46" s="216"/>
    </row>
    <row r="47" spans="2:36">
      <c r="B47" s="216"/>
      <c r="C47" s="216"/>
      <c r="D47" s="216"/>
      <c r="E47" s="216"/>
      <c r="F47" s="216"/>
      <c r="G47" s="216"/>
      <c r="H47" s="216"/>
      <c r="I47" s="216"/>
      <c r="J47" s="216"/>
      <c r="K47" s="216"/>
      <c r="L47" s="216"/>
      <c r="M47" s="216"/>
      <c r="N47" s="216"/>
      <c r="T47" s="286" t="s">
        <v>336</v>
      </c>
      <c r="U47" s="810">
        <f>'[6]MTD vs LY'!$F$23</f>
        <v>0.22031469452382046</v>
      </c>
      <c r="V47" s="729"/>
      <c r="Y47" s="415"/>
      <c r="AA47" s="221"/>
      <c r="AB47" s="216"/>
      <c r="AC47" s="216"/>
      <c r="AD47" s="216"/>
      <c r="AE47" s="216"/>
      <c r="AF47" s="216"/>
      <c r="AG47" s="216"/>
      <c r="AH47" s="216"/>
    </row>
    <row r="48" spans="2:36">
      <c r="B48" s="216"/>
      <c r="C48" s="216"/>
      <c r="D48" s="216"/>
      <c r="E48" s="216"/>
      <c r="F48" s="216"/>
      <c r="I48" s="216"/>
      <c r="J48" s="216"/>
      <c r="K48" s="216"/>
      <c r="L48" s="216"/>
      <c r="M48" s="323"/>
      <c r="N48" s="216"/>
      <c r="T48" s="286" t="s">
        <v>317</v>
      </c>
      <c r="U48" s="810">
        <f>'[6]MTD vs LY'!$F$22</f>
        <v>-0.71133662680673837</v>
      </c>
      <c r="V48" s="720"/>
      <c r="AB48" s="216"/>
      <c r="AC48" s="216"/>
      <c r="AD48" s="216"/>
      <c r="AE48" s="216"/>
      <c r="AF48" s="216"/>
      <c r="AG48" s="216"/>
      <c r="AH48" s="216"/>
    </row>
    <row r="49" spans="2:34">
      <c r="B49" s="216"/>
      <c r="C49" s="216"/>
      <c r="D49" s="216"/>
      <c r="E49" s="216"/>
      <c r="F49" s="216"/>
      <c r="G49" s="514"/>
      <c r="H49" s="216"/>
      <c r="I49" s="216"/>
      <c r="J49" s="216"/>
      <c r="K49" s="216"/>
      <c r="L49" s="216"/>
      <c r="M49" s="216"/>
      <c r="N49" s="216"/>
      <c r="T49" t="s">
        <v>217</v>
      </c>
      <c r="U49" s="318"/>
      <c r="AB49" s="216"/>
      <c r="AC49" s="216"/>
      <c r="AD49" s="216"/>
      <c r="AE49" s="216"/>
      <c r="AF49" s="216"/>
      <c r="AG49" s="216"/>
      <c r="AH49" s="216"/>
    </row>
    <row r="50" spans="2:34" ht="18">
      <c r="B50" s="221"/>
      <c r="C50" s="319"/>
      <c r="D50" s="216"/>
      <c r="E50" s="216"/>
      <c r="F50" s="216"/>
      <c r="G50" s="667"/>
      <c r="H50" s="362"/>
      <c r="I50" s="216"/>
      <c r="J50" s="216"/>
      <c r="K50" s="216"/>
      <c r="L50" s="216"/>
      <c r="M50" s="216"/>
      <c r="N50" s="216"/>
      <c r="U50" s="317"/>
      <c r="AA50" s="372"/>
      <c r="AB50" s="216"/>
      <c r="AC50" s="216"/>
      <c r="AD50" s="216"/>
      <c r="AE50" s="216"/>
      <c r="AF50" s="216"/>
      <c r="AG50" s="216"/>
      <c r="AH50" s="216"/>
    </row>
    <row r="51" spans="2:34">
      <c r="B51" s="216"/>
      <c r="D51" s="216"/>
      <c r="E51" s="216"/>
      <c r="F51" s="216"/>
      <c r="G51" s="514"/>
      <c r="H51" s="216"/>
      <c r="I51" s="216"/>
      <c r="J51" s="216"/>
      <c r="K51" s="216"/>
      <c r="L51" s="216"/>
      <c r="M51" s="216"/>
      <c r="N51" s="216"/>
      <c r="AA51" s="216"/>
      <c r="AB51" s="216"/>
      <c r="AC51" s="216"/>
      <c r="AD51" s="216"/>
      <c r="AE51" s="216"/>
      <c r="AF51" s="216"/>
      <c r="AG51" s="216"/>
      <c r="AH51" s="216"/>
    </row>
    <row r="52" spans="2:34">
      <c r="B52" s="216"/>
      <c r="D52" s="216"/>
      <c r="E52" s="216"/>
      <c r="F52" s="216"/>
      <c r="G52" s="514"/>
      <c r="H52" s="362"/>
      <c r="I52" s="216"/>
      <c r="J52" s="216"/>
      <c r="K52" s="216"/>
      <c r="L52" s="216"/>
      <c r="M52" s="216"/>
      <c r="N52" s="216"/>
      <c r="U52" s="317"/>
      <c r="AA52" s="216"/>
      <c r="AB52" s="216"/>
      <c r="AC52" s="216"/>
      <c r="AD52" s="216"/>
      <c r="AE52" s="216"/>
      <c r="AF52" s="216"/>
      <c r="AG52" s="216"/>
      <c r="AH52" s="216"/>
    </row>
    <row r="53" spans="2:34">
      <c r="B53" s="216"/>
      <c r="D53" s="216"/>
      <c r="E53" s="216"/>
      <c r="F53" s="216"/>
      <c r="G53" s="514"/>
      <c r="H53" s="216"/>
      <c r="I53" s="216"/>
      <c r="J53" s="216"/>
      <c r="K53" s="216"/>
      <c r="L53" s="216"/>
      <c r="M53" s="216"/>
      <c r="N53" s="216"/>
      <c r="AA53" s="216"/>
      <c r="AB53" s="216"/>
      <c r="AC53" s="216"/>
      <c r="AD53" s="216"/>
      <c r="AE53" s="216"/>
      <c r="AF53" s="216"/>
      <c r="AG53" s="216"/>
      <c r="AH53" s="216"/>
    </row>
    <row r="54" spans="2:34">
      <c r="B54" s="216"/>
      <c r="D54" s="216"/>
      <c r="E54" s="216"/>
      <c r="F54" s="216"/>
      <c r="G54" s="514"/>
      <c r="H54" s="216"/>
      <c r="I54" s="216"/>
      <c r="J54" s="216"/>
      <c r="K54" s="216"/>
      <c r="L54" s="216"/>
      <c r="M54" s="216"/>
      <c r="N54" s="216"/>
      <c r="AA54" s="216"/>
      <c r="AB54" s="216"/>
      <c r="AC54" s="216"/>
      <c r="AD54" s="216"/>
      <c r="AE54" s="216"/>
      <c r="AF54" s="216"/>
      <c r="AG54" s="216"/>
      <c r="AH54" s="216"/>
    </row>
    <row r="55" spans="2:34">
      <c r="B55" s="216"/>
      <c r="D55" s="216"/>
      <c r="E55" s="216"/>
      <c r="F55" s="216"/>
      <c r="G55" s="514"/>
      <c r="H55" s="216"/>
      <c r="I55" s="216"/>
      <c r="J55" s="216"/>
      <c r="K55" s="216"/>
      <c r="L55" s="216"/>
      <c r="M55" s="216"/>
      <c r="N55" s="216"/>
      <c r="AA55" s="216"/>
      <c r="AB55" s="216"/>
      <c r="AC55" s="216"/>
      <c r="AD55" s="216"/>
      <c r="AE55" s="216"/>
      <c r="AF55" s="216"/>
      <c r="AG55" s="216"/>
      <c r="AH55" s="216"/>
    </row>
    <row r="56" spans="2:34" ht="18">
      <c r="B56" s="216"/>
      <c r="C56" s="429"/>
      <c r="D56" s="216"/>
      <c r="E56" s="216"/>
      <c r="F56" s="216"/>
      <c r="I56" s="216"/>
      <c r="J56" s="216"/>
      <c r="K56" s="216"/>
      <c r="L56" s="216"/>
      <c r="M56" s="216"/>
      <c r="N56" s="216"/>
      <c r="AA56" s="317"/>
      <c r="AB56" s="216"/>
      <c r="AC56" s="216"/>
      <c r="AD56" s="216"/>
      <c r="AE56" s="216"/>
      <c r="AF56" s="216"/>
      <c r="AG56" s="216"/>
      <c r="AH56" s="216"/>
    </row>
    <row r="57" spans="2:34">
      <c r="B57" s="216"/>
      <c r="C57" s="370"/>
      <c r="D57" s="216"/>
      <c r="E57" s="216"/>
      <c r="F57" s="216"/>
      <c r="I57" s="216"/>
      <c r="J57" s="216"/>
      <c r="K57" s="216"/>
      <c r="L57" s="216"/>
      <c r="M57" s="216"/>
      <c r="N57" s="216"/>
      <c r="T57" s="135" t="s">
        <v>271</v>
      </c>
      <c r="U57" s="591">
        <f>-X15-AD14-AH34</f>
        <v>-2.0265088440860479</v>
      </c>
      <c r="AA57" s="216"/>
      <c r="AB57" s="216"/>
      <c r="AC57" s="216"/>
      <c r="AD57" s="216"/>
      <c r="AE57" s="216"/>
      <c r="AF57" s="216"/>
      <c r="AG57" s="216"/>
      <c r="AH57" s="216"/>
    </row>
    <row r="58" spans="2:34" ht="18">
      <c r="B58" s="216"/>
      <c r="C58" s="429"/>
      <c r="D58" s="216"/>
      <c r="E58" s="216"/>
      <c r="F58" s="216"/>
      <c r="I58" s="216"/>
      <c r="J58" s="216"/>
      <c r="K58" s="216"/>
      <c r="L58" s="216"/>
      <c r="M58" s="216"/>
      <c r="N58" s="216"/>
      <c r="T58" s="372" t="s">
        <v>200</v>
      </c>
      <c r="U58" s="592"/>
      <c r="V58" s="539" t="s">
        <v>360</v>
      </c>
      <c r="W58" s="540"/>
      <c r="X58" s="286"/>
      <c r="AA58" s="216"/>
      <c r="AB58" s="216"/>
      <c r="AC58" s="216"/>
      <c r="AD58" s="216"/>
      <c r="AE58" s="216"/>
      <c r="AF58" s="216"/>
      <c r="AG58" s="216"/>
      <c r="AH58" s="216"/>
    </row>
    <row r="59" spans="2:34" ht="18">
      <c r="B59" s="216"/>
      <c r="C59" s="429"/>
      <c r="D59" s="216"/>
      <c r="E59" s="216"/>
      <c r="F59" s="216"/>
      <c r="I59" s="216"/>
      <c r="J59" s="216"/>
      <c r="K59" s="216"/>
      <c r="L59" s="216"/>
      <c r="M59" s="216"/>
      <c r="N59" s="216"/>
      <c r="O59" s="216"/>
      <c r="P59" s="216"/>
      <c r="Q59" s="216"/>
      <c r="R59" s="216"/>
      <c r="S59" s="548">
        <f>'[1]P&amp;L vs BP'!$AP$238+'[1]New KPI vs BP'!$BY$500-AC19-AB19</f>
        <v>14.317049627469881</v>
      </c>
      <c r="T59" s="372" t="s">
        <v>28</v>
      </c>
      <c r="U59" s="593"/>
      <c r="W59" s="413"/>
      <c r="AC59" s="216"/>
      <c r="AD59" s="216"/>
      <c r="AE59" s="216"/>
      <c r="AF59" s="216"/>
      <c r="AG59" s="216"/>
      <c r="AH59" s="216"/>
    </row>
    <row r="60" spans="2:34" ht="18">
      <c r="B60" s="216"/>
      <c r="C60" s="429"/>
      <c r="D60" s="216"/>
      <c r="E60" s="216"/>
      <c r="F60" s="216"/>
      <c r="G60" s="216"/>
      <c r="H60" s="216"/>
      <c r="I60" s="216"/>
      <c r="J60" s="216"/>
      <c r="K60" s="216"/>
      <c r="L60" s="216"/>
      <c r="M60" s="216"/>
      <c r="N60" s="216"/>
      <c r="O60" s="216"/>
      <c r="P60" s="216"/>
      <c r="Q60" s="216"/>
      <c r="R60" s="216"/>
      <c r="S60" s="286"/>
      <c r="T60" s="286"/>
      <c r="X60" s="216"/>
      <c r="Y60" s="334"/>
      <c r="Z60" s="216"/>
      <c r="AA60" s="216"/>
      <c r="AB60" s="216"/>
      <c r="AC60" s="216"/>
      <c r="AD60" s="216"/>
      <c r="AE60" s="216"/>
      <c r="AF60" s="216"/>
      <c r="AG60" s="216"/>
      <c r="AH60" s="216"/>
    </row>
    <row r="61" spans="2:34">
      <c r="B61" s="216"/>
      <c r="C61" s="364"/>
      <c r="D61" s="216"/>
      <c r="E61" s="216"/>
      <c r="F61" s="216"/>
      <c r="G61" s="216"/>
      <c r="H61" s="216"/>
      <c r="I61" s="216"/>
      <c r="J61" s="216"/>
      <c r="K61" s="216"/>
      <c r="L61" s="216"/>
      <c r="M61" s="216"/>
      <c r="N61" s="216"/>
      <c r="O61" s="216"/>
      <c r="P61" s="216"/>
      <c r="Q61" s="216"/>
      <c r="R61" s="216"/>
      <c r="S61" s="286"/>
      <c r="T61" s="286"/>
      <c r="V61" s="369"/>
      <c r="Z61" s="216"/>
      <c r="AA61" s="216"/>
      <c r="AB61" s="216"/>
      <c r="AC61" s="216"/>
      <c r="AD61" s="216"/>
      <c r="AE61" s="216"/>
      <c r="AF61" s="216"/>
      <c r="AG61" s="216"/>
      <c r="AH61" s="216"/>
    </row>
    <row r="62" spans="2:34" ht="18">
      <c r="B62" s="216"/>
      <c r="C62" s="496"/>
      <c r="D62" s="216"/>
      <c r="E62" s="216"/>
      <c r="F62" s="216"/>
      <c r="G62" s="216"/>
      <c r="H62" s="216"/>
      <c r="I62" s="216"/>
      <c r="J62" s="216"/>
      <c r="K62" s="216"/>
      <c r="L62" s="216"/>
      <c r="M62" s="216"/>
      <c r="N62" s="216"/>
      <c r="O62" s="216"/>
      <c r="P62" s="216"/>
      <c r="Q62" s="216"/>
      <c r="R62" s="216"/>
      <c r="S62" s="286"/>
      <c r="T62" t="s">
        <v>217</v>
      </c>
      <c r="U62" s="369">
        <f>'[1]New KPI vs BP'!$CG$19+'[1]New KPI vs BP'!$CG$30-O14</f>
        <v>-216.84168690900003</v>
      </c>
      <c r="X62" s="529">
        <f>U62-SUM(U63:U65)</f>
        <v>-236.74547396472119</v>
      </c>
      <c r="Y62" t="s">
        <v>371</v>
      </c>
      <c r="Z62" s="216"/>
      <c r="AA62" s="216"/>
      <c r="AB62" s="216"/>
      <c r="AC62" s="216"/>
      <c r="AD62" s="216"/>
      <c r="AE62" s="216"/>
      <c r="AF62" s="216"/>
      <c r="AG62" s="216"/>
      <c r="AH62" s="216"/>
    </row>
    <row r="63" spans="2:34">
      <c r="B63" s="216"/>
      <c r="C63" s="216"/>
      <c r="D63" s="216"/>
      <c r="E63" s="216"/>
      <c r="F63" s="216"/>
      <c r="G63" s="216"/>
      <c r="H63" s="216"/>
      <c r="I63" s="216"/>
      <c r="J63" s="216"/>
      <c r="K63" s="216"/>
      <c r="L63" s="216"/>
      <c r="M63" s="216"/>
      <c r="N63" s="216"/>
      <c r="O63" s="216"/>
      <c r="P63" s="216"/>
      <c r="Q63" s="216"/>
      <c r="R63" s="216"/>
      <c r="S63" s="286"/>
      <c r="T63" s="508" t="s">
        <v>334</v>
      </c>
      <c r="U63" s="510">
        <f>17.7957989236187-O14</f>
        <v>17.795798923618701</v>
      </c>
      <c r="W63" s="314"/>
      <c r="Z63" s="216"/>
      <c r="AA63" s="216"/>
      <c r="AB63" s="216"/>
      <c r="AC63" s="216"/>
      <c r="AD63" s="216"/>
      <c r="AE63" s="216"/>
      <c r="AF63" s="216"/>
      <c r="AG63" s="216"/>
      <c r="AH63" s="216"/>
    </row>
    <row r="64" spans="2:34">
      <c r="B64" s="216"/>
      <c r="C64" s="216"/>
      <c r="D64" s="216"/>
      <c r="E64" s="216"/>
      <c r="F64" s="216"/>
      <c r="G64" s="216"/>
      <c r="H64" s="216"/>
      <c r="I64" s="216"/>
      <c r="J64" s="216"/>
      <c r="K64" s="216"/>
      <c r="L64" s="216"/>
      <c r="M64" s="216"/>
      <c r="N64" s="216"/>
      <c r="O64" s="216"/>
      <c r="P64" s="216"/>
      <c r="Q64" s="216"/>
      <c r="R64" s="216"/>
      <c r="S64" s="286"/>
      <c r="T64" s="509" t="s">
        <v>279</v>
      </c>
      <c r="U64" s="510">
        <v>2.3017817985741313</v>
      </c>
      <c r="W64" s="529"/>
      <c r="Z64" s="216"/>
      <c r="AA64" s="216"/>
      <c r="AB64" s="216"/>
      <c r="AC64" s="216"/>
      <c r="AD64" s="216"/>
      <c r="AE64" s="216"/>
      <c r="AF64" s="216"/>
      <c r="AG64" s="216"/>
      <c r="AH64" s="216"/>
    </row>
    <row r="65" spans="2:34">
      <c r="B65" s="216"/>
      <c r="C65" s="216"/>
      <c r="D65" s="216"/>
      <c r="E65" s="216"/>
      <c r="F65" s="216"/>
      <c r="G65" s="216"/>
      <c r="H65" s="216"/>
      <c r="I65" s="216"/>
      <c r="J65" s="216"/>
      <c r="K65" s="216"/>
      <c r="L65" s="216"/>
      <c r="M65" s="216"/>
      <c r="N65" s="216"/>
      <c r="O65" s="216"/>
      <c r="P65" s="216"/>
      <c r="Q65" s="216"/>
      <c r="R65" s="216"/>
      <c r="S65" s="286"/>
      <c r="T65" s="508" t="s">
        <v>144</v>
      </c>
      <c r="U65" s="510">
        <v>-0.19379366647167878</v>
      </c>
      <c r="Z65" s="216"/>
      <c r="AA65" s="317"/>
      <c r="AD65" s="216"/>
      <c r="AE65" s="216"/>
      <c r="AF65" s="216"/>
      <c r="AG65" s="216"/>
      <c r="AH65" s="216"/>
    </row>
    <row r="66" spans="2:34">
      <c r="B66" s="216"/>
      <c r="C66" s="216"/>
      <c r="D66" s="216"/>
      <c r="E66" s="216"/>
      <c r="F66" s="216"/>
      <c r="G66" s="216"/>
      <c r="H66" s="216"/>
      <c r="I66" s="216"/>
      <c r="J66" s="216"/>
      <c r="K66" s="216"/>
      <c r="L66" s="216"/>
      <c r="M66" s="216"/>
      <c r="N66" s="216"/>
      <c r="O66" s="216"/>
      <c r="P66" s="216"/>
      <c r="Q66" s="216"/>
      <c r="R66" s="216"/>
      <c r="S66" s="286"/>
      <c r="T66" s="286"/>
      <c r="U66" s="372"/>
      <c r="V66" s="373"/>
      <c r="Z66" s="216"/>
      <c r="AA66" s="216"/>
      <c r="AB66" s="216"/>
      <c r="AC66" s="216"/>
      <c r="AD66" s="216"/>
      <c r="AE66" s="216"/>
      <c r="AF66" s="216"/>
      <c r="AG66" s="216"/>
      <c r="AH66" s="216"/>
    </row>
    <row r="67" spans="2:34">
      <c r="B67" s="216"/>
      <c r="C67" s="216"/>
      <c r="D67" s="216"/>
      <c r="E67" s="216"/>
      <c r="F67" s="216"/>
      <c r="G67" s="216"/>
      <c r="H67" s="216"/>
      <c r="I67" s="216"/>
      <c r="J67" s="216"/>
      <c r="K67" s="216"/>
      <c r="L67" s="216"/>
      <c r="M67" s="216"/>
      <c r="N67" s="216"/>
      <c r="O67" s="216"/>
      <c r="P67" s="216"/>
      <c r="Q67" s="216"/>
      <c r="R67" s="216"/>
      <c r="S67" s="286"/>
      <c r="T67" s="286"/>
      <c r="U67" s="372"/>
      <c r="V67" s="373"/>
      <c r="X67" s="314"/>
      <c r="Z67" s="216"/>
      <c r="AA67" s="216"/>
      <c r="AB67" s="216"/>
      <c r="AC67" s="216"/>
      <c r="AD67" s="216"/>
      <c r="AE67" s="216"/>
      <c r="AF67" s="216"/>
      <c r="AG67" s="216"/>
      <c r="AH67" s="216"/>
    </row>
    <row r="68" spans="2:34">
      <c r="B68" s="216"/>
      <c r="C68" s="216"/>
      <c r="D68" s="216"/>
      <c r="E68" s="216"/>
      <c r="F68" s="216"/>
      <c r="G68" s="216"/>
      <c r="H68" s="216"/>
      <c r="I68" s="216"/>
      <c r="J68" s="216"/>
      <c r="K68" s="216"/>
      <c r="L68" s="216"/>
      <c r="M68" s="216"/>
      <c r="N68" s="216"/>
      <c r="O68" s="216"/>
      <c r="P68" s="216"/>
      <c r="Q68" s="216"/>
      <c r="R68" s="216"/>
      <c r="S68" s="286"/>
      <c r="T68" s="286"/>
      <c r="U68" s="372"/>
      <c r="V68" s="373"/>
      <c r="Z68" s="216"/>
      <c r="AA68" s="216"/>
      <c r="AB68" s="216"/>
      <c r="AC68" s="216"/>
      <c r="AD68" s="216"/>
      <c r="AE68" s="216"/>
      <c r="AF68" s="216"/>
      <c r="AG68" s="216"/>
      <c r="AH68" s="216"/>
    </row>
    <row r="69" spans="2:34">
      <c r="B69" s="216"/>
      <c r="C69" s="216"/>
      <c r="D69" s="216"/>
      <c r="E69" s="216"/>
      <c r="F69" s="216"/>
      <c r="G69" s="216"/>
      <c r="H69" s="216"/>
      <c r="I69" s="216"/>
      <c r="J69" s="216"/>
      <c r="K69" s="216"/>
      <c r="L69" s="216"/>
      <c r="M69" s="216"/>
      <c r="N69" s="216"/>
      <c r="O69" s="216"/>
      <c r="P69" s="216"/>
      <c r="Q69" s="216"/>
      <c r="R69" s="216"/>
      <c r="S69" s="286"/>
      <c r="T69" s="286"/>
      <c r="U69" s="372"/>
      <c r="V69" s="415"/>
      <c r="Y69" s="216"/>
      <c r="Z69" s="216"/>
      <c r="AA69" s="216"/>
      <c r="AB69" s="216"/>
      <c r="AC69" s="216"/>
      <c r="AD69" s="216"/>
      <c r="AE69" s="216"/>
      <c r="AF69" s="216"/>
      <c r="AG69" s="216"/>
      <c r="AH69" s="216"/>
    </row>
    <row r="70" spans="2:34">
      <c r="B70" s="216"/>
      <c r="C70" s="216"/>
      <c r="D70" s="216"/>
      <c r="E70" s="216"/>
      <c r="F70" s="216"/>
      <c r="G70" s="216"/>
      <c r="H70" s="216"/>
      <c r="I70" s="216"/>
      <c r="J70" s="216"/>
      <c r="K70" s="216"/>
      <c r="L70" s="216"/>
      <c r="M70" s="216"/>
      <c r="N70" s="216"/>
      <c r="O70" s="216"/>
      <c r="P70" s="216"/>
      <c r="Q70" s="216"/>
      <c r="R70" s="216"/>
      <c r="S70" s="286"/>
      <c r="T70" s="286"/>
      <c r="U70" s="372"/>
      <c r="V70" s="415"/>
      <c r="Y70" s="216"/>
      <c r="Z70" s="216"/>
      <c r="AA70" s="216"/>
      <c r="AB70" s="216"/>
      <c r="AC70" s="216"/>
      <c r="AD70" s="216"/>
      <c r="AE70" s="216"/>
      <c r="AF70" s="216"/>
      <c r="AG70" s="216"/>
      <c r="AH70" s="216"/>
    </row>
    <row r="71" spans="2:34">
      <c r="B71" s="216"/>
      <c r="C71" s="216"/>
      <c r="D71" s="216"/>
      <c r="E71" s="216"/>
      <c r="F71" s="216"/>
      <c r="G71" s="216"/>
      <c r="H71" s="216"/>
      <c r="I71" s="216"/>
      <c r="J71" s="216"/>
      <c r="K71" s="216"/>
      <c r="L71" s="216"/>
      <c r="M71" s="216"/>
      <c r="N71" s="216"/>
      <c r="O71" s="216"/>
      <c r="P71" s="216"/>
      <c r="Q71" s="216"/>
      <c r="R71" s="216"/>
      <c r="S71" s="286"/>
      <c r="T71" s="286"/>
      <c r="Y71" s="216"/>
      <c r="Z71" s="216"/>
      <c r="AA71" s="216"/>
      <c r="AB71" s="216"/>
      <c r="AC71" s="216"/>
      <c r="AD71" s="216"/>
      <c r="AE71" s="216"/>
      <c r="AF71" s="216"/>
      <c r="AG71" s="216"/>
      <c r="AH71" s="216"/>
    </row>
    <row r="72" spans="2:34">
      <c r="B72" s="216"/>
      <c r="C72" s="216"/>
      <c r="D72" s="216"/>
      <c r="E72" s="216"/>
      <c r="F72" s="216"/>
      <c r="G72" s="216"/>
      <c r="H72" s="216"/>
      <c r="I72" s="216"/>
      <c r="J72" s="216"/>
      <c r="K72" s="216"/>
      <c r="L72" s="216"/>
      <c r="M72" s="216"/>
      <c r="N72" s="216"/>
      <c r="O72" s="216"/>
      <c r="P72" s="216"/>
      <c r="Q72" s="216"/>
      <c r="R72" s="216"/>
      <c r="S72" s="286"/>
      <c r="T72" s="286"/>
      <c r="Y72" s="216"/>
      <c r="Z72" s="216"/>
      <c r="AA72" s="216"/>
      <c r="AB72" s="216"/>
      <c r="AC72" s="216"/>
      <c r="AD72" s="216"/>
      <c r="AE72" s="216"/>
      <c r="AF72" s="216"/>
      <c r="AG72" s="216"/>
      <c r="AH72" s="216"/>
    </row>
    <row r="82" spans="21:22">
      <c r="V82" s="364"/>
    </row>
    <row r="83" spans="21:22">
      <c r="U83" s="216"/>
      <c r="V83" s="364"/>
    </row>
    <row r="84" spans="21:22">
      <c r="V84" s="365"/>
    </row>
    <row r="85" spans="21:22">
      <c r="V85" s="365"/>
    </row>
  </sheetData>
  <mergeCells count="13">
    <mergeCell ref="AH17:AH18"/>
    <mergeCell ref="B10:B11"/>
    <mergeCell ref="C10:C11"/>
    <mergeCell ref="H17:H18"/>
    <mergeCell ref="O17:O18"/>
    <mergeCell ref="P17:P18"/>
    <mergeCell ref="Q17:Q18"/>
    <mergeCell ref="R17:R18"/>
    <mergeCell ref="S17:S18"/>
    <mergeCell ref="AE17:AE18"/>
    <mergeCell ref="AF17:AF18"/>
    <mergeCell ref="T17:T18"/>
    <mergeCell ref="B17:B18"/>
  </mergeCells>
  <pageMargins left="0.7" right="0.7" top="0.75" bottom="0.75" header="0.3" footer="0.3"/>
  <pageSetup orientation="portrait" r:id="rId1"/>
  <customProperties>
    <customPr name="_pios_id" r:id="rId2"/>
    <customPr name="EpmWorksheetKeyString_GUID" r:id="rId3"/>
  </customProperties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C48FC-48B3-447A-968C-F49E3BF483D5}">
  <dimension ref="A1:AM113"/>
  <sheetViews>
    <sheetView showGridLines="0" topLeftCell="F62" zoomScale="55" zoomScaleNormal="55" workbookViewId="0">
      <selection activeCell="T81" sqref="T81"/>
    </sheetView>
  </sheetViews>
  <sheetFormatPr defaultRowHeight="15" outlineLevelRow="1"/>
  <cols>
    <col min="2" max="2" width="17.42578125" customWidth="1"/>
    <col min="3" max="3" width="16.5703125" bestFit="1" customWidth="1"/>
    <col min="4" max="4" width="15" customWidth="1"/>
    <col min="5" max="5" width="13.85546875" customWidth="1"/>
    <col min="6" max="6" width="14.140625" customWidth="1"/>
    <col min="7" max="7" width="20.42578125" bestFit="1" customWidth="1"/>
    <col min="10" max="10" width="10" customWidth="1"/>
    <col min="11" max="11" width="11" bestFit="1" customWidth="1"/>
    <col min="13" max="13" width="9.85546875" bestFit="1" customWidth="1"/>
    <col min="15" max="15" width="8.5703125" customWidth="1"/>
    <col min="16" max="16" width="21.42578125" bestFit="1" customWidth="1"/>
    <col min="17" max="17" width="18.140625" customWidth="1"/>
    <col min="19" max="19" width="18" bestFit="1" customWidth="1"/>
    <col min="20" max="20" width="12.140625" customWidth="1"/>
    <col min="21" max="21" width="20.42578125" bestFit="1" customWidth="1"/>
    <col min="22" max="22" width="19.5703125" bestFit="1" customWidth="1"/>
    <col min="23" max="23" width="10" bestFit="1" customWidth="1"/>
    <col min="24" max="24" width="10.5703125" customWidth="1"/>
    <col min="29" max="29" width="10.42578125" customWidth="1"/>
    <col min="34" max="34" width="9.140625" bestFit="1" customWidth="1"/>
    <col min="36" max="36" width="21.85546875" bestFit="1" customWidth="1"/>
    <col min="37" max="37" width="9.5703125" bestFit="1" customWidth="1"/>
    <col min="39" max="39" width="21.42578125" bestFit="1" customWidth="1"/>
  </cols>
  <sheetData>
    <row r="1" spans="1:34" ht="28.5">
      <c r="B1" s="304" t="str">
        <f>'Summary month'!E2</f>
        <v>Apr</v>
      </c>
      <c r="C1" t="str">
        <f>VLOOKUP(B1,mapping!$A$2:$C$13,3,0)</f>
        <v>M01</v>
      </c>
    </row>
    <row r="3" spans="1:34" ht="28.5" outlineLevel="1">
      <c r="A3" s="694"/>
      <c r="B3" s="299" t="s">
        <v>202</v>
      </c>
      <c r="I3" s="216"/>
    </row>
    <row r="4" spans="1:34" ht="18" outlineLevel="1">
      <c r="A4" s="694"/>
      <c r="B4" s="216"/>
      <c r="C4" s="216"/>
      <c r="D4" s="216"/>
      <c r="E4" s="216"/>
      <c r="F4" s="216"/>
      <c r="G4" s="216"/>
      <c r="H4" s="216"/>
      <c r="I4" s="216"/>
      <c r="U4" s="216"/>
      <c r="V4" s="427"/>
      <c r="W4" s="272"/>
    </row>
    <row r="5" spans="1:34" ht="20.25" outlineLevel="1">
      <c r="A5" s="694"/>
      <c r="B5" s="216"/>
      <c r="C5" s="226" t="str">
        <f>B10</f>
        <v>BP MTD</v>
      </c>
      <c r="D5" s="226" t="str">
        <f>C10</f>
        <v>Act MTD</v>
      </c>
      <c r="E5" s="226" t="s">
        <v>320</v>
      </c>
      <c r="F5" s="226" t="s">
        <v>321</v>
      </c>
      <c r="G5" s="226" t="s">
        <v>322</v>
      </c>
      <c r="H5" s="292" t="s">
        <v>323</v>
      </c>
      <c r="I5" s="216"/>
      <c r="N5">
        <f>'[7]P&amp;L BP'!$M$353</f>
        <v>0</v>
      </c>
      <c r="U5" s="216"/>
      <c r="V5" s="427"/>
      <c r="W5" s="216"/>
    </row>
    <row r="6" spans="1:34" ht="20.25" outlineLevel="1">
      <c r="A6" s="694"/>
      <c r="B6" s="226" t="s">
        <v>327</v>
      </c>
      <c r="C6" s="569">
        <f>INDEX('Summary month'!$K$82:$M$82,1,MATCH($C$1,'Summary month'!$O$6:$Q$6,0))</f>
        <v>64.291499941393781</v>
      </c>
      <c r="D6" s="569">
        <f>INDEX('Summary month'!$F$82:$H$82,1,MATCH($C$1,'Summary month'!$O$6:$Q$6,0))</f>
        <v>63.237619418000122</v>
      </c>
      <c r="E6" s="226">
        <f>+D6-C6</f>
        <v>-1.0538805233936586</v>
      </c>
      <c r="F6" s="226">
        <f>B19</f>
        <v>-0.65442293488952186</v>
      </c>
      <c r="G6" s="226">
        <f>SUM(C19:S19)</f>
        <v>-0.39945758850414892</v>
      </c>
      <c r="H6" s="502">
        <f>E6-F6-G6</f>
        <v>1.2212453270876722E-14</v>
      </c>
      <c r="I6" s="216"/>
      <c r="J6" s="334"/>
      <c r="K6" s="216"/>
      <c r="L6" s="216"/>
      <c r="M6" s="216"/>
      <c r="N6" s="334"/>
      <c r="O6" s="216"/>
      <c r="P6" s="216"/>
      <c r="Q6" s="216"/>
      <c r="U6" s="216"/>
      <c r="V6" s="570"/>
      <c r="W6" s="216"/>
    </row>
    <row r="7" spans="1:34" ht="20.25" outlineLevel="1">
      <c r="A7" s="694"/>
      <c r="B7" s="226" t="s">
        <v>325</v>
      </c>
      <c r="C7" s="569">
        <f>INDEX('Summary month'!$K$83:$M$83,1,MATCH($C$1,'Summary month'!$O$6:$Q$6,0))</f>
        <v>-152.79353577592065</v>
      </c>
      <c r="D7" s="569">
        <f>INDEX('Summary month'!$F$83:$H$83,1,MATCH($C$1,'Summary month'!$O$6:$Q$6,0))</f>
        <v>-134.40743371799999</v>
      </c>
      <c r="E7" s="226">
        <f>+D7-C7</f>
        <v>18.386102057920652</v>
      </c>
      <c r="F7" s="226">
        <f>T19</f>
        <v>0.65442293488952186</v>
      </c>
      <c r="G7" s="226">
        <f>SUM(U19:AH19)</f>
        <v>17.731679123031146</v>
      </c>
      <c r="H7" s="502">
        <f>E7-F7-G7</f>
        <v>0</v>
      </c>
      <c r="I7" s="216"/>
      <c r="J7" s="334"/>
      <c r="K7" s="216"/>
      <c r="L7" s="216"/>
      <c r="M7" s="216"/>
      <c r="N7" s="334"/>
      <c r="O7" s="216"/>
      <c r="P7" s="216"/>
      <c r="Q7" s="216"/>
      <c r="U7" s="216"/>
      <c r="V7" s="572"/>
      <c r="W7" s="573"/>
    </row>
    <row r="8" spans="1:34" ht="20.25" outlineLevel="1">
      <c r="A8" s="694"/>
      <c r="B8" s="226" t="s">
        <v>326</v>
      </c>
      <c r="C8" s="226">
        <f>+C6+C7</f>
        <v>-88.502035834526865</v>
      </c>
      <c r="D8" s="226">
        <f>+D6+D7</f>
        <v>-71.169814299999871</v>
      </c>
      <c r="E8" s="226">
        <f>+D8-C8</f>
        <v>17.332221534526994</v>
      </c>
      <c r="F8" s="226">
        <f>+E8-G8</f>
        <v>0</v>
      </c>
      <c r="G8" s="226">
        <f>+G6+G7</f>
        <v>17.332221534526997</v>
      </c>
      <c r="H8" s="502">
        <f>E8-F8-G8</f>
        <v>0</v>
      </c>
      <c r="I8" s="216"/>
      <c r="J8" s="334" t="s">
        <v>303</v>
      </c>
      <c r="K8" s="216" t="s">
        <v>143</v>
      </c>
      <c r="L8" s="216" t="s">
        <v>304</v>
      </c>
      <c r="M8" s="216"/>
      <c r="N8" s="334" t="s">
        <v>303</v>
      </c>
      <c r="O8" s="216" t="s">
        <v>143</v>
      </c>
      <c r="P8" s="216" t="s">
        <v>305</v>
      </c>
      <c r="Q8" s="216" t="s">
        <v>306</v>
      </c>
      <c r="V8" s="121"/>
    </row>
    <row r="9" spans="1:34" ht="18" outlineLevel="1">
      <c r="A9" s="694"/>
      <c r="B9" s="215"/>
      <c r="C9" s="216"/>
      <c r="D9" s="318">
        <f>D12-D54</f>
        <v>1.7684208615213919</v>
      </c>
      <c r="E9" s="318">
        <f>E12-E54</f>
        <v>-0.40699340627369668</v>
      </c>
      <c r="F9" s="318">
        <f>F12-F54</f>
        <v>0.99661905910946769</v>
      </c>
      <c r="G9" s="318">
        <f>G12-G54</f>
        <v>1.1787952086857096</v>
      </c>
      <c r="H9" s="216"/>
      <c r="I9" s="216" t="s">
        <v>307</v>
      </c>
      <c r="J9" s="646">
        <f>'[7]New KPI vs BP'!$I$34-K9-L9</f>
        <v>0</v>
      </c>
      <c r="K9" s="646">
        <f>'[7]New KPI vs BP'!$I$15</f>
        <v>0</v>
      </c>
      <c r="L9" s="646">
        <f>'[7]New KPI vs BP'!$I$507+'[7]New KPI vs BP'!$I$523</f>
        <v>0</v>
      </c>
      <c r="M9" s="478"/>
      <c r="N9" s="646">
        <f>'[7]New KPI vs BP'!$I$34-O9-P9</f>
        <v>-0.65442293488952186</v>
      </c>
      <c r="O9" s="646">
        <f>K9</f>
        <v>0</v>
      </c>
      <c r="P9" s="647">
        <f>L10-AJ76+AA20</f>
        <v>0.65442293488952186</v>
      </c>
      <c r="Q9" s="646">
        <f>L9-(P9)</f>
        <v>-0.65442293488952186</v>
      </c>
      <c r="R9" s="478"/>
      <c r="S9" s="478"/>
      <c r="T9" s="478"/>
      <c r="U9" s="216"/>
      <c r="V9" s="216"/>
      <c r="W9" s="334"/>
      <c r="X9" s="216"/>
      <c r="Y9" s="216"/>
      <c r="Z9" s="216"/>
      <c r="AA9" s="216"/>
      <c r="AB9" s="216"/>
      <c r="AC9" s="216"/>
      <c r="AD9" s="216"/>
      <c r="AE9" s="216"/>
      <c r="AF9" s="216"/>
      <c r="AG9" s="216"/>
      <c r="AH9" s="216"/>
    </row>
    <row r="10" spans="1:34" ht="20.100000000000001" customHeight="1" outlineLevel="1">
      <c r="A10" s="694"/>
      <c r="B10" s="1014" t="s">
        <v>206</v>
      </c>
      <c r="C10" s="1014" t="s">
        <v>207</v>
      </c>
      <c r="D10" s="218"/>
      <c r="E10" s="219"/>
      <c r="F10" s="219"/>
      <c r="G10" s="220"/>
      <c r="H10" s="216"/>
      <c r="I10" s="216" t="s">
        <v>62</v>
      </c>
      <c r="J10" s="478">
        <f>M52</f>
        <v>-3.6931139940785229E-2</v>
      </c>
      <c r="K10" s="478">
        <v>0</v>
      </c>
      <c r="L10" s="478">
        <f>M53</f>
        <v>0.44392454621448191</v>
      </c>
      <c r="M10" s="478"/>
      <c r="N10" s="478"/>
      <c r="O10" s="478"/>
      <c r="P10" s="478"/>
      <c r="Q10" s="478"/>
      <c r="R10" s="478"/>
      <c r="S10" s="478"/>
      <c r="T10" s="478"/>
      <c r="U10" s="216"/>
      <c r="V10" s="216"/>
      <c r="W10" s="221"/>
      <c r="X10" s="221"/>
      <c r="Y10" s="221"/>
      <c r="Z10" s="221"/>
      <c r="AA10" s="221"/>
      <c r="AB10" s="221"/>
      <c r="AC10" s="221"/>
      <c r="AD10" s="221"/>
      <c r="AE10" s="221"/>
      <c r="AF10" s="221"/>
      <c r="AG10" s="221"/>
      <c r="AH10" s="221"/>
    </row>
    <row r="11" spans="1:34" ht="20.25" outlineLevel="1">
      <c r="A11" s="694"/>
      <c r="B11" s="1015"/>
      <c r="C11" s="1016"/>
      <c r="D11" s="222"/>
      <c r="E11" s="223" t="s">
        <v>154</v>
      </c>
      <c r="F11" s="224" t="s">
        <v>155</v>
      </c>
      <c r="G11" s="225" t="s">
        <v>156</v>
      </c>
      <c r="H11" s="216"/>
      <c r="I11" s="720" t="s">
        <v>208</v>
      </c>
      <c r="J11" s="216"/>
      <c r="K11" s="216"/>
      <c r="L11" s="216"/>
      <c r="M11" s="216"/>
      <c r="N11" s="216"/>
      <c r="O11" s="216"/>
      <c r="P11" s="216"/>
      <c r="Q11" s="216"/>
      <c r="R11" s="216"/>
      <c r="AH11" s="216"/>
    </row>
    <row r="12" spans="1:34" ht="20.25" outlineLevel="1">
      <c r="A12" s="694"/>
      <c r="B12" s="568">
        <f>INDEX('Summary month'!$K$55:$M$55,1,MATCH($C$1,'Summary month'!$O$6:$Q$6,0))</f>
        <v>-88.502035834526794</v>
      </c>
      <c r="C12" s="226">
        <f>INDEX('Summary month'!$F$55:$H$55,1,MATCH($C$1,'Summary month'!$O$6:$Q$6,0))</f>
        <v>-71.169814299999885</v>
      </c>
      <c r="D12" s="227">
        <f>C12-B12</f>
        <v>17.332221534526909</v>
      </c>
      <c r="E12" s="228">
        <f>'[7]New KPI vs BP'!$I$34</f>
        <v>0</v>
      </c>
      <c r="F12" s="228">
        <f>INDEX('Summary month'!$O$82:$Q$82,1,MATCH($C$1,'Summary month'!$O$6:$Q$6,0))-E13</f>
        <v>-0.39945758850414914</v>
      </c>
      <c r="G12" s="229">
        <f>INDEX('Summary month'!$O$83:$Q$83,1,MATCH($C$1,'Summary month'!$O$6:$Q$6,0))-E14</f>
        <v>17.731679123031146</v>
      </c>
      <c r="H12" s="216"/>
      <c r="I12" s="709">
        <f>SUM(E12:G12)-D12</f>
        <v>8.8817841970012523E-14</v>
      </c>
      <c r="J12" s="216"/>
      <c r="K12" s="216"/>
      <c r="L12" s="216"/>
      <c r="M12" s="216"/>
      <c r="N12" s="216"/>
      <c r="O12" s="230"/>
      <c r="P12" s="216"/>
      <c r="Q12" s="216"/>
      <c r="R12" s="216"/>
      <c r="AH12" s="230"/>
    </row>
    <row r="13" spans="1:34" outlineLevel="1">
      <c r="A13" s="694"/>
      <c r="B13" s="216"/>
      <c r="C13" s="216"/>
      <c r="D13" s="216"/>
      <c r="E13" s="286">
        <f>SUM(N9:O9)</f>
        <v>-0.65442293488952186</v>
      </c>
      <c r="F13" s="216" t="s">
        <v>308</v>
      </c>
      <c r="G13" s="216"/>
      <c r="H13" s="216"/>
      <c r="I13" s="216"/>
      <c r="J13" s="216"/>
      <c r="K13" s="216"/>
      <c r="L13" s="216"/>
      <c r="M13" s="216"/>
      <c r="N13" s="216"/>
      <c r="O13" s="216" t="s">
        <v>53</v>
      </c>
      <c r="P13" s="315">
        <f>-INDEX('Summary month'!$O$17:$Q$73,MATCH(O13,'Summary month'!$D$17:$D$74,0),MATCH($C$1,'Summary month'!$O$6:$Q$6,0))</f>
        <v>0</v>
      </c>
      <c r="Q13" s="216"/>
      <c r="R13" s="216"/>
      <c r="AH13" s="216"/>
    </row>
    <row r="14" spans="1:34" outlineLevel="1">
      <c r="A14" s="694"/>
      <c r="B14" s="216"/>
      <c r="C14" s="216" t="s">
        <v>51</v>
      </c>
      <c r="D14" s="216" t="s">
        <v>50</v>
      </c>
      <c r="E14" s="315">
        <f>P9</f>
        <v>0.65442293488952186</v>
      </c>
      <c r="F14" s="216" t="s">
        <v>309</v>
      </c>
      <c r="G14" s="216"/>
      <c r="H14" s="216"/>
      <c r="I14" s="216"/>
      <c r="J14" s="216"/>
      <c r="K14" s="216"/>
      <c r="L14" s="216"/>
      <c r="M14" s="216"/>
      <c r="N14" s="216"/>
      <c r="O14" s="216" t="s">
        <v>54</v>
      </c>
      <c r="P14" s="315">
        <f>-INDEX('Summary month'!$O$17:$Q$73,MATCH(O14,'Summary month'!$D$17:$D$74,0),MATCH($C$1,'Summary month'!$O$6:$Q$6,0))</f>
        <v>0</v>
      </c>
      <c r="Q14" s="216"/>
      <c r="R14" s="216"/>
      <c r="AH14" s="216"/>
    </row>
    <row r="15" spans="1:34" ht="21" outlineLevel="1" thickBot="1">
      <c r="A15" s="694"/>
      <c r="B15" s="231" t="s">
        <v>157</v>
      </c>
      <c r="C15" s="232" t="s">
        <v>56</v>
      </c>
      <c r="D15" s="232" t="s">
        <v>57</v>
      </c>
      <c r="E15" s="232"/>
      <c r="F15" s="232"/>
      <c r="G15" s="232"/>
      <c r="H15" s="232"/>
      <c r="I15" s="232"/>
      <c r="J15" s="232"/>
      <c r="K15" s="232"/>
      <c r="L15" s="232"/>
      <c r="M15" s="232"/>
      <c r="N15" s="232"/>
      <c r="O15" s="232" t="s">
        <v>55</v>
      </c>
      <c r="P15" s="316">
        <f>-INDEX('Summary month'!$O$17:$Q$73,MATCH(O15,'Summary month'!$D$17:$D$74,0),MATCH($C$1,'Summary month'!$O$6:$Q$6,0))</f>
        <v>0</v>
      </c>
      <c r="Q15" s="232"/>
      <c r="R15" s="232" t="s">
        <v>60</v>
      </c>
      <c r="AA15" t="s">
        <v>52</v>
      </c>
      <c r="AB15" t="s">
        <v>59</v>
      </c>
      <c r="AH15" s="217" t="s">
        <v>138</v>
      </c>
    </row>
    <row r="16" spans="1:34" ht="21" outlineLevel="1" thickBot="1">
      <c r="A16" s="694"/>
      <c r="B16" s="233"/>
      <c r="C16" s="234" t="s">
        <v>159</v>
      </c>
      <c r="D16" s="234"/>
      <c r="E16" s="234"/>
      <c r="F16" s="234"/>
      <c r="G16" s="234"/>
      <c r="H16" s="234"/>
      <c r="I16" s="234"/>
      <c r="J16" s="234"/>
      <c r="K16" s="234"/>
      <c r="L16" s="234"/>
      <c r="M16" s="234"/>
      <c r="N16" s="234"/>
      <c r="O16" s="234"/>
      <c r="P16" s="234"/>
      <c r="Q16" s="234"/>
      <c r="R16" s="234"/>
      <c r="S16" s="235"/>
      <c r="T16" s="236"/>
      <c r="U16" s="237" t="s">
        <v>160</v>
      </c>
      <c r="V16" s="237"/>
      <c r="W16" s="237"/>
      <c r="X16" s="237"/>
      <c r="Y16" s="237"/>
      <c r="Z16" s="237"/>
      <c r="AA16" s="237"/>
      <c r="AB16" s="237"/>
      <c r="AC16" s="237"/>
      <c r="AD16" s="237"/>
      <c r="AE16" s="237"/>
      <c r="AF16" s="237"/>
      <c r="AG16" s="237"/>
      <c r="AH16" s="238"/>
    </row>
    <row r="17" spans="1:36" ht="20.100000000000001" customHeight="1" outlineLevel="1">
      <c r="A17" s="694"/>
      <c r="B17" s="1027" t="s">
        <v>274</v>
      </c>
      <c r="C17" s="239" t="s">
        <v>161</v>
      </c>
      <c r="D17" s="240"/>
      <c r="E17" s="240"/>
      <c r="F17" s="240"/>
      <c r="G17" s="241"/>
      <c r="H17" s="1017" t="s">
        <v>162</v>
      </c>
      <c r="I17" s="242" t="s">
        <v>163</v>
      </c>
      <c r="J17" s="243"/>
      <c r="K17" s="243"/>
      <c r="L17" s="243"/>
      <c r="M17" s="243"/>
      <c r="N17" s="244"/>
      <c r="O17" s="1019" t="s">
        <v>164</v>
      </c>
      <c r="P17" s="1019" t="s">
        <v>165</v>
      </c>
      <c r="Q17" s="1019" t="s">
        <v>166</v>
      </c>
      <c r="R17" s="1022" t="s">
        <v>167</v>
      </c>
      <c r="S17" s="1023" t="s">
        <v>168</v>
      </c>
      <c r="T17" s="1027" t="s">
        <v>274</v>
      </c>
      <c r="U17" s="245" t="s">
        <v>169</v>
      </c>
      <c r="V17" s="246"/>
      <c r="W17" s="246"/>
      <c r="X17" s="247"/>
      <c r="Y17" s="248" t="s">
        <v>163</v>
      </c>
      <c r="Z17" s="246"/>
      <c r="AA17" s="246"/>
      <c r="AB17" s="246"/>
      <c r="AC17" s="246"/>
      <c r="AD17" s="247"/>
      <c r="AE17" s="1022" t="s">
        <v>166</v>
      </c>
      <c r="AF17" s="1025" t="s">
        <v>167</v>
      </c>
      <c r="AG17" s="311"/>
      <c r="AH17" s="1012" t="s">
        <v>168</v>
      </c>
    </row>
    <row r="18" spans="1:36" ht="77.45" customHeight="1" outlineLevel="1">
      <c r="A18" s="694"/>
      <c r="B18" s="1028"/>
      <c r="C18" s="249" t="s">
        <v>170</v>
      </c>
      <c r="D18" s="250" t="s">
        <v>171</v>
      </c>
      <c r="E18" s="250" t="s">
        <v>172</v>
      </c>
      <c r="F18" s="250" t="s">
        <v>173</v>
      </c>
      <c r="G18" s="251" t="s">
        <v>174</v>
      </c>
      <c r="H18" s="1018"/>
      <c r="I18" s="250" t="s">
        <v>175</v>
      </c>
      <c r="J18" s="250" t="s">
        <v>176</v>
      </c>
      <c r="K18" s="250" t="s">
        <v>177</v>
      </c>
      <c r="L18" s="250" t="s">
        <v>178</v>
      </c>
      <c r="M18" s="250" t="s">
        <v>168</v>
      </c>
      <c r="N18" s="250" t="s">
        <v>179</v>
      </c>
      <c r="O18" s="1020"/>
      <c r="P18" s="1021"/>
      <c r="Q18" s="1021"/>
      <c r="R18" s="1021"/>
      <c r="S18" s="1024"/>
      <c r="T18" s="1028"/>
      <c r="U18" s="307" t="s">
        <v>203</v>
      </c>
      <c r="V18" s="308" t="s">
        <v>180</v>
      </c>
      <c r="W18" s="309" t="s">
        <v>181</v>
      </c>
      <c r="X18" s="310" t="s">
        <v>33</v>
      </c>
      <c r="Y18" s="305" t="s">
        <v>25</v>
      </c>
      <c r="Z18" s="306" t="s">
        <v>183</v>
      </c>
      <c r="AA18" s="306" t="s">
        <v>204</v>
      </c>
      <c r="AB18" s="306" t="s">
        <v>205</v>
      </c>
      <c r="AC18" s="306" t="s">
        <v>184</v>
      </c>
      <c r="AD18" s="306" t="s">
        <v>30</v>
      </c>
      <c r="AE18" s="1021"/>
      <c r="AF18" s="1026"/>
      <c r="AG18" s="312" t="s">
        <v>37</v>
      </c>
      <c r="AH18" s="1013"/>
      <c r="AJ18" s="575"/>
    </row>
    <row r="19" spans="1:36" ht="21" outlineLevel="1" thickBot="1">
      <c r="A19" s="694"/>
      <c r="B19" s="252">
        <f>E13</f>
        <v>-0.65442293488952186</v>
      </c>
      <c r="C19" s="253">
        <f>C61-INDEX('Summary month'!$O$17:$Q$74,MATCH(C14,'Summary month'!$D$17:$D$74,0),MATCH($C$1,'Summary month'!$O$6:$Q$6,0))-INDEX('Summary month'!$O$17:$Q$74,MATCH(C15,'Summary month'!$D$17:$D$74,0),MATCH($C$1,'Summary month'!$O$6:$Q$6,0))+J10-N9</f>
        <v>2.6098899219698177</v>
      </c>
      <c r="D19" s="254">
        <f>S77-INDEX('Summary month'!$O$17:$Q$74,MATCH(D14,'Summary month'!$D$17:$D$74,0),MATCH($C$1,'Summary month'!$O$6:$Q$6,0))-INDEX('Summary month'!$O$17:$Q$74,MATCH(D15,'Summary month'!$D$17:$D$74,0),MATCH($C$1,'Summary month'!$O$6:$Q$6,0))-O9</f>
        <v>-2.3177678487342841</v>
      </c>
      <c r="E19" s="254">
        <f>E61</f>
        <v>0</v>
      </c>
      <c r="F19" s="254">
        <f>F61</f>
        <v>0</v>
      </c>
      <c r="G19" s="254">
        <f>G61</f>
        <v>0</v>
      </c>
      <c r="H19" s="254">
        <f>H61</f>
        <v>0</v>
      </c>
      <c r="I19" s="254"/>
      <c r="J19" s="255"/>
      <c r="K19" s="255"/>
      <c r="L19" s="255"/>
      <c r="M19" s="255"/>
      <c r="N19" s="255"/>
      <c r="O19" s="254">
        <f>SUM(P13:P15)</f>
        <v>0</v>
      </c>
      <c r="P19" s="254"/>
      <c r="Q19" s="256"/>
      <c r="R19" s="254">
        <f>R61-INDEX('Summary month'!$O$17:$Q$74,MATCH(R15,'Summary month'!$D$17:$D$74,0),MATCH($C$1,'Summary month'!$O$6:$Q$6,0))</f>
        <v>-2.7507092239999871</v>
      </c>
      <c r="S19" s="257">
        <f>F12-SUM(C19:R19)</f>
        <v>2.0591295622603045</v>
      </c>
      <c r="T19" s="253">
        <f>E14</f>
        <v>0.65442293488952186</v>
      </c>
      <c r="U19" s="253">
        <f>U61</f>
        <v>3.1916235729543345</v>
      </c>
      <c r="V19" s="258">
        <f>V61</f>
        <v>6.950051104566457E-2</v>
      </c>
      <c r="W19" s="258"/>
      <c r="X19" s="258">
        <f>X61</f>
        <v>2.4426872817788936E-2</v>
      </c>
      <c r="Y19" s="258">
        <f>Y61</f>
        <v>1.4947647723329651</v>
      </c>
      <c r="Z19" s="258">
        <f>Z61</f>
        <v>-0.14203889782914639</v>
      </c>
      <c r="AA19" s="258">
        <f>AA61-INDEX('Summary month'!$O$17:$Q$74,MATCH(AA15,'Summary month'!$D$17:$D$74,0),MATCH($C$1,'Summary month'!$O$6:$Q$6,0))-AA20</f>
        <v>-0.76395699800000294</v>
      </c>
      <c r="AB19" s="258">
        <f>-INDEX('Summary month'!$O$17:$Q$74,MATCH(AB15,'Summary month'!$D$17:$D$74,0),MATCH($C$1,'Summary month'!$O$6:$Q$6,0))</f>
        <v>1.9535469999999999</v>
      </c>
      <c r="AC19" s="258">
        <f>AC61</f>
        <v>-1.5355153807910504</v>
      </c>
      <c r="AD19" s="258">
        <f>AD61</f>
        <v>18.340845705115637</v>
      </c>
      <c r="AE19" s="256"/>
      <c r="AF19" s="259"/>
      <c r="AG19" s="254">
        <f>AG61</f>
        <v>-4.4020679199069574</v>
      </c>
      <c r="AH19" s="260">
        <f>G12-SUM(U19:AG19)</f>
        <v>-0.49945011470808609</v>
      </c>
      <c r="AJ19" s="574"/>
    </row>
    <row r="20" spans="1:36" outlineLevel="1">
      <c r="A20" s="694"/>
      <c r="B20" s="286">
        <f>B19-B61</f>
        <v>-0.61749179494873663</v>
      </c>
      <c r="C20" s="286">
        <f t="shared" ref="C20:S20" si="0">C19-C61</f>
        <v>2.6098899219698177</v>
      </c>
      <c r="D20" s="286">
        <f t="shared" si="0"/>
        <v>-2.3177678487342841</v>
      </c>
      <c r="E20" s="286">
        <f t="shared" si="0"/>
        <v>0</v>
      </c>
      <c r="F20" s="286">
        <f t="shared" si="0"/>
        <v>0</v>
      </c>
      <c r="G20" s="286">
        <f t="shared" si="0"/>
        <v>0</v>
      </c>
      <c r="H20" s="286">
        <f t="shared" si="0"/>
        <v>0</v>
      </c>
      <c r="I20" s="286">
        <f t="shared" si="0"/>
        <v>0</v>
      </c>
      <c r="J20" s="286">
        <f t="shared" si="0"/>
        <v>0</v>
      </c>
      <c r="K20" s="286">
        <f t="shared" si="0"/>
        <v>0</v>
      </c>
      <c r="L20" s="286">
        <f t="shared" si="0"/>
        <v>0</v>
      </c>
      <c r="M20" s="286">
        <f t="shared" si="0"/>
        <v>0</v>
      </c>
      <c r="N20" s="286">
        <f t="shared" si="0"/>
        <v>0</v>
      </c>
      <c r="O20" s="286">
        <f t="shared" si="0"/>
        <v>0</v>
      </c>
      <c r="P20" s="286">
        <f t="shared" si="0"/>
        <v>0</v>
      </c>
      <c r="Q20" s="286">
        <f t="shared" si="0"/>
        <v>0</v>
      </c>
      <c r="R20" s="286">
        <f t="shared" si="0"/>
        <v>0.27516000000000007</v>
      </c>
      <c r="S20" s="286">
        <f t="shared" si="0"/>
        <v>0.42933698587393421</v>
      </c>
      <c r="T20" s="286"/>
      <c r="U20" s="216"/>
      <c r="V20" s="216"/>
      <c r="W20" s="216"/>
      <c r="AA20">
        <f>'[7]New KPI vs BP'!$I$502</f>
        <v>0</v>
      </c>
    </row>
    <row r="21" spans="1:36" ht="18" outlineLevel="1">
      <c r="A21" s="694"/>
      <c r="B21" s="221"/>
      <c r="C21" s="261"/>
      <c r="D21" s="326"/>
      <c r="E21" s="262"/>
      <c r="F21" s="262"/>
      <c r="G21" s="262"/>
      <c r="H21" s="262"/>
      <c r="I21" s="262"/>
      <c r="J21" s="262"/>
      <c r="K21" s="262"/>
      <c r="L21" s="262"/>
      <c r="M21" s="262"/>
      <c r="N21" s="262"/>
      <c r="O21" s="326"/>
      <c r="P21" s="262"/>
      <c r="Q21" s="262"/>
      <c r="R21" s="326"/>
      <c r="S21" s="221"/>
      <c r="T21" s="221"/>
      <c r="U21" s="221"/>
      <c r="V21" s="221"/>
      <c r="W21" s="221"/>
      <c r="AJ21" s="575"/>
    </row>
    <row r="22" spans="1:36" ht="18" outlineLevel="1">
      <c r="A22" s="694"/>
      <c r="B22" s="216"/>
      <c r="C22" s="266"/>
      <c r="D22" s="267"/>
      <c r="E22" s="267"/>
      <c r="F22" s="267"/>
      <c r="G22" s="267"/>
      <c r="H22" s="267"/>
      <c r="I22" s="267"/>
      <c r="J22" s="267"/>
      <c r="K22" s="267"/>
      <c r="L22" s="267"/>
      <c r="M22" s="267"/>
      <c r="N22" s="267"/>
      <c r="O22" s="267"/>
      <c r="P22" s="267"/>
      <c r="Q22" s="267"/>
      <c r="R22" s="267"/>
      <c r="S22" s="216"/>
      <c r="T22" s="216"/>
      <c r="U22" s="431">
        <f>-S77+S26</f>
        <v>12.88911072822985</v>
      </c>
      <c r="V22" s="216"/>
      <c r="W22" s="216"/>
      <c r="X22" s="216"/>
      <c r="Y22" s="216"/>
      <c r="Z22" s="216"/>
      <c r="AA22" s="216"/>
      <c r="AE22" s="216"/>
      <c r="AF22" t="s">
        <v>262</v>
      </c>
      <c r="AG22" s="216"/>
      <c r="AH22" s="216"/>
    </row>
    <row r="23" spans="1:36" ht="20.25" outlineLevel="1">
      <c r="A23" s="694"/>
      <c r="B23" s="221" t="s">
        <v>277</v>
      </c>
      <c r="C23" s="426">
        <f>C61</f>
        <v>0</v>
      </c>
      <c r="D23" s="216"/>
      <c r="E23" s="216" t="s">
        <v>281</v>
      </c>
      <c r="F23" s="216" t="s">
        <v>274</v>
      </c>
      <c r="G23" s="216"/>
      <c r="H23" s="216"/>
      <c r="I23" s="273" t="s">
        <v>188</v>
      </c>
      <c r="J23" s="274"/>
      <c r="K23" s="274"/>
      <c r="L23" s="274"/>
      <c r="M23" s="275">
        <f>SUM(M24:M32)</f>
        <v>0.47844347999999992</v>
      </c>
      <c r="N23" s="216"/>
      <c r="O23" s="216"/>
      <c r="P23" s="273" t="s">
        <v>191</v>
      </c>
      <c r="Q23" s="274"/>
      <c r="R23" s="274"/>
      <c r="S23" s="294">
        <f>S19</f>
        <v>2.0591295622603045</v>
      </c>
      <c r="T23" s="216"/>
      <c r="U23" s="216"/>
      <c r="V23" s="216"/>
      <c r="W23" s="216"/>
      <c r="X23" s="263" t="s">
        <v>185</v>
      </c>
      <c r="Y23" s="264"/>
      <c r="Z23" s="264"/>
      <c r="AA23" s="265">
        <f>AD19</f>
        <v>18.340845705115637</v>
      </c>
      <c r="AB23" s="216"/>
      <c r="AE23" s="263" t="s">
        <v>186</v>
      </c>
      <c r="AF23" s="264"/>
      <c r="AG23" s="264"/>
      <c r="AH23" s="265">
        <f>AH19</f>
        <v>-0.49945011470808609</v>
      </c>
    </row>
    <row r="24" spans="1:36" ht="18" outlineLevel="1">
      <c r="A24" s="694"/>
      <c r="B24" s="216" t="s">
        <v>278</v>
      </c>
      <c r="C24" s="426">
        <f>-INDEX('Summary month'!$O$17:$Q$74,MATCH(C14,'Summary month'!$D$17:$D$74,0),MATCH($C$1,'Summary month'!$O$6:$Q$6,0))</f>
        <v>1.1900716280210819</v>
      </c>
      <c r="D24" s="216"/>
      <c r="E24" s="520">
        <f>C24-F24</f>
        <v>9.7505725807417516</v>
      </c>
      <c r="F24" s="586">
        <v>-8.5605009527206697</v>
      </c>
      <c r="G24" s="216"/>
      <c r="H24" s="216"/>
      <c r="I24" s="279">
        <v>1</v>
      </c>
      <c r="J24" s="635" t="str">
        <f t="shared" ref="J24:J29" si="1">J76</f>
        <v>Supplier claims</v>
      </c>
      <c r="K24" s="270"/>
      <c r="L24" s="270"/>
      <c r="M24" s="280">
        <f t="shared" ref="M24:M29" si="2">M76</f>
        <v>0</v>
      </c>
      <c r="N24" s="216"/>
      <c r="O24" s="216"/>
      <c r="P24" s="279">
        <v>1</v>
      </c>
      <c r="Q24" s="269" t="str">
        <f>Q76</f>
        <v>UC</v>
      </c>
      <c r="R24" s="270"/>
      <c r="S24" s="280">
        <f>S76</f>
        <v>-0.1029393430000024</v>
      </c>
      <c r="U24" s="216"/>
      <c r="V24" s="216"/>
      <c r="W24" s="216"/>
      <c r="X24" s="268">
        <v>1</v>
      </c>
      <c r="Y24" s="269" t="str">
        <f>Y76</f>
        <v>Cap res</v>
      </c>
      <c r="Z24" s="270"/>
      <c r="AA24" s="271">
        <v>1.1000000000000001</v>
      </c>
      <c r="AE24" s="268">
        <v>1</v>
      </c>
      <c r="AF24" s="269" t="s">
        <v>187</v>
      </c>
      <c r="AG24" s="270"/>
      <c r="AH24" s="271">
        <f>AH76</f>
        <v>-0.49945011470808548</v>
      </c>
    </row>
    <row r="25" spans="1:36" ht="18" outlineLevel="1">
      <c r="A25" s="694"/>
      <c r="B25" s="216" t="s">
        <v>279</v>
      </c>
      <c r="C25" s="427">
        <f>-INDEX('Summary month'!$O$17:$Q$74,MATCH(C15,'Summary month'!$D$17:$D$74,0),MATCH($C$1,'Summary month'!$O$6:$Q$6,0))</f>
        <v>0.80232649899999942</v>
      </c>
      <c r="D25" s="216"/>
      <c r="E25" s="216"/>
      <c r="F25" s="216"/>
      <c r="G25" s="216"/>
      <c r="H25" s="216"/>
      <c r="I25" s="279">
        <v>2</v>
      </c>
      <c r="J25" s="276" t="str">
        <f t="shared" si="1"/>
        <v>ILN business</v>
      </c>
      <c r="K25" s="277"/>
      <c r="L25" s="277"/>
      <c r="M25" s="281">
        <f t="shared" si="2"/>
        <v>0</v>
      </c>
      <c r="N25" s="216"/>
      <c r="O25" s="216"/>
      <c r="P25" s="279">
        <v>2</v>
      </c>
      <c r="Q25" s="276" t="str">
        <f>Q77</f>
        <v>Export</v>
      </c>
      <c r="R25" s="277"/>
      <c r="S25" s="281">
        <f>S77</f>
        <v>-0.74064408587393393</v>
      </c>
      <c r="U25" s="216"/>
      <c r="V25" s="216"/>
      <c r="W25" s="216"/>
      <c r="X25" s="268">
        <v>2</v>
      </c>
      <c r="Y25" s="276" t="s">
        <v>144</v>
      </c>
      <c r="Z25" s="277"/>
      <c r="AA25" s="278">
        <v>0.70257313977650582</v>
      </c>
      <c r="AE25" s="268">
        <v>2</v>
      </c>
      <c r="AF25" s="276" t="s">
        <v>424</v>
      </c>
      <c r="AG25" s="277"/>
      <c r="AH25" s="278">
        <v>7.59</v>
      </c>
    </row>
    <row r="26" spans="1:36" ht="18" outlineLevel="1">
      <c r="A26" s="694"/>
      <c r="B26" s="216" t="s">
        <v>280</v>
      </c>
      <c r="C26" s="438">
        <f>(M52-N9)</f>
        <v>0.61749179494873663</v>
      </c>
      <c r="D26" s="216"/>
      <c r="E26" s="216"/>
      <c r="F26" s="216"/>
      <c r="G26" s="216"/>
      <c r="H26" s="216"/>
      <c r="I26" s="279">
        <v>3</v>
      </c>
      <c r="J26" s="276" t="str">
        <f t="shared" si="1"/>
        <v>KD ITPs</v>
      </c>
      <c r="K26" s="277"/>
      <c r="L26" s="277"/>
      <c r="M26" s="281">
        <f t="shared" si="2"/>
        <v>0</v>
      </c>
      <c r="N26" s="216"/>
      <c r="O26" s="216"/>
      <c r="P26" s="279">
        <v>3</v>
      </c>
      <c r="Q26" s="276" t="str">
        <f>Q78</f>
        <v>NRV</v>
      </c>
      <c r="R26" s="277"/>
      <c r="S26" s="281">
        <f>S78</f>
        <v>12.148466642355917</v>
      </c>
      <c r="U26" s="216"/>
      <c r="V26" s="216"/>
      <c r="W26" s="216"/>
      <c r="X26" s="268">
        <v>3</v>
      </c>
      <c r="Y26" s="276"/>
      <c r="Z26" s="277"/>
      <c r="AA26" s="278"/>
      <c r="AE26" s="268">
        <v>3</v>
      </c>
      <c r="AF26" s="276" t="s">
        <v>421</v>
      </c>
      <c r="AG26" s="277"/>
      <c r="AH26" s="278">
        <v>0.84326311868053405</v>
      </c>
    </row>
    <row r="27" spans="1:36" ht="18" outlineLevel="1">
      <c r="A27" s="694"/>
      <c r="E27" s="272"/>
      <c r="F27" s="272"/>
      <c r="G27" s="272"/>
      <c r="H27" s="272"/>
      <c r="I27" s="279">
        <v>4</v>
      </c>
      <c r="J27" s="276" t="str">
        <f t="shared" si="1"/>
        <v>X-badges TP</v>
      </c>
      <c r="K27" s="277"/>
      <c r="L27" s="277"/>
      <c r="M27" s="281">
        <f t="shared" si="2"/>
        <v>0.51162766300000007</v>
      </c>
      <c r="N27" s="216"/>
      <c r="O27" s="216"/>
      <c r="P27" s="279">
        <v>4</v>
      </c>
      <c r="Q27" s="276" t="str">
        <f>Q79</f>
        <v>CAFÉ</v>
      </c>
      <c r="R27" s="277"/>
      <c r="S27" s="281">
        <f>S79</f>
        <v>71.200542213999995</v>
      </c>
      <c r="U27" s="216"/>
      <c r="V27" s="216"/>
      <c r="W27" s="216"/>
      <c r="X27" s="268">
        <v>4</v>
      </c>
      <c r="Y27" s="276"/>
      <c r="Z27" s="277"/>
      <c r="AA27" s="278"/>
      <c r="AE27" s="268">
        <v>4</v>
      </c>
      <c r="AF27" s="276"/>
      <c r="AG27" s="277"/>
      <c r="AH27" s="278"/>
    </row>
    <row r="28" spans="1:36" ht="18" outlineLevel="1">
      <c r="A28" s="694"/>
      <c r="E28" s="216"/>
      <c r="F28" s="216"/>
      <c r="G28" s="216"/>
      <c r="H28" s="216"/>
      <c r="I28" s="279">
        <v>5</v>
      </c>
      <c r="J28" s="276" t="str">
        <f t="shared" si="1"/>
        <v>Duties for CBUs</v>
      </c>
      <c r="K28" s="277"/>
      <c r="L28" s="277"/>
      <c r="M28" s="281">
        <f t="shared" si="2"/>
        <v>0.19645216500000001</v>
      </c>
      <c r="N28" s="216"/>
      <c r="O28" s="216"/>
      <c r="P28" s="279">
        <v>5</v>
      </c>
      <c r="Q28" s="276" t="s">
        <v>473</v>
      </c>
      <c r="R28" s="277"/>
      <c r="S28" s="281">
        <v>-52</v>
      </c>
      <c r="U28" s="216"/>
      <c r="V28" s="216"/>
      <c r="W28" s="216"/>
      <c r="X28" s="282">
        <v>5</v>
      </c>
      <c r="Y28" s="283" t="s">
        <v>182</v>
      </c>
      <c r="Z28" s="284"/>
      <c r="AA28" s="285">
        <f>AA23-SUM(AA24:AA27)</f>
        <v>16.538272565339131</v>
      </c>
      <c r="AE28" s="282">
        <v>5</v>
      </c>
      <c r="AF28" s="283" t="s">
        <v>182</v>
      </c>
      <c r="AG28" s="284"/>
      <c r="AH28" s="285">
        <f>AH23-SUM(AH24:AH27)</f>
        <v>-8.4332631186805358</v>
      </c>
    </row>
    <row r="29" spans="1:36" ht="18" outlineLevel="1">
      <c r="A29" s="694"/>
      <c r="E29" s="216"/>
      <c r="F29" s="216"/>
      <c r="G29" s="216"/>
      <c r="H29" s="216"/>
      <c r="I29" s="279">
        <v>6</v>
      </c>
      <c r="J29" s="276" t="str">
        <f t="shared" si="1"/>
        <v>Outbound logistics</v>
      </c>
      <c r="K29" s="277"/>
      <c r="L29" s="277"/>
      <c r="M29" s="281">
        <f t="shared" si="2"/>
        <v>-0.2296363480000001</v>
      </c>
      <c r="N29" s="216"/>
      <c r="O29" s="216"/>
      <c r="P29" s="279">
        <v>6</v>
      </c>
      <c r="Q29" s="571"/>
      <c r="R29" s="277"/>
      <c r="S29" s="281"/>
      <c r="U29" s="216"/>
      <c r="V29" s="216"/>
      <c r="W29" s="216"/>
      <c r="AC29" s="216"/>
      <c r="AD29" s="216"/>
      <c r="AE29" s="216"/>
      <c r="AF29" s="216"/>
      <c r="AG29" s="287"/>
      <c r="AH29" s="286">
        <f>AH28-AH80</f>
        <v>0</v>
      </c>
    </row>
    <row r="30" spans="1:36" ht="18" outlineLevel="1">
      <c r="A30" s="694"/>
      <c r="E30" s="216"/>
      <c r="F30" s="216"/>
      <c r="G30" s="216"/>
      <c r="H30" s="216"/>
      <c r="I30" s="279">
        <v>7</v>
      </c>
      <c r="J30" s="276"/>
      <c r="K30" s="277"/>
      <c r="L30" s="277"/>
      <c r="M30" s="281"/>
      <c r="N30" s="216"/>
      <c r="O30" s="216"/>
      <c r="P30" s="279">
        <v>7</v>
      </c>
      <c r="Q30" s="276"/>
      <c r="R30" s="277"/>
      <c r="S30" s="281"/>
      <c r="U30" s="216"/>
      <c r="V30" s="216"/>
      <c r="W30" s="216"/>
      <c r="X30" s="216"/>
      <c r="Y30" s="216"/>
      <c r="Z30" s="216"/>
      <c r="AA30" s="286">
        <f>AA28-AA80</f>
        <v>-2.1638821518189566</v>
      </c>
    </row>
    <row r="31" spans="1:36" ht="18" outlineLevel="1">
      <c r="A31" s="694"/>
      <c r="B31" s="216"/>
      <c r="C31" s="291"/>
      <c r="D31" s="216"/>
      <c r="E31" s="216"/>
      <c r="F31" s="292" t="s">
        <v>189</v>
      </c>
      <c r="G31" s="216"/>
      <c r="H31" s="216"/>
      <c r="I31" s="279">
        <v>8</v>
      </c>
      <c r="J31" s="276"/>
      <c r="K31" s="277"/>
      <c r="L31" s="277"/>
      <c r="M31" s="281"/>
      <c r="N31" s="216"/>
      <c r="O31" s="216"/>
      <c r="P31" s="279">
        <v>8</v>
      </c>
      <c r="Q31" s="276"/>
      <c r="R31" s="277"/>
      <c r="S31" s="281"/>
      <c r="U31" s="216"/>
      <c r="V31" s="216"/>
      <c r="W31" s="216"/>
      <c r="X31" s="216"/>
      <c r="Y31" s="216"/>
      <c r="Z31" s="216"/>
      <c r="AA31" s="216"/>
      <c r="AB31" s="216"/>
      <c r="AC31" s="216"/>
      <c r="AD31" s="216"/>
      <c r="AE31" s="216"/>
      <c r="AF31" s="216"/>
      <c r="AG31" s="216"/>
      <c r="AH31" s="216"/>
    </row>
    <row r="32" spans="1:36" ht="18" outlineLevel="1">
      <c r="A32" s="694"/>
      <c r="B32" s="216"/>
      <c r="C32" s="216"/>
      <c r="D32" s="293" t="s">
        <v>147</v>
      </c>
      <c r="E32" s="293" t="s">
        <v>287</v>
      </c>
      <c r="F32" s="293" t="s">
        <v>190</v>
      </c>
      <c r="G32" s="216"/>
      <c r="H32" s="216"/>
      <c r="I32" s="279">
        <v>9</v>
      </c>
      <c r="J32" s="276"/>
      <c r="K32" s="277"/>
      <c r="L32" s="277"/>
      <c r="M32" s="281"/>
      <c r="N32" s="216"/>
      <c r="P32" s="279">
        <v>9</v>
      </c>
      <c r="Q32" s="276"/>
      <c r="R32" s="277"/>
      <c r="S32" s="281"/>
      <c r="U32" s="272"/>
      <c r="V32" s="272"/>
      <c r="W32" s="272"/>
      <c r="X32" s="216"/>
      <c r="Y32" s="216"/>
      <c r="Z32" s="216"/>
      <c r="AA32" s="216"/>
      <c r="AB32" s="216"/>
      <c r="AC32" s="216"/>
      <c r="AD32" s="216"/>
      <c r="AE32" s="216"/>
      <c r="AF32" s="216"/>
      <c r="AG32" s="216"/>
      <c r="AH32" s="216"/>
    </row>
    <row r="33" spans="1:34" ht="20.25" outlineLevel="1">
      <c r="A33" s="694"/>
      <c r="B33" s="216"/>
      <c r="C33" s="295" t="s">
        <v>192</v>
      </c>
      <c r="D33" s="296">
        <f>'[7]P&amp;L vs BP'!$I$24</f>
        <v>29656</v>
      </c>
      <c r="E33" s="296">
        <f>'[7]P&amp;L vs BP'!$H$24</f>
        <v>22727</v>
      </c>
      <c r="F33" s="296">
        <f>E33-D33</f>
        <v>-6929</v>
      </c>
      <c r="G33" s="216"/>
      <c r="H33" s="216"/>
      <c r="I33" s="288">
        <v>10</v>
      </c>
      <c r="J33" s="289" t="str">
        <f>J85</f>
        <v>Others</v>
      </c>
      <c r="K33" s="284"/>
      <c r="L33" s="284"/>
      <c r="M33" s="290">
        <f>M23-SUM(M24:M32)</f>
        <v>0</v>
      </c>
      <c r="N33" s="216"/>
      <c r="P33" s="288">
        <v>10</v>
      </c>
      <c r="Q33" s="283" t="s">
        <v>182</v>
      </c>
      <c r="R33" s="284"/>
      <c r="S33" s="285">
        <f>S23-SUM(S24:S32)</f>
        <v>-28.446295865221678</v>
      </c>
      <c r="U33" s="216"/>
      <c r="V33" s="216"/>
      <c r="W33" s="216"/>
      <c r="X33" s="297"/>
      <c r="Y33" s="216"/>
      <c r="Z33" s="216"/>
      <c r="AA33" s="216"/>
      <c r="AB33" s="216"/>
      <c r="AC33" s="216"/>
      <c r="AD33" s="216"/>
      <c r="AE33" s="216"/>
      <c r="AF33" s="216"/>
      <c r="AG33" s="216"/>
      <c r="AH33" s="216"/>
    </row>
    <row r="34" spans="1:34" ht="20.25" outlineLevel="1">
      <c r="A34" s="694"/>
      <c r="B34" s="216"/>
      <c r="C34" s="295" t="s">
        <v>194</v>
      </c>
      <c r="D34" s="296">
        <f>'[7]P&amp;L vs BP'!$I$27</f>
        <v>1135</v>
      </c>
      <c r="E34" s="296">
        <f>'[7]P&amp;L vs BP'!$H$27</f>
        <v>601</v>
      </c>
      <c r="F34" s="296">
        <f>E34-D34</f>
        <v>-534</v>
      </c>
      <c r="G34" s="216"/>
      <c r="H34" s="216"/>
      <c r="M34" s="286">
        <f>M33-M85</f>
        <v>0.47844347999999992</v>
      </c>
      <c r="N34" s="216"/>
      <c r="P34" s="216"/>
      <c r="Q34" s="216"/>
      <c r="R34" s="216"/>
      <c r="S34" s="286">
        <f>S33-S85</f>
        <v>52.429336985873938</v>
      </c>
      <c r="U34" s="216"/>
      <c r="V34" s="216"/>
      <c r="W34" s="216"/>
      <c r="X34" s="216"/>
      <c r="Y34" s="216"/>
      <c r="Z34" s="216"/>
      <c r="AA34" s="216"/>
      <c r="AB34" s="216"/>
      <c r="AC34" s="216"/>
      <c r="AD34" s="216"/>
      <c r="AE34" s="216"/>
      <c r="AF34" s="216"/>
      <c r="AG34" s="216"/>
      <c r="AH34" s="216"/>
    </row>
    <row r="35" spans="1:34" outlineLevel="1">
      <c r="A35" s="694"/>
      <c r="B35" s="216"/>
      <c r="C35" s="216"/>
      <c r="D35" s="298"/>
      <c r="E35" s="298"/>
      <c r="F35" s="298"/>
      <c r="G35" s="216"/>
      <c r="H35" s="216"/>
      <c r="N35" s="216"/>
      <c r="U35" s="216"/>
      <c r="V35" s="216"/>
      <c r="W35" s="216"/>
      <c r="X35" s="216"/>
      <c r="Y35" s="216"/>
      <c r="Z35" s="216"/>
      <c r="AA35" s="216"/>
      <c r="AB35" s="216"/>
      <c r="AC35" s="216"/>
      <c r="AD35" s="216"/>
      <c r="AE35" s="216"/>
      <c r="AF35" s="216"/>
      <c r="AG35" s="216"/>
      <c r="AH35" s="216"/>
    </row>
    <row r="36" spans="1:34" ht="20.25" outlineLevel="1">
      <c r="A36" s="694"/>
      <c r="B36" s="216"/>
      <c r="C36" s="295" t="s">
        <v>196</v>
      </c>
      <c r="D36" s="296">
        <f>'[7]P&amp;L vs BP'!$I$18</f>
        <v>31133</v>
      </c>
      <c r="E36" s="296">
        <f>'[7]P&amp;L vs BP'!$H$18</f>
        <v>27586</v>
      </c>
      <c r="F36" s="296">
        <f>E36-D36</f>
        <v>-3547</v>
      </c>
      <c r="G36" s="216"/>
      <c r="H36" s="216"/>
      <c r="I36" s="216"/>
      <c r="J36" s="216"/>
      <c r="K36" s="216"/>
      <c r="L36" s="216"/>
      <c r="N36" s="216"/>
      <c r="U36" s="216"/>
      <c r="V36" s="216"/>
      <c r="W36" s="216"/>
      <c r="X36" s="216"/>
      <c r="Y36" s="216"/>
      <c r="Z36" s="216"/>
      <c r="AA36" s="216"/>
      <c r="AB36" s="216"/>
      <c r="AC36" s="216"/>
      <c r="AD36" s="216"/>
      <c r="AE36" s="216"/>
      <c r="AF36" s="216"/>
      <c r="AG36" s="216"/>
      <c r="AH36" s="216"/>
    </row>
    <row r="37" spans="1:34" outlineLevel="1">
      <c r="A37" s="694"/>
      <c r="B37" s="216"/>
      <c r="C37" s="216"/>
      <c r="D37" s="216"/>
      <c r="E37" s="216"/>
      <c r="F37" s="216"/>
      <c r="G37" s="216"/>
      <c r="H37" s="216"/>
      <c r="I37" s="216"/>
      <c r="J37" s="216"/>
      <c r="K37" s="216"/>
      <c r="L37" s="216"/>
      <c r="M37" s="216"/>
      <c r="N37" s="216"/>
      <c r="U37" s="216"/>
      <c r="V37" s="216"/>
      <c r="W37" s="216"/>
      <c r="X37" s="216"/>
      <c r="Y37" s="216"/>
      <c r="Z37" s="216"/>
      <c r="AA37" s="216"/>
      <c r="AB37" s="216"/>
      <c r="AC37" s="216"/>
      <c r="AD37" s="216"/>
      <c r="AE37" s="216"/>
      <c r="AF37" s="216"/>
      <c r="AG37" s="216"/>
      <c r="AH37" s="216"/>
    </row>
    <row r="38" spans="1:34" s="694" customFormat="1" outlineLevel="1">
      <c r="B38" s="695"/>
      <c r="C38" s="695"/>
      <c r="D38" s="695"/>
      <c r="E38" s="695"/>
      <c r="F38" s="695"/>
      <c r="G38" s="695"/>
      <c r="H38" s="695"/>
      <c r="I38" s="695"/>
      <c r="J38" s="695"/>
      <c r="K38" s="695"/>
      <c r="L38" s="695"/>
      <c r="M38" s="695"/>
      <c r="N38" s="695"/>
      <c r="U38" s="695"/>
      <c r="V38" s="695"/>
      <c r="W38" s="695"/>
      <c r="X38" s="695"/>
      <c r="Y38" s="695"/>
      <c r="Z38" s="695"/>
      <c r="AA38" s="695"/>
      <c r="AB38" s="695"/>
      <c r="AC38" s="695"/>
      <c r="AD38" s="695"/>
      <c r="AE38" s="695"/>
      <c r="AF38" s="695"/>
      <c r="AG38" s="695"/>
      <c r="AH38" s="695"/>
    </row>
    <row r="39" spans="1:34" outlineLevel="1">
      <c r="B39" s="216"/>
      <c r="C39" s="216"/>
      <c r="D39" s="216"/>
      <c r="E39" s="216"/>
      <c r="F39" s="216"/>
      <c r="G39" s="216"/>
      <c r="H39" s="216"/>
      <c r="I39" s="216"/>
      <c r="J39" s="216"/>
      <c r="K39" s="216"/>
      <c r="L39" s="216"/>
      <c r="M39" s="216"/>
      <c r="N39" s="216"/>
      <c r="U39" s="216"/>
      <c r="V39" s="216"/>
      <c r="W39" s="216"/>
      <c r="X39" s="216"/>
      <c r="Y39" s="216"/>
      <c r="Z39" s="216"/>
      <c r="AA39" s="216"/>
      <c r="AB39" s="216"/>
      <c r="AC39" s="216"/>
      <c r="AD39" s="216"/>
      <c r="AE39" s="216"/>
      <c r="AF39" s="216"/>
      <c r="AG39" s="216"/>
      <c r="AH39" s="216"/>
    </row>
    <row r="40" spans="1:34">
      <c r="B40" s="216"/>
      <c r="C40" s="216"/>
      <c r="D40" s="216"/>
      <c r="E40" s="216"/>
      <c r="F40" s="216"/>
      <c r="G40" s="216"/>
      <c r="H40" s="216"/>
      <c r="I40" s="216"/>
      <c r="J40" s="216"/>
      <c r="K40" s="216"/>
      <c r="L40" s="216"/>
      <c r="M40" s="216"/>
      <c r="N40" s="216"/>
      <c r="U40" s="216"/>
      <c r="V40" s="216"/>
      <c r="W40" s="216"/>
      <c r="X40" s="216"/>
      <c r="Y40" s="216"/>
      <c r="Z40" s="216"/>
      <c r="AA40" s="216"/>
      <c r="AB40" s="216"/>
      <c r="AC40" s="216"/>
      <c r="AD40" s="216"/>
      <c r="AE40" s="216"/>
      <c r="AF40" s="216"/>
      <c r="AG40" s="216"/>
      <c r="AH40" s="216"/>
    </row>
    <row r="41" spans="1:34">
      <c r="B41" s="216"/>
      <c r="C41" s="216"/>
      <c r="D41" s="216"/>
      <c r="E41" s="216"/>
      <c r="F41" s="216"/>
      <c r="G41" s="216"/>
      <c r="H41" s="216"/>
      <c r="I41" s="216"/>
      <c r="J41" s="216"/>
      <c r="K41" s="216"/>
      <c r="L41" s="216"/>
      <c r="M41" s="216"/>
      <c r="N41" s="216"/>
      <c r="U41" s="216"/>
      <c r="V41" s="216"/>
      <c r="W41" s="216"/>
      <c r="X41" s="216"/>
      <c r="Y41" s="216"/>
      <c r="Z41" s="216"/>
      <c r="AA41" s="216"/>
      <c r="AB41" s="216"/>
      <c r="AC41" s="216"/>
      <c r="AD41" s="216"/>
      <c r="AE41" s="216"/>
      <c r="AF41" s="216"/>
      <c r="AG41" s="216"/>
      <c r="AH41" s="216"/>
    </row>
    <row r="42" spans="1:34">
      <c r="B42" s="216"/>
      <c r="C42" s="216"/>
      <c r="D42" s="216"/>
      <c r="E42" s="216"/>
      <c r="F42" s="216"/>
      <c r="G42" s="216"/>
      <c r="H42" s="216"/>
      <c r="I42" s="216"/>
      <c r="J42" s="216"/>
      <c r="K42" s="216"/>
      <c r="L42" s="216"/>
      <c r="M42" s="216"/>
      <c r="N42" s="216"/>
      <c r="U42" s="216"/>
      <c r="V42" s="216"/>
      <c r="W42" s="216"/>
      <c r="X42" s="216"/>
      <c r="Y42" s="216"/>
      <c r="Z42" s="216"/>
      <c r="AA42" s="216"/>
      <c r="AB42" s="216"/>
      <c r="AC42" s="216"/>
      <c r="AD42" s="216"/>
      <c r="AE42" s="216"/>
      <c r="AF42" s="216"/>
      <c r="AG42" s="216"/>
      <c r="AH42" s="216"/>
    </row>
    <row r="43" spans="1:34">
      <c r="B43" s="216"/>
      <c r="C43" s="216"/>
      <c r="D43" s="216"/>
      <c r="E43" s="216"/>
      <c r="F43" s="216"/>
      <c r="G43" s="216"/>
      <c r="H43" s="216"/>
      <c r="I43" s="216"/>
      <c r="J43" s="216"/>
      <c r="K43" s="216"/>
      <c r="L43" s="216"/>
      <c r="M43" s="216"/>
      <c r="N43" s="216"/>
      <c r="O43" s="216"/>
      <c r="U43" s="216"/>
      <c r="V43" s="286"/>
      <c r="W43" s="216"/>
      <c r="X43" s="216"/>
      <c r="Y43" s="216"/>
      <c r="Z43" s="216"/>
      <c r="AA43" s="216"/>
      <c r="AB43" s="216"/>
      <c r="AC43" s="216"/>
      <c r="AD43" s="216"/>
      <c r="AE43" s="216"/>
      <c r="AF43" s="216"/>
      <c r="AG43" s="216"/>
      <c r="AH43" s="216"/>
    </row>
    <row r="44" spans="1:34" ht="28.5">
      <c r="A44" s="696"/>
      <c r="B44" s="299" t="s">
        <v>197</v>
      </c>
      <c r="C44" s="216"/>
      <c r="D44" s="216"/>
      <c r="E44" s="216"/>
      <c r="F44" s="216"/>
      <c r="G44" s="216"/>
      <c r="H44" s="216"/>
      <c r="I44" s="216"/>
      <c r="J44" s="216"/>
      <c r="K44" s="216"/>
      <c r="L44" s="216"/>
      <c r="M44" s="216"/>
      <c r="N44" s="216"/>
      <c r="O44" s="216"/>
      <c r="P44" s="216"/>
      <c r="Q44" s="216"/>
      <c r="R44" s="216"/>
      <c r="S44" s="216"/>
      <c r="T44" s="216"/>
      <c r="U44" s="216"/>
      <c r="V44" s="216"/>
      <c r="W44" s="216"/>
      <c r="X44" s="216"/>
      <c r="Y44" s="216"/>
      <c r="Z44" s="216"/>
      <c r="AA44" s="216"/>
      <c r="AB44" s="216"/>
      <c r="AC44" s="216"/>
      <c r="AD44" s="216"/>
      <c r="AE44" s="216"/>
      <c r="AF44" s="216"/>
      <c r="AG44" s="216"/>
      <c r="AH44" s="216"/>
    </row>
    <row r="45" spans="1:34">
      <c r="A45" s="696"/>
      <c r="B45" s="216"/>
      <c r="C45" s="216"/>
      <c r="D45" s="216"/>
      <c r="E45" s="216"/>
      <c r="F45" s="216"/>
      <c r="G45" s="216"/>
      <c r="H45" s="216"/>
      <c r="I45" s="216"/>
      <c r="J45" s="216"/>
      <c r="K45" s="216"/>
      <c r="L45" s="216"/>
      <c r="M45" s="216"/>
      <c r="N45" s="216"/>
      <c r="O45" s="216"/>
      <c r="P45" s="216"/>
      <c r="Q45" s="216"/>
      <c r="R45" s="216"/>
      <c r="S45" s="216"/>
      <c r="T45" s="216"/>
      <c r="U45" s="216"/>
      <c r="V45" s="216"/>
      <c r="W45" s="216"/>
      <c r="X45" s="216"/>
      <c r="Y45" s="216"/>
      <c r="Z45" s="216"/>
      <c r="AA45" s="216"/>
      <c r="AB45" s="216"/>
      <c r="AC45" s="216"/>
      <c r="AD45" s="216"/>
      <c r="AE45" s="216"/>
      <c r="AF45" s="216"/>
      <c r="AG45" s="216"/>
      <c r="AH45" s="216"/>
    </row>
    <row r="46" spans="1:34">
      <c r="A46" s="696"/>
      <c r="B46" s="216"/>
      <c r="C46" s="216"/>
      <c r="D46" s="216"/>
      <c r="E46" s="216"/>
      <c r="F46" s="216"/>
      <c r="G46" s="216"/>
      <c r="H46" s="216"/>
      <c r="I46" s="216"/>
      <c r="J46" s="216"/>
      <c r="K46" s="216"/>
      <c r="L46" s="216"/>
      <c r="M46" s="216"/>
      <c r="N46" t="s">
        <v>490</v>
      </c>
      <c r="O46" s="711">
        <f>'[7]New KPI vs BP'!$CE$2</f>
        <v>0</v>
      </c>
      <c r="Q46" t="s">
        <v>491</v>
      </c>
      <c r="R46" s="681">
        <f>[8]ACT_VOL!$N$5</f>
        <v>0</v>
      </c>
      <c r="U46" s="216"/>
      <c r="V46" s="216"/>
      <c r="W46" s="216"/>
      <c r="X46" s="216"/>
      <c r="Y46" s="216"/>
      <c r="Z46" s="216"/>
      <c r="AA46" s="216"/>
      <c r="AB46" s="216"/>
      <c r="AC46" s="216"/>
      <c r="AD46" s="216"/>
      <c r="AE46" s="216"/>
      <c r="AF46" s="216"/>
      <c r="AG46" s="216"/>
      <c r="AH46" s="216"/>
    </row>
    <row r="47" spans="1:34" ht="20.25">
      <c r="A47" s="696"/>
      <c r="B47" s="216"/>
      <c r="C47" s="226" t="str">
        <f>B52</f>
        <v>BP MTD</v>
      </c>
      <c r="D47" s="226" t="str">
        <f>C52</f>
        <v>Act MTD</v>
      </c>
      <c r="E47" s="226" t="s">
        <v>320</v>
      </c>
      <c r="F47" s="226" t="s">
        <v>321</v>
      </c>
      <c r="G47" s="226" t="s">
        <v>322</v>
      </c>
      <c r="H47" s="292" t="s">
        <v>323</v>
      </c>
      <c r="I47" s="216"/>
      <c r="J47" s="216"/>
      <c r="K47" s="216"/>
      <c r="L47" s="216"/>
      <c r="M47" s="216"/>
      <c r="N47" s="216"/>
      <c r="O47" s="216"/>
      <c r="P47" s="216"/>
      <c r="Q47" s="216"/>
      <c r="R47" s="216"/>
      <c r="S47" s="216"/>
      <c r="T47" s="216"/>
      <c r="U47" s="216"/>
      <c r="V47" s="216"/>
      <c r="W47" s="216"/>
      <c r="X47" s="216"/>
      <c r="Y47" s="216"/>
      <c r="Z47" s="216"/>
      <c r="AA47" s="216"/>
      <c r="AB47" s="216"/>
      <c r="AC47" s="216"/>
      <c r="AD47" s="216"/>
      <c r="AE47" s="216"/>
      <c r="AF47" s="216"/>
      <c r="AG47" s="216"/>
      <c r="AH47" s="216"/>
    </row>
    <row r="48" spans="1:34" ht="20.25">
      <c r="A48" s="696"/>
      <c r="B48" s="226" t="s">
        <v>324</v>
      </c>
      <c r="C48" s="229">
        <f>INDEX('Summary month'!$K$27:$M$27,1,MATCH($C$1,'Summary month'!$O$6:$Q$6,0))</f>
        <v>87.516627375201153</v>
      </c>
      <c r="D48" s="229">
        <f>INDEX('Summary month'!$F$27:$H$27,1,MATCH($C$1,'Summary month'!$O$6:$Q$6,0))</f>
        <v>86.083619587646751</v>
      </c>
      <c r="E48" s="226">
        <f>+D48-C48</f>
        <v>-1.4330077875544021</v>
      </c>
      <c r="F48" s="226">
        <f>B61</f>
        <v>-3.6931139940785229E-2</v>
      </c>
      <c r="G48" s="568">
        <f>SUM(C61:S61)</f>
        <v>-1.3960766476136168</v>
      </c>
      <c r="H48" s="502">
        <f>E48-F48-G48</f>
        <v>0</v>
      </c>
      <c r="I48" s="216"/>
      <c r="J48" s="216"/>
      <c r="K48" s="216"/>
      <c r="L48" s="216"/>
      <c r="M48" s="216"/>
      <c r="N48" s="216"/>
      <c r="O48" s="216"/>
      <c r="P48" s="216"/>
      <c r="Q48" s="216"/>
      <c r="R48" s="216"/>
      <c r="S48" s="216"/>
      <c r="T48" s="216"/>
      <c r="U48" s="216"/>
      <c r="V48" s="216"/>
      <c r="W48" s="216"/>
      <c r="X48" s="216"/>
      <c r="Y48" s="216"/>
      <c r="Z48" s="216"/>
      <c r="AA48" s="216"/>
      <c r="AB48" s="216"/>
      <c r="AC48" s="216"/>
      <c r="AD48" s="216"/>
      <c r="AE48" s="216"/>
      <c r="AF48" s="216"/>
      <c r="AG48" s="216"/>
      <c r="AH48" s="216"/>
    </row>
    <row r="49" spans="1:34" ht="20.25">
      <c r="A49" s="696"/>
      <c r="B49" s="226" t="s">
        <v>325</v>
      </c>
      <c r="C49" s="229">
        <f>INDEX('Summary month'!$K$46:$M$46,1,MATCH($C$1,'Summary month'!$O$6:$Q$6,0))</f>
        <v>-145.46811288321501</v>
      </c>
      <c r="D49" s="229">
        <f>INDEX('Summary month'!$F$46:$H$46,1,MATCH($C$1,'Summary month'!$O$6:$Q$6,0))</f>
        <v>-128.47130442265509</v>
      </c>
      <c r="E49" s="226">
        <f>+D49-C49</f>
        <v>16.996808460559919</v>
      </c>
      <c r="F49" s="226">
        <f>T61</f>
        <v>0.44392454621448191</v>
      </c>
      <c r="G49" s="568">
        <f>SUM(U61:AH61)</f>
        <v>16.552883914345436</v>
      </c>
      <c r="H49" s="502">
        <f>E49-F49-G49</f>
        <v>0</v>
      </c>
      <c r="I49" s="216"/>
      <c r="J49" s="216"/>
      <c r="K49" s="216"/>
      <c r="L49" s="216"/>
      <c r="M49" s="216"/>
      <c r="N49" s="216"/>
      <c r="O49" s="216"/>
      <c r="P49" s="216"/>
      <c r="Q49" s="216"/>
      <c r="R49" s="216"/>
      <c r="S49" s="216"/>
      <c r="T49" s="216"/>
      <c r="U49" s="216"/>
      <c r="V49" s="216"/>
      <c r="W49" s="216"/>
      <c r="X49" s="216"/>
      <c r="Y49" s="216"/>
      <c r="Z49" s="216"/>
      <c r="AA49" s="216"/>
      <c r="AB49" s="216"/>
      <c r="AC49" s="216"/>
      <c r="AD49" s="216"/>
      <c r="AE49" s="216"/>
      <c r="AF49" s="216"/>
      <c r="AG49" s="216"/>
      <c r="AH49" s="216"/>
    </row>
    <row r="50" spans="1:34" ht="20.25">
      <c r="A50" s="696"/>
      <c r="B50" s="226" t="s">
        <v>326</v>
      </c>
      <c r="C50" s="568">
        <f>+C48+C49</f>
        <v>-57.95148550801386</v>
      </c>
      <c r="D50" s="568">
        <f>+D48+D49</f>
        <v>-42.387684835008343</v>
      </c>
      <c r="E50" s="226">
        <f>+D50-C50</f>
        <v>15.563800673005517</v>
      </c>
      <c r="F50" s="226">
        <f>+E50-G50</f>
        <v>0.40699340627369729</v>
      </c>
      <c r="G50" s="568">
        <f>+G48+G49</f>
        <v>15.156807266731819</v>
      </c>
      <c r="H50" s="502">
        <f>E50-F50-G50</f>
        <v>0</v>
      </c>
      <c r="I50" s="216"/>
      <c r="J50" s="216"/>
      <c r="K50" s="216"/>
      <c r="L50" s="216"/>
      <c r="M50" s="216"/>
      <c r="N50" s="216"/>
      <c r="O50" s="216"/>
      <c r="P50" s="216"/>
      <c r="Q50" s="216"/>
      <c r="R50" s="216"/>
      <c r="S50" s="216"/>
      <c r="T50" s="216"/>
      <c r="U50" s="216"/>
      <c r="V50" s="216"/>
      <c r="W50" s="216"/>
      <c r="X50" s="216"/>
      <c r="Y50" s="216"/>
      <c r="Z50" s="216"/>
      <c r="AA50" s="216"/>
      <c r="AB50" s="216"/>
      <c r="AC50" s="216"/>
      <c r="AD50" s="216"/>
      <c r="AE50" s="216"/>
      <c r="AF50" s="216"/>
      <c r="AG50" s="216"/>
      <c r="AH50" s="216"/>
    </row>
    <row r="51" spans="1:34" ht="18">
      <c r="A51" s="696"/>
      <c r="B51" s="215"/>
      <c r="C51" s="216"/>
      <c r="D51" s="215"/>
      <c r="E51" s="216"/>
      <c r="F51" s="215"/>
      <c r="G51" s="217" t="s">
        <v>138</v>
      </c>
      <c r="H51" s="216"/>
      <c r="I51" s="216"/>
      <c r="J51" s="216"/>
      <c r="K51" s="216"/>
      <c r="L51" s="216"/>
      <c r="M51" s="216"/>
      <c r="N51" s="216"/>
      <c r="O51" s="216"/>
      <c r="P51" s="216"/>
      <c r="Q51" s="216"/>
      <c r="R51" s="216"/>
      <c r="S51" s="216"/>
      <c r="T51" s="216"/>
      <c r="U51" s="216"/>
      <c r="V51" s="216"/>
      <c r="W51" s="216"/>
      <c r="X51" s="216"/>
      <c r="Y51" s="216"/>
      <c r="Z51" s="216"/>
      <c r="AA51" s="216"/>
      <c r="AB51" s="216"/>
      <c r="AC51" s="216"/>
      <c r="AD51" s="216"/>
      <c r="AE51" s="216"/>
      <c r="AF51" s="216"/>
      <c r="AG51" s="216"/>
      <c r="AH51" s="216"/>
    </row>
    <row r="52" spans="1:34" ht="20.25">
      <c r="A52" s="696"/>
      <c r="B52" s="1014" t="s">
        <v>206</v>
      </c>
      <c r="C52" s="1014" t="s">
        <v>207</v>
      </c>
      <c r="D52" s="218"/>
      <c r="E52" s="219"/>
      <c r="F52" s="219"/>
      <c r="G52" s="220"/>
      <c r="H52" s="216"/>
      <c r="I52" s="216"/>
      <c r="J52" s="216"/>
      <c r="K52" s="216"/>
      <c r="L52" s="216" t="s">
        <v>301</v>
      </c>
      <c r="M52" s="721">
        <f>SUM(E55:E57,G55)</f>
        <v>-3.6931139940785229E-2</v>
      </c>
      <c r="N52" s="216"/>
      <c r="O52" s="221"/>
      <c r="P52" s="221"/>
      <c r="Q52" s="221"/>
      <c r="R52" s="216"/>
      <c r="S52" s="216"/>
      <c r="T52" s="216"/>
      <c r="U52" s="216"/>
      <c r="V52" s="216"/>
      <c r="W52" s="221"/>
      <c r="X52" s="221"/>
      <c r="Y52" s="221"/>
      <c r="Z52" s="221"/>
      <c r="AA52" s="221"/>
      <c r="AB52" s="221"/>
      <c r="AC52" s="221"/>
      <c r="AD52" s="221"/>
      <c r="AE52" s="221"/>
      <c r="AF52" s="221"/>
      <c r="AG52" s="221"/>
      <c r="AH52" s="221"/>
    </row>
    <row r="53" spans="1:34" ht="20.25">
      <c r="A53" s="696"/>
      <c r="B53" s="1015"/>
      <c r="C53" s="1016"/>
      <c r="D53" s="222"/>
      <c r="E53" s="223" t="s">
        <v>154</v>
      </c>
      <c r="F53" s="224" t="s">
        <v>198</v>
      </c>
      <c r="G53" s="225" t="s">
        <v>156</v>
      </c>
      <c r="H53" s="216"/>
      <c r="I53" s="720" t="s">
        <v>208</v>
      </c>
      <c r="J53" s="216"/>
      <c r="K53" s="216"/>
      <c r="L53" s="216" t="s">
        <v>302</v>
      </c>
      <c r="M53" s="722">
        <f>SUM(U62:AH62,AJ76:AK76)</f>
        <v>0.44392454621448191</v>
      </c>
      <c r="N53" s="216"/>
      <c r="O53" s="216"/>
      <c r="P53" s="216"/>
      <c r="Q53" s="216"/>
      <c r="R53" s="216"/>
      <c r="S53" s="216"/>
      <c r="T53" s="216"/>
      <c r="V53" s="216"/>
      <c r="W53" s="216"/>
      <c r="X53" s="216"/>
      <c r="Y53" s="216"/>
      <c r="Z53" s="216"/>
      <c r="AA53" s="216"/>
      <c r="AB53" s="216"/>
      <c r="AC53" s="413" t="s">
        <v>266</v>
      </c>
      <c r="AD53" s="663">
        <v>-0.3613090120424497</v>
      </c>
      <c r="AE53" s="216" t="s">
        <v>452</v>
      </c>
      <c r="AF53" s="408"/>
      <c r="AG53" s="216"/>
      <c r="AH53" s="216"/>
    </row>
    <row r="54" spans="1:34" ht="20.25">
      <c r="A54" s="696"/>
      <c r="B54" s="226">
        <f>INDEX('Summary month'!$K$47:$M$47,1,MATCH($C$1,'Summary month'!$O$6:$Q$6,0))</f>
        <v>-57.95148550801386</v>
      </c>
      <c r="C54" s="226">
        <f>INDEX('Summary month'!$F$47:$H$47,1,MATCH($C$1,'Summary month'!$O$6:$Q$6,0))</f>
        <v>-42.387684835008343</v>
      </c>
      <c r="D54" s="227">
        <f>C54-B54</f>
        <v>15.563800673005517</v>
      </c>
      <c r="E54" s="566">
        <f>SUM(M52:M53)</f>
        <v>0.40699340627369668</v>
      </c>
      <c r="F54" s="566">
        <f>INDEX('Summary month'!$O$27:$Q$27,1,MATCH($C$1,'Summary month'!$O$6:$Q$6,0))-M52</f>
        <v>-1.3960766476136168</v>
      </c>
      <c r="G54" s="569">
        <f>INDEX('Summary month'!$O$46:$Q$46,1,MATCH($C$1,'Summary month'!$O$6:$Q$6,0))-M53</f>
        <v>16.552883914345436</v>
      </c>
      <c r="H54" s="216"/>
      <c r="I54" s="709">
        <f>SUM(E54:G54)-D54</f>
        <v>0</v>
      </c>
      <c r="J54" s="322"/>
      <c r="K54" s="216"/>
      <c r="L54" s="216"/>
      <c r="M54" s="216"/>
      <c r="N54" s="216"/>
      <c r="O54" s="230"/>
      <c r="P54" s="216"/>
      <c r="Q54" s="216"/>
      <c r="R54" s="216"/>
      <c r="S54" s="216"/>
      <c r="T54" s="216"/>
      <c r="U54" s="216"/>
      <c r="V54" s="216"/>
      <c r="W54" s="230"/>
      <c r="X54" s="411"/>
      <c r="Y54" s="230"/>
      <c r="Z54" s="230"/>
      <c r="AA54" s="230"/>
      <c r="AB54" s="230"/>
      <c r="AC54" s="664" t="s">
        <v>269</v>
      </c>
      <c r="AD54" s="666">
        <f>-2407/1000</f>
        <v>-2.407</v>
      </c>
      <c r="AE54" s="230" t="s">
        <v>451</v>
      </c>
      <c r="AF54" s="410"/>
      <c r="AG54" s="230"/>
      <c r="AH54" s="230"/>
    </row>
    <row r="55" spans="1:34">
      <c r="A55" s="696"/>
      <c r="B55" s="216"/>
      <c r="C55" s="216"/>
      <c r="D55" s="720" t="s">
        <v>139</v>
      </c>
      <c r="E55" s="723">
        <f>[8]CMOR_MTD_vsBP!$I$154+[8]CMOR_MTD_vsBP!$I$156+[8]CMOR_MTD_vsBP!$I$168</f>
        <v>0</v>
      </c>
      <c r="F55" s="720" t="s">
        <v>193</v>
      </c>
      <c r="G55" s="724">
        <f>[8]CMOR_MTD_vsBP!$I$169+[8]CMOR_MTD_vsBP!$I$157+[8]CMOR_MTD_vsBP!$I$159</f>
        <v>0</v>
      </c>
      <c r="H55" s="216"/>
      <c r="I55" s="216"/>
      <c r="J55" s="216"/>
      <c r="K55" s="216"/>
      <c r="L55" s="216"/>
      <c r="M55" s="216"/>
      <c r="N55" s="216"/>
      <c r="O55" s="216"/>
      <c r="P55" s="216"/>
      <c r="Q55" s="216"/>
      <c r="R55" s="216"/>
      <c r="S55" s="216"/>
      <c r="T55" s="216"/>
      <c r="U55" s="216"/>
      <c r="V55" s="216"/>
      <c r="W55" s="216" t="s">
        <v>145</v>
      </c>
      <c r="X55" s="411">
        <v>0.31749183999999991</v>
      </c>
      <c r="Y55" s="479">
        <v>0.13019810900000001</v>
      </c>
      <c r="Z55" s="216"/>
      <c r="AA55" s="216"/>
      <c r="AB55" s="216"/>
      <c r="AC55" s="413" t="s">
        <v>141</v>
      </c>
      <c r="AD55" s="663">
        <v>7.6442068000000057E-2</v>
      </c>
      <c r="AE55" s="216" t="s">
        <v>452</v>
      </c>
      <c r="AF55" s="408"/>
      <c r="AG55" s="216"/>
      <c r="AH55" s="216"/>
    </row>
    <row r="56" spans="1:34">
      <c r="A56" s="696"/>
      <c r="B56" s="216"/>
      <c r="C56" s="216"/>
      <c r="D56" s="720" t="s">
        <v>200</v>
      </c>
      <c r="E56" s="723">
        <f>[8]CMOR_MTD_vsBP!$I$164+[8]CMOR_MTD_vsBP!$I$165</f>
        <v>-3.6931139940785229E-2</v>
      </c>
      <c r="F56" s="720"/>
      <c r="G56" s="720"/>
      <c r="H56" s="216"/>
      <c r="I56" s="216"/>
      <c r="J56" s="216"/>
      <c r="K56" s="216"/>
      <c r="L56" s="216"/>
      <c r="M56" s="232"/>
      <c r="N56" s="216"/>
      <c r="O56" s="216"/>
      <c r="P56" s="216"/>
      <c r="Q56" s="216"/>
      <c r="R56" s="216"/>
      <c r="S56" s="216"/>
      <c r="T56" s="216"/>
      <c r="W56" t="s">
        <v>193</v>
      </c>
      <c r="X56" s="412">
        <v>0.52690561600000008</v>
      </c>
      <c r="Y56" s="129">
        <v>0</v>
      </c>
      <c r="AC56" s="413" t="s">
        <v>144</v>
      </c>
      <c r="AD56" s="665">
        <f>AD61-SUM(AD53:AD55)</f>
        <v>21.032712649158086</v>
      </c>
      <c r="AH56" s="216"/>
    </row>
    <row r="57" spans="1:34" ht="21" thickBot="1">
      <c r="A57" s="696"/>
      <c r="B57" s="231" t="s">
        <v>157</v>
      </c>
      <c r="C57" s="232"/>
      <c r="D57" s="725" t="s">
        <v>145</v>
      </c>
      <c r="E57" s="726">
        <f>[8]CMOR_MTD_vsBP!$I$160+[8]CMOR_MTD_vsBP!$I$162+[8]CMOR_MTD_vsBP!$I$170</f>
        <v>0</v>
      </c>
      <c r="F57" s="725"/>
      <c r="G57" s="725"/>
      <c r="H57" s="232"/>
      <c r="I57" s="232"/>
      <c r="J57" s="232"/>
      <c r="K57" s="232"/>
      <c r="L57" s="232"/>
      <c r="N57" s="232"/>
      <c r="O57" s="232"/>
      <c r="P57" s="232"/>
      <c r="Q57" s="232"/>
      <c r="R57" s="232"/>
      <c r="S57" s="232"/>
      <c r="T57" s="232"/>
      <c r="U57" s="232"/>
      <c r="V57" s="232"/>
      <c r="W57" s="232" t="s">
        <v>144</v>
      </c>
      <c r="X57" s="440">
        <f>X61-SUM(X55:X56)</f>
        <v>-0.81997058318221105</v>
      </c>
      <c r="Y57" s="232"/>
      <c r="Z57" s="232"/>
      <c r="AA57" s="232"/>
      <c r="AB57" s="232"/>
      <c r="AC57" s="232"/>
      <c r="AD57" s="232"/>
      <c r="AE57" s="232"/>
      <c r="AF57" s="232"/>
      <c r="AG57" s="232"/>
      <c r="AH57" s="217" t="s">
        <v>138</v>
      </c>
    </row>
    <row r="58" spans="1:34" ht="21" thickBot="1">
      <c r="A58" s="696"/>
      <c r="B58" s="233"/>
      <c r="C58" s="234" t="s">
        <v>199</v>
      </c>
      <c r="D58" s="234"/>
      <c r="E58" s="234"/>
      <c r="F58" s="234"/>
      <c r="G58" s="234"/>
      <c r="H58" s="234"/>
      <c r="I58" s="234"/>
      <c r="J58" s="234"/>
      <c r="K58" s="234"/>
      <c r="L58" s="234"/>
      <c r="M58" s="234"/>
      <c r="N58" s="234"/>
      <c r="O58" s="234"/>
      <c r="P58" s="234"/>
      <c r="Q58" s="234"/>
      <c r="R58" s="234"/>
      <c r="S58" s="235"/>
      <c r="T58" s="236"/>
      <c r="U58" s="237" t="s">
        <v>160</v>
      </c>
      <c r="V58" s="237"/>
      <c r="W58" s="237"/>
      <c r="X58" s="237"/>
      <c r="Y58" s="237"/>
      <c r="Z58" s="237"/>
      <c r="AA58" s="237"/>
      <c r="AB58" s="237"/>
      <c r="AC58" s="237"/>
      <c r="AD58" s="237"/>
      <c r="AE58" s="237"/>
      <c r="AF58" s="237"/>
      <c r="AG58" s="237"/>
      <c r="AH58" s="238"/>
    </row>
    <row r="59" spans="1:34" ht="20.25">
      <c r="A59" s="696"/>
      <c r="B59" s="1027" t="s">
        <v>274</v>
      </c>
      <c r="C59" s="239" t="s">
        <v>161</v>
      </c>
      <c r="D59" s="240"/>
      <c r="E59" s="240"/>
      <c r="F59" s="240"/>
      <c r="G59" s="241"/>
      <c r="H59" s="1017" t="s">
        <v>162</v>
      </c>
      <c r="I59" s="242" t="s">
        <v>163</v>
      </c>
      <c r="J59" s="243"/>
      <c r="K59" s="243"/>
      <c r="L59" s="243"/>
      <c r="M59" s="243"/>
      <c r="N59" s="244"/>
      <c r="O59" s="1029" t="s">
        <v>164</v>
      </c>
      <c r="P59" s="1029" t="s">
        <v>165</v>
      </c>
      <c r="Q59" s="1019" t="s">
        <v>166</v>
      </c>
      <c r="R59" s="1022" t="s">
        <v>167</v>
      </c>
      <c r="S59" s="1023" t="s">
        <v>168</v>
      </c>
      <c r="T59" s="1027" t="s">
        <v>274</v>
      </c>
      <c r="U59" s="245" t="s">
        <v>169</v>
      </c>
      <c r="V59" s="246"/>
      <c r="W59" s="246"/>
      <c r="X59" s="247"/>
      <c r="Y59" s="248" t="s">
        <v>163</v>
      </c>
      <c r="Z59" s="246"/>
      <c r="AA59" s="246"/>
      <c r="AB59" s="246"/>
      <c r="AC59" s="246"/>
      <c r="AD59" s="247"/>
      <c r="AE59" s="1022" t="s">
        <v>166</v>
      </c>
      <c r="AF59" s="1025" t="s">
        <v>167</v>
      </c>
      <c r="AG59" s="311"/>
      <c r="AH59" s="1012" t="s">
        <v>168</v>
      </c>
    </row>
    <row r="60" spans="1:34" ht="60.75">
      <c r="A60" s="696"/>
      <c r="B60" s="1028"/>
      <c r="C60" s="249" t="s">
        <v>170</v>
      </c>
      <c r="D60" s="300" t="s">
        <v>171</v>
      </c>
      <c r="E60" s="250" t="s">
        <v>172</v>
      </c>
      <c r="F60" s="250" t="s">
        <v>173</v>
      </c>
      <c r="G60" s="251" t="s">
        <v>174</v>
      </c>
      <c r="H60" s="1018"/>
      <c r="I60" s="250" t="s">
        <v>175</v>
      </c>
      <c r="J60" s="250" t="s">
        <v>176</v>
      </c>
      <c r="K60" s="250" t="s">
        <v>201</v>
      </c>
      <c r="L60" s="250" t="s">
        <v>178</v>
      </c>
      <c r="M60" s="250" t="s">
        <v>168</v>
      </c>
      <c r="N60" s="250" t="s">
        <v>179</v>
      </c>
      <c r="O60" s="1030"/>
      <c r="P60" s="1031"/>
      <c r="Q60" s="1021"/>
      <c r="R60" s="1021"/>
      <c r="S60" s="1024"/>
      <c r="T60" s="1028"/>
      <c r="U60" s="307" t="s">
        <v>203</v>
      </c>
      <c r="V60" s="308" t="s">
        <v>180</v>
      </c>
      <c r="W60" s="309" t="s">
        <v>181</v>
      </c>
      <c r="X60" s="310" t="s">
        <v>33</v>
      </c>
      <c r="Y60" s="305" t="s">
        <v>25</v>
      </c>
      <c r="Z60" s="306" t="s">
        <v>183</v>
      </c>
      <c r="AA60" s="306" t="s">
        <v>204</v>
      </c>
      <c r="AB60" s="306" t="s">
        <v>205</v>
      </c>
      <c r="AC60" s="306" t="s">
        <v>184</v>
      </c>
      <c r="AD60" s="306" t="s">
        <v>30</v>
      </c>
      <c r="AE60" s="1021"/>
      <c r="AF60" s="1026"/>
      <c r="AG60" s="312" t="s">
        <v>37</v>
      </c>
      <c r="AH60" s="1013"/>
    </row>
    <row r="61" spans="1:34" ht="21" thickBot="1">
      <c r="A61" s="696"/>
      <c r="B61" s="712">
        <f>M52</f>
        <v>-3.6931139940785229E-2</v>
      </c>
      <c r="C61" s="713">
        <f>SUM([8]CMOR_MTD_vsBP!$J$22+[8]CMOR_MTD_vsBP!$K$22)</f>
        <v>0</v>
      </c>
      <c r="D61" s="737"/>
      <c r="E61" s="710">
        <f>[8]CMOR_MTD_vsBP!$N$22</f>
        <v>0</v>
      </c>
      <c r="F61" s="710">
        <f>[8]CMOR_MTD_vsBP!$M$22+[8]CMOR_MTD_vsBP!$L$22</f>
        <v>0</v>
      </c>
      <c r="G61" s="710"/>
      <c r="H61" s="710"/>
      <c r="I61" s="710"/>
      <c r="J61" s="710"/>
      <c r="K61" s="710"/>
      <c r="L61" s="710"/>
      <c r="M61" s="710"/>
      <c r="N61" s="748"/>
      <c r="O61" s="737"/>
      <c r="P61" s="737"/>
      <c r="Q61" s="716"/>
      <c r="R61" s="710">
        <f>[8]CMOR_MTD_vsBP!$Q$22</f>
        <v>-3.0258692239999871</v>
      </c>
      <c r="S61" s="714">
        <f>F54-SUM(C61:R61)</f>
        <v>1.6297925763863703</v>
      </c>
      <c r="T61" s="713">
        <f>M53</f>
        <v>0.44392454621448191</v>
      </c>
      <c r="U61" s="713">
        <f>INDEX('Summary month'!$O$17:$Q$74,MATCH(U60,'Summary month'!$D$17:$D$74,0),MATCH($C$1,'Summary month'!$O$6:$Q$6,0))-U62</f>
        <v>3.1916235729543345</v>
      </c>
      <c r="V61" s="715">
        <f>INDEX('Summary month'!$O$17:$Q$74,MATCH(V60,'Summary month'!$D$17:$D$74,0),MATCH($C$1,'Summary month'!$O$6:$Q$6,0))-V62</f>
        <v>6.950051104566457E-2</v>
      </c>
      <c r="W61" s="715"/>
      <c r="X61" s="715">
        <f>INDEX('Summary month'!$O$17:$Q$74,MATCH(X60,'Summary month'!$D$17:$D$74,0),MATCH($C$1,'Summary month'!$O$6:$Q$6,0))-X62</f>
        <v>2.4426872817788936E-2</v>
      </c>
      <c r="Y61" s="715">
        <f>INDEX('Summary month'!$O$17:$Q$74,MATCH(Y60,'Summary month'!$D$17:$D$74,0),MATCH($C$1,'Summary month'!$O$6:$Q$6,0))-Y62</f>
        <v>1.4947647723329651</v>
      </c>
      <c r="Z61" s="715">
        <f>INDEX('Summary month'!$O$17:$Q$74,MATCH(Z60,'Summary month'!$D$17:$D$74,0),MATCH($C$1,'Summary month'!$O$6:$Q$6,0))-Z62</f>
        <v>-0.14203889782914639</v>
      </c>
      <c r="AA61" s="715">
        <f>INDEX('Summary month'!$O$17:$Q$74,MATCH(AA60,'Summary month'!$D$17:$D$74,0),MATCH($C$1,'Summary month'!$O$6:$Q$6,0))-AA62</f>
        <v>1.0794793314293116E-2</v>
      </c>
      <c r="AB61" s="739"/>
      <c r="AC61" s="715">
        <f>INDEX('Summary month'!$O$17:$Q$74,MATCH(AC60,'Summary month'!$D$17:$D$74,0),MATCH($C$1,'Summary month'!$O$6:$Q$6,0))-AC62</f>
        <v>-1.5355153807910504</v>
      </c>
      <c r="AD61" s="715">
        <f>INDEX('Summary month'!$O$17:$Q$74,MATCH(AD60,'Summary month'!$D$17:$D$74,0),MATCH($C$1,'Summary month'!$O$6:$Q$6,0))-AD62</f>
        <v>18.340845705115637</v>
      </c>
      <c r="AE61" s="716"/>
      <c r="AF61" s="717"/>
      <c r="AG61" s="710">
        <f>INDEX('Summary month'!$O$17:$Q$74,MATCH(AG60,'Summary month'!$D$17:$D$74,0),MATCH($C$1,'Summary month'!$O$6:$Q$6,0))-AG62</f>
        <v>-4.4020679199069574</v>
      </c>
      <c r="AH61" s="718">
        <f>G54-SUM(U61:AG61)</f>
        <v>-0.4994501147080932</v>
      </c>
    </row>
    <row r="62" spans="1:34" ht="18">
      <c r="A62" s="696"/>
      <c r="B62" s="216"/>
      <c r="C62" s="272"/>
      <c r="D62" s="216"/>
      <c r="E62" s="587"/>
      <c r="F62" s="587"/>
      <c r="G62" s="216"/>
      <c r="H62" s="216"/>
      <c r="I62" s="596"/>
      <c r="J62" s="596"/>
      <c r="K62" s="596"/>
      <c r="L62" s="596"/>
      <c r="M62" s="596"/>
      <c r="N62" s="216"/>
      <c r="O62" s="216"/>
      <c r="P62" s="216"/>
      <c r="Q62" s="216"/>
      <c r="R62" s="216"/>
      <c r="S62" s="315"/>
      <c r="T62" s="216"/>
      <c r="U62" s="745">
        <f>[8]CMOR_MTD_vsBP!$I$155</f>
        <v>0</v>
      </c>
      <c r="V62" s="745"/>
      <c r="W62" s="746"/>
      <c r="X62" s="746">
        <f>SUM(Y55:Y56)</f>
        <v>0.13019810900000001</v>
      </c>
      <c r="Y62" s="746">
        <f>[8]CMOR_MTD_vsBP!$I$163-Z62</f>
        <v>0.11203816049974566</v>
      </c>
      <c r="Z62" s="746">
        <f>[8]VA_MZ_MTD!$W$10</f>
        <v>1.5629364828154968E-3</v>
      </c>
      <c r="AA62" s="746"/>
      <c r="AB62" s="746"/>
      <c r="AC62" s="746">
        <f>[8]CMOR_MTD_vsBP!$I$167</f>
        <v>0</v>
      </c>
      <c r="AD62" s="746"/>
      <c r="AE62" s="746"/>
      <c r="AF62" s="746"/>
      <c r="AG62" s="747">
        <f>[8]CMOR_MTD_vsBP!$I$166-AJ76-AK76</f>
        <v>0.45725272890696073</v>
      </c>
      <c r="AH62" s="746"/>
    </row>
    <row r="63" spans="1:34">
      <c r="A63" s="696"/>
      <c r="B63" s="221"/>
      <c r="C63" s="327"/>
      <c r="D63" s="216"/>
      <c r="E63" s="286"/>
      <c r="F63" s="491"/>
      <c r="I63" s="597"/>
      <c r="J63" s="597"/>
      <c r="K63" s="597"/>
      <c r="L63" s="597"/>
      <c r="M63" s="597"/>
      <c r="N63" s="485"/>
      <c r="O63" s="221"/>
      <c r="P63" s="221"/>
      <c r="Q63" s="221"/>
      <c r="R63" s="406"/>
      <c r="S63" s="495"/>
      <c r="T63" s="221"/>
      <c r="U63" s="495">
        <f>[8]CMOR_MTD_vsBP!$T$22</f>
        <v>0.78981123691288957</v>
      </c>
      <c r="V63" s="221"/>
      <c r="W63" s="221"/>
    </row>
    <row r="64" spans="1:34">
      <c r="A64" s="696"/>
      <c r="B64" s="221"/>
      <c r="C64" s="327"/>
      <c r="D64" s="216"/>
      <c r="E64" s="286"/>
      <c r="F64" s="491"/>
      <c r="I64" s="597"/>
      <c r="J64" s="597"/>
      <c r="K64" s="597"/>
      <c r="L64" s="597"/>
      <c r="M64" s="597"/>
      <c r="N64" s="485"/>
      <c r="O64" s="221"/>
      <c r="P64" s="221"/>
      <c r="Q64" s="221"/>
      <c r="R64" s="406"/>
      <c r="S64" s="495"/>
      <c r="T64" s="221"/>
      <c r="U64" s="495"/>
      <c r="V64" s="221"/>
      <c r="W64" s="221"/>
    </row>
    <row r="65" spans="1:39">
      <c r="A65" s="696"/>
      <c r="B65" s="221"/>
      <c r="C65" s="327"/>
      <c r="D65" s="216"/>
      <c r="E65" s="286"/>
      <c r="F65" s="491"/>
      <c r="I65" s="597"/>
      <c r="J65" s="597"/>
      <c r="K65" s="597"/>
      <c r="L65" s="597"/>
      <c r="M65" s="597"/>
      <c r="N65" s="485"/>
      <c r="O65" s="221"/>
      <c r="P65" s="221"/>
      <c r="Q65" s="221"/>
      <c r="R65" s="406"/>
      <c r="S65" s="495"/>
      <c r="T65" s="221"/>
      <c r="U65" s="495"/>
      <c r="V65" s="221"/>
      <c r="W65" s="221"/>
    </row>
    <row r="66" spans="1:39">
      <c r="A66" s="696"/>
      <c r="B66" s="221"/>
      <c r="C66" s="327"/>
      <c r="D66" s="216"/>
      <c r="E66" s="286"/>
      <c r="F66" s="491"/>
      <c r="I66" s="597"/>
      <c r="J66" s="597"/>
      <c r="K66" s="597"/>
      <c r="L66" s="597"/>
      <c r="M66" s="597"/>
      <c r="N66" s="485"/>
      <c r="O66" s="221"/>
      <c r="P66" s="221"/>
      <c r="Q66" s="221"/>
      <c r="R66" s="406"/>
      <c r="S66" s="495"/>
      <c r="T66" s="221"/>
      <c r="U66" s="495"/>
      <c r="V66" s="221"/>
      <c r="W66" s="221"/>
    </row>
    <row r="67" spans="1:39">
      <c r="A67" s="696"/>
      <c r="B67" s="221"/>
      <c r="C67" s="327"/>
      <c r="D67" s="216"/>
      <c r="E67" s="286"/>
      <c r="F67" s="491"/>
      <c r="I67" s="597"/>
      <c r="J67" s="597"/>
      <c r="K67" s="597"/>
      <c r="L67" s="597"/>
      <c r="M67" s="597"/>
      <c r="N67" s="485"/>
      <c r="O67" s="221"/>
      <c r="P67" s="221"/>
      <c r="Q67" s="221"/>
      <c r="R67" s="406"/>
      <c r="S67" s="495"/>
      <c r="T67" s="221"/>
      <c r="U67" s="495"/>
      <c r="V67" s="221"/>
      <c r="W67" s="221"/>
    </row>
    <row r="68" spans="1:39">
      <c r="A68" s="696"/>
      <c r="B68" s="221"/>
      <c r="C68" s="327"/>
      <c r="D68" s="216"/>
      <c r="E68" s="286"/>
      <c r="F68" s="491"/>
      <c r="I68" s="597"/>
      <c r="J68" s="597"/>
      <c r="K68" s="597"/>
      <c r="L68" s="597"/>
      <c r="M68" s="597"/>
      <c r="N68" s="485"/>
      <c r="O68" s="221"/>
      <c r="P68" s="221"/>
      <c r="Q68" s="221"/>
      <c r="R68" s="406"/>
      <c r="S68" s="495"/>
      <c r="T68" s="221"/>
      <c r="U68" s="495"/>
      <c r="V68" s="221"/>
      <c r="W68" s="221"/>
    </row>
    <row r="69" spans="1:39">
      <c r="A69" s="696"/>
      <c r="B69" s="221"/>
      <c r="C69" s="327"/>
      <c r="D69" s="216"/>
      <c r="E69" s="286"/>
      <c r="F69" s="491"/>
      <c r="I69" s="597"/>
      <c r="J69" s="597"/>
      <c r="K69" s="597"/>
      <c r="L69" s="597"/>
      <c r="M69" s="597"/>
      <c r="N69" s="485"/>
      <c r="O69" s="221"/>
      <c r="P69" s="221"/>
      <c r="Q69" s="221"/>
      <c r="R69" s="406"/>
      <c r="S69" s="495"/>
      <c r="T69" s="221"/>
      <c r="U69" s="495"/>
      <c r="V69" s="221"/>
      <c r="W69" s="221"/>
    </row>
    <row r="70" spans="1:39">
      <c r="A70" s="696"/>
      <c r="B70" s="221"/>
      <c r="C70" s="327"/>
      <c r="D70" s="216"/>
      <c r="E70" s="286"/>
      <c r="F70" s="491"/>
      <c r="I70" s="597"/>
      <c r="J70" s="597"/>
      <c r="K70" s="597"/>
      <c r="L70" s="597"/>
      <c r="M70" s="597"/>
      <c r="N70" s="485"/>
      <c r="O70" s="221"/>
      <c r="P70" s="221"/>
      <c r="Q70" s="221"/>
      <c r="R70" s="406"/>
      <c r="S70" s="495"/>
      <c r="T70" s="221"/>
      <c r="U70" s="495"/>
      <c r="V70" s="221"/>
      <c r="W70" s="221"/>
    </row>
    <row r="71" spans="1:39">
      <c r="A71" s="696"/>
      <c r="B71" s="221"/>
      <c r="C71" s="327"/>
      <c r="D71" s="216"/>
      <c r="E71" s="286"/>
      <c r="F71" s="491"/>
      <c r="I71" s="597"/>
      <c r="J71" s="597"/>
      <c r="K71" s="597"/>
      <c r="L71" s="597"/>
      <c r="M71" s="597"/>
      <c r="N71" s="485"/>
      <c r="O71" s="221"/>
      <c r="P71" s="221"/>
      <c r="Q71" s="221"/>
      <c r="R71" s="406"/>
      <c r="S71" s="495"/>
      <c r="T71" s="221"/>
      <c r="U71" s="495"/>
      <c r="V71" s="221"/>
      <c r="W71" s="221"/>
    </row>
    <row r="72" spans="1:39">
      <c r="A72" s="696"/>
      <c r="B72" s="221"/>
      <c r="C72" s="327"/>
      <c r="D72" s="216"/>
      <c r="E72" s="286"/>
      <c r="F72" s="491"/>
      <c r="I72" s="597"/>
      <c r="J72" s="597"/>
      <c r="K72" s="597"/>
      <c r="L72" s="597"/>
      <c r="M72" s="597"/>
      <c r="N72" s="485"/>
      <c r="O72" s="221"/>
      <c r="P72" s="221"/>
      <c r="Q72" s="221"/>
      <c r="R72" s="406"/>
      <c r="S72" s="495"/>
      <c r="T72" s="221"/>
      <c r="U72" s="495"/>
      <c r="V72" s="221"/>
      <c r="W72" s="221"/>
    </row>
    <row r="73" spans="1:39">
      <c r="A73" s="696"/>
      <c r="B73" s="221"/>
      <c r="C73" s="327"/>
      <c r="D73" s="216"/>
      <c r="E73" s="286"/>
      <c r="F73" s="491"/>
      <c r="I73" s="597"/>
      <c r="J73" s="597"/>
      <c r="K73" s="597"/>
      <c r="L73" s="597"/>
      <c r="M73" s="597"/>
      <c r="N73" s="485"/>
      <c r="O73" s="221"/>
      <c r="P73" s="221"/>
      <c r="Q73" s="221"/>
      <c r="R73" s="406"/>
      <c r="S73" s="495"/>
      <c r="T73" s="221"/>
      <c r="U73" s="495"/>
      <c r="V73" s="221"/>
      <c r="W73" s="221"/>
    </row>
    <row r="74" spans="1:39">
      <c r="A74" s="696"/>
      <c r="B74" s="588" t="s">
        <v>454</v>
      </c>
      <c r="C74" s="590"/>
      <c r="D74" s="216"/>
      <c r="F74" s="216"/>
      <c r="I74" s="216"/>
      <c r="J74" s="216"/>
      <c r="K74" s="216"/>
      <c r="L74" s="216"/>
      <c r="M74" s="216"/>
      <c r="N74" s="216"/>
      <c r="O74" s="216"/>
      <c r="P74" s="216"/>
      <c r="Q74" s="216"/>
      <c r="R74" s="216"/>
      <c r="S74" s="216"/>
      <c r="T74" s="221"/>
      <c r="U74" s="216"/>
      <c r="V74" s="216"/>
      <c r="W74" s="216"/>
      <c r="AM74" s="364"/>
    </row>
    <row r="75" spans="1:39" ht="20.25">
      <c r="A75" s="696"/>
      <c r="C75" t="s">
        <v>456</v>
      </c>
      <c r="D75" s="216" t="s">
        <v>457</v>
      </c>
      <c r="E75" s="678"/>
      <c r="F75" s="678"/>
      <c r="G75" s="679" t="s">
        <v>475</v>
      </c>
      <c r="I75" s="273" t="s">
        <v>188</v>
      </c>
      <c r="J75" s="274"/>
      <c r="K75" s="274"/>
      <c r="L75" s="274"/>
      <c r="M75" s="275">
        <f>M61</f>
        <v>0</v>
      </c>
      <c r="N75" s="216"/>
      <c r="O75" s="216"/>
      <c r="P75" s="273" t="s">
        <v>191</v>
      </c>
      <c r="Q75" s="274"/>
      <c r="R75" s="274"/>
      <c r="S75" s="294">
        <f>S61</f>
        <v>1.6297925763863703</v>
      </c>
      <c r="T75" s="221"/>
      <c r="U75" s="272"/>
      <c r="V75" s="272"/>
      <c r="W75" s="216"/>
      <c r="X75" s="263" t="s">
        <v>185</v>
      </c>
      <c r="Y75" s="264"/>
      <c r="Z75" s="264"/>
      <c r="AA75" s="265">
        <f>AD61</f>
        <v>18.340845705115637</v>
      </c>
      <c r="AE75" s="263" t="s">
        <v>186</v>
      </c>
      <c r="AF75" s="264"/>
      <c r="AG75" s="264"/>
      <c r="AH75" s="265">
        <f>AH61</f>
        <v>-0.4994501147080932</v>
      </c>
      <c r="AK75" t="s">
        <v>315</v>
      </c>
    </row>
    <row r="76" spans="1:39" ht="18">
      <c r="A76" s="696"/>
      <c r="B76" s="588" t="s">
        <v>455</v>
      </c>
      <c r="C76" s="589"/>
      <c r="D76" s="367"/>
      <c r="E76" s="532"/>
      <c r="F76" s="216"/>
      <c r="G76" t="s">
        <v>288</v>
      </c>
      <c r="H76" s="332">
        <f>-1.895372337-AD54</f>
        <v>0.51162766300000007</v>
      </c>
      <c r="I76" s="279">
        <v>1</v>
      </c>
      <c r="J76" s="276" t="s">
        <v>361</v>
      </c>
      <c r="K76" s="277"/>
      <c r="L76" s="277"/>
      <c r="M76" s="281"/>
      <c r="N76" s="216"/>
      <c r="O76" s="216"/>
      <c r="P76" s="279">
        <v>1</v>
      </c>
      <c r="Q76" s="269" t="s">
        <v>193</v>
      </c>
      <c r="R76" s="270"/>
      <c r="S76" s="743">
        <f>[8]CMOR_MTD_vsBP!$O$22</f>
        <v>-0.1029393430000024</v>
      </c>
      <c r="T76" s="216"/>
      <c r="U76" s="216"/>
      <c r="V76" s="286"/>
      <c r="W76" s="216"/>
      <c r="X76" s="268">
        <v>1</v>
      </c>
      <c r="Y76" s="269" t="s">
        <v>368</v>
      </c>
      <c r="Z76" s="270"/>
      <c r="AA76" s="271">
        <f>AD53</f>
        <v>-0.3613090120424497</v>
      </c>
      <c r="AE76" s="268">
        <v>1</v>
      </c>
      <c r="AF76" s="269" t="s">
        <v>39</v>
      </c>
      <c r="AG76" s="270"/>
      <c r="AH76" s="271">
        <f>INDEX('Summary month'!$O$17:$Q$74,MATCH(AF76,'Summary month'!$D$17:$D$44,0),MATCH($C$1,'Summary month'!$O$6:$Q$6,0))-AJ76-AK76</f>
        <v>-0.49945011470808548</v>
      </c>
      <c r="AI76" t="s">
        <v>262</v>
      </c>
      <c r="AJ76" s="441">
        <f>INDEX('Summary month'!$O$17:$Q$74,MATCH(AI76,'Summary month'!$D$17:$D$74,0),MATCH($C$1,'Summary month'!$O$6:$Q$6,0))</f>
        <v>-0.21049838867504</v>
      </c>
      <c r="AK76" s="129">
        <f>-46629/10^6</f>
        <v>-4.6628999999999997E-2</v>
      </c>
      <c r="AM76" s="121"/>
    </row>
    <row r="77" spans="1:39" ht="18">
      <c r="A77" s="696"/>
      <c r="B77" s="216"/>
      <c r="C77" s="438"/>
      <c r="D77" s="216"/>
      <c r="E77" s="532"/>
      <c r="F77" s="216"/>
      <c r="G77" t="s">
        <v>290</v>
      </c>
      <c r="H77" s="749">
        <v>0.19645216500000001</v>
      </c>
      <c r="I77" s="279">
        <v>2</v>
      </c>
      <c r="J77" s="276" t="s">
        <v>363</v>
      </c>
      <c r="K77" s="277"/>
      <c r="L77" s="277"/>
      <c r="M77" s="281"/>
      <c r="N77" s="216"/>
      <c r="O77" s="216"/>
      <c r="P77" s="279">
        <v>2</v>
      </c>
      <c r="Q77" s="276" t="s">
        <v>143</v>
      </c>
      <c r="R77" s="277"/>
      <c r="S77" s="736">
        <f>SUM('[7]New KPI vs BP'!$H$449)</f>
        <v>-0.74064408587393393</v>
      </c>
      <c r="T77" s="221"/>
      <c r="U77" s="216"/>
      <c r="V77" s="216"/>
      <c r="W77" s="216"/>
      <c r="X77" s="268">
        <v>2</v>
      </c>
      <c r="Y77" s="276"/>
      <c r="Z77" s="277"/>
      <c r="AA77" s="278"/>
      <c r="AE77" s="268">
        <v>2</v>
      </c>
      <c r="AF77" s="276" t="s">
        <v>424</v>
      </c>
      <c r="AG77" s="277"/>
      <c r="AH77" s="278">
        <v>7.59</v>
      </c>
      <c r="AI77" t="s">
        <v>144</v>
      </c>
      <c r="AJ77" s="412">
        <f>AH76</f>
        <v>-0.49945011470808548</v>
      </c>
    </row>
    <row r="78" spans="1:39" ht="18">
      <c r="A78" s="696"/>
      <c r="B78" s="216"/>
      <c r="C78" s="570"/>
      <c r="D78" s="216"/>
      <c r="E78" s="532"/>
      <c r="F78" s="216"/>
      <c r="G78" s="221" t="s">
        <v>282</v>
      </c>
      <c r="H78" s="749">
        <v>-0.2296363480000001</v>
      </c>
      <c r="I78" s="279">
        <v>3</v>
      </c>
      <c r="J78" s="276" t="s">
        <v>406</v>
      </c>
      <c r="K78" s="277"/>
      <c r="L78" s="277"/>
      <c r="M78" s="281"/>
      <c r="O78" s="216"/>
      <c r="P78" s="279">
        <v>3</v>
      </c>
      <c r="Q78" s="276" t="s">
        <v>195</v>
      </c>
      <c r="R78" s="277"/>
      <c r="S78" s="736">
        <v>12.148466642355917</v>
      </c>
      <c r="W78" s="216"/>
      <c r="X78" s="268">
        <v>3</v>
      </c>
      <c r="Y78" s="276"/>
      <c r="Z78" s="277"/>
      <c r="AA78" s="278"/>
      <c r="AE78" s="268">
        <v>3</v>
      </c>
      <c r="AF78" s="276" t="s">
        <v>421</v>
      </c>
      <c r="AG78" s="277"/>
      <c r="AH78" s="278">
        <v>0.84326311868053405</v>
      </c>
    </row>
    <row r="79" spans="1:39" ht="18" customHeight="1">
      <c r="A79" s="696"/>
      <c r="B79" s="216"/>
      <c r="C79" s="216"/>
      <c r="D79" s="272"/>
      <c r="E79" s="272"/>
      <c r="F79" s="272"/>
      <c r="G79" s="221" t="s">
        <v>294</v>
      </c>
      <c r="H79" s="485"/>
      <c r="I79" s="279">
        <v>4</v>
      </c>
      <c r="J79" s="276" t="s">
        <v>288</v>
      </c>
      <c r="K79" s="277"/>
      <c r="L79" s="277"/>
      <c r="M79" s="736">
        <v>0.51162766300000007</v>
      </c>
      <c r="O79" s="216"/>
      <c r="P79" s="279">
        <v>4</v>
      </c>
      <c r="Q79" s="276" t="s">
        <v>247</v>
      </c>
      <c r="R79" s="277"/>
      <c r="S79" s="736">
        <v>71.200542213999995</v>
      </c>
      <c r="W79" s="216"/>
      <c r="X79" s="268">
        <v>4</v>
      </c>
      <c r="Y79" s="276"/>
      <c r="Z79" s="277"/>
      <c r="AA79" s="278"/>
      <c r="AE79" s="268">
        <v>4</v>
      </c>
      <c r="AF79" s="276"/>
      <c r="AG79" s="277"/>
      <c r="AH79" s="278"/>
    </row>
    <row r="80" spans="1:39" ht="15" customHeight="1">
      <c r="A80" s="696"/>
      <c r="B80" s="216"/>
      <c r="C80" s="272"/>
      <c r="D80" s="216"/>
      <c r="E80" s="216"/>
      <c r="F80" s="216"/>
      <c r="G80" s="221"/>
      <c r="H80" s="332"/>
      <c r="I80" s="279">
        <v>5</v>
      </c>
      <c r="J80" s="276" t="s">
        <v>290</v>
      </c>
      <c r="K80" s="277"/>
      <c r="L80" s="277"/>
      <c r="M80" s="736">
        <v>0.19645216500000001</v>
      </c>
      <c r="N80" s="424"/>
      <c r="O80" s="216"/>
      <c r="P80" s="279">
        <v>5</v>
      </c>
      <c r="Q80" s="276"/>
      <c r="R80" s="277"/>
      <c r="S80" s="736"/>
      <c r="X80" s="282">
        <v>5</v>
      </c>
      <c r="Y80" s="283" t="s">
        <v>182</v>
      </c>
      <c r="Z80" s="284"/>
      <c r="AA80" s="285">
        <f>AA75-SUM(AA76:AA79)</f>
        <v>18.702154717158088</v>
      </c>
      <c r="AE80" s="282">
        <v>5</v>
      </c>
      <c r="AF80" s="283" t="s">
        <v>182</v>
      </c>
      <c r="AG80" s="284"/>
      <c r="AH80" s="285">
        <f>AH75-SUM(AH76:AH79)</f>
        <v>-8.4332631186805429</v>
      </c>
    </row>
    <row r="81" spans="1:39" ht="18">
      <c r="A81" s="696"/>
      <c r="B81" s="216"/>
      <c r="C81" s="272"/>
      <c r="D81" s="216"/>
      <c r="E81" s="216"/>
      <c r="F81" s="216"/>
      <c r="H81" s="334"/>
      <c r="I81" s="279">
        <v>6</v>
      </c>
      <c r="J81" s="276" t="s">
        <v>282</v>
      </c>
      <c r="K81" s="277"/>
      <c r="L81" s="277"/>
      <c r="M81" s="736">
        <v>-0.2296363480000001</v>
      </c>
      <c r="N81" s="323"/>
      <c r="O81" s="216"/>
      <c r="P81" s="279">
        <v>6</v>
      </c>
      <c r="Q81" s="571"/>
      <c r="R81" s="277"/>
      <c r="S81" s="281"/>
      <c r="T81" s="680" t="s">
        <v>476</v>
      </c>
      <c r="U81" s="314"/>
      <c r="X81" s="216"/>
      <c r="Y81" s="216"/>
      <c r="Z81" s="216"/>
      <c r="AA81" s="216"/>
      <c r="AC81" s="216"/>
      <c r="AD81" s="216"/>
      <c r="AE81" s="216"/>
      <c r="AF81" s="216"/>
      <c r="AG81" s="287"/>
      <c r="AH81" s="287"/>
      <c r="AM81" s="121"/>
    </row>
    <row r="82" spans="1:39" ht="20.25">
      <c r="A82" s="696"/>
      <c r="B82" s="216"/>
      <c r="C82" s="272"/>
      <c r="D82" s="272"/>
      <c r="E82" s="595"/>
      <c r="F82" s="595"/>
      <c r="G82" s="216"/>
      <c r="H82" s="332"/>
      <c r="I82" s="279">
        <v>7</v>
      </c>
      <c r="J82" s="276"/>
      <c r="K82" s="277"/>
      <c r="L82" s="277"/>
      <c r="M82" s="736"/>
      <c r="N82" s="216"/>
      <c r="O82" s="216"/>
      <c r="P82" s="279">
        <v>7</v>
      </c>
      <c r="Q82" s="276"/>
      <c r="R82" s="277"/>
      <c r="S82" s="281"/>
      <c r="T82" s="216"/>
      <c r="U82" s="314"/>
      <c r="X82" s="216"/>
      <c r="Y82" s="216"/>
      <c r="Z82" s="216"/>
      <c r="AA82" s="330"/>
      <c r="AC82" s="216"/>
      <c r="AD82" s="216"/>
      <c r="AE82" s="216"/>
      <c r="AF82" s="216"/>
      <c r="AG82" s="216"/>
      <c r="AH82" s="216"/>
    </row>
    <row r="83" spans="1:39" ht="18">
      <c r="A83" s="696"/>
      <c r="B83" s="216"/>
      <c r="C83" s="216"/>
      <c r="D83" s="216"/>
      <c r="E83" s="216"/>
      <c r="F83" s="216"/>
      <c r="G83" s="216"/>
      <c r="H83" s="216"/>
      <c r="I83" s="279">
        <v>8</v>
      </c>
      <c r="J83" s="276"/>
      <c r="K83" s="277"/>
      <c r="L83" s="277"/>
      <c r="M83" s="281"/>
      <c r="O83" s="216"/>
      <c r="P83" s="279">
        <v>8</v>
      </c>
      <c r="Q83" s="276"/>
      <c r="R83" s="277"/>
      <c r="S83" s="281"/>
      <c r="T83" t="s">
        <v>195</v>
      </c>
      <c r="U83" s="314">
        <v>12.148466642355917</v>
      </c>
      <c r="X83" s="216"/>
      <c r="Y83" s="216"/>
      <c r="Z83" s="216"/>
      <c r="AA83" s="330"/>
      <c r="AB83" s="216"/>
      <c r="AC83" s="216"/>
      <c r="AD83" s="216"/>
      <c r="AE83" s="216"/>
      <c r="AF83" s="216"/>
      <c r="AG83" s="216"/>
      <c r="AH83" s="216"/>
    </row>
    <row r="84" spans="1:39" ht="18">
      <c r="A84" s="696"/>
      <c r="B84" s="216"/>
      <c r="C84" s="216"/>
      <c r="D84" s="216"/>
      <c r="E84" s="216"/>
      <c r="F84" s="216"/>
      <c r="G84" s="216"/>
      <c r="H84" s="332"/>
      <c r="I84" s="279">
        <v>9</v>
      </c>
      <c r="J84" s="276"/>
      <c r="K84" s="277"/>
      <c r="L84" s="277"/>
      <c r="M84" s="281"/>
      <c r="P84" s="279">
        <v>9</v>
      </c>
      <c r="Q84" s="276"/>
      <c r="R84" s="277"/>
      <c r="S84" s="278"/>
      <c r="T84" t="s">
        <v>453</v>
      </c>
      <c r="U84" s="317"/>
      <c r="X84" s="216"/>
      <c r="Y84" s="216"/>
      <c r="Z84" s="216"/>
      <c r="AA84" s="216"/>
      <c r="AB84" s="216"/>
      <c r="AC84" s="216"/>
      <c r="AD84" s="216"/>
      <c r="AE84" s="216"/>
      <c r="AF84" s="216"/>
      <c r="AG84" s="216"/>
      <c r="AH84" s="216"/>
    </row>
    <row r="85" spans="1:39" ht="18">
      <c r="A85" s="696"/>
      <c r="B85" s="216"/>
      <c r="C85" s="216"/>
      <c r="D85" s="216"/>
      <c r="E85" s="216"/>
      <c r="F85" s="216"/>
      <c r="G85" s="216"/>
      <c r="H85" s="216"/>
      <c r="I85" s="288">
        <v>10</v>
      </c>
      <c r="J85" s="289" t="s">
        <v>182</v>
      </c>
      <c r="K85" s="284"/>
      <c r="L85" s="284"/>
      <c r="M85" s="290">
        <f>M75-SUM(M76:M84)</f>
        <v>-0.47844347999999992</v>
      </c>
      <c r="N85" s="216"/>
      <c r="P85" s="288">
        <v>10</v>
      </c>
      <c r="Q85" s="283" t="s">
        <v>182</v>
      </c>
      <c r="R85" s="284"/>
      <c r="S85" s="290">
        <f>S75-SUM(S76:S84)</f>
        <v>-80.875632851095617</v>
      </c>
      <c r="T85" t="s">
        <v>359</v>
      </c>
      <c r="U85" s="314"/>
      <c r="V85" s="286"/>
      <c r="X85" s="297"/>
      <c r="Y85" s="216"/>
      <c r="Z85" s="216"/>
      <c r="AA85" s="216"/>
      <c r="AB85" s="216"/>
      <c r="AC85" s="216"/>
      <c r="AD85" s="216"/>
      <c r="AE85" s="216"/>
      <c r="AF85" s="216"/>
      <c r="AG85" s="216"/>
      <c r="AH85" s="216"/>
    </row>
    <row r="86" spans="1:39">
      <c r="A86" s="696"/>
      <c r="B86" s="216"/>
      <c r="C86" s="216"/>
      <c r="D86" s="216"/>
      <c r="E86" s="216"/>
      <c r="F86" s="216"/>
      <c r="G86" s="216"/>
      <c r="H86" s="216"/>
      <c r="I86" s="216"/>
      <c r="J86" s="216"/>
      <c r="K86" s="216"/>
      <c r="L86" s="216"/>
      <c r="M86" s="216"/>
      <c r="N86" s="216"/>
      <c r="T86" s="221" t="s">
        <v>246</v>
      </c>
      <c r="U86" s="314">
        <v>11.346037275692279</v>
      </c>
      <c r="X86" s="216"/>
      <c r="Y86" s="216"/>
      <c r="Z86" s="216"/>
      <c r="AA86" s="216"/>
      <c r="AB86" s="216"/>
      <c r="AC86" s="216"/>
      <c r="AD86" s="216"/>
      <c r="AE86" s="216"/>
      <c r="AF86" s="216"/>
      <c r="AG86" s="216"/>
      <c r="AH86" s="216"/>
    </row>
    <row r="87" spans="1:39">
      <c r="A87" s="696"/>
      <c r="B87" s="216"/>
      <c r="C87" s="216"/>
      <c r="D87" s="216"/>
      <c r="E87" s="216"/>
      <c r="F87" s="216"/>
      <c r="G87" s="216"/>
      <c r="H87" s="216"/>
      <c r="I87" s="216"/>
      <c r="J87" s="216"/>
      <c r="K87" s="216"/>
      <c r="L87" s="216"/>
      <c r="M87" s="216"/>
      <c r="N87" s="216"/>
      <c r="Q87" s="543">
        <f>SUM(S77:S85)+SUM(H76:H79)-H78</f>
        <v>2.4408117473863675</v>
      </c>
      <c r="S87" s="318">
        <f>S85-S86</f>
        <v>-80.875632851095617</v>
      </c>
      <c r="T87" s="216" t="s">
        <v>222</v>
      </c>
      <c r="U87" s="314">
        <v>-68.012133343462466</v>
      </c>
      <c r="V87" s="216" t="s">
        <v>499</v>
      </c>
      <c r="W87">
        <v>-52.736101225857261</v>
      </c>
      <c r="X87" s="216"/>
      <c r="Y87" s="216"/>
      <c r="Z87" s="216"/>
      <c r="AA87" s="216"/>
      <c r="AB87" s="216"/>
      <c r="AC87" s="216"/>
      <c r="AD87" s="216"/>
      <c r="AE87" s="216"/>
      <c r="AF87" s="216"/>
      <c r="AG87" s="216"/>
      <c r="AH87" s="216"/>
    </row>
    <row r="88" spans="1:39">
      <c r="A88" s="696"/>
      <c r="B88" s="216"/>
      <c r="C88" s="216"/>
      <c r="D88" s="216"/>
      <c r="E88" s="216"/>
      <c r="F88" s="216"/>
      <c r="G88" s="216"/>
      <c r="H88" s="216"/>
      <c r="I88" s="216"/>
      <c r="J88" s="216"/>
      <c r="K88" s="216"/>
      <c r="L88" s="216"/>
      <c r="M88" s="216"/>
      <c r="N88" s="216"/>
      <c r="P88" t="s">
        <v>195</v>
      </c>
      <c r="Q88" s="332">
        <v>12.1</v>
      </c>
      <c r="T88" t="s">
        <v>336</v>
      </c>
      <c r="U88" s="318"/>
      <c r="X88" s="216"/>
      <c r="Y88" s="216"/>
      <c r="Z88" s="216"/>
      <c r="AA88" s="216"/>
      <c r="AB88" s="216"/>
      <c r="AC88" s="216"/>
      <c r="AD88" s="216"/>
      <c r="AE88" s="216"/>
      <c r="AF88" s="216"/>
      <c r="AG88" s="216"/>
      <c r="AH88" s="216"/>
    </row>
    <row r="89" spans="1:39">
      <c r="A89" s="696"/>
      <c r="B89" s="216"/>
      <c r="C89" s="216"/>
      <c r="D89" s="216"/>
      <c r="E89" s="216"/>
      <c r="F89" s="216"/>
      <c r="G89" s="216"/>
      <c r="H89" s="216"/>
      <c r="I89" s="216"/>
      <c r="J89" s="216"/>
      <c r="K89" s="216"/>
      <c r="L89" s="216"/>
      <c r="M89" s="216"/>
      <c r="N89" s="216"/>
      <c r="P89" t="s">
        <v>441</v>
      </c>
      <c r="Q89" s="332">
        <v>-52.7</v>
      </c>
      <c r="T89" s="216" t="s">
        <v>376</v>
      </c>
      <c r="U89" s="314"/>
      <c r="V89" s="700">
        <f>SUM('[7]New KPI vs BP'!$H$455:$H$456,'[7]New KPI vs BP'!$H$466)-SUM(U83:U88)</f>
        <v>13.362931940926302</v>
      </c>
      <c r="X89" s="216"/>
      <c r="Y89" s="216"/>
      <c r="Z89" s="216"/>
      <c r="AA89" s="216"/>
      <c r="AB89" s="216"/>
      <c r="AC89" s="216"/>
      <c r="AD89" s="216"/>
      <c r="AE89" s="216"/>
      <c r="AF89" s="216"/>
      <c r="AG89" s="216"/>
      <c r="AH89" s="216"/>
    </row>
    <row r="90" spans="1:39">
      <c r="A90" s="696"/>
      <c r="B90" s="216"/>
      <c r="C90" s="216"/>
      <c r="D90" s="216"/>
      <c r="E90" s="216"/>
      <c r="F90" s="216"/>
      <c r="G90" s="216"/>
      <c r="H90" s="216"/>
      <c r="I90" s="216"/>
      <c r="J90" s="216"/>
      <c r="K90" s="216"/>
      <c r="L90" s="216"/>
      <c r="M90" s="216"/>
      <c r="N90" s="332"/>
      <c r="P90" t="s">
        <v>458</v>
      </c>
      <c r="Q90" s="332">
        <v>-22</v>
      </c>
      <c r="T90" s="216" t="s">
        <v>223</v>
      </c>
      <c r="U90" s="314"/>
      <c r="V90" s="216"/>
      <c r="W90" s="529"/>
      <c r="X90" s="216"/>
      <c r="Y90" s="216"/>
      <c r="Z90" s="216"/>
      <c r="AA90" s="216"/>
      <c r="AB90" s="216"/>
      <c r="AC90" s="216"/>
      <c r="AD90" s="216"/>
      <c r="AE90" s="216"/>
      <c r="AF90" s="216"/>
      <c r="AG90" s="216"/>
      <c r="AH90" s="216"/>
    </row>
    <row r="91" spans="1:39">
      <c r="A91" s="696"/>
      <c r="B91" s="216"/>
      <c r="C91" s="216"/>
      <c r="D91" s="216"/>
      <c r="E91" s="216"/>
      <c r="F91" s="216"/>
      <c r="G91" s="216"/>
      <c r="H91" s="216"/>
      <c r="I91" s="216"/>
      <c r="J91" s="216" t="s">
        <v>361</v>
      </c>
      <c r="K91" s="216"/>
      <c r="L91" s="216"/>
      <c r="M91" s="216">
        <v>10.199999999999999</v>
      </c>
      <c r="N91" s="216"/>
      <c r="Q91" s="332"/>
      <c r="T91" s="216" t="s">
        <v>217</v>
      </c>
      <c r="U91" s="314">
        <f>SUM('[7]New KPI vs BP'!$H$453+'[7]New KPI vs BP'!$H$464)</f>
        <v>13.034839907139578</v>
      </c>
      <c r="V91" s="314"/>
      <c r="X91" s="532"/>
      <c r="Y91" s="532"/>
      <c r="Z91" s="216"/>
      <c r="AA91" s="216"/>
      <c r="AB91" s="216"/>
      <c r="AC91" s="216"/>
      <c r="AD91" s="216"/>
      <c r="AE91" s="216"/>
      <c r="AF91" s="216"/>
      <c r="AG91" s="216"/>
      <c r="AH91" s="216"/>
    </row>
    <row r="92" spans="1:39">
      <c r="A92" s="696"/>
      <c r="B92" s="216"/>
      <c r="C92" s="216"/>
      <c r="D92" s="216"/>
      <c r="E92" s="216"/>
      <c r="F92" s="216"/>
      <c r="G92" s="216"/>
      <c r="H92" s="216"/>
      <c r="I92" s="216"/>
      <c r="J92" s="216" t="s">
        <v>363</v>
      </c>
      <c r="K92" s="216"/>
      <c r="L92" s="216"/>
      <c r="M92" s="216">
        <v>-0.8</v>
      </c>
      <c r="N92" s="216"/>
      <c r="Q92" s="332"/>
      <c r="T92" s="216"/>
      <c r="U92" s="369"/>
      <c r="X92" s="532"/>
      <c r="Y92" s="532"/>
      <c r="Z92" s="216"/>
      <c r="AA92" s="216"/>
      <c r="AB92" s="216"/>
      <c r="AC92" s="216"/>
      <c r="AD92" s="216"/>
      <c r="AE92" s="216"/>
      <c r="AF92" s="216"/>
      <c r="AG92" s="216"/>
      <c r="AH92" s="216"/>
    </row>
    <row r="93" spans="1:39">
      <c r="A93" s="696"/>
      <c r="B93" s="216"/>
      <c r="C93" s="216"/>
      <c r="D93" s="216"/>
      <c r="E93" s="216"/>
      <c r="F93" s="216"/>
      <c r="G93" s="216"/>
      <c r="H93" s="216"/>
      <c r="I93" s="216"/>
      <c r="J93" s="216" t="s">
        <v>406</v>
      </c>
      <c r="K93" s="216"/>
      <c r="L93" s="216"/>
      <c r="M93" s="216">
        <v>-4.8</v>
      </c>
      <c r="N93" s="216"/>
      <c r="Q93" s="332"/>
      <c r="X93" s="216"/>
      <c r="Y93" s="216"/>
      <c r="Z93" s="216"/>
      <c r="AA93" s="216"/>
      <c r="AB93" s="216"/>
      <c r="AC93" s="216"/>
      <c r="AD93" s="216"/>
      <c r="AE93" s="216"/>
      <c r="AF93" s="216"/>
      <c r="AG93" s="216"/>
      <c r="AH93" s="216"/>
    </row>
    <row r="94" spans="1:39">
      <c r="A94" s="696"/>
      <c r="B94" s="216"/>
      <c r="C94" s="216"/>
      <c r="D94" s="216"/>
      <c r="E94" s="216"/>
      <c r="F94" s="216"/>
      <c r="G94" s="216"/>
      <c r="H94" s="216"/>
      <c r="I94" s="216"/>
      <c r="J94" s="216"/>
      <c r="K94" s="216"/>
      <c r="L94" s="216"/>
      <c r="M94" s="216"/>
      <c r="N94" s="216"/>
      <c r="T94" s="221"/>
      <c r="U94" s="317"/>
      <c r="Y94" s="216"/>
      <c r="Z94" s="216"/>
      <c r="AA94" s="216"/>
      <c r="AB94" s="216"/>
      <c r="AC94" s="216"/>
      <c r="AD94" s="216"/>
      <c r="AE94" s="216"/>
      <c r="AF94" s="216"/>
      <c r="AG94" s="216"/>
      <c r="AH94" s="216"/>
    </row>
    <row r="95" spans="1:39">
      <c r="A95" s="696"/>
      <c r="B95" s="216"/>
      <c r="C95" s="216"/>
      <c r="D95" s="216"/>
      <c r="E95" s="216"/>
      <c r="F95" s="216"/>
      <c r="G95" s="216"/>
      <c r="H95" s="216"/>
      <c r="I95" s="216"/>
      <c r="J95" s="216"/>
      <c r="K95" s="216"/>
      <c r="L95" s="216"/>
      <c r="M95" s="216"/>
      <c r="N95" s="216"/>
      <c r="Q95" s="412">
        <f>Q87-SUM(Q88:Q93)</f>
        <v>65.040811747386371</v>
      </c>
      <c r="AA95" s="216"/>
      <c r="AB95" s="216"/>
      <c r="AC95" s="216"/>
      <c r="AD95" s="216"/>
      <c r="AE95" s="216"/>
      <c r="AF95" s="216"/>
      <c r="AG95" s="216"/>
      <c r="AH95" s="216"/>
    </row>
    <row r="96" spans="1:39">
      <c r="A96" s="696"/>
    </row>
    <row r="97" spans="1:26">
      <c r="A97" s="696"/>
      <c r="V97" s="216"/>
    </row>
    <row r="98" spans="1:26">
      <c r="A98" s="696"/>
      <c r="Z98" s="314"/>
    </row>
    <row r="99" spans="1:26">
      <c r="A99" s="696"/>
      <c r="T99" s="216" t="s">
        <v>283</v>
      </c>
      <c r="U99" s="369">
        <f>SUM(U100:U102)</f>
        <v>-19.666662951267789</v>
      </c>
    </row>
    <row r="100" spans="1:26">
      <c r="A100" s="696"/>
      <c r="T100" s="135" t="s">
        <v>251</v>
      </c>
      <c r="U100" s="379"/>
      <c r="V100" s="528">
        <f>'[7]P&amp;L vs BP'!$H$238-'[7]New KPI vs BP'!$H$437-AC61-AB61</f>
        <v>-3.3636703192089499</v>
      </c>
    </row>
    <row r="101" spans="1:26">
      <c r="A101" s="696"/>
      <c r="T101" s="135" t="s">
        <v>144</v>
      </c>
      <c r="U101" s="379">
        <f>-AJ77-AD56-X57-AK76</f>
        <v>-19.666662951267789</v>
      </c>
      <c r="X101" s="216"/>
    </row>
    <row r="102" spans="1:26">
      <c r="A102" s="696"/>
      <c r="T102" s="372" t="s">
        <v>200</v>
      </c>
      <c r="U102" s="432"/>
    </row>
    <row r="103" spans="1:26">
      <c r="A103" s="696"/>
    </row>
    <row r="104" spans="1:26">
      <c r="A104" s="696"/>
    </row>
    <row r="105" spans="1:26">
      <c r="A105" s="696"/>
    </row>
    <row r="106" spans="1:26">
      <c r="A106" s="696"/>
    </row>
    <row r="107" spans="1:26">
      <c r="A107" s="696"/>
    </row>
    <row r="110" spans="1:26">
      <c r="V110" s="364"/>
    </row>
    <row r="111" spans="1:26">
      <c r="U111" s="216"/>
      <c r="V111" s="364"/>
    </row>
    <row r="112" spans="1:26">
      <c r="V112" s="365"/>
    </row>
    <row r="113" spans="22:22">
      <c r="V113" s="365"/>
    </row>
  </sheetData>
  <mergeCells count="26">
    <mergeCell ref="B10:B11"/>
    <mergeCell ref="C10:C11"/>
    <mergeCell ref="H17:H18"/>
    <mergeCell ref="O17:O18"/>
    <mergeCell ref="B17:B18"/>
    <mergeCell ref="B52:B53"/>
    <mergeCell ref="C52:C53"/>
    <mergeCell ref="AH17:AH18"/>
    <mergeCell ref="Q17:Q18"/>
    <mergeCell ref="R17:R18"/>
    <mergeCell ref="S17:S18"/>
    <mergeCell ref="AE17:AE18"/>
    <mergeCell ref="AF17:AF18"/>
    <mergeCell ref="P17:P18"/>
    <mergeCell ref="T17:T18"/>
    <mergeCell ref="B59:B60"/>
    <mergeCell ref="S59:S60"/>
    <mergeCell ref="AE59:AE60"/>
    <mergeCell ref="AF59:AF60"/>
    <mergeCell ref="AH59:AH60"/>
    <mergeCell ref="H59:H60"/>
    <mergeCell ref="O59:O60"/>
    <mergeCell ref="P59:P60"/>
    <mergeCell ref="Q59:Q60"/>
    <mergeCell ref="R59:R60"/>
    <mergeCell ref="T59:T60"/>
  </mergeCells>
  <pageMargins left="0.7" right="0.7" top="0.75" bottom="0.75" header="0.3" footer="0.3"/>
  <pageSetup orientation="portrait" r:id="rId1"/>
  <customProperties>
    <customPr name="_pios_id" r:id="rId2"/>
    <customPr name="EpmWorksheetKeyString_GUID" r:id="rId3"/>
  </customProperties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31EB1-C978-498B-9668-E8258475512A}">
  <dimension ref="A1:AM113"/>
  <sheetViews>
    <sheetView showGridLines="0" topLeftCell="A47" zoomScale="40" zoomScaleNormal="40" workbookViewId="0">
      <selection activeCell="AD26" sqref="AD26"/>
    </sheetView>
  </sheetViews>
  <sheetFormatPr defaultRowHeight="15"/>
  <cols>
    <col min="2" max="2" width="23.140625" customWidth="1"/>
    <col min="3" max="3" width="20.42578125" bestFit="1" customWidth="1"/>
    <col min="4" max="4" width="16.42578125" customWidth="1"/>
    <col min="5" max="5" width="15" bestFit="1" customWidth="1"/>
    <col min="6" max="6" width="15.5703125" bestFit="1" customWidth="1"/>
    <col min="7" max="7" width="11.5703125" customWidth="1"/>
    <col min="8" max="8" width="15.5703125" customWidth="1"/>
    <col min="9" max="9" width="10.140625" customWidth="1"/>
    <col min="10" max="10" width="12.140625" customWidth="1"/>
    <col min="11" max="11" width="10.140625" customWidth="1"/>
    <col min="12" max="12" width="15.140625" customWidth="1"/>
    <col min="13" max="13" width="11.5703125" bestFit="1" customWidth="1"/>
    <col min="15" max="15" width="11" customWidth="1"/>
    <col min="18" max="18" width="11.85546875" bestFit="1" customWidth="1"/>
    <col min="19" max="19" width="14.140625" bestFit="1" customWidth="1"/>
    <col min="20" max="20" width="10.42578125" customWidth="1"/>
    <col min="21" max="21" width="11.5703125" customWidth="1"/>
    <col min="22" max="22" width="20.5703125" bestFit="1" customWidth="1"/>
    <col min="24" max="24" width="10.5703125" customWidth="1"/>
    <col min="29" max="29" width="10.42578125" customWidth="1"/>
    <col min="30" max="30" width="11.42578125" customWidth="1"/>
    <col min="33" max="33" width="12" bestFit="1" customWidth="1"/>
    <col min="35" max="35" width="11.5703125" customWidth="1"/>
    <col min="37" max="37" width="9.5703125" bestFit="1" customWidth="1"/>
  </cols>
  <sheetData>
    <row r="1" spans="1:34" ht="28.5">
      <c r="B1" s="304" t="str">
        <f>'Summary month'!E2</f>
        <v>Apr</v>
      </c>
      <c r="C1" t="str">
        <f>VLOOKUP(B1,mapping!$A$2:$C$13,3,0)</f>
        <v>M01</v>
      </c>
    </row>
    <row r="3" spans="1:34" ht="28.5">
      <c r="A3" s="694"/>
      <c r="B3" s="299" t="s">
        <v>202</v>
      </c>
      <c r="I3" s="216"/>
      <c r="J3" s="334"/>
      <c r="K3" s="216"/>
      <c r="L3" s="216"/>
      <c r="M3" s="216"/>
      <c r="N3" s="334"/>
      <c r="O3" s="216"/>
      <c r="P3" s="216"/>
      <c r="Q3" s="216"/>
    </row>
    <row r="4" spans="1:34" ht="28.5">
      <c r="A4" s="694"/>
      <c r="B4" s="299"/>
      <c r="I4" s="216"/>
      <c r="J4" s="334"/>
      <c r="K4" s="216">
        <f>'[7]New KPI vs BP'!$L$1</f>
        <v>0</v>
      </c>
      <c r="L4" s="216"/>
      <c r="M4" s="216"/>
      <c r="N4" s="334"/>
      <c r="O4" s="216"/>
      <c r="P4" s="216"/>
      <c r="Q4" s="216"/>
    </row>
    <row r="5" spans="1:34" ht="20.25">
      <c r="A5" s="694"/>
      <c r="B5" s="216"/>
      <c r="C5" s="226" t="str">
        <f>B10</f>
        <v>BP YTD</v>
      </c>
      <c r="D5" s="226" t="str">
        <f>C10</f>
        <v>Act YTD</v>
      </c>
      <c r="E5" s="226" t="s">
        <v>320</v>
      </c>
      <c r="F5" s="226" t="s">
        <v>321</v>
      </c>
      <c r="G5" s="226" t="s">
        <v>322</v>
      </c>
      <c r="H5" s="292" t="s">
        <v>323</v>
      </c>
      <c r="I5" s="216"/>
    </row>
    <row r="6" spans="1:34" ht="20.25">
      <c r="A6" s="694"/>
      <c r="B6" s="226" t="s">
        <v>327</v>
      </c>
      <c r="C6" s="229" t="e">
        <f>#REF!</f>
        <v>#REF!</v>
      </c>
      <c r="D6" s="229" t="e">
        <f>#REF!</f>
        <v>#REF!</v>
      </c>
      <c r="E6" s="226" t="e">
        <f>+D6-C6</f>
        <v>#REF!</v>
      </c>
      <c r="F6" s="226" t="e">
        <f>B19</f>
        <v>#REF!</v>
      </c>
      <c r="G6" s="226" t="e">
        <f>SUM(C19:S19)</f>
        <v>#REF!</v>
      </c>
      <c r="H6" s="502" t="e">
        <f>E6-F6-G6</f>
        <v>#REF!</v>
      </c>
      <c r="I6" s="216"/>
      <c r="J6" s="334"/>
      <c r="K6" s="216"/>
      <c r="L6" s="216"/>
      <c r="M6" s="216"/>
      <c r="N6" s="334"/>
      <c r="O6" s="216"/>
      <c r="P6" s="216"/>
      <c r="Q6" s="216"/>
    </row>
    <row r="7" spans="1:34" ht="20.25">
      <c r="A7" s="694"/>
      <c r="B7" s="226" t="s">
        <v>325</v>
      </c>
      <c r="C7" s="229" t="e">
        <f>#REF!</f>
        <v>#REF!</v>
      </c>
      <c r="D7" s="229" t="e">
        <f>#REF!</f>
        <v>#REF!</v>
      </c>
      <c r="E7" s="226" t="e">
        <f>+D7-C7</f>
        <v>#REF!</v>
      </c>
      <c r="F7" s="226" t="e">
        <f>T19</f>
        <v>#REF!</v>
      </c>
      <c r="G7" s="226" t="e">
        <f>SUM(U19:AH19)</f>
        <v>#REF!</v>
      </c>
      <c r="H7" s="502" t="e">
        <f>E7-F7-G7</f>
        <v>#REF!</v>
      </c>
      <c r="I7" s="216"/>
      <c r="J7" s="334"/>
      <c r="K7" s="216"/>
      <c r="L7" s="216"/>
      <c r="M7" s="216"/>
      <c r="N7" s="334"/>
      <c r="O7" s="216"/>
      <c r="P7" s="216"/>
      <c r="Q7" s="216"/>
    </row>
    <row r="8" spans="1:34" ht="20.25">
      <c r="A8" s="694"/>
      <c r="B8" s="226" t="s">
        <v>326</v>
      </c>
      <c r="C8" s="226" t="e">
        <f>+C6+C7</f>
        <v>#REF!</v>
      </c>
      <c r="D8" s="226" t="e">
        <f>+D6+D7</f>
        <v>#REF!</v>
      </c>
      <c r="E8" s="226" t="e">
        <f>+D8-C8</f>
        <v>#REF!</v>
      </c>
      <c r="F8" s="226" t="e">
        <f>+E8-G8</f>
        <v>#REF!</v>
      </c>
      <c r="G8" s="226" t="e">
        <f>+G6+G7</f>
        <v>#REF!</v>
      </c>
      <c r="H8" s="502" t="e">
        <f>E8-F8-G8</f>
        <v>#REF!</v>
      </c>
      <c r="I8" s="216"/>
      <c r="J8" s="334" t="s">
        <v>303</v>
      </c>
      <c r="K8" s="216" t="s">
        <v>143</v>
      </c>
      <c r="L8" s="216" t="s">
        <v>304</v>
      </c>
      <c r="M8" s="216"/>
      <c r="N8" s="334" t="s">
        <v>303</v>
      </c>
      <c r="O8" s="216" t="s">
        <v>279</v>
      </c>
      <c r="P8" s="216" t="s">
        <v>143</v>
      </c>
      <c r="Q8" s="216" t="s">
        <v>305</v>
      </c>
      <c r="R8" s="216" t="s">
        <v>306</v>
      </c>
    </row>
    <row r="9" spans="1:34" ht="18">
      <c r="A9" s="694"/>
      <c r="B9" s="215"/>
      <c r="C9" s="216"/>
      <c r="D9" s="318" t="e">
        <f>D12-D54</f>
        <v>#REF!</v>
      </c>
      <c r="E9" s="318" t="e">
        <f>E12-E54</f>
        <v>#REF!</v>
      </c>
      <c r="F9" s="318" t="e">
        <f>F12-F54</f>
        <v>#REF!</v>
      </c>
      <c r="G9" s="318" t="e">
        <f>G12-G54</f>
        <v>#REF!</v>
      </c>
      <c r="H9" s="216"/>
      <c r="I9" s="216" t="s">
        <v>307</v>
      </c>
      <c r="J9" s="334">
        <f>'[7]New KPI vs BP'!$O$34-K9-L9</f>
        <v>0.24901362641106539</v>
      </c>
      <c r="K9" s="216">
        <f>'[7]New KPI vs BP'!$O$15</f>
        <v>-4.3801574539980397</v>
      </c>
      <c r="L9" s="334">
        <f>'[7]New KPI vs BP'!$O$507+'[7]New KPI vs BP'!$O$523</f>
        <v>-1.0929636786173194</v>
      </c>
      <c r="M9" s="216"/>
      <c r="N9" s="334" t="e">
        <f>'[7]New KPI vs BP'!$O$34-P9-Q9-O9</f>
        <v>#REF!</v>
      </c>
      <c r="O9">
        <f>'[7]New KPI vs BP'!$O$19</f>
        <v>-0.65156484847707574</v>
      </c>
      <c r="P9" s="216">
        <f>K9</f>
        <v>-4.3801574539980397</v>
      </c>
      <c r="Q9" s="406" t="e">
        <f>L10-AJ78+AA20</f>
        <v>#REF!</v>
      </c>
      <c r="R9" s="334" t="e">
        <f>L9-(Q9)</f>
        <v>#REF!</v>
      </c>
      <c r="S9" s="216"/>
      <c r="T9" s="216"/>
      <c r="U9" s="216"/>
      <c r="V9" s="216"/>
      <c r="W9" s="216"/>
      <c r="X9" s="216"/>
      <c r="Y9" s="216"/>
      <c r="Z9" s="216"/>
      <c r="AA9" s="216"/>
      <c r="AB9" s="216"/>
      <c r="AC9" s="216"/>
      <c r="AD9" s="216"/>
      <c r="AE9" s="216"/>
      <c r="AF9" s="216"/>
      <c r="AG9" s="216"/>
      <c r="AH9" s="216"/>
    </row>
    <row r="10" spans="1:34" ht="20.100000000000001" customHeight="1">
      <c r="A10" s="694"/>
      <c r="B10" s="1014" t="s">
        <v>209</v>
      </c>
      <c r="C10" s="1014" t="s">
        <v>210</v>
      </c>
      <c r="D10" s="218"/>
      <c r="E10" s="219"/>
      <c r="F10" s="219"/>
      <c r="G10" s="220"/>
      <c r="H10" s="216"/>
      <c r="I10" s="216" t="s">
        <v>62</v>
      </c>
      <c r="J10" s="334">
        <f>M52</f>
        <v>0.24924716566199123</v>
      </c>
      <c r="K10" s="216">
        <v>0</v>
      </c>
      <c r="L10" s="334" t="e">
        <f>M53</f>
        <v>#REF!</v>
      </c>
      <c r="M10" s="216"/>
      <c r="N10" s="216"/>
      <c r="O10" s="216"/>
      <c r="P10" s="216"/>
      <c r="Q10" s="216"/>
      <c r="R10" s="216"/>
      <c r="S10" s="216"/>
      <c r="T10" s="216"/>
      <c r="U10" s="216"/>
      <c r="V10" s="216"/>
      <c r="W10" s="221"/>
      <c r="X10" s="221"/>
      <c r="Y10" s="221"/>
      <c r="Z10" s="221"/>
      <c r="AA10" s="221"/>
      <c r="AB10" s="221"/>
      <c r="AC10" s="221"/>
      <c r="AD10" s="221"/>
      <c r="AE10" s="221"/>
      <c r="AF10" s="221"/>
      <c r="AG10" s="221"/>
      <c r="AH10" s="221"/>
    </row>
    <row r="11" spans="1:34" ht="40.5">
      <c r="A11" s="694"/>
      <c r="B11" s="1015"/>
      <c r="C11" s="1016"/>
      <c r="D11" s="222"/>
      <c r="E11" s="223" t="s">
        <v>154</v>
      </c>
      <c r="F11" s="224" t="s">
        <v>155</v>
      </c>
      <c r="G11" s="225" t="s">
        <v>156</v>
      </c>
      <c r="H11" s="216"/>
      <c r="I11" s="216" t="s">
        <v>208</v>
      </c>
      <c r="J11" s="216"/>
      <c r="K11" s="216"/>
      <c r="L11" s="442"/>
      <c r="M11" s="216"/>
      <c r="N11" s="334" t="e">
        <f>SUM(N9:P9)</f>
        <v>#REF!</v>
      </c>
      <c r="O11" s="216"/>
      <c r="P11" s="216"/>
      <c r="Q11" s="216"/>
      <c r="R11" s="216"/>
      <c r="AH11" s="216"/>
    </row>
    <row r="12" spans="1:34" ht="20.25">
      <c r="A12" s="694"/>
      <c r="B12" s="226" t="e">
        <f>#REF!</f>
        <v>#REF!</v>
      </c>
      <c r="C12" s="226" t="e">
        <f>#REF!</f>
        <v>#REF!</v>
      </c>
      <c r="D12" s="227" t="e">
        <f>C12-B12</f>
        <v>#REF!</v>
      </c>
      <c r="E12" s="228">
        <f>'[7]New KPI vs BP'!$O$34</f>
        <v>-5.2241075062042936</v>
      </c>
      <c r="F12" s="228" t="e">
        <f>#REF!-E13</f>
        <v>#REF!</v>
      </c>
      <c r="G12" s="229" t="e">
        <f>#REF!-E14</f>
        <v>#REF!</v>
      </c>
      <c r="H12" s="216"/>
      <c r="I12" s="286" t="e">
        <f>SUM(E12:G12)-D12</f>
        <v>#REF!</v>
      </c>
      <c r="J12" s="216"/>
      <c r="K12" s="216"/>
      <c r="L12" s="322"/>
      <c r="M12" s="216"/>
      <c r="N12" s="216"/>
      <c r="O12" s="230"/>
      <c r="P12" s="216"/>
      <c r="Q12" s="216"/>
      <c r="R12" s="216"/>
      <c r="AH12" s="230"/>
    </row>
    <row r="13" spans="1:34">
      <c r="A13" s="694"/>
      <c r="B13" s="216"/>
      <c r="C13" s="216"/>
      <c r="E13" s="315" t="e">
        <f>SUM(N9:P9)</f>
        <v>#REF!</v>
      </c>
      <c r="F13" s="216" t="s">
        <v>308</v>
      </c>
      <c r="G13" s="334" t="e">
        <f>E13-M52</f>
        <v>#REF!</v>
      </c>
      <c r="H13" s="216"/>
      <c r="I13" s="216"/>
      <c r="J13" s="216"/>
      <c r="K13" s="216"/>
      <c r="L13" s="216"/>
      <c r="M13" s="216"/>
      <c r="N13" s="216"/>
      <c r="O13" s="216" t="s">
        <v>53</v>
      </c>
      <c r="P13" s="315" t="e">
        <f>-#REF!</f>
        <v>#REF!</v>
      </c>
      <c r="Q13" s="216"/>
      <c r="R13" s="216"/>
      <c r="AH13" s="216"/>
    </row>
    <row r="14" spans="1:34">
      <c r="A14" s="694"/>
      <c r="B14" s="216"/>
      <c r="C14" s="216" t="s">
        <v>51</v>
      </c>
      <c r="D14" s="216" t="s">
        <v>50</v>
      </c>
      <c r="E14" s="315" t="e">
        <f>Q9</f>
        <v>#REF!</v>
      </c>
      <c r="F14" s="216" t="s">
        <v>309</v>
      </c>
      <c r="G14" s="334" t="e">
        <f>E14-M53</f>
        <v>#REF!</v>
      </c>
      <c r="H14" s="216"/>
      <c r="I14" s="216"/>
      <c r="J14" s="216"/>
      <c r="K14" s="216"/>
      <c r="L14" s="216"/>
      <c r="M14" s="216"/>
      <c r="N14" s="216"/>
      <c r="O14" s="216" t="s">
        <v>54</v>
      </c>
      <c r="P14" s="315" t="e">
        <f>-#REF!</f>
        <v>#REF!</v>
      </c>
      <c r="Q14" s="216"/>
      <c r="R14" s="216"/>
      <c r="AH14" s="216"/>
    </row>
    <row r="15" spans="1:34" ht="21" thickBot="1">
      <c r="A15" s="694"/>
      <c r="B15" s="231" t="s">
        <v>157</v>
      </c>
      <c r="C15" s="232" t="s">
        <v>56</v>
      </c>
      <c r="D15" s="232" t="s">
        <v>57</v>
      </c>
      <c r="E15" s="232"/>
      <c r="F15" s="232"/>
      <c r="G15" s="232"/>
      <c r="H15" s="232"/>
      <c r="I15" s="232"/>
      <c r="J15" s="232"/>
      <c r="K15" s="232"/>
      <c r="L15" s="232"/>
      <c r="M15" s="232"/>
      <c r="N15" s="232"/>
      <c r="O15" s="232" t="s">
        <v>55</v>
      </c>
      <c r="P15" s="286" t="e">
        <f>-#REF!</f>
        <v>#REF!</v>
      </c>
      <c r="Q15" s="232"/>
      <c r="R15" s="232" t="s">
        <v>60</v>
      </c>
      <c r="AA15" t="s">
        <v>52</v>
      </c>
      <c r="AB15" t="s">
        <v>59</v>
      </c>
      <c r="AH15" s="217" t="s">
        <v>138</v>
      </c>
    </row>
    <row r="16" spans="1:34" ht="21" thickBot="1">
      <c r="A16" s="694"/>
      <c r="B16" s="233"/>
      <c r="C16" s="234" t="s">
        <v>159</v>
      </c>
      <c r="D16" s="234"/>
      <c r="E16" s="234"/>
      <c r="F16" s="234"/>
      <c r="G16" s="234"/>
      <c r="H16" s="234"/>
      <c r="I16" s="234"/>
      <c r="J16" s="234"/>
      <c r="K16" s="234"/>
      <c r="L16" s="234"/>
      <c r="M16" s="234"/>
      <c r="N16" s="234"/>
      <c r="O16" s="234"/>
      <c r="P16" s="234"/>
      <c r="Q16" s="234"/>
      <c r="R16" s="234"/>
      <c r="S16" s="235"/>
      <c r="T16" s="236"/>
      <c r="U16" s="237" t="s">
        <v>160</v>
      </c>
      <c r="V16" s="237"/>
      <c r="W16" s="237"/>
      <c r="X16" s="237"/>
      <c r="Y16" s="237"/>
      <c r="Z16" s="237"/>
      <c r="AA16" s="237"/>
      <c r="AB16" s="237"/>
      <c r="AC16" s="237"/>
      <c r="AD16" s="237"/>
      <c r="AE16" s="237"/>
      <c r="AF16" s="237"/>
      <c r="AG16" s="237"/>
      <c r="AH16" s="238"/>
    </row>
    <row r="17" spans="1:34" ht="20.100000000000001" customHeight="1">
      <c r="A17" s="694"/>
      <c r="B17" s="1027" t="s">
        <v>274</v>
      </c>
      <c r="C17" s="239" t="s">
        <v>161</v>
      </c>
      <c r="D17" s="240"/>
      <c r="E17" s="240"/>
      <c r="F17" s="240"/>
      <c r="G17" s="241"/>
      <c r="H17" s="1017" t="s">
        <v>162</v>
      </c>
      <c r="I17" s="242" t="s">
        <v>163</v>
      </c>
      <c r="J17" s="243"/>
      <c r="K17" s="243"/>
      <c r="L17" s="243"/>
      <c r="M17" s="243"/>
      <c r="N17" s="244"/>
      <c r="O17" s="1019" t="s">
        <v>164</v>
      </c>
      <c r="P17" s="1019" t="s">
        <v>165</v>
      </c>
      <c r="Q17" s="1019" t="s">
        <v>166</v>
      </c>
      <c r="R17" s="1022" t="s">
        <v>167</v>
      </c>
      <c r="S17" s="1023" t="s">
        <v>168</v>
      </c>
      <c r="T17" s="1027" t="s">
        <v>274</v>
      </c>
      <c r="U17" s="245" t="s">
        <v>169</v>
      </c>
      <c r="V17" s="246"/>
      <c r="W17" s="246"/>
      <c r="X17" s="247"/>
      <c r="Y17" s="248" t="s">
        <v>163</v>
      </c>
      <c r="Z17" s="246"/>
      <c r="AA17" s="246"/>
      <c r="AB17" s="246"/>
      <c r="AC17" s="246"/>
      <c r="AD17" s="247"/>
      <c r="AE17" s="1022" t="s">
        <v>166</v>
      </c>
      <c r="AF17" s="1025" t="s">
        <v>167</v>
      </c>
      <c r="AG17" s="311"/>
      <c r="AH17" s="1012" t="s">
        <v>168</v>
      </c>
    </row>
    <row r="18" spans="1:34" ht="77.45" customHeight="1">
      <c r="A18" s="694"/>
      <c r="B18" s="1028"/>
      <c r="C18" s="249" t="s">
        <v>170</v>
      </c>
      <c r="D18" s="250" t="s">
        <v>171</v>
      </c>
      <c r="E18" s="250" t="s">
        <v>172</v>
      </c>
      <c r="F18" s="250" t="s">
        <v>173</v>
      </c>
      <c r="G18" s="251" t="s">
        <v>174</v>
      </c>
      <c r="H18" s="1018"/>
      <c r="I18" s="250" t="s">
        <v>175</v>
      </c>
      <c r="J18" s="250" t="s">
        <v>176</v>
      </c>
      <c r="K18" s="250" t="s">
        <v>177</v>
      </c>
      <c r="L18" s="250" t="s">
        <v>178</v>
      </c>
      <c r="M18" s="250" t="s">
        <v>168</v>
      </c>
      <c r="N18" s="250" t="s">
        <v>179</v>
      </c>
      <c r="O18" s="1020"/>
      <c r="P18" s="1021"/>
      <c r="Q18" s="1021"/>
      <c r="R18" s="1021"/>
      <c r="S18" s="1024"/>
      <c r="T18" s="1028"/>
      <c r="U18" s="307" t="s">
        <v>203</v>
      </c>
      <c r="V18" s="308" t="s">
        <v>180</v>
      </c>
      <c r="W18" s="309" t="s">
        <v>181</v>
      </c>
      <c r="X18" s="310" t="s">
        <v>33</v>
      </c>
      <c r="Y18" s="305" t="s">
        <v>25</v>
      </c>
      <c r="Z18" s="306" t="s">
        <v>183</v>
      </c>
      <c r="AA18" s="306" t="s">
        <v>204</v>
      </c>
      <c r="AB18" s="306" t="s">
        <v>205</v>
      </c>
      <c r="AC18" s="306" t="s">
        <v>184</v>
      </c>
      <c r="AD18" s="306" t="s">
        <v>30</v>
      </c>
      <c r="AE18" s="1021"/>
      <c r="AF18" s="1026"/>
      <c r="AG18" s="312" t="s">
        <v>37</v>
      </c>
      <c r="AH18" s="1013"/>
    </row>
    <row r="19" spans="1:34" ht="21" thickBot="1">
      <c r="A19" s="694"/>
      <c r="B19" s="252" t="e">
        <f>E13</f>
        <v>#REF!</v>
      </c>
      <c r="C19" s="253" t="e">
        <f>C61-#REF!-#REF!+M52-N9-O9</f>
        <v>#REF!</v>
      </c>
      <c r="D19" s="254" t="e">
        <f>S79-#REF!-#REF!-P9</f>
        <v>#REF!</v>
      </c>
      <c r="E19" s="254">
        <f>E61</f>
        <v>0</v>
      </c>
      <c r="F19" s="254">
        <f>F61</f>
        <v>0</v>
      </c>
      <c r="G19" s="254"/>
      <c r="H19" s="254">
        <f t="shared" ref="H19:M19" si="0">H61</f>
        <v>0</v>
      </c>
      <c r="I19" s="254">
        <f t="shared" si="0"/>
        <v>0</v>
      </c>
      <c r="J19" s="255">
        <f t="shared" si="0"/>
        <v>0</v>
      </c>
      <c r="K19" s="255">
        <f t="shared" si="0"/>
        <v>0</v>
      </c>
      <c r="L19" s="255">
        <f t="shared" si="0"/>
        <v>0</v>
      </c>
      <c r="M19" s="255">
        <f t="shared" si="0"/>
        <v>11.089002026999999</v>
      </c>
      <c r="N19" s="255"/>
      <c r="O19" s="254" t="e">
        <f>-SUM(#REF!)</f>
        <v>#REF!</v>
      </c>
      <c r="P19" s="254"/>
      <c r="Q19" s="256"/>
      <c r="R19" s="254" t="e">
        <f>R61-#REF!</f>
        <v>#REF!</v>
      </c>
      <c r="S19" s="257" t="e">
        <f>F12-SUM(C19:R19)</f>
        <v>#REF!</v>
      </c>
      <c r="T19" s="253" t="e">
        <f>E14</f>
        <v>#REF!</v>
      </c>
      <c r="U19" s="253" t="e">
        <f>U61</f>
        <v>#REF!</v>
      </c>
      <c r="V19" s="258" t="e">
        <f>V61</f>
        <v>#REF!</v>
      </c>
      <c r="W19" s="258"/>
      <c r="X19" s="258" t="e">
        <f>X61</f>
        <v>#REF!</v>
      </c>
      <c r="Y19" s="258" t="e">
        <f>Y61</f>
        <v>#REF!</v>
      </c>
      <c r="Z19" s="258" t="e">
        <f>Z61</f>
        <v>#REF!</v>
      </c>
      <c r="AA19" s="258" t="e">
        <f>AA61-#REF!-AA20</f>
        <v>#REF!</v>
      </c>
      <c r="AB19" s="258" t="e">
        <f>-#REF!</f>
        <v>#REF!</v>
      </c>
      <c r="AC19" s="258" t="e">
        <f>AC61</f>
        <v>#REF!</v>
      </c>
      <c r="AD19" s="258" t="e">
        <f>AD61</f>
        <v>#REF!</v>
      </c>
      <c r="AE19" s="256"/>
      <c r="AF19" s="259"/>
      <c r="AG19" s="254" t="e">
        <f>AG61</f>
        <v>#REF!</v>
      </c>
      <c r="AH19" s="260" t="e">
        <f>G12-SUM(U19:AG19)</f>
        <v>#REF!</v>
      </c>
    </row>
    <row r="20" spans="1:34">
      <c r="A20" s="694"/>
      <c r="B20" s="286" t="e">
        <f>B19-B61</f>
        <v>#REF!</v>
      </c>
      <c r="C20" s="286" t="e">
        <f t="shared" ref="C20:R20" si="1">C19-C61</f>
        <v>#REF!</v>
      </c>
      <c r="D20" s="286" t="e">
        <f t="shared" si="1"/>
        <v>#REF!</v>
      </c>
      <c r="E20" s="286">
        <f t="shared" si="1"/>
        <v>0</v>
      </c>
      <c r="F20" s="286">
        <f t="shared" si="1"/>
        <v>0</v>
      </c>
      <c r="G20" s="286">
        <f t="shared" si="1"/>
        <v>0</v>
      </c>
      <c r="H20" s="286">
        <f t="shared" si="1"/>
        <v>0</v>
      </c>
      <c r="I20" s="286">
        <f t="shared" si="1"/>
        <v>0</v>
      </c>
      <c r="J20" s="286">
        <f t="shared" si="1"/>
        <v>0</v>
      </c>
      <c r="K20" s="286">
        <f t="shared" si="1"/>
        <v>0</v>
      </c>
      <c r="L20" s="286">
        <f t="shared" si="1"/>
        <v>0</v>
      </c>
      <c r="M20" s="286">
        <f t="shared" si="1"/>
        <v>0</v>
      </c>
      <c r="N20" s="286">
        <f t="shared" si="1"/>
        <v>0</v>
      </c>
      <c r="O20" s="286" t="e">
        <f>O19-O61</f>
        <v>#REF!</v>
      </c>
      <c r="P20" s="286">
        <f t="shared" si="1"/>
        <v>0</v>
      </c>
      <c r="Q20" s="286">
        <f t="shared" si="1"/>
        <v>0</v>
      </c>
      <c r="R20" s="286" t="e">
        <f t="shared" si="1"/>
        <v>#REF!</v>
      </c>
      <c r="S20" s="286" t="e">
        <f>S19-S61</f>
        <v>#REF!</v>
      </c>
      <c r="T20" s="286"/>
      <c r="U20" s="216"/>
      <c r="V20" s="216"/>
      <c r="W20" s="216"/>
      <c r="X20" s="216"/>
      <c r="Y20" s="216"/>
      <c r="Z20" s="216"/>
      <c r="AA20" s="216">
        <f>'[7]New KPI vs BP'!$O$20</f>
        <v>-0.10829057579495782</v>
      </c>
      <c r="AB20" s="216"/>
      <c r="AC20" s="216"/>
      <c r="AE20" t="s">
        <v>262</v>
      </c>
      <c r="AF20" s="216"/>
      <c r="AG20" s="216"/>
      <c r="AH20" s="216"/>
    </row>
    <row r="21" spans="1:34" ht="18">
      <c r="A21" s="694"/>
      <c r="B21" s="221"/>
      <c r="C21" s="261"/>
      <c r="D21" s="262"/>
      <c r="E21" s="433" t="s">
        <v>285</v>
      </c>
      <c r="F21" s="434" t="s">
        <v>286</v>
      </c>
      <c r="G21" s="262"/>
      <c r="H21" s="262"/>
      <c r="I21" s="262"/>
      <c r="J21" s="262"/>
      <c r="K21" s="262"/>
      <c r="L21" s="262"/>
      <c r="M21" s="262"/>
      <c r="N21" s="262"/>
      <c r="O21" s="262"/>
      <c r="P21" s="262"/>
      <c r="Q21" s="262"/>
      <c r="R21" s="262"/>
      <c r="S21" s="221"/>
      <c r="T21" s="221"/>
      <c r="U21" s="221"/>
      <c r="V21" s="221"/>
      <c r="W21" s="221"/>
    </row>
    <row r="22" spans="1:34" ht="18">
      <c r="A22" s="694"/>
      <c r="B22" s="216"/>
      <c r="C22" s="266"/>
      <c r="D22" s="267"/>
      <c r="E22" s="267"/>
      <c r="F22" s="267"/>
      <c r="G22" s="267"/>
      <c r="H22" s="267"/>
      <c r="I22" s="267"/>
      <c r="J22" s="267"/>
      <c r="K22" s="267"/>
      <c r="L22" s="267"/>
      <c r="M22" s="267"/>
      <c r="N22" s="267"/>
      <c r="O22" s="267"/>
      <c r="P22" s="267"/>
      <c r="Q22" s="267"/>
      <c r="R22" s="267"/>
      <c r="S22" s="216"/>
      <c r="T22" s="216"/>
      <c r="V22" s="216"/>
      <c r="W22" s="216"/>
    </row>
    <row r="23" spans="1:34" ht="20.25">
      <c r="A23" s="694"/>
      <c r="B23" s="221" t="s">
        <v>277</v>
      </c>
      <c r="C23" s="426">
        <f>C61</f>
        <v>0</v>
      </c>
      <c r="D23" s="216"/>
      <c r="E23" s="216" t="s">
        <v>281</v>
      </c>
      <c r="F23" s="216" t="s">
        <v>274</v>
      </c>
      <c r="G23" s="216"/>
      <c r="H23" s="216"/>
      <c r="I23" s="273" t="s">
        <v>188</v>
      </c>
      <c r="J23" s="274"/>
      <c r="K23" s="274"/>
      <c r="L23" s="274"/>
      <c r="M23" s="275">
        <f>M19</f>
        <v>11.089002026999999</v>
      </c>
      <c r="N23" s="216"/>
      <c r="P23" s="273" t="s">
        <v>191</v>
      </c>
      <c r="Q23" s="274"/>
      <c r="R23" s="274"/>
      <c r="S23" s="294" t="e">
        <f>S19</f>
        <v>#REF!</v>
      </c>
      <c r="T23" s="216"/>
      <c r="U23" s="216"/>
      <c r="V23" s="216"/>
      <c r="W23" s="216"/>
      <c r="X23" s="263" t="s">
        <v>185</v>
      </c>
      <c r="Y23" s="264"/>
      <c r="Z23" s="264"/>
      <c r="AA23" s="265" t="e">
        <f>AD19</f>
        <v>#REF!</v>
      </c>
      <c r="AC23" s="263" t="s">
        <v>186</v>
      </c>
      <c r="AD23" s="264"/>
      <c r="AE23" s="264"/>
      <c r="AF23" s="264"/>
      <c r="AG23" s="264"/>
      <c r="AH23" s="265" t="e">
        <f>AH19</f>
        <v>#REF!</v>
      </c>
    </row>
    <row r="24" spans="1:34" ht="18">
      <c r="A24" s="694"/>
      <c r="B24" s="216" t="s">
        <v>278</v>
      </c>
      <c r="C24" s="426" t="e">
        <f>-#REF!</f>
        <v>#REF!</v>
      </c>
      <c r="D24" s="216"/>
      <c r="E24" s="412" t="e">
        <f>C24-F24</f>
        <v>#REF!</v>
      </c>
      <c r="F24" s="580">
        <v>-18.95547125918258</v>
      </c>
      <c r="G24" s="216"/>
      <c r="H24" s="216"/>
      <c r="I24" s="279">
        <v>1</v>
      </c>
      <c r="J24" s="269" t="str">
        <f>J78</f>
        <v>Supplier claims</v>
      </c>
      <c r="K24" s="270"/>
      <c r="L24" s="270"/>
      <c r="M24" s="280">
        <f t="shared" ref="M24:M30" si="2">M78</f>
        <v>0</v>
      </c>
      <c r="N24" s="216"/>
      <c r="P24" s="279">
        <v>1</v>
      </c>
      <c r="Q24" s="269" t="s">
        <v>193</v>
      </c>
      <c r="R24" s="270"/>
      <c r="S24" s="280">
        <f>S78</f>
        <v>1.3132448079999866</v>
      </c>
      <c r="T24" s="216"/>
      <c r="U24" s="216"/>
      <c r="V24" s="216"/>
      <c r="W24" s="216"/>
      <c r="X24" s="268">
        <v>1</v>
      </c>
      <c r="Y24" s="269" t="s">
        <v>459</v>
      </c>
      <c r="Z24" s="270"/>
      <c r="AA24" s="271">
        <v>1</v>
      </c>
      <c r="AC24" s="268">
        <v>1</v>
      </c>
      <c r="AD24" s="269" t="s">
        <v>187</v>
      </c>
      <c r="AE24" s="270"/>
      <c r="AF24" s="270"/>
      <c r="AG24" s="270"/>
      <c r="AH24" s="271" t="e">
        <f>AH78</f>
        <v>#REF!</v>
      </c>
    </row>
    <row r="25" spans="1:34" ht="18">
      <c r="A25" s="694"/>
      <c r="B25" s="216" t="s">
        <v>279</v>
      </c>
      <c r="C25" s="427" t="e">
        <f>-#REF!-O9</f>
        <v>#REF!</v>
      </c>
      <c r="D25" s="216"/>
      <c r="E25" s="216"/>
      <c r="F25" s="216"/>
      <c r="G25" s="216"/>
      <c r="H25" s="216"/>
      <c r="I25" s="279">
        <v>2</v>
      </c>
      <c r="J25" s="276" t="str">
        <f t="shared" ref="J25:J30" si="3">J79</f>
        <v>Legacy claims</v>
      </c>
      <c r="K25" s="277"/>
      <c r="L25" s="277"/>
      <c r="M25" s="281">
        <f t="shared" si="2"/>
        <v>0</v>
      </c>
      <c r="P25" s="279">
        <v>2</v>
      </c>
      <c r="Q25" s="276" t="str">
        <f>Q80</f>
        <v>NRV</v>
      </c>
      <c r="R25" s="277"/>
      <c r="S25" s="281">
        <f>S80</f>
        <v>32.423303154533684</v>
      </c>
      <c r="T25" s="216"/>
      <c r="U25" s="216"/>
      <c r="V25" s="216"/>
      <c r="W25" s="216"/>
      <c r="X25" s="268">
        <v>2</v>
      </c>
      <c r="Y25" s="276" t="s">
        <v>483</v>
      </c>
      <c r="Z25" s="277"/>
      <c r="AA25" s="278">
        <v>5.3</v>
      </c>
      <c r="AC25" s="268">
        <v>2</v>
      </c>
      <c r="AD25" s="276" t="s">
        <v>423</v>
      </c>
      <c r="AE25" s="277"/>
      <c r="AF25" s="277"/>
      <c r="AG25" s="277"/>
      <c r="AH25" s="278">
        <v>17.900473000000002</v>
      </c>
    </row>
    <row r="26" spans="1:34" ht="18">
      <c r="A26" s="694"/>
      <c r="B26" s="216" t="s">
        <v>280</v>
      </c>
      <c r="C26" s="438" t="e">
        <f>(M52-N9)</f>
        <v>#REF!</v>
      </c>
      <c r="D26" s="216"/>
      <c r="E26" s="216"/>
      <c r="F26" s="216"/>
      <c r="G26" s="216"/>
      <c r="H26" s="216"/>
      <c r="I26" s="279">
        <v>3</v>
      </c>
      <c r="J26" s="276" t="str">
        <f t="shared" si="3"/>
        <v>ILN parts business</v>
      </c>
      <c r="K26" s="277"/>
      <c r="L26" s="277"/>
      <c r="M26" s="281">
        <f t="shared" si="2"/>
        <v>0</v>
      </c>
      <c r="N26" s="216"/>
      <c r="P26" s="279">
        <v>3</v>
      </c>
      <c r="Q26" s="276" t="str">
        <f>Q81</f>
        <v>UP</v>
      </c>
      <c r="R26" s="277"/>
      <c r="S26" s="281">
        <f>S81</f>
        <v>-1.622860810969365</v>
      </c>
      <c r="T26" s="216"/>
      <c r="U26" s="216"/>
      <c r="V26" s="216"/>
      <c r="W26" s="216"/>
      <c r="X26" s="268">
        <v>3</v>
      </c>
      <c r="Y26" s="276"/>
      <c r="Z26" s="277"/>
      <c r="AA26" s="278"/>
      <c r="AC26" s="268">
        <v>3</v>
      </c>
      <c r="AD26" s="276" t="s">
        <v>430</v>
      </c>
      <c r="AE26" s="277"/>
      <c r="AF26" s="277"/>
      <c r="AG26" s="277"/>
      <c r="AH26" s="278">
        <v>34.243264866304003</v>
      </c>
    </row>
    <row r="27" spans="1:34" ht="18">
      <c r="A27" s="694"/>
      <c r="B27" s="216"/>
      <c r="C27" s="216"/>
      <c r="D27" s="272"/>
      <c r="E27" s="329"/>
      <c r="F27" s="272"/>
      <c r="G27" s="272"/>
      <c r="H27" s="272"/>
      <c r="I27" s="279">
        <v>4</v>
      </c>
      <c r="J27" s="276" t="str">
        <f t="shared" si="3"/>
        <v>P33B ePwr Step 2</v>
      </c>
      <c r="K27" s="277"/>
      <c r="L27" s="277"/>
      <c r="M27" s="281">
        <f t="shared" si="2"/>
        <v>0</v>
      </c>
      <c r="N27" s="216"/>
      <c r="P27" s="279">
        <v>4</v>
      </c>
      <c r="Q27" s="276" t="s">
        <v>58</v>
      </c>
      <c r="R27" s="277"/>
      <c r="S27" s="281" t="e">
        <f>-#REF!</f>
        <v>#REF!</v>
      </c>
      <c r="T27" s="216"/>
      <c r="U27" s="431" t="e">
        <f>-S79+S27</f>
        <v>#REF!</v>
      </c>
      <c r="V27" s="216"/>
      <c r="W27" s="216"/>
      <c r="X27" s="268">
        <v>4</v>
      </c>
      <c r="Y27" s="276"/>
      <c r="Z27" s="277"/>
      <c r="AA27" s="278"/>
      <c r="AC27" s="268">
        <v>4</v>
      </c>
      <c r="AD27" s="276" t="s">
        <v>421</v>
      </c>
      <c r="AE27" s="277"/>
      <c r="AF27" s="277"/>
      <c r="AG27" s="277"/>
      <c r="AH27" s="278">
        <v>4.0699012504096297</v>
      </c>
    </row>
    <row r="28" spans="1:34" ht="18">
      <c r="A28" s="694"/>
      <c r="B28" s="216"/>
      <c r="C28" s="272"/>
      <c r="D28" s="216"/>
      <c r="E28" s="216"/>
      <c r="F28" s="334"/>
      <c r="G28" s="216"/>
      <c r="H28" s="216"/>
      <c r="I28" s="279">
        <v>5</v>
      </c>
      <c r="J28" s="276" t="str">
        <f t="shared" si="3"/>
        <v>MZ Others</v>
      </c>
      <c r="K28" s="277"/>
      <c r="L28" s="277"/>
      <c r="M28" s="281">
        <f t="shared" si="2"/>
        <v>0</v>
      </c>
      <c r="N28" s="216"/>
      <c r="P28" s="279">
        <v>5</v>
      </c>
      <c r="Q28" s="276" t="str">
        <f>Q82</f>
        <v>UED</v>
      </c>
      <c r="R28" s="277"/>
      <c r="S28" s="281">
        <f>S82</f>
        <v>-3.9732328582823229</v>
      </c>
      <c r="T28" s="216"/>
      <c r="U28" s="216"/>
      <c r="V28" s="216"/>
      <c r="W28" s="216"/>
      <c r="X28" s="282">
        <v>5</v>
      </c>
      <c r="Y28" s="283" t="s">
        <v>182</v>
      </c>
      <c r="Z28" s="284"/>
      <c r="AA28" s="285" t="e">
        <f>AA23-SUM(AA24:AA27)</f>
        <v>#REF!</v>
      </c>
      <c r="AC28" s="282">
        <v>5</v>
      </c>
      <c r="AD28" s="283" t="s">
        <v>182</v>
      </c>
      <c r="AE28" s="284"/>
      <c r="AF28" s="284"/>
      <c r="AG28" s="284"/>
      <c r="AH28" s="285" t="e">
        <f>AH23-SUM(AH24:AH27)</f>
        <v>#REF!</v>
      </c>
    </row>
    <row r="29" spans="1:34" ht="18">
      <c r="A29" s="694"/>
      <c r="B29" s="216"/>
      <c r="C29" s="272"/>
      <c r="D29" s="216"/>
      <c r="E29" s="216"/>
      <c r="F29" s="216"/>
      <c r="G29" s="216"/>
      <c r="H29" s="216"/>
      <c r="I29" s="279">
        <v>6</v>
      </c>
      <c r="J29" s="276" t="str">
        <f t="shared" si="3"/>
        <v>X-badges TP</v>
      </c>
      <c r="K29" s="277"/>
      <c r="L29" s="277"/>
      <c r="M29" s="281">
        <f t="shared" si="2"/>
        <v>4.5191855779999983</v>
      </c>
      <c r="N29" s="216"/>
      <c r="P29" s="279">
        <v>6</v>
      </c>
      <c r="Q29" s="276"/>
      <c r="R29" s="277"/>
      <c r="S29" s="281"/>
      <c r="T29" s="216"/>
      <c r="U29" s="216"/>
      <c r="V29" s="216"/>
      <c r="W29" s="216"/>
      <c r="X29" s="216"/>
      <c r="Y29" s="216"/>
      <c r="Z29" s="216"/>
      <c r="AA29" s="286" t="e">
        <f>AA28-AA82</f>
        <v>#REF!</v>
      </c>
      <c r="AC29" s="216"/>
      <c r="AD29" s="216"/>
      <c r="AE29" s="216"/>
      <c r="AF29" s="216"/>
      <c r="AG29" s="287"/>
      <c r="AH29" s="286" t="e">
        <f>AH28-AH82</f>
        <v>#REF!</v>
      </c>
    </row>
    <row r="30" spans="1:34" ht="18">
      <c r="A30" s="694"/>
      <c r="B30" s="216"/>
      <c r="C30" s="272"/>
      <c r="D30" s="272"/>
      <c r="E30" s="216"/>
      <c r="F30" s="216"/>
      <c r="G30" s="216"/>
      <c r="H30" s="216"/>
      <c r="I30" s="279">
        <v>7</v>
      </c>
      <c r="J30" s="276" t="str">
        <f t="shared" si="3"/>
        <v>Duties for CBUs</v>
      </c>
      <c r="K30" s="277"/>
      <c r="L30" s="277"/>
      <c r="M30" s="281">
        <f t="shared" si="2"/>
        <v>0.14771900700000001</v>
      </c>
      <c r="N30" s="216"/>
      <c r="P30" s="279">
        <v>7</v>
      </c>
      <c r="Q30" s="276"/>
      <c r="R30" s="277"/>
      <c r="S30" s="281"/>
      <c r="T30" s="216"/>
      <c r="U30" s="216"/>
      <c r="V30" s="216"/>
      <c r="W30" s="216"/>
      <c r="X30" s="216"/>
      <c r="Y30" s="216"/>
      <c r="Z30" s="216"/>
      <c r="AA30" s="216"/>
      <c r="AB30" s="216"/>
      <c r="AC30" s="216"/>
      <c r="AD30" s="216"/>
      <c r="AE30" s="216"/>
      <c r="AF30" s="216"/>
      <c r="AG30" s="216"/>
      <c r="AH30" s="216"/>
    </row>
    <row r="31" spans="1:34" ht="18">
      <c r="A31" s="694"/>
      <c r="B31" s="216"/>
      <c r="C31" s="291"/>
      <c r="D31" s="216"/>
      <c r="E31" s="216"/>
      <c r="F31" s="292" t="s">
        <v>189</v>
      </c>
      <c r="G31" s="216"/>
      <c r="H31" s="216"/>
      <c r="I31" s="279">
        <v>8</v>
      </c>
      <c r="J31" s="276"/>
      <c r="K31" s="277"/>
      <c r="L31" s="277"/>
      <c r="M31" s="281"/>
      <c r="N31" s="216"/>
      <c r="P31" s="279">
        <v>8</v>
      </c>
      <c r="Q31" s="276"/>
      <c r="R31" s="277"/>
      <c r="S31" s="278"/>
      <c r="T31" s="216"/>
      <c r="U31" s="216"/>
      <c r="V31" s="216"/>
      <c r="W31" s="216"/>
      <c r="X31" s="216"/>
      <c r="Y31" s="216"/>
      <c r="Z31" s="216"/>
      <c r="AA31" s="216"/>
      <c r="AB31" s="216"/>
      <c r="AC31" s="216"/>
      <c r="AD31" s="216"/>
      <c r="AE31" s="216"/>
      <c r="AF31" s="216"/>
      <c r="AG31" s="216"/>
      <c r="AH31" s="216"/>
    </row>
    <row r="32" spans="1:34" ht="18">
      <c r="A32" s="694"/>
      <c r="B32" s="216"/>
      <c r="C32" s="216"/>
      <c r="D32" s="293" t="s">
        <v>147</v>
      </c>
      <c r="E32" s="293" t="s">
        <v>287</v>
      </c>
      <c r="F32" s="293" t="s">
        <v>190</v>
      </c>
      <c r="G32" s="216"/>
      <c r="H32" s="216"/>
      <c r="I32" s="279">
        <v>9</v>
      </c>
      <c r="J32" s="276"/>
      <c r="K32" s="277"/>
      <c r="L32" s="277"/>
      <c r="M32" s="281"/>
      <c r="N32" s="216"/>
      <c r="P32" s="279">
        <v>9</v>
      </c>
      <c r="Q32" s="276"/>
      <c r="R32" s="277"/>
      <c r="S32" s="278"/>
      <c r="T32" s="216"/>
      <c r="U32" s="272"/>
      <c r="V32" s="272"/>
      <c r="W32" s="272"/>
      <c r="X32" s="216"/>
      <c r="Y32" s="216"/>
      <c r="Z32" s="216"/>
      <c r="AA32" s="216"/>
      <c r="AB32" s="216"/>
      <c r="AC32" s="216"/>
      <c r="AD32" s="216"/>
      <c r="AE32" s="216"/>
      <c r="AF32" s="216"/>
      <c r="AG32" s="216"/>
      <c r="AH32" s="216"/>
    </row>
    <row r="33" spans="1:39" ht="20.25">
      <c r="A33" s="694"/>
      <c r="B33" s="216"/>
      <c r="C33" s="295" t="s">
        <v>192</v>
      </c>
      <c r="D33" s="296">
        <f>'[7]P&amp;L vs BP'!$M$24</f>
        <v>177129</v>
      </c>
      <c r="E33" s="296">
        <f>'[7]P&amp;L vs BP'!$L$24</f>
        <v>170974</v>
      </c>
      <c r="F33" s="296">
        <f>E33-D33</f>
        <v>-6155</v>
      </c>
      <c r="G33" s="216"/>
      <c r="H33" s="216"/>
      <c r="I33" s="279">
        <v>10</v>
      </c>
      <c r="J33" s="276"/>
      <c r="K33" s="277"/>
      <c r="L33" s="277"/>
      <c r="M33" s="281"/>
      <c r="N33" s="216"/>
      <c r="P33" s="288">
        <v>10</v>
      </c>
      <c r="Q33" s="283" t="s">
        <v>182</v>
      </c>
      <c r="R33" s="284"/>
      <c r="S33" s="285" t="e">
        <f>S23-SUM(S24:S32)</f>
        <v>#REF!</v>
      </c>
      <c r="T33" s="216"/>
      <c r="U33" s="216"/>
      <c r="V33" s="216"/>
      <c r="W33" s="216"/>
      <c r="X33" s="297"/>
      <c r="Y33" s="216"/>
      <c r="Z33" s="216"/>
      <c r="AA33" s="216"/>
      <c r="AB33" s="216"/>
      <c r="AC33" s="216"/>
      <c r="AD33" s="216"/>
      <c r="AE33" s="216"/>
      <c r="AF33" s="216"/>
      <c r="AG33" s="216"/>
      <c r="AH33" s="216"/>
    </row>
    <row r="34" spans="1:39" ht="20.25">
      <c r="A34" s="694"/>
      <c r="B34" s="216"/>
      <c r="C34" s="295" t="s">
        <v>194</v>
      </c>
      <c r="D34" s="296">
        <f>'[7]P&amp;L vs BP'!$M$27</f>
        <v>8139</v>
      </c>
      <c r="E34" s="296">
        <f>'[7]P&amp;L vs BP'!$L$27</f>
        <v>4870</v>
      </c>
      <c r="F34" s="296">
        <f>E34-D34</f>
        <v>-3269</v>
      </c>
      <c r="G34" s="216"/>
      <c r="H34" s="216"/>
      <c r="I34" s="279">
        <v>11</v>
      </c>
      <c r="J34" s="276"/>
      <c r="K34" s="277"/>
      <c r="L34" s="277"/>
      <c r="M34" s="281"/>
      <c r="N34" s="216"/>
      <c r="O34" s="216"/>
      <c r="P34" s="216"/>
      <c r="Q34" s="216"/>
      <c r="R34" s="216"/>
      <c r="S34" s="286" t="e">
        <f>S33-S87</f>
        <v>#REF!</v>
      </c>
      <c r="T34" s="286"/>
      <c r="U34" s="216"/>
      <c r="V34" s="216"/>
      <c r="W34" s="216"/>
      <c r="X34" s="216"/>
      <c r="Y34" s="216"/>
      <c r="Z34" s="216"/>
      <c r="AA34" s="216"/>
      <c r="AB34" s="216"/>
      <c r="AC34" s="216"/>
      <c r="AD34" s="216"/>
      <c r="AE34" s="216"/>
      <c r="AF34" s="216"/>
      <c r="AG34" s="216"/>
      <c r="AH34" s="216"/>
    </row>
    <row r="35" spans="1:39" ht="18">
      <c r="A35" s="694"/>
      <c r="B35" s="216"/>
      <c r="C35" s="216"/>
      <c r="D35" s="298"/>
      <c r="E35" s="298"/>
      <c r="F35" s="298"/>
      <c r="G35" s="216"/>
      <c r="H35" s="216"/>
      <c r="I35" s="279">
        <v>12</v>
      </c>
      <c r="J35" s="289" t="s">
        <v>182</v>
      </c>
      <c r="K35" s="284"/>
      <c r="L35" s="284"/>
      <c r="M35" s="290">
        <f>M23-SUM(M24:M34)</f>
        <v>6.422097442000001</v>
      </c>
      <c r="N35" s="216"/>
      <c r="U35" s="216"/>
      <c r="V35" s="216"/>
      <c r="W35" s="216"/>
      <c r="X35" s="216"/>
      <c r="Y35" s="216"/>
      <c r="Z35" s="216"/>
      <c r="AA35" s="216"/>
      <c r="AB35" s="216"/>
      <c r="AC35" s="216"/>
      <c r="AD35" s="216"/>
      <c r="AE35" s="216"/>
      <c r="AF35" s="216"/>
      <c r="AG35" s="216"/>
      <c r="AH35" s="216"/>
    </row>
    <row r="36" spans="1:39" ht="20.25">
      <c r="A36" s="694"/>
      <c r="B36" s="216"/>
      <c r="C36" s="295" t="s">
        <v>196</v>
      </c>
      <c r="D36" s="296">
        <f>'[7]P&amp;L vs BP'!$M$18</f>
        <v>160906</v>
      </c>
      <c r="E36" s="296">
        <f>'[7]P&amp;L vs BP'!$L$18</f>
        <v>154758</v>
      </c>
      <c r="F36" s="296">
        <f>E36-D36</f>
        <v>-6148</v>
      </c>
      <c r="G36" s="216"/>
      <c r="H36" s="216"/>
      <c r="I36" s="216"/>
      <c r="J36" s="216"/>
      <c r="K36" s="216"/>
      <c r="L36" s="216"/>
      <c r="M36" s="367">
        <f>M35-M89</f>
        <v>6.422097442000001</v>
      </c>
      <c r="N36" s="216"/>
      <c r="U36" s="216"/>
      <c r="V36" s="216"/>
      <c r="W36" s="216"/>
      <c r="X36" s="216"/>
      <c r="Y36" s="216"/>
      <c r="Z36" s="216"/>
      <c r="AA36" s="216"/>
      <c r="AB36" s="216"/>
      <c r="AC36" s="216"/>
      <c r="AD36" s="216"/>
      <c r="AE36" s="216"/>
      <c r="AF36" s="216"/>
      <c r="AG36" s="216"/>
      <c r="AH36" s="216"/>
    </row>
    <row r="37" spans="1:39">
      <c r="A37" s="694"/>
      <c r="B37" s="216"/>
      <c r="C37" s="216"/>
      <c r="D37" s="216"/>
      <c r="E37" s="216"/>
      <c r="F37" s="216"/>
      <c r="G37" s="216"/>
      <c r="H37" s="216"/>
      <c r="I37" s="216"/>
      <c r="J37" s="216"/>
      <c r="K37" s="216"/>
      <c r="L37" s="216"/>
      <c r="M37" s="216"/>
      <c r="N37" s="216"/>
      <c r="U37" s="216"/>
      <c r="V37" s="216"/>
      <c r="W37" s="216"/>
      <c r="X37" s="216"/>
      <c r="Y37" s="216"/>
      <c r="Z37" s="216"/>
      <c r="AA37" s="216"/>
      <c r="AB37" s="216"/>
      <c r="AC37" s="216"/>
      <c r="AD37" s="216"/>
      <c r="AE37" s="216"/>
      <c r="AF37" s="216"/>
      <c r="AG37" s="216"/>
      <c r="AH37" s="216"/>
    </row>
    <row r="38" spans="1:39">
      <c r="A38" s="694"/>
      <c r="B38" s="216"/>
      <c r="C38" s="216"/>
      <c r="D38" s="216"/>
      <c r="E38" s="216"/>
      <c r="F38" s="216"/>
      <c r="G38" s="216"/>
      <c r="H38" s="216"/>
      <c r="I38" s="216"/>
      <c r="J38" s="216"/>
      <c r="K38" s="216"/>
      <c r="L38" s="216"/>
      <c r="M38" s="216"/>
      <c r="N38" s="216"/>
      <c r="U38" s="216"/>
      <c r="V38" s="216"/>
      <c r="W38" s="216"/>
      <c r="X38" s="216"/>
      <c r="Y38" s="216"/>
      <c r="Z38" s="216"/>
      <c r="AA38" s="216"/>
      <c r="AB38" s="216"/>
      <c r="AC38" s="216"/>
      <c r="AD38" s="216"/>
      <c r="AE38" s="216"/>
      <c r="AF38" s="216"/>
      <c r="AG38" s="216"/>
      <c r="AH38" s="216"/>
    </row>
    <row r="39" spans="1:39">
      <c r="A39" s="694"/>
      <c r="B39" s="216"/>
      <c r="C39" s="216"/>
      <c r="D39" s="216"/>
      <c r="E39" s="216"/>
      <c r="F39" s="216"/>
      <c r="G39" s="216"/>
      <c r="H39" s="216"/>
      <c r="I39" s="216"/>
      <c r="J39" s="216"/>
      <c r="K39" s="216"/>
      <c r="L39" s="216"/>
      <c r="M39" s="216"/>
      <c r="N39" s="216"/>
      <c r="U39" s="216"/>
      <c r="V39" s="216"/>
      <c r="W39" s="216"/>
      <c r="X39" s="216"/>
      <c r="Y39" s="216"/>
      <c r="Z39" s="216"/>
      <c r="AA39" s="216"/>
      <c r="AB39" s="216"/>
      <c r="AC39" s="216"/>
      <c r="AD39" s="216"/>
      <c r="AE39" s="216"/>
      <c r="AF39" s="216"/>
      <c r="AG39" s="216"/>
      <c r="AH39" s="216"/>
    </row>
    <row r="40" spans="1:39" s="694" customFormat="1">
      <c r="B40" s="695"/>
      <c r="C40" s="695"/>
      <c r="D40" s="695"/>
      <c r="E40" s="695"/>
      <c r="F40" s="695"/>
      <c r="G40" s="695"/>
      <c r="H40" s="695"/>
      <c r="I40" s="695"/>
      <c r="J40" s="695"/>
      <c r="K40" s="695"/>
      <c r="L40" s="695"/>
      <c r="M40" s="695"/>
      <c r="N40" s="695"/>
      <c r="U40" s="695"/>
      <c r="V40" s="695"/>
      <c r="W40" s="695"/>
      <c r="X40" s="695"/>
      <c r="Y40" s="695"/>
      <c r="Z40" s="695"/>
      <c r="AA40" s="695"/>
      <c r="AB40" s="695"/>
      <c r="AC40" s="695"/>
      <c r="AD40" s="695"/>
      <c r="AE40" s="695"/>
      <c r="AF40" s="695"/>
      <c r="AG40" s="695"/>
      <c r="AH40" s="695"/>
    </row>
    <row r="41" spans="1:39">
      <c r="B41" s="216"/>
      <c r="C41" s="216"/>
      <c r="D41" s="216"/>
      <c r="E41" s="216"/>
      <c r="F41" s="216"/>
      <c r="G41" s="216"/>
      <c r="H41" s="216"/>
      <c r="I41" s="216"/>
      <c r="J41" s="216"/>
      <c r="K41" s="216"/>
      <c r="L41" s="216"/>
      <c r="M41" s="216"/>
      <c r="N41" s="216"/>
      <c r="U41" s="216"/>
      <c r="V41" s="216"/>
      <c r="W41" s="216"/>
      <c r="X41" s="216"/>
      <c r="Y41" s="216"/>
      <c r="Z41" s="216"/>
      <c r="AA41" s="216"/>
      <c r="AB41" s="216"/>
      <c r="AC41" s="216"/>
      <c r="AD41" s="216"/>
      <c r="AE41" s="216"/>
      <c r="AF41" s="216"/>
      <c r="AG41" s="216"/>
      <c r="AH41" s="216"/>
    </row>
    <row r="42" spans="1:39">
      <c r="B42" s="216"/>
      <c r="C42" s="216"/>
      <c r="D42" s="216"/>
      <c r="E42" s="216"/>
      <c r="F42" s="216"/>
      <c r="G42" s="216"/>
      <c r="H42" s="216"/>
      <c r="I42" s="216"/>
      <c r="J42" s="216"/>
      <c r="K42" s="216"/>
      <c r="L42" s="216"/>
      <c r="M42" s="216"/>
      <c r="N42" s="216"/>
      <c r="U42" s="216"/>
      <c r="V42" s="216"/>
      <c r="W42" s="216"/>
      <c r="X42" s="216"/>
      <c r="Y42" s="216"/>
      <c r="Z42" s="216"/>
      <c r="AA42" s="216"/>
      <c r="AB42" s="216"/>
      <c r="AC42" s="216"/>
      <c r="AD42" s="216"/>
      <c r="AE42" s="216"/>
      <c r="AF42" s="216"/>
      <c r="AG42" s="216"/>
      <c r="AH42" s="216"/>
    </row>
    <row r="43" spans="1:39">
      <c r="B43" s="216"/>
      <c r="C43" s="216"/>
      <c r="D43" s="216"/>
      <c r="E43" s="216"/>
      <c r="F43" s="216"/>
      <c r="G43" s="216"/>
      <c r="H43" s="216"/>
      <c r="I43" s="216"/>
      <c r="J43" s="216"/>
      <c r="K43" s="216"/>
      <c r="L43" s="216"/>
      <c r="M43" s="216"/>
      <c r="N43" s="216"/>
      <c r="U43" s="216"/>
      <c r="V43" s="216"/>
      <c r="W43" s="216"/>
      <c r="X43" s="216"/>
      <c r="Y43" s="216"/>
      <c r="Z43" s="216"/>
      <c r="AA43" s="216"/>
      <c r="AB43" s="216"/>
      <c r="AC43" s="216"/>
      <c r="AD43" s="216"/>
      <c r="AE43" s="216"/>
      <c r="AF43" s="216"/>
      <c r="AG43" s="216"/>
      <c r="AH43" s="216"/>
    </row>
    <row r="44" spans="1:39" ht="28.5">
      <c r="A44" s="696"/>
      <c r="B44" s="299" t="s">
        <v>197</v>
      </c>
      <c r="C44" s="216"/>
      <c r="D44" s="216"/>
      <c r="E44" s="216"/>
      <c r="F44" s="216"/>
      <c r="G44" s="216"/>
      <c r="H44" s="216"/>
      <c r="I44" s="216"/>
      <c r="J44" s="216"/>
      <c r="K44" s="216"/>
      <c r="L44" s="216"/>
      <c r="M44" s="216"/>
      <c r="N44" s="216"/>
      <c r="O44" s="216"/>
      <c r="P44" s="216"/>
      <c r="Q44" s="216"/>
      <c r="R44" s="216"/>
      <c r="S44" s="216"/>
      <c r="T44" s="216"/>
      <c r="U44" s="216"/>
      <c r="V44" s="216"/>
      <c r="W44" s="216"/>
      <c r="X44" s="216"/>
      <c r="Y44" s="216"/>
      <c r="Z44" s="216"/>
      <c r="AA44" s="216"/>
      <c r="AB44" s="216"/>
      <c r="AC44" s="216"/>
      <c r="AD44" s="216"/>
      <c r="AE44" s="216"/>
      <c r="AF44" s="216"/>
      <c r="AG44" s="216"/>
      <c r="AH44" s="216"/>
    </row>
    <row r="45" spans="1:39">
      <c r="A45" s="696"/>
      <c r="B45" s="216"/>
      <c r="C45" s="216"/>
      <c r="D45" s="216"/>
      <c r="E45" s="216"/>
      <c r="F45" s="216"/>
      <c r="G45" s="216"/>
      <c r="H45" s="216"/>
      <c r="I45" s="216"/>
      <c r="J45" s="216"/>
      <c r="K45" s="216"/>
      <c r="L45" s="216"/>
      <c r="M45" s="216"/>
      <c r="N45" s="216"/>
      <c r="O45" s="216"/>
      <c r="P45" s="216"/>
      <c r="Q45" s="216"/>
      <c r="R45" s="216"/>
      <c r="S45" s="216"/>
      <c r="T45" s="216"/>
      <c r="U45" s="216"/>
      <c r="V45" s="216"/>
      <c r="W45" s="216"/>
      <c r="X45" s="216"/>
      <c r="Y45" s="216"/>
      <c r="Z45" s="216"/>
      <c r="AA45" s="216"/>
      <c r="AB45" s="216"/>
      <c r="AC45" s="216"/>
      <c r="AD45" s="216"/>
      <c r="AE45" s="216"/>
      <c r="AF45" s="216"/>
      <c r="AG45" s="216"/>
      <c r="AH45" s="216"/>
      <c r="AM45">
        <v>167</v>
      </c>
    </row>
    <row r="46" spans="1:39">
      <c r="A46" s="696"/>
      <c r="B46" s="216"/>
      <c r="C46" s="216"/>
      <c r="D46" s="216"/>
      <c r="E46" s="216"/>
      <c r="F46" s="216"/>
      <c r="G46" s="216"/>
      <c r="H46" s="216"/>
      <c r="I46" s="216"/>
      <c r="J46" s="216"/>
      <c r="K46" s="216"/>
      <c r="L46" s="216"/>
      <c r="M46" s="216"/>
      <c r="N46" s="216"/>
      <c r="O46" s="216"/>
      <c r="P46" s="216"/>
      <c r="Q46" s="216"/>
      <c r="R46" s="216"/>
      <c r="S46" s="216"/>
      <c r="T46" s="216"/>
      <c r="U46" s="216"/>
      <c r="V46" s="216"/>
      <c r="W46" s="216"/>
      <c r="X46" s="216"/>
      <c r="Y46" s="216"/>
      <c r="Z46" s="216"/>
      <c r="AA46" s="216"/>
      <c r="AB46" s="216"/>
      <c r="AC46" s="216"/>
      <c r="AD46" s="216"/>
      <c r="AE46" s="216"/>
      <c r="AF46" s="216"/>
      <c r="AG46" s="216"/>
      <c r="AH46" s="216"/>
      <c r="AM46">
        <f>4*AM45/1000</f>
        <v>0.66800000000000004</v>
      </c>
    </row>
    <row r="47" spans="1:39" ht="20.25">
      <c r="A47" s="696"/>
      <c r="B47" s="216"/>
      <c r="C47" s="226" t="str">
        <f>B52</f>
        <v>BP YTD</v>
      </c>
      <c r="D47" s="226" t="str">
        <f>C52</f>
        <v>Act YTD</v>
      </c>
      <c r="E47" s="226" t="s">
        <v>320</v>
      </c>
      <c r="F47" s="226" t="s">
        <v>321</v>
      </c>
      <c r="G47" s="226" t="s">
        <v>322</v>
      </c>
      <c r="H47" s="292" t="s">
        <v>323</v>
      </c>
      <c r="I47" s="216"/>
      <c r="J47" s="216"/>
      <c r="K47" s="216"/>
      <c r="L47" s="216"/>
      <c r="M47" s="216"/>
      <c r="N47" s="216">
        <f>[8]CMOR_MTD_vsBP!$N$20</f>
        <v>0</v>
      </c>
      <c r="O47" s="216"/>
      <c r="P47" s="216"/>
      <c r="Q47" s="216"/>
      <c r="R47" s="216"/>
      <c r="S47" s="216"/>
      <c r="T47" s="216"/>
      <c r="U47" s="216"/>
      <c r="V47" s="216"/>
      <c r="W47" s="216"/>
      <c r="X47" s="216"/>
      <c r="Y47" s="216"/>
      <c r="Z47" s="216"/>
      <c r="AA47" s="216"/>
      <c r="AB47" s="216"/>
      <c r="AC47" s="216"/>
      <c r="AD47" s="216"/>
      <c r="AE47" s="216"/>
      <c r="AF47" s="216"/>
      <c r="AG47" s="216"/>
      <c r="AH47" s="216"/>
    </row>
    <row r="48" spans="1:39" ht="20.25">
      <c r="A48" s="696"/>
      <c r="B48" s="226" t="s">
        <v>324</v>
      </c>
      <c r="C48" s="229" t="e">
        <f>#REF!</f>
        <v>#REF!</v>
      </c>
      <c r="D48" s="229" t="e">
        <f>#REF!</f>
        <v>#REF!</v>
      </c>
      <c r="E48" s="226" t="e">
        <f>+D48-C48</f>
        <v>#REF!</v>
      </c>
      <c r="F48" s="226">
        <f>B61</f>
        <v>0.24924716566199123</v>
      </c>
      <c r="G48" s="226" t="e">
        <f>SUM(C61:S61)</f>
        <v>#REF!</v>
      </c>
      <c r="H48" s="502" t="e">
        <f>E48-F48-G48</f>
        <v>#REF!</v>
      </c>
      <c r="I48" s="216"/>
      <c r="J48" s="216"/>
      <c r="K48" s="216"/>
      <c r="L48" s="216"/>
      <c r="M48" s="216"/>
      <c r="N48" s="216"/>
      <c r="O48" s="216"/>
      <c r="P48" s="216"/>
      <c r="Q48" s="216"/>
      <c r="R48" s="216"/>
      <c r="S48" s="216"/>
      <c r="T48" s="216"/>
      <c r="U48" s="216"/>
      <c r="V48" s="216"/>
      <c r="W48" s="216"/>
      <c r="X48" s="216"/>
      <c r="Y48" s="216"/>
      <c r="Z48" s="216"/>
      <c r="AA48" s="216"/>
      <c r="AB48" s="216"/>
      <c r="AC48" s="216"/>
      <c r="AD48" s="216"/>
      <c r="AE48" s="216"/>
      <c r="AF48" s="216"/>
      <c r="AG48" s="216"/>
      <c r="AH48" s="216"/>
    </row>
    <row r="49" spans="1:35" ht="20.25">
      <c r="A49" s="696"/>
      <c r="B49" s="226" t="s">
        <v>325</v>
      </c>
      <c r="C49" s="229" t="e">
        <f>#REF!</f>
        <v>#REF!</v>
      </c>
      <c r="D49" s="229" t="e">
        <f>#REF!</f>
        <v>#REF!</v>
      </c>
      <c r="E49" s="226" t="e">
        <f>+D49-C49</f>
        <v>#REF!</v>
      </c>
      <c r="F49" s="226" t="e">
        <f>T61</f>
        <v>#REF!</v>
      </c>
      <c r="G49" s="226" t="e">
        <f>SUM(U61:AH61)</f>
        <v>#REF!</v>
      </c>
      <c r="H49" s="502" t="e">
        <f>E49-F49-G49</f>
        <v>#REF!</v>
      </c>
      <c r="I49" s="216"/>
      <c r="J49" s="216"/>
      <c r="K49" s="216"/>
      <c r="L49" s="216"/>
      <c r="M49" s="216"/>
      <c r="N49" s="216"/>
      <c r="O49" s="216"/>
      <c r="P49" s="216"/>
      <c r="Q49" s="216"/>
      <c r="R49" s="216"/>
      <c r="S49" s="216"/>
      <c r="T49" s="216"/>
      <c r="U49" s="216"/>
      <c r="V49" s="216"/>
      <c r="W49" s="216"/>
      <c r="X49" s="216"/>
      <c r="Y49" s="216"/>
      <c r="Z49" s="216"/>
      <c r="AA49" s="216"/>
      <c r="AB49" s="216"/>
      <c r="AC49" s="216"/>
      <c r="AD49" s="216"/>
      <c r="AE49" s="216"/>
      <c r="AF49" s="216"/>
      <c r="AG49" s="216"/>
      <c r="AH49" s="216"/>
    </row>
    <row r="50" spans="1:35" ht="20.25">
      <c r="A50" s="696"/>
      <c r="B50" s="226" t="s">
        <v>326</v>
      </c>
      <c r="C50" s="226" t="e">
        <f>+C48+C49</f>
        <v>#REF!</v>
      </c>
      <c r="D50" s="226" t="e">
        <f>+D48+D49</f>
        <v>#REF!</v>
      </c>
      <c r="E50" s="226" t="e">
        <f>+D50-C50</f>
        <v>#REF!</v>
      </c>
      <c r="F50" s="226" t="e">
        <f>+E50-G50</f>
        <v>#REF!</v>
      </c>
      <c r="G50" s="226" t="e">
        <f>+G48+G49</f>
        <v>#REF!</v>
      </c>
      <c r="H50" s="502" t="e">
        <f>E50-F50-G50</f>
        <v>#REF!</v>
      </c>
      <c r="I50" s="216"/>
      <c r="J50" s="216"/>
      <c r="K50" s="216"/>
      <c r="L50" s="216"/>
      <c r="M50" s="216"/>
      <c r="N50" s="216"/>
      <c r="O50" s="216"/>
      <c r="P50" s="216"/>
      <c r="Q50" s="216"/>
      <c r="R50" s="216"/>
      <c r="S50" s="216"/>
      <c r="T50" s="216"/>
      <c r="U50" s="216"/>
      <c r="V50" s="216"/>
      <c r="W50" s="216"/>
      <c r="X50" s="216"/>
      <c r="Y50" s="216"/>
      <c r="Z50" s="216"/>
      <c r="AA50" s="216"/>
      <c r="AB50" s="216"/>
      <c r="AC50" s="216"/>
      <c r="AD50" s="216"/>
      <c r="AE50" s="216"/>
      <c r="AF50" s="216"/>
      <c r="AG50" s="216"/>
      <c r="AH50" s="216"/>
    </row>
    <row r="51" spans="1:35" ht="18">
      <c r="A51" s="696"/>
      <c r="B51" s="215"/>
      <c r="C51" s="216"/>
      <c r="D51" s="215"/>
      <c r="E51" s="216"/>
      <c r="F51" s="215"/>
      <c r="G51" s="217" t="s">
        <v>138</v>
      </c>
      <c r="H51" s="216"/>
      <c r="I51" s="216"/>
      <c r="J51" s="216"/>
      <c r="K51" s="216"/>
      <c r="L51" s="216"/>
      <c r="M51" s="216"/>
      <c r="N51" s="216"/>
      <c r="O51" s="216"/>
      <c r="P51" s="216"/>
      <c r="Q51" s="216"/>
      <c r="R51" s="216"/>
      <c r="S51" s="216"/>
      <c r="T51" s="216"/>
      <c r="U51" s="216"/>
      <c r="V51" s="216"/>
      <c r="W51" s="216"/>
      <c r="X51" s="216"/>
      <c r="Y51" s="216"/>
      <c r="Z51" s="216"/>
      <c r="AA51" s="216"/>
      <c r="AB51" s="216"/>
      <c r="AC51" s="216"/>
      <c r="AD51" s="216"/>
      <c r="AE51" s="216"/>
      <c r="AF51" s="216"/>
      <c r="AG51" s="216"/>
      <c r="AH51" s="216"/>
    </row>
    <row r="52" spans="1:35" ht="20.25">
      <c r="A52" s="696"/>
      <c r="B52" s="1014" t="s">
        <v>209</v>
      </c>
      <c r="C52" s="1014" t="s">
        <v>210</v>
      </c>
      <c r="D52" s="218"/>
      <c r="E52" s="219"/>
      <c r="F52" s="219"/>
      <c r="G52" s="220"/>
      <c r="H52" s="216"/>
      <c r="I52" s="216"/>
      <c r="J52" s="216"/>
      <c r="K52" s="216"/>
      <c r="L52" s="720" t="s">
        <v>301</v>
      </c>
      <c r="M52" s="721">
        <f>SUM(E55:E57,G55)</f>
        <v>0.24924716566199123</v>
      </c>
      <c r="N52" s="216"/>
      <c r="O52" s="221"/>
      <c r="P52" s="221"/>
      <c r="Q52" s="221"/>
      <c r="R52" s="216"/>
      <c r="S52" s="216"/>
      <c r="T52" s="216"/>
      <c r="U52" s="216"/>
      <c r="V52" s="216"/>
      <c r="W52" s="221"/>
      <c r="X52" s="221"/>
      <c r="Y52" s="221"/>
      <c r="Z52" s="221"/>
      <c r="AA52" s="221"/>
      <c r="AB52" s="221"/>
      <c r="AC52" s="221"/>
      <c r="AD52" s="221"/>
      <c r="AE52" s="221"/>
      <c r="AF52" s="221"/>
      <c r="AG52" s="221"/>
      <c r="AH52" s="221"/>
    </row>
    <row r="53" spans="1:35" ht="40.5">
      <c r="A53" s="696"/>
      <c r="B53" s="1015"/>
      <c r="C53" s="1016"/>
      <c r="D53" s="222"/>
      <c r="E53" s="223" t="s">
        <v>154</v>
      </c>
      <c r="F53" s="224" t="s">
        <v>198</v>
      </c>
      <c r="G53" s="225" t="s">
        <v>156</v>
      </c>
      <c r="H53" s="216"/>
      <c r="I53" s="216" t="s">
        <v>208</v>
      </c>
      <c r="J53" s="216"/>
      <c r="K53" s="216"/>
      <c r="L53" s="216" t="s">
        <v>302</v>
      </c>
      <c r="M53" s="478" t="e">
        <f>SUM(U62:AH62,AJ78:AK78)</f>
        <v>#REF!</v>
      </c>
      <c r="N53" s="216"/>
      <c r="O53" s="216"/>
      <c r="P53" s="216"/>
      <c r="Q53" s="216"/>
      <c r="R53" s="216"/>
      <c r="S53" s="216"/>
      <c r="T53" s="216"/>
      <c r="V53" s="216"/>
      <c r="W53" s="216"/>
      <c r="X53" s="216"/>
      <c r="Y53" s="216"/>
      <c r="Z53" s="216"/>
      <c r="AA53" s="216"/>
      <c r="AB53" s="216"/>
      <c r="AC53" s="216" t="s">
        <v>481</v>
      </c>
      <c r="AD53" s="594">
        <v>-0.48010668963789066</v>
      </c>
      <c r="AE53" s="216" t="s">
        <v>452</v>
      </c>
      <c r="AF53" s="216"/>
      <c r="AG53" s="216"/>
      <c r="AH53" s="216"/>
    </row>
    <row r="54" spans="1:35" ht="20.25">
      <c r="A54" s="696"/>
      <c r="B54" s="568" t="e">
        <f>#REF!</f>
        <v>#REF!</v>
      </c>
      <c r="C54" s="568" t="e">
        <f>#REF!</f>
        <v>#REF!</v>
      </c>
      <c r="D54" s="750" t="e">
        <f>C54-B54</f>
        <v>#REF!</v>
      </c>
      <c r="E54" s="228" t="e">
        <f>SUM(M52:M53)</f>
        <v>#REF!</v>
      </c>
      <c r="F54" s="228" t="e">
        <f>#REF!-M52</f>
        <v>#REF!</v>
      </c>
      <c r="G54" s="229" t="e">
        <f>#REF!-M53</f>
        <v>#REF!</v>
      </c>
      <c r="H54" s="216"/>
      <c r="I54" s="286" t="e">
        <f>SUM(E54:G54)-D54</f>
        <v>#REF!</v>
      </c>
      <c r="J54" s="216"/>
      <c r="K54" s="216"/>
      <c r="L54" s="216"/>
      <c r="M54" s="216"/>
      <c r="N54" s="216"/>
      <c r="O54" s="230"/>
      <c r="P54" s="216"/>
      <c r="Q54" s="216"/>
      <c r="R54" s="216"/>
      <c r="S54" s="216"/>
      <c r="T54" s="216"/>
      <c r="U54" s="216"/>
      <c r="V54" s="216"/>
      <c r="W54" s="230"/>
      <c r="X54" s="216"/>
      <c r="Y54" s="230"/>
      <c r="Z54" s="230"/>
      <c r="AA54" s="230"/>
      <c r="AB54" s="230"/>
      <c r="AC54" s="727" t="s">
        <v>269</v>
      </c>
      <c r="AD54" s="728">
        <f>23856/1000</f>
        <v>23.856000000000002</v>
      </c>
      <c r="AE54" s="727" t="s">
        <v>451</v>
      </c>
      <c r="AF54" s="727"/>
      <c r="AG54" s="727"/>
      <c r="AH54" s="727"/>
      <c r="AI54" s="729"/>
    </row>
    <row r="55" spans="1:35">
      <c r="A55" s="696"/>
      <c r="B55" s="216"/>
      <c r="C55" s="216"/>
      <c r="D55" s="720" t="s">
        <v>139</v>
      </c>
      <c r="E55" s="723">
        <f>[8]CMOR_YTD_vsBP!$I$154+[8]CMOR_YTD_vsBP!$I$156+[8]CMOR_YTD_vsBP!$I$168</f>
        <v>0</v>
      </c>
      <c r="F55" s="720" t="s">
        <v>193</v>
      </c>
      <c r="G55" s="724">
        <f>[8]CMOR_YTD_vsBP!$I$169+[8]CMOR_YTD_vsBP!$I$157+[8]CMOR_YTD_vsBP!$I$159</f>
        <v>0</v>
      </c>
      <c r="H55" s="216"/>
      <c r="I55" s="216"/>
      <c r="J55" s="216"/>
      <c r="K55" s="216"/>
      <c r="L55" s="216"/>
      <c r="M55" s="216"/>
      <c r="N55" s="216"/>
      <c r="O55" s="216"/>
      <c r="P55" s="216"/>
      <c r="Q55" s="216"/>
      <c r="R55" s="216"/>
      <c r="S55" s="216"/>
      <c r="T55" s="216"/>
      <c r="U55" s="216"/>
      <c r="V55" s="216"/>
      <c r="W55" s="216" t="s">
        <v>145</v>
      </c>
      <c r="X55" s="411">
        <v>1.3642545060000009</v>
      </c>
      <c r="Y55" s="479">
        <v>0.249363903</v>
      </c>
      <c r="Z55" s="216"/>
      <c r="AA55" s="216"/>
      <c r="AB55" s="216"/>
      <c r="AC55" s="216" t="s">
        <v>141</v>
      </c>
      <c r="AD55" s="675">
        <v>-17.149127226000004</v>
      </c>
      <c r="AE55" s="216" t="s">
        <v>452</v>
      </c>
      <c r="AF55" s="216"/>
      <c r="AG55" s="216"/>
      <c r="AH55" s="216"/>
    </row>
    <row r="56" spans="1:35">
      <c r="A56" s="696"/>
      <c r="B56" s="216"/>
      <c r="C56" s="216"/>
      <c r="D56" s="720" t="s">
        <v>200</v>
      </c>
      <c r="E56" s="723">
        <f>[8]CMOR_YTD_vsBP!$I$164+[8]CMOR_YTD_vsBP!$I$165</f>
        <v>0.24924716566199123</v>
      </c>
      <c r="F56" s="720"/>
      <c r="G56" s="720"/>
      <c r="H56" s="216"/>
      <c r="I56" s="216"/>
      <c r="J56" s="216"/>
      <c r="K56" s="216"/>
      <c r="L56" s="216"/>
      <c r="M56" s="216"/>
      <c r="N56" s="216"/>
      <c r="O56" s="216"/>
      <c r="P56" s="216"/>
      <c r="Q56" s="216"/>
      <c r="R56" s="216"/>
      <c r="S56" s="216"/>
      <c r="T56" s="216"/>
      <c r="W56" t="s">
        <v>193</v>
      </c>
      <c r="X56" s="412">
        <v>1.135657552000001</v>
      </c>
      <c r="Y56" s="129">
        <v>0</v>
      </c>
      <c r="AC56" s="216" t="s">
        <v>144</v>
      </c>
      <c r="AD56" s="520" t="e">
        <f>AD61-SUM(AD53:AD55)</f>
        <v>#REF!</v>
      </c>
      <c r="AH56" s="216"/>
    </row>
    <row r="57" spans="1:35" ht="21" thickBot="1">
      <c r="A57" s="696"/>
      <c r="B57" s="231" t="s">
        <v>157</v>
      </c>
      <c r="C57" s="232"/>
      <c r="D57" s="725" t="s">
        <v>145</v>
      </c>
      <c r="E57" s="726">
        <f>[8]CMOR_YTD_vsBP!$I$160+[8]CMOR_YTD_vsBP!$I$162+[8]CMOR_YTD_vsBP!$I$170</f>
        <v>0</v>
      </c>
      <c r="F57" s="725"/>
      <c r="G57" s="725"/>
      <c r="H57" s="232"/>
      <c r="I57" s="232"/>
      <c r="J57" s="232"/>
      <c r="K57" s="232"/>
      <c r="L57" s="232"/>
      <c r="M57" s="232"/>
      <c r="N57" s="232"/>
      <c r="O57" s="232"/>
      <c r="P57" s="232"/>
      <c r="Q57" s="232"/>
      <c r="R57" s="232"/>
      <c r="S57" s="232"/>
      <c r="T57" s="232"/>
      <c r="U57" s="232"/>
      <c r="V57" s="232"/>
      <c r="W57" s="232" t="s">
        <v>144</v>
      </c>
      <c r="X57" s="440" t="e">
        <f>X61-SUM(X55:X56)</f>
        <v>#REF!</v>
      </c>
      <c r="Y57" s="232"/>
      <c r="Z57" s="232"/>
      <c r="AA57" s="232"/>
      <c r="AB57" s="232"/>
      <c r="AC57" s="232"/>
      <c r="AD57" s="232"/>
      <c r="AE57" s="232"/>
      <c r="AF57" s="232"/>
      <c r="AG57" s="232"/>
      <c r="AH57" s="217" t="s">
        <v>138</v>
      </c>
    </row>
    <row r="58" spans="1:35" ht="21" thickBot="1">
      <c r="A58" s="696"/>
      <c r="B58" s="233"/>
      <c r="C58" s="234" t="s">
        <v>199</v>
      </c>
      <c r="D58" s="234"/>
      <c r="E58" s="234"/>
      <c r="F58" s="234"/>
      <c r="G58" s="234"/>
      <c r="H58" s="234"/>
      <c r="I58" s="234"/>
      <c r="J58" s="234"/>
      <c r="K58" s="234"/>
      <c r="L58" s="234"/>
      <c r="M58" s="234"/>
      <c r="N58" s="234"/>
      <c r="O58" s="234"/>
      <c r="P58" s="234"/>
      <c r="Q58" s="234"/>
      <c r="R58" s="234"/>
      <c r="S58" s="235"/>
      <c r="T58" s="236"/>
      <c r="U58" s="237" t="s">
        <v>160</v>
      </c>
      <c r="V58" s="237"/>
      <c r="W58" s="237"/>
      <c r="X58" s="237"/>
      <c r="Y58" s="237"/>
      <c r="Z58" s="237"/>
      <c r="AA58" s="237"/>
      <c r="AB58" s="237"/>
      <c r="AC58" s="237"/>
      <c r="AD58" s="237"/>
      <c r="AE58" s="237"/>
      <c r="AF58" s="237"/>
      <c r="AG58" s="237"/>
      <c r="AH58" s="238"/>
    </row>
    <row r="59" spans="1:35" ht="20.25">
      <c r="A59" s="696"/>
      <c r="B59" s="1027" t="s">
        <v>274</v>
      </c>
      <c r="C59" s="239" t="s">
        <v>161</v>
      </c>
      <c r="D59" s="240"/>
      <c r="E59" s="240"/>
      <c r="F59" s="240"/>
      <c r="G59" s="241"/>
      <c r="H59" s="1017" t="s">
        <v>162</v>
      </c>
      <c r="I59" s="242" t="s">
        <v>163</v>
      </c>
      <c r="J59" s="243"/>
      <c r="K59" s="243"/>
      <c r="L59" s="243"/>
      <c r="M59" s="243"/>
      <c r="N59" s="244"/>
      <c r="O59" s="1029" t="s">
        <v>164</v>
      </c>
      <c r="P59" s="1029" t="s">
        <v>165</v>
      </c>
      <c r="Q59" s="1019" t="s">
        <v>166</v>
      </c>
      <c r="R59" s="1022" t="s">
        <v>167</v>
      </c>
      <c r="S59" s="1032" t="s">
        <v>168</v>
      </c>
      <c r="T59" s="1027" t="s">
        <v>274</v>
      </c>
      <c r="U59" s="245" t="s">
        <v>169</v>
      </c>
      <c r="V59" s="246"/>
      <c r="W59" s="246"/>
      <c r="X59" s="247"/>
      <c r="Y59" s="248" t="s">
        <v>163</v>
      </c>
      <c r="Z59" s="246"/>
      <c r="AA59" s="246"/>
      <c r="AB59" s="246"/>
      <c r="AC59" s="246"/>
      <c r="AD59" s="247"/>
      <c r="AE59" s="1022" t="s">
        <v>166</v>
      </c>
      <c r="AF59" s="1025" t="s">
        <v>167</v>
      </c>
      <c r="AG59" s="311"/>
      <c r="AH59" s="1012" t="s">
        <v>168</v>
      </c>
    </row>
    <row r="60" spans="1:35" ht="60.75">
      <c r="A60" s="696"/>
      <c r="B60" s="1028"/>
      <c r="C60" s="249" t="s">
        <v>170</v>
      </c>
      <c r="D60" s="300" t="s">
        <v>171</v>
      </c>
      <c r="E60" s="250" t="s">
        <v>172</v>
      </c>
      <c r="F60" s="250" t="s">
        <v>173</v>
      </c>
      <c r="G60" s="251" t="s">
        <v>174</v>
      </c>
      <c r="H60" s="1018"/>
      <c r="I60" s="250" t="s">
        <v>175</v>
      </c>
      <c r="J60" s="250" t="s">
        <v>176</v>
      </c>
      <c r="K60" s="250" t="s">
        <v>201</v>
      </c>
      <c r="L60" s="250" t="s">
        <v>178</v>
      </c>
      <c r="M60" s="250" t="s">
        <v>168</v>
      </c>
      <c r="N60" s="250" t="s">
        <v>179</v>
      </c>
      <c r="O60" s="1030"/>
      <c r="P60" s="1031"/>
      <c r="Q60" s="1021"/>
      <c r="R60" s="1021"/>
      <c r="S60" s="1033"/>
      <c r="T60" s="1028"/>
      <c r="U60" s="307" t="s">
        <v>203</v>
      </c>
      <c r="V60" s="308" t="s">
        <v>180</v>
      </c>
      <c r="W60" s="309" t="s">
        <v>181</v>
      </c>
      <c r="X60" s="310" t="s">
        <v>33</v>
      </c>
      <c r="Y60" s="305" t="s">
        <v>25</v>
      </c>
      <c r="Z60" s="306" t="s">
        <v>183</v>
      </c>
      <c r="AA60" s="306" t="s">
        <v>204</v>
      </c>
      <c r="AB60" s="306" t="s">
        <v>205</v>
      </c>
      <c r="AC60" s="306" t="s">
        <v>184</v>
      </c>
      <c r="AD60" s="306" t="s">
        <v>30</v>
      </c>
      <c r="AE60" s="1021"/>
      <c r="AF60" s="1026"/>
      <c r="AG60" s="312" t="s">
        <v>37</v>
      </c>
      <c r="AH60" s="1013"/>
    </row>
    <row r="61" spans="1:35" ht="21" thickBot="1">
      <c r="A61" s="696"/>
      <c r="B61" s="712">
        <f>M52</f>
        <v>0.24924716566199123</v>
      </c>
      <c r="C61" s="713">
        <f>[8]CMOR_YTD_vsBP!$J$22+[8]CMOR_YTD_vsBP!$K$22</f>
        <v>0</v>
      </c>
      <c r="D61" s="737"/>
      <c r="E61" s="710">
        <f>[8]CMOR_YTD_vsBP!$N$22</f>
        <v>0</v>
      </c>
      <c r="F61" s="710">
        <f>[8]CMOR_YTD_vsBP!$M$22+[8]CMOR_YTD_vsBP!$L$22</f>
        <v>0</v>
      </c>
      <c r="G61" s="254"/>
      <c r="H61" s="254"/>
      <c r="I61" s="254">
        <f>I65</f>
        <v>0</v>
      </c>
      <c r="J61" s="254">
        <f>J65</f>
        <v>0</v>
      </c>
      <c r="K61" s="254">
        <f>K65</f>
        <v>0</v>
      </c>
      <c r="L61" s="254">
        <f>L65</f>
        <v>0</v>
      </c>
      <c r="M61" s="254">
        <f>M65+SUM(M83:M85)</f>
        <v>11.089002026999999</v>
      </c>
      <c r="N61" s="303"/>
      <c r="O61" s="302"/>
      <c r="P61" s="302"/>
      <c r="Q61" s="256"/>
      <c r="R61" s="710">
        <f>[8]CMOR_YTD_vsBP!$Q$22</f>
        <v>-23.002552871999974</v>
      </c>
      <c r="S61" s="714" t="e">
        <f>F54-SUM(C61:R61)</f>
        <v>#REF!</v>
      </c>
      <c r="T61" s="713" t="e">
        <f>M53</f>
        <v>#REF!</v>
      </c>
      <c r="U61" s="713" t="e">
        <f>#REF!-U62</f>
        <v>#REF!</v>
      </c>
      <c r="V61" s="715" t="e">
        <f>#REF!-V62</f>
        <v>#REF!</v>
      </c>
      <c r="W61" s="715"/>
      <c r="X61" s="715" t="e">
        <f>#REF!-X62</f>
        <v>#REF!</v>
      </c>
      <c r="Y61" s="715" t="e">
        <f>#REF!-Y62</f>
        <v>#REF!</v>
      </c>
      <c r="Z61" s="715" t="e">
        <f>#REF!-Z62</f>
        <v>#REF!</v>
      </c>
      <c r="AA61" s="715" t="e">
        <f>#REF!</f>
        <v>#REF!</v>
      </c>
      <c r="AB61" s="739"/>
      <c r="AC61" s="715" t="e">
        <f>#REF!-AC62</f>
        <v>#REF!</v>
      </c>
      <c r="AD61" s="715" t="e">
        <f>#REF!</f>
        <v>#REF!</v>
      </c>
      <c r="AE61" s="716"/>
      <c r="AF61" s="717"/>
      <c r="AG61" s="710" t="e">
        <f>#REF!-AG62</f>
        <v>#REF!</v>
      </c>
      <c r="AH61" s="718" t="e">
        <f>G54-SUM(U61:AG61)</f>
        <v>#REF!</v>
      </c>
    </row>
    <row r="62" spans="1:35" ht="18">
      <c r="A62" s="696"/>
      <c r="B62" s="216"/>
      <c r="C62" s="272"/>
      <c r="D62" s="216"/>
      <c r="E62" s="216"/>
      <c r="F62" s="216"/>
      <c r="G62" s="216"/>
      <c r="H62" s="216"/>
      <c r="I62" s="216"/>
      <c r="J62" s="216"/>
      <c r="K62" s="216"/>
      <c r="L62" s="216"/>
      <c r="M62" s="216"/>
      <c r="N62" s="216"/>
      <c r="O62" s="216"/>
      <c r="P62" s="216"/>
      <c r="Q62" s="216"/>
      <c r="R62" s="216"/>
      <c r="S62" s="216"/>
      <c r="T62" s="216"/>
      <c r="U62" s="745">
        <f>[8]CMOR_YTD_vsBP!$I$155</f>
        <v>0</v>
      </c>
      <c r="V62" s="745"/>
      <c r="W62" s="746"/>
      <c r="X62" s="746">
        <f>SUM(Y55:Y56)</f>
        <v>0.249363903</v>
      </c>
      <c r="Y62" s="746">
        <f>[8]CMOR_YTD_vsBP!$I$163-Z62</f>
        <v>-0.84143031407713076</v>
      </c>
      <c r="Z62" s="746">
        <f>[8]VA_MZ_MTD!$W$10</f>
        <v>1.5629364828154968E-3</v>
      </c>
      <c r="AA62" s="746"/>
      <c r="AB62" s="746"/>
      <c r="AC62" s="746">
        <f>[8]CMOR_YTD_vsBP!$I$167</f>
        <v>0</v>
      </c>
      <c r="AD62" s="746"/>
      <c r="AE62" s="746"/>
      <c r="AF62" s="746"/>
      <c r="AG62" s="747" t="e">
        <f>[8]CMOR_YTD_vsBP!$I$166-AJ78-AK78</f>
        <v>#REF!</v>
      </c>
      <c r="AH62" s="746"/>
    </row>
    <row r="63" spans="1:35" ht="18">
      <c r="A63" s="696"/>
      <c r="B63" s="221"/>
      <c r="C63" s="542"/>
      <c r="D63" s="221"/>
      <c r="E63" s="221"/>
      <c r="F63" s="221"/>
      <c r="G63" s="221"/>
      <c r="H63" s="221"/>
      <c r="I63" s="221"/>
      <c r="J63" s="221"/>
      <c r="K63" s="221"/>
      <c r="L63" s="221"/>
      <c r="M63" s="221"/>
      <c r="N63" s="221"/>
      <c r="O63" s="221"/>
      <c r="P63" s="221"/>
      <c r="Q63" s="221"/>
      <c r="R63" s="491"/>
      <c r="S63" s="221"/>
      <c r="T63" s="221"/>
      <c r="U63" s="221"/>
      <c r="V63" s="221"/>
      <c r="W63" s="221"/>
    </row>
    <row r="64" spans="1:35" ht="18">
      <c r="A64" s="696"/>
      <c r="B64" s="221"/>
      <c r="C64" s="542"/>
      <c r="D64" s="221"/>
      <c r="E64" s="221"/>
      <c r="F64" s="221"/>
      <c r="G64" s="221"/>
      <c r="H64" s="221"/>
      <c r="I64" s="751" t="s">
        <v>500</v>
      </c>
      <c r="J64" s="751"/>
      <c r="K64" s="751"/>
      <c r="L64" s="751"/>
      <c r="M64" s="751"/>
      <c r="N64" s="221"/>
      <c r="O64" s="221"/>
      <c r="P64" s="221"/>
      <c r="Q64" s="221"/>
      <c r="R64" s="491"/>
      <c r="S64" s="221"/>
      <c r="T64" s="221"/>
      <c r="U64" s="221"/>
      <c r="V64" s="221"/>
      <c r="W64" s="221"/>
    </row>
    <row r="65" spans="1:37" ht="18">
      <c r="A65" s="696"/>
      <c r="B65" s="221"/>
      <c r="C65" s="542"/>
      <c r="D65" s="221"/>
      <c r="E65" s="221"/>
      <c r="F65" s="221"/>
      <c r="G65" s="221"/>
      <c r="H65" s="221"/>
      <c r="I65" s="751"/>
      <c r="J65" s="751"/>
      <c r="K65" s="751"/>
      <c r="L65" s="751"/>
      <c r="M65" s="751"/>
      <c r="N65" s="221"/>
      <c r="O65" s="221"/>
      <c r="P65" s="221"/>
      <c r="Q65" s="221"/>
      <c r="R65" s="491"/>
      <c r="S65" s="221"/>
      <c r="T65" s="221"/>
      <c r="U65" s="221"/>
      <c r="V65" s="221"/>
      <c r="W65" s="221"/>
    </row>
    <row r="66" spans="1:37" ht="18">
      <c r="A66" s="696"/>
      <c r="B66" s="221"/>
      <c r="C66" s="542"/>
      <c r="D66" s="221"/>
      <c r="E66" s="221"/>
      <c r="F66" s="221"/>
      <c r="G66" s="221"/>
      <c r="H66" s="221"/>
      <c r="I66" s="221"/>
      <c r="J66" s="221"/>
      <c r="K66" s="221"/>
      <c r="L66" s="221"/>
      <c r="M66" s="221"/>
      <c r="N66" s="221"/>
      <c r="O66" s="221"/>
      <c r="P66" s="221"/>
      <c r="Q66" s="221"/>
      <c r="R66" s="491"/>
      <c r="S66" s="221"/>
      <c r="T66" s="221"/>
      <c r="U66" s="221"/>
      <c r="V66" s="221"/>
      <c r="W66" s="221"/>
    </row>
    <row r="67" spans="1:37" ht="18">
      <c r="A67" s="696"/>
      <c r="B67" s="221"/>
      <c r="C67" s="542"/>
      <c r="D67" s="221"/>
      <c r="E67" s="221"/>
      <c r="F67" s="221"/>
      <c r="G67" s="221"/>
      <c r="H67" s="221"/>
      <c r="I67" s="221"/>
      <c r="J67" s="221"/>
      <c r="K67" s="221"/>
      <c r="L67" s="221"/>
      <c r="M67" s="221"/>
      <c r="N67" s="221"/>
      <c r="O67" s="221"/>
      <c r="P67" s="221"/>
      <c r="Q67" s="221"/>
      <c r="R67" s="491"/>
      <c r="S67" s="221"/>
      <c r="T67" s="221"/>
      <c r="U67" s="221"/>
      <c r="V67" s="221"/>
      <c r="W67" s="221"/>
    </row>
    <row r="68" spans="1:37" ht="18">
      <c r="A68" s="696"/>
      <c r="B68" s="221"/>
      <c r="C68" s="542"/>
      <c r="D68" s="221"/>
      <c r="E68" s="221"/>
      <c r="F68" s="221"/>
      <c r="G68" s="221"/>
      <c r="H68" s="221"/>
      <c r="I68" s="221"/>
      <c r="J68" s="221"/>
      <c r="K68" s="221"/>
      <c r="L68" s="221"/>
      <c r="M68" s="221"/>
      <c r="N68" s="221"/>
      <c r="O68" s="221"/>
      <c r="P68" s="221"/>
      <c r="Q68" s="221"/>
      <c r="R68" s="491"/>
      <c r="S68" s="221"/>
      <c r="T68" s="221"/>
      <c r="U68" s="221"/>
      <c r="V68" s="221"/>
      <c r="W68" s="221"/>
    </row>
    <row r="69" spans="1:37" ht="18">
      <c r="A69" s="696"/>
      <c r="B69" s="221"/>
      <c r="C69" s="542"/>
      <c r="D69" s="221"/>
      <c r="E69" s="221"/>
      <c r="F69" s="221"/>
      <c r="G69" s="221"/>
      <c r="H69" s="221"/>
      <c r="I69" s="221"/>
      <c r="J69" s="221"/>
      <c r="K69" s="221"/>
      <c r="L69" s="221"/>
      <c r="M69" s="221"/>
      <c r="N69" s="221"/>
      <c r="O69" s="221"/>
      <c r="P69" s="221"/>
      <c r="Q69" s="221"/>
      <c r="R69" s="491"/>
      <c r="S69" s="221"/>
      <c r="T69" s="221"/>
      <c r="U69" s="221"/>
      <c r="V69" s="221"/>
      <c r="W69" s="221"/>
    </row>
    <row r="70" spans="1:37" ht="18">
      <c r="A70" s="696"/>
      <c r="B70" s="221"/>
      <c r="C70" s="542"/>
      <c r="D70" s="221"/>
      <c r="E70" s="221"/>
      <c r="F70" s="221"/>
      <c r="G70" s="221"/>
      <c r="H70" s="221"/>
      <c r="I70" s="221"/>
      <c r="J70" s="221"/>
      <c r="K70" s="221"/>
      <c r="L70" s="221"/>
      <c r="M70" s="221"/>
      <c r="N70" s="221"/>
      <c r="O70" s="221"/>
      <c r="P70" s="221"/>
      <c r="Q70" s="221"/>
      <c r="R70" s="491"/>
      <c r="S70" s="221"/>
      <c r="T70" s="221"/>
      <c r="U70" s="221"/>
      <c r="V70" s="221"/>
      <c r="W70" s="221"/>
    </row>
    <row r="71" spans="1:37" ht="18">
      <c r="A71" s="696"/>
      <c r="B71" s="221"/>
      <c r="C71" s="542"/>
      <c r="D71" s="221"/>
      <c r="E71" s="221"/>
      <c r="F71" s="221"/>
      <c r="G71" s="221"/>
      <c r="H71" s="221"/>
      <c r="I71" s="221"/>
      <c r="J71" s="221"/>
      <c r="K71" s="221"/>
      <c r="L71" s="221"/>
      <c r="M71" s="221"/>
      <c r="N71" s="221"/>
      <c r="O71" s="221"/>
      <c r="P71" s="221"/>
      <c r="Q71" s="221"/>
      <c r="R71" s="491"/>
      <c r="S71" s="221"/>
      <c r="T71" s="221"/>
      <c r="U71" s="221"/>
      <c r="V71" s="221"/>
      <c r="W71" s="221"/>
    </row>
    <row r="72" spans="1:37" ht="18">
      <c r="A72" s="696"/>
      <c r="B72" s="221"/>
      <c r="C72" s="542"/>
      <c r="D72" s="221"/>
      <c r="E72" s="221"/>
      <c r="F72" s="221"/>
      <c r="G72" s="221"/>
      <c r="H72" s="221"/>
      <c r="I72" s="221"/>
      <c r="J72" s="221"/>
      <c r="K72" s="221"/>
      <c r="L72" s="221"/>
      <c r="M72" s="221"/>
      <c r="N72" s="221"/>
      <c r="O72" s="221"/>
      <c r="P72" s="221"/>
      <c r="Q72" s="221"/>
      <c r="R72" s="491"/>
      <c r="S72" s="221"/>
      <c r="T72" s="221"/>
      <c r="U72" s="221"/>
      <c r="V72" s="221"/>
      <c r="W72" s="221"/>
    </row>
    <row r="73" spans="1:37" ht="18">
      <c r="A73" s="696"/>
      <c r="B73" s="221"/>
      <c r="C73" s="542"/>
      <c r="D73" s="221"/>
      <c r="E73" s="221"/>
      <c r="F73" s="221"/>
      <c r="G73" s="221"/>
      <c r="H73" s="221"/>
      <c r="I73" s="221"/>
      <c r="J73" s="221"/>
      <c r="K73" s="221"/>
      <c r="L73" s="221"/>
      <c r="M73" s="221"/>
      <c r="N73" s="221"/>
      <c r="O73" s="221"/>
      <c r="P73" s="221"/>
      <c r="Q73" s="221"/>
      <c r="R73" s="491"/>
      <c r="S73" s="221"/>
      <c r="T73" s="221"/>
      <c r="U73" s="221"/>
      <c r="V73" s="221"/>
      <c r="W73" s="221"/>
    </row>
    <row r="74" spans="1:37" ht="18">
      <c r="A74" s="696"/>
      <c r="B74" s="221"/>
      <c r="C74" s="542"/>
      <c r="D74" s="221"/>
      <c r="E74" s="221"/>
      <c r="F74" s="221"/>
      <c r="G74" s="221"/>
      <c r="H74" s="221"/>
      <c r="I74" s="221"/>
      <c r="J74" s="221"/>
      <c r="K74" s="221"/>
      <c r="L74" s="221"/>
      <c r="M74" s="221"/>
      <c r="N74" s="221"/>
      <c r="O74" s="221"/>
      <c r="P74" s="221"/>
      <c r="Q74" s="221"/>
      <c r="R74" s="491"/>
      <c r="S74" s="221"/>
      <c r="T74" s="221"/>
      <c r="U74" s="221"/>
      <c r="V74" s="221"/>
      <c r="W74" s="221"/>
    </row>
    <row r="75" spans="1:37" ht="18">
      <c r="A75" s="696"/>
      <c r="B75" s="221"/>
      <c r="C75" s="542"/>
      <c r="D75" s="221"/>
      <c r="E75" s="221"/>
      <c r="F75" s="221"/>
      <c r="G75" s="221"/>
      <c r="H75" s="221"/>
      <c r="I75" s="221"/>
      <c r="J75" s="221"/>
      <c r="K75" s="221"/>
      <c r="L75" s="221"/>
      <c r="M75" s="221"/>
      <c r="N75" s="221"/>
      <c r="O75" s="221"/>
      <c r="P75" s="221"/>
      <c r="Q75" s="221"/>
      <c r="R75" s="491"/>
      <c r="S75" s="221"/>
      <c r="T75" s="221"/>
      <c r="U75" s="221"/>
      <c r="V75" s="221"/>
      <c r="W75" s="221"/>
    </row>
    <row r="76" spans="1:37" ht="18">
      <c r="A76" s="696"/>
      <c r="B76" s="216"/>
      <c r="C76" s="319"/>
      <c r="D76" s="216"/>
      <c r="F76" s="216"/>
      <c r="G76" s="216"/>
      <c r="H76" s="334"/>
      <c r="I76" s="216"/>
      <c r="J76" s="216"/>
      <c r="K76" s="216"/>
      <c r="L76" s="216"/>
      <c r="M76" s="216"/>
      <c r="N76" s="216"/>
      <c r="O76" s="216"/>
      <c r="P76" s="216"/>
      <c r="Q76" s="216"/>
      <c r="R76" s="216"/>
      <c r="S76" s="216"/>
      <c r="T76" s="216"/>
      <c r="U76" s="216"/>
      <c r="V76" s="216"/>
      <c r="W76" s="216"/>
    </row>
    <row r="77" spans="1:37" ht="20.25">
      <c r="A77" s="696"/>
      <c r="B77" s="216"/>
      <c r="C77" s="319"/>
      <c r="D77" s="216"/>
      <c r="E77" s="678"/>
      <c r="F77" s="678"/>
      <c r="G77" s="679" t="s">
        <v>475</v>
      </c>
      <c r="H77" s="286"/>
      <c r="I77" s="273" t="s">
        <v>188</v>
      </c>
      <c r="J77" s="274"/>
      <c r="K77" s="274"/>
      <c r="L77" s="274"/>
      <c r="M77" s="683">
        <f>M61</f>
        <v>11.089002026999999</v>
      </c>
      <c r="N77" s="216"/>
      <c r="P77" s="273" t="s">
        <v>191</v>
      </c>
      <c r="Q77" s="274"/>
      <c r="R77" s="274"/>
      <c r="S77" s="294" t="e">
        <f>S61</f>
        <v>#REF!</v>
      </c>
      <c r="T77" s="216"/>
      <c r="U77" s="272"/>
      <c r="V77" s="272"/>
      <c r="W77" s="216"/>
      <c r="X77" s="263" t="s">
        <v>185</v>
      </c>
      <c r="Y77" s="264"/>
      <c r="Z77" s="264"/>
      <c r="AA77" s="265" t="e">
        <f>AD61</f>
        <v>#REF!</v>
      </c>
      <c r="AE77" s="263" t="s">
        <v>186</v>
      </c>
      <c r="AF77" s="264"/>
      <c r="AG77" s="264"/>
      <c r="AH77" s="265" t="e">
        <f>AH61</f>
        <v>#REF!</v>
      </c>
      <c r="AK77" t="s">
        <v>315</v>
      </c>
    </row>
    <row r="78" spans="1:37" ht="18">
      <c r="A78" s="696"/>
      <c r="B78" s="216"/>
      <c r="C78" s="319"/>
      <c r="D78" s="216"/>
      <c r="F78" s="216"/>
      <c r="G78" t="s">
        <v>288</v>
      </c>
      <c r="H78" s="685">
        <f>28.375185578-AD54</f>
        <v>4.5191855779999983</v>
      </c>
      <c r="I78" s="279">
        <v>1</v>
      </c>
      <c r="J78" s="269" t="s">
        <v>361</v>
      </c>
      <c r="K78" s="270"/>
      <c r="L78" s="270"/>
      <c r="M78" s="280"/>
      <c r="N78" s="216"/>
      <c r="P78" s="279">
        <v>1</v>
      </c>
      <c r="Q78" s="276" t="s">
        <v>193</v>
      </c>
      <c r="R78" s="277"/>
      <c r="S78" s="736">
        <f>[8]CMOR_YTD_vsBP!$O$22</f>
        <v>1.3132448079999866</v>
      </c>
      <c r="T78" s="334"/>
      <c r="U78" s="216"/>
      <c r="V78" s="286"/>
      <c r="W78" s="216"/>
      <c r="X78" s="268">
        <v>1</v>
      </c>
      <c r="Y78" s="269" t="s">
        <v>459</v>
      </c>
      <c r="Z78" s="270"/>
      <c r="AA78" s="271">
        <v>1</v>
      </c>
      <c r="AE78" s="268">
        <v>1</v>
      </c>
      <c r="AF78" s="269" t="s">
        <v>39</v>
      </c>
      <c r="AG78" s="270"/>
      <c r="AH78" s="271" t="e">
        <f>#REF!-AJ78-AK78</f>
        <v>#REF!</v>
      </c>
      <c r="AI78" t="s">
        <v>262</v>
      </c>
      <c r="AJ78" t="e">
        <f>#REF!</f>
        <v>#REF!</v>
      </c>
      <c r="AK78" s="524">
        <f>-166643/10^6</f>
        <v>-0.16664300000000001</v>
      </c>
    </row>
    <row r="79" spans="1:37" ht="18">
      <c r="A79" s="696"/>
      <c r="B79" s="216"/>
      <c r="C79" s="319"/>
      <c r="D79" s="216"/>
      <c r="F79" s="216"/>
      <c r="G79" t="s">
        <v>290</v>
      </c>
      <c r="H79" s="685">
        <v>0.14771900700000001</v>
      </c>
      <c r="I79" s="279">
        <v>2</v>
      </c>
      <c r="J79" s="276" t="s">
        <v>314</v>
      </c>
      <c r="K79" s="277"/>
      <c r="L79" s="277"/>
      <c r="M79" s="281"/>
      <c r="N79" s="216"/>
      <c r="P79" s="279">
        <v>2</v>
      </c>
      <c r="Q79" s="276" t="s">
        <v>143</v>
      </c>
      <c r="R79" s="277"/>
      <c r="S79" s="736">
        <f>SUM('[7]New KPI vs BP'!$N$449+'[7]New KPI vs BP'!$N$460)</f>
        <v>-7.7900944095817444</v>
      </c>
      <c r="T79" s="216"/>
      <c r="U79" s="216"/>
      <c r="V79" s="216"/>
      <c r="W79" s="216"/>
      <c r="X79" s="268">
        <v>2</v>
      </c>
      <c r="Y79" s="269" t="s">
        <v>268</v>
      </c>
      <c r="Z79" s="277"/>
      <c r="AA79" s="278">
        <v>1.5366604450059631</v>
      </c>
      <c r="AE79" s="268">
        <v>2</v>
      </c>
      <c r="AF79" s="276" t="s">
        <v>430</v>
      </c>
      <c r="AG79" s="277"/>
      <c r="AH79" s="278">
        <v>34.243264866304003</v>
      </c>
      <c r="AI79" t="s">
        <v>144</v>
      </c>
      <c r="AJ79" s="412" t="e">
        <f>AH78</f>
        <v>#REF!</v>
      </c>
    </row>
    <row r="80" spans="1:37" ht="18">
      <c r="A80" s="696"/>
      <c r="B80" s="216"/>
      <c r="C80" s="272"/>
      <c r="D80" s="216"/>
      <c r="E80" s="216"/>
      <c r="F80" s="216"/>
      <c r="G80" s="221" t="s">
        <v>282</v>
      </c>
      <c r="H80" s="686">
        <v>6.4220974420000001</v>
      </c>
      <c r="I80" s="279">
        <v>3</v>
      </c>
      <c r="J80" s="276" t="s">
        <v>404</v>
      </c>
      <c r="K80" s="277"/>
      <c r="L80" s="277"/>
      <c r="M80" s="281"/>
      <c r="P80" s="279">
        <v>3</v>
      </c>
      <c r="Q80" s="276" t="s">
        <v>195</v>
      </c>
      <c r="R80" s="277"/>
      <c r="S80" s="281">
        <v>32.423303154533684</v>
      </c>
      <c r="W80" s="216"/>
      <c r="X80" s="268">
        <v>3</v>
      </c>
      <c r="Y80" s="276"/>
      <c r="Z80" s="277"/>
      <c r="AA80" s="278"/>
      <c r="AE80" s="268">
        <v>3</v>
      </c>
      <c r="AF80" s="276" t="s">
        <v>421</v>
      </c>
      <c r="AG80" s="277"/>
      <c r="AH80" s="278">
        <v>4.0699012504096297</v>
      </c>
    </row>
    <row r="81" spans="1:36" ht="18">
      <c r="A81" s="696"/>
      <c r="B81" s="216"/>
      <c r="C81" s="216"/>
      <c r="D81" s="272"/>
      <c r="E81" s="272"/>
      <c r="F81" s="272"/>
      <c r="H81" s="585"/>
      <c r="I81" s="279">
        <v>4</v>
      </c>
      <c r="J81" s="276" t="s">
        <v>469</v>
      </c>
      <c r="K81" s="277"/>
      <c r="L81" s="277"/>
      <c r="M81" s="281"/>
      <c r="P81" s="279">
        <v>4</v>
      </c>
      <c r="Q81" s="276" t="s">
        <v>246</v>
      </c>
      <c r="R81" s="277"/>
      <c r="S81" s="281">
        <v>-1.622860810969365</v>
      </c>
      <c r="X81" s="268">
        <v>4</v>
      </c>
      <c r="Y81" s="276"/>
      <c r="Z81" s="277"/>
      <c r="AA81" s="278"/>
      <c r="AE81" s="268">
        <v>4</v>
      </c>
      <c r="AF81" s="276"/>
      <c r="AG81" s="277"/>
      <c r="AH81" s="278"/>
    </row>
    <row r="82" spans="1:36" ht="18">
      <c r="A82" s="696"/>
      <c r="B82" s="216"/>
      <c r="C82" s="272"/>
      <c r="D82" s="216"/>
      <c r="E82" s="216"/>
      <c r="F82" s="216"/>
      <c r="G82" t="s">
        <v>294</v>
      </c>
      <c r="H82" s="334"/>
      <c r="I82" s="279">
        <v>5</v>
      </c>
      <c r="J82" s="276" t="s">
        <v>401</v>
      </c>
      <c r="K82" s="277"/>
      <c r="L82" s="277"/>
      <c r="M82" s="281"/>
      <c r="P82" s="279">
        <v>5</v>
      </c>
      <c r="Q82" s="276" t="s">
        <v>223</v>
      </c>
      <c r="R82" s="277"/>
      <c r="S82" s="281">
        <v>-3.9732328582823229</v>
      </c>
      <c r="W82" s="216"/>
      <c r="X82" s="282">
        <v>5</v>
      </c>
      <c r="Y82" s="283" t="s">
        <v>182</v>
      </c>
      <c r="Z82" s="284"/>
      <c r="AA82" s="285" t="e">
        <f>AA77-SUM(AA78:AA81)</f>
        <v>#REF!</v>
      </c>
      <c r="AE82" s="282">
        <v>5</v>
      </c>
      <c r="AF82" s="283" t="s">
        <v>182</v>
      </c>
      <c r="AG82" s="284"/>
      <c r="AH82" s="285" t="e">
        <f>AH77-SUM(AH78:AH81)</f>
        <v>#REF!</v>
      </c>
      <c r="AJ82" s="121"/>
    </row>
    <row r="83" spans="1:36" ht="18">
      <c r="A83" s="696"/>
      <c r="B83" s="216"/>
      <c r="C83" s="272"/>
      <c r="D83" s="216"/>
      <c r="E83" s="216"/>
      <c r="F83" s="216"/>
      <c r="G83" s="216"/>
      <c r="H83" s="216">
        <v>30.270557915000001</v>
      </c>
      <c r="I83" s="279">
        <v>6</v>
      </c>
      <c r="J83" s="276" t="s">
        <v>288</v>
      </c>
      <c r="K83" s="277"/>
      <c r="L83" s="277"/>
      <c r="M83" s="736">
        <v>4.5191855779999983</v>
      </c>
      <c r="P83" s="279">
        <v>6</v>
      </c>
      <c r="Q83" s="276" t="s">
        <v>336</v>
      </c>
      <c r="R83" s="277"/>
      <c r="S83" s="278">
        <v>-1.049637761422713</v>
      </c>
      <c r="X83" s="216"/>
      <c r="Y83" s="216"/>
      <c r="Z83" s="216"/>
      <c r="AA83" s="216"/>
      <c r="AB83" s="330"/>
      <c r="AC83" s="216"/>
      <c r="AD83" s="216"/>
      <c r="AE83" s="216"/>
      <c r="AF83" s="216"/>
      <c r="AG83" s="216"/>
      <c r="AH83" s="216"/>
    </row>
    <row r="84" spans="1:36" ht="18">
      <c r="A84" s="696"/>
      <c r="B84" s="216"/>
      <c r="C84" s="272"/>
      <c r="D84" s="272"/>
      <c r="E84" s="216"/>
      <c r="F84" s="216"/>
      <c r="G84" s="216"/>
      <c r="H84" s="334">
        <v>0.14771900700000001</v>
      </c>
      <c r="I84" s="279">
        <v>7</v>
      </c>
      <c r="J84" s="276" t="s">
        <v>290</v>
      </c>
      <c r="K84" s="277"/>
      <c r="L84" s="277"/>
      <c r="M84" s="736">
        <v>0.14771900700000001</v>
      </c>
      <c r="N84" s="443"/>
      <c r="P84" s="279">
        <v>7</v>
      </c>
      <c r="Q84" s="276"/>
      <c r="R84" s="277"/>
      <c r="S84" s="281"/>
      <c r="T84" s="660"/>
      <c r="U84" s="412"/>
      <c r="X84" s="216"/>
      <c r="Y84" s="216"/>
      <c r="Z84" s="216"/>
      <c r="AA84" s="315"/>
      <c r="AB84" s="216"/>
      <c r="AC84" s="216"/>
      <c r="AD84" s="216"/>
      <c r="AE84" s="216"/>
      <c r="AF84" s="216"/>
      <c r="AG84" s="216"/>
      <c r="AH84" s="216"/>
    </row>
    <row r="85" spans="1:36" ht="18">
      <c r="A85" s="696"/>
      <c r="B85" s="216"/>
      <c r="C85" s="216"/>
      <c r="D85" s="216"/>
      <c r="E85" s="216"/>
      <c r="F85" s="216"/>
      <c r="G85" s="216"/>
      <c r="H85" s="216">
        <v>6.4220974420000001</v>
      </c>
      <c r="I85" s="279">
        <v>8</v>
      </c>
      <c r="J85" s="276" t="s">
        <v>282</v>
      </c>
      <c r="K85" s="277"/>
      <c r="L85" s="277"/>
      <c r="M85" s="736">
        <v>6.4220974420000001</v>
      </c>
      <c r="P85" s="279">
        <v>8</v>
      </c>
      <c r="Q85" s="276"/>
      <c r="R85" s="277"/>
      <c r="S85" s="281"/>
      <c r="T85" s="680" t="s">
        <v>476</v>
      </c>
      <c r="U85" s="412"/>
      <c r="X85" s="216"/>
      <c r="Y85" s="216"/>
      <c r="Z85" s="216"/>
      <c r="AA85" s="315"/>
      <c r="AB85" s="216"/>
      <c r="AC85" s="216"/>
      <c r="AD85" s="216"/>
      <c r="AE85" s="216"/>
      <c r="AF85" s="216"/>
      <c r="AG85" s="216"/>
      <c r="AH85" s="216"/>
    </row>
    <row r="86" spans="1:36" ht="18">
      <c r="A86" s="696"/>
      <c r="B86" s="216"/>
      <c r="C86" s="216"/>
      <c r="D86" s="216"/>
      <c r="E86" s="216"/>
      <c r="F86" s="216"/>
      <c r="G86" s="216"/>
      <c r="H86" s="216"/>
      <c r="I86" s="279">
        <v>9</v>
      </c>
      <c r="J86" s="276"/>
      <c r="K86" s="277"/>
      <c r="L86" s="277"/>
      <c r="M86" s="281"/>
      <c r="N86" s="424"/>
      <c r="P86" s="279">
        <v>9</v>
      </c>
      <c r="Q86" s="276"/>
      <c r="R86" s="277"/>
      <c r="S86" s="278"/>
      <c r="T86" s="660" t="s">
        <v>195</v>
      </c>
      <c r="U86" s="412">
        <v>32.423303154533684</v>
      </c>
      <c r="V86" s="317"/>
      <c r="X86" s="216"/>
      <c r="Y86" s="216"/>
      <c r="AA86" s="317"/>
      <c r="AB86" s="216"/>
      <c r="AC86" s="216"/>
      <c r="AD86" s="216"/>
      <c r="AE86" s="216"/>
      <c r="AF86" s="216"/>
      <c r="AG86" s="216"/>
      <c r="AH86" s="216"/>
    </row>
    <row r="87" spans="1:36" ht="18">
      <c r="A87" s="696"/>
      <c r="B87" s="216"/>
      <c r="C87" s="216"/>
      <c r="D87" s="216"/>
      <c r="E87" s="216"/>
      <c r="F87" s="216"/>
      <c r="G87" s="216"/>
      <c r="H87" s="216"/>
      <c r="I87" s="279">
        <v>10</v>
      </c>
      <c r="J87" s="276"/>
      <c r="K87" s="277"/>
      <c r="L87" s="277"/>
      <c r="M87" s="281"/>
      <c r="P87" s="288">
        <v>10</v>
      </c>
      <c r="Q87" s="283" t="s">
        <v>182</v>
      </c>
      <c r="R87" s="284"/>
      <c r="S87" s="285" t="e">
        <f>S77-SUM(S78:S86)</f>
        <v>#REF!</v>
      </c>
      <c r="T87" s="216" t="s">
        <v>222</v>
      </c>
      <c r="U87" s="412"/>
      <c r="V87" s="216" t="s">
        <v>400</v>
      </c>
      <c r="W87">
        <v>-138.99460173113042</v>
      </c>
      <c r="X87" s="692">
        <f>U87-W87</f>
        <v>138.99460173113042</v>
      </c>
      <c r="Y87" s="693" t="s">
        <v>482</v>
      </c>
      <c r="AA87" s="216"/>
      <c r="AB87" s="216"/>
      <c r="AC87" s="216"/>
      <c r="AD87" s="216"/>
      <c r="AE87" s="216"/>
      <c r="AF87" s="216"/>
      <c r="AG87" s="216"/>
      <c r="AH87" s="216"/>
    </row>
    <row r="88" spans="1:36" ht="18">
      <c r="A88" s="696"/>
      <c r="B88" s="216"/>
      <c r="C88" s="216"/>
      <c r="D88" s="216"/>
      <c r="E88" s="216"/>
      <c r="F88" s="216"/>
      <c r="G88" s="216"/>
      <c r="H88" s="216"/>
      <c r="I88" s="279">
        <v>11</v>
      </c>
      <c r="J88" s="276"/>
      <c r="K88" s="277"/>
      <c r="L88" s="277"/>
      <c r="M88" s="281"/>
      <c r="S88" s="317"/>
      <c r="T88" t="s">
        <v>246</v>
      </c>
      <c r="U88" s="687"/>
      <c r="AA88" s="216"/>
      <c r="AB88" s="216"/>
      <c r="AC88" s="216"/>
      <c r="AD88" s="216"/>
      <c r="AE88" s="216"/>
      <c r="AF88" s="216"/>
      <c r="AG88" s="216"/>
      <c r="AH88" s="216"/>
    </row>
    <row r="89" spans="1:36" ht="18">
      <c r="A89" s="696"/>
      <c r="B89" s="216"/>
      <c r="C89" s="216"/>
      <c r="D89" s="216"/>
      <c r="E89" s="216"/>
      <c r="F89" s="216"/>
      <c r="G89" s="216"/>
      <c r="H89" s="216"/>
      <c r="I89" s="288">
        <v>12</v>
      </c>
      <c r="J89" s="289" t="s">
        <v>182</v>
      </c>
      <c r="K89" s="284"/>
      <c r="L89" s="284"/>
      <c r="M89" s="290">
        <f>M77-SUM(M78:M87)</f>
        <v>0</v>
      </c>
      <c r="Q89" s="536" t="e">
        <f>SUM(S79:S87)+SUM(H78:H81)-H80</f>
        <v>#REF!</v>
      </c>
      <c r="S89" s="317" t="e">
        <f>S87-S88</f>
        <v>#REF!</v>
      </c>
      <c r="T89" t="s">
        <v>247</v>
      </c>
      <c r="U89" s="318">
        <v>91.752577641000002</v>
      </c>
      <c r="AA89" s="216"/>
      <c r="AB89" s="216"/>
      <c r="AC89" s="216"/>
      <c r="AD89" s="216"/>
      <c r="AE89" s="216"/>
      <c r="AF89" s="216"/>
      <c r="AG89" s="216"/>
      <c r="AH89" s="216"/>
    </row>
    <row r="90" spans="1:36">
      <c r="A90" s="696"/>
      <c r="B90" s="216"/>
      <c r="C90" s="216"/>
      <c r="D90" s="216"/>
      <c r="E90" s="216"/>
      <c r="F90" s="216"/>
      <c r="G90" s="216"/>
      <c r="H90" s="216"/>
      <c r="N90" s="216"/>
      <c r="P90" t="s">
        <v>247</v>
      </c>
      <c r="Q90" s="364">
        <v>20.552035427000003</v>
      </c>
      <c r="T90" t="s">
        <v>336</v>
      </c>
      <c r="U90" s="412"/>
      <c r="Z90" s="216"/>
      <c r="AA90" s="216"/>
      <c r="AB90" s="216"/>
      <c r="AC90" s="216"/>
      <c r="AD90" s="216"/>
      <c r="AE90" s="216"/>
      <c r="AF90" s="216"/>
      <c r="AG90" s="216"/>
      <c r="AH90" s="216"/>
    </row>
    <row r="91" spans="1:36">
      <c r="A91" s="696"/>
      <c r="B91" s="216"/>
      <c r="C91" s="216"/>
      <c r="D91" s="216"/>
      <c r="E91" s="216"/>
      <c r="F91" s="216"/>
      <c r="G91" s="216"/>
      <c r="H91" s="216"/>
      <c r="I91" s="216"/>
      <c r="J91" s="216"/>
      <c r="K91" s="216"/>
      <c r="L91" s="216"/>
      <c r="M91" s="216"/>
      <c r="N91" s="216"/>
      <c r="P91" t="s">
        <v>441</v>
      </c>
      <c r="Q91" s="314">
        <f>W87</f>
        <v>-138.99460173113042</v>
      </c>
      <c r="T91" t="s">
        <v>349</v>
      </c>
      <c r="U91" s="688"/>
      <c r="V91" s="659">
        <f>SUM('[7]New KPI vs BP'!$N$455:$N$456,'[7]New KPI vs BP'!$N$466)-SUM(U86:U90)</f>
        <v>-255.55298704145011</v>
      </c>
      <c r="W91" t="s">
        <v>356</v>
      </c>
      <c r="X91" s="317">
        <v>0.76235756941839983</v>
      </c>
      <c r="Z91" s="216"/>
      <c r="AA91" s="216"/>
      <c r="AB91" s="216"/>
      <c r="AC91" s="216"/>
      <c r="AD91" s="216"/>
      <c r="AE91" s="216"/>
      <c r="AF91" s="216"/>
      <c r="AG91" s="216"/>
      <c r="AH91" s="216"/>
    </row>
    <row r="92" spans="1:36">
      <c r="A92" s="696"/>
      <c r="B92" s="216"/>
      <c r="C92" s="216"/>
      <c r="D92" s="216"/>
      <c r="E92" s="216"/>
      <c r="F92" s="216"/>
      <c r="G92" s="216"/>
      <c r="H92" s="216"/>
      <c r="I92" s="216"/>
      <c r="J92" s="216"/>
      <c r="K92" s="216"/>
      <c r="L92" s="216"/>
      <c r="M92" s="216"/>
      <c r="N92" s="216"/>
      <c r="P92" t="s">
        <v>195</v>
      </c>
      <c r="Q92" s="369">
        <f>U86</f>
        <v>32.423303154533684</v>
      </c>
      <c r="T92" t="s">
        <v>223</v>
      </c>
      <c r="U92" s="689"/>
      <c r="V92" s="528">
        <f>'[7]New KPI vs BP'!$N$457</f>
        <v>-11.965790185566044</v>
      </c>
      <c r="W92" s="216"/>
      <c r="Y92" s="216"/>
      <c r="Z92" s="216"/>
      <c r="AA92" s="216"/>
      <c r="AB92" s="216"/>
      <c r="AC92" s="216"/>
      <c r="AD92" s="216"/>
      <c r="AE92" s="216"/>
      <c r="AF92" s="216"/>
      <c r="AG92" s="216"/>
      <c r="AH92" s="216"/>
    </row>
    <row r="93" spans="1:36">
      <c r="A93" s="696"/>
      <c r="B93" s="216"/>
      <c r="C93" s="216"/>
      <c r="D93" s="216"/>
      <c r="E93" s="216"/>
      <c r="F93" s="216"/>
      <c r="G93" s="216"/>
      <c r="H93" s="216"/>
      <c r="I93" s="216"/>
      <c r="J93" s="216"/>
      <c r="K93" s="216"/>
      <c r="L93" s="216"/>
      <c r="M93" s="216"/>
      <c r="N93" s="216"/>
      <c r="W93" s="216"/>
      <c r="Z93" s="216"/>
      <c r="AA93" s="216"/>
      <c r="AB93" s="216"/>
      <c r="AC93" s="216"/>
      <c r="AD93" s="216"/>
      <c r="AE93" s="216"/>
      <c r="AF93" s="216"/>
      <c r="AG93" s="216"/>
      <c r="AH93" s="216"/>
    </row>
    <row r="94" spans="1:36" ht="18">
      <c r="A94" s="696"/>
      <c r="B94" s="216"/>
      <c r="C94" s="216"/>
      <c r="D94" s="216"/>
      <c r="E94" s="216"/>
      <c r="F94" s="216"/>
      <c r="G94" s="216"/>
      <c r="H94" s="216"/>
      <c r="I94" s="216"/>
      <c r="J94" s="216"/>
      <c r="K94" s="216"/>
      <c r="L94" s="216"/>
      <c r="M94" s="332"/>
      <c r="N94" s="216"/>
      <c r="T94" s="582" t="s">
        <v>438</v>
      </c>
      <c r="U94" s="411"/>
      <c r="V94" s="691">
        <f>SUM('[7]New KPI vs BP'!$N$453+'[7]New KPI vs BP'!$N$464)</f>
        <v>59.399716243163219</v>
      </c>
      <c r="Y94" s="216"/>
      <c r="Z94" s="216"/>
      <c r="AA94" s="216"/>
      <c r="AB94" s="216"/>
      <c r="AC94" s="216"/>
      <c r="AD94" s="216"/>
      <c r="AE94" s="216"/>
      <c r="AF94" s="216"/>
      <c r="AG94" s="216"/>
      <c r="AH94" s="216"/>
    </row>
    <row r="95" spans="1:36">
      <c r="A95" s="696"/>
      <c r="B95" s="216"/>
      <c r="C95" s="216"/>
      <c r="D95" s="216"/>
      <c r="E95" s="216"/>
      <c r="F95" s="216"/>
      <c r="G95" s="216"/>
      <c r="H95" s="216"/>
      <c r="I95" s="216"/>
      <c r="J95" s="216"/>
      <c r="K95" s="216"/>
      <c r="L95" s="216"/>
      <c r="M95" s="216"/>
      <c r="N95" s="216"/>
      <c r="Q95" s="534" t="e">
        <f>Q89-SUM(Q90:Q94)</f>
        <v>#REF!</v>
      </c>
      <c r="V95" s="314"/>
      <c r="Y95" s="216"/>
      <c r="Z95" s="216"/>
      <c r="AA95" s="216"/>
      <c r="AB95" s="216"/>
      <c r="AC95" s="216"/>
      <c r="AD95" s="216"/>
      <c r="AE95" s="216"/>
      <c r="AF95" s="216"/>
      <c r="AG95" s="216"/>
      <c r="AH95" s="216"/>
    </row>
    <row r="96" spans="1:36">
      <c r="A96" s="696"/>
      <c r="B96" s="216"/>
      <c r="C96" s="216"/>
      <c r="D96" s="216"/>
      <c r="E96" s="216"/>
      <c r="F96" s="216"/>
      <c r="G96" s="216"/>
      <c r="H96" s="216"/>
      <c r="I96" s="216"/>
      <c r="J96" s="216"/>
      <c r="K96" s="216"/>
      <c r="L96" s="216"/>
      <c r="M96" s="216"/>
      <c r="N96" s="216"/>
      <c r="T96" s="661" t="s">
        <v>247</v>
      </c>
      <c r="U96" s="412"/>
      <c r="V96" s="314"/>
      <c r="W96" s="216"/>
      <c r="Z96" s="216"/>
      <c r="AA96" s="216"/>
      <c r="AB96" s="216"/>
      <c r="AC96" s="216"/>
      <c r="AD96" s="216"/>
      <c r="AE96" s="216"/>
      <c r="AF96" s="216"/>
      <c r="AG96" s="216"/>
      <c r="AH96" s="216"/>
    </row>
    <row r="97" spans="1:26">
      <c r="A97" s="696"/>
      <c r="V97" s="314"/>
      <c r="Y97" s="216"/>
      <c r="Z97" s="216"/>
    </row>
    <row r="98" spans="1:26">
      <c r="A98" s="696"/>
      <c r="Y98" s="216"/>
      <c r="Z98" s="216"/>
    </row>
    <row r="99" spans="1:26">
      <c r="A99" s="696"/>
      <c r="W99" s="529" t="e">
        <f>U88+U91+U92+U103</f>
        <v>#REF!</v>
      </c>
      <c r="Y99" s="216"/>
      <c r="Z99" s="216"/>
    </row>
    <row r="100" spans="1:26">
      <c r="A100" s="696"/>
      <c r="Y100" s="314"/>
    </row>
    <row r="101" spans="1:26">
      <c r="A101" s="696"/>
    </row>
    <row r="102" spans="1:26">
      <c r="A102" s="696"/>
    </row>
    <row r="103" spans="1:26">
      <c r="A103" s="696"/>
      <c r="T103" t="s">
        <v>284</v>
      </c>
      <c r="U103" s="412" t="e">
        <f>SUM(U104:U106)</f>
        <v>#REF!</v>
      </c>
    </row>
    <row r="104" spans="1:26">
      <c r="A104" s="696"/>
      <c r="T104" s="372" t="s">
        <v>252</v>
      </c>
      <c r="U104" s="373">
        <v>-0.81197906202617798</v>
      </c>
      <c r="V104" s="690" t="e">
        <f>'[7]P&amp;L vs BP'!$N$238-'[7]New KPI vs BP'!$N$437-AC61-AB61</f>
        <v>#REF!</v>
      </c>
    </row>
    <row r="105" spans="1:26">
      <c r="A105" s="696"/>
      <c r="T105" s="135" t="s">
        <v>480</v>
      </c>
      <c r="U105" s="373" t="e">
        <f>-AD56-AJ79-X57-AK78</f>
        <v>#REF!</v>
      </c>
    </row>
    <row r="106" spans="1:26">
      <c r="A106" s="696"/>
      <c r="T106" s="372" t="s">
        <v>273</v>
      </c>
      <c r="U106" s="373">
        <v>6.8768867742182804</v>
      </c>
      <c r="V106" s="690">
        <f>'[7]New KPI vs BP'!$P$447</f>
        <v>-26.049090637771826</v>
      </c>
    </row>
    <row r="107" spans="1:26">
      <c r="A107" s="696"/>
      <c r="X107" s="216"/>
    </row>
    <row r="108" spans="1:26">
      <c r="A108" s="696"/>
    </row>
    <row r="109" spans="1:26">
      <c r="A109" s="696"/>
      <c r="Z109" s="314"/>
    </row>
    <row r="110" spans="1:26">
      <c r="A110" s="696"/>
    </row>
    <row r="111" spans="1:26">
      <c r="A111" s="696"/>
    </row>
    <row r="112" spans="1:26">
      <c r="A112" s="696"/>
    </row>
    <row r="113" spans="1:1">
      <c r="A113" s="696"/>
    </row>
  </sheetData>
  <mergeCells count="26">
    <mergeCell ref="AH17:AH18"/>
    <mergeCell ref="B10:B11"/>
    <mergeCell ref="C10:C11"/>
    <mergeCell ref="H17:H18"/>
    <mergeCell ref="O17:O18"/>
    <mergeCell ref="P17:P18"/>
    <mergeCell ref="Q17:Q18"/>
    <mergeCell ref="R17:R18"/>
    <mergeCell ref="S17:S18"/>
    <mergeCell ref="AE17:AE18"/>
    <mergeCell ref="AF17:AF18"/>
    <mergeCell ref="T17:T18"/>
    <mergeCell ref="B17:B18"/>
    <mergeCell ref="AH59:AH60"/>
    <mergeCell ref="B52:B53"/>
    <mergeCell ref="C52:C53"/>
    <mergeCell ref="H59:H60"/>
    <mergeCell ref="O59:O60"/>
    <mergeCell ref="P59:P60"/>
    <mergeCell ref="Q59:Q60"/>
    <mergeCell ref="R59:R60"/>
    <mergeCell ref="S59:S60"/>
    <mergeCell ref="AE59:AE60"/>
    <mergeCell ref="AF59:AF60"/>
    <mergeCell ref="T59:T60"/>
    <mergeCell ref="B59:B60"/>
  </mergeCells>
  <pageMargins left="0.7" right="0.7" top="0.75" bottom="0.75" header="0.3" footer="0.3"/>
  <pageSetup orientation="portrait" r:id="rId1"/>
  <customProperties>
    <customPr name="_pios_id" r:id="rId2"/>
    <customPr name="EpmWorksheetKeyString_GUID" r:id="rId3"/>
  </customProperties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E4D8C-C272-4DB0-AC11-7CABB60C1CED}">
  <dimension ref="B1:DZ99"/>
  <sheetViews>
    <sheetView showGridLines="0" topLeftCell="A54" zoomScale="55" zoomScaleNormal="55" workbookViewId="0">
      <selection activeCell="AE73" sqref="AE73:AH75"/>
    </sheetView>
  </sheetViews>
  <sheetFormatPr defaultRowHeight="15" outlineLevelRow="1"/>
  <cols>
    <col min="2" max="2" width="10.42578125" bestFit="1" customWidth="1"/>
    <col min="3" max="3" width="18.140625" bestFit="1" customWidth="1"/>
    <col min="4" max="4" width="14.5703125" customWidth="1"/>
    <col min="5" max="5" width="10.140625" customWidth="1"/>
    <col min="6" max="6" width="14.42578125" customWidth="1"/>
    <col min="7" max="7" width="10" customWidth="1"/>
    <col min="8" max="8" width="10.140625" bestFit="1" customWidth="1"/>
    <col min="21" max="21" width="8.42578125" bestFit="1" customWidth="1"/>
    <col min="24" max="24" width="10.5703125" customWidth="1"/>
  </cols>
  <sheetData>
    <row r="1" spans="2:130" ht="28.5">
      <c r="B1" s="304" t="str">
        <f>'Summary month'!E2</f>
        <v>Apr</v>
      </c>
      <c r="C1" t="str">
        <f>VLOOKUP(B1,mapping!$A$2:$C$13,3,0)</f>
        <v>M01</v>
      </c>
    </row>
    <row r="2" spans="2:130">
      <c r="R2" t="s">
        <v>484</v>
      </c>
    </row>
    <row r="3" spans="2:130" ht="28.5">
      <c r="B3" s="299" t="s">
        <v>202</v>
      </c>
      <c r="I3" s="216"/>
      <c r="J3" s="334"/>
      <c r="K3" s="216"/>
      <c r="L3" s="216"/>
      <c r="M3" s="216"/>
      <c r="N3" s="334"/>
      <c r="O3" s="216"/>
      <c r="P3" s="216"/>
      <c r="Q3" s="216"/>
      <c r="DZ3" t="e">
        <v>#N/A</v>
      </c>
    </row>
    <row r="4" spans="2:130" ht="28.5" hidden="1" outlineLevel="1">
      <c r="B4" s="299"/>
      <c r="I4" s="216"/>
      <c r="J4" s="334"/>
      <c r="K4" s="216"/>
      <c r="L4" s="216"/>
      <c r="M4" s="216"/>
      <c r="N4" s="334"/>
      <c r="O4" s="216"/>
      <c r="P4" s="216"/>
      <c r="Q4" s="216"/>
    </row>
    <row r="5" spans="2:130" ht="20.25" hidden="1" outlineLevel="1">
      <c r="B5" s="216"/>
      <c r="C5" s="752" t="str">
        <f>B10</f>
        <v>Q2 FC2+10</v>
      </c>
      <c r="D5" s="226" t="str">
        <f>C10</f>
        <v>Act QTD</v>
      </c>
      <c r="E5" s="226" t="s">
        <v>320</v>
      </c>
      <c r="F5" s="226" t="s">
        <v>321</v>
      </c>
      <c r="G5" s="226" t="s">
        <v>322</v>
      </c>
      <c r="H5" s="292" t="s">
        <v>323</v>
      </c>
      <c r="I5" s="216"/>
    </row>
    <row r="6" spans="2:130" ht="20.25" hidden="1" outlineLevel="1">
      <c r="B6" s="226" t="s">
        <v>327</v>
      </c>
      <c r="C6" s="229">
        <f>'Summary month'!N82</f>
        <v>64.291499941393781</v>
      </c>
      <c r="D6" s="229">
        <f>'Summary month'!I82</f>
        <v>63.237619418000122</v>
      </c>
      <c r="E6" s="226">
        <f>+D6-C6</f>
        <v>-1.0538805233936586</v>
      </c>
      <c r="F6" s="226">
        <f>B19</f>
        <v>-18.28644294704031</v>
      </c>
      <c r="G6" s="226">
        <f>SUM(C19:S19)</f>
        <v>18.28644294704031</v>
      </c>
      <c r="H6" s="502">
        <f>E6-F6-G6</f>
        <v>-1.0538805233936586</v>
      </c>
      <c r="I6" s="216"/>
      <c r="J6" s="334"/>
      <c r="K6" s="216"/>
      <c r="L6" s="216"/>
      <c r="M6" s="216"/>
      <c r="N6" s="334"/>
      <c r="O6" s="216"/>
      <c r="P6" s="216"/>
      <c r="Q6" s="216"/>
    </row>
    <row r="7" spans="2:130" ht="20.25" hidden="1" outlineLevel="1">
      <c r="B7" s="226" t="s">
        <v>325</v>
      </c>
      <c r="C7" s="229">
        <f>'Summary month'!N83</f>
        <v>-152.79353577592065</v>
      </c>
      <c r="D7" s="229">
        <f>'Summary month'!I83</f>
        <v>-134.40743371799999</v>
      </c>
      <c r="E7" s="226">
        <f>+D7-C7</f>
        <v>18.386102057920652</v>
      </c>
      <c r="F7" s="226">
        <f>T19</f>
        <v>-0.27649333121551556</v>
      </c>
      <c r="G7" s="226">
        <f>SUM(U19:AH19)</f>
        <v>-134.13094038678452</v>
      </c>
      <c r="H7" s="502">
        <f>E7-F7-G7</f>
        <v>152.79353577592067</v>
      </c>
      <c r="I7" s="216"/>
      <c r="J7" s="334"/>
      <c r="K7" s="216"/>
      <c r="L7" s="216"/>
      <c r="M7" s="216"/>
      <c r="N7" s="334"/>
      <c r="O7" s="216"/>
      <c r="P7" s="216"/>
      <c r="Q7" s="216"/>
    </row>
    <row r="8" spans="2:130" ht="20.25" hidden="1" outlineLevel="1">
      <c r="B8" s="226" t="s">
        <v>326</v>
      </c>
      <c r="C8" s="226">
        <f>+C6+C7</f>
        <v>-88.502035834526865</v>
      </c>
      <c r="D8" s="226">
        <f>+D6+D7</f>
        <v>-71.169814299999871</v>
      </c>
      <c r="E8" s="226">
        <f>+D8-C8</f>
        <v>17.332221534526994</v>
      </c>
      <c r="F8" s="226">
        <f>+E8-G8</f>
        <v>133.17671897427118</v>
      </c>
      <c r="G8" s="226">
        <f>+G6+G7</f>
        <v>-115.8444974397442</v>
      </c>
      <c r="H8" s="502">
        <f>E8-F8-G8</f>
        <v>0</v>
      </c>
      <c r="I8" s="216"/>
      <c r="J8" s="334" t="s">
        <v>303</v>
      </c>
      <c r="K8" s="216" t="s">
        <v>143</v>
      </c>
      <c r="L8" s="216" t="s">
        <v>304</v>
      </c>
      <c r="M8" s="216"/>
      <c r="N8" s="334" t="s">
        <v>303</v>
      </c>
      <c r="O8" s="216" t="s">
        <v>143</v>
      </c>
      <c r="P8" s="216" t="s">
        <v>305</v>
      </c>
      <c r="Q8" s="216" t="s">
        <v>306</v>
      </c>
    </row>
    <row r="9" spans="2:130" ht="18" hidden="1" outlineLevel="1">
      <c r="B9" s="215"/>
      <c r="C9" s="216"/>
      <c r="D9" s="318" t="e">
        <f>D12-D54</f>
        <v>#VALUE!</v>
      </c>
      <c r="E9" s="318">
        <f>E12-E54</f>
        <v>-26.646038946108433</v>
      </c>
      <c r="F9" s="318" t="e">
        <f>F12-F54</f>
        <v>#VALUE!</v>
      </c>
      <c r="G9" s="318">
        <f>G12-G54</f>
        <v>-134.61793210667508</v>
      </c>
      <c r="H9" s="216"/>
      <c r="I9" s="216" t="s">
        <v>307</v>
      </c>
      <c r="J9" s="334">
        <f>'[9]New KPI vs BP'!$U$34-K9-L9</f>
        <v>8.5339837625774102</v>
      </c>
      <c r="K9" s="216">
        <f>'[9]New KPI vs BP'!$U$15</f>
        <v>-1.1661103913280955</v>
      </c>
      <c r="L9" s="334">
        <f>'[9]New KPI vs BP'!$U$507+'[9]New KPI vs BP'!$U$523</f>
        <v>-25.930809649505139</v>
      </c>
      <c r="M9" s="216"/>
      <c r="N9" s="334">
        <f>'[9]New KPI vs BP'!$U$34-O9-P9</f>
        <v>-17.120332555712213</v>
      </c>
      <c r="O9" s="216">
        <f>K9</f>
        <v>-1.1661103913280955</v>
      </c>
      <c r="P9" s="406">
        <f>L10-AJ73</f>
        <v>-0.27649333121551556</v>
      </c>
      <c r="Q9" s="334">
        <f>L9-(P9)</f>
        <v>-25.654316318289624</v>
      </c>
      <c r="R9" s="216"/>
      <c r="S9" s="216"/>
      <c r="T9" s="216"/>
      <c r="U9" s="216"/>
      <c r="V9" s="216"/>
      <c r="W9" s="216"/>
      <c r="X9" s="216"/>
      <c r="Y9" s="216"/>
      <c r="Z9" s="216"/>
      <c r="AA9" s="216"/>
      <c r="AB9" s="216"/>
      <c r="AC9" s="216"/>
      <c r="AD9" s="216"/>
      <c r="AE9" s="216"/>
      <c r="AF9" s="216"/>
      <c r="AG9" s="216"/>
      <c r="AH9" s="216"/>
    </row>
    <row r="10" spans="2:130" ht="20.100000000000001" hidden="1" customHeight="1" outlineLevel="1">
      <c r="B10" s="1014" t="s">
        <v>501</v>
      </c>
      <c r="C10" s="1014" t="s">
        <v>214</v>
      </c>
      <c r="D10" s="218"/>
      <c r="E10" s="219"/>
      <c r="F10" s="219"/>
      <c r="G10" s="220"/>
      <c r="H10" s="216"/>
      <c r="I10" s="216" t="s">
        <v>62</v>
      </c>
      <c r="J10" s="334">
        <f>M52</f>
        <v>16.472864951088479</v>
      </c>
      <c r="K10" s="216">
        <v>0</v>
      </c>
      <c r="L10" s="334">
        <f>M53</f>
        <v>-0.48699171989055556</v>
      </c>
      <c r="M10" s="216"/>
      <c r="N10" s="216"/>
      <c r="O10" s="216"/>
      <c r="P10" s="216"/>
      <c r="Q10" s="216"/>
      <c r="R10" s="216"/>
      <c r="S10" s="216"/>
      <c r="T10" s="216"/>
      <c r="U10" s="216"/>
      <c r="V10" s="216"/>
      <c r="W10" s="221"/>
      <c r="X10" s="221"/>
      <c r="Y10" s="221"/>
      <c r="Z10" s="221"/>
      <c r="AA10" s="221"/>
      <c r="AB10" s="221"/>
      <c r="AC10" s="221"/>
      <c r="AD10" s="221"/>
      <c r="AE10" s="221"/>
      <c r="AF10" s="221"/>
      <c r="AG10" s="221"/>
      <c r="AH10" s="221"/>
    </row>
    <row r="11" spans="2:130" ht="40.5" hidden="1" outlineLevel="1">
      <c r="B11" s="1015"/>
      <c r="C11" s="1016"/>
      <c r="D11" s="222"/>
      <c r="E11" s="223" t="s">
        <v>154</v>
      </c>
      <c r="F11" s="224" t="s">
        <v>155</v>
      </c>
      <c r="G11" s="225" t="s">
        <v>156</v>
      </c>
      <c r="H11" s="216"/>
      <c r="I11" s="216" t="s">
        <v>208</v>
      </c>
      <c r="J11" s="216"/>
      <c r="K11" s="216"/>
      <c r="L11" s="216"/>
      <c r="M11" s="216"/>
      <c r="N11" s="216"/>
      <c r="O11" s="216"/>
      <c r="P11" s="216"/>
      <c r="Q11" s="216"/>
      <c r="R11" s="216"/>
      <c r="AH11" s="216"/>
    </row>
    <row r="12" spans="2:130" ht="20.25" hidden="1" outlineLevel="1">
      <c r="B12" s="226">
        <f>'Summary month'!W55</f>
        <v>-71.169814299999885</v>
      </c>
      <c r="C12" s="226">
        <f>'Summary month'!I55</f>
        <v>-71.169814299999885</v>
      </c>
      <c r="D12" s="227">
        <f>C12-B12</f>
        <v>0</v>
      </c>
      <c r="E12" s="228">
        <v>-10.660165714910509</v>
      </c>
      <c r="F12" s="228">
        <f>'Summary month'!W82-E13</f>
        <v>18.28644294704031</v>
      </c>
      <c r="G12" s="229">
        <f>'Summary month'!W83-E14</f>
        <v>-134.13094038678452</v>
      </c>
      <c r="H12" s="216"/>
      <c r="I12" s="286">
        <f>SUM(E12:G12)-D12</f>
        <v>-126.50466315465471</v>
      </c>
      <c r="J12" s="216"/>
      <c r="K12" s="216"/>
      <c r="L12" s="216"/>
      <c r="M12" s="216"/>
      <c r="N12" s="216"/>
      <c r="O12" s="230"/>
      <c r="P12" s="216"/>
      <c r="Q12" s="216"/>
      <c r="R12" s="216"/>
      <c r="AH12" s="230"/>
    </row>
    <row r="13" spans="2:130" hidden="1" outlineLevel="1">
      <c r="B13" s="216"/>
      <c r="C13" s="216"/>
      <c r="D13" s="216"/>
      <c r="E13" s="315">
        <f>SUM(N9:O9)</f>
        <v>-18.28644294704031</v>
      </c>
      <c r="F13" s="216" t="s">
        <v>308</v>
      </c>
      <c r="G13" s="216"/>
      <c r="H13" s="216"/>
      <c r="I13" s="216"/>
      <c r="J13" s="216"/>
      <c r="K13" s="216"/>
      <c r="L13" s="216"/>
      <c r="M13" s="216"/>
      <c r="N13" s="216"/>
      <c r="O13" s="216" t="s">
        <v>53</v>
      </c>
      <c r="P13" s="216">
        <f>-'Summary month'!R66</f>
        <v>0</v>
      </c>
      <c r="Q13" s="216"/>
      <c r="R13" s="216"/>
      <c r="AH13" s="216"/>
    </row>
    <row r="14" spans="2:130" hidden="1" outlineLevel="1">
      <c r="B14" s="216"/>
      <c r="C14" s="216" t="s">
        <v>51</v>
      </c>
      <c r="D14" s="216" t="s">
        <v>50</v>
      </c>
      <c r="E14" s="315">
        <f>P9</f>
        <v>-0.27649333121551556</v>
      </c>
      <c r="F14" s="216" t="s">
        <v>309</v>
      </c>
      <c r="G14" s="216"/>
      <c r="H14" s="216"/>
      <c r="I14" s="216"/>
      <c r="J14" s="216"/>
      <c r="K14" s="216"/>
      <c r="L14" s="216"/>
      <c r="M14" s="216"/>
      <c r="N14" s="216"/>
      <c r="O14" s="216" t="s">
        <v>54</v>
      </c>
      <c r="P14" s="216">
        <f>-'Summary month'!R67</f>
        <v>0</v>
      </c>
      <c r="Q14" s="216"/>
      <c r="R14" s="216"/>
      <c r="AH14" s="216"/>
    </row>
    <row r="15" spans="2:130" ht="21" hidden="1" outlineLevel="1" thickBot="1">
      <c r="B15" s="231" t="s">
        <v>157</v>
      </c>
      <c r="C15" s="232" t="s">
        <v>56</v>
      </c>
      <c r="D15" s="232" t="s">
        <v>57</v>
      </c>
      <c r="E15" s="232"/>
      <c r="F15" s="232"/>
      <c r="G15" s="232"/>
      <c r="H15" s="232"/>
      <c r="I15" s="232"/>
      <c r="J15" s="232"/>
      <c r="K15" s="232"/>
      <c r="L15" s="232"/>
      <c r="M15" s="232"/>
      <c r="N15" s="232"/>
      <c r="O15" s="232" t="s">
        <v>55</v>
      </c>
      <c r="P15" s="216">
        <f>-'Summary month'!R68</f>
        <v>0</v>
      </c>
      <c r="Q15" s="232"/>
      <c r="R15" s="232" t="s">
        <v>60</v>
      </c>
      <c r="AA15" t="s">
        <v>52</v>
      </c>
      <c r="AB15" t="s">
        <v>59</v>
      </c>
      <c r="AH15" s="217" t="s">
        <v>138</v>
      </c>
    </row>
    <row r="16" spans="2:130" ht="21" hidden="1" outlineLevel="1" thickBot="1">
      <c r="B16" s="233"/>
      <c r="C16" s="234" t="s">
        <v>159</v>
      </c>
      <c r="D16" s="234"/>
      <c r="E16" s="234"/>
      <c r="F16" s="234"/>
      <c r="G16" s="234"/>
      <c r="H16" s="234"/>
      <c r="I16" s="234"/>
      <c r="J16" s="234"/>
      <c r="K16" s="234"/>
      <c r="L16" s="234"/>
      <c r="M16" s="234"/>
      <c r="N16" s="234"/>
      <c r="O16" s="234"/>
      <c r="P16" s="234"/>
      <c r="Q16" s="234"/>
      <c r="R16" s="234"/>
      <c r="S16" s="235"/>
      <c r="T16" s="236"/>
      <c r="U16" s="237" t="s">
        <v>160</v>
      </c>
      <c r="V16" s="237"/>
      <c r="W16" s="237"/>
      <c r="X16" s="237"/>
      <c r="Y16" s="237"/>
      <c r="Z16" s="237"/>
      <c r="AA16" s="237"/>
      <c r="AB16" s="237"/>
      <c r="AC16" s="237"/>
      <c r="AD16" s="237"/>
      <c r="AE16" s="237"/>
      <c r="AF16" s="237"/>
      <c r="AG16" s="237"/>
      <c r="AH16" s="238"/>
    </row>
    <row r="17" spans="2:34" ht="20.100000000000001" hidden="1" customHeight="1" outlineLevel="1">
      <c r="B17" s="1027" t="s">
        <v>274</v>
      </c>
      <c r="C17" s="239" t="s">
        <v>161</v>
      </c>
      <c r="D17" s="240"/>
      <c r="E17" s="240"/>
      <c r="F17" s="240"/>
      <c r="G17" s="241"/>
      <c r="H17" s="1017" t="s">
        <v>162</v>
      </c>
      <c r="I17" s="242" t="s">
        <v>163</v>
      </c>
      <c r="J17" s="243"/>
      <c r="K17" s="243"/>
      <c r="L17" s="243"/>
      <c r="M17" s="243"/>
      <c r="N17" s="244"/>
      <c r="O17" s="1019" t="s">
        <v>164</v>
      </c>
      <c r="P17" s="1019" t="s">
        <v>165</v>
      </c>
      <c r="Q17" s="1019" t="s">
        <v>166</v>
      </c>
      <c r="R17" s="1022" t="s">
        <v>167</v>
      </c>
      <c r="S17" s="1023" t="s">
        <v>168</v>
      </c>
      <c r="T17" s="1027" t="s">
        <v>274</v>
      </c>
      <c r="U17" s="245" t="s">
        <v>169</v>
      </c>
      <c r="V17" s="246"/>
      <c r="W17" s="246"/>
      <c r="X17" s="247"/>
      <c r="Y17" s="248" t="s">
        <v>163</v>
      </c>
      <c r="Z17" s="246"/>
      <c r="AA17" s="246"/>
      <c r="AB17" s="246"/>
      <c r="AC17" s="246"/>
      <c r="AD17" s="247"/>
      <c r="AE17" s="1022" t="s">
        <v>166</v>
      </c>
      <c r="AF17" s="1025" t="s">
        <v>167</v>
      </c>
      <c r="AG17" s="311"/>
      <c r="AH17" s="1012" t="s">
        <v>168</v>
      </c>
    </row>
    <row r="18" spans="2:34" ht="77.45" hidden="1" customHeight="1" outlineLevel="1">
      <c r="B18" s="1028"/>
      <c r="C18" s="249" t="s">
        <v>170</v>
      </c>
      <c r="D18" s="250" t="s">
        <v>171</v>
      </c>
      <c r="E18" s="250" t="s">
        <v>172</v>
      </c>
      <c r="F18" s="250" t="s">
        <v>173</v>
      </c>
      <c r="G18" s="251" t="s">
        <v>174</v>
      </c>
      <c r="H18" s="1018"/>
      <c r="I18" s="250" t="s">
        <v>175</v>
      </c>
      <c r="J18" s="250" t="s">
        <v>176</v>
      </c>
      <c r="K18" s="250" t="s">
        <v>177</v>
      </c>
      <c r="L18" s="250" t="s">
        <v>178</v>
      </c>
      <c r="M18" s="250" t="s">
        <v>168</v>
      </c>
      <c r="N18" s="250" t="s">
        <v>179</v>
      </c>
      <c r="O18" s="1020"/>
      <c r="P18" s="1021"/>
      <c r="Q18" s="1021"/>
      <c r="R18" s="1021"/>
      <c r="S18" s="1024"/>
      <c r="T18" s="1028"/>
      <c r="U18" s="307" t="s">
        <v>203</v>
      </c>
      <c r="V18" s="308" t="s">
        <v>180</v>
      </c>
      <c r="W18" s="309" t="s">
        <v>181</v>
      </c>
      <c r="X18" s="310" t="s">
        <v>33</v>
      </c>
      <c r="Y18" s="305" t="s">
        <v>25</v>
      </c>
      <c r="Z18" s="306" t="s">
        <v>183</v>
      </c>
      <c r="AA18" s="306" t="s">
        <v>204</v>
      </c>
      <c r="AB18" s="306" t="s">
        <v>205</v>
      </c>
      <c r="AC18" s="306" t="s">
        <v>184</v>
      </c>
      <c r="AD18" s="306" t="s">
        <v>30</v>
      </c>
      <c r="AE18" s="1021"/>
      <c r="AF18" s="1026"/>
      <c r="AG18" s="312" t="s">
        <v>37</v>
      </c>
      <c r="AH18" s="1013"/>
    </row>
    <row r="19" spans="2:34" ht="21" hidden="1" outlineLevel="1" thickBot="1">
      <c r="B19" s="252">
        <f>E13</f>
        <v>-18.28644294704031</v>
      </c>
      <c r="C19" s="253">
        <f>C61-'Summary month'!R64-'Summary month'!R69+J10-N9</f>
        <v>41.003388452734399</v>
      </c>
      <c r="D19" s="254">
        <f>S91-'Summary month'!R63-'Summary month'!R70-O9</f>
        <v>-0.41101337153225459</v>
      </c>
      <c r="E19" s="254">
        <f>E61</f>
        <v>-9.1093803485665301</v>
      </c>
      <c r="F19" s="254">
        <f>F61</f>
        <v>-2.2090393230511478</v>
      </c>
      <c r="G19" s="254"/>
      <c r="H19" s="254"/>
      <c r="I19" s="254">
        <f>I61</f>
        <v>1.2470056514141594</v>
      </c>
      <c r="J19" s="255">
        <f>J61</f>
        <v>0.73395202264141191</v>
      </c>
      <c r="K19" s="255">
        <f>K61</f>
        <v>-1.8087175259851667</v>
      </c>
      <c r="L19" s="255">
        <f>L61</f>
        <v>0</v>
      </c>
      <c r="M19" s="255">
        <f>M61</f>
        <v>4.6938131455864394</v>
      </c>
      <c r="N19" s="255"/>
      <c r="O19" s="254">
        <f>-SUM('Summary month'!R66:R68)</f>
        <v>0</v>
      </c>
      <c r="P19" s="254"/>
      <c r="Q19" s="256"/>
      <c r="R19" s="254">
        <f>R61-'Summary month'!R73</f>
        <v>-10.8374387887028</v>
      </c>
      <c r="S19" s="257">
        <f>F12-SUM(C19:R19)</f>
        <v>-5.0161269674981988</v>
      </c>
      <c r="T19" s="253">
        <f>E14</f>
        <v>-0.27649333121551556</v>
      </c>
      <c r="U19" s="253">
        <f>U61</f>
        <v>-0.6</v>
      </c>
      <c r="V19" s="258">
        <f>V61</f>
        <v>0</v>
      </c>
      <c r="W19" s="258"/>
      <c r="X19" s="258">
        <f>X61</f>
        <v>-0.131676131</v>
      </c>
      <c r="Y19" s="258">
        <f>Y61</f>
        <v>1.5131729634070892</v>
      </c>
      <c r="Z19" s="258">
        <f>Z61</f>
        <v>-9.3308314981024876E-4</v>
      </c>
      <c r="AA19" s="258">
        <f>AA61-'Summary month'!R65</f>
        <v>-0.77475179131429606</v>
      </c>
      <c r="AB19" s="258">
        <f>-'Summary month'!R72</f>
        <v>1.9535469999999999</v>
      </c>
      <c r="AC19" s="258">
        <f>AC61</f>
        <v>0</v>
      </c>
      <c r="AD19" s="258">
        <f>AD61</f>
        <v>0</v>
      </c>
      <c r="AE19" s="256"/>
      <c r="AF19" s="259"/>
      <c r="AG19" s="254">
        <f>AG61</f>
        <v>-0.50407041804176345</v>
      </c>
      <c r="AH19" s="260">
        <f>G12-SUM(U19:AG19)</f>
        <v>-135.58622892668575</v>
      </c>
    </row>
    <row r="20" spans="2:34" ht="18" hidden="1" outlineLevel="1">
      <c r="B20" s="216"/>
      <c r="C20" s="261"/>
      <c r="D20" s="216"/>
      <c r="E20" s="216"/>
      <c r="F20" s="216"/>
      <c r="G20" s="216"/>
      <c r="H20" s="216"/>
      <c r="I20" s="216"/>
      <c r="J20" s="216"/>
      <c r="K20" s="216"/>
      <c r="L20" s="216"/>
      <c r="M20" s="216"/>
      <c r="N20" s="216"/>
      <c r="O20" s="216"/>
      <c r="P20" s="216"/>
      <c r="Q20" s="216"/>
      <c r="R20" s="216"/>
      <c r="S20" s="216"/>
      <c r="T20" s="216"/>
      <c r="U20" s="216"/>
      <c r="V20" s="216"/>
      <c r="W20" s="216"/>
      <c r="X20" s="216"/>
      <c r="Y20" s="216"/>
      <c r="Z20" s="216"/>
      <c r="AA20" s="216"/>
      <c r="AB20" s="216"/>
      <c r="AC20" s="216"/>
      <c r="AD20" s="216"/>
      <c r="AE20" s="216"/>
      <c r="AF20" s="216"/>
      <c r="AG20" s="216"/>
      <c r="AH20" s="216"/>
    </row>
    <row r="21" spans="2:34" ht="20.25" hidden="1" outlineLevel="1">
      <c r="B21" s="221"/>
      <c r="C21" s="261"/>
      <c r="D21" s="262"/>
      <c r="E21" s="262"/>
      <c r="F21" s="262"/>
      <c r="G21" s="262"/>
      <c r="H21" s="262"/>
      <c r="I21" s="262"/>
      <c r="J21" s="262"/>
      <c r="K21" s="262"/>
      <c r="L21" s="262"/>
      <c r="M21" s="262"/>
      <c r="N21" s="262"/>
      <c r="O21" s="262"/>
      <c r="P21" s="262"/>
      <c r="Q21" s="262"/>
      <c r="R21" s="262"/>
      <c r="S21" s="221"/>
      <c r="T21" s="221"/>
      <c r="U21" s="221"/>
      <c r="V21" s="221"/>
      <c r="W21" s="221"/>
      <c r="X21" s="263" t="s">
        <v>185</v>
      </c>
      <c r="Y21" s="264"/>
      <c r="Z21" s="264"/>
      <c r="AA21" s="264"/>
      <c r="AB21" s="265">
        <f>AD19</f>
        <v>0</v>
      </c>
      <c r="AC21" s="221"/>
      <c r="AD21" s="263" t="s">
        <v>186</v>
      </c>
      <c r="AE21" s="264"/>
      <c r="AF21" s="264"/>
      <c r="AG21" s="264"/>
      <c r="AH21" s="265">
        <f>AH19</f>
        <v>-135.58622892668575</v>
      </c>
    </row>
    <row r="22" spans="2:34" ht="18" hidden="1" outlineLevel="1">
      <c r="B22" s="216"/>
      <c r="C22" s="266"/>
      <c r="D22" s="267"/>
      <c r="E22" s="267"/>
      <c r="F22" s="267"/>
      <c r="G22" s="267"/>
      <c r="H22" s="267"/>
      <c r="I22" s="267"/>
      <c r="J22" s="267"/>
      <c r="K22" s="267"/>
      <c r="L22" s="267"/>
      <c r="M22" s="267"/>
      <c r="N22" s="267"/>
      <c r="O22" s="267"/>
      <c r="P22" s="267"/>
      <c r="Q22" s="267"/>
      <c r="R22" s="267"/>
      <c r="S22" s="216"/>
      <c r="T22" s="216"/>
      <c r="U22" s="216"/>
      <c r="V22" s="216"/>
      <c r="W22" s="216"/>
      <c r="X22" s="268">
        <v>1</v>
      </c>
      <c r="Y22" s="269"/>
      <c r="Z22" s="270"/>
      <c r="AA22" s="270"/>
      <c r="AB22" s="271"/>
      <c r="AC22" s="216"/>
      <c r="AD22" s="268">
        <v>1</v>
      </c>
      <c r="AE22" s="269" t="s">
        <v>187</v>
      </c>
      <c r="AF22" s="270"/>
      <c r="AG22" s="270"/>
      <c r="AH22" s="271">
        <f>AH73</f>
        <v>-0.54607911470808546</v>
      </c>
    </row>
    <row r="23" spans="2:34" ht="20.25" hidden="1" outlineLevel="1">
      <c r="B23" s="216"/>
      <c r="C23" s="272"/>
      <c r="D23" s="216"/>
      <c r="E23" s="216"/>
      <c r="F23" s="216"/>
      <c r="G23" s="216"/>
      <c r="H23" s="216"/>
      <c r="I23" s="273" t="s">
        <v>188</v>
      </c>
      <c r="J23" s="274"/>
      <c r="K23" s="274"/>
      <c r="L23" s="274"/>
      <c r="M23" s="275">
        <f>M19</f>
        <v>4.6938131455864394</v>
      </c>
      <c r="N23" s="216"/>
      <c r="O23" s="216"/>
      <c r="P23" s="216"/>
      <c r="Q23" s="216"/>
      <c r="R23" s="216"/>
      <c r="S23" s="216"/>
      <c r="T23" s="216"/>
      <c r="U23" s="216"/>
      <c r="V23" s="216"/>
      <c r="W23" s="216"/>
      <c r="X23" s="268">
        <v>2</v>
      </c>
      <c r="Y23" s="276"/>
      <c r="Z23" s="277"/>
      <c r="AA23" s="277"/>
      <c r="AB23" s="278"/>
      <c r="AC23" s="216"/>
      <c r="AD23" s="268">
        <v>2</v>
      </c>
      <c r="AE23" s="276"/>
      <c r="AF23" s="277"/>
      <c r="AG23" s="277"/>
      <c r="AH23" s="278"/>
    </row>
    <row r="24" spans="2:34" ht="18" hidden="1" outlineLevel="1">
      <c r="B24" s="216"/>
      <c r="C24" s="272"/>
      <c r="D24" s="216"/>
      <c r="E24" s="216"/>
      <c r="F24" s="216"/>
      <c r="G24" s="216"/>
      <c r="H24" s="216"/>
      <c r="I24" s="279">
        <v>1</v>
      </c>
      <c r="J24" s="269" t="str">
        <f>J75</f>
        <v>Supplier claims</v>
      </c>
      <c r="K24" s="270"/>
      <c r="L24" s="270"/>
      <c r="M24" s="280">
        <f>M75</f>
        <v>9.5</v>
      </c>
      <c r="N24" s="216"/>
      <c r="O24" s="216"/>
      <c r="P24" s="216"/>
      <c r="Q24" s="216"/>
      <c r="R24" s="216"/>
      <c r="S24" s="216"/>
      <c r="T24" s="216"/>
      <c r="U24" s="216"/>
      <c r="V24" s="216"/>
      <c r="W24" s="216"/>
      <c r="X24" s="268">
        <v>3</v>
      </c>
      <c r="Y24" s="276"/>
      <c r="Z24" s="277"/>
      <c r="AA24" s="277"/>
      <c r="AB24" s="278"/>
      <c r="AC24" s="216"/>
      <c r="AD24" s="268">
        <v>3</v>
      </c>
      <c r="AE24" s="276"/>
      <c r="AF24" s="277"/>
      <c r="AG24" s="277"/>
      <c r="AH24" s="278"/>
    </row>
    <row r="25" spans="2:34" ht="18" hidden="1" outlineLevel="1">
      <c r="B25" s="216"/>
      <c r="C25" s="272"/>
      <c r="D25" s="216"/>
      <c r="E25" s="216"/>
      <c r="F25" s="216"/>
      <c r="G25" s="216"/>
      <c r="H25" s="216"/>
      <c r="I25" s="279">
        <v>2</v>
      </c>
      <c r="J25" s="276" t="str">
        <f>J76</f>
        <v>MZ Others</v>
      </c>
      <c r="K25" s="277"/>
      <c r="L25" s="277"/>
      <c r="M25" s="281">
        <f>M76</f>
        <v>-0.7910347224135581</v>
      </c>
      <c r="N25" s="216"/>
      <c r="O25" s="216"/>
      <c r="P25" s="216"/>
      <c r="Q25" s="216"/>
      <c r="R25" s="216"/>
      <c r="S25" s="216"/>
      <c r="T25" s="216"/>
      <c r="U25" s="216"/>
      <c r="V25" s="216"/>
      <c r="W25" s="216"/>
      <c r="X25" s="268">
        <v>4</v>
      </c>
      <c r="Y25" s="276"/>
      <c r="Z25" s="277"/>
      <c r="AA25" s="277"/>
      <c r="AB25" s="278"/>
      <c r="AC25" s="216"/>
      <c r="AD25" s="268">
        <v>4</v>
      </c>
      <c r="AE25" s="276"/>
      <c r="AF25" s="277"/>
      <c r="AG25" s="277"/>
      <c r="AH25" s="278"/>
    </row>
    <row r="26" spans="2:34" ht="18" hidden="1" outlineLevel="1">
      <c r="B26" s="216"/>
      <c r="C26" s="272"/>
      <c r="D26" s="216"/>
      <c r="E26" s="216"/>
      <c r="F26" s="216"/>
      <c r="G26" s="216"/>
      <c r="H26" s="216"/>
      <c r="I26" s="279">
        <v>3</v>
      </c>
      <c r="J26" s="276"/>
      <c r="K26" s="277"/>
      <c r="L26" s="277"/>
      <c r="M26" s="281"/>
      <c r="N26" s="216"/>
      <c r="O26" s="216"/>
      <c r="P26" s="216"/>
      <c r="Q26" s="216"/>
      <c r="R26" s="216"/>
      <c r="S26" s="216"/>
      <c r="T26" s="216"/>
      <c r="U26" s="216"/>
      <c r="V26" s="216"/>
      <c r="W26" s="216"/>
      <c r="X26" s="282">
        <v>5</v>
      </c>
      <c r="Y26" s="283" t="s">
        <v>182</v>
      </c>
      <c r="Z26" s="284"/>
      <c r="AA26" s="284"/>
      <c r="AB26" s="285">
        <f>AB21-SUM(AB22:AB25)</f>
        <v>0</v>
      </c>
      <c r="AC26" s="216"/>
      <c r="AD26" s="282">
        <v>5</v>
      </c>
      <c r="AE26" s="283" t="s">
        <v>182</v>
      </c>
      <c r="AF26" s="284"/>
      <c r="AG26" s="284"/>
      <c r="AH26" s="285">
        <f>AH21-SUM(AH22:AH25)</f>
        <v>-135.04014981197767</v>
      </c>
    </row>
    <row r="27" spans="2:34" ht="18" hidden="1" outlineLevel="1">
      <c r="B27" s="216"/>
      <c r="C27" s="216"/>
      <c r="D27" s="272"/>
      <c r="E27" s="272"/>
      <c r="F27" s="272"/>
      <c r="G27" s="272"/>
      <c r="H27" s="272"/>
      <c r="I27" s="279">
        <v>4</v>
      </c>
      <c r="J27" s="276"/>
      <c r="K27" s="277"/>
      <c r="L27" s="277"/>
      <c r="M27" s="281"/>
      <c r="N27" s="216"/>
      <c r="O27" s="216"/>
      <c r="P27" s="272"/>
      <c r="Q27" s="272"/>
      <c r="R27" s="216"/>
      <c r="S27" s="216"/>
      <c r="T27" s="216"/>
      <c r="U27" s="216"/>
      <c r="V27" s="216"/>
      <c r="W27" s="216"/>
      <c r="X27" s="216"/>
      <c r="Y27" s="216"/>
      <c r="Z27" s="216"/>
      <c r="AA27" s="216"/>
      <c r="AB27" s="286">
        <f>AB26-AB77</f>
        <v>3.9197936737921482</v>
      </c>
      <c r="AC27" s="216"/>
      <c r="AD27" s="216"/>
      <c r="AE27" s="216"/>
      <c r="AF27" s="216"/>
      <c r="AG27" s="287"/>
      <c r="AH27" s="286">
        <f>AH26-AH77</f>
        <v>-127.39672731536079</v>
      </c>
    </row>
    <row r="28" spans="2:34" ht="18" hidden="1" outlineLevel="1">
      <c r="B28" s="216"/>
      <c r="C28" s="272"/>
      <c r="D28" s="216"/>
      <c r="E28" s="216"/>
      <c r="F28" s="216"/>
      <c r="G28" s="216"/>
      <c r="H28" s="216"/>
      <c r="I28" s="288">
        <v>5</v>
      </c>
      <c r="J28" s="289" t="s">
        <v>182</v>
      </c>
      <c r="K28" s="284"/>
      <c r="L28" s="284"/>
      <c r="M28" s="290">
        <f>M23-SUM(M24:M27)</f>
        <v>-4.0151521320000025</v>
      </c>
      <c r="N28" s="216"/>
      <c r="O28" s="216"/>
      <c r="P28" s="216"/>
      <c r="Q28" s="216"/>
      <c r="R28" s="216"/>
      <c r="S28" s="216"/>
      <c r="T28" s="216"/>
      <c r="U28" s="216"/>
      <c r="V28" s="216"/>
      <c r="W28" s="216"/>
      <c r="X28" s="216"/>
      <c r="Y28" s="216"/>
      <c r="Z28" s="216"/>
      <c r="AA28" s="216"/>
      <c r="AB28" s="216"/>
      <c r="AC28" s="216"/>
      <c r="AD28" s="216"/>
      <c r="AE28" s="216"/>
      <c r="AF28" s="216"/>
      <c r="AG28" s="216"/>
      <c r="AH28" s="216"/>
    </row>
    <row r="29" spans="2:34" ht="18" hidden="1" outlineLevel="1">
      <c r="B29" s="216"/>
      <c r="C29" s="272"/>
      <c r="D29" s="216"/>
      <c r="E29" s="216"/>
      <c r="F29" s="216"/>
      <c r="G29" s="216"/>
      <c r="H29" s="216"/>
      <c r="I29" s="216"/>
      <c r="J29" s="216"/>
      <c r="K29" s="216"/>
      <c r="L29" s="216"/>
      <c r="M29" s="286">
        <f>M28-M85</f>
        <v>-4.0151521320000025</v>
      </c>
      <c r="N29" s="216"/>
      <c r="O29" s="216"/>
      <c r="P29" s="216"/>
      <c r="Q29" s="216"/>
      <c r="R29" s="216"/>
      <c r="S29" s="216"/>
      <c r="T29" s="216"/>
      <c r="U29" s="216"/>
      <c r="V29" s="216"/>
      <c r="W29" s="216"/>
      <c r="X29" s="216"/>
      <c r="Y29" s="216"/>
      <c r="Z29" s="216"/>
      <c r="AA29" s="216"/>
      <c r="AB29" s="216"/>
      <c r="AC29" s="216"/>
      <c r="AD29" s="216"/>
      <c r="AE29" s="216"/>
      <c r="AF29" s="216"/>
      <c r="AG29" s="216"/>
      <c r="AH29" s="216"/>
    </row>
    <row r="30" spans="2:34" ht="18" hidden="1" outlineLevel="1">
      <c r="B30" s="216"/>
      <c r="C30" s="272"/>
      <c r="D30" s="272"/>
      <c r="E30" s="216"/>
      <c r="F30" s="216"/>
      <c r="G30" s="216"/>
      <c r="H30" s="216"/>
      <c r="I30" s="216"/>
      <c r="J30" s="216"/>
      <c r="K30" s="216"/>
      <c r="L30" s="216"/>
      <c r="M30" s="216"/>
      <c r="N30" s="216"/>
      <c r="O30" s="216"/>
      <c r="P30" s="216"/>
      <c r="Q30" s="216"/>
      <c r="R30" s="216"/>
      <c r="S30" s="216"/>
      <c r="T30" s="216"/>
      <c r="U30" s="216"/>
      <c r="V30" s="216"/>
      <c r="W30" s="216"/>
      <c r="X30" s="216"/>
      <c r="Y30" s="216"/>
      <c r="Z30" s="216"/>
      <c r="AA30" s="216"/>
      <c r="AB30" s="216"/>
      <c r="AC30" s="216"/>
      <c r="AD30" s="216"/>
      <c r="AE30" s="216"/>
      <c r="AF30" s="216"/>
      <c r="AG30" s="216"/>
      <c r="AH30" s="216"/>
    </row>
    <row r="31" spans="2:34" ht="16.5" hidden="1" outlineLevel="1">
      <c r="B31" s="216"/>
      <c r="C31" s="291"/>
      <c r="D31" s="216"/>
      <c r="E31" s="216"/>
      <c r="F31" s="292" t="s">
        <v>189</v>
      </c>
      <c r="G31" s="216"/>
      <c r="H31" s="216"/>
      <c r="I31" s="216"/>
      <c r="J31" s="216"/>
      <c r="K31" s="216"/>
      <c r="L31" s="216"/>
      <c r="M31" s="216"/>
      <c r="N31" s="216"/>
      <c r="O31" s="216"/>
      <c r="P31" s="216"/>
      <c r="Q31" s="216"/>
      <c r="R31" s="216"/>
      <c r="S31" s="216"/>
      <c r="T31" s="216"/>
      <c r="U31" s="216"/>
      <c r="V31" s="216"/>
      <c r="W31" s="216"/>
      <c r="X31" s="216"/>
      <c r="Y31" s="216"/>
      <c r="Z31" s="216"/>
      <c r="AA31" s="216"/>
      <c r="AB31" s="216"/>
      <c r="AC31" s="216"/>
      <c r="AD31" s="216"/>
      <c r="AE31" s="216"/>
      <c r="AF31" s="216"/>
      <c r="AG31" s="216"/>
      <c r="AH31" s="216"/>
    </row>
    <row r="32" spans="2:34" ht="20.25" hidden="1" outlineLevel="1">
      <c r="B32" s="216"/>
      <c r="C32" s="216"/>
      <c r="D32" s="293" t="s">
        <v>147</v>
      </c>
      <c r="E32" s="293" t="s">
        <v>287</v>
      </c>
      <c r="F32" s="293" t="s">
        <v>190</v>
      </c>
      <c r="G32" s="216"/>
      <c r="H32" s="216"/>
      <c r="I32" s="216"/>
      <c r="J32" s="216"/>
      <c r="K32" s="216"/>
      <c r="L32" s="216"/>
      <c r="M32" s="216"/>
      <c r="N32" s="216"/>
      <c r="O32" s="273" t="s">
        <v>191</v>
      </c>
      <c r="P32" s="274"/>
      <c r="Q32" s="274"/>
      <c r="R32" s="274"/>
      <c r="S32" s="294">
        <f>S19</f>
        <v>-5.0161269674981988</v>
      </c>
      <c r="T32" s="216"/>
      <c r="U32" s="272"/>
      <c r="V32" s="272"/>
      <c r="W32" s="272"/>
      <c r="X32" s="216"/>
      <c r="Y32" s="216"/>
      <c r="Z32" s="216"/>
      <c r="AA32" s="216"/>
      <c r="AB32" s="216"/>
      <c r="AC32" s="216"/>
      <c r="AD32" s="216"/>
      <c r="AE32" s="216"/>
      <c r="AF32" s="216"/>
      <c r="AG32" s="216"/>
      <c r="AH32" s="216"/>
    </row>
    <row r="33" spans="2:34" ht="20.25" hidden="1" outlineLevel="1">
      <c r="B33" s="216"/>
      <c r="C33" s="295" t="s">
        <v>192</v>
      </c>
      <c r="D33" s="296">
        <f>'[9]P&amp;L vs BP'!$Q$24</f>
        <v>101240</v>
      </c>
      <c r="E33" s="296">
        <f>'[9]P&amp;L vs BP'!$P$24</f>
        <v>82846</v>
      </c>
      <c r="F33" s="296">
        <f>E33-D33</f>
        <v>-18394</v>
      </c>
      <c r="G33" s="216"/>
      <c r="H33" s="216"/>
      <c r="I33" s="216"/>
      <c r="J33" s="216"/>
      <c r="K33" s="216"/>
      <c r="L33" s="216"/>
      <c r="M33" s="216"/>
      <c r="N33" s="216"/>
      <c r="O33" s="279">
        <v>1</v>
      </c>
      <c r="P33" s="269" t="s">
        <v>193</v>
      </c>
      <c r="Q33" s="270"/>
      <c r="R33" s="270"/>
      <c r="S33" s="280">
        <f>S90</f>
        <v>0</v>
      </c>
      <c r="T33" s="216"/>
      <c r="U33" s="216"/>
      <c r="V33" s="216"/>
      <c r="W33" s="216"/>
      <c r="X33" s="297"/>
      <c r="Y33" s="216"/>
      <c r="Z33" s="216"/>
      <c r="AA33" s="216"/>
      <c r="AB33" s="216"/>
      <c r="AC33" s="216"/>
      <c r="AD33" s="216"/>
      <c r="AE33" s="216"/>
      <c r="AF33" s="216"/>
      <c r="AG33" s="216"/>
      <c r="AH33" s="216"/>
    </row>
    <row r="34" spans="2:34" ht="20.25" hidden="1" outlineLevel="1">
      <c r="B34" s="216"/>
      <c r="C34" s="295" t="s">
        <v>194</v>
      </c>
      <c r="D34" s="296">
        <f>'[9]P&amp;L vs BP'!$Q$27</f>
        <v>6612</v>
      </c>
      <c r="E34" s="296">
        <f>'[9]P&amp;L vs BP'!$P$27</f>
        <v>2953</v>
      </c>
      <c r="F34" s="296">
        <f>E34-D34</f>
        <v>-3659</v>
      </c>
      <c r="G34" s="216"/>
      <c r="H34" s="216"/>
      <c r="I34" s="216"/>
      <c r="J34" s="216"/>
      <c r="K34" s="216"/>
      <c r="L34" s="216"/>
      <c r="M34" s="216"/>
      <c r="N34" s="216"/>
      <c r="O34" s="279">
        <v>2</v>
      </c>
      <c r="P34" s="276" t="s">
        <v>195</v>
      </c>
      <c r="Q34" s="277"/>
      <c r="R34" s="277"/>
      <c r="S34" s="281"/>
      <c r="T34" s="216"/>
      <c r="U34" s="216"/>
      <c r="V34" s="216"/>
      <c r="W34" s="216"/>
      <c r="X34" s="216"/>
      <c r="Y34" s="216"/>
      <c r="Z34" s="216"/>
      <c r="AA34" s="216"/>
      <c r="AB34" s="216"/>
      <c r="AC34" s="216"/>
      <c r="AD34" s="216"/>
      <c r="AE34" s="216"/>
      <c r="AF34" s="216"/>
      <c r="AG34" s="216"/>
      <c r="AH34" s="216"/>
    </row>
    <row r="35" spans="2:34" ht="18" hidden="1" outlineLevel="1">
      <c r="B35" s="216"/>
      <c r="C35" s="216"/>
      <c r="D35" s="298"/>
      <c r="E35" s="298"/>
      <c r="F35" s="298"/>
      <c r="G35" s="216"/>
      <c r="H35" s="216"/>
      <c r="I35" s="216"/>
      <c r="J35" s="216"/>
      <c r="K35" s="216"/>
      <c r="L35" s="216"/>
      <c r="M35" s="216"/>
      <c r="N35" s="216"/>
      <c r="O35" s="279">
        <v>3</v>
      </c>
      <c r="P35" s="276" t="s">
        <v>58</v>
      </c>
      <c r="Q35" s="277"/>
      <c r="R35" s="277"/>
      <c r="S35" s="278">
        <f>-'Summary month'!R71</f>
        <v>-0.31130710000000006</v>
      </c>
      <c r="T35" s="216"/>
      <c r="U35" s="216"/>
      <c r="V35" s="216"/>
      <c r="W35" s="216"/>
      <c r="X35" s="216"/>
      <c r="Y35" s="216"/>
      <c r="Z35" s="216"/>
      <c r="AA35" s="216"/>
      <c r="AB35" s="216"/>
      <c r="AC35" s="216"/>
      <c r="AD35" s="216"/>
      <c r="AE35" s="216"/>
      <c r="AF35" s="216"/>
      <c r="AG35" s="216"/>
      <c r="AH35" s="216"/>
    </row>
    <row r="36" spans="2:34" ht="20.25" hidden="1" outlineLevel="1">
      <c r="B36" s="216"/>
      <c r="C36" s="295" t="s">
        <v>196</v>
      </c>
      <c r="D36" s="296">
        <f>'[9]P&amp;L vs BP'!$Q$18</f>
        <v>77981</v>
      </c>
      <c r="E36" s="296">
        <f>'[9]P&amp;L vs BP'!$P$18</f>
        <v>60757</v>
      </c>
      <c r="F36" s="296">
        <f>E36-D36</f>
        <v>-17224</v>
      </c>
      <c r="G36" s="216"/>
      <c r="H36" s="216"/>
      <c r="I36" s="216"/>
      <c r="J36" s="216"/>
      <c r="K36" s="216"/>
      <c r="L36" s="216"/>
      <c r="M36" s="216"/>
      <c r="N36" s="216"/>
      <c r="O36" s="279">
        <v>4</v>
      </c>
      <c r="P36" s="276"/>
      <c r="Q36" s="277"/>
      <c r="R36" s="277"/>
      <c r="S36" s="281"/>
      <c r="T36" s="216"/>
      <c r="U36" s="216"/>
      <c r="V36" s="216"/>
      <c r="W36" s="216"/>
      <c r="X36" s="216"/>
      <c r="Y36" s="216"/>
      <c r="Z36" s="216"/>
      <c r="AA36" s="216"/>
      <c r="AB36" s="216"/>
      <c r="AC36" s="216"/>
      <c r="AD36" s="216"/>
      <c r="AE36" s="216"/>
      <c r="AF36" s="216"/>
      <c r="AG36" s="216"/>
      <c r="AH36" s="216"/>
    </row>
    <row r="37" spans="2:34" ht="18" hidden="1" outlineLevel="1">
      <c r="B37" s="216"/>
      <c r="C37" s="216"/>
      <c r="D37" s="216"/>
      <c r="E37" s="216"/>
      <c r="F37" s="216"/>
      <c r="G37" s="216"/>
      <c r="H37" s="216"/>
      <c r="I37" s="216"/>
      <c r="J37" s="216"/>
      <c r="K37" s="216"/>
      <c r="L37" s="216"/>
      <c r="M37" s="216"/>
      <c r="N37" s="216"/>
      <c r="O37" s="279">
        <v>5</v>
      </c>
      <c r="P37" s="276"/>
      <c r="Q37" s="277"/>
      <c r="R37" s="277"/>
      <c r="S37" s="281"/>
      <c r="T37" s="216"/>
      <c r="U37" s="216"/>
      <c r="V37" s="216"/>
      <c r="W37" s="216"/>
      <c r="X37" s="216"/>
      <c r="Y37" s="216"/>
      <c r="Z37" s="216"/>
      <c r="AA37" s="216"/>
      <c r="AB37" s="216"/>
      <c r="AC37" s="216"/>
      <c r="AD37" s="216"/>
      <c r="AE37" s="216"/>
      <c r="AF37" s="216"/>
      <c r="AG37" s="216"/>
      <c r="AH37" s="216"/>
    </row>
    <row r="38" spans="2:34" ht="18" hidden="1" outlineLevel="1">
      <c r="B38" s="216"/>
      <c r="C38" s="216"/>
      <c r="D38" s="216"/>
      <c r="E38" s="216"/>
      <c r="F38" s="216"/>
      <c r="G38" s="216"/>
      <c r="H38" s="216"/>
      <c r="I38" s="216"/>
      <c r="J38" s="216"/>
      <c r="K38" s="216"/>
      <c r="L38" s="216"/>
      <c r="M38" s="216"/>
      <c r="N38" s="216"/>
      <c r="O38" s="279">
        <v>6</v>
      </c>
      <c r="P38" s="276"/>
      <c r="Q38" s="277"/>
      <c r="R38" s="277"/>
      <c r="S38" s="281"/>
      <c r="T38" s="216"/>
      <c r="U38" s="216"/>
      <c r="V38" s="216"/>
      <c r="W38" s="216"/>
      <c r="X38" s="216"/>
      <c r="Y38" s="216"/>
      <c r="Z38" s="216"/>
      <c r="AA38" s="216"/>
      <c r="AB38" s="216"/>
      <c r="AC38" s="216"/>
      <c r="AD38" s="216"/>
      <c r="AE38" s="216"/>
      <c r="AF38" s="216"/>
      <c r="AG38" s="216"/>
      <c r="AH38" s="216"/>
    </row>
    <row r="39" spans="2:34" ht="18" hidden="1" outlineLevel="1">
      <c r="B39" s="216"/>
      <c r="C39" s="216"/>
      <c r="D39" s="216"/>
      <c r="E39" s="216"/>
      <c r="F39" s="216"/>
      <c r="G39" s="216"/>
      <c r="H39" s="216"/>
      <c r="I39" s="216"/>
      <c r="J39" s="216"/>
      <c r="K39" s="216"/>
      <c r="L39" s="216"/>
      <c r="M39" s="216"/>
      <c r="N39" s="216"/>
      <c r="O39" s="279">
        <v>7</v>
      </c>
      <c r="P39" s="276"/>
      <c r="Q39" s="277"/>
      <c r="R39" s="277"/>
      <c r="S39" s="281"/>
      <c r="T39" s="216"/>
      <c r="U39" s="216"/>
      <c r="V39" s="216"/>
      <c r="W39" s="216"/>
      <c r="X39" s="216"/>
      <c r="Y39" s="216"/>
      <c r="Z39" s="216"/>
      <c r="AA39" s="216"/>
      <c r="AB39" s="216"/>
      <c r="AC39" s="216"/>
      <c r="AD39" s="216"/>
      <c r="AE39" s="216"/>
      <c r="AF39" s="216"/>
      <c r="AG39" s="216"/>
      <c r="AH39" s="216"/>
    </row>
    <row r="40" spans="2:34" ht="18" hidden="1" outlineLevel="1">
      <c r="B40" s="216"/>
      <c r="C40" s="216"/>
      <c r="D40" s="216"/>
      <c r="E40" s="216"/>
      <c r="F40" s="216"/>
      <c r="G40" s="216"/>
      <c r="H40" s="216"/>
      <c r="I40" s="216"/>
      <c r="J40" s="216"/>
      <c r="K40" s="216"/>
      <c r="L40" s="216"/>
      <c r="M40" s="216"/>
      <c r="N40" s="216"/>
      <c r="O40" s="279">
        <v>8</v>
      </c>
      <c r="P40" s="276"/>
      <c r="Q40" s="277"/>
      <c r="R40" s="277"/>
      <c r="S40" s="278"/>
      <c r="T40" s="216"/>
      <c r="U40" s="216"/>
      <c r="V40" s="216"/>
      <c r="W40" s="216"/>
      <c r="X40" s="216"/>
      <c r="Y40" s="216"/>
      <c r="Z40" s="216"/>
      <c r="AA40" s="216"/>
      <c r="AB40" s="216"/>
      <c r="AC40" s="216"/>
      <c r="AD40" s="216"/>
      <c r="AE40" s="216"/>
      <c r="AF40" s="216"/>
      <c r="AG40" s="216"/>
      <c r="AH40" s="216"/>
    </row>
    <row r="41" spans="2:34" ht="18" hidden="1" outlineLevel="1">
      <c r="B41" s="216"/>
      <c r="C41" s="216"/>
      <c r="D41" s="216"/>
      <c r="E41" s="216"/>
      <c r="F41" s="216"/>
      <c r="G41" s="216"/>
      <c r="H41" s="216"/>
      <c r="I41" s="216"/>
      <c r="J41" s="216"/>
      <c r="K41" s="216"/>
      <c r="L41" s="216"/>
      <c r="M41" s="216"/>
      <c r="N41" s="216"/>
      <c r="O41" s="279">
        <v>9</v>
      </c>
      <c r="P41" s="276"/>
      <c r="Q41" s="277"/>
      <c r="R41" s="277"/>
      <c r="S41" s="278"/>
      <c r="T41" s="216"/>
      <c r="U41" s="216"/>
      <c r="V41" s="216"/>
      <c r="W41" s="216"/>
      <c r="X41" s="216"/>
      <c r="Y41" s="216"/>
      <c r="Z41" s="216"/>
      <c r="AA41" s="216"/>
      <c r="AB41" s="216"/>
      <c r="AC41" s="216"/>
      <c r="AD41" s="216"/>
      <c r="AE41" s="216"/>
      <c r="AF41" s="216"/>
      <c r="AG41" s="216"/>
      <c r="AH41" s="216"/>
    </row>
    <row r="42" spans="2:34" ht="18" hidden="1" outlineLevel="1">
      <c r="B42" s="216"/>
      <c r="C42" s="216"/>
      <c r="D42" s="216"/>
      <c r="E42" s="216"/>
      <c r="F42" s="216"/>
      <c r="G42" s="216"/>
      <c r="H42" s="216"/>
      <c r="I42" s="216"/>
      <c r="J42" s="216"/>
      <c r="K42" s="216"/>
      <c r="L42" s="216"/>
      <c r="M42" s="216"/>
      <c r="N42" s="216"/>
      <c r="O42" s="288">
        <v>10</v>
      </c>
      <c r="P42" s="283" t="s">
        <v>182</v>
      </c>
      <c r="Q42" s="284"/>
      <c r="R42" s="284"/>
      <c r="S42" s="285">
        <f>S32-SUM(S33:S41)</f>
        <v>-4.7048198674981982</v>
      </c>
      <c r="T42" s="216"/>
      <c r="U42" s="216"/>
      <c r="V42" s="216"/>
      <c r="W42" s="216"/>
      <c r="X42" s="216"/>
      <c r="Y42" s="216"/>
      <c r="Z42" s="216"/>
      <c r="AA42" s="216"/>
      <c r="AB42" s="216"/>
      <c r="AC42" s="216"/>
      <c r="AD42" s="216"/>
      <c r="AE42" s="216"/>
      <c r="AF42" s="216"/>
      <c r="AG42" s="216"/>
      <c r="AH42" s="216"/>
    </row>
    <row r="43" spans="2:34" collapsed="1">
      <c r="B43" s="216"/>
      <c r="C43" s="216"/>
      <c r="D43" s="216"/>
      <c r="E43" s="216"/>
      <c r="F43" s="216"/>
      <c r="G43" s="216"/>
      <c r="H43" s="216"/>
      <c r="I43" s="216"/>
      <c r="J43" s="216"/>
      <c r="K43" s="216"/>
      <c r="L43" s="216"/>
      <c r="M43" s="216"/>
      <c r="N43" s="216"/>
      <c r="O43" s="216"/>
      <c r="P43" s="216"/>
      <c r="Q43" s="216"/>
      <c r="R43" s="216"/>
      <c r="S43" s="286">
        <f>S42-S99</f>
        <v>-4.7048198674981982</v>
      </c>
      <c r="T43" s="216"/>
      <c r="U43" s="216"/>
      <c r="V43" s="216"/>
      <c r="W43" s="216"/>
      <c r="X43" s="216"/>
      <c r="Y43" s="216"/>
      <c r="Z43" s="216"/>
      <c r="AA43" s="216"/>
      <c r="AB43" s="216"/>
      <c r="AC43" s="216"/>
      <c r="AD43" s="216"/>
      <c r="AE43" s="216"/>
      <c r="AF43" s="216"/>
      <c r="AG43" s="216"/>
      <c r="AH43" s="216"/>
    </row>
    <row r="44" spans="2:34" ht="28.5">
      <c r="B44" s="299" t="s">
        <v>197</v>
      </c>
      <c r="C44" s="216"/>
      <c r="D44" s="216"/>
      <c r="E44" s="216"/>
      <c r="F44" s="216"/>
      <c r="G44" s="216"/>
      <c r="H44" s="216"/>
      <c r="I44" s="216"/>
      <c r="J44" s="216"/>
      <c r="K44" s="216"/>
      <c r="L44" s="216"/>
      <c r="M44" s="216"/>
      <c r="N44" s="216"/>
      <c r="O44" s="216"/>
      <c r="P44" s="216"/>
      <c r="Q44" s="216"/>
      <c r="R44" s="216"/>
      <c r="S44" s="216"/>
      <c r="T44" s="216"/>
      <c r="U44" s="216"/>
      <c r="V44" s="216"/>
      <c r="W44" s="216"/>
      <c r="X44" s="216"/>
      <c r="Y44" s="216"/>
      <c r="Z44" s="216"/>
      <c r="AA44" s="216"/>
      <c r="AB44" s="216"/>
      <c r="AC44" s="216"/>
      <c r="AD44" s="216"/>
      <c r="AE44" s="216"/>
      <c r="AF44" s="216"/>
      <c r="AG44" s="216"/>
      <c r="AH44" s="216"/>
    </row>
    <row r="45" spans="2:34">
      <c r="B45" s="216"/>
      <c r="C45" s="216"/>
      <c r="D45" s="216"/>
      <c r="E45" s="216"/>
      <c r="F45" s="216"/>
      <c r="G45" s="216"/>
      <c r="H45" s="216"/>
      <c r="I45" s="216"/>
      <c r="J45" s="216"/>
      <c r="K45" s="216"/>
      <c r="L45" s="216"/>
      <c r="M45" s="216"/>
      <c r="N45" s="216"/>
      <c r="O45" s="216"/>
      <c r="P45" s="693" t="s">
        <v>502</v>
      </c>
      <c r="Q45" s="693">
        <v>0</v>
      </c>
      <c r="R45" s="216"/>
      <c r="S45" s="479" t="s">
        <v>503</v>
      </c>
      <c r="T45" s="479">
        <f>'[7]New KPI vs BP'!$DK$15</f>
        <v>0</v>
      </c>
      <c r="U45" s="216"/>
      <c r="V45" s="216"/>
      <c r="W45" s="216"/>
      <c r="X45" s="216"/>
      <c r="Y45" s="216"/>
      <c r="Z45" s="216"/>
      <c r="AA45" s="216"/>
      <c r="AB45" s="216"/>
      <c r="AC45" s="216"/>
      <c r="AD45" s="216"/>
      <c r="AE45" s="216"/>
      <c r="AF45" s="216"/>
      <c r="AG45" s="216"/>
      <c r="AH45" s="216"/>
    </row>
    <row r="46" spans="2:34">
      <c r="B46" s="216"/>
      <c r="C46" s="216"/>
      <c r="D46" s="216" t="s">
        <v>76</v>
      </c>
      <c r="E46" s="216"/>
      <c r="F46" s="216"/>
      <c r="G46" s="216"/>
      <c r="H46" s="216"/>
      <c r="I46" s="216"/>
      <c r="J46" s="216"/>
      <c r="K46" s="216"/>
      <c r="L46" s="216"/>
      <c r="M46" s="216"/>
      <c r="N46" s="216"/>
      <c r="O46" s="216"/>
      <c r="P46" s="216"/>
      <c r="Q46" s="216"/>
      <c r="R46" s="216"/>
      <c r="S46" s="216"/>
      <c r="T46" s="216"/>
      <c r="U46" s="216"/>
      <c r="V46" s="216"/>
      <c r="W46" s="216"/>
      <c r="X46" s="216"/>
      <c r="Y46" s="216"/>
      <c r="Z46" s="216"/>
      <c r="AA46" s="216"/>
      <c r="AB46" s="216"/>
      <c r="AC46" s="216"/>
      <c r="AD46" s="216"/>
      <c r="AE46" s="216"/>
      <c r="AF46" s="216"/>
      <c r="AG46" s="216"/>
      <c r="AH46" s="216"/>
    </row>
    <row r="47" spans="2:34" ht="20.25">
      <c r="B47" s="216"/>
      <c r="C47" s="226" t="s">
        <v>444</v>
      </c>
      <c r="D47" s="226" t="str">
        <f>C52</f>
        <v>Act QTD</v>
      </c>
      <c r="E47" s="226" t="s">
        <v>320</v>
      </c>
      <c r="F47" s="226" t="s">
        <v>321</v>
      </c>
      <c r="G47" s="226" t="s">
        <v>322</v>
      </c>
      <c r="H47" s="292" t="s">
        <v>323</v>
      </c>
      <c r="I47" s="216"/>
      <c r="J47" s="216"/>
      <c r="K47" s="216"/>
      <c r="L47" s="216"/>
      <c r="M47" s="216"/>
      <c r="N47" s="216"/>
      <c r="O47" s="216"/>
      <c r="P47" s="216"/>
      <c r="Q47" s="216"/>
      <c r="R47" s="216"/>
      <c r="S47" s="216"/>
      <c r="T47" s="216"/>
      <c r="U47" s="216"/>
      <c r="V47" s="216"/>
      <c r="W47" s="216"/>
      <c r="X47" s="216"/>
      <c r="Y47" s="216"/>
      <c r="Z47" s="216"/>
      <c r="AA47" s="216"/>
      <c r="AB47" s="216"/>
      <c r="AC47" s="216"/>
      <c r="AD47" s="216"/>
      <c r="AE47" s="216"/>
      <c r="AF47" s="216"/>
      <c r="AG47" s="216"/>
      <c r="AH47" s="216"/>
    </row>
    <row r="48" spans="2:34" ht="20.25">
      <c r="B48" s="226" t="s">
        <v>324</v>
      </c>
      <c r="C48" s="229" t="e">
        <f>'Summary month'!W27</f>
        <v>#VALUE!</v>
      </c>
      <c r="D48" s="229">
        <f>'Summary month'!I27</f>
        <v>86.083619587646751</v>
      </c>
      <c r="E48" s="226" t="e">
        <f>+D48-C48</f>
        <v>#VALUE!</v>
      </c>
      <c r="F48" s="226">
        <f>B61</f>
        <v>16.472864951088479</v>
      </c>
      <c r="G48" s="226" t="e">
        <f>SUM(C61:S61)</f>
        <v>#VALUE!</v>
      </c>
      <c r="H48" s="502" t="e">
        <f>E48-F48-G48</f>
        <v>#VALUE!</v>
      </c>
      <c r="I48" s="216"/>
      <c r="J48" s="216"/>
      <c r="K48" s="216"/>
      <c r="L48" s="216"/>
      <c r="M48" s="216"/>
      <c r="N48" s="216"/>
      <c r="O48" s="216"/>
      <c r="P48" s="216"/>
      <c r="Q48" s="216"/>
      <c r="R48" s="216"/>
      <c r="S48" s="216"/>
      <c r="T48" s="216"/>
      <c r="U48" s="216"/>
      <c r="V48" s="216"/>
      <c r="W48" s="216"/>
      <c r="X48" s="216"/>
      <c r="Y48" s="216"/>
      <c r="Z48" s="216"/>
      <c r="AA48" s="216"/>
      <c r="AB48" s="216"/>
      <c r="AC48" s="216"/>
      <c r="AD48" s="216"/>
      <c r="AE48" s="216"/>
      <c r="AF48" s="216"/>
      <c r="AG48" s="216"/>
      <c r="AH48" s="216"/>
    </row>
    <row r="49" spans="2:34" ht="20.25">
      <c r="B49" s="226" t="s">
        <v>325</v>
      </c>
      <c r="C49" s="229">
        <f>'Summary month'!W46</f>
        <v>-128.47130442265512</v>
      </c>
      <c r="D49" s="229">
        <f>'Summary month'!I46</f>
        <v>-128.47130442265509</v>
      </c>
      <c r="E49" s="226">
        <f>+D49-C49</f>
        <v>0</v>
      </c>
      <c r="F49" s="226">
        <f>T61</f>
        <v>-0.48699171989055556</v>
      </c>
      <c r="G49" s="226">
        <f>SUM(U61:AH61)</f>
        <v>0.48699171989055556</v>
      </c>
      <c r="H49" s="502">
        <f>E49-F49-G49</f>
        <v>0</v>
      </c>
      <c r="I49" s="216"/>
      <c r="J49" s="216"/>
      <c r="K49" s="216"/>
      <c r="L49" s="216"/>
      <c r="M49" s="216"/>
      <c r="N49" s="216"/>
      <c r="O49" s="216"/>
      <c r="P49" s="216"/>
      <c r="Q49" s="216"/>
      <c r="R49" s="216"/>
      <c r="S49" s="216"/>
      <c r="T49" s="216"/>
      <c r="U49" s="216"/>
      <c r="V49" s="216"/>
      <c r="W49" s="216"/>
      <c r="X49" s="216"/>
      <c r="Y49" s="216"/>
      <c r="Z49" s="216"/>
      <c r="AA49" s="216"/>
      <c r="AB49" s="216"/>
      <c r="AC49" s="216"/>
      <c r="AD49" s="216"/>
      <c r="AE49" s="216"/>
      <c r="AF49" s="216"/>
      <c r="AG49" s="216"/>
      <c r="AH49" s="216"/>
    </row>
    <row r="50" spans="2:34" ht="20.25">
      <c r="B50" s="226" t="s">
        <v>326</v>
      </c>
      <c r="C50" s="226" t="e">
        <f>+C48+C49</f>
        <v>#VALUE!</v>
      </c>
      <c r="D50" s="226">
        <f>+D48+D49</f>
        <v>-42.387684835008343</v>
      </c>
      <c r="E50" s="226" t="e">
        <f>+D50-C50</f>
        <v>#VALUE!</v>
      </c>
      <c r="F50" s="226" t="e">
        <f>+E50-G50</f>
        <v>#VALUE!</v>
      </c>
      <c r="G50" s="226" t="e">
        <f>+G48+G49</f>
        <v>#VALUE!</v>
      </c>
      <c r="H50" s="502" t="e">
        <f>E50-F50-G50</f>
        <v>#VALUE!</v>
      </c>
      <c r="I50" s="216"/>
      <c r="J50" s="216"/>
      <c r="K50" s="216"/>
      <c r="L50" s="216"/>
      <c r="M50" s="216"/>
      <c r="N50" s="216"/>
      <c r="O50" s="216"/>
      <c r="P50" s="216"/>
      <c r="Q50" s="216"/>
      <c r="R50" s="216"/>
      <c r="S50" s="216"/>
      <c r="T50" s="216"/>
      <c r="U50" s="216"/>
      <c r="V50" s="216"/>
      <c r="W50" s="216"/>
      <c r="X50" s="216"/>
      <c r="Y50" s="216"/>
      <c r="Z50" s="216"/>
      <c r="AA50" s="216"/>
      <c r="AB50" s="216"/>
      <c r="AC50" s="216"/>
      <c r="AD50" s="216"/>
      <c r="AE50" s="216"/>
      <c r="AF50" s="216"/>
      <c r="AG50" s="216"/>
      <c r="AH50" s="216"/>
    </row>
    <row r="51" spans="2:34" ht="18">
      <c r="B51" s="215"/>
      <c r="C51" s="216"/>
      <c r="D51" s="215"/>
      <c r="E51" s="216"/>
      <c r="F51" s="215"/>
      <c r="G51" s="217" t="s">
        <v>138</v>
      </c>
      <c r="H51" s="216"/>
      <c r="I51" s="216"/>
      <c r="J51" s="216"/>
      <c r="K51" s="216"/>
      <c r="L51" s="216"/>
      <c r="M51" s="216"/>
      <c r="N51" s="216"/>
      <c r="O51" s="216"/>
      <c r="P51" s="216"/>
      <c r="Q51" s="216"/>
      <c r="R51" s="216"/>
      <c r="S51" s="216"/>
      <c r="T51" s="216"/>
      <c r="U51" s="216"/>
      <c r="V51" s="216"/>
      <c r="W51" s="216"/>
      <c r="X51" s="216"/>
      <c r="Y51" s="216"/>
      <c r="Z51" s="216"/>
      <c r="AA51" s="216"/>
      <c r="AB51" s="216"/>
      <c r="AC51" s="216"/>
      <c r="AD51" s="216"/>
      <c r="AE51" s="216"/>
      <c r="AF51" s="216"/>
      <c r="AG51" s="216"/>
      <c r="AH51" s="216"/>
    </row>
    <row r="52" spans="2:34" ht="20.100000000000001" customHeight="1">
      <c r="B52" s="1014" t="s">
        <v>501</v>
      </c>
      <c r="C52" s="1014" t="s">
        <v>214</v>
      </c>
      <c r="D52" s="218"/>
      <c r="E52" s="219"/>
      <c r="F52" s="219"/>
      <c r="G52" s="220"/>
      <c r="H52" s="216"/>
      <c r="I52" s="216"/>
      <c r="J52" s="216"/>
      <c r="K52" s="216"/>
      <c r="L52" s="720" t="s">
        <v>301</v>
      </c>
      <c r="M52" s="721">
        <f>SUM(E55:E57,G55)</f>
        <v>16.472864951088479</v>
      </c>
      <c r="N52" s="216"/>
      <c r="O52" s="221"/>
      <c r="P52" s="221"/>
      <c r="Q52" s="221"/>
      <c r="R52" s="216"/>
      <c r="S52" s="216"/>
      <c r="T52" s="216"/>
      <c r="U52" s="216"/>
      <c r="V52" s="216"/>
      <c r="W52" s="221"/>
      <c r="X52" s="221"/>
      <c r="Y52" s="221"/>
      <c r="Z52" s="221"/>
      <c r="AA52" s="221"/>
      <c r="AB52" s="221"/>
      <c r="AC52" s="221"/>
      <c r="AD52" s="221"/>
      <c r="AE52" s="221"/>
      <c r="AF52" s="221"/>
      <c r="AG52" s="221"/>
      <c r="AH52" s="221"/>
    </row>
    <row r="53" spans="2:34" ht="40.5">
      <c r="B53" s="1015"/>
      <c r="C53" s="1016"/>
      <c r="D53" s="222"/>
      <c r="E53" s="223" t="s">
        <v>154</v>
      </c>
      <c r="F53" s="224" t="s">
        <v>198</v>
      </c>
      <c r="G53" s="225" t="s">
        <v>156</v>
      </c>
      <c r="H53" s="216"/>
      <c r="I53" s="720" t="s">
        <v>208</v>
      </c>
      <c r="J53" s="216"/>
      <c r="K53" s="216"/>
      <c r="L53" s="720" t="s">
        <v>302</v>
      </c>
      <c r="M53" s="722">
        <f>SUM(U62:AH62,AJ73)</f>
        <v>-0.48699171989055556</v>
      </c>
      <c r="N53" s="216"/>
      <c r="O53" s="216"/>
      <c r="P53" s="216"/>
      <c r="Q53" s="216"/>
      <c r="R53" s="216"/>
      <c r="S53" s="216"/>
      <c r="T53" s="216"/>
      <c r="V53" s="216"/>
      <c r="W53" s="216"/>
      <c r="X53" s="216"/>
      <c r="Y53" s="216"/>
      <c r="Z53" s="216"/>
      <c r="AA53" s="216"/>
      <c r="AB53" s="216"/>
      <c r="AC53" s="216" t="s">
        <v>266</v>
      </c>
      <c r="AD53" s="315">
        <v>3.9197936737921482</v>
      </c>
      <c r="AE53" s="216" t="s">
        <v>452</v>
      </c>
      <c r="AF53" s="216"/>
      <c r="AG53" s="216"/>
      <c r="AH53" s="216"/>
    </row>
    <row r="54" spans="2:34" ht="20.25">
      <c r="B54" s="226" t="e">
        <f>'Summary month'!W47</f>
        <v>#VALUE!</v>
      </c>
      <c r="C54" s="226">
        <f>'Summary month'!I47</f>
        <v>-42.387684835008343</v>
      </c>
      <c r="D54" s="227" t="e">
        <f>C54-B54</f>
        <v>#VALUE!</v>
      </c>
      <c r="E54" s="228">
        <f>SUM(M52:M53)</f>
        <v>15.985873231197923</v>
      </c>
      <c r="F54" s="229" t="e">
        <f>'Summary month'!AA27-M52</f>
        <v>#VALUE!</v>
      </c>
      <c r="G54" s="229">
        <f>'Summary month'!AA46-M53</f>
        <v>0.48699171989055556</v>
      </c>
      <c r="H54" s="216"/>
      <c r="I54" s="709" t="e">
        <f>SUM(E54:G54)-D54</f>
        <v>#VALUE!</v>
      </c>
      <c r="J54" s="216"/>
      <c r="K54" s="216"/>
      <c r="L54" s="216"/>
      <c r="M54" s="216"/>
      <c r="N54" s="216"/>
      <c r="O54" s="230"/>
      <c r="P54" s="216"/>
      <c r="Q54" s="216"/>
      <c r="R54" s="216"/>
      <c r="S54" s="216"/>
      <c r="T54" s="216"/>
      <c r="U54" s="216"/>
      <c r="V54" s="216"/>
      <c r="W54" s="230"/>
      <c r="X54" s="216"/>
      <c r="Y54" s="230"/>
      <c r="Z54" s="230"/>
      <c r="AA54" s="230"/>
      <c r="AB54" s="230"/>
      <c r="AC54" s="230" t="s">
        <v>269</v>
      </c>
      <c r="AD54" s="315">
        <f>-613/1000</f>
        <v>-0.61299999999999999</v>
      </c>
      <c r="AE54" s="230" t="s">
        <v>451</v>
      </c>
      <c r="AF54" s="230"/>
      <c r="AG54" s="230"/>
      <c r="AH54" s="230"/>
    </row>
    <row r="55" spans="2:34">
      <c r="B55" s="216"/>
      <c r="C55" s="216"/>
      <c r="D55" s="216" t="s">
        <v>139</v>
      </c>
      <c r="E55" s="411">
        <v>14.686588796704951</v>
      </c>
      <c r="F55" s="216" t="s">
        <v>193</v>
      </c>
      <c r="G55" s="320">
        <v>9.6645421040192636E-3</v>
      </c>
      <c r="H55" s="216"/>
      <c r="I55" s="216"/>
      <c r="J55" s="216"/>
      <c r="K55" s="216"/>
      <c r="L55" s="216"/>
      <c r="M55" s="216"/>
      <c r="N55" s="216"/>
      <c r="O55" s="216"/>
      <c r="P55" s="216"/>
      <c r="Q55" s="216"/>
      <c r="R55" s="216"/>
      <c r="S55" s="216"/>
      <c r="T55" s="216"/>
      <c r="U55" s="216"/>
      <c r="V55" s="216"/>
      <c r="W55" s="420" t="s">
        <v>145</v>
      </c>
      <c r="X55" s="320">
        <v>-0.12540836700000005</v>
      </c>
      <c r="Y55" s="216">
        <v>0.131676131</v>
      </c>
      <c r="Z55" s="216"/>
      <c r="AA55" s="216"/>
      <c r="AB55" s="216"/>
      <c r="AC55" s="216" t="s">
        <v>141</v>
      </c>
      <c r="AD55" s="315">
        <v>0.18474029500000053</v>
      </c>
      <c r="AE55" s="216" t="s">
        <v>452</v>
      </c>
      <c r="AF55" s="216"/>
      <c r="AG55" s="216"/>
      <c r="AH55" s="216"/>
    </row>
    <row r="56" spans="2:34">
      <c r="B56" s="216"/>
      <c r="C56" s="216"/>
      <c r="D56" s="216" t="s">
        <v>200</v>
      </c>
      <c r="E56" s="411">
        <v>0.59588622657668466</v>
      </c>
      <c r="F56" s="216"/>
      <c r="G56" s="216"/>
      <c r="H56" s="216"/>
      <c r="I56" s="216"/>
      <c r="J56" s="216"/>
      <c r="K56" s="216"/>
      <c r="L56" s="216"/>
      <c r="M56" s="216"/>
      <c r="N56" s="216"/>
      <c r="O56" s="216"/>
      <c r="P56" s="216"/>
      <c r="Q56" s="216"/>
      <c r="R56" s="216"/>
      <c r="S56" s="216"/>
      <c r="T56" s="216"/>
      <c r="W56" s="422" t="s">
        <v>193</v>
      </c>
      <c r="X56" s="441">
        <v>3.1171851000000084E-2</v>
      </c>
      <c r="Y56">
        <v>0</v>
      </c>
      <c r="AC56" s="216" t="s">
        <v>144</v>
      </c>
      <c r="AD56" s="755">
        <f>AD61-SUM(AD53:AD55)</f>
        <v>-3.4915339687921487</v>
      </c>
      <c r="AE56" s="362"/>
      <c r="AF56" s="362"/>
      <c r="AG56" s="362"/>
      <c r="AH56" s="216"/>
    </row>
    <row r="57" spans="2:34" ht="21" thickBot="1">
      <c r="B57" s="231" t="s">
        <v>157</v>
      </c>
      <c r="C57" s="232"/>
      <c r="D57" s="232" t="s">
        <v>145</v>
      </c>
      <c r="E57" s="440">
        <v>1.1807253857028228</v>
      </c>
      <c r="F57" s="232"/>
      <c r="G57" s="232"/>
      <c r="H57" s="232"/>
      <c r="I57" s="232"/>
      <c r="J57" s="232"/>
      <c r="K57" s="232"/>
      <c r="L57" s="232"/>
      <c r="M57" s="232"/>
      <c r="N57" s="232"/>
      <c r="O57" s="232"/>
      <c r="P57" s="232"/>
      <c r="Q57" s="232"/>
      <c r="R57" s="232"/>
      <c r="S57" s="232"/>
      <c r="T57" s="232"/>
      <c r="U57" s="232"/>
      <c r="V57" s="232"/>
      <c r="W57" s="232" t="s">
        <v>144</v>
      </c>
      <c r="X57" s="316">
        <f>X61-SUM(X55:X56)</f>
        <v>-3.7439615000000037E-2</v>
      </c>
      <c r="Y57" s="232"/>
      <c r="Z57" s="232"/>
      <c r="AA57" s="232"/>
      <c r="AB57" s="232"/>
      <c r="AC57" s="232"/>
      <c r="AD57" s="232"/>
      <c r="AE57" s="232"/>
      <c r="AF57" s="232"/>
      <c r="AG57" s="232"/>
      <c r="AH57" s="217" t="s">
        <v>138</v>
      </c>
    </row>
    <row r="58" spans="2:34" ht="21" thickBot="1">
      <c r="B58" s="233"/>
      <c r="C58" s="234" t="s">
        <v>199</v>
      </c>
      <c r="D58" s="234"/>
      <c r="E58" s="234"/>
      <c r="F58" s="234"/>
      <c r="G58" s="234"/>
      <c r="H58" s="234"/>
      <c r="I58" s="234"/>
      <c r="J58" s="234"/>
      <c r="K58" s="234"/>
      <c r="L58" s="234"/>
      <c r="M58" s="234"/>
      <c r="N58" s="234"/>
      <c r="O58" s="234"/>
      <c r="P58" s="234"/>
      <c r="Q58" s="234"/>
      <c r="R58" s="234"/>
      <c r="S58" s="235"/>
      <c r="T58" s="236"/>
      <c r="U58" s="237" t="s">
        <v>160</v>
      </c>
      <c r="V58" s="237"/>
      <c r="W58" s="237"/>
      <c r="X58" s="237"/>
      <c r="Y58" s="237"/>
      <c r="Z58" s="237"/>
      <c r="AA58" s="237"/>
      <c r="AB58" s="237"/>
      <c r="AC58" s="237"/>
      <c r="AD58" s="237"/>
      <c r="AE58" s="237"/>
      <c r="AF58" s="237"/>
      <c r="AG58" s="237"/>
      <c r="AH58" s="238"/>
    </row>
    <row r="59" spans="2:34" ht="20.25">
      <c r="B59" s="1027" t="s">
        <v>274</v>
      </c>
      <c r="C59" s="239" t="s">
        <v>161</v>
      </c>
      <c r="D59" s="240"/>
      <c r="E59" s="240"/>
      <c r="F59" s="240"/>
      <c r="G59" s="241"/>
      <c r="H59" s="1017" t="s">
        <v>162</v>
      </c>
      <c r="I59" s="242" t="s">
        <v>163</v>
      </c>
      <c r="J59" s="243"/>
      <c r="K59" s="243"/>
      <c r="L59" s="243"/>
      <c r="M59" s="243"/>
      <c r="N59" s="244"/>
      <c r="O59" s="1029" t="s">
        <v>164</v>
      </c>
      <c r="P59" s="1029" t="s">
        <v>165</v>
      </c>
      <c r="Q59" s="1019" t="s">
        <v>166</v>
      </c>
      <c r="R59" s="1022" t="s">
        <v>167</v>
      </c>
      <c r="S59" s="1023" t="s">
        <v>168</v>
      </c>
      <c r="T59" s="1027" t="s">
        <v>274</v>
      </c>
      <c r="U59" s="245" t="s">
        <v>169</v>
      </c>
      <c r="V59" s="246"/>
      <c r="W59" s="246"/>
      <c r="X59" s="247"/>
      <c r="Y59" s="248" t="s">
        <v>163</v>
      </c>
      <c r="Z59" s="246"/>
      <c r="AA59" s="246"/>
      <c r="AB59" s="246"/>
      <c r="AC59" s="246"/>
      <c r="AD59" s="247"/>
      <c r="AE59" s="1022" t="s">
        <v>166</v>
      </c>
      <c r="AF59" s="1025" t="s">
        <v>167</v>
      </c>
      <c r="AG59" s="311"/>
      <c r="AH59" s="1012" t="s">
        <v>168</v>
      </c>
    </row>
    <row r="60" spans="2:34" ht="60.75">
      <c r="B60" s="1028"/>
      <c r="C60" s="249" t="s">
        <v>170</v>
      </c>
      <c r="D60" s="300" t="s">
        <v>171</v>
      </c>
      <c r="E60" s="250" t="s">
        <v>172</v>
      </c>
      <c r="F60" s="250" t="s">
        <v>173</v>
      </c>
      <c r="G60" s="251" t="s">
        <v>174</v>
      </c>
      <c r="H60" s="1018"/>
      <c r="I60" s="250" t="s">
        <v>175</v>
      </c>
      <c r="J60" s="250" t="s">
        <v>176</v>
      </c>
      <c r="K60" s="250" t="s">
        <v>201</v>
      </c>
      <c r="L60" s="250" t="s">
        <v>178</v>
      </c>
      <c r="M60" s="250" t="s">
        <v>168</v>
      </c>
      <c r="N60" s="250" t="s">
        <v>179</v>
      </c>
      <c r="O60" s="1030"/>
      <c r="P60" s="1031"/>
      <c r="Q60" s="1021"/>
      <c r="R60" s="1021"/>
      <c r="S60" s="1024"/>
      <c r="T60" s="1028"/>
      <c r="U60" s="307" t="s">
        <v>203</v>
      </c>
      <c r="V60" s="308" t="s">
        <v>180</v>
      </c>
      <c r="W60" s="309" t="s">
        <v>181</v>
      </c>
      <c r="X60" s="310" t="s">
        <v>33</v>
      </c>
      <c r="Y60" s="305" t="s">
        <v>25</v>
      </c>
      <c r="Z60" s="306" t="s">
        <v>183</v>
      </c>
      <c r="AA60" s="306" t="s">
        <v>204</v>
      </c>
      <c r="AB60" s="306" t="s">
        <v>205</v>
      </c>
      <c r="AC60" s="306" t="s">
        <v>184</v>
      </c>
      <c r="AD60" s="306" t="s">
        <v>30</v>
      </c>
      <c r="AE60" s="1021"/>
      <c r="AF60" s="1026"/>
      <c r="AG60" s="312" t="s">
        <v>37</v>
      </c>
      <c r="AH60" s="1013"/>
    </row>
    <row r="61" spans="2:34" ht="21" thickBot="1">
      <c r="B61" s="712">
        <f>M52</f>
        <v>16.472864951088479</v>
      </c>
      <c r="C61" s="713">
        <v>5.4177928189126217</v>
      </c>
      <c r="D61" s="737"/>
      <c r="E61" s="710">
        <v>-9.1093803485665301</v>
      </c>
      <c r="F61" s="710">
        <v>-2.2090393230511478</v>
      </c>
      <c r="G61" s="710"/>
      <c r="H61" s="710"/>
      <c r="I61" s="710">
        <f>I64</f>
        <v>1.2470056514141594</v>
      </c>
      <c r="J61" s="719">
        <f>J64</f>
        <v>0.73395202264141191</v>
      </c>
      <c r="K61" s="719">
        <f>K64</f>
        <v>-1.8087175259851667</v>
      </c>
      <c r="L61" s="719">
        <f>L64</f>
        <v>0</v>
      </c>
      <c r="M61" s="719">
        <f>M64+SUM(M77:M84)</f>
        <v>4.6938131455864394</v>
      </c>
      <c r="N61" s="303"/>
      <c r="O61" s="302"/>
      <c r="P61" s="302"/>
      <c r="Q61" s="256"/>
      <c r="R61" s="710">
        <v>-11.112598788702799</v>
      </c>
      <c r="S61" s="714" t="e">
        <f>F54-SUM(C61:R61)</f>
        <v>#VALUE!</v>
      </c>
      <c r="T61" s="713">
        <f>M53</f>
        <v>-0.48699171989055556</v>
      </c>
      <c r="U61" s="713">
        <f>'Summary month'!AA36-U62</f>
        <v>-0.6</v>
      </c>
      <c r="V61" s="715">
        <f>'Summary month'!AA37-V62</f>
        <v>0</v>
      </c>
      <c r="W61" s="715"/>
      <c r="X61" s="715">
        <f>'Summary month'!AA38-X62</f>
        <v>-0.131676131</v>
      </c>
      <c r="Y61" s="757">
        <f>'Summary month'!AA29-Y62</f>
        <v>1.5131729634070892</v>
      </c>
      <c r="Z61" s="715">
        <f>'Summary month'!AA30-Z62</f>
        <v>-9.3308314981024876E-4</v>
      </c>
      <c r="AA61" s="715">
        <f>'Summary month'!AA31-AA62</f>
        <v>0</v>
      </c>
      <c r="AB61" s="739"/>
      <c r="AC61" s="715">
        <f>'Summary month'!AA32-AC62</f>
        <v>0</v>
      </c>
      <c r="AD61" s="715">
        <f>'Summary month'!AA34-AD62</f>
        <v>0</v>
      </c>
      <c r="AE61" s="716"/>
      <c r="AF61" s="717"/>
      <c r="AG61" s="710">
        <f>'Summary month'!AA42-AG62</f>
        <v>-0.50407041804176345</v>
      </c>
      <c r="AH61" s="718">
        <f>G54-SUM(U61:AG61)</f>
        <v>0.21049838867504</v>
      </c>
    </row>
    <row r="62" spans="2:34" ht="18">
      <c r="B62" s="216"/>
      <c r="C62" s="272"/>
      <c r="D62" s="216"/>
      <c r="E62" s="216"/>
      <c r="F62" s="216"/>
      <c r="G62" s="216"/>
      <c r="H62" s="216"/>
      <c r="I62" s="216"/>
      <c r="J62" s="216"/>
      <c r="K62" s="216"/>
      <c r="L62" s="216"/>
      <c r="M62" s="216"/>
      <c r="N62" s="216"/>
      <c r="O62" s="216"/>
      <c r="P62" s="216"/>
      <c r="Q62" s="216"/>
      <c r="R62" s="216"/>
      <c r="S62" s="216"/>
      <c r="T62" s="286"/>
      <c r="U62" s="753">
        <v>0.6</v>
      </c>
      <c r="V62" s="709"/>
      <c r="W62" s="709"/>
      <c r="X62" s="709">
        <f>SUM(Y55:Y56)</f>
        <v>0.131676131</v>
      </c>
      <c r="Y62" s="709">
        <v>-1.5131729634070892</v>
      </c>
      <c r="Z62" s="709">
        <v>9.3308314981024876E-4</v>
      </c>
      <c r="AA62" s="709"/>
      <c r="AB62" s="709"/>
      <c r="AC62" s="709">
        <v>0</v>
      </c>
      <c r="AD62" s="741"/>
      <c r="AE62" s="741"/>
      <c r="AF62" s="741"/>
      <c r="AG62" s="709">
        <v>0.50407041804176345</v>
      </c>
      <c r="AH62" s="741"/>
    </row>
    <row r="63" spans="2:34" ht="18">
      <c r="B63" s="216"/>
      <c r="C63" s="272"/>
      <c r="D63" s="216"/>
      <c r="E63" s="216"/>
      <c r="F63" s="216"/>
      <c r="G63" s="216"/>
      <c r="H63" s="216"/>
      <c r="I63" s="754" t="s">
        <v>504</v>
      </c>
      <c r="J63" s="754"/>
      <c r="K63" s="754"/>
      <c r="L63" s="754"/>
      <c r="M63" s="754"/>
      <c r="N63" s="216"/>
      <c r="O63" s="216"/>
      <c r="P63" s="216"/>
      <c r="Q63" s="216"/>
      <c r="R63" s="216"/>
      <c r="S63" s="216"/>
      <c r="T63" s="286"/>
      <c r="U63" s="753"/>
      <c r="V63" s="709"/>
      <c r="W63" s="709"/>
      <c r="X63" s="709"/>
      <c r="Y63" s="709"/>
      <c r="Z63" s="709"/>
      <c r="AA63" s="709"/>
      <c r="AB63" s="709"/>
      <c r="AC63" s="709"/>
      <c r="AD63" s="741"/>
      <c r="AE63" s="741"/>
      <c r="AF63" s="741"/>
      <c r="AG63" s="709"/>
      <c r="AH63" s="741"/>
    </row>
    <row r="64" spans="2:34" ht="18">
      <c r="B64" s="216"/>
      <c r="C64" s="272"/>
      <c r="D64" s="216"/>
      <c r="E64" s="216"/>
      <c r="F64" s="216"/>
      <c r="G64" s="216"/>
      <c r="H64" s="216"/>
      <c r="I64" s="754">
        <v>1.2470056514141594</v>
      </c>
      <c r="J64" s="754">
        <v>0.73395202264141191</v>
      </c>
      <c r="K64" s="754">
        <v>-1.8087175259851667</v>
      </c>
      <c r="L64" s="754">
        <v>0</v>
      </c>
      <c r="M64" s="754">
        <v>8.7089652775864419</v>
      </c>
      <c r="N64" s="216"/>
      <c r="O64" s="216"/>
      <c r="P64" s="216"/>
      <c r="Q64" s="216"/>
      <c r="R64" s="216"/>
      <c r="S64" s="216"/>
      <c r="T64" s="286"/>
      <c r="U64" s="753"/>
      <c r="V64" s="709"/>
      <c r="W64" s="709"/>
      <c r="X64" s="709"/>
      <c r="Y64" s="709"/>
      <c r="Z64" s="709"/>
      <c r="AA64" s="709"/>
      <c r="AB64" s="709"/>
      <c r="AC64" s="709"/>
      <c r="AD64" s="741"/>
      <c r="AE64" s="741"/>
      <c r="AF64" s="741"/>
      <c r="AG64" s="709"/>
      <c r="AH64" s="741"/>
    </row>
    <row r="65" spans="2:36" ht="18">
      <c r="B65" s="216"/>
      <c r="C65" s="272"/>
      <c r="D65" s="216"/>
      <c r="E65" s="216"/>
      <c r="F65" s="216"/>
      <c r="G65" s="216"/>
      <c r="H65" s="216"/>
      <c r="I65" s="216"/>
      <c r="J65" s="216"/>
      <c r="K65" s="216"/>
      <c r="L65" s="216"/>
      <c r="M65" s="216"/>
      <c r="N65" s="216"/>
      <c r="O65" s="216"/>
      <c r="P65" s="216"/>
      <c r="Q65" s="216"/>
      <c r="R65" s="216"/>
      <c r="S65" s="216"/>
      <c r="T65" s="286"/>
      <c r="U65" s="753"/>
      <c r="V65" s="709"/>
      <c r="W65" s="709"/>
      <c r="X65" s="709"/>
      <c r="Y65" s="709"/>
      <c r="Z65" s="709"/>
      <c r="AA65" s="709"/>
      <c r="AB65" s="709"/>
      <c r="AC65" s="709"/>
      <c r="AD65" s="741"/>
      <c r="AE65" s="741"/>
      <c r="AF65" s="741"/>
      <c r="AG65" s="709"/>
      <c r="AH65" s="741"/>
    </row>
    <row r="66" spans="2:36" ht="18">
      <c r="B66" s="216"/>
      <c r="C66" s="272"/>
      <c r="D66" s="216"/>
      <c r="E66" s="216"/>
      <c r="F66" s="216"/>
      <c r="G66" s="216"/>
      <c r="H66" s="216"/>
      <c r="I66" s="216"/>
      <c r="J66" s="216"/>
      <c r="K66" s="216"/>
      <c r="L66" s="216"/>
      <c r="M66" s="216"/>
      <c r="N66" s="216"/>
      <c r="O66" s="216"/>
      <c r="P66" s="216"/>
      <c r="Q66" s="216"/>
      <c r="R66" s="216"/>
      <c r="S66" s="216"/>
      <c r="T66" s="286"/>
      <c r="U66" s="753"/>
      <c r="V66" s="709"/>
      <c r="W66" s="709"/>
      <c r="X66" s="709"/>
      <c r="Y66" s="709"/>
      <c r="Z66" s="709"/>
      <c r="AA66" s="709"/>
      <c r="AB66" s="709"/>
      <c r="AC66" s="709"/>
      <c r="AD66" s="741"/>
      <c r="AE66" s="741"/>
      <c r="AF66" s="741"/>
      <c r="AG66" s="709"/>
      <c r="AH66" s="741"/>
    </row>
    <row r="67" spans="2:36" ht="18">
      <c r="B67" s="216"/>
      <c r="C67" s="272"/>
      <c r="D67" s="216"/>
      <c r="E67" s="216"/>
      <c r="F67" s="216"/>
      <c r="G67" s="216"/>
      <c r="H67" s="216"/>
      <c r="I67" s="216"/>
      <c r="J67" s="216"/>
      <c r="K67" s="216"/>
      <c r="L67" s="216"/>
      <c r="M67" s="216"/>
      <c r="N67" s="216"/>
      <c r="O67" s="216"/>
      <c r="P67" s="216"/>
      <c r="Q67" s="216"/>
      <c r="R67" s="216"/>
      <c r="S67" s="216"/>
      <c r="T67" s="286"/>
      <c r="U67" s="753"/>
      <c r="V67" s="709"/>
      <c r="W67" s="709"/>
      <c r="X67" s="709"/>
      <c r="Y67" s="709"/>
      <c r="Z67" s="709"/>
      <c r="AA67" s="709"/>
      <c r="AB67" s="709"/>
      <c r="AC67" s="709"/>
      <c r="AD67" s="741"/>
      <c r="AE67" s="741"/>
      <c r="AF67" s="741"/>
      <c r="AG67" s="709"/>
      <c r="AH67" s="741"/>
    </row>
    <row r="68" spans="2:36" ht="18">
      <c r="B68" s="216"/>
      <c r="C68" s="272"/>
      <c r="D68" s="216"/>
      <c r="E68" s="216"/>
      <c r="F68" s="216"/>
      <c r="G68" s="216"/>
      <c r="H68" s="216"/>
      <c r="I68" s="216"/>
      <c r="J68" s="216"/>
      <c r="K68" s="216"/>
      <c r="L68" s="216"/>
      <c r="M68" s="216"/>
      <c r="N68" s="216"/>
      <c r="O68" s="216"/>
      <c r="P68" s="216"/>
      <c r="Q68" s="216"/>
      <c r="R68" s="216"/>
      <c r="S68" s="216"/>
      <c r="T68" s="286"/>
      <c r="U68" s="753"/>
      <c r="V68" s="709"/>
      <c r="W68" s="709"/>
      <c r="X68" s="709"/>
      <c r="Y68" s="709"/>
      <c r="Z68" s="709"/>
      <c r="AA68" s="709"/>
      <c r="AB68" s="709"/>
      <c r="AC68" s="709"/>
      <c r="AD68" s="741"/>
      <c r="AE68" s="741"/>
      <c r="AF68" s="741"/>
      <c r="AG68" s="709"/>
      <c r="AH68" s="741"/>
    </row>
    <row r="69" spans="2:36" ht="18">
      <c r="B69" s="216"/>
      <c r="C69" s="272"/>
      <c r="D69" s="216"/>
      <c r="E69" s="216"/>
      <c r="F69" s="216"/>
      <c r="G69" s="216"/>
      <c r="H69" s="216"/>
      <c r="I69" s="216"/>
      <c r="J69" s="216"/>
      <c r="K69" s="216"/>
      <c r="L69" s="216"/>
      <c r="M69" s="216"/>
      <c r="N69" s="216"/>
      <c r="O69" s="216"/>
      <c r="P69" s="216"/>
      <c r="Q69" s="216"/>
      <c r="R69" s="216"/>
      <c r="S69" s="216"/>
      <c r="T69" s="286"/>
      <c r="U69" s="753"/>
      <c r="V69" s="709"/>
      <c r="W69" s="709"/>
      <c r="X69" s="709"/>
      <c r="Y69" s="709"/>
      <c r="Z69" s="709"/>
      <c r="AA69" s="709"/>
      <c r="AB69" s="709"/>
      <c r="AC69" s="709"/>
      <c r="AD69" s="741"/>
      <c r="AE69" s="741"/>
      <c r="AF69" s="741"/>
      <c r="AG69" s="709"/>
      <c r="AH69" s="741"/>
    </row>
    <row r="70" spans="2:36" ht="18">
      <c r="B70" s="216"/>
      <c r="C70" s="272"/>
      <c r="D70" s="216"/>
      <c r="E70" s="216"/>
      <c r="F70" s="216"/>
      <c r="G70" s="216"/>
      <c r="H70" s="216"/>
      <c r="I70" s="216"/>
      <c r="J70" s="216"/>
      <c r="K70" s="216"/>
      <c r="L70" s="216"/>
      <c r="M70" s="216"/>
      <c r="N70" s="216"/>
      <c r="O70" s="216"/>
      <c r="P70" s="216"/>
      <c r="Q70" s="216"/>
      <c r="R70" s="216"/>
      <c r="S70" s="216"/>
      <c r="T70" s="286"/>
      <c r="U70" s="753"/>
      <c r="V70" s="709"/>
      <c r="W70" s="709"/>
      <c r="X70" s="709"/>
      <c r="Y70" s="709"/>
      <c r="Z70" s="709"/>
      <c r="AA70" s="709"/>
      <c r="AB70" s="709"/>
      <c r="AC70" s="709"/>
      <c r="AD70" s="741"/>
      <c r="AE70" s="741"/>
      <c r="AF70" s="741"/>
      <c r="AG70" s="709"/>
      <c r="AH70" s="741"/>
    </row>
    <row r="71" spans="2:36" ht="18">
      <c r="B71" s="216"/>
      <c r="C71" s="272"/>
      <c r="D71" s="216"/>
      <c r="E71" s="216"/>
      <c r="F71" s="216"/>
      <c r="G71" s="216"/>
      <c r="H71" s="216"/>
      <c r="I71" s="216"/>
      <c r="J71" s="216"/>
      <c r="K71" s="216"/>
      <c r="L71" s="216"/>
      <c r="M71" s="216"/>
      <c r="N71" s="216"/>
      <c r="O71" s="216"/>
      <c r="P71" s="216"/>
      <c r="Q71" s="216"/>
      <c r="R71" s="216"/>
      <c r="S71" s="216"/>
      <c r="T71" s="286"/>
      <c r="U71" s="753"/>
      <c r="V71" s="709"/>
      <c r="W71" s="709"/>
      <c r="X71" s="709"/>
      <c r="Y71" s="709"/>
      <c r="Z71" s="709"/>
      <c r="AA71" s="709"/>
      <c r="AB71" s="709"/>
      <c r="AC71" s="709"/>
      <c r="AD71" s="741"/>
      <c r="AE71" s="741"/>
      <c r="AF71" s="741"/>
      <c r="AG71" s="709"/>
      <c r="AH71" s="741"/>
    </row>
    <row r="72" spans="2:36" ht="20.25">
      <c r="B72" s="221"/>
      <c r="C72" s="272"/>
      <c r="D72" s="221"/>
      <c r="E72" s="221"/>
      <c r="F72" s="221"/>
      <c r="G72" s="221"/>
      <c r="H72" s="221"/>
      <c r="I72" s="221"/>
      <c r="J72" s="221"/>
      <c r="K72" s="221"/>
      <c r="L72" s="221"/>
      <c r="M72" s="221"/>
      <c r="N72" s="221"/>
      <c r="O72" s="221"/>
      <c r="P72" s="221"/>
      <c r="Q72" s="221"/>
      <c r="R72" s="221"/>
      <c r="S72" s="221"/>
      <c r="T72" s="221"/>
      <c r="U72" s="221"/>
      <c r="V72" s="221"/>
      <c r="W72" s="221"/>
      <c r="X72" s="263" t="s">
        <v>185</v>
      </c>
      <c r="Y72" s="264"/>
      <c r="Z72" s="264"/>
      <c r="AA72" s="264"/>
      <c r="AB72" s="265">
        <f>AD61</f>
        <v>0</v>
      </c>
      <c r="AC72" s="221"/>
      <c r="AD72" s="263" t="s">
        <v>186</v>
      </c>
      <c r="AE72" s="264"/>
      <c r="AF72" s="264"/>
      <c r="AG72" s="264"/>
      <c r="AH72" s="265">
        <f>AH61</f>
        <v>0.21049838867504</v>
      </c>
    </row>
    <row r="73" spans="2:36" ht="18">
      <c r="B73" s="216"/>
      <c r="C73" s="272"/>
      <c r="D73" s="216"/>
      <c r="E73" s="216"/>
      <c r="F73" s="216"/>
      <c r="G73" s="216"/>
      <c r="H73" s="216"/>
      <c r="I73" s="216"/>
      <c r="J73" s="216"/>
      <c r="K73" s="216"/>
      <c r="L73" s="216"/>
      <c r="M73" s="216"/>
      <c r="N73" s="216"/>
      <c r="O73" s="216"/>
      <c r="P73" s="216"/>
      <c r="Q73" s="216"/>
      <c r="R73" s="216"/>
      <c r="S73" s="216"/>
      <c r="T73" s="216"/>
      <c r="U73" s="216"/>
      <c r="V73" s="216"/>
      <c r="W73" s="216"/>
      <c r="X73" s="268">
        <v>1</v>
      </c>
      <c r="Y73" s="269" t="s">
        <v>319</v>
      </c>
      <c r="Z73" s="270"/>
      <c r="AA73" s="270"/>
      <c r="AB73" s="271">
        <f>AD53</f>
        <v>3.9197936737921482</v>
      </c>
      <c r="AC73" s="216"/>
      <c r="AD73" s="268">
        <v>1</v>
      </c>
      <c r="AE73" s="269" t="s">
        <v>39</v>
      </c>
      <c r="AF73" s="270"/>
      <c r="AG73" s="270"/>
      <c r="AH73" s="271">
        <f>'Summary month'!R44-AJ73</f>
        <v>-0.54607911470808546</v>
      </c>
      <c r="AI73" t="s">
        <v>262</v>
      </c>
      <c r="AJ73">
        <f>'Summary month'!R74</f>
        <v>-0.21049838867504</v>
      </c>
    </row>
    <row r="74" spans="2:36" ht="20.25">
      <c r="B74" s="216"/>
      <c r="C74" s="272"/>
      <c r="D74" s="216"/>
      <c r="E74" s="678"/>
      <c r="F74" s="678"/>
      <c r="G74" s="679" t="s">
        <v>475</v>
      </c>
      <c r="I74" s="273" t="s">
        <v>188</v>
      </c>
      <c r="J74" s="274"/>
      <c r="K74" s="274"/>
      <c r="L74" s="274"/>
      <c r="M74" s="275">
        <f>M61</f>
        <v>4.6938131455864394</v>
      </c>
      <c r="N74" s="216"/>
      <c r="O74" s="216"/>
      <c r="P74" s="273" t="s">
        <v>191</v>
      </c>
      <c r="Q74" s="274"/>
      <c r="R74" s="274"/>
      <c r="S74" s="294" t="e">
        <f>S61</f>
        <v>#VALUE!</v>
      </c>
      <c r="T74" s="216"/>
      <c r="U74" s="427"/>
      <c r="V74" s="272"/>
      <c r="W74" s="272"/>
      <c r="X74" s="268">
        <v>2</v>
      </c>
      <c r="Y74" s="276"/>
      <c r="Z74" s="277"/>
      <c r="AA74" s="277"/>
      <c r="AB74" s="278"/>
      <c r="AC74" s="216"/>
      <c r="AD74" s="268">
        <v>2</v>
      </c>
      <c r="AE74" s="276"/>
      <c r="AF74" s="277"/>
      <c r="AG74" s="277"/>
      <c r="AH74" s="278">
        <v>7.6</v>
      </c>
      <c r="AI74" t="s">
        <v>144</v>
      </c>
      <c r="AJ74" s="318">
        <f>AH73</f>
        <v>-0.54607911470808546</v>
      </c>
    </row>
    <row r="75" spans="2:36" ht="18">
      <c r="B75" s="216"/>
      <c r="C75" s="272"/>
      <c r="D75" s="216"/>
      <c r="E75" s="216"/>
      <c r="F75" s="216"/>
      <c r="G75" t="s">
        <v>288</v>
      </c>
      <c r="H75" s="740">
        <f>-10.853177044-AD54</f>
        <v>-10.240177044000001</v>
      </c>
      <c r="I75" s="279">
        <v>1</v>
      </c>
      <c r="J75" s="269" t="s">
        <v>361</v>
      </c>
      <c r="K75" s="270"/>
      <c r="L75" s="270"/>
      <c r="M75" s="280">
        <v>9.5</v>
      </c>
      <c r="N75" s="216"/>
      <c r="O75" s="216"/>
      <c r="P75" s="279">
        <v>1</v>
      </c>
      <c r="Q75" s="269" t="s">
        <v>193</v>
      </c>
      <c r="R75" s="270"/>
      <c r="S75" s="743">
        <v>-2.5451879571040186</v>
      </c>
      <c r="T75" s="216"/>
      <c r="U75" s="317"/>
      <c r="V75" s="216"/>
      <c r="W75" s="216"/>
      <c r="X75" s="268">
        <v>3</v>
      </c>
      <c r="Y75" s="276"/>
      <c r="Z75" s="277"/>
      <c r="AA75" s="277"/>
      <c r="AB75" s="278"/>
      <c r="AC75" s="216"/>
      <c r="AD75" s="268">
        <v>3</v>
      </c>
      <c r="AE75" s="276"/>
      <c r="AF75" s="277"/>
      <c r="AG75" s="277"/>
      <c r="AH75" s="278">
        <v>0.8</v>
      </c>
    </row>
    <row r="76" spans="2:36" ht="18">
      <c r="B76" s="216"/>
      <c r="C76" s="272"/>
      <c r="D76" s="216"/>
      <c r="E76" s="334"/>
      <c r="F76" s="216"/>
      <c r="G76" t="s">
        <v>290</v>
      </c>
      <c r="H76" s="722">
        <v>-0.77599230299999999</v>
      </c>
      <c r="I76" s="279">
        <v>2</v>
      </c>
      <c r="J76" s="276" t="s">
        <v>401</v>
      </c>
      <c r="K76" s="277"/>
      <c r="L76" s="277"/>
      <c r="M76" s="281">
        <v>-0.7910347224135581</v>
      </c>
      <c r="N76" s="216"/>
      <c r="O76" s="216"/>
      <c r="P76" s="279">
        <v>2</v>
      </c>
      <c r="Q76" s="276" t="s">
        <v>143</v>
      </c>
      <c r="R76" s="277"/>
      <c r="S76" s="736">
        <v>0.21164942311760093</v>
      </c>
      <c r="T76" s="216"/>
      <c r="U76" s="315"/>
      <c r="V76" s="216"/>
      <c r="W76" s="216"/>
      <c r="X76" s="268">
        <v>4</v>
      </c>
      <c r="Y76" s="276"/>
      <c r="Z76" s="277"/>
      <c r="AA76" s="277"/>
      <c r="AB76" s="278"/>
      <c r="AC76" s="216"/>
      <c r="AD76" s="268">
        <v>4</v>
      </c>
      <c r="AE76" s="276"/>
      <c r="AF76" s="277"/>
      <c r="AG76" s="277"/>
      <c r="AH76" s="278"/>
    </row>
    <row r="77" spans="2:36" ht="18">
      <c r="B77" s="216"/>
      <c r="C77" s="272"/>
      <c r="D77" s="216"/>
      <c r="E77" s="334"/>
      <c r="F77" s="216"/>
      <c r="G77" s="221" t="s">
        <v>282</v>
      </c>
      <c r="H77" s="741">
        <v>7.0010172149999992</v>
      </c>
      <c r="I77" s="279">
        <v>3</v>
      </c>
      <c r="J77" s="276" t="s">
        <v>288</v>
      </c>
      <c r="K77" s="277"/>
      <c r="L77" s="277"/>
      <c r="M77" s="736">
        <v>-10.240177044000001</v>
      </c>
      <c r="N77" s="216"/>
      <c r="O77" s="216"/>
      <c r="P77" s="279">
        <v>3</v>
      </c>
      <c r="Q77" s="276" t="s">
        <v>195</v>
      </c>
      <c r="R77" s="277"/>
      <c r="S77" s="736">
        <v>32.201292152963035</v>
      </c>
      <c r="U77" s="317"/>
      <c r="W77" s="216"/>
      <c r="X77" s="282">
        <v>5</v>
      </c>
      <c r="Y77" s="283" t="s">
        <v>182</v>
      </c>
      <c r="Z77" s="284"/>
      <c r="AA77" s="284"/>
      <c r="AB77" s="285">
        <f>AB72-SUM(AB73:AB76)</f>
        <v>-3.9197936737921482</v>
      </c>
      <c r="AC77" s="216"/>
      <c r="AD77" s="282">
        <v>5</v>
      </c>
      <c r="AE77" s="283" t="s">
        <v>182</v>
      </c>
      <c r="AF77" s="284"/>
      <c r="AG77" s="284"/>
      <c r="AH77" s="285">
        <f>AH72-SUM(AH73:AH76)</f>
        <v>-7.643422496616874</v>
      </c>
    </row>
    <row r="78" spans="2:36" ht="18">
      <c r="B78" s="216"/>
      <c r="C78" s="272"/>
      <c r="D78" s="216"/>
      <c r="E78" s="216"/>
      <c r="F78" s="216"/>
      <c r="G78" s="216"/>
      <c r="H78" s="216"/>
      <c r="I78" s="279">
        <v>4</v>
      </c>
      <c r="J78" s="276" t="s">
        <v>290</v>
      </c>
      <c r="K78" s="277"/>
      <c r="L78" s="277"/>
      <c r="M78" s="736">
        <v>-0.77599230299999999</v>
      </c>
      <c r="N78" s="216"/>
      <c r="O78" s="216"/>
      <c r="P78" s="279">
        <v>4</v>
      </c>
      <c r="Q78" s="276" t="s">
        <v>247</v>
      </c>
      <c r="R78" s="277"/>
      <c r="S78" s="736">
        <v>68.111895769</v>
      </c>
      <c r="U78" s="317"/>
      <c r="X78" s="230"/>
      <c r="Y78" s="230"/>
      <c r="Z78" s="230"/>
      <c r="AA78" s="230"/>
      <c r="AB78" s="758"/>
      <c r="AC78" s="216"/>
      <c r="AD78" s="230"/>
      <c r="AE78" s="230"/>
      <c r="AF78" s="230"/>
      <c r="AG78" s="230"/>
      <c r="AH78" s="758"/>
    </row>
    <row r="79" spans="2:36" ht="18">
      <c r="B79" s="216"/>
      <c r="C79" s="272"/>
      <c r="D79" s="216"/>
      <c r="E79" s="216"/>
      <c r="F79" s="216"/>
      <c r="G79" s="216"/>
      <c r="H79" s="216"/>
      <c r="I79" s="279">
        <v>5</v>
      </c>
      <c r="J79" s="276" t="s">
        <v>282</v>
      </c>
      <c r="K79" s="277"/>
      <c r="L79" s="277"/>
      <c r="M79" s="736">
        <v>7.0010172149999992</v>
      </c>
      <c r="N79" s="216"/>
      <c r="O79" s="216"/>
      <c r="P79" s="279">
        <v>5</v>
      </c>
      <c r="Q79" s="276" t="s">
        <v>223</v>
      </c>
      <c r="R79" s="277"/>
      <c r="S79" s="736">
        <v>-21.323157828360038</v>
      </c>
      <c r="U79" s="317"/>
      <c r="X79" s="230"/>
      <c r="Y79" s="230"/>
      <c r="Z79" s="230"/>
      <c r="AA79" s="230"/>
      <c r="AB79" s="758"/>
      <c r="AC79" s="216"/>
      <c r="AD79" s="230"/>
      <c r="AE79" s="230"/>
      <c r="AF79" s="230"/>
      <c r="AG79" s="230"/>
      <c r="AH79" s="758"/>
    </row>
    <row r="80" spans="2:36" ht="18">
      <c r="B80" s="216"/>
      <c r="C80" s="272"/>
      <c r="D80" s="216"/>
      <c r="E80" s="216"/>
      <c r="F80" s="216"/>
      <c r="G80" s="216"/>
      <c r="H80" s="216"/>
      <c r="I80" s="279">
        <v>6</v>
      </c>
      <c r="J80" s="276"/>
      <c r="K80" s="277"/>
      <c r="L80" s="277"/>
      <c r="M80" s="281"/>
      <c r="N80" s="216"/>
      <c r="O80" s="216"/>
      <c r="P80" s="279">
        <v>6</v>
      </c>
      <c r="Q80" s="276" t="s">
        <v>246</v>
      </c>
      <c r="R80" s="277"/>
      <c r="S80" s="736">
        <v>7.2</v>
      </c>
      <c r="T80" s="680" t="s">
        <v>476</v>
      </c>
      <c r="U80" s="681"/>
      <c r="X80" s="230"/>
      <c r="Y80" s="230"/>
      <c r="Z80" s="230"/>
      <c r="AA80" s="230"/>
      <c r="AB80" s="758"/>
      <c r="AC80" s="216"/>
      <c r="AD80" s="230"/>
      <c r="AE80" s="230"/>
      <c r="AF80" s="230"/>
      <c r="AG80" s="230"/>
      <c r="AH80" s="758"/>
    </row>
    <row r="81" spans="2:34" ht="18">
      <c r="B81" s="216"/>
      <c r="C81" s="272"/>
      <c r="D81" s="216"/>
      <c r="E81" s="216"/>
      <c r="F81" s="216"/>
      <c r="G81" s="216"/>
      <c r="H81" s="216"/>
      <c r="I81" s="279">
        <v>7</v>
      </c>
      <c r="J81" s="276"/>
      <c r="K81" s="277"/>
      <c r="L81" s="277"/>
      <c r="M81" s="736"/>
      <c r="N81" s="216"/>
      <c r="O81" s="216"/>
      <c r="P81" s="279">
        <v>7</v>
      </c>
      <c r="Q81" s="276" t="s">
        <v>222</v>
      </c>
      <c r="R81" s="277"/>
      <c r="S81" s="760">
        <v>-18.434414596394276</v>
      </c>
      <c r="U81" s="317"/>
      <c r="X81" s="230"/>
      <c r="Y81" s="230"/>
      <c r="Z81" s="230"/>
      <c r="AA81" s="230"/>
      <c r="AB81" s="758"/>
      <c r="AC81" s="216"/>
      <c r="AD81" s="230"/>
      <c r="AE81" s="230"/>
      <c r="AF81" s="230"/>
      <c r="AG81" s="230"/>
      <c r="AH81" s="758"/>
    </row>
    <row r="82" spans="2:34" ht="18">
      <c r="B82" s="216"/>
      <c r="C82" s="272"/>
      <c r="D82" s="216"/>
      <c r="E82" s="216"/>
      <c r="F82" s="216"/>
      <c r="G82" s="216"/>
      <c r="H82" s="216"/>
      <c r="I82" s="279">
        <v>8</v>
      </c>
      <c r="J82" s="276"/>
      <c r="K82" s="277"/>
      <c r="L82" s="277"/>
      <c r="M82" s="281"/>
      <c r="N82" s="216"/>
      <c r="O82" s="216"/>
      <c r="P82" s="279">
        <v>8</v>
      </c>
      <c r="Q82" s="276"/>
      <c r="R82" s="277"/>
      <c r="S82" s="278"/>
      <c r="T82" t="s">
        <v>344</v>
      </c>
      <c r="U82" s="317"/>
      <c r="X82" s="230"/>
      <c r="Y82" s="230"/>
      <c r="Z82" s="230"/>
      <c r="AA82" s="230"/>
      <c r="AB82" s="758"/>
      <c r="AC82" s="216"/>
      <c r="AD82" s="230"/>
      <c r="AE82" s="230"/>
      <c r="AF82" s="230"/>
      <c r="AG82" s="230"/>
      <c r="AH82" s="758"/>
    </row>
    <row r="83" spans="2:34" ht="18">
      <c r="B83" s="216"/>
      <c r="C83" s="272"/>
      <c r="D83" s="216"/>
      <c r="E83" s="216"/>
      <c r="F83" s="216"/>
      <c r="G83" s="216"/>
      <c r="H83" s="216"/>
      <c r="I83" s="279">
        <v>9</v>
      </c>
      <c r="J83" s="276"/>
      <c r="K83" s="277"/>
      <c r="L83" s="277"/>
      <c r="M83" s="281"/>
      <c r="N83" s="216"/>
      <c r="O83" s="216"/>
      <c r="P83" s="279">
        <v>9</v>
      </c>
      <c r="Q83" s="276"/>
      <c r="R83" s="277"/>
      <c r="S83" s="278"/>
      <c r="U83" s="668"/>
      <c r="X83" s="230"/>
      <c r="Y83" s="230"/>
      <c r="Z83" s="230"/>
      <c r="AA83" s="230"/>
      <c r="AB83" s="758"/>
      <c r="AC83" s="216"/>
      <c r="AD83" s="230"/>
      <c r="AE83" s="230"/>
      <c r="AF83" s="230"/>
      <c r="AG83" s="230"/>
      <c r="AH83" s="758"/>
    </row>
    <row r="84" spans="2:34" ht="18">
      <c r="B84" s="216"/>
      <c r="C84" s="216"/>
      <c r="D84" s="272"/>
      <c r="E84" s="272"/>
      <c r="F84" s="272"/>
      <c r="G84" s="272"/>
      <c r="H84" s="272"/>
      <c r="I84" s="279">
        <v>10</v>
      </c>
      <c r="J84" s="276"/>
      <c r="K84" s="277"/>
      <c r="L84" s="277"/>
      <c r="M84" s="281"/>
      <c r="N84" s="216"/>
      <c r="O84" s="216"/>
      <c r="P84" s="288">
        <v>10</v>
      </c>
      <c r="Q84" s="283" t="s">
        <v>182</v>
      </c>
      <c r="R84" s="284"/>
      <c r="S84" s="285" t="e">
        <f>S74-SUM(S75:S83)</f>
        <v>#VALUE!</v>
      </c>
      <c r="T84" t="s">
        <v>195</v>
      </c>
      <c r="U84" s="668">
        <v>32.201292152963035</v>
      </c>
      <c r="V84" s="216"/>
      <c r="X84" s="216"/>
      <c r="Y84" s="216"/>
      <c r="Z84" s="216"/>
      <c r="AA84" s="216"/>
      <c r="AB84" s="216"/>
      <c r="AC84" s="216"/>
      <c r="AD84" s="216"/>
      <c r="AE84" s="216"/>
      <c r="AF84" s="216"/>
      <c r="AG84" s="287"/>
      <c r="AH84" s="287"/>
    </row>
    <row r="85" spans="2:34" ht="18">
      <c r="B85" s="216"/>
      <c r="C85" s="272"/>
      <c r="D85" s="216"/>
      <c r="E85" s="216"/>
      <c r="F85" s="216"/>
      <c r="G85" s="216"/>
      <c r="H85" s="216"/>
      <c r="I85" s="288">
        <v>11</v>
      </c>
      <c r="J85" s="289" t="s">
        <v>182</v>
      </c>
      <c r="K85" s="284"/>
      <c r="L85" s="284"/>
      <c r="M85" s="290">
        <f>M74-SUM(M75:M84)</f>
        <v>0</v>
      </c>
      <c r="N85" s="216"/>
      <c r="O85" s="216"/>
      <c r="S85" s="504"/>
      <c r="T85" t="s">
        <v>246</v>
      </c>
      <c r="U85" s="541">
        <v>7.1776166310035281</v>
      </c>
      <c r="X85" s="216"/>
      <c r="Y85" s="216"/>
      <c r="Z85" s="216"/>
      <c r="AA85" s="216"/>
      <c r="AB85" s="216"/>
      <c r="AC85" s="216"/>
      <c r="AD85" s="216"/>
      <c r="AE85" s="216"/>
      <c r="AF85" s="216"/>
      <c r="AG85" s="216"/>
      <c r="AH85" s="216"/>
    </row>
    <row r="86" spans="2:34" ht="18">
      <c r="B86" s="216"/>
      <c r="C86" s="272"/>
      <c r="D86" s="216"/>
      <c r="E86" s="216"/>
      <c r="F86" s="216"/>
      <c r="G86" s="216"/>
      <c r="H86" s="216"/>
      <c r="I86" s="216"/>
      <c r="J86" s="216"/>
      <c r="K86" s="216"/>
      <c r="L86" s="216"/>
      <c r="M86" s="216"/>
      <c r="N86" s="216"/>
      <c r="O86" s="216"/>
      <c r="Q86" s="317" t="e">
        <f>SUM(S76:S84)+SUM(H74:H77)-H76</f>
        <v>#VALUE!</v>
      </c>
      <c r="S86" s="318" t="e">
        <f>S84-S85</f>
        <v>#VALUE!</v>
      </c>
      <c r="T86" t="s">
        <v>247</v>
      </c>
      <c r="U86" s="317">
        <v>68.111895769</v>
      </c>
      <c r="X86" s="216"/>
      <c r="Y86" s="216"/>
      <c r="Z86" s="216"/>
      <c r="AA86" s="216"/>
      <c r="AB86" s="216"/>
      <c r="AC86" s="216"/>
      <c r="AD86" s="216"/>
      <c r="AE86" s="216"/>
      <c r="AF86" s="216"/>
      <c r="AG86" s="216"/>
      <c r="AH86" s="216"/>
    </row>
    <row r="87" spans="2:34" ht="18">
      <c r="B87" s="216"/>
      <c r="C87" s="272"/>
      <c r="D87" s="272"/>
      <c r="E87" s="216"/>
      <c r="F87" s="216"/>
      <c r="G87" s="216"/>
      <c r="H87" s="216"/>
      <c r="I87" s="216"/>
      <c r="J87" s="216"/>
      <c r="K87" s="216"/>
      <c r="L87" s="216"/>
      <c r="M87" s="216"/>
      <c r="N87" s="216"/>
      <c r="O87" s="216"/>
      <c r="P87" t="s">
        <v>195</v>
      </c>
      <c r="Q87" s="317">
        <v>-41</v>
      </c>
      <c r="T87" t="s">
        <v>222</v>
      </c>
      <c r="U87" s="317">
        <v>-18.434414596394276</v>
      </c>
      <c r="V87" s="216" t="s">
        <v>400</v>
      </c>
      <c r="W87" s="314">
        <v>-19.600000000000001</v>
      </c>
      <c r="X87" s="216"/>
      <c r="Y87" s="216"/>
      <c r="Z87" s="216"/>
      <c r="AA87" s="216"/>
      <c r="AB87" s="216"/>
      <c r="AC87" s="216"/>
      <c r="AD87" s="216"/>
      <c r="AE87" s="216"/>
      <c r="AF87" s="216"/>
      <c r="AG87" s="216"/>
      <c r="AH87" s="216"/>
    </row>
    <row r="88" spans="2:34">
      <c r="B88" s="216"/>
      <c r="C88" s="216"/>
      <c r="D88" s="216"/>
      <c r="E88" s="216"/>
      <c r="F88" s="216"/>
      <c r="G88" s="216"/>
      <c r="H88" s="216"/>
      <c r="I88" s="216"/>
      <c r="J88" s="216"/>
      <c r="K88" s="216"/>
      <c r="L88" s="216"/>
      <c r="M88" s="216"/>
      <c r="N88" s="216"/>
      <c r="O88" s="216"/>
      <c r="Q88" s="317"/>
      <c r="T88" t="s">
        <v>292</v>
      </c>
      <c r="U88" s="676"/>
      <c r="V88" s="529">
        <f>SUM('[7]New KPI vs BP'!$AC$455:$AC$456,'[7]New KPI vs BP'!$AC$466)-SUM(U84:U87)</f>
        <v>-95.593709445103912</v>
      </c>
      <c r="X88" s="216"/>
      <c r="Y88" s="216"/>
      <c r="Z88" s="216"/>
      <c r="AA88" s="216"/>
      <c r="AB88" s="216"/>
      <c r="AC88" s="216"/>
      <c r="AD88" s="216"/>
      <c r="AE88" s="216"/>
      <c r="AF88" s="216"/>
      <c r="AG88" s="216"/>
      <c r="AH88" s="216"/>
    </row>
    <row r="89" spans="2:34" ht="20.25">
      <c r="B89" s="216"/>
      <c r="C89" s="216"/>
      <c r="D89" s="216"/>
      <c r="E89" s="216"/>
      <c r="F89" s="216"/>
      <c r="G89" s="216"/>
      <c r="H89" s="216"/>
      <c r="I89" s="216"/>
      <c r="J89" s="216"/>
      <c r="K89" s="216"/>
      <c r="L89" s="216"/>
      <c r="M89" s="216"/>
      <c r="N89" s="216"/>
      <c r="O89" s="759"/>
      <c r="Q89" s="317"/>
      <c r="T89" t="s">
        <v>217</v>
      </c>
      <c r="U89" s="317"/>
      <c r="V89">
        <f>SUM('[7]New KPI vs BP'!$AC$453,'[7]New KPI vs BP'!$AC$464)</f>
        <v>-1.7182458108604228</v>
      </c>
      <c r="X89" s="216"/>
      <c r="Y89" s="216"/>
      <c r="Z89" s="216"/>
      <c r="AA89" s="216"/>
      <c r="AB89" s="216"/>
      <c r="AC89" s="216"/>
      <c r="AD89" s="216"/>
      <c r="AE89" s="216"/>
      <c r="AF89" s="216"/>
      <c r="AG89" s="216"/>
      <c r="AH89" s="216"/>
    </row>
    <row r="90" spans="2:34" ht="18">
      <c r="B90" s="216"/>
      <c r="C90" s="216"/>
      <c r="D90" s="216"/>
      <c r="E90" s="216"/>
      <c r="F90" s="216"/>
      <c r="G90" s="216"/>
      <c r="H90" s="216"/>
      <c r="I90" s="216"/>
      <c r="J90" s="216"/>
      <c r="K90" s="216"/>
      <c r="L90" s="216"/>
      <c r="M90" s="216"/>
      <c r="N90" s="216"/>
      <c r="O90" s="230"/>
      <c r="Q90" s="317"/>
      <c r="T90" s="216" t="s">
        <v>223</v>
      </c>
      <c r="U90" s="541">
        <v>-21.323157828360038</v>
      </c>
      <c r="V90" s="216">
        <f>'[7]New KPI vs BP'!$AP$457</f>
        <v>-3.0418307398137245</v>
      </c>
      <c r="X90" s="297"/>
      <c r="Y90" s="216"/>
      <c r="Z90" s="216"/>
      <c r="AA90" s="216"/>
      <c r="AB90" s="216"/>
      <c r="AC90" s="216"/>
      <c r="AD90" s="216"/>
      <c r="AE90" s="216"/>
      <c r="AF90" s="216"/>
      <c r="AG90" s="216"/>
      <c r="AH90" s="216"/>
    </row>
    <row r="91" spans="2:34" ht="18">
      <c r="B91" s="216"/>
      <c r="C91" s="216"/>
      <c r="D91" s="216"/>
      <c r="E91" s="216"/>
      <c r="F91" s="216"/>
      <c r="G91" s="216"/>
      <c r="H91" s="216"/>
      <c r="I91" s="216"/>
      <c r="J91" s="216"/>
      <c r="K91" s="216"/>
      <c r="L91" s="216"/>
      <c r="M91" s="216"/>
      <c r="N91" s="216"/>
      <c r="O91" s="230"/>
      <c r="Q91" s="317" t="e">
        <f>Q86-SUM(Q87:Q90)</f>
        <v>#VALUE!</v>
      </c>
      <c r="U91" s="317"/>
      <c r="W91" s="673"/>
      <c r="X91" s="216"/>
      <c r="Y91" s="216"/>
      <c r="Z91" s="216"/>
      <c r="AA91" s="216"/>
      <c r="AB91" s="216"/>
      <c r="AC91" s="216"/>
      <c r="AD91" s="216"/>
      <c r="AE91" s="216"/>
      <c r="AF91" s="216"/>
      <c r="AG91" s="216"/>
      <c r="AH91" s="216"/>
    </row>
    <row r="92" spans="2:34" ht="18">
      <c r="B92" s="216"/>
      <c r="C92" s="216"/>
      <c r="D92" s="216"/>
      <c r="E92" s="216"/>
      <c r="F92" s="216"/>
      <c r="G92" s="216"/>
      <c r="H92" s="216"/>
      <c r="I92" s="216"/>
      <c r="J92" s="216"/>
      <c r="K92" s="216"/>
      <c r="L92" s="216"/>
      <c r="M92" s="216"/>
      <c r="N92" s="216"/>
      <c r="O92" s="230"/>
      <c r="T92" t="s">
        <v>289</v>
      </c>
      <c r="U92" s="317">
        <f>SUM(U93:U95)</f>
        <v>4.5701072456711955E-2</v>
      </c>
      <c r="X92" s="216"/>
      <c r="Y92" s="216"/>
      <c r="Z92" s="216"/>
      <c r="AA92" s="216"/>
      <c r="AB92" s="216"/>
      <c r="AC92" s="216"/>
      <c r="AD92" s="216"/>
      <c r="AE92" s="216"/>
      <c r="AF92" s="216"/>
      <c r="AG92" s="216"/>
      <c r="AH92" s="216"/>
    </row>
    <row r="93" spans="2:34" ht="18">
      <c r="B93" s="216"/>
      <c r="C93" s="216"/>
      <c r="D93" s="216"/>
      <c r="E93" s="216"/>
      <c r="F93" s="216"/>
      <c r="G93" s="216"/>
      <c r="H93" s="216"/>
      <c r="I93" s="216"/>
      <c r="J93" s="216"/>
      <c r="K93" s="216"/>
      <c r="L93" s="216"/>
      <c r="M93" s="216"/>
      <c r="N93" s="216"/>
      <c r="O93" s="230"/>
      <c r="T93" s="423" t="s">
        <v>28</v>
      </c>
      <c r="U93" s="645">
        <v>4.5701072456711955E-2</v>
      </c>
      <c r="V93" s="674">
        <f>'[7]P&amp;L vs BP'!$V$238-'[7]New KPI vs BP'!$AC$437-AC70</f>
        <v>-1.4507644229999999</v>
      </c>
      <c r="X93" s="216"/>
      <c r="Y93" s="216"/>
      <c r="Z93" s="216"/>
      <c r="AA93" s="216"/>
      <c r="AB93" s="216"/>
      <c r="AC93" s="216"/>
      <c r="AD93" s="216"/>
      <c r="AE93" s="216"/>
      <c r="AF93" s="216"/>
      <c r="AG93" s="216"/>
      <c r="AH93" s="216"/>
    </row>
    <row r="94" spans="2:34" ht="18">
      <c r="B94" s="216"/>
      <c r="C94" s="216"/>
      <c r="D94" s="216"/>
      <c r="E94" s="216"/>
      <c r="F94" s="216"/>
      <c r="G94" s="216"/>
      <c r="H94" s="216"/>
      <c r="I94" s="216"/>
      <c r="J94" s="216"/>
      <c r="K94" s="216"/>
      <c r="L94" s="216"/>
      <c r="M94" s="216"/>
      <c r="N94" s="216"/>
      <c r="O94" s="230"/>
      <c r="T94" s="135" t="s">
        <v>144</v>
      </c>
      <c r="U94" s="373">
        <f>-(AD65+X66+AJ76+AK75)</f>
        <v>0</v>
      </c>
      <c r="V94" s="414"/>
      <c r="X94" s="216"/>
      <c r="Y94" s="216"/>
      <c r="Z94" s="216"/>
      <c r="AA94" s="216"/>
      <c r="AB94" s="216"/>
      <c r="AC94" s="216"/>
      <c r="AD94" s="216"/>
      <c r="AE94" s="216"/>
      <c r="AF94" s="216"/>
      <c r="AG94" s="216"/>
      <c r="AH94" s="216"/>
    </row>
    <row r="95" spans="2:34" ht="18">
      <c r="B95" s="216"/>
      <c r="C95" s="216"/>
      <c r="D95" s="216"/>
      <c r="E95" s="216"/>
      <c r="F95" s="216"/>
      <c r="G95" s="216"/>
      <c r="H95" s="216"/>
      <c r="I95" s="216"/>
      <c r="J95" s="216"/>
      <c r="K95" s="216"/>
      <c r="L95" s="216"/>
      <c r="M95" s="216"/>
      <c r="N95" s="216"/>
      <c r="O95" s="230"/>
      <c r="T95" s="135" t="s">
        <v>273</v>
      </c>
      <c r="U95" s="373"/>
      <c r="X95" s="216"/>
      <c r="Y95" s="216"/>
      <c r="Z95" s="216"/>
      <c r="AA95" s="216"/>
      <c r="AB95" s="216"/>
      <c r="AC95" s="216"/>
      <c r="AD95" s="216"/>
      <c r="AE95" s="216"/>
      <c r="AF95" s="216"/>
      <c r="AG95" s="216"/>
      <c r="AH95" s="216"/>
    </row>
    <row r="96" spans="2:34" ht="18">
      <c r="B96" s="216"/>
      <c r="C96" s="216"/>
      <c r="D96" s="216"/>
      <c r="E96" s="216"/>
      <c r="F96" s="216"/>
      <c r="G96" s="216"/>
      <c r="H96" s="216"/>
      <c r="I96" s="216"/>
      <c r="J96" s="216"/>
      <c r="K96" s="216"/>
      <c r="L96" s="216"/>
      <c r="M96" s="216"/>
      <c r="N96" s="216"/>
      <c r="O96" s="230"/>
      <c r="U96" s="415"/>
      <c r="V96" s="371"/>
      <c r="X96" s="216"/>
      <c r="Y96" s="216"/>
      <c r="Z96" s="216"/>
      <c r="AA96" s="216"/>
      <c r="AB96" s="216"/>
      <c r="AC96" s="216"/>
      <c r="AD96" s="216"/>
      <c r="AE96" s="216"/>
      <c r="AF96" s="216"/>
      <c r="AG96" s="216"/>
      <c r="AH96" s="216"/>
    </row>
    <row r="97" spans="2:34" ht="18">
      <c r="B97" s="216"/>
      <c r="C97" s="216"/>
      <c r="D97" s="216"/>
      <c r="E97" s="216"/>
      <c r="F97" s="216"/>
      <c r="G97" s="216"/>
      <c r="H97" s="216"/>
      <c r="I97" s="216"/>
      <c r="J97" s="216"/>
      <c r="K97" s="216"/>
      <c r="L97" s="216"/>
      <c r="M97" s="216"/>
      <c r="N97" s="216"/>
      <c r="O97" s="230"/>
      <c r="P97" s="582"/>
      <c r="Q97" s="230"/>
      <c r="R97" s="230"/>
      <c r="S97" s="758"/>
      <c r="T97" s="216"/>
      <c r="U97" s="216"/>
      <c r="V97" s="216"/>
      <c r="W97" s="216"/>
      <c r="X97" s="216"/>
      <c r="Y97" s="216"/>
      <c r="Z97" s="216"/>
      <c r="AA97" s="216"/>
      <c r="AB97" s="216"/>
      <c r="AC97" s="216"/>
      <c r="AD97" s="216"/>
      <c r="AE97" s="216"/>
      <c r="AF97" s="216"/>
      <c r="AG97" s="216"/>
      <c r="AH97" s="216"/>
    </row>
    <row r="98" spans="2:34" ht="18">
      <c r="B98" s="216"/>
      <c r="C98" s="216"/>
      <c r="D98" s="216"/>
      <c r="E98" s="216"/>
      <c r="F98" s="216"/>
      <c r="G98" s="216"/>
      <c r="H98" s="216"/>
      <c r="I98" s="216"/>
      <c r="J98" s="216"/>
      <c r="K98" s="216"/>
      <c r="L98" s="216"/>
      <c r="M98" s="216"/>
      <c r="N98" s="216"/>
      <c r="O98" s="230"/>
      <c r="P98" s="582"/>
      <c r="Q98" s="230"/>
      <c r="R98" s="230"/>
      <c r="S98" s="758"/>
      <c r="T98" s="216"/>
      <c r="U98" s="216"/>
      <c r="V98" s="216"/>
      <c r="W98" s="216"/>
      <c r="X98" s="216"/>
      <c r="Y98" s="216"/>
      <c r="Z98" s="216"/>
      <c r="AA98" s="216"/>
      <c r="AB98" s="216"/>
      <c r="AC98" s="216"/>
      <c r="AD98" s="216"/>
      <c r="AE98" s="216"/>
      <c r="AF98" s="216"/>
      <c r="AG98" s="216"/>
      <c r="AH98" s="216"/>
    </row>
    <row r="99" spans="2:34" ht="18">
      <c r="B99" s="216"/>
      <c r="C99" s="216"/>
      <c r="D99" s="216"/>
      <c r="E99" s="216"/>
      <c r="F99" s="216"/>
      <c r="G99" s="216"/>
      <c r="H99" s="216"/>
      <c r="I99" s="216"/>
      <c r="J99" s="216"/>
      <c r="K99" s="216"/>
      <c r="L99" s="216"/>
      <c r="M99" s="216"/>
      <c r="N99" s="216"/>
      <c r="O99" s="230"/>
      <c r="P99" s="230"/>
      <c r="Q99" s="230"/>
      <c r="R99" s="230"/>
      <c r="S99" s="758"/>
      <c r="T99" s="216"/>
      <c r="U99" s="216"/>
      <c r="V99" s="216"/>
      <c r="W99" s="216"/>
      <c r="X99" s="216"/>
      <c r="Y99" s="216"/>
      <c r="Z99" s="216"/>
      <c r="AA99" s="216"/>
      <c r="AB99" s="216"/>
      <c r="AC99" s="216"/>
      <c r="AD99" s="216"/>
      <c r="AE99" s="216"/>
      <c r="AF99" s="216"/>
      <c r="AG99" s="216"/>
      <c r="AH99" s="216"/>
    </row>
  </sheetData>
  <mergeCells count="26">
    <mergeCell ref="T59:T60"/>
    <mergeCell ref="AE59:AE60"/>
    <mergeCell ref="AF59:AF60"/>
    <mergeCell ref="AH59:AH60"/>
    <mergeCell ref="AH17:AH18"/>
    <mergeCell ref="T17:T18"/>
    <mergeCell ref="AE17:AE18"/>
    <mergeCell ref="AF17:AF18"/>
    <mergeCell ref="B52:B53"/>
    <mergeCell ref="C52:C53"/>
    <mergeCell ref="B59:B60"/>
    <mergeCell ref="H59:H60"/>
    <mergeCell ref="O59:O60"/>
    <mergeCell ref="P59:P60"/>
    <mergeCell ref="Q59:Q60"/>
    <mergeCell ref="R59:R60"/>
    <mergeCell ref="S59:S60"/>
    <mergeCell ref="Q17:Q18"/>
    <mergeCell ref="R17:R18"/>
    <mergeCell ref="S17:S18"/>
    <mergeCell ref="P17:P18"/>
    <mergeCell ref="B10:B11"/>
    <mergeCell ref="C10:C11"/>
    <mergeCell ref="B17:B18"/>
    <mergeCell ref="H17:H18"/>
    <mergeCell ref="O17:O18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A4C24-0734-4C97-BD4C-FECEC1535AB1}">
  <sheetPr>
    <tabColor theme="7" tint="0.79998168889431442"/>
  </sheetPr>
  <dimension ref="B1:AG47"/>
  <sheetViews>
    <sheetView showGridLines="0" topLeftCell="A13" zoomScale="60" zoomScaleNormal="60" workbookViewId="0">
      <selection activeCell="E28" sqref="E28"/>
    </sheetView>
  </sheetViews>
  <sheetFormatPr defaultRowHeight="15"/>
  <cols>
    <col min="2" max="2" width="10.42578125" bestFit="1" customWidth="1"/>
    <col min="3" max="3" width="16.140625" bestFit="1" customWidth="1"/>
    <col min="4" max="4" width="13.85546875" customWidth="1"/>
    <col min="5" max="5" width="13.5703125" bestFit="1" customWidth="1"/>
    <col min="6" max="6" width="14.5703125" bestFit="1" customWidth="1"/>
    <col min="7" max="7" width="10.42578125" customWidth="1"/>
    <col min="10" max="10" width="11.140625" customWidth="1"/>
    <col min="11" max="11" width="9.85546875" bestFit="1" customWidth="1"/>
    <col min="13" max="13" width="13.42578125" bestFit="1" customWidth="1"/>
    <col min="15" max="15" width="13.5703125" bestFit="1" customWidth="1"/>
    <col min="18" max="18" width="9.85546875" bestFit="1" customWidth="1"/>
    <col min="20" max="20" width="14.140625" bestFit="1" customWidth="1"/>
    <col min="21" max="21" width="11.42578125" customWidth="1"/>
    <col min="23" max="23" width="10.5703125" customWidth="1"/>
    <col min="28" max="28" width="9.85546875" bestFit="1" customWidth="1"/>
  </cols>
  <sheetData>
    <row r="1" spans="2:33" ht="28.5">
      <c r="B1" s="304" t="str">
        <f>'Summary month'!E2</f>
        <v>Apr</v>
      </c>
      <c r="C1" t="str">
        <f>VLOOKUP(B1,mapping!$A$2:$C$13,3,0)</f>
        <v>M01</v>
      </c>
    </row>
    <row r="3" spans="2:33" ht="28.5">
      <c r="B3" s="299" t="s">
        <v>202</v>
      </c>
    </row>
    <row r="4" spans="2:33" ht="18">
      <c r="B4" s="215"/>
      <c r="C4" s="216"/>
      <c r="D4" s="215"/>
      <c r="E4" s="216"/>
      <c r="F4" s="215"/>
      <c r="G4" s="217" t="s">
        <v>138</v>
      </c>
      <c r="H4" s="216"/>
      <c r="I4" s="216"/>
      <c r="J4" s="216"/>
      <c r="K4" s="216"/>
      <c r="L4" s="216"/>
      <c r="M4" s="216"/>
      <c r="N4" s="216"/>
      <c r="O4" s="216"/>
      <c r="P4" s="216"/>
      <c r="Q4" s="216"/>
      <c r="R4" s="216"/>
      <c r="S4" s="216"/>
      <c r="T4" s="216"/>
      <c r="U4" s="216"/>
      <c r="V4" s="216"/>
      <c r="W4" s="216"/>
      <c r="X4" s="216"/>
      <c r="Y4" s="216"/>
      <c r="Z4" s="216"/>
      <c r="AA4" s="216"/>
      <c r="AB4" s="216"/>
      <c r="AC4" s="216"/>
      <c r="AD4" s="216"/>
      <c r="AE4" s="216"/>
      <c r="AF4" s="216"/>
      <c r="AG4" s="216"/>
    </row>
    <row r="5" spans="2:33" ht="20.100000000000001" customHeight="1">
      <c r="B5" s="1014" t="s">
        <v>220</v>
      </c>
      <c r="C5" s="1014" t="s">
        <v>207</v>
      </c>
      <c r="D5" s="218"/>
      <c r="E5" s="219"/>
      <c r="F5" s="219"/>
      <c r="G5" s="220"/>
      <c r="H5" s="216"/>
      <c r="I5" s="216"/>
      <c r="J5" s="216"/>
      <c r="K5" s="216"/>
      <c r="L5" s="216"/>
      <c r="M5" s="216"/>
      <c r="N5" s="216"/>
      <c r="O5" s="221"/>
      <c r="P5" s="221"/>
      <c r="Q5" s="221"/>
      <c r="R5" s="216"/>
      <c r="S5" s="216"/>
      <c r="T5" s="216"/>
      <c r="U5" s="216"/>
      <c r="V5" s="221"/>
      <c r="W5" s="221"/>
      <c r="X5" s="221"/>
      <c r="Y5" s="221"/>
      <c r="Z5" s="221"/>
      <c r="AA5" s="221"/>
      <c r="AB5" s="221"/>
      <c r="AC5" s="221"/>
      <c r="AD5" s="221"/>
      <c r="AE5" s="221"/>
      <c r="AF5" s="221"/>
      <c r="AG5" s="221"/>
    </row>
    <row r="6" spans="2:33" ht="40.5">
      <c r="B6" s="1015"/>
      <c r="C6" s="1016"/>
      <c r="D6" s="222"/>
      <c r="E6" s="223" t="s">
        <v>154</v>
      </c>
      <c r="F6" s="224" t="s">
        <v>155</v>
      </c>
      <c r="G6" s="225" t="s">
        <v>156</v>
      </c>
      <c r="H6" s="216"/>
      <c r="I6" s="216" t="s">
        <v>208</v>
      </c>
      <c r="J6" s="216"/>
      <c r="K6" s="216"/>
      <c r="L6" s="216"/>
      <c r="M6" s="216"/>
      <c r="N6" s="216"/>
      <c r="O6" s="216"/>
      <c r="P6" s="216"/>
      <c r="Q6" s="216"/>
      <c r="R6" s="216"/>
      <c r="AG6" s="216"/>
    </row>
    <row r="7" spans="2:33" ht="20.25">
      <c r="B7" s="226">
        <f>'[9]New KPI vs BP'!$BH$525</f>
        <v>0</v>
      </c>
      <c r="C7" s="226">
        <f>INDEX('Summary month'!$F$55:$H$55,1,MATCH($C$1,'Summary month'!$O$6:$Q$6,0))</f>
        <v>-71.169814299999885</v>
      </c>
      <c r="D7" s="227">
        <f>C7-B7</f>
        <v>-71.169814299999885</v>
      </c>
      <c r="E7" s="228">
        <f>'[9]New KPI vs BP'!$BK$525</f>
        <v>0</v>
      </c>
      <c r="F7" s="228">
        <f>'[9]New KPI vs BP'!$BL$515+'[9]New KPI vs BP'!$BL$489</f>
        <v>0</v>
      </c>
      <c r="G7" s="229">
        <f>'[9]New KPI vs BP'!$BL$523+'[9]New KPI vs BP'!$BL$507</f>
        <v>0</v>
      </c>
      <c r="H7" s="216"/>
      <c r="I7" s="286">
        <f>SUM(E7:G7)-D7</f>
        <v>71.169814299999885</v>
      </c>
      <c r="J7" s="216"/>
      <c r="K7" s="216"/>
      <c r="L7" s="216"/>
      <c r="M7" s="216"/>
      <c r="N7" s="216"/>
      <c r="P7" s="216"/>
      <c r="Q7" s="216"/>
      <c r="R7" s="216"/>
      <c r="AG7" s="230"/>
    </row>
    <row r="8" spans="2:33" ht="18">
      <c r="B8" s="216"/>
      <c r="C8" s="216"/>
      <c r="D8" s="216"/>
      <c r="E8" s="216"/>
      <c r="F8" s="216"/>
      <c r="G8" s="216"/>
      <c r="H8" s="216"/>
      <c r="I8" s="216"/>
      <c r="J8" s="216"/>
      <c r="K8" s="216"/>
      <c r="L8" s="216"/>
      <c r="M8" s="216"/>
      <c r="N8" s="216" t="s">
        <v>53</v>
      </c>
      <c r="O8" s="324"/>
      <c r="Q8" s="216"/>
      <c r="R8" s="216"/>
      <c r="V8" t="s">
        <v>145</v>
      </c>
      <c r="W8">
        <f>'[9]New KPI vs BP'!$BL$494</f>
        <v>0</v>
      </c>
      <c r="AG8" s="216"/>
    </row>
    <row r="9" spans="2:33">
      <c r="B9" s="216"/>
      <c r="C9" s="216" t="s">
        <v>51</v>
      </c>
      <c r="D9" s="216" t="s">
        <v>50</v>
      </c>
      <c r="E9" s="216"/>
      <c r="F9" s="216"/>
      <c r="G9" s="216"/>
      <c r="H9" s="216"/>
      <c r="I9" s="216"/>
      <c r="J9" s="216"/>
      <c r="K9" s="216"/>
      <c r="L9" s="216"/>
      <c r="M9" s="216"/>
      <c r="N9" s="216" t="s">
        <v>54</v>
      </c>
      <c r="O9" s="318"/>
      <c r="Q9" s="216"/>
      <c r="R9" s="216"/>
      <c r="V9" t="s">
        <v>193</v>
      </c>
      <c r="W9">
        <f>'[9]New KPI vs BP'!$BL$492+'[9]New KPI vs BP'!$BL$517</f>
        <v>0</v>
      </c>
      <c r="AG9" s="216"/>
    </row>
    <row r="10" spans="2:33" ht="21" thickBot="1">
      <c r="B10" s="231" t="s">
        <v>157</v>
      </c>
      <c r="C10" s="232" t="s">
        <v>56</v>
      </c>
      <c r="D10" s="232" t="s">
        <v>57</v>
      </c>
      <c r="E10" s="232"/>
      <c r="F10" s="232"/>
      <c r="G10" s="232"/>
      <c r="H10" s="232"/>
      <c r="I10" s="232"/>
      <c r="J10" s="232"/>
      <c r="K10" s="232"/>
      <c r="L10" s="232"/>
      <c r="M10" s="232"/>
      <c r="N10" s="232" t="s">
        <v>55</v>
      </c>
      <c r="O10" s="286"/>
      <c r="Q10" s="232"/>
      <c r="R10" s="232" t="s">
        <v>60</v>
      </c>
      <c r="U10" s="129"/>
      <c r="V10" t="s">
        <v>144</v>
      </c>
      <c r="W10" s="327">
        <f>W14-SUM(W8:W9)</f>
        <v>0</v>
      </c>
      <c r="Z10" t="s">
        <v>52</v>
      </c>
      <c r="AA10" t="s">
        <v>59</v>
      </c>
      <c r="AG10" s="217" t="s">
        <v>138</v>
      </c>
    </row>
    <row r="11" spans="2:33" ht="21" thickBot="1">
      <c r="B11" s="1034" t="s">
        <v>158</v>
      </c>
      <c r="C11" s="233" t="s">
        <v>159</v>
      </c>
      <c r="D11" s="234"/>
      <c r="E11" s="234"/>
      <c r="F11" s="234"/>
      <c r="G11" s="234"/>
      <c r="H11" s="234"/>
      <c r="I11" s="234"/>
      <c r="J11" s="234"/>
      <c r="K11" s="234"/>
      <c r="L11" s="234"/>
      <c r="M11" s="234"/>
      <c r="N11" s="234"/>
      <c r="O11" s="234"/>
      <c r="P11" s="234"/>
      <c r="Q11" s="234"/>
      <c r="R11" s="234"/>
      <c r="S11" s="235"/>
      <c r="T11" s="236" t="s">
        <v>160</v>
      </c>
      <c r="U11" s="237"/>
      <c r="V11" s="237"/>
      <c r="W11" s="237"/>
      <c r="X11" s="237"/>
      <c r="Y11" s="237"/>
      <c r="Z11" s="237"/>
      <c r="AA11" s="237"/>
      <c r="AB11" s="237"/>
      <c r="AC11" s="237"/>
      <c r="AD11" s="237"/>
      <c r="AE11" s="237"/>
      <c r="AF11" s="237"/>
      <c r="AG11" s="238"/>
    </row>
    <row r="12" spans="2:33" ht="20.100000000000001" customHeight="1">
      <c r="B12" s="1035"/>
      <c r="C12" s="239" t="s">
        <v>161</v>
      </c>
      <c r="D12" s="240"/>
      <c r="E12" s="240"/>
      <c r="F12" s="240"/>
      <c r="G12" s="241"/>
      <c r="H12" s="1017" t="s">
        <v>162</v>
      </c>
      <c r="I12" s="242" t="s">
        <v>163</v>
      </c>
      <c r="J12" s="243"/>
      <c r="K12" s="243"/>
      <c r="L12" s="243"/>
      <c r="M12" s="243"/>
      <c r="N12" s="244"/>
      <c r="O12" s="1019" t="s">
        <v>164</v>
      </c>
      <c r="P12" s="1019" t="s">
        <v>165</v>
      </c>
      <c r="Q12" s="1019" t="s">
        <v>166</v>
      </c>
      <c r="R12" s="1022" t="s">
        <v>167</v>
      </c>
      <c r="S12" s="1023" t="s">
        <v>168</v>
      </c>
      <c r="T12" s="245" t="s">
        <v>169</v>
      </c>
      <c r="U12" s="246"/>
      <c r="V12" s="246"/>
      <c r="W12" s="247"/>
      <c r="X12" s="248" t="s">
        <v>163</v>
      </c>
      <c r="Y12" s="246"/>
      <c r="Z12" s="246"/>
      <c r="AA12" s="246"/>
      <c r="AB12" s="246"/>
      <c r="AC12" s="247"/>
      <c r="AD12" s="1022" t="s">
        <v>166</v>
      </c>
      <c r="AE12" s="1025" t="s">
        <v>167</v>
      </c>
      <c r="AF12" s="311"/>
      <c r="AG12" s="1012" t="s">
        <v>168</v>
      </c>
    </row>
    <row r="13" spans="2:33" ht="77.45" customHeight="1">
      <c r="B13" s="1036"/>
      <c r="C13" s="249" t="s">
        <v>170</v>
      </c>
      <c r="D13" s="250" t="s">
        <v>171</v>
      </c>
      <c r="E13" s="250" t="s">
        <v>172</v>
      </c>
      <c r="F13" s="250" t="s">
        <v>173</v>
      </c>
      <c r="G13" s="251" t="s">
        <v>174</v>
      </c>
      <c r="H13" s="1018"/>
      <c r="I13" s="250" t="s">
        <v>175</v>
      </c>
      <c r="J13" s="250" t="s">
        <v>176</v>
      </c>
      <c r="K13" s="250" t="s">
        <v>177</v>
      </c>
      <c r="L13" s="250" t="s">
        <v>178</v>
      </c>
      <c r="M13" s="250" t="s">
        <v>168</v>
      </c>
      <c r="N13" s="250" t="s">
        <v>179</v>
      </c>
      <c r="O13" s="1020"/>
      <c r="P13" s="1021"/>
      <c r="Q13" s="1021"/>
      <c r="R13" s="1021"/>
      <c r="S13" s="1024"/>
      <c r="T13" s="307" t="s">
        <v>203</v>
      </c>
      <c r="U13" s="308" t="s">
        <v>180</v>
      </c>
      <c r="V13" s="309" t="s">
        <v>181</v>
      </c>
      <c r="W13" s="310" t="s">
        <v>33</v>
      </c>
      <c r="X13" s="305" t="s">
        <v>25</v>
      </c>
      <c r="Y13" s="306" t="s">
        <v>183</v>
      </c>
      <c r="Z13" s="306" t="s">
        <v>204</v>
      </c>
      <c r="AA13" s="306" t="s">
        <v>205</v>
      </c>
      <c r="AB13" s="306" t="s">
        <v>184</v>
      </c>
      <c r="AC13" s="306" t="s">
        <v>30</v>
      </c>
      <c r="AD13" s="1021"/>
      <c r="AE13" s="1026"/>
      <c r="AF13" s="312" t="s">
        <v>37</v>
      </c>
      <c r="AG13" s="1013"/>
    </row>
    <row r="14" spans="2:33" ht="21" thickBot="1">
      <c r="B14" s="252">
        <f>E7</f>
        <v>0</v>
      </c>
      <c r="C14" s="253">
        <f>'[9]New KPI vs BP'!$BL$471+'[9]New KPI vs BP'!$BL$472+'[9]New KPI vs BP'!$BL$509-SUM(E14:G14)+U41</f>
        <v>-1.2862681127646649</v>
      </c>
      <c r="D14" s="254">
        <f>'[9]New KPI vs BP'!$BL$479-O10</f>
        <v>0</v>
      </c>
      <c r="E14" s="254">
        <v>-6.4526695675209522</v>
      </c>
      <c r="F14" s="254"/>
      <c r="G14" s="254">
        <v>7.7389376802856171</v>
      </c>
      <c r="H14" s="254"/>
      <c r="I14" s="254"/>
      <c r="J14" s="255"/>
      <c r="K14" s="255">
        <f>'[9]New KPI vs BP'!$BL$478</f>
        <v>0</v>
      </c>
      <c r="L14" s="255"/>
      <c r="M14" s="255">
        <f>'[9]New KPI vs BP'!$BL$482+'[9]New KPI vs BP'!$BL$511</f>
        <v>0</v>
      </c>
      <c r="N14" s="255"/>
      <c r="O14" s="254">
        <f>SUM(O8:O10)</f>
        <v>0</v>
      </c>
      <c r="P14" s="254"/>
      <c r="Q14" s="256"/>
      <c r="R14" s="254">
        <f>'[9]New KPI vs BP'!$BL$475</f>
        <v>0</v>
      </c>
      <c r="S14" s="257">
        <f>F7-SUM(C14:R14)</f>
        <v>0</v>
      </c>
      <c r="T14" s="325">
        <f>'[9]New KPI vs BP'!$BL$490+'[9]New KPI vs BP'!$BL$491+'[9]New KPI vs BP'!$BL$516-U14</f>
        <v>-2.1249063800000001</v>
      </c>
      <c r="U14" s="258">
        <v>2.1249063800000001</v>
      </c>
      <c r="V14" s="258"/>
      <c r="W14" s="258">
        <f>'[9]New KPI vs BP'!$BL$517+'[9]New KPI vs BP'!$BL$492+'[9]New KPI vs BP'!$BL$494</f>
        <v>0</v>
      </c>
      <c r="X14" s="258">
        <f>'[9]New KPI vs BP'!$BL$495</f>
        <v>0</v>
      </c>
      <c r="Y14" s="258"/>
      <c r="Z14" s="258">
        <f>'[9]New KPI vs BP'!$BL$502</f>
        <v>0</v>
      </c>
      <c r="AA14" s="258">
        <f>'[9]New KPI vs BP'!$BI$437</f>
        <v>0</v>
      </c>
      <c r="AB14" s="258">
        <f>'[9]P&amp;L vs BP'!$AH$238-AA14+'[9]New KPI vs BP'!$BJ$500</f>
        <v>-5.2550583099999999</v>
      </c>
      <c r="AC14" s="258">
        <f>'[9]New KPI vs BP'!$BL$500+'[9]New KPI vs BP'!$BL$519-SUM(AA14:AB14)</f>
        <v>5.2550583099999999</v>
      </c>
      <c r="AD14" s="256"/>
      <c r="AE14" s="259"/>
      <c r="AF14" s="254">
        <f>'[9]New KPI vs BP'!$BL$518+'[9]New KPI vs BP'!$BL$496</f>
        <v>0</v>
      </c>
      <c r="AG14" s="260">
        <f>G7-SUM(T14:AF14)</f>
        <v>0</v>
      </c>
    </row>
    <row r="15" spans="2:33" ht="18">
      <c r="B15" s="216"/>
      <c r="C15" s="261"/>
      <c r="D15" s="216"/>
      <c r="E15" s="216"/>
      <c r="F15" s="216"/>
      <c r="G15" s="216"/>
      <c r="H15" s="216"/>
      <c r="I15" s="216"/>
      <c r="K15" s="364"/>
      <c r="L15" s="216"/>
      <c r="M15" s="216"/>
      <c r="N15" s="216"/>
      <c r="O15" s="216"/>
      <c r="P15" s="216"/>
      <c r="Q15" s="216"/>
      <c r="R15" s="216"/>
      <c r="S15" s="216"/>
      <c r="T15" s="216"/>
      <c r="U15" s="216"/>
      <c r="V15" s="216"/>
      <c r="W15" s="216"/>
      <c r="X15" s="216"/>
      <c r="Z15" s="216"/>
      <c r="AA15" s="216"/>
      <c r="AB15" s="216"/>
      <c r="AC15" s="216"/>
      <c r="AD15" s="216"/>
      <c r="AE15" s="216"/>
      <c r="AF15" s="216"/>
      <c r="AG15" s="216"/>
    </row>
    <row r="16" spans="2:33" ht="20.25">
      <c r="B16" s="221"/>
      <c r="C16" s="261"/>
      <c r="D16" s="262"/>
      <c r="E16" s="262"/>
      <c r="F16" s="262"/>
      <c r="G16" s="262"/>
      <c r="H16" s="262"/>
      <c r="I16" s="262"/>
      <c r="K16" s="262"/>
      <c r="L16" s="262"/>
      <c r="M16" s="262"/>
      <c r="N16" s="262"/>
      <c r="O16" s="262"/>
      <c r="P16" s="262"/>
      <c r="Q16" s="262"/>
      <c r="R16" s="262"/>
      <c r="S16" s="221"/>
      <c r="T16" s="221"/>
      <c r="U16" s="221"/>
      <c r="V16" s="221"/>
      <c r="W16" s="263" t="s">
        <v>185</v>
      </c>
      <c r="X16" s="264"/>
      <c r="Y16" s="264"/>
      <c r="Z16" s="264"/>
      <c r="AA16" s="265">
        <f>AC14</f>
        <v>5.2550583099999999</v>
      </c>
      <c r="AB16" s="221"/>
      <c r="AC16" s="263" t="s">
        <v>186</v>
      </c>
      <c r="AD16" s="264"/>
      <c r="AE16" s="264"/>
      <c r="AF16" s="264"/>
      <c r="AG16" s="265">
        <f>AG14</f>
        <v>0</v>
      </c>
    </row>
    <row r="17" spans="2:33" ht="18">
      <c r="B17" s="216"/>
      <c r="C17" s="266"/>
      <c r="D17" s="267"/>
      <c r="E17" s="267"/>
      <c r="F17" s="267"/>
      <c r="G17" s="267"/>
      <c r="H17" s="267"/>
      <c r="I17" s="267"/>
      <c r="J17" s="267"/>
      <c r="K17" s="267"/>
      <c r="L17" s="267"/>
      <c r="M17" s="267"/>
      <c r="N17" s="267"/>
      <c r="O17" s="267"/>
      <c r="P17" s="267"/>
      <c r="Q17" s="267"/>
      <c r="R17" s="267"/>
      <c r="S17" s="216"/>
      <c r="T17" s="216"/>
      <c r="U17" s="216"/>
      <c r="V17" s="216"/>
      <c r="W17" s="268">
        <v>1</v>
      </c>
      <c r="X17" s="269"/>
      <c r="Y17" s="270"/>
      <c r="Z17" s="270"/>
      <c r="AA17" s="271"/>
      <c r="AB17" s="216"/>
      <c r="AC17" s="268">
        <v>1</v>
      </c>
      <c r="AD17" s="269"/>
      <c r="AE17" s="270"/>
      <c r="AF17" s="270"/>
      <c r="AG17" s="271"/>
    </row>
    <row r="18" spans="2:33" ht="20.25">
      <c r="B18" s="216"/>
      <c r="C18" s="272"/>
      <c r="D18" s="216"/>
      <c r="E18" s="216"/>
      <c r="F18" s="216"/>
      <c r="G18" s="216"/>
      <c r="H18" s="216"/>
      <c r="I18" s="273" t="s">
        <v>188</v>
      </c>
      <c r="J18" s="274"/>
      <c r="K18" s="274"/>
      <c r="L18" s="274"/>
      <c r="M18" s="275">
        <f>M14</f>
        <v>0</v>
      </c>
      <c r="N18" s="216"/>
      <c r="O18" s="216"/>
      <c r="P18" s="216"/>
      <c r="Q18" s="216"/>
      <c r="R18" s="216"/>
      <c r="S18" s="216"/>
      <c r="T18" s="216"/>
      <c r="U18" s="216"/>
      <c r="V18" s="216"/>
      <c r="W18" s="268">
        <v>2</v>
      </c>
      <c r="X18" s="276"/>
      <c r="Y18" s="277"/>
      <c r="Z18" s="277"/>
      <c r="AA18" s="278"/>
      <c r="AB18" s="216"/>
      <c r="AC18" s="268">
        <v>2</v>
      </c>
      <c r="AD18" s="276"/>
      <c r="AE18" s="277"/>
      <c r="AF18" s="277"/>
      <c r="AG18" s="278"/>
    </row>
    <row r="19" spans="2:33" ht="18">
      <c r="B19" s="216"/>
      <c r="C19" s="272"/>
      <c r="D19" s="216"/>
      <c r="E19" s="216"/>
      <c r="F19" s="216"/>
      <c r="G19" s="216"/>
      <c r="H19" s="216"/>
      <c r="I19" s="279">
        <v>1</v>
      </c>
      <c r="J19" s="269"/>
      <c r="K19" s="270"/>
      <c r="L19" s="270"/>
      <c r="M19" s="280"/>
      <c r="N19" s="216"/>
      <c r="O19" s="216"/>
      <c r="P19" s="216"/>
      <c r="Q19" s="216"/>
      <c r="R19" s="216"/>
      <c r="S19" s="216"/>
      <c r="T19" s="216"/>
      <c r="U19" s="216"/>
      <c r="V19" s="216"/>
      <c r="W19" s="268">
        <v>3</v>
      </c>
      <c r="X19" s="276"/>
      <c r="Y19" s="277"/>
      <c r="Z19" s="277"/>
      <c r="AA19" s="278"/>
      <c r="AB19" s="216"/>
      <c r="AC19" s="268">
        <v>3</v>
      </c>
      <c r="AD19" s="276"/>
      <c r="AE19" s="277"/>
      <c r="AF19" s="277"/>
      <c r="AG19" s="278"/>
    </row>
    <row r="20" spans="2:33" ht="18">
      <c r="B20" s="216"/>
      <c r="C20" s="272"/>
      <c r="D20" s="216"/>
      <c r="E20" s="216"/>
      <c r="F20" s="216"/>
      <c r="G20" s="216"/>
      <c r="H20" s="216"/>
      <c r="I20" s="279">
        <v>2</v>
      </c>
      <c r="J20" s="276"/>
      <c r="K20" s="277"/>
      <c r="L20" s="277"/>
      <c r="M20" s="281"/>
      <c r="N20" s="216"/>
      <c r="O20" s="216"/>
      <c r="P20" s="216"/>
      <c r="Q20" s="216"/>
      <c r="R20" s="216"/>
      <c r="S20" s="216"/>
      <c r="T20" s="216"/>
      <c r="U20" s="216"/>
      <c r="V20" s="216"/>
      <c r="W20" s="268">
        <v>4</v>
      </c>
      <c r="X20" s="276"/>
      <c r="Y20" s="277"/>
      <c r="Z20" s="277"/>
      <c r="AA20" s="278"/>
      <c r="AB20" s="216"/>
      <c r="AC20" s="268">
        <v>4</v>
      </c>
      <c r="AD20" s="276"/>
      <c r="AE20" s="277"/>
      <c r="AF20" s="277"/>
      <c r="AG20" s="278"/>
    </row>
    <row r="21" spans="2:33" ht="18">
      <c r="B21" s="216"/>
      <c r="C21" s="272"/>
      <c r="D21" s="216"/>
      <c r="E21" s="216"/>
      <c r="F21" s="216"/>
      <c r="G21" s="216"/>
      <c r="H21" s="216"/>
      <c r="I21" s="279">
        <v>3</v>
      </c>
      <c r="J21" s="276"/>
      <c r="K21" s="277"/>
      <c r="L21" s="277"/>
      <c r="M21" s="281"/>
      <c r="N21" s="216"/>
      <c r="O21" s="216"/>
      <c r="P21" s="216"/>
      <c r="Q21" s="216"/>
      <c r="R21" s="216"/>
      <c r="S21" s="216"/>
      <c r="T21" s="216"/>
      <c r="U21" s="216"/>
      <c r="V21" s="216"/>
      <c r="W21" s="282">
        <v>5</v>
      </c>
      <c r="X21" s="283" t="s">
        <v>182</v>
      </c>
      <c r="Y21" s="284"/>
      <c r="Z21" s="284"/>
      <c r="AA21" s="285">
        <f>AA16-SUM(AA17:AA20)</f>
        <v>5.2550583099999999</v>
      </c>
      <c r="AB21" s="216"/>
      <c r="AC21" s="282">
        <v>5</v>
      </c>
      <c r="AD21" s="283" t="s">
        <v>182</v>
      </c>
      <c r="AE21" s="284"/>
      <c r="AF21" s="284"/>
      <c r="AG21" s="285">
        <f>AG16-SUM(AG17:AG20)</f>
        <v>0</v>
      </c>
    </row>
    <row r="22" spans="2:33" ht="18">
      <c r="B22" s="216"/>
      <c r="C22" s="216"/>
      <c r="D22" s="272"/>
      <c r="E22" s="272"/>
      <c r="F22" s="272"/>
      <c r="G22" s="272"/>
      <c r="H22" s="272"/>
      <c r="I22" s="279">
        <v>4</v>
      </c>
      <c r="J22" s="276"/>
      <c r="K22" s="277"/>
      <c r="L22" s="277"/>
      <c r="M22" s="281"/>
      <c r="N22" s="216"/>
      <c r="O22" s="216"/>
      <c r="P22" s="272"/>
      <c r="Q22" s="272"/>
      <c r="R22" s="216"/>
      <c r="S22" s="216"/>
      <c r="T22" s="216"/>
      <c r="U22" s="216"/>
      <c r="V22" s="216"/>
      <c r="W22" s="216"/>
      <c r="X22" s="216"/>
      <c r="Y22" s="216"/>
      <c r="Z22" s="216"/>
      <c r="AA22" s="286"/>
      <c r="AB22" s="216"/>
      <c r="AC22" s="216"/>
      <c r="AD22" s="216"/>
      <c r="AE22" s="216"/>
      <c r="AF22" s="287"/>
      <c r="AG22" s="286"/>
    </row>
    <row r="23" spans="2:33" ht="18">
      <c r="B23" s="216"/>
      <c r="C23" s="272"/>
      <c r="D23" s="216"/>
      <c r="E23" s="216"/>
      <c r="F23" s="216"/>
      <c r="G23" s="216"/>
      <c r="H23" s="216"/>
      <c r="I23" s="279">
        <v>5</v>
      </c>
      <c r="J23" s="276"/>
      <c r="K23" s="277"/>
      <c r="L23" s="277"/>
      <c r="M23" s="281"/>
      <c r="O23" s="216"/>
      <c r="P23" s="216"/>
      <c r="Q23" s="216"/>
      <c r="R23" s="216"/>
      <c r="S23" s="216"/>
      <c r="T23" s="216"/>
      <c r="U23" s="216"/>
      <c r="V23" s="216"/>
      <c r="W23" s="216"/>
      <c r="X23" s="216"/>
      <c r="Y23" s="216"/>
      <c r="Z23" s="216"/>
      <c r="AA23" s="216"/>
      <c r="AB23" s="216"/>
      <c r="AC23" s="216"/>
      <c r="AD23" s="216"/>
      <c r="AE23" s="216"/>
      <c r="AF23" s="216"/>
      <c r="AG23" s="216"/>
    </row>
    <row r="24" spans="2:33" ht="18">
      <c r="B24" s="216"/>
      <c r="C24" s="272"/>
      <c r="D24" s="216"/>
      <c r="E24" s="216"/>
      <c r="F24" s="216"/>
      <c r="G24" s="216"/>
      <c r="H24" s="216"/>
      <c r="I24" s="279">
        <v>6</v>
      </c>
      <c r="J24" s="276"/>
      <c r="K24" s="277"/>
      <c r="L24" s="277"/>
      <c r="M24" s="281"/>
      <c r="O24" s="216"/>
      <c r="P24" s="216"/>
      <c r="Q24" s="216"/>
      <c r="R24" s="216"/>
      <c r="S24" s="216"/>
      <c r="T24" s="216"/>
      <c r="U24" s="216"/>
      <c r="V24" s="216"/>
      <c r="W24" s="216"/>
      <c r="X24" s="216"/>
      <c r="Y24" s="216"/>
      <c r="Z24" s="216"/>
      <c r="AA24" s="216"/>
      <c r="AB24" s="216"/>
      <c r="AC24" s="216"/>
      <c r="AD24" s="216"/>
      <c r="AE24" s="216"/>
      <c r="AF24" s="216"/>
      <c r="AG24" s="216"/>
    </row>
    <row r="25" spans="2:33" ht="18">
      <c r="B25" s="216"/>
      <c r="C25" s="272"/>
      <c r="D25" s="272"/>
      <c r="E25" s="216"/>
      <c r="F25" s="216"/>
      <c r="G25" s="216"/>
      <c r="H25" s="216"/>
      <c r="I25" s="279">
        <v>5</v>
      </c>
      <c r="J25" s="276"/>
      <c r="K25" s="277"/>
      <c r="L25" s="277"/>
      <c r="M25" s="281"/>
      <c r="O25" s="216"/>
      <c r="P25" s="216"/>
      <c r="Q25" s="216"/>
      <c r="R25" s="216"/>
      <c r="S25" s="216"/>
      <c r="T25" s="216"/>
      <c r="U25" s="216"/>
      <c r="V25" s="216"/>
      <c r="W25" s="216"/>
      <c r="X25" s="216"/>
      <c r="Y25" s="216"/>
      <c r="Z25" s="216"/>
      <c r="AA25" s="216"/>
      <c r="AB25" s="216"/>
      <c r="AC25" s="216"/>
      <c r="AD25" s="216"/>
      <c r="AE25" s="216"/>
      <c r="AF25" s="216"/>
      <c r="AG25" s="216"/>
    </row>
    <row r="26" spans="2:33" ht="18">
      <c r="B26" s="216"/>
      <c r="C26" s="291"/>
      <c r="D26" s="216"/>
      <c r="E26" s="216"/>
      <c r="F26" s="292" t="s">
        <v>189</v>
      </c>
      <c r="G26" s="216"/>
      <c r="H26" s="216"/>
      <c r="I26" s="279">
        <v>7</v>
      </c>
      <c r="J26" s="276"/>
      <c r="K26" s="277"/>
      <c r="L26" s="277"/>
      <c r="M26" s="281"/>
      <c r="N26" s="216"/>
      <c r="O26" s="216"/>
      <c r="P26" s="216"/>
      <c r="Q26" s="216"/>
      <c r="R26" s="216"/>
      <c r="S26" s="216"/>
      <c r="T26" s="216"/>
      <c r="U26" s="216"/>
      <c r="V26" s="216"/>
      <c r="W26" s="216"/>
      <c r="X26" s="216"/>
      <c r="Y26" s="216"/>
      <c r="Z26" s="216"/>
      <c r="AA26" s="216"/>
      <c r="AB26" s="216"/>
      <c r="AC26" s="216"/>
      <c r="AD26" s="216"/>
      <c r="AE26" s="216"/>
      <c r="AF26" s="216"/>
      <c r="AG26" s="216"/>
    </row>
    <row r="27" spans="2:33" ht="20.25">
      <c r="B27" s="216"/>
      <c r="C27" s="216"/>
      <c r="D27" s="293" t="s">
        <v>218</v>
      </c>
      <c r="E27" s="293" t="s">
        <v>374</v>
      </c>
      <c r="F27" s="293" t="s">
        <v>190</v>
      </c>
      <c r="G27" s="216"/>
      <c r="H27" s="216"/>
      <c r="I27" s="279">
        <v>8</v>
      </c>
      <c r="J27" s="276"/>
      <c r="K27" s="277"/>
      <c r="L27" s="277"/>
      <c r="M27" s="281"/>
      <c r="N27" s="216"/>
      <c r="O27" s="273" t="s">
        <v>191</v>
      </c>
      <c r="P27" s="274"/>
      <c r="Q27" s="274"/>
      <c r="R27" s="274"/>
      <c r="S27" s="294">
        <f>S14</f>
        <v>0</v>
      </c>
      <c r="T27" s="272"/>
      <c r="U27" s="272"/>
      <c r="V27" s="272"/>
      <c r="W27" s="216"/>
      <c r="X27" s="216"/>
      <c r="Y27" s="216"/>
      <c r="Z27" s="216"/>
      <c r="AA27" s="216"/>
      <c r="AB27" s="216"/>
      <c r="AC27" s="216"/>
      <c r="AD27" s="216"/>
      <c r="AE27" s="216"/>
      <c r="AF27" s="216"/>
      <c r="AG27" s="216"/>
    </row>
    <row r="28" spans="2:33" ht="20.25">
      <c r="B28" s="216"/>
      <c r="C28" s="295" t="s">
        <v>192</v>
      </c>
      <c r="D28" s="296">
        <f>'[9]P&amp;L vs BP'!$AG$24</f>
        <v>53757</v>
      </c>
      <c r="E28" s="296">
        <f>'[9]P&amp;L vs BP'!$H$24</f>
        <v>52564</v>
      </c>
      <c r="F28" s="296">
        <f>E28-D28</f>
        <v>-1193</v>
      </c>
      <c r="G28" s="323"/>
      <c r="H28" s="216"/>
      <c r="I28" s="279">
        <v>9</v>
      </c>
      <c r="J28" s="276" t="s">
        <v>260</v>
      </c>
      <c r="K28" s="277"/>
      <c r="L28" s="277"/>
      <c r="M28" s="281">
        <f>'[9]New KPI vs BP'!$BL$482+'[9]New KPI vs BP'!$BL$511</f>
        <v>0</v>
      </c>
      <c r="N28" s="216"/>
      <c r="O28" s="279">
        <v>1</v>
      </c>
      <c r="P28" s="269" t="s">
        <v>193</v>
      </c>
      <c r="Q28" s="270"/>
      <c r="R28" s="270"/>
      <c r="S28" s="280">
        <f>'[9]New KPI vs BP'!$BL$510+'[9]New KPI vs BP'!$BL$473</f>
        <v>0</v>
      </c>
      <c r="T28" s="216"/>
      <c r="U28" s="216"/>
      <c r="V28" s="216"/>
      <c r="W28" s="297"/>
      <c r="X28" s="216"/>
      <c r="Y28" s="216"/>
      <c r="Z28" s="216"/>
      <c r="AA28" s="216"/>
      <c r="AB28" s="216"/>
      <c r="AC28" s="216"/>
      <c r="AD28" s="216"/>
      <c r="AE28" s="216"/>
      <c r="AF28" s="216"/>
      <c r="AG28" s="216"/>
    </row>
    <row r="29" spans="2:33" ht="20.25">
      <c r="B29" s="216"/>
      <c r="C29" s="295" t="s">
        <v>194</v>
      </c>
      <c r="D29" s="296">
        <f>'[9]P&amp;L vs BP'!$AG$27</f>
        <v>463</v>
      </c>
      <c r="E29" s="296">
        <f>'[9]P&amp;L vs BP'!$H$27</f>
        <v>1068</v>
      </c>
      <c r="F29" s="296">
        <f>E29-D29</f>
        <v>605</v>
      </c>
      <c r="G29" s="323" t="s">
        <v>264</v>
      </c>
      <c r="H29" s="216"/>
      <c r="I29" s="288">
        <v>10</v>
      </c>
      <c r="J29" s="289" t="s">
        <v>182</v>
      </c>
      <c r="K29" s="284"/>
      <c r="L29" s="284"/>
      <c r="M29" s="290">
        <f>M18-SUM(M19:M28)</f>
        <v>0</v>
      </c>
      <c r="N29" s="216"/>
      <c r="O29" s="279">
        <v>2</v>
      </c>
      <c r="P29" s="276" t="s">
        <v>216</v>
      </c>
      <c r="Q29" s="277"/>
      <c r="R29" s="277"/>
      <c r="S29" s="281">
        <f>'[9]New KPI vs BP'!$BL$481</f>
        <v>0</v>
      </c>
      <c r="T29" s="216"/>
      <c r="U29" s="216"/>
      <c r="V29" s="216"/>
      <c r="W29" s="216"/>
      <c r="X29" s="216"/>
      <c r="Y29" s="216"/>
      <c r="Z29" s="216"/>
      <c r="AA29" s="216"/>
      <c r="AB29" s="216"/>
      <c r="AC29" s="216"/>
      <c r="AD29" s="216"/>
      <c r="AE29" s="216"/>
      <c r="AF29" s="216"/>
      <c r="AG29" s="216"/>
    </row>
    <row r="30" spans="2:33" ht="18">
      <c r="B30" s="216"/>
      <c r="C30" s="216"/>
      <c r="D30" s="298"/>
      <c r="E30" s="298"/>
      <c r="F30" s="298"/>
      <c r="G30" s="216"/>
      <c r="H30" s="216"/>
      <c r="I30" s="216"/>
      <c r="J30" s="216"/>
      <c r="K30" s="216"/>
      <c r="L30" s="216"/>
      <c r="M30" s="216"/>
      <c r="N30" s="216"/>
      <c r="O30" s="279">
        <v>3</v>
      </c>
      <c r="P30" s="276"/>
      <c r="Q30" s="277"/>
      <c r="R30" s="277"/>
      <c r="S30" s="281"/>
      <c r="T30" s="323"/>
      <c r="U30" s="216"/>
      <c r="V30" s="216"/>
      <c r="W30" s="216"/>
      <c r="X30" s="216"/>
      <c r="Y30" s="216"/>
      <c r="Z30" s="216"/>
      <c r="AA30" s="216"/>
      <c r="AB30" s="216"/>
      <c r="AC30" s="216"/>
      <c r="AD30" s="216"/>
      <c r="AE30" s="216"/>
      <c r="AF30" s="216"/>
      <c r="AG30" s="216"/>
    </row>
    <row r="31" spans="2:33" ht="20.25">
      <c r="B31" s="216"/>
      <c r="C31" s="295" t="s">
        <v>196</v>
      </c>
      <c r="D31" s="296">
        <f>'[9]P&amp;L vs BP'!$AG$18</f>
        <v>27297</v>
      </c>
      <c r="E31" s="296">
        <f>'[9]P&amp;L vs BP'!$H$18</f>
        <v>24834</v>
      </c>
      <c r="F31" s="296">
        <f>E31-D31</f>
        <v>-2463</v>
      </c>
      <c r="G31" s="216"/>
      <c r="H31" s="216"/>
      <c r="I31" s="216"/>
      <c r="J31" s="216"/>
      <c r="K31" s="216"/>
      <c r="L31" s="216"/>
      <c r="M31" s="216"/>
      <c r="N31" s="216"/>
      <c r="O31" s="279">
        <v>4</v>
      </c>
      <c r="P31" s="276"/>
      <c r="Q31" s="277"/>
      <c r="R31" s="277"/>
      <c r="S31" s="281"/>
      <c r="T31" s="216"/>
      <c r="U31" s="216"/>
      <c r="V31" s="216"/>
      <c r="W31" s="328"/>
      <c r="X31" s="216"/>
      <c r="Y31" s="216"/>
      <c r="Z31" s="216"/>
      <c r="AA31" s="216"/>
      <c r="AB31" s="216"/>
      <c r="AC31" s="216"/>
      <c r="AD31" s="216"/>
      <c r="AE31" s="216"/>
      <c r="AF31" s="216"/>
      <c r="AG31" s="216"/>
    </row>
    <row r="32" spans="2:33" ht="18">
      <c r="B32" s="216"/>
      <c r="C32" s="216"/>
      <c r="D32" s="216"/>
      <c r="E32" s="216"/>
      <c r="F32" s="216"/>
      <c r="G32" s="216"/>
      <c r="H32" s="216"/>
      <c r="I32" s="216"/>
      <c r="J32" s="216"/>
      <c r="K32" s="216"/>
      <c r="L32" s="216"/>
      <c r="M32" s="216"/>
      <c r="N32" s="216"/>
      <c r="O32" s="279">
        <v>5</v>
      </c>
      <c r="P32" s="276"/>
      <c r="Q32" s="277"/>
      <c r="R32" s="277"/>
      <c r="S32" s="281"/>
      <c r="T32" s="216"/>
      <c r="U32" s="216"/>
      <c r="V32" s="216"/>
      <c r="W32" s="216"/>
      <c r="X32" s="216"/>
      <c r="Y32" s="216"/>
      <c r="Z32" s="216"/>
      <c r="AA32" s="216"/>
      <c r="AB32" s="216"/>
      <c r="AC32" s="216"/>
      <c r="AD32" s="216"/>
      <c r="AE32" s="216"/>
      <c r="AF32" s="216"/>
      <c r="AG32" s="216"/>
    </row>
    <row r="33" spans="2:33" ht="18">
      <c r="B33" s="216"/>
      <c r="C33" s="216"/>
      <c r="D33" s="216"/>
      <c r="E33" s="216"/>
      <c r="F33" s="216"/>
      <c r="G33" t="s">
        <v>232</v>
      </c>
      <c r="J33" s="216"/>
      <c r="K33" s="216"/>
      <c r="L33" s="216"/>
      <c r="M33" s="216"/>
      <c r="N33" s="216"/>
      <c r="O33" s="279">
        <v>6</v>
      </c>
      <c r="P33" s="276"/>
      <c r="Q33" s="277"/>
      <c r="R33" s="277"/>
      <c r="S33" s="281"/>
      <c r="T33" s="216"/>
      <c r="U33" s="216"/>
      <c r="V33" s="216"/>
      <c r="W33" s="216"/>
      <c r="X33" s="216"/>
      <c r="Y33" s="216"/>
      <c r="Z33" s="216"/>
      <c r="AA33" s="216"/>
      <c r="AB33" s="216"/>
      <c r="AC33" s="216"/>
      <c r="AD33" s="216"/>
      <c r="AE33" s="216"/>
      <c r="AF33" s="216"/>
      <c r="AG33" s="216"/>
    </row>
    <row r="34" spans="2:33" ht="18">
      <c r="B34" s="216"/>
      <c r="C34" s="216"/>
      <c r="D34" s="216"/>
      <c r="E34" s="216"/>
      <c r="F34" s="216"/>
      <c r="G34" s="330">
        <v>1.2</v>
      </c>
      <c r="H34" s="216" t="s">
        <v>226</v>
      </c>
      <c r="I34" s="216"/>
      <c r="J34" s="216"/>
      <c r="K34" s="216"/>
      <c r="L34" s="216"/>
      <c r="M34" s="216"/>
      <c r="N34" s="216"/>
      <c r="O34" s="279">
        <v>7</v>
      </c>
      <c r="P34" s="276"/>
      <c r="Q34" s="277"/>
      <c r="R34" s="277"/>
      <c r="S34" s="281"/>
      <c r="T34" s="216"/>
      <c r="U34" s="216"/>
      <c r="V34" s="216"/>
      <c r="W34" s="216"/>
      <c r="X34" s="216"/>
      <c r="Y34" s="216"/>
      <c r="Z34" s="216"/>
      <c r="AA34" s="216"/>
      <c r="AB34" s="216"/>
      <c r="AC34" s="216"/>
      <c r="AD34" s="216"/>
      <c r="AE34" s="216"/>
      <c r="AF34" s="216"/>
      <c r="AG34" s="216"/>
    </row>
    <row r="35" spans="2:33" ht="18">
      <c r="B35" s="216"/>
      <c r="C35" s="216"/>
      <c r="D35" s="216"/>
      <c r="E35" s="216"/>
      <c r="F35" s="216"/>
      <c r="G35" s="314">
        <v>2</v>
      </c>
      <c r="H35" t="s">
        <v>228</v>
      </c>
      <c r="I35" s="216"/>
      <c r="J35" s="216"/>
      <c r="K35" s="216"/>
      <c r="L35" s="216"/>
      <c r="M35" s="216"/>
      <c r="N35" s="216"/>
      <c r="O35" s="279">
        <v>8</v>
      </c>
      <c r="P35" s="276"/>
      <c r="Q35" s="277"/>
      <c r="R35" s="277"/>
      <c r="S35" s="278"/>
      <c r="T35" s="216"/>
      <c r="U35" s="216"/>
      <c r="V35" s="216"/>
      <c r="W35" s="216"/>
      <c r="X35" s="216"/>
      <c r="Y35" s="216"/>
      <c r="Z35" s="216"/>
      <c r="AA35" s="216"/>
      <c r="AB35" s="216"/>
      <c r="AC35" s="216"/>
      <c r="AD35" s="216"/>
      <c r="AE35" s="216"/>
      <c r="AF35" s="216"/>
      <c r="AG35" s="216"/>
    </row>
    <row r="36" spans="2:33" ht="18">
      <c r="B36" s="216"/>
      <c r="C36" s="216"/>
      <c r="D36" s="216"/>
      <c r="E36" s="216"/>
      <c r="F36" s="216"/>
      <c r="G36">
        <v>-0.5</v>
      </c>
      <c r="H36" t="s">
        <v>236</v>
      </c>
      <c r="J36" s="216"/>
      <c r="K36" s="216"/>
      <c r="L36" s="216"/>
      <c r="M36" s="216"/>
      <c r="N36" s="216"/>
      <c r="O36" s="279">
        <v>9</v>
      </c>
      <c r="P36" s="276"/>
      <c r="Q36" s="277"/>
      <c r="R36" s="277"/>
      <c r="S36" s="278"/>
      <c r="T36" s="216"/>
      <c r="U36" s="216"/>
      <c r="V36" s="216"/>
      <c r="W36" s="216"/>
      <c r="X36" s="216"/>
      <c r="Y36" s="216"/>
      <c r="Z36" s="216"/>
      <c r="AA36" s="216"/>
      <c r="AB36" s="216"/>
      <c r="AC36" s="216"/>
      <c r="AD36" s="216"/>
      <c r="AE36" s="216"/>
      <c r="AF36" s="216"/>
      <c r="AG36" s="216"/>
    </row>
    <row r="37" spans="2:33" ht="18">
      <c r="B37" s="216"/>
      <c r="C37" s="216"/>
      <c r="D37" s="216"/>
      <c r="E37" s="216"/>
      <c r="F37" s="216"/>
      <c r="G37" s="330">
        <v>-3</v>
      </c>
      <c r="H37" s="216" t="s">
        <v>241</v>
      </c>
      <c r="J37" s="216"/>
      <c r="K37" s="216"/>
      <c r="L37" s="216"/>
      <c r="M37" s="216"/>
      <c r="N37" s="216"/>
      <c r="O37" s="288">
        <v>10</v>
      </c>
      <c r="P37" s="283" t="s">
        <v>182</v>
      </c>
      <c r="Q37" s="284"/>
      <c r="R37" s="284"/>
      <c r="S37" s="285">
        <f>S27-SUM(S28:S36)</f>
        <v>0</v>
      </c>
      <c r="T37" s="362" t="s">
        <v>195</v>
      </c>
      <c r="U37" s="363">
        <v>-7.0508539632565803</v>
      </c>
      <c r="V37" s="216"/>
      <c r="W37" s="216"/>
      <c r="X37" s="216"/>
      <c r="Y37" s="216"/>
      <c r="Z37" s="216"/>
      <c r="AA37" s="216"/>
      <c r="AB37" s="216"/>
      <c r="AC37" s="216"/>
      <c r="AD37" s="216"/>
      <c r="AE37" s="216"/>
      <c r="AF37" s="216"/>
      <c r="AG37" s="216"/>
    </row>
    <row r="38" spans="2:33">
      <c r="B38" s="216"/>
      <c r="C38" s="216"/>
      <c r="D38" s="216"/>
      <c r="E38" s="216"/>
      <c r="F38" s="216"/>
      <c r="G38" s="330">
        <v>1.2</v>
      </c>
      <c r="H38" s="216" t="s">
        <v>238</v>
      </c>
      <c r="J38" s="216"/>
      <c r="K38" s="216"/>
      <c r="L38" s="216"/>
      <c r="M38" s="216"/>
      <c r="N38" s="216"/>
      <c r="O38" s="216"/>
      <c r="P38" s="216"/>
      <c r="Q38" s="216"/>
      <c r="R38" s="216"/>
      <c r="S38" s="286"/>
      <c r="T38" s="216" t="s">
        <v>246</v>
      </c>
      <c r="U38" s="317">
        <v>-10.717271226065778</v>
      </c>
      <c r="V38" s="216"/>
      <c r="W38" s="216"/>
      <c r="X38" s="216"/>
      <c r="Y38" s="216"/>
      <c r="Z38" s="216"/>
      <c r="AA38" s="216"/>
      <c r="AB38" s="216"/>
      <c r="AC38" s="216"/>
      <c r="AD38" s="216"/>
      <c r="AE38" s="216"/>
      <c r="AF38" s="216"/>
      <c r="AG38" s="216"/>
    </row>
    <row r="39" spans="2:33">
      <c r="G39" s="330">
        <v>1.1000000000000001</v>
      </c>
      <c r="H39" s="216" t="s">
        <v>233</v>
      </c>
      <c r="S39" s="121">
        <f>S37-S38</f>
        <v>0</v>
      </c>
      <c r="T39" t="s">
        <v>249</v>
      </c>
      <c r="U39">
        <v>-0.27135879999999901</v>
      </c>
    </row>
    <row r="40" spans="2:33">
      <c r="T40" s="216" t="s">
        <v>223</v>
      </c>
      <c r="U40" s="317">
        <v>-10.268709806934474</v>
      </c>
    </row>
    <row r="41" spans="2:33">
      <c r="T41" s="372" t="s">
        <v>217</v>
      </c>
      <c r="U41" s="379">
        <f>'[9]New KPI vs BP'!$BL$483+'[9]New KPI vs BP'!$BL$512-O9</f>
        <v>0</v>
      </c>
    </row>
    <row r="43" spans="2:33">
      <c r="G43" s="330"/>
      <c r="H43" s="216"/>
    </row>
    <row r="45" spans="2:33">
      <c r="G45" s="330"/>
      <c r="H45" s="216"/>
      <c r="I45" s="216"/>
    </row>
    <row r="46" spans="2:33">
      <c r="G46" s="330"/>
      <c r="H46" s="216"/>
      <c r="I46" s="216"/>
    </row>
    <row r="47" spans="2:33">
      <c r="G47" s="216"/>
      <c r="H47" s="330"/>
    </row>
  </sheetData>
  <mergeCells count="12">
    <mergeCell ref="AG12:AG13"/>
    <mergeCell ref="B5:B6"/>
    <mergeCell ref="C5:C6"/>
    <mergeCell ref="B11:B13"/>
    <mergeCell ref="H12:H13"/>
    <mergeCell ref="O12:O13"/>
    <mergeCell ref="P12:P13"/>
    <mergeCell ref="Q12:Q13"/>
    <mergeCell ref="R12:R13"/>
    <mergeCell ref="S12:S13"/>
    <mergeCell ref="AD12:AD13"/>
    <mergeCell ref="AE12:AE13"/>
  </mergeCells>
  <pageMargins left="0.7" right="0.7" top="0.75" bottom="0.75" header="0.3" footer="0.3"/>
  <customProperties>
    <customPr name="_pios_id" r:id="rId1"/>
    <customPr name="EpmWorksheetKeyString_GUID" r:id="rId2"/>
  </customPropertie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CDF0B-2504-4402-8632-74AA268B8410}">
  <sheetPr>
    <tabColor theme="7" tint="0.79998168889431442"/>
  </sheetPr>
  <dimension ref="B1:AG48"/>
  <sheetViews>
    <sheetView showGridLines="0" zoomScale="40" zoomScaleNormal="40" workbookViewId="0">
      <selection activeCell="E28" sqref="E28"/>
    </sheetView>
  </sheetViews>
  <sheetFormatPr defaultRowHeight="15"/>
  <cols>
    <col min="2" max="2" width="11.140625" customWidth="1"/>
    <col min="3" max="3" width="12" bestFit="1" customWidth="1"/>
    <col min="4" max="4" width="15.5703125" customWidth="1"/>
    <col min="5" max="5" width="16.140625" customWidth="1"/>
    <col min="6" max="6" width="14.5703125" bestFit="1" customWidth="1"/>
    <col min="7" max="7" width="10.5703125" customWidth="1"/>
    <col min="9" max="9" width="10.5703125" bestFit="1" customWidth="1"/>
    <col min="10" max="10" width="13.85546875" customWidth="1"/>
    <col min="11" max="11" width="11.5703125" bestFit="1" customWidth="1"/>
    <col min="13" max="13" width="13.140625" customWidth="1"/>
    <col min="18" max="18" width="11.5703125" customWidth="1"/>
    <col min="20" max="20" width="10.42578125" customWidth="1"/>
    <col min="21" max="21" width="8.5703125" customWidth="1"/>
    <col min="23" max="23" width="10.5703125" customWidth="1"/>
    <col min="25" max="25" width="11" customWidth="1"/>
    <col min="26" max="26" width="10.42578125" bestFit="1" customWidth="1"/>
    <col min="28" max="28" width="11" customWidth="1"/>
    <col min="32" max="32" width="10.5703125" customWidth="1"/>
  </cols>
  <sheetData>
    <row r="1" spans="2:33" ht="28.5">
      <c r="B1" s="304" t="str">
        <f>'Summary month'!E2</f>
        <v>Apr</v>
      </c>
      <c r="C1" t="str">
        <f>VLOOKUP(B1,mapping!$A$2:$C$13,3,0)</f>
        <v>M01</v>
      </c>
    </row>
    <row r="3" spans="2:33" ht="28.5">
      <c r="B3" s="299" t="s">
        <v>202</v>
      </c>
    </row>
    <row r="4" spans="2:33" ht="18">
      <c r="B4" s="215"/>
      <c r="C4" s="216"/>
      <c r="D4" s="215"/>
      <c r="E4" s="216"/>
      <c r="F4" s="215"/>
      <c r="G4" s="217" t="s">
        <v>138</v>
      </c>
      <c r="H4" s="216"/>
      <c r="I4" s="216"/>
      <c r="J4" s="216"/>
      <c r="K4" s="216"/>
      <c r="L4" s="216"/>
      <c r="M4" s="216"/>
      <c r="N4" s="216"/>
      <c r="O4" s="216"/>
      <c r="P4" s="216"/>
      <c r="Q4" s="216"/>
      <c r="R4" s="216"/>
      <c r="S4" s="216"/>
      <c r="T4" s="216"/>
      <c r="U4" s="216"/>
      <c r="V4" s="216"/>
      <c r="W4" s="216"/>
      <c r="X4" s="216"/>
      <c r="Y4" s="216"/>
      <c r="Z4" s="216"/>
      <c r="AA4" s="216"/>
      <c r="AB4" s="216"/>
      <c r="AC4" s="216"/>
      <c r="AD4" s="216"/>
      <c r="AE4" s="216"/>
      <c r="AF4" s="216"/>
      <c r="AG4" s="216"/>
    </row>
    <row r="5" spans="2:33" ht="20.100000000000001" customHeight="1">
      <c r="B5" s="1014" t="s">
        <v>219</v>
      </c>
      <c r="C5" s="1014" t="s">
        <v>210</v>
      </c>
      <c r="D5" s="218"/>
      <c r="E5" s="219"/>
      <c r="F5" s="219"/>
      <c r="G5" s="220"/>
      <c r="H5" s="216"/>
      <c r="I5" s="216"/>
      <c r="J5" s="216"/>
      <c r="K5" s="216"/>
      <c r="L5" s="216"/>
      <c r="M5" s="216"/>
      <c r="N5" s="216"/>
      <c r="O5" s="221"/>
      <c r="P5" s="221"/>
      <c r="Q5" s="221"/>
      <c r="R5" s="216"/>
      <c r="S5" s="216"/>
      <c r="T5" s="216"/>
      <c r="U5" s="216"/>
      <c r="V5" s="221"/>
      <c r="W5" s="221"/>
      <c r="X5" s="221"/>
      <c r="Y5" s="221"/>
      <c r="Z5" s="221"/>
      <c r="AA5" s="221"/>
      <c r="AB5" s="221"/>
      <c r="AC5" s="221"/>
      <c r="AD5" s="221"/>
      <c r="AE5" s="221"/>
      <c r="AF5" s="221"/>
      <c r="AG5" s="221"/>
    </row>
    <row r="6" spans="2:33" ht="40.5">
      <c r="B6" s="1015"/>
      <c r="C6" s="1016"/>
      <c r="D6" s="222"/>
      <c r="E6" s="223" t="s">
        <v>154</v>
      </c>
      <c r="F6" s="224" t="s">
        <v>155</v>
      </c>
      <c r="G6" s="225" t="s">
        <v>156</v>
      </c>
      <c r="H6" s="216"/>
      <c r="I6" s="216" t="s">
        <v>208</v>
      </c>
      <c r="J6" s="216"/>
      <c r="K6" s="216"/>
      <c r="L6" s="216"/>
      <c r="M6" s="216"/>
      <c r="N6" s="216"/>
      <c r="O6" s="216"/>
      <c r="P6" s="216"/>
      <c r="Q6" s="216"/>
      <c r="R6" s="216"/>
      <c r="AG6" s="216"/>
    </row>
    <row r="7" spans="2:33" ht="20.25">
      <c r="B7" s="226">
        <f>'[9]New KPI vs BP'!$BQ$525</f>
        <v>0</v>
      </c>
      <c r="C7" s="226" t="e">
        <f>#REF!</f>
        <v>#REF!</v>
      </c>
      <c r="D7" s="227" t="e">
        <f>C7-B7</f>
        <v>#REF!</v>
      </c>
      <c r="E7" s="228">
        <f>'[9]New KPI vs BP'!$BT$525</f>
        <v>-57.209725357834117</v>
      </c>
      <c r="F7" s="228">
        <f>'[9]New KPI vs BP'!$BU$515+'[9]New KPI vs BP'!$BU$489</f>
        <v>111.46587897732675</v>
      </c>
      <c r="G7" s="229">
        <f>'[9]New KPI vs BP'!$BU$523+'[9]New KPI vs BP'!$BU$507</f>
        <v>-148.20570197732084</v>
      </c>
      <c r="H7" s="216"/>
      <c r="I7" s="286" t="e">
        <f>SUM(E7:G7)-D7</f>
        <v>#REF!</v>
      </c>
      <c r="J7" s="216"/>
      <c r="K7" s="216"/>
      <c r="L7" s="216"/>
      <c r="M7" s="216"/>
      <c r="N7" s="216"/>
      <c r="O7" s="230"/>
      <c r="P7" s="216"/>
      <c r="Q7" s="216"/>
      <c r="R7" s="216"/>
      <c r="AG7" s="230"/>
    </row>
    <row r="8" spans="2:33">
      <c r="B8" s="216"/>
      <c r="C8" s="216"/>
      <c r="D8" s="216"/>
      <c r="E8" s="216"/>
      <c r="F8" s="216"/>
      <c r="G8" s="216"/>
      <c r="H8" s="216"/>
      <c r="I8" s="216"/>
      <c r="J8" s="216"/>
      <c r="K8" s="216"/>
      <c r="L8" s="216"/>
      <c r="M8" s="216"/>
      <c r="N8" s="216" t="s">
        <v>53</v>
      </c>
      <c r="O8" s="315"/>
      <c r="P8" s="216"/>
      <c r="Q8" s="216"/>
      <c r="R8" s="216"/>
      <c r="AG8" s="216"/>
    </row>
    <row r="9" spans="2:33">
      <c r="B9" s="216"/>
      <c r="C9" s="216"/>
      <c r="D9" s="216"/>
      <c r="E9" s="216"/>
      <c r="F9" s="216"/>
      <c r="G9" s="216"/>
      <c r="H9" s="216"/>
      <c r="I9" s="216"/>
      <c r="J9" s="216"/>
      <c r="K9" s="216"/>
      <c r="L9" s="216"/>
      <c r="M9" s="216"/>
      <c r="N9" s="216" t="s">
        <v>54</v>
      </c>
      <c r="O9" s="317"/>
      <c r="P9" s="216"/>
      <c r="Q9" s="216"/>
      <c r="R9" s="216"/>
      <c r="V9" t="s">
        <v>193</v>
      </c>
      <c r="W9" s="317">
        <f>'[9]New KPI vs BP'!$BU$492+'[9]New KPI vs BP'!$BU$517</f>
        <v>-0.86222985299999999</v>
      </c>
      <c r="AG9" s="216"/>
    </row>
    <row r="10" spans="2:33" ht="21" thickBot="1">
      <c r="B10" s="231" t="s">
        <v>157</v>
      </c>
      <c r="C10" s="232"/>
      <c r="D10" s="232"/>
      <c r="E10" s="232"/>
      <c r="F10" s="232"/>
      <c r="G10" s="232"/>
      <c r="H10" s="232"/>
      <c r="I10" s="232"/>
      <c r="J10" s="232"/>
      <c r="K10" s="232"/>
      <c r="L10" s="232"/>
      <c r="M10" s="232"/>
      <c r="N10" s="232" t="s">
        <v>55</v>
      </c>
      <c r="O10" s="315"/>
      <c r="P10" s="232"/>
      <c r="Q10" s="232"/>
      <c r="R10" s="232"/>
      <c r="V10" t="s">
        <v>145</v>
      </c>
      <c r="W10" s="317">
        <f>'[9]New KPI vs BP'!$BU$494</f>
        <v>-0.81374722099999997</v>
      </c>
      <c r="AA10" t="s">
        <v>221</v>
      </c>
      <c r="AG10" s="217" t="s">
        <v>138</v>
      </c>
    </row>
    <row r="11" spans="2:33" ht="21" thickBot="1">
      <c r="B11" s="1034" t="s">
        <v>158</v>
      </c>
      <c r="C11" s="233" t="s">
        <v>159</v>
      </c>
      <c r="D11" s="234"/>
      <c r="E11" s="234"/>
      <c r="F11" s="234"/>
      <c r="G11" s="234"/>
      <c r="H11" s="234"/>
      <c r="I11" s="234"/>
      <c r="J11" s="234"/>
      <c r="K11" s="234"/>
      <c r="L11" s="234"/>
      <c r="M11" s="234"/>
      <c r="N11" s="234"/>
      <c r="O11" s="234"/>
      <c r="P11" s="234"/>
      <c r="Q11" s="234"/>
      <c r="R11" s="234"/>
      <c r="S11" s="235"/>
      <c r="T11" s="236" t="s">
        <v>160</v>
      </c>
      <c r="U11" s="237"/>
      <c r="V11" s="237"/>
      <c r="W11" s="237"/>
      <c r="X11" s="237"/>
      <c r="Y11" s="237"/>
      <c r="Z11" s="237"/>
      <c r="AA11" s="237"/>
      <c r="AB11" s="237"/>
      <c r="AC11" s="237"/>
      <c r="AD11" s="237"/>
      <c r="AE11" s="237"/>
      <c r="AF11" s="237"/>
      <c r="AG11" s="238"/>
    </row>
    <row r="12" spans="2:33" ht="20.100000000000001" customHeight="1">
      <c r="B12" s="1035"/>
      <c r="C12" s="239" t="s">
        <v>161</v>
      </c>
      <c r="D12" s="240"/>
      <c r="E12" s="240"/>
      <c r="F12" s="240"/>
      <c r="G12" s="241"/>
      <c r="H12" s="1017" t="s">
        <v>162</v>
      </c>
      <c r="I12" s="242" t="s">
        <v>163</v>
      </c>
      <c r="J12" s="243"/>
      <c r="K12" s="243"/>
      <c r="L12" s="243"/>
      <c r="M12" s="243"/>
      <c r="N12" s="244"/>
      <c r="O12" s="1019" t="s">
        <v>164</v>
      </c>
      <c r="P12" s="1019" t="s">
        <v>165</v>
      </c>
      <c r="Q12" s="1019" t="s">
        <v>166</v>
      </c>
      <c r="R12" s="1022" t="s">
        <v>167</v>
      </c>
      <c r="S12" s="1023" t="s">
        <v>168</v>
      </c>
      <c r="T12" s="245" t="s">
        <v>169</v>
      </c>
      <c r="U12" s="246"/>
      <c r="V12" s="246"/>
      <c r="W12" s="247"/>
      <c r="X12" s="248" t="s">
        <v>163</v>
      </c>
      <c r="Y12" s="246"/>
      <c r="Z12" s="246"/>
      <c r="AA12" s="246"/>
      <c r="AB12" s="246"/>
      <c r="AC12" s="247"/>
      <c r="AD12" s="1022" t="s">
        <v>166</v>
      </c>
      <c r="AE12" s="1025" t="s">
        <v>167</v>
      </c>
      <c r="AF12" s="311"/>
      <c r="AG12" s="1012" t="s">
        <v>168</v>
      </c>
    </row>
    <row r="13" spans="2:33" ht="77.45" customHeight="1">
      <c r="B13" s="1036"/>
      <c r="C13" s="249" t="s">
        <v>170</v>
      </c>
      <c r="D13" s="250" t="s">
        <v>171</v>
      </c>
      <c r="E13" s="250" t="s">
        <v>172</v>
      </c>
      <c r="F13" s="250" t="s">
        <v>173</v>
      </c>
      <c r="G13" s="251" t="s">
        <v>174</v>
      </c>
      <c r="H13" s="1018"/>
      <c r="I13" s="250" t="s">
        <v>175</v>
      </c>
      <c r="J13" s="250" t="s">
        <v>176</v>
      </c>
      <c r="K13" s="250" t="s">
        <v>177</v>
      </c>
      <c r="L13" s="250" t="s">
        <v>178</v>
      </c>
      <c r="M13" s="250" t="s">
        <v>168</v>
      </c>
      <c r="N13" s="250" t="s">
        <v>179</v>
      </c>
      <c r="O13" s="1020"/>
      <c r="P13" s="1021"/>
      <c r="Q13" s="1021"/>
      <c r="R13" s="1021"/>
      <c r="S13" s="1024"/>
      <c r="T13" s="307" t="s">
        <v>203</v>
      </c>
      <c r="U13" s="308" t="s">
        <v>180</v>
      </c>
      <c r="V13" s="309" t="s">
        <v>181</v>
      </c>
      <c r="W13" s="310" t="s">
        <v>33</v>
      </c>
      <c r="X13" s="305" t="s">
        <v>25</v>
      </c>
      <c r="Y13" s="306" t="s">
        <v>183</v>
      </c>
      <c r="Z13" s="306" t="s">
        <v>204</v>
      </c>
      <c r="AA13" s="306" t="s">
        <v>205</v>
      </c>
      <c r="AB13" s="306" t="s">
        <v>184</v>
      </c>
      <c r="AC13" s="306" t="s">
        <v>30</v>
      </c>
      <c r="AD13" s="1021"/>
      <c r="AE13" s="1026"/>
      <c r="AF13" s="312" t="s">
        <v>37</v>
      </c>
      <c r="AG13" s="1013"/>
    </row>
    <row r="14" spans="2:33" ht="21" thickBot="1">
      <c r="B14" s="252">
        <f>E7</f>
        <v>-57.209725357834117</v>
      </c>
      <c r="C14" s="253">
        <f>'[9]New KPI vs BP'!$BU$471+'[9]New KPI vs BP'!$BU$472+'[9]New KPI vs BP'!$BU$509-SUM(E14:G14)</f>
        <v>85.386489628000021</v>
      </c>
      <c r="D14" s="254">
        <f>'[9]New KPI vs BP'!$BU$479-O10</f>
        <v>2.3878566260000014</v>
      </c>
      <c r="E14" s="254"/>
      <c r="F14" s="254"/>
      <c r="G14" s="254"/>
      <c r="H14" s="254"/>
      <c r="I14" s="254"/>
      <c r="J14" s="255"/>
      <c r="K14" s="255">
        <f>'[9]New KPI vs BP'!$BU$478</f>
        <v>-26.193541956000001</v>
      </c>
      <c r="L14" s="255"/>
      <c r="M14" s="255">
        <f>'[9]New KPI vs BP'!$BU$482+'[9]New KPI vs BP'!$BU$511</f>
        <v>0.224354960320861</v>
      </c>
      <c r="N14" s="255"/>
      <c r="O14" s="254">
        <f>SUM(O8:O10)</f>
        <v>0</v>
      </c>
      <c r="P14" s="254"/>
      <c r="Q14" s="256"/>
      <c r="R14" s="254">
        <f>'[9]New KPI vs BP'!$BU$475</f>
        <v>28.103748226000004</v>
      </c>
      <c r="S14" s="257">
        <f>F7-SUM(C14:R14)</f>
        <v>21.556971493005875</v>
      </c>
      <c r="T14" s="253">
        <f>'[9]New KPI vs BP'!$BU$490+'[9]New KPI vs BP'!$BU$491+'[9]New KPI vs BP'!$BU$516-U14</f>
        <v>-51.391214087999998</v>
      </c>
      <c r="U14" s="258">
        <v>2.1249063800000001</v>
      </c>
      <c r="V14" s="258"/>
      <c r="W14" s="258">
        <f>'[9]New KPI vs BP'!$BU$517+'[9]New KPI vs BP'!$BU$492+'[9]New KPI vs BP'!$BU$494</f>
        <v>-1.675977074</v>
      </c>
      <c r="X14" s="258">
        <f>'[9]New KPI vs BP'!$BU$495</f>
        <v>-40.113484875999994</v>
      </c>
      <c r="Y14" s="258"/>
      <c r="Z14" s="258">
        <f>'[9]New KPI vs BP'!$BU$502</f>
        <v>-7.3511492660000002</v>
      </c>
      <c r="AA14" s="258">
        <f>'[9]New KPI vs BP'!$BR$437</f>
        <v>0</v>
      </c>
      <c r="AB14" s="258">
        <f>'[9]P&amp;L vs BP'!$AL$238-AA14+'[9]New KPI vs BP'!$BS$500</f>
        <v>-12.016036462000004</v>
      </c>
      <c r="AC14" s="258">
        <f>'[9]New KPI vs BP'!$BU$500+'[9]New KPI vs BP'!$BU$519-SUM(AA14:AB14)</f>
        <v>8.4827775986791423</v>
      </c>
      <c r="AD14" s="256"/>
      <c r="AE14" s="259"/>
      <c r="AF14" s="254">
        <f>'[9]New KPI vs BP'!$BU$518+'[9]New KPI vs BP'!$BU$496</f>
        <v>-46.265524189999994</v>
      </c>
      <c r="AG14" s="260">
        <f>G7-SUM(T14:AF14)</f>
        <v>0</v>
      </c>
    </row>
    <row r="15" spans="2:33" ht="18">
      <c r="B15" s="216"/>
      <c r="C15" s="261"/>
      <c r="D15" s="216"/>
      <c r="E15" s="216"/>
      <c r="F15" s="216"/>
      <c r="G15" s="216"/>
      <c r="H15" s="216"/>
      <c r="I15" s="216"/>
      <c r="J15" s="216"/>
      <c r="K15" s="216" t="s">
        <v>259</v>
      </c>
      <c r="L15" s="216" t="s">
        <v>258</v>
      </c>
      <c r="M15" s="216"/>
      <c r="N15" s="216"/>
      <c r="O15" s="216"/>
      <c r="P15" s="216"/>
      <c r="Q15" s="216"/>
      <c r="R15" s="323" t="s">
        <v>254</v>
      </c>
      <c r="S15" s="216"/>
      <c r="T15" s="216"/>
      <c r="U15" s="216"/>
      <c r="V15" s="216"/>
      <c r="W15" s="216"/>
      <c r="X15" s="216"/>
      <c r="Y15" s="216"/>
      <c r="Z15" s="216"/>
      <c r="AA15" s="216"/>
      <c r="AB15" s="216"/>
      <c r="AC15" s="216"/>
      <c r="AD15" s="216"/>
      <c r="AE15" s="216"/>
      <c r="AF15" s="216"/>
      <c r="AG15" s="216"/>
    </row>
    <row r="16" spans="2:33" ht="20.25">
      <c r="B16" s="221"/>
      <c r="C16" s="261"/>
      <c r="D16" s="262"/>
      <c r="E16" s="262"/>
      <c r="F16" s="262"/>
      <c r="G16" s="262"/>
      <c r="H16" s="262"/>
      <c r="I16" s="262"/>
      <c r="J16" s="262"/>
      <c r="K16" s="262" t="s">
        <v>257</v>
      </c>
      <c r="L16" s="262"/>
      <c r="M16" s="262"/>
      <c r="N16" s="262"/>
      <c r="O16" s="262"/>
      <c r="P16" s="262"/>
      <c r="Q16" s="262"/>
      <c r="R16" s="335" t="s">
        <v>256</v>
      </c>
      <c r="S16" s="221"/>
      <c r="T16" s="221"/>
      <c r="U16" s="221"/>
      <c r="V16" s="221"/>
      <c r="W16" s="263" t="s">
        <v>185</v>
      </c>
      <c r="X16" s="264"/>
      <c r="Y16" s="264"/>
      <c r="Z16" s="264"/>
      <c r="AA16" s="265">
        <f>AC14</f>
        <v>8.4827775986791423</v>
      </c>
      <c r="AB16" s="221"/>
      <c r="AC16" s="263" t="s">
        <v>186</v>
      </c>
      <c r="AD16" s="264"/>
      <c r="AE16" s="264"/>
      <c r="AF16" s="264"/>
      <c r="AG16" s="265">
        <f>AG14</f>
        <v>0</v>
      </c>
    </row>
    <row r="17" spans="2:33" ht="18">
      <c r="B17" s="216"/>
      <c r="C17" s="266"/>
      <c r="D17" s="267"/>
      <c r="E17" s="267"/>
      <c r="F17" s="267"/>
      <c r="G17" s="267"/>
      <c r="H17" s="267"/>
      <c r="I17" s="267"/>
      <c r="J17" s="267"/>
      <c r="K17" s="267"/>
      <c r="L17" s="267"/>
      <c r="M17" s="267"/>
      <c r="N17" s="267"/>
      <c r="O17" s="267"/>
      <c r="P17" s="267"/>
      <c r="Q17" s="267"/>
      <c r="R17" s="336" t="s">
        <v>242</v>
      </c>
      <c r="S17" s="216"/>
      <c r="T17" s="216"/>
      <c r="U17" s="216"/>
      <c r="V17" s="216"/>
      <c r="W17" s="268">
        <v>1</v>
      </c>
      <c r="X17" s="269"/>
      <c r="Y17" s="270"/>
      <c r="Z17" s="270"/>
      <c r="AA17" s="331"/>
      <c r="AB17" s="216"/>
      <c r="AC17" s="268">
        <v>1</v>
      </c>
      <c r="AD17" s="269"/>
      <c r="AE17" s="270"/>
      <c r="AF17" s="270"/>
      <c r="AG17" s="271"/>
    </row>
    <row r="18" spans="2:33" ht="20.25">
      <c r="B18" s="216"/>
      <c r="C18" s="272"/>
      <c r="D18" s="216"/>
      <c r="E18" s="216"/>
      <c r="F18" s="216"/>
      <c r="G18" s="216"/>
      <c r="H18" s="216"/>
      <c r="I18" s="273" t="s">
        <v>188</v>
      </c>
      <c r="J18" s="274"/>
      <c r="K18" s="274"/>
      <c r="L18" s="274"/>
      <c r="M18" s="275">
        <f>M14</f>
        <v>0.224354960320861</v>
      </c>
      <c r="N18" s="216"/>
      <c r="O18" s="216"/>
      <c r="P18" s="216"/>
      <c r="Q18" s="216"/>
      <c r="R18" s="323" t="s">
        <v>255</v>
      </c>
      <c r="S18" s="216"/>
      <c r="T18" s="216"/>
      <c r="U18" s="216"/>
      <c r="V18" s="216"/>
      <c r="W18" s="268">
        <v>2</v>
      </c>
      <c r="X18" s="276"/>
      <c r="Y18" s="277"/>
      <c r="Z18" s="277"/>
      <c r="AA18" s="278"/>
      <c r="AB18" s="216"/>
      <c r="AC18" s="268">
        <v>2</v>
      </c>
      <c r="AD18" s="276"/>
      <c r="AE18" s="277"/>
      <c r="AF18" s="277"/>
      <c r="AG18" s="278"/>
    </row>
    <row r="19" spans="2:33" ht="18">
      <c r="B19" s="216"/>
      <c r="C19" s="272"/>
      <c r="D19" s="216"/>
      <c r="E19" s="216"/>
      <c r="F19" s="216"/>
      <c r="G19" s="216"/>
      <c r="H19" s="216"/>
      <c r="I19" s="279">
        <v>1</v>
      </c>
      <c r="J19" s="269"/>
      <c r="K19" s="270"/>
      <c r="L19" s="270"/>
      <c r="M19" s="280"/>
      <c r="N19" s="323"/>
      <c r="O19" s="216"/>
      <c r="P19" s="216"/>
      <c r="Q19" s="216"/>
      <c r="S19" s="216"/>
      <c r="T19" s="216"/>
      <c r="U19" s="216"/>
      <c r="V19" s="216"/>
      <c r="W19" s="268">
        <v>3</v>
      </c>
      <c r="X19" s="276"/>
      <c r="Y19" s="277"/>
      <c r="Z19" s="277"/>
      <c r="AA19" s="278"/>
      <c r="AB19" s="216"/>
      <c r="AC19" s="268">
        <v>3</v>
      </c>
      <c r="AD19" s="276"/>
      <c r="AE19" s="277"/>
      <c r="AF19" s="277"/>
      <c r="AG19" s="278"/>
    </row>
    <row r="20" spans="2:33" ht="18">
      <c r="B20" s="216"/>
      <c r="C20" s="272"/>
      <c r="D20" s="216"/>
      <c r="E20" s="216"/>
      <c r="F20" s="216"/>
      <c r="G20" s="216"/>
      <c r="H20" s="216"/>
      <c r="I20" s="279">
        <v>2</v>
      </c>
      <c r="J20" s="276"/>
      <c r="K20" s="277"/>
      <c r="L20" s="277"/>
      <c r="M20" s="281"/>
      <c r="N20" s="216"/>
      <c r="O20" s="216"/>
      <c r="P20" s="216"/>
      <c r="Q20" s="216"/>
      <c r="R20" s="216"/>
      <c r="S20" s="216"/>
      <c r="T20" s="216"/>
      <c r="U20" s="216"/>
      <c r="V20" s="216"/>
      <c r="W20" s="268">
        <v>4</v>
      </c>
      <c r="X20" s="276"/>
      <c r="Y20" s="277"/>
      <c r="Z20" s="277"/>
      <c r="AA20" s="278"/>
      <c r="AB20" s="216"/>
      <c r="AC20" s="268">
        <v>4</v>
      </c>
      <c r="AD20" s="276"/>
      <c r="AE20" s="277"/>
      <c r="AF20" s="277"/>
      <c r="AG20" s="278"/>
    </row>
    <row r="21" spans="2:33" ht="18">
      <c r="B21" s="216"/>
      <c r="C21" s="272"/>
      <c r="D21" s="216"/>
      <c r="E21" s="216"/>
      <c r="F21" s="216"/>
      <c r="G21" s="216"/>
      <c r="H21" s="216"/>
      <c r="I21" s="279">
        <v>3</v>
      </c>
      <c r="J21" s="276"/>
      <c r="K21" s="277"/>
      <c r="L21" s="277"/>
      <c r="M21" s="281"/>
      <c r="N21" s="216"/>
      <c r="O21" s="216"/>
      <c r="P21" s="216"/>
      <c r="Q21" s="216"/>
      <c r="R21" s="216"/>
      <c r="S21" s="216"/>
      <c r="T21" s="216"/>
      <c r="U21" s="216"/>
      <c r="V21" s="216"/>
      <c r="W21" s="282">
        <v>5</v>
      </c>
      <c r="X21" s="283" t="s">
        <v>182</v>
      </c>
      <c r="Y21" s="284"/>
      <c r="Z21" s="284"/>
      <c r="AA21" s="285">
        <f>AA16-SUM(AA17:AA20)</f>
        <v>8.4827775986791423</v>
      </c>
      <c r="AB21" s="216"/>
      <c r="AC21" s="282">
        <v>5</v>
      </c>
      <c r="AD21" s="283" t="s">
        <v>182</v>
      </c>
      <c r="AE21" s="284"/>
      <c r="AF21" s="284"/>
      <c r="AG21" s="285">
        <f>AG16-SUM(AG17:AG20)</f>
        <v>0</v>
      </c>
    </row>
    <row r="22" spans="2:33" ht="18">
      <c r="B22" s="216"/>
      <c r="C22" s="216"/>
      <c r="D22" s="272"/>
      <c r="E22" s="272"/>
      <c r="F22" s="272"/>
      <c r="G22" s="272"/>
      <c r="H22" s="272"/>
      <c r="I22" s="279">
        <v>4</v>
      </c>
      <c r="J22" s="276"/>
      <c r="K22" s="277"/>
      <c r="L22" s="277"/>
      <c r="M22" s="281"/>
      <c r="N22" s="216"/>
      <c r="O22" s="216"/>
      <c r="P22" s="272"/>
      <c r="Q22" s="272"/>
      <c r="R22" s="216"/>
      <c r="S22" s="216"/>
      <c r="T22" s="216"/>
      <c r="U22" s="216"/>
      <c r="V22" s="216"/>
      <c r="W22" s="216"/>
      <c r="X22" s="216"/>
      <c r="Y22" s="216"/>
      <c r="Z22" s="216"/>
      <c r="AA22" s="337"/>
      <c r="AB22" s="374"/>
      <c r="AC22" s="216"/>
      <c r="AD22" s="216"/>
      <c r="AE22" s="216"/>
      <c r="AF22" s="287"/>
      <c r="AG22" s="286"/>
    </row>
    <row r="23" spans="2:33" ht="18">
      <c r="B23" s="216"/>
      <c r="C23" s="272"/>
      <c r="D23" s="216"/>
      <c r="E23" s="216"/>
      <c r="F23" s="216"/>
      <c r="G23" s="216"/>
      <c r="H23" s="216"/>
      <c r="I23" s="279">
        <v>5</v>
      </c>
      <c r="J23" s="276"/>
      <c r="K23" s="277"/>
      <c r="L23" s="277"/>
      <c r="M23" s="281"/>
      <c r="O23" s="216"/>
      <c r="P23" s="216"/>
      <c r="Q23" s="216"/>
      <c r="R23" s="216"/>
      <c r="S23" s="216"/>
      <c r="T23" s="216"/>
      <c r="U23" s="216"/>
      <c r="V23" s="216"/>
      <c r="W23" s="374"/>
      <c r="X23" s="374"/>
      <c r="Y23" s="216"/>
      <c r="Z23" s="216"/>
      <c r="AA23" s="374"/>
      <c r="AB23" s="374"/>
      <c r="AC23" s="216"/>
      <c r="AD23" s="216"/>
      <c r="AE23" s="216"/>
      <c r="AF23" s="216"/>
      <c r="AG23" s="216"/>
    </row>
    <row r="24" spans="2:33" ht="18">
      <c r="B24" s="216"/>
      <c r="C24" s="272"/>
      <c r="D24" s="216"/>
      <c r="E24" s="216"/>
      <c r="F24" s="216"/>
      <c r="G24" s="216"/>
      <c r="H24" s="216"/>
      <c r="I24" s="279">
        <v>6</v>
      </c>
      <c r="J24" s="276"/>
      <c r="K24" s="277"/>
      <c r="L24" s="277"/>
      <c r="M24" s="281"/>
      <c r="O24" s="216"/>
      <c r="P24" s="216"/>
      <c r="Q24" s="216"/>
      <c r="R24" s="216"/>
      <c r="S24" s="216"/>
      <c r="T24" s="216"/>
      <c r="U24" s="216"/>
      <c r="V24" s="216"/>
      <c r="Y24" s="216"/>
      <c r="Z24" s="216"/>
      <c r="AA24" s="374"/>
      <c r="AB24" s="374"/>
      <c r="AC24" s="216"/>
      <c r="AD24" s="216"/>
      <c r="AE24" s="216"/>
      <c r="AF24" s="216"/>
      <c r="AG24" s="216"/>
    </row>
    <row r="25" spans="2:33" ht="18">
      <c r="B25" s="216"/>
      <c r="C25" s="272"/>
      <c r="D25" s="272"/>
      <c r="E25" s="216"/>
      <c r="F25" s="216"/>
      <c r="G25" s="216"/>
      <c r="H25" s="216"/>
      <c r="I25" s="279">
        <v>5</v>
      </c>
      <c r="J25" s="276"/>
      <c r="K25" s="277"/>
      <c r="L25" s="277"/>
      <c r="M25" s="281"/>
      <c r="O25" s="216"/>
      <c r="P25" s="216"/>
      <c r="Q25" s="216"/>
      <c r="R25" s="216"/>
      <c r="S25" s="216"/>
      <c r="T25" s="216"/>
      <c r="U25" s="216"/>
      <c r="V25" s="216"/>
      <c r="W25" s="374"/>
      <c r="X25" s="374"/>
      <c r="Y25" s="216"/>
      <c r="Z25" s="216"/>
      <c r="AA25" s="374"/>
      <c r="AB25" s="374"/>
      <c r="AC25" s="216"/>
      <c r="AD25" s="216"/>
      <c r="AE25" s="216"/>
      <c r="AF25" s="216"/>
      <c r="AG25" s="216"/>
    </row>
    <row r="26" spans="2:33" ht="18">
      <c r="B26" s="216"/>
      <c r="C26" s="291"/>
      <c r="D26" s="216"/>
      <c r="E26" s="216"/>
      <c r="F26" s="292" t="s">
        <v>189</v>
      </c>
      <c r="G26" s="216"/>
      <c r="H26" s="216"/>
      <c r="I26" s="279">
        <v>6</v>
      </c>
      <c r="J26" s="276"/>
      <c r="K26" s="277"/>
      <c r="L26" s="277"/>
      <c r="M26" s="281"/>
      <c r="N26" s="216" t="s">
        <v>248</v>
      </c>
      <c r="O26" s="216"/>
      <c r="P26" s="216"/>
      <c r="Q26" s="216"/>
      <c r="R26" s="216"/>
      <c r="S26" s="216"/>
      <c r="T26" s="216"/>
      <c r="U26" s="216"/>
      <c r="V26" s="216"/>
      <c r="W26" s="375"/>
      <c r="X26" s="374"/>
      <c r="Y26" s="216"/>
      <c r="Z26" s="216"/>
      <c r="AA26" s="374"/>
      <c r="AB26" s="374"/>
      <c r="AC26" s="216"/>
      <c r="AD26" s="216"/>
      <c r="AE26" s="216"/>
      <c r="AF26" s="216"/>
      <c r="AG26" s="216"/>
    </row>
    <row r="27" spans="2:33" ht="20.25">
      <c r="B27" s="216"/>
      <c r="C27" s="216"/>
      <c r="D27" s="293" t="s">
        <v>218</v>
      </c>
      <c r="E27" s="293" t="s">
        <v>261</v>
      </c>
      <c r="F27" s="293" t="s">
        <v>190</v>
      </c>
      <c r="G27" s="216"/>
      <c r="H27" s="216"/>
      <c r="I27" s="279">
        <v>7</v>
      </c>
      <c r="J27" s="276"/>
      <c r="K27" s="277"/>
      <c r="L27" s="277"/>
      <c r="M27" s="281"/>
      <c r="O27" s="273" t="s">
        <v>191</v>
      </c>
      <c r="P27" s="274"/>
      <c r="Q27" s="274"/>
      <c r="R27" s="274"/>
      <c r="S27" s="294">
        <f>S14</f>
        <v>21.556971493005875</v>
      </c>
      <c r="T27" s="272"/>
      <c r="U27" s="272"/>
      <c r="V27" s="272"/>
      <c r="W27" s="374"/>
      <c r="Y27" s="216"/>
      <c r="Z27" s="216"/>
      <c r="AA27" s="216"/>
      <c r="AB27" s="216"/>
      <c r="AC27" s="216"/>
      <c r="AD27" s="216"/>
      <c r="AE27" s="216"/>
      <c r="AF27" s="216"/>
      <c r="AG27" s="216"/>
    </row>
    <row r="28" spans="2:33" ht="20.25">
      <c r="B28" s="216"/>
      <c r="C28" s="295" t="s">
        <v>192</v>
      </c>
      <c r="D28" s="296">
        <f>'[9]P&amp;L vs BP'!$AK$24</f>
        <v>371984</v>
      </c>
      <c r="E28" s="296">
        <f>'[9]P&amp;L vs BP'!$AJ$24</f>
        <v>364903</v>
      </c>
      <c r="F28" s="296">
        <f>E28-D28</f>
        <v>-7081</v>
      </c>
      <c r="G28" s="216"/>
      <c r="H28" s="216"/>
      <c r="I28" s="279">
        <v>9</v>
      </c>
      <c r="J28" s="276" t="s">
        <v>260</v>
      </c>
      <c r="K28" s="277"/>
      <c r="L28" s="277"/>
      <c r="M28" s="281">
        <f>'[9]New KPI vs BP'!$BU$482+'[9]New KPI vs BP'!$BU$511</f>
        <v>0.224354960320861</v>
      </c>
      <c r="O28" s="279">
        <v>1</v>
      </c>
      <c r="P28" s="269" t="s">
        <v>193</v>
      </c>
      <c r="Q28" s="270"/>
      <c r="R28" s="270"/>
      <c r="S28" s="280">
        <f>'[9]New KPI vs BP'!$BU$510+'[9]New KPI vs BP'!$BU$473</f>
        <v>4.5535817710000011</v>
      </c>
      <c r="T28" s="216"/>
      <c r="U28" s="216"/>
      <c r="V28" s="216"/>
      <c r="W28" s="297"/>
      <c r="X28" s="216"/>
      <c r="Y28" s="216"/>
      <c r="Z28" s="216"/>
      <c r="AA28" s="216"/>
      <c r="AB28" s="216"/>
      <c r="AC28" s="216"/>
      <c r="AD28" s="216"/>
      <c r="AE28" s="216"/>
      <c r="AF28" s="216"/>
      <c r="AG28" s="216"/>
    </row>
    <row r="29" spans="2:33" ht="20.25">
      <c r="B29" s="216"/>
      <c r="C29" s="295" t="s">
        <v>194</v>
      </c>
      <c r="D29" s="296">
        <f>'[9]P&amp;L vs BP'!$AK$27</f>
        <v>12970</v>
      </c>
      <c r="E29" s="296">
        <f>'[9]P&amp;L vs BP'!$AJ$27</f>
        <v>12769</v>
      </c>
      <c r="F29" s="296">
        <f>E29-D29</f>
        <v>-201</v>
      </c>
      <c r="G29" s="216" t="s">
        <v>253</v>
      </c>
      <c r="H29" s="216"/>
      <c r="I29" s="288">
        <v>10</v>
      </c>
      <c r="J29" s="289" t="s">
        <v>182</v>
      </c>
      <c r="K29" s="284"/>
      <c r="L29" s="284"/>
      <c r="M29" s="290">
        <f>M18-SUM(M19:M28)</f>
        <v>0</v>
      </c>
      <c r="O29" s="279">
        <v>2</v>
      </c>
      <c r="P29" s="276" t="s">
        <v>216</v>
      </c>
      <c r="Q29" s="277"/>
      <c r="R29" s="277"/>
      <c r="S29" s="281">
        <f>'[9]New KPI vs BP'!$BU$481</f>
        <v>0</v>
      </c>
      <c r="T29" s="216"/>
      <c r="U29" s="216"/>
      <c r="V29" s="216"/>
      <c r="W29" s="216"/>
      <c r="X29" s="216"/>
      <c r="Y29" s="216"/>
      <c r="Z29" s="216"/>
      <c r="AA29" s="216"/>
      <c r="AB29" s="216"/>
      <c r="AC29" s="216"/>
      <c r="AD29" s="216"/>
      <c r="AE29" s="216"/>
      <c r="AF29" s="216"/>
      <c r="AG29" s="216"/>
    </row>
    <row r="30" spans="2:33" ht="18">
      <c r="B30" s="216"/>
      <c r="C30" s="216"/>
      <c r="D30" s="298"/>
      <c r="E30" s="298"/>
      <c r="F30" s="298"/>
      <c r="G30" s="216"/>
      <c r="H30" s="216"/>
      <c r="O30" s="279">
        <v>3</v>
      </c>
      <c r="P30" s="276" t="s">
        <v>217</v>
      </c>
      <c r="Q30" s="277"/>
      <c r="R30" s="277"/>
      <c r="S30" s="281">
        <f>'[9]New KPI vs BP'!$BU$483+'[9]New KPI vs BP'!$BU$512-O9</f>
        <v>-11.112045644999998</v>
      </c>
      <c r="T30" s="323"/>
      <c r="U30" s="216"/>
      <c r="V30" s="216"/>
      <c r="W30" s="216"/>
      <c r="X30" s="216"/>
      <c r="Y30" s="216"/>
      <c r="Z30" s="216"/>
      <c r="AA30" s="216"/>
      <c r="AB30" s="216"/>
      <c r="AC30" s="216"/>
      <c r="AD30" s="216"/>
      <c r="AE30" s="216"/>
      <c r="AF30" s="216"/>
      <c r="AG30" s="216"/>
    </row>
    <row r="31" spans="2:33" ht="20.25">
      <c r="B31" s="216"/>
      <c r="C31" s="295" t="s">
        <v>196</v>
      </c>
      <c r="D31" s="296">
        <f>'[9]P&amp;L vs BP'!$AK$18</f>
        <v>279891</v>
      </c>
      <c r="E31" s="296">
        <f>'[9]P&amp;L vs BP'!$AJ$18</f>
        <v>276239</v>
      </c>
      <c r="F31" s="296">
        <f>E31-D31</f>
        <v>-3652</v>
      </c>
      <c r="G31" s="216"/>
      <c r="H31" s="216"/>
      <c r="M31" s="366"/>
      <c r="N31" s="216"/>
      <c r="O31" s="279">
        <v>4</v>
      </c>
      <c r="P31" s="276"/>
      <c r="Q31" s="277"/>
      <c r="R31" s="277"/>
      <c r="S31" s="281"/>
      <c r="T31" s="216"/>
      <c r="U31" s="322"/>
      <c r="V31" s="216"/>
      <c r="W31" s="216"/>
      <c r="X31" s="216"/>
      <c r="Y31" s="216"/>
      <c r="Z31" s="216"/>
      <c r="AA31" s="216"/>
      <c r="AB31" s="216"/>
      <c r="AC31" s="216"/>
      <c r="AD31" s="216"/>
      <c r="AE31" s="216"/>
      <c r="AF31" s="216"/>
      <c r="AG31" s="216"/>
    </row>
    <row r="32" spans="2:33" ht="18">
      <c r="B32" s="216"/>
      <c r="C32" s="216"/>
      <c r="D32" s="216"/>
      <c r="E32" s="216"/>
      <c r="F32" s="216"/>
      <c r="J32" s="216"/>
      <c r="K32" s="216"/>
      <c r="L32" s="216"/>
      <c r="M32" s="216"/>
      <c r="N32" s="216"/>
      <c r="O32" s="279">
        <v>5</v>
      </c>
      <c r="P32" s="276"/>
      <c r="Q32" s="277"/>
      <c r="R32" s="277"/>
      <c r="S32" s="281"/>
      <c r="T32" s="216"/>
      <c r="U32" s="216"/>
      <c r="V32" s="216"/>
      <c r="W32" s="216"/>
      <c r="X32" s="216"/>
      <c r="Y32" s="216"/>
      <c r="Z32" s="216"/>
      <c r="AA32" s="216"/>
      <c r="AB32" s="216"/>
      <c r="AC32" s="216"/>
      <c r="AD32" s="216"/>
      <c r="AE32" s="216"/>
      <c r="AF32" s="216"/>
      <c r="AG32" s="216"/>
    </row>
    <row r="33" spans="2:33" ht="18">
      <c r="B33" s="216"/>
      <c r="C33" s="216"/>
      <c r="D33" s="216"/>
      <c r="E33" s="216"/>
      <c r="F33" s="216"/>
      <c r="G33" t="s">
        <v>232</v>
      </c>
      <c r="J33" s="216"/>
      <c r="K33" s="216"/>
      <c r="L33" s="216"/>
      <c r="M33" s="216"/>
      <c r="N33" s="216"/>
      <c r="O33" s="279">
        <v>6</v>
      </c>
      <c r="P33" s="276"/>
      <c r="Q33" s="277"/>
      <c r="R33" s="277"/>
      <c r="S33" s="281"/>
      <c r="T33" s="216"/>
      <c r="U33" s="216"/>
      <c r="V33" s="216"/>
      <c r="W33" s="216"/>
      <c r="X33" s="216"/>
      <c r="Y33" s="216"/>
      <c r="Z33" s="216"/>
      <c r="AA33" s="216"/>
      <c r="AB33" s="216"/>
      <c r="AC33" s="216"/>
      <c r="AD33" s="216"/>
      <c r="AE33" s="216"/>
      <c r="AF33" s="216"/>
      <c r="AG33" s="216"/>
    </row>
    <row r="34" spans="2:33" ht="18">
      <c r="B34" s="216"/>
      <c r="C34" s="216"/>
      <c r="D34" s="216"/>
      <c r="E34" s="216"/>
      <c r="F34" s="216"/>
      <c r="G34" s="216">
        <v>60</v>
      </c>
      <c r="H34" s="216" t="s">
        <v>226</v>
      </c>
      <c r="I34" s="216"/>
      <c r="J34" s="216"/>
      <c r="K34" s="216"/>
      <c r="L34" s="216"/>
      <c r="M34" s="216"/>
      <c r="N34" s="216"/>
      <c r="O34" s="279">
        <v>7</v>
      </c>
      <c r="P34" s="276"/>
      <c r="Q34" s="277"/>
      <c r="R34" s="277"/>
      <c r="S34" s="281"/>
      <c r="T34" s="216"/>
      <c r="U34" s="216"/>
      <c r="V34" s="216"/>
      <c r="W34" s="216"/>
      <c r="X34" s="216"/>
      <c r="Y34" s="216"/>
      <c r="Z34" s="216"/>
      <c r="AA34" s="216"/>
      <c r="AB34" s="216"/>
      <c r="AC34" s="216"/>
      <c r="AD34" s="216"/>
      <c r="AE34" s="216"/>
      <c r="AF34" s="216"/>
      <c r="AG34" s="216"/>
    </row>
    <row r="35" spans="2:33" ht="18">
      <c r="B35" s="216"/>
      <c r="C35" s="216"/>
      <c r="D35" s="216"/>
      <c r="E35" s="216"/>
      <c r="F35" s="216"/>
      <c r="G35">
        <v>-5</v>
      </c>
      <c r="H35" t="s">
        <v>227</v>
      </c>
      <c r="I35" s="216"/>
      <c r="J35" s="216"/>
      <c r="K35" s="216"/>
      <c r="L35" s="216"/>
      <c r="M35" s="216"/>
      <c r="N35" s="216"/>
      <c r="O35" s="279">
        <v>8</v>
      </c>
      <c r="P35" s="276"/>
      <c r="Q35" s="277"/>
      <c r="R35" s="277"/>
      <c r="S35" s="278"/>
      <c r="T35" s="216"/>
      <c r="U35" s="216"/>
      <c r="V35" s="216"/>
      <c r="W35" s="216"/>
      <c r="X35" s="216"/>
      <c r="Y35" s="216"/>
      <c r="Z35" s="216"/>
      <c r="AA35" s="216"/>
      <c r="AB35" s="216"/>
      <c r="AC35" s="216"/>
      <c r="AD35" s="216"/>
      <c r="AE35" s="216"/>
      <c r="AF35" s="216"/>
      <c r="AG35" s="216"/>
    </row>
    <row r="36" spans="2:33" ht="18">
      <c r="B36" s="216"/>
      <c r="C36" s="216"/>
      <c r="D36" s="216"/>
      <c r="E36" s="216"/>
      <c r="F36" s="216"/>
      <c r="G36">
        <v>6</v>
      </c>
      <c r="H36" t="s">
        <v>228</v>
      </c>
      <c r="J36" s="216"/>
      <c r="K36" s="216"/>
      <c r="L36" s="216"/>
      <c r="M36" s="216"/>
      <c r="N36" s="216"/>
      <c r="O36" s="279">
        <v>9</v>
      </c>
      <c r="P36" s="276"/>
      <c r="Q36" s="277"/>
      <c r="R36" s="277"/>
      <c r="S36" s="278"/>
      <c r="T36" s="216"/>
      <c r="U36" s="216"/>
      <c r="V36" s="216"/>
      <c r="W36" s="216"/>
      <c r="X36" s="216"/>
      <c r="Y36" s="216"/>
      <c r="Z36" s="216"/>
      <c r="AA36" s="216"/>
      <c r="AB36" s="216"/>
      <c r="AC36" s="216"/>
      <c r="AD36" s="216"/>
      <c r="AE36" s="216"/>
      <c r="AF36" s="216"/>
      <c r="AG36" s="216"/>
    </row>
    <row r="37" spans="2:33" ht="18">
      <c r="B37" s="216"/>
      <c r="C37" s="216"/>
      <c r="D37" s="216"/>
      <c r="E37" s="216"/>
      <c r="F37" s="216"/>
      <c r="G37">
        <v>-3</v>
      </c>
      <c r="H37" t="s">
        <v>236</v>
      </c>
      <c r="J37" s="216"/>
      <c r="K37" s="216"/>
      <c r="L37" s="216"/>
      <c r="M37" s="216"/>
      <c r="N37" s="216"/>
      <c r="O37" s="288">
        <v>10</v>
      </c>
      <c r="P37" s="283" t="s">
        <v>182</v>
      </c>
      <c r="Q37" s="284"/>
      <c r="R37" s="284"/>
      <c r="S37" s="285">
        <f>S27-SUM(S28:S36)</f>
        <v>28.115435367005873</v>
      </c>
      <c r="T37" s="216" t="s">
        <v>249</v>
      </c>
      <c r="U37">
        <v>-6.4074951999999588</v>
      </c>
      <c r="V37" s="216"/>
      <c r="W37" s="216"/>
      <c r="X37" s="216"/>
      <c r="Y37" s="314"/>
      <c r="Z37" s="216"/>
      <c r="AA37" s="216"/>
      <c r="AB37" s="216"/>
      <c r="AC37" s="216"/>
      <c r="AD37" s="216"/>
      <c r="AE37" s="216"/>
      <c r="AF37" s="216"/>
      <c r="AG37" s="216"/>
    </row>
    <row r="38" spans="2:33">
      <c r="B38" s="216"/>
      <c r="C38" s="216"/>
      <c r="D38" s="216"/>
      <c r="E38" s="216"/>
      <c r="F38" s="216"/>
      <c r="G38" s="216">
        <v>-17</v>
      </c>
      <c r="H38" s="216" t="s">
        <v>230</v>
      </c>
      <c r="I38" s="216"/>
      <c r="J38" s="216"/>
      <c r="K38" s="216"/>
      <c r="L38" s="216"/>
      <c r="M38" s="216"/>
      <c r="N38" s="216"/>
      <c r="O38" s="216"/>
      <c r="P38" s="216"/>
      <c r="Q38" s="216"/>
      <c r="R38" s="216"/>
      <c r="S38" s="286">
        <v>12.670632480631024</v>
      </c>
      <c r="T38" s="216" t="s">
        <v>240</v>
      </c>
      <c r="U38">
        <v>1.0130768900000002</v>
      </c>
      <c r="V38" s="216"/>
      <c r="W38" s="216"/>
      <c r="X38" s="216"/>
      <c r="Y38" s="314"/>
      <c r="Z38" s="216"/>
      <c r="AA38" s="216"/>
      <c r="AB38" s="216"/>
      <c r="AC38" s="216"/>
      <c r="AD38" s="216"/>
      <c r="AE38" s="216"/>
      <c r="AF38" s="216"/>
      <c r="AG38" s="216"/>
    </row>
    <row r="39" spans="2:33">
      <c r="G39" s="216">
        <v>-21</v>
      </c>
      <c r="H39" s="216" t="s">
        <v>227</v>
      </c>
      <c r="I39" s="216" t="s">
        <v>229</v>
      </c>
      <c r="S39" s="318">
        <f>S37-S38</f>
        <v>15.444802886374848</v>
      </c>
      <c r="T39" t="s">
        <v>250</v>
      </c>
      <c r="U39">
        <v>-1.29471308</v>
      </c>
      <c r="Y39" s="314"/>
    </row>
    <row r="40" spans="2:33">
      <c r="G40" s="216">
        <v>-20</v>
      </c>
      <c r="H40" s="216" t="s">
        <v>231</v>
      </c>
      <c r="I40" s="216" t="s">
        <v>229</v>
      </c>
      <c r="T40" s="216" t="s">
        <v>223</v>
      </c>
      <c r="U40">
        <v>19.490667891764687</v>
      </c>
      <c r="X40" s="216"/>
      <c r="Y40" s="314"/>
    </row>
    <row r="41" spans="2:33">
      <c r="G41" s="216">
        <v>-2</v>
      </c>
      <c r="H41" s="216" t="s">
        <v>237</v>
      </c>
      <c r="I41" s="216" t="s">
        <v>229</v>
      </c>
    </row>
    <row r="42" spans="2:33">
      <c r="G42" s="216">
        <v>16</v>
      </c>
      <c r="H42" s="216" t="s">
        <v>233</v>
      </c>
      <c r="I42" s="216"/>
    </row>
    <row r="43" spans="2:33">
      <c r="G43" s="216">
        <v>-6</v>
      </c>
      <c r="H43" s="216" t="s">
        <v>231</v>
      </c>
    </row>
    <row r="44" spans="2:33">
      <c r="G44" s="216">
        <v>8</v>
      </c>
      <c r="H44" s="216" t="s">
        <v>224</v>
      </c>
    </row>
    <row r="45" spans="2:33">
      <c r="G45" s="216">
        <v>8</v>
      </c>
      <c r="H45" s="216" t="s">
        <v>234</v>
      </c>
    </row>
    <row r="46" spans="2:33">
      <c r="G46" s="216">
        <v>-7</v>
      </c>
      <c r="H46" s="216" t="s">
        <v>235</v>
      </c>
    </row>
    <row r="47" spans="2:33">
      <c r="G47" s="216">
        <v>-2</v>
      </c>
      <c r="H47" s="216" t="s">
        <v>241</v>
      </c>
    </row>
    <row r="48" spans="2:33">
      <c r="G48" s="216">
        <v>-2</v>
      </c>
      <c r="H48" s="216" t="s">
        <v>225</v>
      </c>
    </row>
  </sheetData>
  <mergeCells count="12">
    <mergeCell ref="AG12:AG13"/>
    <mergeCell ref="B5:B6"/>
    <mergeCell ref="C5:C6"/>
    <mergeCell ref="B11:B13"/>
    <mergeCell ref="H12:H13"/>
    <mergeCell ref="O12:O13"/>
    <mergeCell ref="P12:P13"/>
    <mergeCell ref="Q12:Q13"/>
    <mergeCell ref="R12:R13"/>
    <mergeCell ref="S12:S13"/>
    <mergeCell ref="AD12:AD13"/>
    <mergeCell ref="AE12:AE13"/>
  </mergeCells>
  <pageMargins left="0.7" right="0.7" top="0.75" bottom="0.75" header="0.3" footer="0.3"/>
  <pageSetup orientation="portrait" r:id="rId1"/>
  <customProperties>
    <customPr name="_pios_id" r:id="rId2"/>
    <customPr name="EpmWorksheetKeyString_GUID" r:id="rId3"/>
  </customProperties>
  <drawing r:id="rId4"/>
  <legacy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23E9B-78BC-4705-A39C-302FE736D755}">
  <sheetPr>
    <tabColor theme="7" tint="0.59999389629810485"/>
  </sheetPr>
  <dimension ref="B1:AJ84"/>
  <sheetViews>
    <sheetView showGridLines="0" topLeftCell="A26" zoomScale="41" zoomScaleNormal="41" workbookViewId="0">
      <selection activeCell="U61" sqref="U61"/>
    </sheetView>
  </sheetViews>
  <sheetFormatPr defaultRowHeight="15"/>
  <cols>
    <col min="2" max="3" width="10.42578125" bestFit="1" customWidth="1"/>
    <col min="4" max="4" width="14.5703125" customWidth="1"/>
    <col min="5" max="5" width="10.140625" customWidth="1"/>
    <col min="6" max="6" width="14.42578125" customWidth="1"/>
    <col min="7" max="7" width="10" customWidth="1"/>
    <col min="21" max="21" width="8.42578125" bestFit="1" customWidth="1"/>
    <col min="24" max="24" width="10.5703125" customWidth="1"/>
  </cols>
  <sheetData>
    <row r="1" spans="2:34" ht="28.5">
      <c r="B1" s="304" t="str">
        <f>'Summary month'!E2</f>
        <v>Apr</v>
      </c>
      <c r="C1" t="str">
        <f>VLOOKUP(B1,mapping!$A$2:$C$13,3,0)</f>
        <v>M01</v>
      </c>
    </row>
    <row r="3" spans="2:34" ht="28.5">
      <c r="B3" s="299" t="s">
        <v>202</v>
      </c>
      <c r="I3" s="216"/>
      <c r="J3" s="334"/>
      <c r="K3" s="216"/>
      <c r="L3" s="216"/>
      <c r="M3" s="216"/>
      <c r="N3" s="334"/>
      <c r="O3" s="216"/>
      <c r="P3" s="216"/>
      <c r="Q3" s="216"/>
    </row>
    <row r="4" spans="2:34" ht="28.5">
      <c r="B4" s="299"/>
      <c r="I4" s="216"/>
      <c r="J4" s="334"/>
      <c r="K4" s="216"/>
      <c r="L4" s="216"/>
      <c r="M4" s="216"/>
      <c r="N4" s="334"/>
      <c r="O4" s="216"/>
      <c r="P4" s="216"/>
      <c r="Q4" s="216"/>
    </row>
    <row r="5" spans="2:34" ht="20.25">
      <c r="B5" s="216"/>
      <c r="C5" s="226" t="str">
        <f>B10</f>
        <v>BP QTD</v>
      </c>
      <c r="D5" s="226" t="str">
        <f>C10</f>
        <v>Act QTD</v>
      </c>
      <c r="E5" s="226" t="s">
        <v>320</v>
      </c>
      <c r="F5" s="226" t="s">
        <v>321</v>
      </c>
      <c r="G5" s="226" t="s">
        <v>322</v>
      </c>
      <c r="H5" s="292" t="s">
        <v>323</v>
      </c>
      <c r="I5" s="216"/>
    </row>
    <row r="6" spans="2:34" ht="20.25">
      <c r="B6" s="226" t="s">
        <v>327</v>
      </c>
      <c r="C6" s="229">
        <f>'Summary month'!N82</f>
        <v>64.291499941393781</v>
      </c>
      <c r="D6" s="229">
        <f>'Summary month'!I82</f>
        <v>63.237619418000122</v>
      </c>
      <c r="E6" s="226">
        <f>+D6-C6</f>
        <v>-1.0538805233936586</v>
      </c>
      <c r="F6" s="226">
        <f>B19</f>
        <v>-25.092384161087118</v>
      </c>
      <c r="G6" s="226">
        <f>SUM(C19:S19)</f>
        <v>24.038503637693445</v>
      </c>
      <c r="H6" s="502">
        <f>E6-F6-G6</f>
        <v>0</v>
      </c>
      <c r="I6" s="216"/>
      <c r="J6" s="334"/>
      <c r="K6" s="216"/>
      <c r="L6" s="216"/>
      <c r="M6" s="216"/>
      <c r="N6" s="334"/>
      <c r="O6" s="216"/>
      <c r="P6" s="216"/>
      <c r="Q6" s="216"/>
    </row>
    <row r="7" spans="2:34" ht="20.25">
      <c r="B7" s="226" t="s">
        <v>325</v>
      </c>
      <c r="C7" s="229">
        <f>'Summary month'!N83</f>
        <v>-152.79353577592065</v>
      </c>
      <c r="D7" s="229">
        <f>'Summary month'!I83</f>
        <v>-134.40743371799999</v>
      </c>
      <c r="E7" s="226">
        <f>+D7-C7</f>
        <v>18.386102057920652</v>
      </c>
      <c r="F7" s="226">
        <f>T19</f>
        <v>6.5294478828312936</v>
      </c>
      <c r="G7" s="226">
        <f>SUM(U19:AH19)</f>
        <v>11.856654175089373</v>
      </c>
      <c r="H7" s="502">
        <f>E7-F7-G7</f>
        <v>-1.4210854715202004E-14</v>
      </c>
      <c r="I7" s="216"/>
      <c r="J7" s="334"/>
      <c r="K7" s="216"/>
      <c r="L7" s="216"/>
      <c r="M7" s="216"/>
      <c r="N7" s="334"/>
      <c r="O7" s="216"/>
      <c r="P7" s="216"/>
      <c r="Q7" s="216"/>
    </row>
    <row r="8" spans="2:34" ht="20.25">
      <c r="B8" s="226" t="s">
        <v>326</v>
      </c>
      <c r="C8" s="226">
        <f>+C6+C7</f>
        <v>-88.502035834526865</v>
      </c>
      <c r="D8" s="226">
        <f>+D6+D7</f>
        <v>-71.169814299999871</v>
      </c>
      <c r="E8" s="226">
        <f>+D8-C8</f>
        <v>17.332221534526994</v>
      </c>
      <c r="F8" s="226">
        <f>+E8-G8</f>
        <v>-18.562936278255826</v>
      </c>
      <c r="G8" s="226">
        <f>+G6+G7</f>
        <v>35.89515781278282</v>
      </c>
      <c r="H8" s="502">
        <f>E8-F8-G8</f>
        <v>0</v>
      </c>
      <c r="I8" s="216"/>
      <c r="J8" s="334" t="s">
        <v>303</v>
      </c>
      <c r="K8" s="216" t="s">
        <v>143</v>
      </c>
      <c r="L8" s="216" t="s">
        <v>304</v>
      </c>
      <c r="M8" s="216"/>
      <c r="N8" s="334" t="s">
        <v>303</v>
      </c>
      <c r="O8" s="216" t="s">
        <v>143</v>
      </c>
      <c r="P8" s="216" t="s">
        <v>305</v>
      </c>
      <c r="Q8" s="216" t="s">
        <v>306</v>
      </c>
    </row>
    <row r="9" spans="2:34" ht="18">
      <c r="B9" s="215"/>
      <c r="C9" s="216"/>
      <c r="D9" s="318">
        <f>D12-D54</f>
        <v>1.7684208615213919</v>
      </c>
      <c r="E9" s="318">
        <f>E12-E54</f>
        <v>-24.88188577241208</v>
      </c>
      <c r="F9" s="318">
        <f>F12-F54</f>
        <v>25.471511425247847</v>
      </c>
      <c r="G9" s="318">
        <f>G12-G54</f>
        <v>1.1787952086857079</v>
      </c>
      <c r="H9" s="216"/>
      <c r="I9" s="216" t="s">
        <v>307</v>
      </c>
      <c r="J9" s="334">
        <f>'[9]New KPI vs BP'!$U$34-K9-L9</f>
        <v>8.5339837625774102</v>
      </c>
      <c r="K9" s="216">
        <f>'[9]New KPI vs BP'!$U$15</f>
        <v>-1.1661103913280955</v>
      </c>
      <c r="L9" s="334">
        <f>'[9]New KPI vs BP'!$U$507+'[9]New KPI vs BP'!$U$523</f>
        <v>-25.930809649505139</v>
      </c>
      <c r="M9" s="216"/>
      <c r="N9" s="334">
        <f>'[9]New KPI vs BP'!$U$34-O9-P9</f>
        <v>-23.926273769759021</v>
      </c>
      <c r="O9" s="216">
        <f>K9</f>
        <v>-1.1661103913280955</v>
      </c>
      <c r="P9" s="406">
        <f>L10-AJ64</f>
        <v>6.5294478828312936</v>
      </c>
      <c r="Q9" s="334">
        <f>L9-(P9)</f>
        <v>-32.460257532336435</v>
      </c>
      <c r="R9" s="216"/>
      <c r="S9" s="216"/>
      <c r="T9" s="216"/>
      <c r="U9" s="216"/>
      <c r="V9" s="216"/>
      <c r="W9" s="216"/>
      <c r="X9" s="216"/>
      <c r="Y9" s="216"/>
      <c r="Z9" s="216"/>
      <c r="AA9" s="216"/>
      <c r="AB9" s="216"/>
      <c r="AC9" s="216"/>
      <c r="AD9" s="216"/>
      <c r="AE9" s="216"/>
      <c r="AF9" s="216"/>
      <c r="AG9" s="216"/>
      <c r="AH9" s="216"/>
    </row>
    <row r="10" spans="2:34" ht="20.100000000000001" customHeight="1">
      <c r="B10" s="1014" t="s">
        <v>213</v>
      </c>
      <c r="C10" s="1014" t="s">
        <v>214</v>
      </c>
      <c r="D10" s="218"/>
      <c r="E10" s="219"/>
      <c r="F10" s="219"/>
      <c r="G10" s="220"/>
      <c r="H10" s="216"/>
      <c r="I10" s="216" t="s">
        <v>62</v>
      </c>
      <c r="J10" s="334">
        <f>M52</f>
        <v>0</v>
      </c>
      <c r="K10" s="216">
        <v>0</v>
      </c>
      <c r="L10" s="334">
        <f>M53</f>
        <v>6.3189494941562536</v>
      </c>
      <c r="M10" s="216"/>
      <c r="N10" s="216"/>
      <c r="O10" s="216"/>
      <c r="P10" s="216"/>
      <c r="Q10" s="216"/>
      <c r="R10" s="216"/>
      <c r="S10" s="216"/>
      <c r="T10" s="216"/>
      <c r="U10" s="216"/>
      <c r="V10" s="216"/>
      <c r="W10" s="221"/>
      <c r="X10" s="221"/>
      <c r="Y10" s="221"/>
      <c r="Z10" s="221"/>
      <c r="AA10" s="221"/>
      <c r="AB10" s="221"/>
      <c r="AC10" s="221"/>
      <c r="AD10" s="221"/>
      <c r="AE10" s="221"/>
      <c r="AF10" s="221"/>
      <c r="AG10" s="221"/>
      <c r="AH10" s="221"/>
    </row>
    <row r="11" spans="2:34" ht="40.5">
      <c r="B11" s="1015"/>
      <c r="C11" s="1016"/>
      <c r="D11" s="222"/>
      <c r="E11" s="223" t="s">
        <v>154</v>
      </c>
      <c r="F11" s="224" t="s">
        <v>155</v>
      </c>
      <c r="G11" s="225" t="s">
        <v>156</v>
      </c>
      <c r="H11" s="216"/>
      <c r="I11" s="216" t="s">
        <v>208</v>
      </c>
      <c r="J11" s="216"/>
      <c r="K11" s="216"/>
      <c r="L11" s="216"/>
      <c r="M11" s="216"/>
      <c r="N11" s="216"/>
      <c r="O11" s="216"/>
      <c r="P11" s="216"/>
      <c r="Q11" s="216"/>
      <c r="R11" s="216"/>
      <c r="AH11" s="216"/>
    </row>
    <row r="12" spans="2:34" ht="20.25">
      <c r="B12" s="226">
        <f>'Summary month'!N55</f>
        <v>-88.502035834526794</v>
      </c>
      <c r="C12" s="226">
        <f>'Summary month'!I55</f>
        <v>-71.169814299999885</v>
      </c>
      <c r="D12" s="227">
        <f>C12-B12</f>
        <v>17.332221534526909</v>
      </c>
      <c r="E12" s="228">
        <f>'[9]New KPI vs BP'!$U$34</f>
        <v>-18.562936278255826</v>
      </c>
      <c r="F12" s="228">
        <f>'Summary month'!R82-E13</f>
        <v>24.038503637693445</v>
      </c>
      <c r="G12" s="229">
        <f>'Summary month'!R83-E14</f>
        <v>11.856654175089373</v>
      </c>
      <c r="H12" s="216"/>
      <c r="I12" s="286">
        <f>SUM(E12:G12)-D12</f>
        <v>8.5265128291212022E-14</v>
      </c>
      <c r="J12" s="216"/>
      <c r="K12" s="216"/>
      <c r="L12" s="216"/>
      <c r="M12" s="216"/>
      <c r="N12" s="216"/>
      <c r="O12" s="230"/>
      <c r="P12" s="216"/>
      <c r="Q12" s="216"/>
      <c r="R12" s="216"/>
      <c r="AH12" s="230"/>
    </row>
    <row r="13" spans="2:34">
      <c r="B13" s="216"/>
      <c r="C13" s="216"/>
      <c r="D13" s="216"/>
      <c r="E13" s="315">
        <f>SUM(N9:O9)</f>
        <v>-25.092384161087118</v>
      </c>
      <c r="F13" s="216" t="s">
        <v>308</v>
      </c>
      <c r="G13" s="216"/>
      <c r="H13" s="216"/>
      <c r="I13" s="216"/>
      <c r="J13" s="216"/>
      <c r="K13" s="216"/>
      <c r="L13" s="216"/>
      <c r="M13" s="216"/>
      <c r="N13" s="216"/>
      <c r="O13" s="216" t="s">
        <v>53</v>
      </c>
      <c r="P13" s="216">
        <f>-'Summary month'!R66</f>
        <v>0</v>
      </c>
      <c r="Q13" s="216"/>
      <c r="R13" s="216"/>
      <c r="AH13" s="216"/>
    </row>
    <row r="14" spans="2:34">
      <c r="B14" s="216"/>
      <c r="C14" s="216" t="s">
        <v>51</v>
      </c>
      <c r="D14" s="216" t="s">
        <v>50</v>
      </c>
      <c r="E14" s="315">
        <f>P9</f>
        <v>6.5294478828312936</v>
      </c>
      <c r="F14" s="216" t="s">
        <v>309</v>
      </c>
      <c r="G14" s="216"/>
      <c r="H14" s="216"/>
      <c r="I14" s="216"/>
      <c r="J14" s="216"/>
      <c r="K14" s="216"/>
      <c r="L14" s="216"/>
      <c r="M14" s="216"/>
      <c r="N14" s="216"/>
      <c r="O14" s="216" t="s">
        <v>54</v>
      </c>
      <c r="P14" s="216">
        <f>-'Summary month'!R67</f>
        <v>0</v>
      </c>
      <c r="Q14" s="216"/>
      <c r="R14" s="216"/>
      <c r="AH14" s="216"/>
    </row>
    <row r="15" spans="2:34" ht="21" thickBot="1">
      <c r="B15" s="231" t="s">
        <v>157</v>
      </c>
      <c r="C15" s="232" t="s">
        <v>56</v>
      </c>
      <c r="D15" s="232" t="s">
        <v>57</v>
      </c>
      <c r="E15" s="232"/>
      <c r="F15" s="232"/>
      <c r="G15" s="232"/>
      <c r="H15" s="232"/>
      <c r="I15" s="232"/>
      <c r="J15" s="232"/>
      <c r="K15" s="232"/>
      <c r="L15" s="232"/>
      <c r="M15" s="232"/>
      <c r="N15" s="232"/>
      <c r="O15" s="232" t="s">
        <v>55</v>
      </c>
      <c r="P15" s="216">
        <f>-'Summary month'!R68</f>
        <v>0</v>
      </c>
      <c r="Q15" s="232"/>
      <c r="R15" s="232" t="s">
        <v>60</v>
      </c>
      <c r="AA15" t="s">
        <v>52</v>
      </c>
      <c r="AB15" t="s">
        <v>59</v>
      </c>
      <c r="AH15" s="217" t="s">
        <v>138</v>
      </c>
    </row>
    <row r="16" spans="2:34" ht="21" thickBot="1">
      <c r="B16" s="233"/>
      <c r="C16" s="234" t="s">
        <v>159</v>
      </c>
      <c r="D16" s="234"/>
      <c r="E16" s="234"/>
      <c r="F16" s="234"/>
      <c r="G16" s="234"/>
      <c r="H16" s="234"/>
      <c r="I16" s="234"/>
      <c r="J16" s="234"/>
      <c r="K16" s="234"/>
      <c r="L16" s="234"/>
      <c r="M16" s="234"/>
      <c r="N16" s="234"/>
      <c r="O16" s="234"/>
      <c r="P16" s="234"/>
      <c r="Q16" s="234"/>
      <c r="R16" s="234"/>
      <c r="S16" s="235"/>
      <c r="T16" s="236"/>
      <c r="U16" s="237" t="s">
        <v>160</v>
      </c>
      <c r="V16" s="237"/>
      <c r="W16" s="237"/>
      <c r="X16" s="237"/>
      <c r="Y16" s="237"/>
      <c r="Z16" s="237"/>
      <c r="AA16" s="237"/>
      <c r="AB16" s="237"/>
      <c r="AC16" s="237"/>
      <c r="AD16" s="237"/>
      <c r="AE16" s="237"/>
      <c r="AF16" s="237"/>
      <c r="AG16" s="237"/>
      <c r="AH16" s="238"/>
    </row>
    <row r="17" spans="2:34" ht="20.100000000000001" customHeight="1">
      <c r="B17" s="1027" t="s">
        <v>274</v>
      </c>
      <c r="C17" s="239" t="s">
        <v>161</v>
      </c>
      <c r="D17" s="240"/>
      <c r="E17" s="240"/>
      <c r="F17" s="240"/>
      <c r="G17" s="241"/>
      <c r="H17" s="1017" t="s">
        <v>162</v>
      </c>
      <c r="I17" s="242" t="s">
        <v>163</v>
      </c>
      <c r="J17" s="243"/>
      <c r="K17" s="243"/>
      <c r="L17" s="243"/>
      <c r="M17" s="243"/>
      <c r="N17" s="244"/>
      <c r="O17" s="1019" t="s">
        <v>164</v>
      </c>
      <c r="P17" s="1019" t="s">
        <v>165</v>
      </c>
      <c r="Q17" s="1019" t="s">
        <v>166</v>
      </c>
      <c r="R17" s="1022" t="s">
        <v>167</v>
      </c>
      <c r="S17" s="1023" t="s">
        <v>168</v>
      </c>
      <c r="T17" s="1027" t="s">
        <v>274</v>
      </c>
      <c r="U17" s="245" t="s">
        <v>169</v>
      </c>
      <c r="V17" s="246"/>
      <c r="W17" s="246"/>
      <c r="X17" s="247"/>
      <c r="Y17" s="248" t="s">
        <v>163</v>
      </c>
      <c r="Z17" s="246"/>
      <c r="AA17" s="246"/>
      <c r="AB17" s="246"/>
      <c r="AC17" s="246"/>
      <c r="AD17" s="247"/>
      <c r="AE17" s="1022" t="s">
        <v>166</v>
      </c>
      <c r="AF17" s="1025" t="s">
        <v>167</v>
      </c>
      <c r="AG17" s="311"/>
      <c r="AH17" s="1012" t="s">
        <v>168</v>
      </c>
    </row>
    <row r="18" spans="2:34" ht="77.45" customHeight="1">
      <c r="B18" s="1028"/>
      <c r="C18" s="249" t="s">
        <v>170</v>
      </c>
      <c r="D18" s="250" t="s">
        <v>171</v>
      </c>
      <c r="E18" s="250" t="s">
        <v>172</v>
      </c>
      <c r="F18" s="250" t="s">
        <v>173</v>
      </c>
      <c r="G18" s="251" t="s">
        <v>174</v>
      </c>
      <c r="H18" s="1018"/>
      <c r="I18" s="250" t="s">
        <v>175</v>
      </c>
      <c r="J18" s="250" t="s">
        <v>176</v>
      </c>
      <c r="K18" s="250" t="s">
        <v>177</v>
      </c>
      <c r="L18" s="250" t="s">
        <v>178</v>
      </c>
      <c r="M18" s="250" t="s">
        <v>168</v>
      </c>
      <c r="N18" s="250" t="s">
        <v>179</v>
      </c>
      <c r="O18" s="1020"/>
      <c r="P18" s="1021"/>
      <c r="Q18" s="1021"/>
      <c r="R18" s="1021"/>
      <c r="S18" s="1024"/>
      <c r="T18" s="1028"/>
      <c r="U18" s="307" t="s">
        <v>203</v>
      </c>
      <c r="V18" s="308" t="s">
        <v>180</v>
      </c>
      <c r="W18" s="309" t="s">
        <v>181</v>
      </c>
      <c r="X18" s="310" t="s">
        <v>33</v>
      </c>
      <c r="Y18" s="305" t="s">
        <v>25</v>
      </c>
      <c r="Z18" s="306" t="s">
        <v>183</v>
      </c>
      <c r="AA18" s="306" t="s">
        <v>204</v>
      </c>
      <c r="AB18" s="306" t="s">
        <v>205</v>
      </c>
      <c r="AC18" s="306" t="s">
        <v>184</v>
      </c>
      <c r="AD18" s="306" t="s">
        <v>30</v>
      </c>
      <c r="AE18" s="1021"/>
      <c r="AF18" s="1026"/>
      <c r="AG18" s="312" t="s">
        <v>37</v>
      </c>
      <c r="AH18" s="1013"/>
    </row>
    <row r="19" spans="2:34" ht="21" thickBot="1">
      <c r="B19" s="252">
        <f>E13</f>
        <v>-25.092384161087118</v>
      </c>
      <c r="C19" s="253">
        <f>C61-'Summary month'!R64-'Summary month'!R69+J10-N9</f>
        <v>25.918671896780104</v>
      </c>
      <c r="D19" s="254">
        <f>S76-'Summary month'!R63-'Summary month'!R70-O9</f>
        <v>-0.41101337153225459</v>
      </c>
      <c r="E19" s="254">
        <f>E61</f>
        <v>0</v>
      </c>
      <c r="F19" s="254">
        <f>F61</f>
        <v>0</v>
      </c>
      <c r="G19" s="254"/>
      <c r="H19" s="254"/>
      <c r="I19" s="254">
        <f>I61</f>
        <v>0</v>
      </c>
      <c r="J19" s="255">
        <f>J61</f>
        <v>0</v>
      </c>
      <c r="K19" s="255">
        <f>K61</f>
        <v>0</v>
      </c>
      <c r="L19" s="255">
        <f>L61</f>
        <v>0</v>
      </c>
      <c r="M19" s="255">
        <f>M61</f>
        <v>0</v>
      </c>
      <c r="N19" s="255"/>
      <c r="O19" s="254">
        <f>-SUM('Summary month'!R66:R68)</f>
        <v>0</v>
      </c>
      <c r="P19" s="254"/>
      <c r="Q19" s="256"/>
      <c r="R19" s="254">
        <f>R61-'Summary month'!R73</f>
        <v>12.992815617000012</v>
      </c>
      <c r="S19" s="257">
        <f>F12-SUM(C19:R19)</f>
        <v>-14.461970504554415</v>
      </c>
      <c r="T19" s="253">
        <f>E14</f>
        <v>6.5294478828312936</v>
      </c>
      <c r="U19" s="253">
        <f>U61</f>
        <v>3.1916235729543345</v>
      </c>
      <c r="V19" s="258">
        <f>V61</f>
        <v>0</v>
      </c>
      <c r="W19" s="258"/>
      <c r="X19" s="258">
        <f>X61</f>
        <v>0.22412549286345396</v>
      </c>
      <c r="Y19" s="258">
        <f>Y61</f>
        <v>-1.4870941958364927</v>
      </c>
      <c r="Z19" s="258">
        <f>Z61</f>
        <v>-0.14047596134633089</v>
      </c>
      <c r="AA19" s="258">
        <f>AA61-'Summary month'!R65</f>
        <v>-0.76395699800000294</v>
      </c>
      <c r="AB19" s="258">
        <f>-'Summary month'!R72</f>
        <v>1.9535469999999999</v>
      </c>
      <c r="AC19" s="258">
        <f>AC61</f>
        <v>-1.5355153807910504</v>
      </c>
      <c r="AD19" s="258">
        <f>AD61</f>
        <v>18.340845705115637</v>
      </c>
      <c r="AE19" s="256"/>
      <c r="AF19" s="259"/>
      <c r="AG19" s="254">
        <f>AG61</f>
        <v>-7.3803659451620867</v>
      </c>
      <c r="AH19" s="260">
        <f>G12-SUM(U19:AG19)</f>
        <v>-0.54607911470808723</v>
      </c>
    </row>
    <row r="20" spans="2:34" ht="18">
      <c r="B20" s="216"/>
      <c r="C20" s="261"/>
      <c r="D20" s="216"/>
      <c r="E20" s="216"/>
      <c r="F20" s="216"/>
      <c r="G20" s="216"/>
      <c r="H20" s="216"/>
      <c r="I20" s="216"/>
      <c r="J20" s="216"/>
      <c r="K20" s="216"/>
      <c r="L20" s="216"/>
      <c r="M20" s="216"/>
      <c r="N20" s="216"/>
      <c r="O20" s="216"/>
      <c r="P20" s="216"/>
      <c r="Q20" s="216"/>
      <c r="R20" s="216"/>
      <c r="S20" s="216"/>
      <c r="T20" s="216"/>
      <c r="U20" s="216"/>
      <c r="V20" s="216"/>
      <c r="W20" s="216"/>
      <c r="X20" s="216"/>
      <c r="Y20" s="216"/>
      <c r="Z20" s="216"/>
      <c r="AA20" s="216"/>
      <c r="AB20" s="216"/>
      <c r="AC20" s="216"/>
      <c r="AD20" s="216"/>
      <c r="AE20" s="216"/>
      <c r="AF20" s="216"/>
      <c r="AG20" s="216"/>
      <c r="AH20" s="216"/>
    </row>
    <row r="21" spans="2:34" ht="20.25">
      <c r="B21" s="221"/>
      <c r="C21" s="261"/>
      <c r="D21" s="262"/>
      <c r="E21" s="262"/>
      <c r="F21" s="262"/>
      <c r="G21" s="262"/>
      <c r="H21" s="262"/>
      <c r="I21" s="262"/>
      <c r="J21" s="262"/>
      <c r="K21" s="262"/>
      <c r="L21" s="262"/>
      <c r="M21" s="262"/>
      <c r="N21" s="262"/>
      <c r="O21" s="262"/>
      <c r="P21" s="262"/>
      <c r="Q21" s="262"/>
      <c r="R21" s="262"/>
      <c r="S21" s="221"/>
      <c r="T21" s="221"/>
      <c r="U21" s="221"/>
      <c r="V21" s="221"/>
      <c r="W21" s="221"/>
      <c r="X21" s="263" t="s">
        <v>185</v>
      </c>
      <c r="Y21" s="264"/>
      <c r="Z21" s="264"/>
      <c r="AA21" s="264"/>
      <c r="AB21" s="265">
        <f>AD19</f>
        <v>18.340845705115637</v>
      </c>
      <c r="AC21" s="221"/>
      <c r="AD21" s="263" t="s">
        <v>186</v>
      </c>
      <c r="AE21" s="264"/>
      <c r="AF21" s="264"/>
      <c r="AG21" s="264"/>
      <c r="AH21" s="265">
        <f>AH19</f>
        <v>-0.54607911470808723</v>
      </c>
    </row>
    <row r="22" spans="2:34" ht="18">
      <c r="B22" s="216"/>
      <c r="C22" s="266"/>
      <c r="D22" s="267"/>
      <c r="E22" s="267"/>
      <c r="F22" s="267"/>
      <c r="G22" s="267"/>
      <c r="H22" s="267"/>
      <c r="I22" s="267"/>
      <c r="J22" s="267"/>
      <c r="K22" s="267"/>
      <c r="L22" s="267"/>
      <c r="M22" s="267"/>
      <c r="N22" s="267"/>
      <c r="O22" s="267"/>
      <c r="P22" s="267"/>
      <c r="Q22" s="267"/>
      <c r="R22" s="267"/>
      <c r="S22" s="216"/>
      <c r="T22" s="216"/>
      <c r="U22" s="216"/>
      <c r="V22" s="216"/>
      <c r="W22" s="216"/>
      <c r="X22" s="268">
        <v>1</v>
      </c>
      <c r="Y22" s="269"/>
      <c r="Z22" s="270"/>
      <c r="AA22" s="270"/>
      <c r="AB22" s="271"/>
      <c r="AC22" s="216"/>
      <c r="AD22" s="268">
        <v>1</v>
      </c>
      <c r="AE22" s="269" t="s">
        <v>187</v>
      </c>
      <c r="AF22" s="270"/>
      <c r="AG22" s="270"/>
      <c r="AH22" s="271">
        <f>AH64</f>
        <v>-0.54607911470808546</v>
      </c>
    </row>
    <row r="23" spans="2:34" ht="20.25">
      <c r="B23" s="216"/>
      <c r="C23" s="272"/>
      <c r="D23" s="216"/>
      <c r="E23" s="216"/>
      <c r="F23" s="216"/>
      <c r="G23" s="216"/>
      <c r="H23" s="216"/>
      <c r="I23" s="273" t="s">
        <v>188</v>
      </c>
      <c r="J23" s="274"/>
      <c r="K23" s="274"/>
      <c r="L23" s="274"/>
      <c r="M23" s="275">
        <f>M19</f>
        <v>0</v>
      </c>
      <c r="N23" s="216"/>
      <c r="O23" s="216"/>
      <c r="P23" s="216"/>
      <c r="Q23" s="216"/>
      <c r="R23" s="216"/>
      <c r="S23" s="216"/>
      <c r="T23" s="216"/>
      <c r="U23" s="216"/>
      <c r="V23" s="216"/>
      <c r="W23" s="216"/>
      <c r="X23" s="268">
        <v>2</v>
      </c>
      <c r="Y23" s="276"/>
      <c r="Z23" s="277"/>
      <c r="AA23" s="277"/>
      <c r="AB23" s="278"/>
      <c r="AC23" s="216"/>
      <c r="AD23" s="268">
        <v>2</v>
      </c>
      <c r="AE23" s="276"/>
      <c r="AF23" s="277"/>
      <c r="AG23" s="277"/>
      <c r="AH23" s="278"/>
    </row>
    <row r="24" spans="2:34" ht="18">
      <c r="B24" s="216"/>
      <c r="C24" s="272"/>
      <c r="D24" s="216"/>
      <c r="E24" s="216"/>
      <c r="F24" s="216"/>
      <c r="G24" s="216"/>
      <c r="H24" s="216"/>
      <c r="I24" s="279">
        <v>1</v>
      </c>
      <c r="J24" s="269">
        <f>J66</f>
        <v>0</v>
      </c>
      <c r="K24" s="270"/>
      <c r="L24" s="270"/>
      <c r="M24" s="280">
        <f>M66</f>
        <v>0</v>
      </c>
      <c r="N24" s="216"/>
      <c r="O24" s="216"/>
      <c r="P24" s="216"/>
      <c r="Q24" s="216"/>
      <c r="R24" s="216"/>
      <c r="S24" s="216"/>
      <c r="T24" s="216"/>
      <c r="U24" s="216"/>
      <c r="V24" s="216"/>
      <c r="W24" s="216"/>
      <c r="X24" s="268">
        <v>3</v>
      </c>
      <c r="Y24" s="276"/>
      <c r="Z24" s="277"/>
      <c r="AA24" s="277"/>
      <c r="AB24" s="278"/>
      <c r="AC24" s="216"/>
      <c r="AD24" s="268">
        <v>3</v>
      </c>
      <c r="AE24" s="276"/>
      <c r="AF24" s="277"/>
      <c r="AG24" s="277"/>
      <c r="AH24" s="278"/>
    </row>
    <row r="25" spans="2:34" ht="18">
      <c r="B25" s="216"/>
      <c r="C25" s="272"/>
      <c r="D25" s="216"/>
      <c r="E25" s="216"/>
      <c r="F25" s="216"/>
      <c r="G25" s="216"/>
      <c r="H25" s="216"/>
      <c r="I25" s="279">
        <v>2</v>
      </c>
      <c r="J25" s="276">
        <f>J67</f>
        <v>0</v>
      </c>
      <c r="K25" s="277"/>
      <c r="L25" s="277"/>
      <c r="M25" s="281">
        <f>M67</f>
        <v>0</v>
      </c>
      <c r="N25" s="216"/>
      <c r="O25" s="216"/>
      <c r="P25" s="216"/>
      <c r="Q25" s="216"/>
      <c r="R25" s="216"/>
      <c r="S25" s="216"/>
      <c r="T25" s="216"/>
      <c r="U25" s="216"/>
      <c r="V25" s="216"/>
      <c r="W25" s="216"/>
      <c r="X25" s="268">
        <v>4</v>
      </c>
      <c r="Y25" s="276"/>
      <c r="Z25" s="277"/>
      <c r="AA25" s="277"/>
      <c r="AB25" s="278"/>
      <c r="AC25" s="216"/>
      <c r="AD25" s="268">
        <v>4</v>
      </c>
      <c r="AE25" s="276"/>
      <c r="AF25" s="277"/>
      <c r="AG25" s="277"/>
      <c r="AH25" s="278"/>
    </row>
    <row r="26" spans="2:34" ht="18">
      <c r="B26" s="216"/>
      <c r="C26" s="272"/>
      <c r="D26" s="216"/>
      <c r="E26" s="216"/>
      <c r="F26" s="216"/>
      <c r="G26" s="216"/>
      <c r="H26" s="216"/>
      <c r="I26" s="279">
        <v>3</v>
      </c>
      <c r="J26" s="276"/>
      <c r="K26" s="277"/>
      <c r="L26" s="277"/>
      <c r="M26" s="281"/>
      <c r="N26" s="216"/>
      <c r="O26" s="216"/>
      <c r="P26" s="216"/>
      <c r="Q26" s="216"/>
      <c r="R26" s="216"/>
      <c r="S26" s="216"/>
      <c r="T26" s="216"/>
      <c r="U26" s="216"/>
      <c r="V26" s="216"/>
      <c r="W26" s="216"/>
      <c r="X26" s="282">
        <v>5</v>
      </c>
      <c r="Y26" s="283" t="s">
        <v>182</v>
      </c>
      <c r="Z26" s="284"/>
      <c r="AA26" s="284"/>
      <c r="AB26" s="285">
        <f>AB21-SUM(AB22:AB25)</f>
        <v>18.340845705115637</v>
      </c>
      <c r="AC26" s="216"/>
      <c r="AD26" s="282">
        <v>5</v>
      </c>
      <c r="AE26" s="283" t="s">
        <v>182</v>
      </c>
      <c r="AF26" s="284"/>
      <c r="AG26" s="284"/>
      <c r="AH26" s="285">
        <f>AH21-SUM(AH22:AH25)</f>
        <v>-1.7763568394002505E-15</v>
      </c>
    </row>
    <row r="27" spans="2:34" ht="18">
      <c r="B27" s="216"/>
      <c r="C27" s="216"/>
      <c r="D27" s="272"/>
      <c r="E27" s="272"/>
      <c r="F27" s="272"/>
      <c r="G27" s="272"/>
      <c r="H27" s="272"/>
      <c r="I27" s="279">
        <v>4</v>
      </c>
      <c r="J27" s="276"/>
      <c r="K27" s="277"/>
      <c r="L27" s="277"/>
      <c r="M27" s="281"/>
      <c r="N27" s="216"/>
      <c r="O27" s="216"/>
      <c r="P27" s="272"/>
      <c r="Q27" s="272"/>
      <c r="R27" s="216"/>
      <c r="S27" s="216"/>
      <c r="T27" s="216"/>
      <c r="U27" s="216"/>
      <c r="V27" s="216"/>
      <c r="W27" s="216"/>
      <c r="X27" s="216"/>
      <c r="Y27" s="216"/>
      <c r="Z27" s="216"/>
      <c r="AA27" s="216"/>
      <c r="AB27" s="286">
        <f>AB26-AB68</f>
        <v>0</v>
      </c>
      <c r="AC27" s="216"/>
      <c r="AD27" s="216"/>
      <c r="AE27" s="216"/>
      <c r="AF27" s="216"/>
      <c r="AG27" s="287"/>
      <c r="AH27" s="286">
        <f>AH26-AH68</f>
        <v>5.3290705182007514E-15</v>
      </c>
    </row>
    <row r="28" spans="2:34" ht="18">
      <c r="B28" s="216"/>
      <c r="C28" s="272"/>
      <c r="D28" s="216"/>
      <c r="E28" s="216"/>
      <c r="F28" s="216"/>
      <c r="G28" s="216"/>
      <c r="H28" s="216"/>
      <c r="I28" s="288">
        <v>5</v>
      </c>
      <c r="J28" s="289" t="s">
        <v>182</v>
      </c>
      <c r="K28" s="284"/>
      <c r="L28" s="284"/>
      <c r="M28" s="290">
        <f>M23-SUM(M24:M27)</f>
        <v>0</v>
      </c>
      <c r="N28" s="216"/>
      <c r="O28" s="216"/>
      <c r="P28" s="216"/>
      <c r="Q28" s="216"/>
      <c r="R28" s="216"/>
      <c r="S28" s="216"/>
      <c r="T28" s="216"/>
      <c r="U28" s="216"/>
      <c r="V28" s="216"/>
      <c r="W28" s="216"/>
      <c r="X28" s="216"/>
      <c r="Y28" s="216"/>
      <c r="Z28" s="216"/>
      <c r="AA28" s="216"/>
      <c r="AB28" s="216"/>
      <c r="AC28" s="216"/>
      <c r="AD28" s="216"/>
      <c r="AE28" s="216"/>
      <c r="AF28" s="216"/>
      <c r="AG28" s="216"/>
      <c r="AH28" s="216"/>
    </row>
    <row r="29" spans="2:34" ht="18">
      <c r="B29" s="216"/>
      <c r="C29" s="272"/>
      <c r="D29" s="216"/>
      <c r="E29" s="216"/>
      <c r="F29" s="216"/>
      <c r="G29" s="216"/>
      <c r="H29" s="216"/>
      <c r="I29" s="216"/>
      <c r="J29" s="216"/>
      <c r="K29" s="216"/>
      <c r="L29" s="216"/>
      <c r="M29" s="286">
        <f>M28-M70</f>
        <v>0</v>
      </c>
      <c r="N29" s="216"/>
      <c r="O29" s="216"/>
      <c r="P29" s="216"/>
      <c r="Q29" s="216"/>
      <c r="R29" s="216"/>
      <c r="S29" s="216"/>
      <c r="T29" s="216"/>
      <c r="U29" s="216"/>
      <c r="V29" s="216"/>
      <c r="W29" s="216"/>
      <c r="X29" s="216"/>
      <c r="Y29" s="216"/>
      <c r="Z29" s="216"/>
      <c r="AA29" s="216"/>
      <c r="AB29" s="216"/>
      <c r="AC29" s="216"/>
      <c r="AD29" s="216"/>
      <c r="AE29" s="216"/>
      <c r="AF29" s="216"/>
      <c r="AG29" s="216"/>
      <c r="AH29" s="216"/>
    </row>
    <row r="30" spans="2:34" ht="18">
      <c r="B30" s="216"/>
      <c r="C30" s="272"/>
      <c r="D30" s="272"/>
      <c r="E30" s="216"/>
      <c r="F30" s="216"/>
      <c r="G30" s="216"/>
      <c r="H30" s="216"/>
      <c r="I30" s="216"/>
      <c r="J30" s="216"/>
      <c r="K30" s="216"/>
      <c r="L30" s="216"/>
      <c r="M30" s="216"/>
      <c r="N30" s="216"/>
      <c r="O30" s="216"/>
      <c r="P30" s="216"/>
      <c r="Q30" s="216"/>
      <c r="R30" s="216"/>
      <c r="S30" s="216"/>
      <c r="T30" s="216"/>
      <c r="U30" s="216"/>
      <c r="V30" s="216"/>
      <c r="W30" s="216"/>
      <c r="X30" s="216"/>
      <c r="Y30" s="216"/>
      <c r="Z30" s="216"/>
      <c r="AA30" s="216"/>
      <c r="AB30" s="216"/>
      <c r="AC30" s="216"/>
      <c r="AD30" s="216"/>
      <c r="AE30" s="216"/>
      <c r="AF30" s="216"/>
      <c r="AG30" s="216"/>
      <c r="AH30" s="216"/>
    </row>
    <row r="31" spans="2:34" ht="16.5">
      <c r="B31" s="216"/>
      <c r="C31" s="291"/>
      <c r="D31" s="216"/>
      <c r="E31" s="216"/>
      <c r="F31" s="292" t="s">
        <v>189</v>
      </c>
      <c r="G31" s="216"/>
      <c r="H31" s="216"/>
      <c r="I31" s="216"/>
      <c r="J31" s="216"/>
      <c r="K31" s="216"/>
      <c r="L31" s="216"/>
      <c r="M31" s="216"/>
      <c r="N31" s="216"/>
      <c r="O31" s="216"/>
      <c r="P31" s="216"/>
      <c r="Q31" s="216"/>
      <c r="R31" s="216"/>
      <c r="S31" s="216"/>
      <c r="T31" s="216"/>
      <c r="U31" s="216"/>
      <c r="V31" s="216"/>
      <c r="W31" s="216"/>
      <c r="X31" s="216"/>
      <c r="Y31" s="216"/>
      <c r="Z31" s="216"/>
      <c r="AA31" s="216"/>
      <c r="AB31" s="216"/>
      <c r="AC31" s="216"/>
      <c r="AD31" s="216"/>
      <c r="AE31" s="216"/>
      <c r="AF31" s="216"/>
      <c r="AG31" s="216"/>
      <c r="AH31" s="216"/>
    </row>
    <row r="32" spans="2:34" ht="20.25">
      <c r="B32" s="216"/>
      <c r="C32" s="216"/>
      <c r="D32" s="293" t="s">
        <v>147</v>
      </c>
      <c r="E32" s="293" t="s">
        <v>287</v>
      </c>
      <c r="F32" s="293" t="s">
        <v>190</v>
      </c>
      <c r="G32" s="216"/>
      <c r="H32" s="216"/>
      <c r="I32" s="216"/>
      <c r="J32" s="216"/>
      <c r="K32" s="216"/>
      <c r="L32" s="216"/>
      <c r="M32" s="216"/>
      <c r="N32" s="216"/>
      <c r="O32" s="273" t="s">
        <v>191</v>
      </c>
      <c r="P32" s="274"/>
      <c r="Q32" s="274"/>
      <c r="R32" s="274"/>
      <c r="S32" s="294">
        <f>S19</f>
        <v>-14.461970504554415</v>
      </c>
      <c r="T32" s="216"/>
      <c r="U32" s="272"/>
      <c r="V32" s="272"/>
      <c r="W32" s="272"/>
      <c r="X32" s="216"/>
      <c r="Y32" s="216"/>
      <c r="Z32" s="216"/>
      <c r="AA32" s="216"/>
      <c r="AB32" s="216"/>
      <c r="AC32" s="216"/>
      <c r="AD32" s="216"/>
      <c r="AE32" s="216"/>
      <c r="AF32" s="216"/>
      <c r="AG32" s="216"/>
      <c r="AH32" s="216"/>
    </row>
    <row r="33" spans="2:34" ht="20.25">
      <c r="B33" s="216"/>
      <c r="C33" s="295" t="s">
        <v>192</v>
      </c>
      <c r="D33" s="296">
        <f>'[9]P&amp;L vs BP'!$Q$24</f>
        <v>101240</v>
      </c>
      <c r="E33" s="296">
        <f>'[9]P&amp;L vs BP'!$P$24</f>
        <v>82846</v>
      </c>
      <c r="F33" s="296">
        <f>E33-D33</f>
        <v>-18394</v>
      </c>
      <c r="G33" s="216"/>
      <c r="H33" s="216"/>
      <c r="I33" s="216"/>
      <c r="J33" s="216"/>
      <c r="K33" s="216"/>
      <c r="L33" s="216"/>
      <c r="M33" s="216"/>
      <c r="N33" s="216"/>
      <c r="O33" s="279">
        <v>1</v>
      </c>
      <c r="P33" s="269" t="s">
        <v>193</v>
      </c>
      <c r="Q33" s="270"/>
      <c r="R33" s="270"/>
      <c r="S33" s="280">
        <f>S75</f>
        <v>-0.65791463100000014</v>
      </c>
      <c r="T33" s="216"/>
      <c r="U33" s="216"/>
      <c r="V33" s="216"/>
      <c r="W33" s="216"/>
      <c r="X33" s="297"/>
      <c r="Y33" s="216"/>
      <c r="Z33" s="216"/>
      <c r="AA33" s="216"/>
      <c r="AB33" s="216"/>
      <c r="AC33" s="216"/>
      <c r="AD33" s="216"/>
      <c r="AE33" s="216"/>
      <c r="AF33" s="216"/>
      <c r="AG33" s="216"/>
      <c r="AH33" s="216"/>
    </row>
    <row r="34" spans="2:34" ht="20.25">
      <c r="B34" s="216"/>
      <c r="C34" s="295" t="s">
        <v>194</v>
      </c>
      <c r="D34" s="296">
        <f>'[9]P&amp;L vs BP'!$Q$27</f>
        <v>6612</v>
      </c>
      <c r="E34" s="296">
        <f>'[9]P&amp;L vs BP'!$P$27</f>
        <v>2953</v>
      </c>
      <c r="F34" s="296">
        <f>E34-D34</f>
        <v>-3659</v>
      </c>
      <c r="G34" s="216"/>
      <c r="H34" s="216"/>
      <c r="I34" s="216"/>
      <c r="J34" s="216"/>
      <c r="K34" s="216"/>
      <c r="L34" s="216"/>
      <c r="M34" s="216"/>
      <c r="N34" s="216"/>
      <c r="O34" s="279">
        <v>2</v>
      </c>
      <c r="P34" s="276" t="s">
        <v>195</v>
      </c>
      <c r="Q34" s="277"/>
      <c r="R34" s="277"/>
      <c r="S34" s="281"/>
      <c r="T34" s="216"/>
      <c r="U34" s="216"/>
      <c r="V34" s="216"/>
      <c r="W34" s="216"/>
      <c r="X34" s="216"/>
      <c r="Y34" s="216"/>
      <c r="Z34" s="216"/>
      <c r="AA34" s="216"/>
      <c r="AB34" s="216"/>
      <c r="AC34" s="216"/>
      <c r="AD34" s="216"/>
      <c r="AE34" s="216"/>
      <c r="AF34" s="216"/>
      <c r="AG34" s="216"/>
      <c r="AH34" s="216"/>
    </row>
    <row r="35" spans="2:34" ht="18">
      <c r="B35" s="216"/>
      <c r="C35" s="216"/>
      <c r="D35" s="298"/>
      <c r="E35" s="298"/>
      <c r="F35" s="298"/>
      <c r="G35" s="216"/>
      <c r="H35" s="216"/>
      <c r="I35" s="216"/>
      <c r="J35" s="216"/>
      <c r="K35" s="216"/>
      <c r="L35" s="216"/>
      <c r="M35" s="216"/>
      <c r="N35" s="216"/>
      <c r="O35" s="279">
        <v>3</v>
      </c>
      <c r="P35" s="276" t="s">
        <v>58</v>
      </c>
      <c r="Q35" s="277"/>
      <c r="R35" s="277"/>
      <c r="S35" s="278">
        <f>-'Summary month'!R71</f>
        <v>-0.31130710000000006</v>
      </c>
      <c r="T35" s="216"/>
      <c r="U35" s="216"/>
      <c r="V35" s="216"/>
      <c r="W35" s="216"/>
      <c r="X35" s="216"/>
      <c r="Y35" s="216"/>
      <c r="Z35" s="216"/>
      <c r="AA35" s="216"/>
      <c r="AB35" s="216"/>
      <c r="AC35" s="216"/>
      <c r="AD35" s="216"/>
      <c r="AE35" s="216"/>
      <c r="AF35" s="216"/>
      <c r="AG35" s="216"/>
      <c r="AH35" s="216"/>
    </row>
    <row r="36" spans="2:34" ht="20.25">
      <c r="B36" s="216"/>
      <c r="C36" s="295" t="s">
        <v>196</v>
      </c>
      <c r="D36" s="296">
        <f>'[9]P&amp;L vs BP'!$Q$18</f>
        <v>77981</v>
      </c>
      <c r="E36" s="296">
        <f>'[9]P&amp;L vs BP'!$P$18</f>
        <v>60757</v>
      </c>
      <c r="F36" s="296">
        <f>E36-D36</f>
        <v>-17224</v>
      </c>
      <c r="G36" s="216"/>
      <c r="H36" s="216"/>
      <c r="I36" s="216"/>
      <c r="J36" s="216"/>
      <c r="K36" s="216"/>
      <c r="L36" s="216"/>
      <c r="M36" s="216"/>
      <c r="N36" s="216"/>
      <c r="O36" s="279">
        <v>4</v>
      </c>
      <c r="P36" s="276"/>
      <c r="Q36" s="277"/>
      <c r="R36" s="277"/>
      <c r="S36" s="281"/>
      <c r="T36" s="216"/>
      <c r="U36" s="216"/>
      <c r="V36" s="216"/>
      <c r="W36" s="216"/>
      <c r="X36" s="216"/>
      <c r="Y36" s="216"/>
      <c r="Z36" s="216"/>
      <c r="AA36" s="216"/>
      <c r="AB36" s="216"/>
      <c r="AC36" s="216"/>
      <c r="AD36" s="216"/>
      <c r="AE36" s="216"/>
      <c r="AF36" s="216"/>
      <c r="AG36" s="216"/>
      <c r="AH36" s="216"/>
    </row>
    <row r="37" spans="2:34" ht="18">
      <c r="B37" s="216"/>
      <c r="C37" s="216"/>
      <c r="D37" s="216"/>
      <c r="E37" s="216"/>
      <c r="F37" s="216"/>
      <c r="G37" s="216"/>
      <c r="H37" s="216"/>
      <c r="I37" s="216"/>
      <c r="J37" s="216"/>
      <c r="K37" s="216"/>
      <c r="L37" s="216"/>
      <c r="M37" s="216"/>
      <c r="N37" s="216"/>
      <c r="O37" s="279">
        <v>5</v>
      </c>
      <c r="P37" s="276"/>
      <c r="Q37" s="277"/>
      <c r="R37" s="277"/>
      <c r="S37" s="281"/>
      <c r="T37" s="216"/>
      <c r="U37" s="216"/>
      <c r="V37" s="216"/>
      <c r="W37" s="216"/>
      <c r="X37" s="216"/>
      <c r="Y37" s="216"/>
      <c r="Z37" s="216"/>
      <c r="AA37" s="216"/>
      <c r="AB37" s="216"/>
      <c r="AC37" s="216"/>
      <c r="AD37" s="216"/>
      <c r="AE37" s="216"/>
      <c r="AF37" s="216"/>
      <c r="AG37" s="216"/>
      <c r="AH37" s="216"/>
    </row>
    <row r="38" spans="2:34" ht="18">
      <c r="B38" s="216"/>
      <c r="C38" s="216"/>
      <c r="D38" s="216"/>
      <c r="E38" s="216"/>
      <c r="F38" s="216"/>
      <c r="G38" s="216"/>
      <c r="H38" s="216"/>
      <c r="I38" s="216"/>
      <c r="J38" s="216"/>
      <c r="K38" s="216"/>
      <c r="L38" s="216"/>
      <c r="M38" s="216"/>
      <c r="N38" s="216"/>
      <c r="O38" s="279">
        <v>6</v>
      </c>
      <c r="P38" s="276"/>
      <c r="Q38" s="277"/>
      <c r="R38" s="277"/>
      <c r="S38" s="281"/>
      <c r="T38" s="216"/>
      <c r="U38" s="216"/>
      <c r="V38" s="216"/>
      <c r="W38" s="216"/>
      <c r="X38" s="216"/>
      <c r="Y38" s="216"/>
      <c r="Z38" s="216"/>
      <c r="AA38" s="216"/>
      <c r="AB38" s="216"/>
      <c r="AC38" s="216"/>
      <c r="AD38" s="216"/>
      <c r="AE38" s="216"/>
      <c r="AF38" s="216"/>
      <c r="AG38" s="216"/>
      <c r="AH38" s="216"/>
    </row>
    <row r="39" spans="2:34" ht="18">
      <c r="B39" s="216"/>
      <c r="C39" s="216"/>
      <c r="D39" s="216"/>
      <c r="E39" s="216"/>
      <c r="F39" s="216"/>
      <c r="G39" s="216"/>
      <c r="H39" s="216"/>
      <c r="I39" s="216"/>
      <c r="J39" s="216"/>
      <c r="K39" s="216"/>
      <c r="L39" s="216"/>
      <c r="M39" s="216"/>
      <c r="N39" s="216"/>
      <c r="O39" s="279">
        <v>7</v>
      </c>
      <c r="P39" s="276"/>
      <c r="Q39" s="277"/>
      <c r="R39" s="277"/>
      <c r="S39" s="281"/>
      <c r="T39" s="216"/>
      <c r="U39" s="216"/>
      <c r="V39" s="216"/>
      <c r="W39" s="216"/>
      <c r="X39" s="216"/>
      <c r="Y39" s="216"/>
      <c r="Z39" s="216"/>
      <c r="AA39" s="216"/>
      <c r="AB39" s="216"/>
      <c r="AC39" s="216"/>
      <c r="AD39" s="216"/>
      <c r="AE39" s="216"/>
      <c r="AF39" s="216"/>
      <c r="AG39" s="216"/>
      <c r="AH39" s="216"/>
    </row>
    <row r="40" spans="2:34" ht="18">
      <c r="B40" s="216"/>
      <c r="C40" s="216"/>
      <c r="D40" s="216"/>
      <c r="E40" s="216"/>
      <c r="F40" s="216"/>
      <c r="G40" s="216"/>
      <c r="H40" s="216"/>
      <c r="I40" s="216"/>
      <c r="J40" s="216"/>
      <c r="K40" s="216"/>
      <c r="L40" s="216"/>
      <c r="M40" s="216"/>
      <c r="N40" s="216"/>
      <c r="O40" s="279">
        <v>8</v>
      </c>
      <c r="P40" s="276"/>
      <c r="Q40" s="277"/>
      <c r="R40" s="277"/>
      <c r="S40" s="278"/>
      <c r="T40" s="216"/>
      <c r="U40" s="216"/>
      <c r="V40" s="216"/>
      <c r="W40" s="216"/>
      <c r="X40" s="216"/>
      <c r="Y40" s="216"/>
      <c r="Z40" s="216"/>
      <c r="AA40" s="216"/>
      <c r="AB40" s="216"/>
      <c r="AC40" s="216"/>
      <c r="AD40" s="216"/>
      <c r="AE40" s="216"/>
      <c r="AF40" s="216"/>
      <c r="AG40" s="216"/>
      <c r="AH40" s="216"/>
    </row>
    <row r="41" spans="2:34" ht="18">
      <c r="B41" s="216"/>
      <c r="C41" s="216"/>
      <c r="D41" s="216"/>
      <c r="E41" s="216"/>
      <c r="F41" s="216"/>
      <c r="G41" s="216"/>
      <c r="H41" s="216"/>
      <c r="I41" s="216"/>
      <c r="J41" s="216"/>
      <c r="K41" s="216"/>
      <c r="L41" s="216"/>
      <c r="M41" s="216"/>
      <c r="N41" s="216"/>
      <c r="O41" s="279">
        <v>9</v>
      </c>
      <c r="P41" s="276"/>
      <c r="Q41" s="277"/>
      <c r="R41" s="277"/>
      <c r="S41" s="278"/>
      <c r="T41" s="216"/>
      <c r="U41" s="216"/>
      <c r="V41" s="216"/>
      <c r="W41" s="216"/>
      <c r="X41" s="216"/>
      <c r="Y41" s="216"/>
      <c r="Z41" s="216"/>
      <c r="AA41" s="216"/>
      <c r="AB41" s="216"/>
      <c r="AC41" s="216"/>
      <c r="AD41" s="216"/>
      <c r="AE41" s="216"/>
      <c r="AF41" s="216"/>
      <c r="AG41" s="216"/>
      <c r="AH41" s="216"/>
    </row>
    <row r="42" spans="2:34" ht="18">
      <c r="B42" s="216"/>
      <c r="C42" s="216"/>
      <c r="D42" s="216"/>
      <c r="E42" s="216"/>
      <c r="F42" s="216"/>
      <c r="G42" s="216"/>
      <c r="H42" s="216"/>
      <c r="I42" s="216"/>
      <c r="J42" s="216"/>
      <c r="K42" s="216"/>
      <c r="L42" s="216"/>
      <c r="M42" s="216"/>
      <c r="N42" s="216"/>
      <c r="O42" s="288">
        <v>10</v>
      </c>
      <c r="P42" s="283" t="s">
        <v>182</v>
      </c>
      <c r="Q42" s="284"/>
      <c r="R42" s="284"/>
      <c r="S42" s="285">
        <f>S32-SUM(S33:S41)</f>
        <v>-13.492748773554414</v>
      </c>
      <c r="T42" s="216"/>
      <c r="U42" s="216"/>
      <c r="V42" s="216"/>
      <c r="W42" s="216"/>
      <c r="X42" s="216"/>
      <c r="Y42" s="216"/>
      <c r="Z42" s="216"/>
      <c r="AA42" s="216"/>
      <c r="AB42" s="216"/>
      <c r="AC42" s="216"/>
      <c r="AD42" s="216"/>
      <c r="AE42" s="216"/>
      <c r="AF42" s="216"/>
      <c r="AG42" s="216"/>
      <c r="AH42" s="216"/>
    </row>
    <row r="43" spans="2:34">
      <c r="B43" s="216"/>
      <c r="C43" s="216"/>
      <c r="D43" s="216"/>
      <c r="E43" s="216"/>
      <c r="F43" s="216"/>
      <c r="G43" s="216"/>
      <c r="H43" s="216"/>
      <c r="I43" s="216"/>
      <c r="J43" s="216"/>
      <c r="K43" s="216"/>
      <c r="L43" s="216"/>
      <c r="M43" s="216"/>
      <c r="N43" s="216"/>
      <c r="O43" s="216"/>
      <c r="P43" s="216"/>
      <c r="Q43" s="216"/>
      <c r="R43" s="216"/>
      <c r="S43" s="286">
        <f>S42-S84</f>
        <v>0</v>
      </c>
      <c r="T43" s="216"/>
      <c r="U43" s="216"/>
      <c r="V43" s="216"/>
      <c r="W43" s="216"/>
      <c r="X43" s="216"/>
      <c r="Y43" s="216"/>
      <c r="Z43" s="216"/>
      <c r="AA43" s="216"/>
      <c r="AB43" s="216"/>
      <c r="AC43" s="216"/>
      <c r="AD43" s="216"/>
      <c r="AE43" s="216"/>
      <c r="AF43" s="216"/>
      <c r="AG43" s="216"/>
      <c r="AH43" s="216"/>
    </row>
    <row r="44" spans="2:34" ht="28.5">
      <c r="B44" s="299" t="s">
        <v>197</v>
      </c>
      <c r="C44" s="216"/>
      <c r="D44" s="216"/>
      <c r="E44" s="216"/>
      <c r="F44" s="216"/>
      <c r="G44" s="216"/>
      <c r="H44" s="216"/>
      <c r="I44" s="216"/>
      <c r="J44" s="216"/>
      <c r="K44" s="216"/>
      <c r="L44" s="216"/>
      <c r="M44" s="216"/>
      <c r="N44" s="216"/>
      <c r="O44" s="216"/>
      <c r="P44" s="216"/>
      <c r="Q44" s="216"/>
      <c r="R44" s="216"/>
      <c r="S44" s="216"/>
      <c r="T44" s="216"/>
      <c r="U44" s="216"/>
      <c r="V44" s="216"/>
      <c r="W44" s="216"/>
      <c r="X44" s="216"/>
      <c r="Y44" s="216"/>
      <c r="Z44" s="216"/>
      <c r="AA44" s="216"/>
      <c r="AB44" s="216"/>
      <c r="AC44" s="216"/>
      <c r="AD44" s="216"/>
      <c r="AE44" s="216"/>
      <c r="AF44" s="216"/>
      <c r="AG44" s="216"/>
      <c r="AH44" s="216"/>
    </row>
    <row r="45" spans="2:34">
      <c r="B45" s="216"/>
      <c r="C45" s="216"/>
      <c r="D45" s="216"/>
      <c r="E45" s="216"/>
      <c r="F45" s="216"/>
      <c r="G45" s="216"/>
      <c r="H45" s="216"/>
      <c r="I45" s="216"/>
      <c r="J45" s="216"/>
      <c r="K45" s="216"/>
      <c r="L45" s="216"/>
      <c r="M45" s="216"/>
      <c r="N45" s="216"/>
      <c r="O45" s="216"/>
      <c r="P45" s="216"/>
      <c r="Q45" s="216"/>
      <c r="R45" s="216"/>
      <c r="S45" s="216"/>
      <c r="T45" s="216"/>
      <c r="U45" s="216"/>
      <c r="V45" s="216"/>
      <c r="W45" s="216"/>
      <c r="X45" s="216"/>
      <c r="Y45" s="216"/>
      <c r="Z45" s="216"/>
      <c r="AA45" s="216"/>
      <c r="AB45" s="216"/>
      <c r="AC45" s="216"/>
      <c r="AD45" s="216"/>
      <c r="AE45" s="216"/>
      <c r="AF45" s="216"/>
      <c r="AG45" s="216"/>
      <c r="AH45" s="216"/>
    </row>
    <row r="46" spans="2:34">
      <c r="B46" s="216"/>
      <c r="C46" s="216"/>
      <c r="D46" s="216"/>
      <c r="E46" s="216"/>
      <c r="F46" s="216"/>
      <c r="G46" s="216"/>
      <c r="H46" s="216"/>
      <c r="I46" s="216"/>
      <c r="J46" s="216"/>
      <c r="K46" s="216"/>
      <c r="L46" s="216"/>
      <c r="M46" s="216"/>
      <c r="N46" s="216"/>
      <c r="O46" s="216"/>
      <c r="P46" s="216"/>
      <c r="Q46" s="216"/>
      <c r="R46" s="216"/>
      <c r="S46" s="216"/>
      <c r="T46" s="216"/>
      <c r="U46" s="216"/>
      <c r="V46" s="216"/>
      <c r="W46" s="216"/>
      <c r="X46" s="216"/>
      <c r="Y46" s="216"/>
      <c r="Z46" s="216"/>
      <c r="AA46" s="216"/>
      <c r="AB46" s="216"/>
      <c r="AC46" s="216"/>
      <c r="AD46" s="216"/>
      <c r="AE46" s="216"/>
      <c r="AF46" s="216"/>
      <c r="AG46" s="216"/>
      <c r="AH46" s="216"/>
    </row>
    <row r="47" spans="2:34" ht="20.25">
      <c r="B47" s="216"/>
      <c r="C47" s="226" t="str">
        <f>B52</f>
        <v>BP QTD</v>
      </c>
      <c r="D47" s="226" t="str">
        <f>C52</f>
        <v>Act QTD</v>
      </c>
      <c r="E47" s="226" t="s">
        <v>320</v>
      </c>
      <c r="F47" s="226" t="s">
        <v>321</v>
      </c>
      <c r="G47" s="226" t="s">
        <v>322</v>
      </c>
      <c r="H47" s="292" t="s">
        <v>323</v>
      </c>
      <c r="I47" s="216"/>
      <c r="J47" s="216"/>
      <c r="K47" s="216"/>
      <c r="L47" s="216"/>
      <c r="M47" s="216"/>
      <c r="N47" s="216"/>
      <c r="O47" s="216"/>
      <c r="P47" s="216"/>
      <c r="Q47" s="216"/>
      <c r="R47" s="216"/>
      <c r="S47" s="216"/>
      <c r="T47" s="216"/>
      <c r="U47" s="216"/>
      <c r="V47" s="216"/>
      <c r="W47" s="216"/>
      <c r="X47" s="216"/>
      <c r="Y47" s="216"/>
      <c r="Z47" s="216"/>
      <c r="AA47" s="216"/>
      <c r="AB47" s="216"/>
      <c r="AC47" s="216"/>
      <c r="AD47" s="216"/>
      <c r="AE47" s="216"/>
      <c r="AF47" s="216"/>
      <c r="AG47" s="216"/>
      <c r="AH47" s="216"/>
    </row>
    <row r="48" spans="2:34" ht="20.25">
      <c r="B48" s="226" t="s">
        <v>324</v>
      </c>
      <c r="C48" s="229">
        <f>'Summary month'!N27</f>
        <v>87.516627375201153</v>
      </c>
      <c r="D48" s="229">
        <f>'Summary month'!I27</f>
        <v>86.083619587646751</v>
      </c>
      <c r="E48" s="226">
        <f>+D48-C48</f>
        <v>-1.4330077875544021</v>
      </c>
      <c r="F48" s="226">
        <f>B61</f>
        <v>0</v>
      </c>
      <c r="G48" s="226">
        <f>SUM(C61:S61)</f>
        <v>-1.4330077875544021</v>
      </c>
      <c r="H48" s="502">
        <f>E48-F48-G48</f>
        <v>0</v>
      </c>
      <c r="I48" s="216"/>
      <c r="J48" s="216"/>
      <c r="K48" s="216"/>
      <c r="L48" s="216"/>
      <c r="M48" s="216"/>
      <c r="N48" s="216"/>
      <c r="O48" s="216"/>
      <c r="P48" s="216"/>
      <c r="Q48" s="216"/>
      <c r="R48" s="216"/>
      <c r="S48" s="216"/>
      <c r="T48" s="216"/>
      <c r="U48" s="216"/>
      <c r="V48" s="216"/>
      <c r="W48" s="216"/>
      <c r="X48" s="216"/>
      <c r="Y48" s="216"/>
      <c r="Z48" s="216"/>
      <c r="AA48" s="216"/>
      <c r="AB48" s="216"/>
      <c r="AC48" s="216"/>
      <c r="AD48" s="216"/>
      <c r="AE48" s="216"/>
      <c r="AF48" s="216"/>
      <c r="AG48" s="216"/>
      <c r="AH48" s="216"/>
    </row>
    <row r="49" spans="2:36" ht="20.25">
      <c r="B49" s="226" t="s">
        <v>325</v>
      </c>
      <c r="C49" s="229">
        <f>'Summary month'!N46</f>
        <v>-145.46811288321501</v>
      </c>
      <c r="D49" s="229">
        <f>'Summary month'!I46</f>
        <v>-128.47130442265509</v>
      </c>
      <c r="E49" s="226">
        <f>+D49-C49</f>
        <v>16.996808460559919</v>
      </c>
      <c r="F49" s="226">
        <f>T61</f>
        <v>6.3189494941562536</v>
      </c>
      <c r="G49" s="226">
        <f>SUM(U61:AH61)</f>
        <v>10.677858966403665</v>
      </c>
      <c r="H49" s="502">
        <f>E49-F49-G49</f>
        <v>0</v>
      </c>
      <c r="I49" s="216"/>
      <c r="J49" s="216"/>
      <c r="K49" s="216"/>
      <c r="L49" s="216"/>
      <c r="M49" s="216"/>
      <c r="N49" s="216"/>
      <c r="O49" s="216"/>
      <c r="P49" s="216"/>
      <c r="Q49" s="216"/>
      <c r="R49" s="216"/>
      <c r="S49" s="216"/>
      <c r="T49" s="216"/>
      <c r="U49" s="216"/>
      <c r="V49" s="216"/>
      <c r="W49" s="216"/>
      <c r="X49" s="216"/>
      <c r="Y49" s="216"/>
      <c r="Z49" s="216"/>
      <c r="AA49" s="216"/>
      <c r="AB49" s="216"/>
      <c r="AC49" s="216"/>
      <c r="AD49" s="216"/>
      <c r="AE49" s="216"/>
      <c r="AF49" s="216"/>
      <c r="AG49" s="216"/>
      <c r="AH49" s="216"/>
    </row>
    <row r="50" spans="2:36" ht="20.25">
      <c r="B50" s="226" t="s">
        <v>326</v>
      </c>
      <c r="C50" s="226">
        <f>+C48+C49</f>
        <v>-57.95148550801386</v>
      </c>
      <c r="D50" s="226">
        <f>+D48+D49</f>
        <v>-42.387684835008343</v>
      </c>
      <c r="E50" s="226">
        <f>+D50-C50</f>
        <v>15.563800673005517</v>
      </c>
      <c r="F50" s="226">
        <f>+E50-G50</f>
        <v>6.3189494941562536</v>
      </c>
      <c r="G50" s="226">
        <f>+G48+G49</f>
        <v>9.2448511788492631</v>
      </c>
      <c r="H50" s="502">
        <f>E50-F50-G50</f>
        <v>0</v>
      </c>
      <c r="I50" s="216"/>
      <c r="J50" s="216"/>
      <c r="K50" s="216"/>
      <c r="L50" s="216"/>
      <c r="M50" s="216"/>
      <c r="N50" s="216"/>
      <c r="O50" s="216"/>
      <c r="P50" s="216"/>
      <c r="Q50" s="216"/>
      <c r="R50" s="216"/>
      <c r="S50" s="216"/>
      <c r="T50" s="216"/>
      <c r="U50" s="216"/>
      <c r="V50" s="216"/>
      <c r="W50" s="216"/>
      <c r="X50" s="216"/>
      <c r="Y50" s="216"/>
      <c r="Z50" s="216"/>
      <c r="AA50" s="216"/>
      <c r="AB50" s="216"/>
      <c r="AC50" s="216"/>
      <c r="AD50" s="216"/>
      <c r="AE50" s="216"/>
      <c r="AF50" s="216"/>
      <c r="AG50" s="216"/>
      <c r="AH50" s="216"/>
    </row>
    <row r="51" spans="2:36" ht="18">
      <c r="B51" s="215"/>
      <c r="C51" s="216"/>
      <c r="D51" s="215"/>
      <c r="E51" s="216"/>
      <c r="F51" s="215"/>
      <c r="G51" s="217" t="s">
        <v>138</v>
      </c>
      <c r="H51" s="216"/>
      <c r="I51" s="216"/>
      <c r="J51" s="216"/>
      <c r="K51" s="216"/>
      <c r="L51" s="216"/>
      <c r="M51" s="216"/>
      <c r="N51" s="216"/>
      <c r="O51" s="216"/>
      <c r="P51" s="216"/>
      <c r="Q51" s="216"/>
      <c r="R51" s="216"/>
      <c r="S51" s="216"/>
      <c r="T51" s="216"/>
      <c r="U51" s="216"/>
      <c r="V51" s="216"/>
      <c r="W51" s="216"/>
      <c r="X51" s="216"/>
      <c r="Y51" s="216"/>
      <c r="Z51" s="216"/>
      <c r="AA51" s="216"/>
      <c r="AB51" s="216"/>
      <c r="AC51" s="216"/>
      <c r="AD51" s="216"/>
      <c r="AE51" s="216"/>
      <c r="AF51" s="216"/>
      <c r="AG51" s="216"/>
      <c r="AH51" s="216"/>
    </row>
    <row r="52" spans="2:36" ht="20.100000000000001" customHeight="1">
      <c r="B52" s="1014" t="s">
        <v>213</v>
      </c>
      <c r="C52" s="1014" t="s">
        <v>214</v>
      </c>
      <c r="D52" s="218"/>
      <c r="E52" s="219"/>
      <c r="F52" s="219"/>
      <c r="G52" s="220"/>
      <c r="H52" s="216"/>
      <c r="I52" s="216"/>
      <c r="J52" s="216"/>
      <c r="K52" s="216"/>
      <c r="L52" s="216" t="s">
        <v>301</v>
      </c>
      <c r="M52" s="478">
        <f>SUM(E55:E57,G55)</f>
        <v>0</v>
      </c>
      <c r="N52" s="216"/>
      <c r="O52" s="221"/>
      <c r="P52" s="221"/>
      <c r="Q52" s="221"/>
      <c r="R52" s="216"/>
      <c r="S52" s="216"/>
      <c r="T52" s="216"/>
      <c r="U52" s="216"/>
      <c r="V52" s="216"/>
      <c r="W52" s="221"/>
      <c r="X52" s="221"/>
      <c r="Y52" s="221"/>
      <c r="Z52" s="221"/>
      <c r="AA52" s="221"/>
      <c r="AB52" s="221"/>
      <c r="AC52" s="221"/>
      <c r="AD52" s="221"/>
      <c r="AE52" s="221"/>
      <c r="AF52" s="221"/>
      <c r="AG52" s="221"/>
      <c r="AH52" s="221"/>
    </row>
    <row r="53" spans="2:36" ht="40.5">
      <c r="B53" s="1015"/>
      <c r="C53" s="1016"/>
      <c r="D53" s="222"/>
      <c r="E53" s="223" t="s">
        <v>154</v>
      </c>
      <c r="F53" s="224" t="s">
        <v>198</v>
      </c>
      <c r="G53" s="225" t="s">
        <v>156</v>
      </c>
      <c r="H53" s="216"/>
      <c r="I53" s="216" t="s">
        <v>208</v>
      </c>
      <c r="J53" s="216"/>
      <c r="K53" s="216"/>
      <c r="L53" s="216" t="s">
        <v>302</v>
      </c>
      <c r="M53" s="334">
        <f>SUM(U62:AH62,AJ64)</f>
        <v>6.3189494941562536</v>
      </c>
      <c r="N53" s="216"/>
      <c r="O53" s="216"/>
      <c r="P53" s="216"/>
      <c r="Q53" s="216"/>
      <c r="R53" s="216"/>
      <c r="S53" s="216"/>
      <c r="T53" s="216"/>
      <c r="V53" s="216"/>
      <c r="W53" s="216"/>
      <c r="X53" s="216"/>
      <c r="Y53" s="216"/>
      <c r="Z53" s="216"/>
      <c r="AA53" s="216"/>
      <c r="AB53" s="216"/>
      <c r="AC53" s="407" t="s">
        <v>266</v>
      </c>
      <c r="AD53" s="408"/>
      <c r="AE53" s="216"/>
      <c r="AF53" s="216"/>
      <c r="AG53" s="216"/>
      <c r="AH53" s="216"/>
    </row>
    <row r="54" spans="2:36" ht="20.25">
      <c r="B54" s="226">
        <f>'Summary month'!N47</f>
        <v>-57.95148550801386</v>
      </c>
      <c r="C54" s="226">
        <f>'Summary month'!I47</f>
        <v>-42.387684835008343</v>
      </c>
      <c r="D54" s="227">
        <f>C54-B54</f>
        <v>15.563800673005517</v>
      </c>
      <c r="E54" s="228">
        <f>SUM(M52:M53)</f>
        <v>6.3189494941562536</v>
      </c>
      <c r="F54" s="229">
        <f>'Summary month'!R27-M52</f>
        <v>-1.4330077875544021</v>
      </c>
      <c r="G54" s="229">
        <f>'Summary month'!R46-M53</f>
        <v>10.677858966403665</v>
      </c>
      <c r="H54" s="216"/>
      <c r="I54" s="286">
        <f>SUM(E54:G54)-D54</f>
        <v>0</v>
      </c>
      <c r="J54" s="216"/>
      <c r="K54" s="216"/>
      <c r="L54" s="216"/>
      <c r="M54" s="216"/>
      <c r="N54" s="216"/>
      <c r="O54" s="230"/>
      <c r="P54" s="216"/>
      <c r="Q54" s="216"/>
      <c r="R54" s="216"/>
      <c r="S54" s="216"/>
      <c r="T54" s="216"/>
      <c r="U54" s="216"/>
      <c r="V54" s="216"/>
      <c r="W54" s="230"/>
      <c r="X54" s="216"/>
      <c r="Y54" s="230"/>
      <c r="Z54" s="230"/>
      <c r="AA54" s="230"/>
      <c r="AB54" s="230"/>
      <c r="AC54" s="409" t="s">
        <v>269</v>
      </c>
      <c r="AD54" s="408"/>
      <c r="AE54" s="230"/>
      <c r="AF54" s="230"/>
      <c r="AG54" s="230"/>
      <c r="AH54" s="230"/>
    </row>
    <row r="55" spans="2:36">
      <c r="B55" s="216"/>
      <c r="C55" s="216"/>
      <c r="D55" s="216" t="s">
        <v>139</v>
      </c>
      <c r="E55" s="315">
        <v>0</v>
      </c>
      <c r="F55" s="216" t="s">
        <v>193</v>
      </c>
      <c r="G55" s="286">
        <v>0</v>
      </c>
      <c r="H55" s="216"/>
      <c r="I55" s="216"/>
      <c r="J55" s="216"/>
      <c r="K55" s="216"/>
      <c r="L55" s="216"/>
      <c r="M55" s="216"/>
      <c r="N55" s="216"/>
      <c r="O55" s="216"/>
      <c r="P55" s="216"/>
      <c r="Q55" s="216"/>
      <c r="R55" s="216"/>
      <c r="S55" s="216"/>
      <c r="T55" s="216"/>
      <c r="U55" s="216"/>
      <c r="V55" s="216"/>
      <c r="W55" s="216" t="s">
        <v>145</v>
      </c>
      <c r="X55" s="479">
        <f>-Y55</f>
        <v>0</v>
      </c>
      <c r="Y55" s="216">
        <v>0</v>
      </c>
      <c r="Z55" s="216"/>
      <c r="AA55" s="216"/>
      <c r="AB55" s="216"/>
      <c r="AC55" s="407" t="s">
        <v>141</v>
      </c>
      <c r="AD55" s="408"/>
      <c r="AE55" s="216"/>
      <c r="AF55" s="216"/>
      <c r="AG55" s="216"/>
      <c r="AH55" s="216"/>
    </row>
    <row r="56" spans="2:36">
      <c r="B56" s="216"/>
      <c r="C56" s="216"/>
      <c r="D56" s="216" t="s">
        <v>200</v>
      </c>
      <c r="E56" s="315">
        <v>0</v>
      </c>
      <c r="F56" s="216"/>
      <c r="G56" s="216"/>
      <c r="H56" s="216"/>
      <c r="I56" s="216"/>
      <c r="J56" s="216"/>
      <c r="K56" s="216"/>
      <c r="L56" s="216"/>
      <c r="M56" s="216"/>
      <c r="N56" s="216"/>
      <c r="O56" s="216"/>
      <c r="P56" s="216"/>
      <c r="Q56" s="216"/>
      <c r="R56" s="216"/>
      <c r="S56" s="216"/>
      <c r="T56" s="216"/>
      <c r="W56" t="s">
        <v>193</v>
      </c>
      <c r="X56" s="129">
        <f>-Y56</f>
        <v>0</v>
      </c>
      <c r="Y56">
        <v>0</v>
      </c>
      <c r="AC56" s="407" t="s">
        <v>144</v>
      </c>
      <c r="AD56" s="417">
        <f>AD61-SUM(AD53:AD55)</f>
        <v>18.340845705115637</v>
      </c>
      <c r="AH56" s="216"/>
    </row>
    <row r="57" spans="2:36" ht="21" thickBot="1">
      <c r="B57" s="231" t="s">
        <v>157</v>
      </c>
      <c r="C57" s="232"/>
      <c r="D57" s="232" t="s">
        <v>145</v>
      </c>
      <c r="E57" s="316">
        <v>0</v>
      </c>
      <c r="F57" s="232"/>
      <c r="G57" s="232"/>
      <c r="H57" s="232"/>
      <c r="I57" s="232"/>
      <c r="J57" s="232"/>
      <c r="K57" s="232"/>
      <c r="L57" s="232"/>
      <c r="M57" s="232"/>
      <c r="N57" s="232"/>
      <c r="O57" s="232"/>
      <c r="P57" s="232"/>
      <c r="Q57" s="232"/>
      <c r="R57" s="232"/>
      <c r="S57" s="232"/>
      <c r="T57" s="232"/>
      <c r="U57" s="232"/>
      <c r="V57" s="232"/>
      <c r="W57" s="232" t="s">
        <v>144</v>
      </c>
      <c r="X57" s="313">
        <f>X61-SUM(X55:X56)</f>
        <v>0.22412549286345396</v>
      </c>
      <c r="Y57" s="232"/>
      <c r="Z57" s="232"/>
      <c r="AA57" s="232"/>
      <c r="AB57" s="232"/>
      <c r="AC57" s="232"/>
      <c r="AD57" s="232"/>
      <c r="AE57" s="232"/>
      <c r="AF57" s="232"/>
      <c r="AG57" s="232"/>
      <c r="AH57" s="217" t="s">
        <v>138</v>
      </c>
    </row>
    <row r="58" spans="2:36" ht="21" thickBot="1">
      <c r="B58" s="233"/>
      <c r="C58" s="234" t="s">
        <v>199</v>
      </c>
      <c r="D58" s="234"/>
      <c r="E58" s="234"/>
      <c r="F58" s="234"/>
      <c r="G58" s="234"/>
      <c r="H58" s="234"/>
      <c r="I58" s="234"/>
      <c r="J58" s="234"/>
      <c r="K58" s="234"/>
      <c r="L58" s="234"/>
      <c r="M58" s="234"/>
      <c r="N58" s="234"/>
      <c r="O58" s="234"/>
      <c r="P58" s="234"/>
      <c r="Q58" s="234"/>
      <c r="R58" s="234"/>
      <c r="S58" s="235"/>
      <c r="T58" s="236"/>
      <c r="U58" s="237" t="s">
        <v>160</v>
      </c>
      <c r="V58" s="237"/>
      <c r="W58" s="237"/>
      <c r="X58" s="237"/>
      <c r="Y58" s="237"/>
      <c r="Z58" s="237"/>
      <c r="AA58" s="237"/>
      <c r="AB58" s="237"/>
      <c r="AC58" s="237"/>
      <c r="AD58" s="237"/>
      <c r="AE58" s="237"/>
      <c r="AF58" s="237"/>
      <c r="AG58" s="237"/>
      <c r="AH58" s="238"/>
    </row>
    <row r="59" spans="2:36" ht="20.25">
      <c r="B59" s="1027" t="s">
        <v>274</v>
      </c>
      <c r="C59" s="239" t="s">
        <v>161</v>
      </c>
      <c r="D59" s="240"/>
      <c r="E59" s="240"/>
      <c r="F59" s="240"/>
      <c r="G59" s="241"/>
      <c r="H59" s="1017" t="s">
        <v>162</v>
      </c>
      <c r="I59" s="242" t="s">
        <v>163</v>
      </c>
      <c r="J59" s="243"/>
      <c r="K59" s="243"/>
      <c r="L59" s="243"/>
      <c r="M59" s="243"/>
      <c r="N59" s="244"/>
      <c r="O59" s="1029" t="s">
        <v>164</v>
      </c>
      <c r="P59" s="1029" t="s">
        <v>165</v>
      </c>
      <c r="Q59" s="1019" t="s">
        <v>166</v>
      </c>
      <c r="R59" s="1022" t="s">
        <v>167</v>
      </c>
      <c r="S59" s="1023" t="s">
        <v>168</v>
      </c>
      <c r="T59" s="1027" t="s">
        <v>274</v>
      </c>
      <c r="U59" s="245" t="s">
        <v>169</v>
      </c>
      <c r="V59" s="246"/>
      <c r="W59" s="246"/>
      <c r="X59" s="247"/>
      <c r="Y59" s="248" t="s">
        <v>163</v>
      </c>
      <c r="Z59" s="246"/>
      <c r="AA59" s="246"/>
      <c r="AB59" s="246"/>
      <c r="AC59" s="246"/>
      <c r="AD59" s="247"/>
      <c r="AE59" s="1022" t="s">
        <v>166</v>
      </c>
      <c r="AF59" s="1025" t="s">
        <v>167</v>
      </c>
      <c r="AG59" s="311"/>
      <c r="AH59" s="1012" t="s">
        <v>168</v>
      </c>
    </row>
    <row r="60" spans="2:36" ht="60.75">
      <c r="B60" s="1028"/>
      <c r="C60" s="249" t="s">
        <v>170</v>
      </c>
      <c r="D60" s="300" t="s">
        <v>171</v>
      </c>
      <c r="E60" s="250" t="s">
        <v>172</v>
      </c>
      <c r="F60" s="250" t="s">
        <v>173</v>
      </c>
      <c r="G60" s="251" t="s">
        <v>174</v>
      </c>
      <c r="H60" s="1018"/>
      <c r="I60" s="250" t="s">
        <v>175</v>
      </c>
      <c r="J60" s="250" t="s">
        <v>176</v>
      </c>
      <c r="K60" s="250" t="s">
        <v>201</v>
      </c>
      <c r="L60" s="250" t="s">
        <v>178</v>
      </c>
      <c r="M60" s="250" t="s">
        <v>168</v>
      </c>
      <c r="N60" s="250" t="s">
        <v>179</v>
      </c>
      <c r="O60" s="1030"/>
      <c r="P60" s="1031"/>
      <c r="Q60" s="1021"/>
      <c r="R60" s="1021"/>
      <c r="S60" s="1024"/>
      <c r="T60" s="1028"/>
      <c r="U60" s="307" t="s">
        <v>203</v>
      </c>
      <c r="V60" s="308" t="s">
        <v>180</v>
      </c>
      <c r="W60" s="309" t="s">
        <v>181</v>
      </c>
      <c r="X60" s="310" t="s">
        <v>33</v>
      </c>
      <c r="Y60" s="305" t="s">
        <v>25</v>
      </c>
      <c r="Z60" s="306" t="s">
        <v>183</v>
      </c>
      <c r="AA60" s="306" t="s">
        <v>204</v>
      </c>
      <c r="AB60" s="306" t="s">
        <v>205</v>
      </c>
      <c r="AC60" s="306" t="s">
        <v>184</v>
      </c>
      <c r="AD60" s="306" t="s">
        <v>30</v>
      </c>
      <c r="AE60" s="1021"/>
      <c r="AF60" s="1026"/>
      <c r="AG60" s="312" t="s">
        <v>37</v>
      </c>
      <c r="AH60" s="1013"/>
    </row>
    <row r="61" spans="2:36" ht="21" thickBot="1">
      <c r="B61" s="252">
        <f>M52</f>
        <v>0</v>
      </c>
      <c r="C61" s="253">
        <v>0</v>
      </c>
      <c r="D61" s="302"/>
      <c r="E61" s="254">
        <v>0</v>
      </c>
      <c r="F61" s="254">
        <v>0</v>
      </c>
      <c r="G61" s="254"/>
      <c r="H61" s="254"/>
      <c r="I61" s="254"/>
      <c r="J61" s="255"/>
      <c r="K61" s="255"/>
      <c r="L61" s="255"/>
      <c r="M61" s="255"/>
      <c r="N61" s="303"/>
      <c r="O61" s="302"/>
      <c r="P61" s="302"/>
      <c r="Q61" s="256"/>
      <c r="R61" s="254">
        <v>12.717655617000013</v>
      </c>
      <c r="S61" s="257">
        <f>F54-SUM(C61:R61)</f>
        <v>-14.150663404554415</v>
      </c>
      <c r="T61" s="253">
        <f>M53</f>
        <v>6.3189494941562536</v>
      </c>
      <c r="U61" s="253">
        <f>'Summary month'!R36-U62</f>
        <v>3.1916235729543345</v>
      </c>
      <c r="V61" s="258">
        <f>'Summary month'!R37-V62</f>
        <v>0</v>
      </c>
      <c r="W61" s="258"/>
      <c r="X61" s="258">
        <f>'Summary month'!R38-X62</f>
        <v>0.22412549286345396</v>
      </c>
      <c r="Y61" s="258">
        <f>'Summary month'!R29-Y62</f>
        <v>-1.4870941958364927</v>
      </c>
      <c r="Z61" s="258">
        <f>'Summary month'!R30-Z62</f>
        <v>-0.14047596134633089</v>
      </c>
      <c r="AA61" s="258">
        <f>'Summary month'!R31-AA62</f>
        <v>1.0794793314293116E-2</v>
      </c>
      <c r="AB61" s="301"/>
      <c r="AC61" s="258">
        <f>'Summary month'!R32-AC62</f>
        <v>-1.5355153807910504</v>
      </c>
      <c r="AD61" s="258">
        <f>'Summary month'!R34-AD62</f>
        <v>18.340845705115637</v>
      </c>
      <c r="AE61" s="256"/>
      <c r="AF61" s="259"/>
      <c r="AG61" s="254">
        <f>'Summary month'!R42-AG62</f>
        <v>-7.3803659451620867</v>
      </c>
      <c r="AH61" s="260">
        <f>G54-SUM(U61:AG61)</f>
        <v>-0.54607911470809256</v>
      </c>
    </row>
    <row r="62" spans="2:36" ht="18">
      <c r="B62" s="216"/>
      <c r="C62" s="272"/>
      <c r="D62" s="216"/>
      <c r="E62" s="216"/>
      <c r="F62" s="216"/>
      <c r="G62" s="216"/>
      <c r="H62" s="216"/>
      <c r="I62" s="216"/>
      <c r="J62" s="216"/>
      <c r="K62" s="216"/>
      <c r="L62" s="216"/>
      <c r="M62" s="216"/>
      <c r="N62" s="216"/>
      <c r="O62" s="216"/>
      <c r="P62" s="216"/>
      <c r="Q62" s="216"/>
      <c r="R62" s="216"/>
      <c r="S62" s="216"/>
      <c r="T62" s="216"/>
      <c r="U62" s="216">
        <v>0</v>
      </c>
      <c r="V62" s="216"/>
      <c r="W62" s="216"/>
      <c r="X62" s="216">
        <f>SUM(Y55:Y56)</f>
        <v>0</v>
      </c>
      <c r="Y62" s="216">
        <v>3.0938971286692034</v>
      </c>
      <c r="Z62" s="216"/>
      <c r="AA62" s="216"/>
      <c r="AB62" s="216"/>
      <c r="AC62" s="216">
        <v>0</v>
      </c>
      <c r="AD62" s="216"/>
      <c r="AE62" s="216"/>
      <c r="AF62" s="216"/>
      <c r="AG62" s="334">
        <v>3.4355507541620898</v>
      </c>
      <c r="AH62" s="216"/>
    </row>
    <row r="63" spans="2:36" ht="20.25">
      <c r="B63" s="221"/>
      <c r="C63" s="272"/>
      <c r="D63" s="221"/>
      <c r="E63" s="221"/>
      <c r="F63" s="221"/>
      <c r="G63" s="221"/>
      <c r="H63" s="221"/>
      <c r="I63" s="221"/>
      <c r="J63" s="221"/>
      <c r="K63" s="221"/>
      <c r="L63" s="221"/>
      <c r="M63" s="221"/>
      <c r="N63" s="221"/>
      <c r="O63" s="221"/>
      <c r="P63" s="221"/>
      <c r="Q63" s="221"/>
      <c r="R63" s="221"/>
      <c r="S63" s="221"/>
      <c r="T63" s="221"/>
      <c r="U63" s="221"/>
      <c r="V63" s="221"/>
      <c r="W63" s="221"/>
      <c r="X63" s="263" t="s">
        <v>185</v>
      </c>
      <c r="Y63" s="264"/>
      <c r="Z63" s="264"/>
      <c r="AA63" s="264"/>
      <c r="AB63" s="265">
        <f>AD61</f>
        <v>18.340845705115637</v>
      </c>
      <c r="AC63" s="221"/>
      <c r="AD63" s="263" t="s">
        <v>186</v>
      </c>
      <c r="AE63" s="264"/>
      <c r="AF63" s="264"/>
      <c r="AG63" s="264"/>
      <c r="AH63" s="265">
        <f>AH61</f>
        <v>-0.54607911470809256</v>
      </c>
    </row>
    <row r="64" spans="2:36" ht="18">
      <c r="B64" s="216"/>
      <c r="C64" s="272"/>
      <c r="D64" s="216"/>
      <c r="E64" s="216"/>
      <c r="F64" s="216"/>
      <c r="G64" s="216"/>
      <c r="H64" s="216"/>
      <c r="I64" s="216"/>
      <c r="J64" s="216"/>
      <c r="K64" s="216"/>
      <c r="L64" s="216"/>
      <c r="M64" s="216"/>
      <c r="N64" s="216"/>
      <c r="O64" s="216"/>
      <c r="P64" s="216"/>
      <c r="Q64" s="216"/>
      <c r="R64" s="216"/>
      <c r="S64" s="216"/>
      <c r="T64" s="216"/>
      <c r="U64" s="216"/>
      <c r="V64" s="216"/>
      <c r="W64" s="216"/>
      <c r="X64" s="268">
        <v>1</v>
      </c>
      <c r="Y64" s="269"/>
      <c r="Z64" s="270"/>
      <c r="AA64" s="270"/>
      <c r="AB64" s="271"/>
      <c r="AC64" s="216"/>
      <c r="AD64" s="268">
        <v>1</v>
      </c>
      <c r="AE64" s="269" t="s">
        <v>39</v>
      </c>
      <c r="AF64" s="270"/>
      <c r="AG64" s="270"/>
      <c r="AH64" s="271">
        <f>'Summary month'!R44-AJ64</f>
        <v>-0.54607911470808546</v>
      </c>
      <c r="AI64" t="s">
        <v>262</v>
      </c>
      <c r="AJ64">
        <f>'Summary month'!R74</f>
        <v>-0.21049838867504</v>
      </c>
    </row>
    <row r="65" spans="2:36" ht="20.25">
      <c r="B65" s="216"/>
      <c r="C65" s="272"/>
      <c r="D65" s="216"/>
      <c r="E65" s="216"/>
      <c r="F65" s="216"/>
      <c r="G65" s="216"/>
      <c r="H65" s="216"/>
      <c r="I65" s="273" t="s">
        <v>188</v>
      </c>
      <c r="J65" s="274"/>
      <c r="K65" s="274"/>
      <c r="L65" s="274"/>
      <c r="M65" s="275">
        <f>M61</f>
        <v>0</v>
      </c>
      <c r="N65" s="216"/>
      <c r="O65" s="216"/>
      <c r="P65" s="216"/>
      <c r="Q65" s="216"/>
      <c r="R65" s="216"/>
      <c r="S65" s="216"/>
      <c r="T65" s="216"/>
      <c r="U65" s="216"/>
      <c r="V65" s="216"/>
      <c r="W65" s="216"/>
      <c r="X65" s="268">
        <v>2</v>
      </c>
      <c r="Y65" s="276"/>
      <c r="Z65" s="277"/>
      <c r="AA65" s="277"/>
      <c r="AB65" s="278"/>
      <c r="AC65" s="216"/>
      <c r="AD65" s="268">
        <v>2</v>
      </c>
      <c r="AE65" s="276"/>
      <c r="AF65" s="277"/>
      <c r="AG65" s="277"/>
      <c r="AH65" s="278"/>
      <c r="AI65" t="s">
        <v>144</v>
      </c>
      <c r="AJ65" s="318">
        <f>AH64</f>
        <v>-0.54607911470808546</v>
      </c>
    </row>
    <row r="66" spans="2:36" ht="18">
      <c r="B66" s="216"/>
      <c r="C66" s="272"/>
      <c r="D66" s="216"/>
      <c r="E66" s="216"/>
      <c r="F66" s="216"/>
      <c r="G66" s="216"/>
      <c r="H66" s="216"/>
      <c r="I66" s="279">
        <v>1</v>
      </c>
      <c r="J66" s="269"/>
      <c r="K66" s="270"/>
      <c r="L66" s="270"/>
      <c r="M66" s="280"/>
      <c r="N66" s="216"/>
      <c r="O66" s="216"/>
      <c r="P66" s="216"/>
      <c r="Q66" s="216"/>
      <c r="R66" s="216"/>
      <c r="S66" s="216"/>
      <c r="T66" s="216"/>
      <c r="U66" s="216"/>
      <c r="V66" s="216"/>
      <c r="W66" s="216"/>
      <c r="X66" s="268">
        <v>3</v>
      </c>
      <c r="Y66" s="276"/>
      <c r="Z66" s="277"/>
      <c r="AA66" s="277"/>
      <c r="AB66" s="278"/>
      <c r="AC66" s="216"/>
      <c r="AD66" s="268">
        <v>3</v>
      </c>
      <c r="AE66" s="276"/>
      <c r="AF66" s="277"/>
      <c r="AG66" s="277"/>
      <c r="AH66" s="278"/>
    </row>
    <row r="67" spans="2:36" ht="18">
      <c r="B67" s="216"/>
      <c r="C67" s="272"/>
      <c r="D67" s="216"/>
      <c r="E67" s="216"/>
      <c r="F67" s="216"/>
      <c r="G67" s="216"/>
      <c r="H67" s="216"/>
      <c r="I67" s="279">
        <v>2</v>
      </c>
      <c r="J67" s="276"/>
      <c r="K67" s="277"/>
      <c r="L67" s="277"/>
      <c r="M67" s="281"/>
      <c r="N67" s="216"/>
      <c r="O67" s="216"/>
      <c r="P67" s="216"/>
      <c r="Q67" s="216"/>
      <c r="R67" s="216"/>
      <c r="S67" s="216"/>
      <c r="T67" s="216"/>
      <c r="U67" s="216"/>
      <c r="V67" s="216"/>
      <c r="W67" s="216"/>
      <c r="X67" s="268">
        <v>4</v>
      </c>
      <c r="Y67" s="276"/>
      <c r="Z67" s="277"/>
      <c r="AA67" s="277"/>
      <c r="AB67" s="278"/>
      <c r="AC67" s="216"/>
      <c r="AD67" s="268">
        <v>4</v>
      </c>
      <c r="AE67" s="276"/>
      <c r="AF67" s="277"/>
      <c r="AG67" s="277"/>
      <c r="AH67" s="278"/>
    </row>
    <row r="68" spans="2:36" ht="18">
      <c r="B68" s="216"/>
      <c r="C68" s="272"/>
      <c r="D68" s="216"/>
      <c r="E68" s="216"/>
      <c r="F68" s="216"/>
      <c r="G68" s="216"/>
      <c r="H68" s="216"/>
      <c r="I68" s="279">
        <v>3</v>
      </c>
      <c r="J68" s="276"/>
      <c r="K68" s="277"/>
      <c r="L68" s="277"/>
      <c r="M68" s="281"/>
      <c r="N68" s="216"/>
      <c r="O68" s="216"/>
      <c r="P68" s="216"/>
      <c r="Q68" s="216"/>
      <c r="R68" s="216"/>
      <c r="S68" s="216"/>
      <c r="T68" s="216"/>
      <c r="U68" s="216"/>
      <c r="V68" s="216"/>
      <c r="W68" s="216"/>
      <c r="X68" s="282">
        <v>5</v>
      </c>
      <c r="Y68" s="283" t="s">
        <v>182</v>
      </c>
      <c r="Z68" s="284"/>
      <c r="AA68" s="284"/>
      <c r="AB68" s="285">
        <f>AB63-SUM(AB64:AB67)</f>
        <v>18.340845705115637</v>
      </c>
      <c r="AC68" s="216"/>
      <c r="AD68" s="282">
        <v>5</v>
      </c>
      <c r="AE68" s="283" t="s">
        <v>182</v>
      </c>
      <c r="AF68" s="284"/>
      <c r="AG68" s="284"/>
      <c r="AH68" s="285">
        <f>AH63-SUM(AH64:AH67)</f>
        <v>-7.1054273576010019E-15</v>
      </c>
    </row>
    <row r="69" spans="2:36" ht="18">
      <c r="B69" s="216"/>
      <c r="C69" s="216"/>
      <c r="D69" s="272"/>
      <c r="E69" s="272"/>
      <c r="F69" s="272"/>
      <c r="G69" s="272"/>
      <c r="H69" s="272"/>
      <c r="I69" s="279">
        <v>4</v>
      </c>
      <c r="J69" s="276"/>
      <c r="K69" s="277"/>
      <c r="L69" s="277"/>
      <c r="M69" s="281"/>
      <c r="N69" s="216"/>
      <c r="O69" s="216"/>
      <c r="P69" s="272"/>
      <c r="Q69" s="272"/>
      <c r="R69" s="216"/>
      <c r="S69" s="216"/>
      <c r="T69" s="216"/>
      <c r="U69" s="216"/>
      <c r="V69" s="216"/>
      <c r="W69" s="216"/>
      <c r="X69" s="216"/>
      <c r="Y69" s="216"/>
      <c r="Z69" s="216"/>
      <c r="AA69" s="216"/>
      <c r="AB69" s="216"/>
      <c r="AC69" s="216"/>
      <c r="AD69" s="216"/>
      <c r="AE69" s="216"/>
      <c r="AF69" s="216"/>
      <c r="AG69" s="287"/>
      <c r="AH69" s="287"/>
    </row>
    <row r="70" spans="2:36" ht="18">
      <c r="B70" s="216"/>
      <c r="C70" s="272"/>
      <c r="D70" s="216"/>
      <c r="E70" s="216"/>
      <c r="F70" s="216"/>
      <c r="G70" s="216"/>
      <c r="H70" s="216"/>
      <c r="I70" s="288">
        <v>5</v>
      </c>
      <c r="J70" s="289" t="s">
        <v>182</v>
      </c>
      <c r="K70" s="284"/>
      <c r="L70" s="284"/>
      <c r="M70" s="290">
        <f>M65-SUM(M66:M69)</f>
        <v>0</v>
      </c>
      <c r="N70" s="216"/>
      <c r="O70" s="216"/>
      <c r="P70" s="216"/>
      <c r="Q70" s="216"/>
      <c r="R70" s="216"/>
      <c r="S70" s="216"/>
      <c r="T70" s="216"/>
      <c r="U70" s="216"/>
      <c r="V70" s="216"/>
      <c r="W70" s="216"/>
      <c r="X70" s="216"/>
      <c r="Y70" s="216"/>
      <c r="Z70" s="216"/>
      <c r="AA70" s="216"/>
      <c r="AB70" s="216"/>
      <c r="AC70" s="216"/>
      <c r="AD70" s="216"/>
      <c r="AE70" s="216"/>
      <c r="AF70" s="216"/>
      <c r="AG70" s="216"/>
      <c r="AH70" s="216"/>
    </row>
    <row r="71" spans="2:36" ht="18">
      <c r="B71" s="216"/>
      <c r="C71" s="272"/>
      <c r="D71" s="216"/>
      <c r="E71" s="216"/>
      <c r="F71" s="216"/>
      <c r="G71" s="216"/>
      <c r="H71" s="216"/>
      <c r="I71" s="216"/>
      <c r="J71" s="216"/>
      <c r="K71" s="216"/>
      <c r="L71" s="216"/>
      <c r="M71" s="216"/>
      <c r="N71" s="216"/>
      <c r="O71" s="216"/>
      <c r="P71" s="216"/>
      <c r="Q71" s="216"/>
      <c r="R71" s="216"/>
      <c r="S71" s="216"/>
      <c r="T71" s="216"/>
      <c r="U71" s="216"/>
      <c r="V71" s="216"/>
      <c r="W71" s="216"/>
      <c r="X71" s="216"/>
      <c r="Y71" s="216"/>
      <c r="Z71" s="216"/>
      <c r="AA71" s="216"/>
      <c r="AB71" s="216"/>
      <c r="AC71" s="216"/>
      <c r="AD71" s="216"/>
      <c r="AE71" s="216"/>
      <c r="AF71" s="216"/>
      <c r="AG71" s="216"/>
      <c r="AH71" s="216"/>
    </row>
    <row r="72" spans="2:36" ht="18">
      <c r="B72" s="216"/>
      <c r="C72" s="272"/>
      <c r="D72" s="272"/>
      <c r="E72" s="216"/>
      <c r="F72" s="216"/>
      <c r="G72" s="216"/>
      <c r="H72" s="216"/>
      <c r="I72" s="216"/>
      <c r="J72" s="216"/>
      <c r="K72" s="216"/>
      <c r="L72" s="216"/>
      <c r="M72" s="216"/>
      <c r="N72" s="216"/>
      <c r="O72" s="216"/>
      <c r="P72" s="216"/>
      <c r="Q72" s="216"/>
      <c r="R72" s="216"/>
      <c r="S72" s="216"/>
      <c r="T72" s="216"/>
      <c r="U72" s="216"/>
      <c r="V72" s="216"/>
      <c r="W72" s="216"/>
      <c r="X72" s="216"/>
      <c r="Y72" s="216"/>
      <c r="Z72" s="216"/>
      <c r="AA72" s="216"/>
      <c r="AB72" s="216"/>
      <c r="AC72" s="216"/>
      <c r="AD72" s="216"/>
      <c r="AE72" s="216"/>
      <c r="AF72" s="216"/>
      <c r="AG72" s="216"/>
      <c r="AH72" s="216"/>
    </row>
    <row r="73" spans="2:36">
      <c r="B73" s="216"/>
      <c r="C73" s="216"/>
      <c r="D73" s="216"/>
      <c r="E73" s="216"/>
      <c r="F73" s="216"/>
      <c r="G73" s="216"/>
      <c r="H73" s="216"/>
      <c r="I73" s="216"/>
      <c r="J73" s="216"/>
      <c r="K73" s="216"/>
      <c r="L73" s="216"/>
      <c r="M73" s="216"/>
      <c r="N73" s="216"/>
      <c r="O73" s="216"/>
      <c r="P73" s="216"/>
      <c r="Q73" s="216"/>
      <c r="R73" s="216"/>
      <c r="S73" s="216"/>
      <c r="T73" s="216"/>
      <c r="U73" s="216"/>
      <c r="V73" s="216"/>
      <c r="W73" s="216"/>
      <c r="X73" s="216"/>
      <c r="Y73" s="216"/>
      <c r="Z73" s="216"/>
      <c r="AA73" s="216"/>
      <c r="AB73" s="216"/>
      <c r="AC73" s="216"/>
      <c r="AD73" s="216"/>
      <c r="AE73" s="216"/>
      <c r="AF73" s="216"/>
      <c r="AG73" s="216"/>
      <c r="AH73" s="216"/>
    </row>
    <row r="74" spans="2:36" ht="20.25">
      <c r="B74" s="216"/>
      <c r="C74" s="216"/>
      <c r="D74" s="216"/>
      <c r="E74" s="216"/>
      <c r="F74" s="216"/>
      <c r="G74" s="216"/>
      <c r="H74" s="216"/>
      <c r="I74" s="216"/>
      <c r="J74" s="216"/>
      <c r="K74" s="216"/>
      <c r="L74" s="216"/>
      <c r="M74" s="216"/>
      <c r="N74" s="216"/>
      <c r="O74" s="273" t="s">
        <v>191</v>
      </c>
      <c r="P74" s="274"/>
      <c r="Q74" s="274"/>
      <c r="R74" s="274"/>
      <c r="S74" s="294">
        <f>S61</f>
        <v>-14.150663404554415</v>
      </c>
      <c r="T74" s="216"/>
      <c r="U74" s="272"/>
      <c r="V74" s="272"/>
      <c r="W74" s="272"/>
      <c r="X74" s="216"/>
      <c r="Y74" s="216"/>
      <c r="Z74" s="216"/>
      <c r="AA74" s="216"/>
      <c r="AB74" s="216"/>
      <c r="AC74" s="216"/>
      <c r="AD74" s="216"/>
      <c r="AE74" s="216"/>
      <c r="AF74" s="216"/>
      <c r="AG74" s="216"/>
      <c r="AH74" s="216"/>
    </row>
    <row r="75" spans="2:36" ht="18">
      <c r="B75" s="216"/>
      <c r="C75" s="216"/>
      <c r="D75" s="216"/>
      <c r="E75" s="216"/>
      <c r="F75" s="216"/>
      <c r="G75" s="216"/>
      <c r="H75" s="216"/>
      <c r="I75" s="216"/>
      <c r="J75" s="216"/>
      <c r="K75" s="216"/>
      <c r="L75" s="216"/>
      <c r="M75" s="216"/>
      <c r="N75" s="216"/>
      <c r="O75" s="279">
        <v>1</v>
      </c>
      <c r="P75" s="269" t="s">
        <v>193</v>
      </c>
      <c r="Q75" s="270"/>
      <c r="R75" s="270"/>
      <c r="S75" s="280">
        <v>-0.65791463100000014</v>
      </c>
      <c r="T75" s="216"/>
      <c r="U75" s="216"/>
      <c r="V75" s="216"/>
      <c r="W75" s="216"/>
      <c r="X75" s="297"/>
      <c r="Y75" s="216"/>
      <c r="Z75" s="216"/>
      <c r="AA75" s="216"/>
      <c r="AB75" s="216"/>
      <c r="AC75" s="216"/>
      <c r="AD75" s="216"/>
      <c r="AE75" s="216"/>
      <c r="AF75" s="216"/>
      <c r="AG75" s="216"/>
      <c r="AH75" s="216"/>
    </row>
    <row r="76" spans="2:36" ht="18">
      <c r="B76" s="216"/>
      <c r="C76" s="216"/>
      <c r="D76" s="216"/>
      <c r="E76" s="216"/>
      <c r="F76" s="216"/>
      <c r="G76" s="216"/>
      <c r="H76" s="216"/>
      <c r="I76" s="216"/>
      <c r="J76" s="216"/>
      <c r="K76" s="216"/>
      <c r="L76" s="216"/>
      <c r="M76" s="216"/>
      <c r="N76" s="216"/>
      <c r="O76" s="279">
        <v>2</v>
      </c>
      <c r="P76" s="276" t="s">
        <v>143</v>
      </c>
      <c r="Q76" s="277"/>
      <c r="R76" s="277"/>
      <c r="S76" s="281"/>
      <c r="T76" s="216"/>
      <c r="U76" s="216"/>
      <c r="V76" s="216"/>
      <c r="W76" s="216"/>
      <c r="X76" s="216"/>
      <c r="Y76" s="216"/>
      <c r="Z76" s="216"/>
      <c r="AA76" s="216"/>
      <c r="AB76" s="216"/>
      <c r="AC76" s="216"/>
      <c r="AD76" s="216"/>
      <c r="AE76" s="216"/>
      <c r="AF76" s="216"/>
      <c r="AG76" s="216"/>
      <c r="AH76" s="216"/>
    </row>
    <row r="77" spans="2:36" ht="18">
      <c r="B77" s="216"/>
      <c r="C77" s="216"/>
      <c r="D77" s="216"/>
      <c r="E77" s="216"/>
      <c r="F77" s="216"/>
      <c r="G77" s="216"/>
      <c r="H77" s="216"/>
      <c r="I77" s="216"/>
      <c r="J77" s="216"/>
      <c r="K77" s="216"/>
      <c r="L77" s="216"/>
      <c r="M77" s="216"/>
      <c r="N77" s="216"/>
      <c r="O77" s="279">
        <v>3</v>
      </c>
      <c r="P77" s="276"/>
      <c r="Q77" s="277"/>
      <c r="R77" s="277"/>
      <c r="S77" s="281"/>
      <c r="T77" s="216"/>
      <c r="U77" s="216"/>
      <c r="V77" s="216"/>
      <c r="W77" s="216"/>
      <c r="X77" s="216"/>
      <c r="Y77" s="216"/>
      <c r="Z77" s="216"/>
      <c r="AA77" s="216"/>
      <c r="AB77" s="216"/>
      <c r="AC77" s="216"/>
      <c r="AD77" s="216"/>
      <c r="AE77" s="216"/>
      <c r="AF77" s="216"/>
      <c r="AG77" s="216"/>
      <c r="AH77" s="216"/>
    </row>
    <row r="78" spans="2:36" ht="18">
      <c r="B78" s="216"/>
      <c r="C78" s="216"/>
      <c r="D78" s="216"/>
      <c r="E78" s="216"/>
      <c r="F78" s="216"/>
      <c r="G78" s="216"/>
      <c r="H78" s="216"/>
      <c r="I78" s="216"/>
      <c r="J78" s="216"/>
      <c r="K78" s="216"/>
      <c r="L78" s="216"/>
      <c r="M78" s="216"/>
      <c r="N78" s="216"/>
      <c r="O78" s="279">
        <v>4</v>
      </c>
      <c r="P78" s="276"/>
      <c r="Q78" s="277"/>
      <c r="R78" s="277"/>
      <c r="S78" s="281"/>
      <c r="T78" s="216"/>
      <c r="U78" s="216"/>
      <c r="V78" s="216"/>
      <c r="W78" s="216"/>
      <c r="X78" s="216"/>
      <c r="Y78" s="216"/>
      <c r="Z78" s="216"/>
      <c r="AA78" s="216"/>
      <c r="AB78" s="216"/>
      <c r="AC78" s="216"/>
      <c r="AD78" s="216"/>
      <c r="AE78" s="216"/>
      <c r="AF78" s="216"/>
      <c r="AG78" s="216"/>
      <c r="AH78" s="216"/>
    </row>
    <row r="79" spans="2:36" ht="18">
      <c r="B79" s="216"/>
      <c r="C79" s="216"/>
      <c r="D79" s="216"/>
      <c r="E79" s="216"/>
      <c r="F79" s="216"/>
      <c r="G79" s="216"/>
      <c r="H79" s="216"/>
      <c r="I79" s="216"/>
      <c r="J79" s="216"/>
      <c r="K79" s="216"/>
      <c r="L79" s="216"/>
      <c r="M79" s="216"/>
      <c r="N79" s="216"/>
      <c r="O79" s="279">
        <v>5</v>
      </c>
      <c r="P79" s="276"/>
      <c r="Q79" s="277"/>
      <c r="R79" s="277"/>
      <c r="S79" s="278"/>
      <c r="T79" s="216"/>
      <c r="U79" s="216"/>
      <c r="V79" s="216"/>
      <c r="W79" s="216"/>
      <c r="X79" s="216"/>
      <c r="Y79" s="216"/>
      <c r="Z79" s="216"/>
      <c r="AA79" s="216"/>
      <c r="AB79" s="216"/>
      <c r="AC79" s="216"/>
      <c r="AD79" s="216"/>
      <c r="AE79" s="216"/>
      <c r="AF79" s="216"/>
      <c r="AG79" s="216"/>
      <c r="AH79" s="216"/>
    </row>
    <row r="80" spans="2:36" ht="18">
      <c r="B80" s="216"/>
      <c r="C80" s="216"/>
      <c r="D80" s="216"/>
      <c r="E80" s="216"/>
      <c r="F80" s="216"/>
      <c r="G80" s="216"/>
      <c r="H80" s="216"/>
      <c r="I80" s="216"/>
      <c r="J80" s="216"/>
      <c r="K80" s="216"/>
      <c r="L80" s="216"/>
      <c r="M80" s="216"/>
      <c r="N80" s="216"/>
      <c r="O80" s="279">
        <v>6</v>
      </c>
      <c r="P80" s="276"/>
      <c r="Q80" s="277"/>
      <c r="R80" s="277"/>
      <c r="S80" s="281"/>
      <c r="T80" s="216"/>
      <c r="U80" s="216"/>
      <c r="V80" s="216"/>
      <c r="W80" s="216"/>
      <c r="X80" s="216"/>
      <c r="Y80" s="216"/>
      <c r="Z80" s="216"/>
      <c r="AA80" s="216"/>
      <c r="AB80" s="216"/>
      <c r="AC80" s="216"/>
      <c r="AD80" s="216"/>
      <c r="AE80" s="216"/>
      <c r="AF80" s="216"/>
      <c r="AG80" s="216"/>
      <c r="AH80" s="216"/>
    </row>
    <row r="81" spans="2:34" ht="18">
      <c r="B81" s="216"/>
      <c r="C81" s="216"/>
      <c r="D81" s="216"/>
      <c r="E81" s="216"/>
      <c r="F81" s="216"/>
      <c r="G81" s="216"/>
      <c r="H81" s="216"/>
      <c r="I81" s="216"/>
      <c r="J81" s="216"/>
      <c r="K81" s="216"/>
      <c r="L81" s="216"/>
      <c r="M81" s="216"/>
      <c r="N81" s="216"/>
      <c r="O81" s="279">
        <v>7</v>
      </c>
      <c r="P81" s="276"/>
      <c r="Q81" s="277"/>
      <c r="R81" s="277"/>
      <c r="S81" s="281"/>
      <c r="T81" s="216"/>
      <c r="U81" s="216"/>
      <c r="V81" s="216"/>
      <c r="W81" s="216"/>
      <c r="X81" s="216"/>
      <c r="Y81" s="216"/>
      <c r="Z81" s="216"/>
      <c r="AA81" s="216"/>
      <c r="AB81" s="216"/>
      <c r="AC81" s="216"/>
      <c r="AD81" s="216"/>
      <c r="AE81" s="216"/>
      <c r="AF81" s="216"/>
      <c r="AG81" s="216"/>
      <c r="AH81" s="216"/>
    </row>
    <row r="82" spans="2:34" ht="18">
      <c r="B82" s="216"/>
      <c r="C82" s="216"/>
      <c r="D82" s="216"/>
      <c r="E82" s="216"/>
      <c r="F82" s="216"/>
      <c r="G82" s="216"/>
      <c r="H82" s="216"/>
      <c r="I82" s="216"/>
      <c r="J82" s="216"/>
      <c r="K82" s="216"/>
      <c r="L82" s="216"/>
      <c r="M82" s="216"/>
      <c r="N82" s="216"/>
      <c r="O82" s="279">
        <v>8</v>
      </c>
      <c r="P82" s="276"/>
      <c r="Q82" s="277"/>
      <c r="R82" s="277"/>
      <c r="S82" s="278"/>
      <c r="T82" s="216"/>
      <c r="U82" s="216"/>
      <c r="V82" s="216"/>
      <c r="W82" s="216"/>
      <c r="X82" s="216"/>
      <c r="Y82" s="216"/>
      <c r="Z82" s="216"/>
      <c r="AA82" s="216"/>
      <c r="AB82" s="216"/>
      <c r="AC82" s="216"/>
      <c r="AD82" s="216"/>
      <c r="AE82" s="216"/>
      <c r="AF82" s="216"/>
      <c r="AG82" s="216"/>
      <c r="AH82" s="216"/>
    </row>
    <row r="83" spans="2:34" ht="18">
      <c r="B83" s="216"/>
      <c r="C83" s="216"/>
      <c r="D83" s="216"/>
      <c r="E83" s="216"/>
      <c r="F83" s="216"/>
      <c r="G83" s="216"/>
      <c r="H83" s="216"/>
      <c r="I83" s="216"/>
      <c r="J83" s="216"/>
      <c r="K83" s="216"/>
      <c r="L83" s="216"/>
      <c r="M83" s="216"/>
      <c r="N83" s="216"/>
      <c r="O83" s="279">
        <v>9</v>
      </c>
      <c r="P83" s="276"/>
      <c r="Q83" s="277"/>
      <c r="R83" s="277"/>
      <c r="S83" s="278"/>
      <c r="T83" s="216"/>
      <c r="U83" s="216"/>
      <c r="V83" s="216"/>
      <c r="W83" s="216"/>
      <c r="X83" s="216"/>
      <c r="Y83" s="216"/>
      <c r="Z83" s="216"/>
      <c r="AA83" s="216"/>
      <c r="AB83" s="216"/>
      <c r="AC83" s="216"/>
      <c r="AD83" s="216"/>
      <c r="AE83" s="216"/>
      <c r="AF83" s="216"/>
      <c r="AG83" s="216"/>
      <c r="AH83" s="216"/>
    </row>
    <row r="84" spans="2:34" ht="18">
      <c r="B84" s="216"/>
      <c r="C84" s="216"/>
      <c r="D84" s="216"/>
      <c r="E84" s="216"/>
      <c r="F84" s="216"/>
      <c r="G84" s="216"/>
      <c r="H84" s="216"/>
      <c r="I84" s="216"/>
      <c r="J84" s="216"/>
      <c r="K84" s="216"/>
      <c r="L84" s="216"/>
      <c r="M84" s="216"/>
      <c r="N84" s="216"/>
      <c r="O84" s="288">
        <v>10</v>
      </c>
      <c r="P84" s="283" t="s">
        <v>182</v>
      </c>
      <c r="Q84" s="284"/>
      <c r="R84" s="284"/>
      <c r="S84" s="285">
        <f>S74-SUM(S75:S83)</f>
        <v>-13.492748773554414</v>
      </c>
      <c r="T84" s="216"/>
      <c r="U84" s="216"/>
      <c r="V84" s="216"/>
      <c r="W84" s="216"/>
      <c r="X84" s="216"/>
      <c r="Y84" s="216"/>
      <c r="Z84" s="216"/>
      <c r="AA84" s="216"/>
      <c r="AB84" s="216"/>
      <c r="AC84" s="216"/>
      <c r="AD84" s="216"/>
      <c r="AE84" s="216"/>
      <c r="AF84" s="216"/>
      <c r="AG84" s="216"/>
      <c r="AH84" s="216"/>
    </row>
  </sheetData>
  <mergeCells count="26">
    <mergeCell ref="AH17:AH18"/>
    <mergeCell ref="B10:B11"/>
    <mergeCell ref="C10:C11"/>
    <mergeCell ref="H17:H18"/>
    <mergeCell ref="O17:O18"/>
    <mergeCell ref="P17:P18"/>
    <mergeCell ref="Q17:Q18"/>
    <mergeCell ref="R17:R18"/>
    <mergeCell ref="S17:S18"/>
    <mergeCell ref="AE17:AE18"/>
    <mergeCell ref="AF17:AF18"/>
    <mergeCell ref="T17:T18"/>
    <mergeCell ref="B17:B18"/>
    <mergeCell ref="AH59:AH60"/>
    <mergeCell ref="B52:B53"/>
    <mergeCell ref="C52:C53"/>
    <mergeCell ref="H59:H60"/>
    <mergeCell ref="O59:O60"/>
    <mergeCell ref="P59:P60"/>
    <mergeCell ref="Q59:Q60"/>
    <mergeCell ref="R59:R60"/>
    <mergeCell ref="S59:S60"/>
    <mergeCell ref="AE59:AE60"/>
    <mergeCell ref="AF59:AF60"/>
    <mergeCell ref="T59:T60"/>
    <mergeCell ref="B59:B60"/>
  </mergeCells>
  <pageMargins left="0.7" right="0.7" top="0.75" bottom="0.75" header="0.3" footer="0.3"/>
  <pageSetup orientation="portrait" r:id="rId1"/>
  <customProperties>
    <customPr name="_pios_id" r:id="rId2"/>
    <customPr name="EpmWorksheetKeyString_GUID" r:id="rId3"/>
  </customProperties>
  <drawing r:id="rId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648EF-6818-4E5D-BECF-85DEB2A5496F}">
  <dimension ref="A1:AK91"/>
  <sheetViews>
    <sheetView showGridLines="0" topLeftCell="J7" zoomScale="55" zoomScaleNormal="55" workbookViewId="0">
      <selection activeCell="AA20" sqref="AA20"/>
    </sheetView>
  </sheetViews>
  <sheetFormatPr defaultRowHeight="15" outlineLevelRow="1"/>
  <cols>
    <col min="2" max="2" width="15.5703125" customWidth="1"/>
    <col min="3" max="3" width="17.42578125" customWidth="1"/>
    <col min="4" max="4" width="13.42578125" customWidth="1"/>
    <col min="5" max="5" width="13.5703125" bestFit="1" customWidth="1"/>
    <col min="6" max="6" width="14.5703125" bestFit="1" customWidth="1"/>
    <col min="7" max="7" width="10.85546875" customWidth="1"/>
    <col min="8" max="8" width="10" bestFit="1" customWidth="1"/>
    <col min="9" max="9" width="9.42578125" bestFit="1" customWidth="1"/>
    <col min="10" max="10" width="9" bestFit="1" customWidth="1"/>
    <col min="11" max="11" width="12.85546875" bestFit="1" customWidth="1"/>
    <col min="12" max="13" width="9.85546875" bestFit="1" customWidth="1"/>
    <col min="16" max="16" width="19.5703125" bestFit="1" customWidth="1"/>
    <col min="17" max="17" width="12.85546875" customWidth="1"/>
    <col min="18" max="18" width="9.85546875" bestFit="1" customWidth="1"/>
    <col min="19" max="19" width="10.5703125" bestFit="1" customWidth="1"/>
    <col min="20" max="20" width="10.5703125" customWidth="1"/>
    <col min="21" max="21" width="12" style="317" bestFit="1" customWidth="1"/>
    <col min="22" max="22" width="20.140625" bestFit="1" customWidth="1"/>
    <col min="23" max="23" width="14.85546875" customWidth="1"/>
    <col min="24" max="24" width="10.5703125" customWidth="1"/>
    <col min="25" max="25" width="9" bestFit="1" customWidth="1"/>
    <col min="26" max="26" width="14.42578125" bestFit="1" customWidth="1"/>
    <col min="29" max="29" width="11" bestFit="1" customWidth="1"/>
    <col min="30" max="30" width="9.140625" bestFit="1" customWidth="1"/>
    <col min="33" max="33" width="13.42578125" bestFit="1" customWidth="1"/>
    <col min="34" max="34" width="10.42578125" bestFit="1" customWidth="1"/>
    <col min="35" max="35" width="13" bestFit="1" customWidth="1"/>
  </cols>
  <sheetData>
    <row r="1" spans="1:34" ht="28.5">
      <c r="B1" s="304" t="str">
        <f>'Summary month'!E2</f>
        <v>Apr</v>
      </c>
      <c r="C1" t="str">
        <f>VLOOKUP(B1,mapping!$A$2:$C$13,3,0)</f>
        <v>M01</v>
      </c>
    </row>
    <row r="3" spans="1:34" ht="28.5" outlineLevel="1">
      <c r="A3" s="694"/>
      <c r="B3" s="299" t="s">
        <v>202</v>
      </c>
      <c r="I3" s="216"/>
      <c r="J3" s="334"/>
      <c r="K3" s="216"/>
      <c r="L3" s="216"/>
      <c r="M3" s="216"/>
      <c r="N3" s="334"/>
      <c r="O3" s="216"/>
      <c r="P3" s="216"/>
      <c r="Q3" s="216"/>
    </row>
    <row r="4" spans="1:34" ht="28.5" outlineLevel="1">
      <c r="A4" s="694"/>
      <c r="B4" s="299"/>
      <c r="I4" s="216"/>
      <c r="J4" s="334"/>
      <c r="K4" s="216"/>
      <c r="L4" s="216"/>
      <c r="M4" s="216"/>
      <c r="N4" s="334"/>
      <c r="O4" s="216"/>
      <c r="P4" s="216"/>
      <c r="Q4" s="216"/>
    </row>
    <row r="5" spans="1:34" ht="20.25" outlineLevel="1">
      <c r="A5" s="694"/>
      <c r="B5" s="216"/>
      <c r="C5" s="226" t="str">
        <f>B10</f>
        <v>FC-1 MTD</v>
      </c>
      <c r="D5" s="226" t="str">
        <f>C10</f>
        <v>Act MTD</v>
      </c>
      <c r="E5" s="226" t="s">
        <v>320</v>
      </c>
      <c r="F5" s="226" t="s">
        <v>321</v>
      </c>
      <c r="G5" s="226" t="s">
        <v>322</v>
      </c>
      <c r="H5" s="292" t="s">
        <v>323</v>
      </c>
      <c r="I5" s="216"/>
      <c r="L5">
        <f>'[7]New KPI vs BP'!$CA$527</f>
        <v>0</v>
      </c>
    </row>
    <row r="6" spans="1:34" ht="20.25" outlineLevel="1">
      <c r="A6" s="694"/>
      <c r="B6" s="226" t="s">
        <v>327</v>
      </c>
      <c r="C6" s="229">
        <f>INDEX('Summary month'!$T$82:$V$82,1,MATCH($C$1,'Summary month'!$X$6:$Z$6,0))</f>
        <v>0</v>
      </c>
      <c r="D6" s="229">
        <f>INDEX('Summary month'!$F$82:$H$82,1,MATCH($C$1,'Summary month'!$O$6:$Q$6,0))</f>
        <v>63.237619418000122</v>
      </c>
      <c r="E6" s="226">
        <f>+D6-C6</f>
        <v>63.237619418000122</v>
      </c>
      <c r="F6" s="226">
        <f>B19</f>
        <v>1.9982222191977914</v>
      </c>
      <c r="G6" s="226">
        <f>SUM(C19:S19)</f>
        <v>-1.9982222191977925</v>
      </c>
      <c r="H6" s="502">
        <f>E6-F6-G6</f>
        <v>63.237619418000122</v>
      </c>
      <c r="I6" s="216"/>
      <c r="J6" s="334"/>
      <c r="K6" s="216"/>
      <c r="L6" s="216"/>
      <c r="M6" s="216"/>
      <c r="N6" s="334"/>
      <c r="O6" s="216"/>
      <c r="P6" s="216"/>
      <c r="Q6" s="216"/>
    </row>
    <row r="7" spans="1:34" ht="20.25" outlineLevel="1">
      <c r="A7" s="694"/>
      <c r="B7" s="226" t="s">
        <v>325</v>
      </c>
      <c r="C7" s="229">
        <f>INDEX('Summary month'!$T$83:$V$83,1,MATCH($C$1,'Summary month'!$X$6:$Z$6,0))</f>
        <v>-134.40743371800002</v>
      </c>
      <c r="D7" s="229">
        <f>INDEX('Summary month'!$F$83:$H$83,1,MATCH($C$1,'Summary month'!$O$6:$Q$6,0))</f>
        <v>-134.40743371799999</v>
      </c>
      <c r="E7" s="226">
        <f>+D7-C7</f>
        <v>0</v>
      </c>
      <c r="F7" s="226">
        <f>T19</f>
        <v>-5.4523559257167431</v>
      </c>
      <c r="G7" s="226">
        <f>SUM(U19:AH19)</f>
        <v>5.4523559257167715</v>
      </c>
      <c r="H7" s="502">
        <f>E7-F7-G7</f>
        <v>-2.8421709430404007E-14</v>
      </c>
      <c r="I7" s="216"/>
      <c r="J7" s="334"/>
      <c r="K7" s="216"/>
      <c r="L7" s="216"/>
      <c r="M7" s="216"/>
      <c r="N7" s="334"/>
      <c r="O7" s="216"/>
      <c r="P7" s="216"/>
      <c r="Q7" s="216"/>
    </row>
    <row r="8" spans="1:34" ht="20.25" outlineLevel="1">
      <c r="A8" s="694"/>
      <c r="B8" s="226" t="s">
        <v>326</v>
      </c>
      <c r="C8" s="226">
        <f>+C6+C7</f>
        <v>-134.40743371800002</v>
      </c>
      <c r="D8" s="226">
        <f>+D6+D7</f>
        <v>-71.169814299999871</v>
      </c>
      <c r="E8" s="226">
        <f>+D8-C8</f>
        <v>63.237619418000151</v>
      </c>
      <c r="F8" s="226">
        <f>+E8-G8</f>
        <v>59.78348571148117</v>
      </c>
      <c r="G8" s="226">
        <f>+G6+G7</f>
        <v>3.454133706518979</v>
      </c>
      <c r="H8" s="502">
        <f>E8-F8-G8</f>
        <v>0</v>
      </c>
      <c r="I8" s="216"/>
      <c r="J8" s="334" t="s">
        <v>303</v>
      </c>
      <c r="K8" s="216" t="s">
        <v>143</v>
      </c>
      <c r="L8" s="216" t="s">
        <v>304</v>
      </c>
      <c r="M8" s="216"/>
      <c r="N8" s="334" t="s">
        <v>303</v>
      </c>
      <c r="O8" s="216" t="s">
        <v>143</v>
      </c>
      <c r="P8" s="216" t="s">
        <v>305</v>
      </c>
      <c r="Q8" s="216" t="s">
        <v>306</v>
      </c>
    </row>
    <row r="9" spans="1:34" ht="18" outlineLevel="1">
      <c r="A9" s="694"/>
      <c r="B9" s="215"/>
      <c r="C9" s="216"/>
      <c r="D9" s="318" t="e">
        <f>D12-D54</f>
        <v>#VALUE!</v>
      </c>
      <c r="E9" s="318">
        <f>E12-E54</f>
        <v>-8.7518804466955302</v>
      </c>
      <c r="F9" s="318">
        <f>F12-F54</f>
        <v>2.9217325166955304</v>
      </c>
      <c r="G9" s="318">
        <f>G12-G54</f>
        <v>5.8301479300000008</v>
      </c>
      <c r="H9" s="216"/>
      <c r="I9" s="216" t="s">
        <v>307</v>
      </c>
      <c r="J9" s="334">
        <f>'[7]New KPI vs BP'!$AD$34-K9-L9</f>
        <v>-3.5556729553249045</v>
      </c>
      <c r="K9" s="216">
        <f>'[7]New KPI vs BP'!$AD$15</f>
        <v>-0.66955099945883956</v>
      </c>
      <c r="L9" s="334">
        <f>'[7]New KPI vs BP'!$AD$507+'[7]New KPI vs BP'!$AD$523</f>
        <v>0.77109024826479244</v>
      </c>
      <c r="M9" s="216"/>
      <c r="N9" s="334">
        <f>'[7]New KPI vs BP'!$AD$34-O9-P9</f>
        <v>2.667773218656631</v>
      </c>
      <c r="O9" s="216">
        <f>K9</f>
        <v>-0.66955099945883956</v>
      </c>
      <c r="P9" s="406">
        <f>L10-AJ66+AA20</f>
        <v>-5.4523559257167431</v>
      </c>
      <c r="Q9" s="334">
        <f>L9-(P9)</f>
        <v>6.2234461739815359</v>
      </c>
      <c r="R9" s="216"/>
      <c r="S9" s="216"/>
      <c r="T9" s="216"/>
      <c r="U9" s="315"/>
      <c r="V9" s="216"/>
      <c r="W9" s="216"/>
      <c r="X9" s="216"/>
      <c r="Y9" s="216"/>
      <c r="Z9" s="216"/>
      <c r="AA9" s="216"/>
      <c r="AB9" s="216"/>
      <c r="AC9" s="216"/>
      <c r="AD9" s="216"/>
      <c r="AE9" s="216"/>
      <c r="AF9" s="216"/>
      <c r="AG9" s="216"/>
      <c r="AH9" s="216"/>
    </row>
    <row r="10" spans="1:34" ht="20.100000000000001" customHeight="1" outlineLevel="1">
      <c r="A10" s="694"/>
      <c r="B10" s="1014" t="s">
        <v>341</v>
      </c>
      <c r="C10" s="1014" t="s">
        <v>207</v>
      </c>
      <c r="D10" s="218"/>
      <c r="E10" s="219"/>
      <c r="F10" s="219"/>
      <c r="G10" s="220"/>
      <c r="H10" s="216"/>
      <c r="I10" s="216" t="s">
        <v>62</v>
      </c>
      <c r="J10" s="334">
        <f>M52</f>
        <v>4.919954735893322</v>
      </c>
      <c r="K10" s="216">
        <v>0</v>
      </c>
      <c r="L10" s="334">
        <f>M53</f>
        <v>0.37779200428325732</v>
      </c>
      <c r="M10" s="216"/>
      <c r="N10" s="216"/>
      <c r="O10" s="216"/>
      <c r="P10" s="216"/>
      <c r="Q10" s="216"/>
      <c r="R10" s="216"/>
      <c r="S10" s="216"/>
      <c r="T10" s="216"/>
      <c r="U10" s="315"/>
      <c r="V10" s="216"/>
      <c r="W10" s="221"/>
      <c r="X10" s="221"/>
      <c r="Y10" s="221"/>
      <c r="Z10" s="221"/>
      <c r="AA10" s="221"/>
      <c r="AB10" s="221"/>
      <c r="AC10" s="221"/>
      <c r="AD10" s="221"/>
      <c r="AE10" s="221"/>
      <c r="AF10" s="221"/>
      <c r="AG10" s="221"/>
      <c r="AH10" s="221"/>
    </row>
    <row r="11" spans="1:34" ht="40.5" outlineLevel="1">
      <c r="A11" s="694"/>
      <c r="B11" s="1015"/>
      <c r="C11" s="1016"/>
      <c r="D11" s="222"/>
      <c r="E11" s="223" t="s">
        <v>154</v>
      </c>
      <c r="F11" s="224" t="s">
        <v>155</v>
      </c>
      <c r="G11" s="225" t="s">
        <v>156</v>
      </c>
      <c r="H11" s="216"/>
      <c r="I11" s="216" t="s">
        <v>208</v>
      </c>
      <c r="J11" s="216"/>
      <c r="K11" s="216"/>
      <c r="L11" s="216"/>
      <c r="M11" s="216"/>
      <c r="N11" s="216"/>
      <c r="O11" s="216"/>
      <c r="P11" s="216"/>
      <c r="Q11" s="216"/>
      <c r="R11" s="216"/>
      <c r="AH11" s="216"/>
    </row>
    <row r="12" spans="1:34" ht="20.25" outlineLevel="1">
      <c r="A12" s="694"/>
      <c r="B12" s="226">
        <f>INDEX('Summary month'!$T$55:$V$55,1,MATCH($C$1,'Summary month'!$X$6:$Z$6,0))</f>
        <v>-71.169814299999885</v>
      </c>
      <c r="C12" s="226">
        <f>INDEX('Summary month'!$F$55:$H$55,1,MATCH($C$1,'Summary month'!$X$6:$Z$6,0))</f>
        <v>-71.169814299999885</v>
      </c>
      <c r="D12" s="227">
        <f>C12-B12</f>
        <v>0</v>
      </c>
      <c r="E12" s="228">
        <f>'[7]New KPI vs BP'!$AD$34</f>
        <v>-3.4541337065189515</v>
      </c>
      <c r="F12" s="228">
        <f>INDEX('Summary month'!$X$82:$Z$82,1,MATCH($C$1,'Summary month'!$X$6:$Z$6,0))-E13</f>
        <v>-1.9982222191977914</v>
      </c>
      <c r="G12" s="229">
        <f>INDEX('Summary month'!$X$83:$Z$83,1,MATCH($C$1,'Summary month'!$X$6:$Z$6,0))-E14</f>
        <v>5.4523559257167715</v>
      </c>
      <c r="H12" s="216"/>
      <c r="I12" s="286">
        <f>SUM(E12:G12)-D12</f>
        <v>2.8421709430404007E-14</v>
      </c>
      <c r="J12" s="216"/>
      <c r="K12" s="216"/>
      <c r="L12" s="216"/>
      <c r="M12" s="216"/>
      <c r="N12" s="216"/>
      <c r="O12" s="230"/>
      <c r="P12" s="216"/>
      <c r="Q12" s="216"/>
      <c r="R12" s="216"/>
      <c r="AH12" s="230"/>
    </row>
    <row r="13" spans="1:34" outlineLevel="1">
      <c r="A13" s="694"/>
      <c r="B13" s="216"/>
      <c r="C13" s="216"/>
      <c r="D13" s="216"/>
      <c r="E13" s="315">
        <f>SUM(N9:O9)</f>
        <v>1.9982222191977914</v>
      </c>
      <c r="F13" s="216" t="s">
        <v>308</v>
      </c>
      <c r="G13" s="216"/>
      <c r="H13" s="216"/>
      <c r="I13" s="216"/>
      <c r="J13" s="216"/>
      <c r="K13" s="216"/>
      <c r="L13" s="216"/>
      <c r="M13" s="216"/>
      <c r="N13" s="216"/>
      <c r="O13" s="216" t="s">
        <v>53</v>
      </c>
      <c r="P13" s="315">
        <f>-INDEX('Summary month'!$X$17:$Z$73,MATCH(O13,'Summary month'!$D$17:$D$73,0),MATCH($C$1,'Summary month'!$X$6:$Z$6,0))</f>
        <v>0</v>
      </c>
      <c r="Q13" s="216"/>
      <c r="R13" s="216"/>
      <c r="AH13" s="216"/>
    </row>
    <row r="14" spans="1:34" outlineLevel="1">
      <c r="A14" s="694"/>
      <c r="B14" s="216"/>
      <c r="C14" s="216" t="s">
        <v>51</v>
      </c>
      <c r="D14" s="216" t="s">
        <v>50</v>
      </c>
      <c r="E14" s="315">
        <f>P9</f>
        <v>-5.4523559257167431</v>
      </c>
      <c r="F14" s="216" t="s">
        <v>309</v>
      </c>
      <c r="G14" s="216"/>
      <c r="H14" s="216"/>
      <c r="I14" s="216"/>
      <c r="J14" s="216"/>
      <c r="K14" s="216"/>
      <c r="L14" s="216"/>
      <c r="M14" s="216"/>
      <c r="N14" s="216"/>
      <c r="O14" s="216" t="s">
        <v>54</v>
      </c>
      <c r="P14" s="315">
        <f>-INDEX('Summary month'!$X$17:$Z$73,MATCH(O14,'Summary month'!$D$17:$D$73,0),MATCH($C$1,'Summary month'!$X$6:$Z$6,0))</f>
        <v>0</v>
      </c>
      <c r="Q14" s="216"/>
      <c r="R14" s="216"/>
      <c r="AH14" s="216"/>
    </row>
    <row r="15" spans="1:34" ht="21" outlineLevel="1" thickBot="1">
      <c r="A15" s="694"/>
      <c r="B15" s="231" t="s">
        <v>157</v>
      </c>
      <c r="C15" s="232" t="s">
        <v>56</v>
      </c>
      <c r="D15" s="232" t="s">
        <v>57</v>
      </c>
      <c r="E15" s="232"/>
      <c r="F15" s="232"/>
      <c r="G15" s="232"/>
      <c r="H15" s="232"/>
      <c r="I15" s="232"/>
      <c r="J15" s="232"/>
      <c r="K15" s="232"/>
      <c r="L15" s="232"/>
      <c r="M15" s="232"/>
      <c r="N15" s="232"/>
      <c r="O15" s="232" t="s">
        <v>55</v>
      </c>
      <c r="P15" s="316">
        <f>-INDEX('Summary month'!$X$17:$Z$73,MATCH(O15,'Summary month'!$D$17:$D$73,0),MATCH($C$1,'Summary month'!$X$6:$Z$6,0))</f>
        <v>0</v>
      </c>
      <c r="Q15" s="232"/>
      <c r="R15" s="232" t="s">
        <v>60</v>
      </c>
      <c r="AA15" t="s">
        <v>52</v>
      </c>
      <c r="AB15" t="s">
        <v>59</v>
      </c>
      <c r="AH15" s="217" t="s">
        <v>138</v>
      </c>
    </row>
    <row r="16" spans="1:34" ht="21" outlineLevel="1" thickBot="1">
      <c r="A16" s="694"/>
      <c r="B16" s="233"/>
      <c r="C16" s="234" t="s">
        <v>159</v>
      </c>
      <c r="D16" s="234"/>
      <c r="E16" s="234"/>
      <c r="F16" s="234"/>
      <c r="G16" s="234"/>
      <c r="H16" s="234"/>
      <c r="I16" s="234"/>
      <c r="J16" s="234"/>
      <c r="K16" s="234"/>
      <c r="L16" s="234"/>
      <c r="M16" s="234"/>
      <c r="N16" s="234"/>
      <c r="O16" s="234"/>
      <c r="P16" s="234"/>
      <c r="Q16" s="234"/>
      <c r="R16" s="234"/>
      <c r="S16" s="235"/>
      <c r="T16" s="236"/>
      <c r="U16" s="641" t="s">
        <v>160</v>
      </c>
      <c r="V16" s="237"/>
      <c r="W16" s="237"/>
      <c r="X16" s="237"/>
      <c r="Y16" s="237"/>
      <c r="Z16" s="237"/>
      <c r="AA16" s="237"/>
      <c r="AB16" s="237"/>
      <c r="AC16" s="237"/>
      <c r="AD16" s="237"/>
      <c r="AE16" s="237"/>
      <c r="AF16" s="237"/>
      <c r="AG16" s="237"/>
      <c r="AH16" s="238"/>
    </row>
    <row r="17" spans="1:34" ht="20.100000000000001" customHeight="1" outlineLevel="1">
      <c r="A17" s="694"/>
      <c r="B17" s="1027" t="s">
        <v>274</v>
      </c>
      <c r="C17" s="239" t="s">
        <v>161</v>
      </c>
      <c r="D17" s="240"/>
      <c r="E17" s="240"/>
      <c r="F17" s="240"/>
      <c r="G17" s="241"/>
      <c r="H17" s="1017" t="s">
        <v>162</v>
      </c>
      <c r="I17" s="242" t="s">
        <v>163</v>
      </c>
      <c r="J17" s="243"/>
      <c r="K17" s="243"/>
      <c r="L17" s="243"/>
      <c r="M17" s="243"/>
      <c r="N17" s="244"/>
      <c r="O17" s="1019" t="s">
        <v>164</v>
      </c>
      <c r="P17" s="1019" t="s">
        <v>165</v>
      </c>
      <c r="Q17" s="1019" t="s">
        <v>166</v>
      </c>
      <c r="R17" s="1022" t="s">
        <v>167</v>
      </c>
      <c r="S17" s="1023" t="s">
        <v>168</v>
      </c>
      <c r="T17" s="1027" t="s">
        <v>274</v>
      </c>
      <c r="U17" s="642" t="s">
        <v>169</v>
      </c>
      <c r="V17" s="246"/>
      <c r="W17" s="246"/>
      <c r="X17" s="247"/>
      <c r="Y17" s="248" t="s">
        <v>163</v>
      </c>
      <c r="Z17" s="246"/>
      <c r="AA17" s="246"/>
      <c r="AB17" s="246"/>
      <c r="AC17" s="246"/>
      <c r="AD17" s="247"/>
      <c r="AE17" s="1022" t="s">
        <v>166</v>
      </c>
      <c r="AF17" s="1025" t="s">
        <v>167</v>
      </c>
      <c r="AG17" s="311"/>
      <c r="AH17" s="1012" t="s">
        <v>168</v>
      </c>
    </row>
    <row r="18" spans="1:34" ht="77.45" customHeight="1" outlineLevel="1">
      <c r="A18" s="694"/>
      <c r="B18" s="1028"/>
      <c r="C18" s="249" t="s">
        <v>170</v>
      </c>
      <c r="D18" s="250" t="s">
        <v>171</v>
      </c>
      <c r="E18" s="250" t="s">
        <v>172</v>
      </c>
      <c r="F18" s="250" t="s">
        <v>173</v>
      </c>
      <c r="G18" s="251" t="s">
        <v>174</v>
      </c>
      <c r="H18" s="1018"/>
      <c r="I18" s="250" t="s">
        <v>175</v>
      </c>
      <c r="J18" s="250" t="s">
        <v>176</v>
      </c>
      <c r="K18" s="250" t="s">
        <v>177</v>
      </c>
      <c r="L18" s="250" t="s">
        <v>178</v>
      </c>
      <c r="M18" s="250" t="s">
        <v>168</v>
      </c>
      <c r="N18" s="250" t="s">
        <v>179</v>
      </c>
      <c r="O18" s="1020"/>
      <c r="P18" s="1021"/>
      <c r="Q18" s="1021"/>
      <c r="R18" s="1021"/>
      <c r="S18" s="1024"/>
      <c r="T18" s="1028"/>
      <c r="U18" s="643" t="s">
        <v>203</v>
      </c>
      <c r="V18" s="308" t="s">
        <v>180</v>
      </c>
      <c r="W18" s="309" t="s">
        <v>181</v>
      </c>
      <c r="X18" s="310" t="s">
        <v>33</v>
      </c>
      <c r="Y18" s="305" t="s">
        <v>25</v>
      </c>
      <c r="Z18" s="306" t="s">
        <v>183</v>
      </c>
      <c r="AA18" s="306" t="s">
        <v>204</v>
      </c>
      <c r="AB18" s="306" t="s">
        <v>205</v>
      </c>
      <c r="AC18" s="306" t="s">
        <v>184</v>
      </c>
      <c r="AD18" s="306" t="s">
        <v>30</v>
      </c>
      <c r="AE18" s="1021"/>
      <c r="AF18" s="1026"/>
      <c r="AG18" s="312" t="s">
        <v>37</v>
      </c>
      <c r="AH18" s="1013"/>
    </row>
    <row r="19" spans="1:34" ht="21" outlineLevel="1" thickBot="1">
      <c r="A19" s="694"/>
      <c r="B19" s="252">
        <f>E13</f>
        <v>1.9982222191977914</v>
      </c>
      <c r="C19" s="253">
        <f>C61-INDEX('Summary month'!$X$17:$Z$74,MATCH(C14,'Summary month'!$D$17:$D$74,0),MATCH($C$1,'Summary month'!$X$6:$Z$6,0))-INDEX('Summary month'!$X$17:$Z$74,MATCH(C15,'Summary month'!$D$17:$D$74,0),MATCH($C$1,'Summary month'!$X$6:$Z$6,0))+M52-N9</f>
        <v>-22.374669201535223</v>
      </c>
      <c r="D19" s="254">
        <f>S67-INDEX('Summary month'!$X$17:$Z$74,MATCH(D14,'Summary month'!$D$17:$D$74,0),MATCH($C$1,'Summary month'!$X$6:$Z$6,0))-INDEX('Summary month'!$X$17:$Z$74,MATCH(D15,'Summary month'!$D$17:$D$74,0),MATCH($C$1,'Summary month'!$X$6:$Z$6,0))-O9</f>
        <v>1.7462491963683513</v>
      </c>
      <c r="E19" s="254">
        <f>E61</f>
        <v>-7.9285416116216556</v>
      </c>
      <c r="F19" s="254">
        <f>F61</f>
        <v>-3.3877379601972777</v>
      </c>
      <c r="G19" s="254"/>
      <c r="H19" s="254">
        <f>H61</f>
        <v>0</v>
      </c>
      <c r="I19" s="254">
        <f>I61</f>
        <v>0.78556109017703135</v>
      </c>
      <c r="J19" s="255">
        <f>J61</f>
        <v>0.69259233446944346</v>
      </c>
      <c r="K19" s="255">
        <f>K61</f>
        <v>-1</v>
      </c>
      <c r="L19" s="255">
        <f>L61</f>
        <v>0</v>
      </c>
      <c r="M19" s="255">
        <f>M61-'Summary month'!Z75</f>
        <v>4.31809966149922</v>
      </c>
      <c r="N19" s="255"/>
      <c r="O19" s="254">
        <f>-INDEX('Summary month'!$X$17:$Z$74,MATCH(O13,'Summary month'!$D$17:$D$74,0),MATCH($C$1,'Summary month'!$X$6:$Z$6,0))-INDEX('Summary month'!$X$17:$Z$74,MATCH(O14,'Summary month'!$D$17:$D$74,0),MATCH($C$1,'Summary month'!$X$6:$Z$6,0))-INDEX('Summary month'!$X$17:$Z$74,MATCH(O15,'Summary month'!$D$17:$D$74,0),MATCH($C$1,'Summary month'!$X$6:$Z$6,0))</f>
        <v>0</v>
      </c>
      <c r="P19" s="254"/>
      <c r="Q19" s="256"/>
      <c r="R19" s="254">
        <f>R61-INDEX('Summary month'!$X$17:$Z$74,MATCH(R15,'Summary month'!$D$17:$D$74,0),MATCH($C$1,'Summary month'!$X$6:$Z$6,0))</f>
        <v>-4.3485030639999884</v>
      </c>
      <c r="S19" s="257">
        <f>F12-SUM(C19:R19)</f>
        <v>29.498727335642311</v>
      </c>
      <c r="T19" s="253">
        <f>E14</f>
        <v>-5.4523559257167431</v>
      </c>
      <c r="U19" s="644">
        <f>U61</f>
        <v>0</v>
      </c>
      <c r="V19" s="258">
        <f>V61</f>
        <v>0</v>
      </c>
      <c r="W19" s="258"/>
      <c r="X19" s="258">
        <f>X61</f>
        <v>-0.26481907199999999</v>
      </c>
      <c r="Y19" s="258">
        <f>Y61</f>
        <v>-0.19455314970396795</v>
      </c>
      <c r="Z19" s="258">
        <f>Z61</f>
        <v>-1.5629364828154968E-3</v>
      </c>
      <c r="AA19" s="258">
        <f>AA61-INDEX('Summary month'!$X$17:$Z$74,MATCH(AA15,'Summary month'!$D$17:$D$74,0),MATCH($C$1,'Summary month'!$X$6:$Z$6,0))-AA20</f>
        <v>5.8301479300000008</v>
      </c>
      <c r="AB19" s="258">
        <f>-INDEX('Summary month'!$X$17:$Z$74,MATCH(AB15,'Summary month'!$D$17:$D$74,0),MATCH($C$1,'Summary month'!$X$6:$Z$6,0))</f>
        <v>0</v>
      </c>
      <c r="AC19" s="258">
        <f>AC61</f>
        <v>0</v>
      </c>
      <c r="AD19" s="258">
        <f>AD61</f>
        <v>0</v>
      </c>
      <c r="AE19" s="256"/>
      <c r="AF19" s="259"/>
      <c r="AG19" s="254">
        <f>AG61</f>
        <v>3.6514153903526116E-2</v>
      </c>
      <c r="AH19" s="260">
        <f>G12-SUM(U19:AG19)</f>
        <v>4.6629000000028675E-2</v>
      </c>
    </row>
    <row r="20" spans="1:34" outlineLevel="1">
      <c r="A20" s="694"/>
      <c r="B20" s="286">
        <f>B19-B61</f>
        <v>-2.9217325166955304</v>
      </c>
      <c r="C20" s="286">
        <f t="shared" ref="C20:S20" si="0">C19-C61</f>
        <v>2.2521815172366928</v>
      </c>
      <c r="D20" s="286">
        <f t="shared" si="0"/>
        <v>1.7462491963683513</v>
      </c>
      <c r="E20" s="286">
        <f t="shared" si="0"/>
        <v>0</v>
      </c>
      <c r="F20" s="286">
        <f t="shared" si="0"/>
        <v>0</v>
      </c>
      <c r="G20" s="286">
        <f t="shared" si="0"/>
        <v>0</v>
      </c>
      <c r="H20" s="286">
        <f t="shared" si="0"/>
        <v>0</v>
      </c>
      <c r="I20" s="286">
        <f>I19-I61</f>
        <v>0</v>
      </c>
      <c r="J20" s="286">
        <f t="shared" si="0"/>
        <v>0</v>
      </c>
      <c r="K20" s="286">
        <f>K19-K61</f>
        <v>0</v>
      </c>
      <c r="L20" s="286">
        <f t="shared" si="0"/>
        <v>0</v>
      </c>
      <c r="M20" s="286">
        <f t="shared" si="0"/>
        <v>0</v>
      </c>
      <c r="N20" s="286">
        <f t="shared" si="0"/>
        <v>0</v>
      </c>
      <c r="O20" s="286">
        <f t="shared" si="0"/>
        <v>0</v>
      </c>
      <c r="P20" s="286">
        <f t="shared" si="0"/>
        <v>0</v>
      </c>
      <c r="Q20" s="286">
        <f t="shared" si="0"/>
        <v>0</v>
      </c>
      <c r="R20" s="286">
        <f t="shared" si="0"/>
        <v>0</v>
      </c>
      <c r="S20" s="286">
        <f t="shared" si="0"/>
        <v>-1.0766981969095148</v>
      </c>
      <c r="T20" s="286"/>
      <c r="U20" s="315"/>
      <c r="V20" s="216"/>
      <c r="W20" s="216"/>
      <c r="X20" s="216"/>
      <c r="Y20" s="216"/>
      <c r="Z20" s="216"/>
      <c r="AA20" s="216">
        <f>'[7]New KPI vs BP'!$AA$20</f>
        <v>-5.8301479300000008</v>
      </c>
      <c r="AB20" s="216"/>
      <c r="AC20" s="216"/>
    </row>
    <row r="21" spans="1:34" ht="18" outlineLevel="1">
      <c r="A21" s="694"/>
      <c r="D21" s="262"/>
      <c r="E21" s="262"/>
      <c r="F21" s="262"/>
      <c r="G21" s="262"/>
      <c r="H21" s="262"/>
      <c r="I21" s="262"/>
      <c r="J21" s="262"/>
      <c r="K21" s="262"/>
      <c r="L21" s="262"/>
      <c r="M21" s="262"/>
      <c r="N21" s="262"/>
      <c r="O21" s="262"/>
      <c r="P21" s="262"/>
      <c r="Q21" s="262"/>
      <c r="R21" s="262"/>
      <c r="S21" s="221"/>
      <c r="T21" s="221"/>
      <c r="U21" s="495"/>
      <c r="V21" s="221"/>
      <c r="W21" s="221"/>
      <c r="AC21" s="221"/>
    </row>
    <row r="22" spans="1:34" ht="18" outlineLevel="1">
      <c r="A22" s="694"/>
      <c r="D22" s="267"/>
      <c r="E22" s="267"/>
      <c r="F22" s="267"/>
      <c r="G22" s="267"/>
      <c r="H22" s="267"/>
      <c r="I22" s="267"/>
      <c r="J22" s="267"/>
      <c r="K22" s="267"/>
      <c r="L22" s="267"/>
      <c r="M22" s="267"/>
      <c r="N22" s="267"/>
      <c r="O22" s="267"/>
      <c r="P22" s="267"/>
      <c r="Q22" s="267"/>
      <c r="R22" s="267"/>
      <c r="S22" s="216"/>
      <c r="T22" s="216"/>
      <c r="U22" s="315">
        <f>-S67+S27</f>
        <v>67.035197572090482</v>
      </c>
      <c r="V22" s="216"/>
      <c r="W22" s="216"/>
      <c r="AC22" s="216"/>
      <c r="AE22" s="216"/>
      <c r="AF22" t="s">
        <v>262</v>
      </c>
      <c r="AG22" s="216"/>
      <c r="AH22" s="216"/>
    </row>
    <row r="23" spans="1:34" ht="20.25" outlineLevel="1">
      <c r="A23" s="694"/>
      <c r="B23" s="221" t="s">
        <v>277</v>
      </c>
      <c r="C23" s="426">
        <f>C61</f>
        <v>-24.626850718771916</v>
      </c>
      <c r="D23" s="216"/>
      <c r="E23" s="216" t="s">
        <v>281</v>
      </c>
      <c r="F23" s="216" t="s">
        <v>274</v>
      </c>
      <c r="G23" s="216"/>
      <c r="H23" s="216"/>
      <c r="I23" s="273" t="s">
        <v>188</v>
      </c>
      <c r="J23" s="274"/>
      <c r="K23" s="274"/>
      <c r="L23" s="274"/>
      <c r="M23" s="275">
        <f>M19</f>
        <v>4.31809966149922</v>
      </c>
      <c r="N23" s="216"/>
      <c r="P23" s="273" t="s">
        <v>191</v>
      </c>
      <c r="Q23" s="274"/>
      <c r="R23" s="274"/>
      <c r="S23" s="294">
        <f>S19</f>
        <v>29.498727335642311</v>
      </c>
      <c r="T23" s="216"/>
      <c r="U23" s="315"/>
      <c r="V23" s="216"/>
      <c r="W23" s="216"/>
      <c r="X23" s="263" t="s">
        <v>185</v>
      </c>
      <c r="Y23" s="264"/>
      <c r="Z23" s="264"/>
      <c r="AA23" s="265">
        <f>AD19</f>
        <v>0</v>
      </c>
      <c r="AC23" s="216"/>
      <c r="AE23" s="263" t="s">
        <v>186</v>
      </c>
      <c r="AF23" s="264"/>
      <c r="AG23" s="264"/>
      <c r="AH23" s="265">
        <f>AH19</f>
        <v>4.6629000000028675E-2</v>
      </c>
    </row>
    <row r="24" spans="1:34" ht="18" outlineLevel="1">
      <c r="A24" s="694"/>
      <c r="B24" s="216" t="s">
        <v>278</v>
      </c>
      <c r="C24" s="426">
        <f>-INDEX('Summary month'!$X$17:$Z$74,MATCH(C14,'Summary month'!$D$17:$D$74,0),MATCH($C$1,'Summary month'!$X$6:$Z$6,0))</f>
        <v>0</v>
      </c>
      <c r="D24" s="216"/>
      <c r="E24" s="412">
        <f>C24-F24</f>
        <v>-1.7827583479800999</v>
      </c>
      <c r="F24" s="411">
        <v>1.7827583479800999</v>
      </c>
      <c r="G24" s="216"/>
      <c r="H24" s="216"/>
      <c r="I24" s="279">
        <v>1</v>
      </c>
      <c r="J24" s="635" t="str">
        <f>J66</f>
        <v>Supplier claims</v>
      </c>
      <c r="K24" s="270"/>
      <c r="L24" s="270"/>
      <c r="M24" s="280">
        <f>M66</f>
        <v>4</v>
      </c>
      <c r="N24" s="216"/>
      <c r="P24" s="279">
        <v>1</v>
      </c>
      <c r="Q24" s="269" t="str">
        <f>Q66</f>
        <v>UC</v>
      </c>
      <c r="R24" s="270"/>
      <c r="S24" s="280">
        <v>1.7541574323289899E-2</v>
      </c>
      <c r="T24" s="216"/>
      <c r="U24" s="315"/>
      <c r="V24" s="216"/>
      <c r="W24" s="216"/>
      <c r="X24" s="268">
        <v>1</v>
      </c>
      <c r="Y24" s="269" t="s">
        <v>319</v>
      </c>
      <c r="Z24" s="270"/>
      <c r="AA24" s="271">
        <v>2.2165927812395712</v>
      </c>
      <c r="AC24" s="216"/>
      <c r="AE24" s="268">
        <v>1</v>
      </c>
      <c r="AF24" s="269" t="s">
        <v>187</v>
      </c>
      <c r="AG24" s="270"/>
      <c r="AH24" s="271">
        <f>AH66</f>
        <v>4.6629000000042629E-2</v>
      </c>
    </row>
    <row r="25" spans="1:34" ht="18" outlineLevel="1">
      <c r="A25" s="694"/>
      <c r="B25" s="216" t="s">
        <v>279</v>
      </c>
      <c r="C25" s="427">
        <f>-INDEX('Summary month'!$X$17:$Z$74,MATCH(C15,'Summary month'!$D$17:$D$74,0),MATCH($C$1,'Summary month'!$X$6:$Z$6,0))</f>
        <v>0</v>
      </c>
      <c r="D25" s="216"/>
      <c r="E25" s="216"/>
      <c r="F25" s="216"/>
      <c r="G25" s="216"/>
      <c r="H25" s="216"/>
      <c r="I25" s="279">
        <v>2</v>
      </c>
      <c r="J25" s="276" t="s">
        <v>506</v>
      </c>
      <c r="K25" s="277"/>
      <c r="L25" s="277"/>
      <c r="M25" s="281">
        <v>-6.3</v>
      </c>
      <c r="N25" s="216"/>
      <c r="P25" s="279">
        <v>2</v>
      </c>
      <c r="Q25" s="276" t="str">
        <f>Q67</f>
        <v>Export</v>
      </c>
      <c r="R25" s="277"/>
      <c r="S25" s="281">
        <v>4.6770317124792071E-2</v>
      </c>
      <c r="T25" s="216"/>
      <c r="U25" s="315"/>
      <c r="V25" s="216"/>
      <c r="W25" s="216"/>
      <c r="X25" s="268">
        <v>2</v>
      </c>
      <c r="Y25" s="276" t="s">
        <v>460</v>
      </c>
      <c r="Z25" s="277"/>
      <c r="AA25" s="278">
        <v>0.2</v>
      </c>
      <c r="AC25" s="216"/>
      <c r="AE25" s="268">
        <v>2</v>
      </c>
      <c r="AF25" s="276"/>
      <c r="AG25" s="277"/>
      <c r="AH25" s="278"/>
    </row>
    <row r="26" spans="1:34" ht="18" outlineLevel="1">
      <c r="A26" s="694"/>
      <c r="B26" s="216" t="s">
        <v>280</v>
      </c>
      <c r="C26" s="438">
        <f>(M52-N9)</f>
        <v>2.252181517236691</v>
      </c>
      <c r="D26" s="216"/>
      <c r="E26" s="216"/>
      <c r="F26" s="216"/>
      <c r="G26" s="216"/>
      <c r="H26" s="216"/>
      <c r="I26" s="279">
        <v>3</v>
      </c>
      <c r="J26" s="276" t="str">
        <f t="shared" ref="J26:J33" si="1">J68</f>
        <v>MZ Others</v>
      </c>
      <c r="K26" s="277"/>
      <c r="L26" s="277"/>
      <c r="M26" s="281">
        <f t="shared" ref="M26:M33" si="2">M68</f>
        <v>-0.34295069050077931</v>
      </c>
      <c r="N26" s="216"/>
      <c r="P26" s="279">
        <v>3</v>
      </c>
      <c r="Q26" s="276" t="str">
        <f>Q68</f>
        <v>NRV</v>
      </c>
      <c r="R26" s="277"/>
      <c r="S26" s="281">
        <v>0.33213999929159765</v>
      </c>
      <c r="T26" s="216"/>
      <c r="U26" s="315"/>
      <c r="V26" s="216"/>
      <c r="W26" s="216"/>
      <c r="X26" s="268">
        <v>3</v>
      </c>
      <c r="Y26" s="276" t="s">
        <v>470</v>
      </c>
      <c r="Z26" s="277"/>
      <c r="AA26" s="278">
        <v>1.1000000000000001</v>
      </c>
      <c r="AC26" s="216"/>
      <c r="AE26" s="268">
        <v>3</v>
      </c>
      <c r="AF26" s="276"/>
      <c r="AG26" s="277"/>
      <c r="AH26" s="278"/>
    </row>
    <row r="27" spans="1:34" ht="18" outlineLevel="1">
      <c r="A27" s="694"/>
      <c r="B27" s="216"/>
      <c r="C27" s="216"/>
      <c r="D27" s="272"/>
      <c r="E27" s="272"/>
      <c r="F27" s="272"/>
      <c r="G27" s="272"/>
      <c r="H27" s="272"/>
      <c r="I27" s="279">
        <v>4</v>
      </c>
      <c r="J27" s="276" t="str">
        <f t="shared" si="1"/>
        <v>X-badges TP</v>
      </c>
      <c r="K27" s="277"/>
      <c r="L27" s="277"/>
      <c r="M27" s="281">
        <f t="shared" si="2"/>
        <v>0.33242015800000013</v>
      </c>
      <c r="N27" s="216"/>
      <c r="P27" s="279">
        <v>4</v>
      </c>
      <c r="Q27" s="276" t="str">
        <f>Q69</f>
        <v>CAFÉ</v>
      </c>
      <c r="R27" s="277"/>
      <c r="S27" s="281">
        <v>68.111895769</v>
      </c>
      <c r="T27" s="216"/>
      <c r="U27" s="315"/>
      <c r="V27" s="216"/>
      <c r="W27" s="216"/>
      <c r="X27" s="268">
        <v>4</v>
      </c>
      <c r="Y27" s="276"/>
      <c r="Z27" s="277"/>
      <c r="AA27" s="278"/>
      <c r="AC27" s="216"/>
      <c r="AE27" s="268">
        <v>4</v>
      </c>
      <c r="AF27" s="276"/>
      <c r="AG27" s="277"/>
      <c r="AH27" s="278"/>
    </row>
    <row r="28" spans="1:34" ht="18" outlineLevel="1">
      <c r="A28" s="694"/>
      <c r="B28" s="216"/>
      <c r="C28" s="272"/>
      <c r="D28" s="216"/>
      <c r="E28" s="216"/>
      <c r="F28" s="216"/>
      <c r="G28" s="216"/>
      <c r="H28" s="216"/>
      <c r="I28" s="279">
        <v>5</v>
      </c>
      <c r="J28" s="276" t="str">
        <f t="shared" si="1"/>
        <v>Duties for CBUs</v>
      </c>
      <c r="K28" s="277"/>
      <c r="L28" s="277"/>
      <c r="M28" s="281">
        <f t="shared" si="2"/>
        <v>6.5869569000000003E-2</v>
      </c>
      <c r="N28" s="216"/>
      <c r="P28" s="279">
        <v>5</v>
      </c>
      <c r="Q28" s="276" t="str">
        <f>Q70</f>
        <v>SCOS Update</v>
      </c>
      <c r="R28" s="277"/>
      <c r="S28" s="281">
        <v>-2.1228180479999299</v>
      </c>
      <c r="T28" s="216"/>
      <c r="U28" s="315"/>
      <c r="V28" s="216"/>
      <c r="W28" s="216"/>
      <c r="X28" s="282">
        <v>5</v>
      </c>
      <c r="Y28" s="283" t="s">
        <v>182</v>
      </c>
      <c r="Z28" s="284"/>
      <c r="AA28" s="285">
        <f>AA23-SUM(AA24:AA27)</f>
        <v>-3.5165927812395714</v>
      </c>
      <c r="AC28" s="216"/>
      <c r="AE28" s="282">
        <v>5</v>
      </c>
      <c r="AF28" s="283" t="s">
        <v>182</v>
      </c>
      <c r="AG28" s="284"/>
      <c r="AH28" s="285">
        <f>AH23-SUM(AH24:AH27)</f>
        <v>-1.3954115640757436E-14</v>
      </c>
    </row>
    <row r="29" spans="1:34" ht="18" outlineLevel="1">
      <c r="A29" s="694"/>
      <c r="B29" s="216"/>
      <c r="C29" s="272"/>
      <c r="D29" s="216"/>
      <c r="E29" s="216"/>
      <c r="F29" s="216"/>
      <c r="G29" s="216"/>
      <c r="H29" s="216"/>
      <c r="I29" s="279">
        <v>6</v>
      </c>
      <c r="J29" s="276" t="str">
        <f t="shared" si="1"/>
        <v>Outbound logistics</v>
      </c>
      <c r="K29" s="277"/>
      <c r="L29" s="277"/>
      <c r="M29" s="281">
        <f t="shared" si="2"/>
        <v>0.26276062499999997</v>
      </c>
      <c r="N29" s="216"/>
      <c r="P29" s="279">
        <v>6</v>
      </c>
      <c r="Q29" s="276"/>
      <c r="R29" s="277"/>
      <c r="S29" s="281"/>
      <c r="T29" s="216"/>
      <c r="U29" s="315"/>
      <c r="V29" s="216"/>
      <c r="W29" s="216"/>
      <c r="X29" s="216"/>
      <c r="Y29" s="216"/>
      <c r="Z29" s="216"/>
      <c r="AA29" s="286">
        <f>AA28-AA70</f>
        <v>-2.2165927812395712</v>
      </c>
      <c r="AC29" s="216"/>
      <c r="AD29" s="216"/>
      <c r="AE29" s="216"/>
      <c r="AF29" s="216"/>
      <c r="AG29" s="287"/>
      <c r="AH29" s="315">
        <f>AH28-AH70</f>
        <v>2.7755575615628914E-16</v>
      </c>
    </row>
    <row r="30" spans="1:34" ht="18" outlineLevel="1">
      <c r="A30" s="694"/>
      <c r="B30" s="216"/>
      <c r="C30" s="272"/>
      <c r="D30" s="272"/>
      <c r="E30" s="216"/>
      <c r="F30" s="216"/>
      <c r="G30" s="216"/>
      <c r="H30" s="216"/>
      <c r="I30" s="279">
        <v>7</v>
      </c>
      <c r="J30" s="276"/>
      <c r="K30" s="277"/>
      <c r="L30" s="277"/>
      <c r="M30" s="281"/>
      <c r="N30" s="216"/>
      <c r="P30" s="279">
        <v>7</v>
      </c>
      <c r="Q30" s="276"/>
      <c r="R30" s="277"/>
      <c r="S30" s="281"/>
      <c r="T30" s="216"/>
      <c r="U30" s="315"/>
      <c r="V30" s="216"/>
      <c r="W30" s="216"/>
      <c r="X30" s="216"/>
      <c r="Y30" s="216"/>
      <c r="Z30" s="216"/>
      <c r="AA30" s="216"/>
      <c r="AB30" s="216"/>
      <c r="AC30" s="216"/>
    </row>
    <row r="31" spans="1:34" ht="18" outlineLevel="1">
      <c r="A31" s="694"/>
      <c r="B31" s="216"/>
      <c r="C31" s="291"/>
      <c r="D31" s="216"/>
      <c r="E31" s="216"/>
      <c r="F31" s="292" t="s">
        <v>189</v>
      </c>
      <c r="G31" s="216"/>
      <c r="H31" s="216"/>
      <c r="I31" s="279">
        <v>8</v>
      </c>
      <c r="J31" s="276"/>
      <c r="K31" s="277"/>
      <c r="L31" s="277"/>
      <c r="M31" s="281"/>
      <c r="N31" s="216"/>
      <c r="P31" s="279">
        <v>8</v>
      </c>
      <c r="Q31" s="276"/>
      <c r="R31" s="277"/>
      <c r="S31" s="281"/>
      <c r="T31" s="216"/>
      <c r="U31" s="315"/>
      <c r="V31" s="216"/>
      <c r="W31" s="216"/>
      <c r="X31" s="216"/>
      <c r="Y31" s="216"/>
      <c r="Z31" s="216"/>
      <c r="AA31" s="216"/>
      <c r="AB31" s="216"/>
      <c r="AC31" s="216"/>
      <c r="AD31" s="216"/>
      <c r="AE31" s="216"/>
      <c r="AF31" s="216"/>
      <c r="AG31" s="216"/>
      <c r="AH31" s="216"/>
    </row>
    <row r="32" spans="1:34" ht="18" outlineLevel="1">
      <c r="A32" s="694"/>
      <c r="B32" s="216"/>
      <c r="C32" s="216"/>
      <c r="D32" s="293" t="s">
        <v>63</v>
      </c>
      <c r="E32" s="293" t="s">
        <v>287</v>
      </c>
      <c r="F32" s="293" t="s">
        <v>190</v>
      </c>
      <c r="G32" s="216"/>
      <c r="H32" s="216"/>
      <c r="I32" s="279">
        <v>9</v>
      </c>
      <c r="J32" s="276"/>
      <c r="K32" s="277"/>
      <c r="L32" s="277"/>
      <c r="M32" s="281"/>
      <c r="N32" s="216"/>
      <c r="P32" s="279">
        <v>9</v>
      </c>
      <c r="Q32" s="276"/>
      <c r="R32" s="277"/>
      <c r="S32" s="281"/>
      <c r="T32" s="216"/>
      <c r="U32" s="427"/>
      <c r="V32" s="272"/>
      <c r="W32" s="272"/>
      <c r="X32" s="216"/>
      <c r="Y32" s="216"/>
      <c r="Z32" s="216"/>
      <c r="AA32" s="216"/>
      <c r="AB32" s="216"/>
      <c r="AC32" s="216"/>
      <c r="AD32" s="216"/>
      <c r="AE32" s="216"/>
      <c r="AF32" s="216"/>
      <c r="AG32" s="216"/>
      <c r="AH32" s="216"/>
    </row>
    <row r="33" spans="1:34" ht="20.25" outlineLevel="1">
      <c r="A33" s="694"/>
      <c r="B33" s="216"/>
      <c r="C33" s="295" t="s">
        <v>192</v>
      </c>
      <c r="D33" s="296">
        <f>'[7]P&amp;L vs BP'!$U$24</f>
        <v>29269</v>
      </c>
      <c r="E33" s="296">
        <f>'[7]P&amp;L vs BP'!$T$24</f>
        <v>22727</v>
      </c>
      <c r="F33" s="296">
        <f>E33-D33</f>
        <v>-6542</v>
      </c>
      <c r="G33" s="216"/>
      <c r="H33" s="216"/>
      <c r="I33" s="288">
        <v>10</v>
      </c>
      <c r="J33" s="289" t="str">
        <f t="shared" si="1"/>
        <v>Others</v>
      </c>
      <c r="K33" s="284"/>
      <c r="L33" s="284"/>
      <c r="M33" s="290">
        <f t="shared" si="2"/>
        <v>0</v>
      </c>
      <c r="N33" s="216"/>
      <c r="P33" s="288">
        <v>10</v>
      </c>
      <c r="Q33" s="283" t="s">
        <v>182</v>
      </c>
      <c r="R33" s="284"/>
      <c r="S33" s="285">
        <f>S23-SUM(S24:S32)</f>
        <v>-36.886802276097441</v>
      </c>
      <c r="T33" s="216"/>
      <c r="U33" s="315"/>
      <c r="V33" s="216"/>
      <c r="W33" s="216"/>
      <c r="X33" s="297"/>
      <c r="Y33" s="216"/>
      <c r="Z33" s="216"/>
      <c r="AA33" s="216"/>
      <c r="AB33" s="216"/>
      <c r="AC33" s="216"/>
      <c r="AD33" s="216"/>
      <c r="AE33" s="216"/>
      <c r="AF33" s="216"/>
      <c r="AG33" s="216"/>
      <c r="AH33" s="216"/>
    </row>
    <row r="34" spans="1:34" ht="20.25" outlineLevel="1">
      <c r="A34" s="694"/>
      <c r="B34" s="216"/>
      <c r="C34" s="295" t="s">
        <v>194</v>
      </c>
      <c r="D34" s="296">
        <f>'[7]P&amp;L vs BP'!$U$27</f>
        <v>701</v>
      </c>
      <c r="E34" s="296">
        <f>'[7]P&amp;L vs BP'!$T$27</f>
        <v>601</v>
      </c>
      <c r="F34" s="296">
        <f>E34-D34</f>
        <v>-100</v>
      </c>
      <c r="G34" s="216"/>
      <c r="H34" s="216"/>
      <c r="I34" s="216"/>
      <c r="J34" s="216"/>
      <c r="K34" s="216"/>
      <c r="L34" s="216"/>
      <c r="M34" s="286">
        <f>M33-M75</f>
        <v>0</v>
      </c>
      <c r="N34" s="216"/>
      <c r="O34" s="216"/>
      <c r="P34" s="216"/>
      <c r="Q34" s="216"/>
      <c r="R34" s="216"/>
      <c r="S34" s="286"/>
      <c r="T34" s="216"/>
      <c r="U34" s="315"/>
      <c r="V34" s="216"/>
      <c r="W34" s="216"/>
      <c r="X34" s="216"/>
      <c r="Y34" s="216"/>
      <c r="Z34" s="216"/>
      <c r="AA34" s="216"/>
      <c r="AB34" s="216"/>
      <c r="AC34" s="216"/>
      <c r="AD34" s="216"/>
      <c r="AE34" s="216"/>
      <c r="AF34" s="216"/>
      <c r="AG34" s="216"/>
      <c r="AH34" s="216"/>
    </row>
    <row r="35" spans="1:34" outlineLevel="1">
      <c r="A35" s="694"/>
      <c r="B35" s="216"/>
      <c r="C35" s="216"/>
      <c r="D35" s="298"/>
      <c r="E35" s="298"/>
      <c r="F35" s="298"/>
      <c r="G35" s="216"/>
      <c r="H35" s="216"/>
      <c r="I35" s="216"/>
      <c r="J35" s="216"/>
      <c r="K35" s="216"/>
      <c r="L35" s="216"/>
      <c r="M35" s="216"/>
      <c r="N35" s="216"/>
      <c r="U35" s="315"/>
      <c r="V35" s="216"/>
      <c r="W35" s="216"/>
      <c r="X35" s="216"/>
      <c r="Y35" s="216"/>
      <c r="Z35" s="216"/>
      <c r="AA35" s="216"/>
      <c r="AB35" s="216"/>
      <c r="AC35" s="216"/>
      <c r="AD35" s="216"/>
      <c r="AE35" s="216"/>
      <c r="AF35" s="216"/>
      <c r="AG35" s="216"/>
      <c r="AH35" s="216"/>
    </row>
    <row r="36" spans="1:34" ht="20.25" outlineLevel="1">
      <c r="A36" s="694"/>
      <c r="B36" s="216"/>
      <c r="C36" s="295" t="s">
        <v>196</v>
      </c>
      <c r="D36" s="296">
        <f>'[7]P&amp;L vs BP'!$U$18</f>
        <v>28843.4</v>
      </c>
      <c r="E36" s="296">
        <f>'[7]P&amp;L vs BP'!$T$18</f>
        <v>27586</v>
      </c>
      <c r="F36" s="296">
        <f>E36-D36</f>
        <v>-1257.4000000000015</v>
      </c>
      <c r="G36" s="216"/>
      <c r="H36" s="216"/>
      <c r="I36" s="216"/>
      <c r="J36" s="216"/>
      <c r="K36" s="216"/>
      <c r="L36" s="216"/>
      <c r="M36" s="216"/>
      <c r="N36" s="216"/>
      <c r="U36" s="315"/>
      <c r="V36" s="216"/>
      <c r="W36" s="216"/>
      <c r="X36" s="216"/>
      <c r="Y36" s="216"/>
      <c r="Z36" s="216"/>
      <c r="AA36" s="216"/>
      <c r="AB36" s="216"/>
      <c r="AC36" s="216"/>
      <c r="AD36" s="216"/>
      <c r="AE36" s="216"/>
      <c r="AF36" s="216"/>
      <c r="AG36" s="216"/>
      <c r="AH36" s="216"/>
    </row>
    <row r="37" spans="1:34" outlineLevel="1">
      <c r="A37" s="694"/>
      <c r="B37" s="216"/>
      <c r="C37" s="216"/>
      <c r="D37" s="216"/>
      <c r="E37" s="216"/>
      <c r="F37" s="216"/>
      <c r="G37" s="216"/>
      <c r="H37" s="216"/>
      <c r="I37" s="216"/>
      <c r="J37" s="216"/>
      <c r="K37" s="216"/>
      <c r="L37" s="216"/>
      <c r="M37" s="216"/>
      <c r="N37" s="216"/>
      <c r="U37" s="315"/>
      <c r="V37" s="216"/>
      <c r="W37" s="216"/>
      <c r="X37" s="216"/>
      <c r="Y37" s="216"/>
      <c r="Z37" s="216"/>
      <c r="AA37" s="216"/>
      <c r="AB37" s="216"/>
      <c r="AC37" s="216"/>
      <c r="AD37" s="216"/>
      <c r="AE37" s="216"/>
      <c r="AF37" s="216"/>
      <c r="AG37" s="216"/>
      <c r="AH37" s="216"/>
    </row>
    <row r="38" spans="1:34" outlineLevel="1">
      <c r="A38" s="694"/>
      <c r="B38" s="216"/>
      <c r="C38" s="216"/>
      <c r="D38" s="216"/>
      <c r="E38" s="216"/>
      <c r="F38" s="216"/>
      <c r="G38" s="216"/>
      <c r="H38" s="216"/>
      <c r="I38" s="216"/>
      <c r="J38" s="216"/>
      <c r="K38" s="216"/>
      <c r="L38" s="216"/>
      <c r="M38" s="216"/>
      <c r="N38" s="216"/>
      <c r="U38" s="315"/>
      <c r="V38" s="216"/>
      <c r="W38" s="216"/>
      <c r="X38" s="216"/>
      <c r="Y38" s="216"/>
      <c r="Z38" s="216"/>
      <c r="AA38" s="216"/>
      <c r="AB38" s="216"/>
      <c r="AC38" s="216"/>
      <c r="AD38" s="216"/>
      <c r="AE38" s="216"/>
      <c r="AF38" s="216"/>
      <c r="AG38" s="216"/>
      <c r="AH38" s="216"/>
    </row>
    <row r="39" spans="1:34" s="694" customFormat="1">
      <c r="B39" s="695"/>
      <c r="C39" s="695"/>
      <c r="D39" s="695"/>
      <c r="E39" s="695"/>
      <c r="F39" s="695"/>
      <c r="G39" s="695"/>
      <c r="H39" s="695"/>
      <c r="I39" s="695"/>
      <c r="J39" s="695"/>
      <c r="K39" s="695"/>
      <c r="L39" s="695"/>
      <c r="M39" s="695"/>
      <c r="N39" s="695"/>
      <c r="U39" s="698"/>
      <c r="V39" s="695"/>
      <c r="W39" s="695"/>
      <c r="X39" s="695"/>
      <c r="Y39" s="695"/>
      <c r="Z39" s="695"/>
      <c r="AA39" s="695"/>
      <c r="AB39" s="695"/>
      <c r="AC39" s="695"/>
      <c r="AD39" s="695"/>
      <c r="AE39" s="695"/>
      <c r="AF39" s="695"/>
      <c r="AG39" s="695"/>
      <c r="AH39" s="695"/>
    </row>
    <row r="40" spans="1:34">
      <c r="B40" s="216"/>
      <c r="C40" s="216"/>
      <c r="D40" s="216"/>
      <c r="E40" s="216"/>
      <c r="F40" s="216"/>
      <c r="G40" s="216"/>
      <c r="H40" s="216"/>
      <c r="I40" s="216"/>
      <c r="J40" s="216"/>
      <c r="K40" s="216"/>
      <c r="L40" s="216"/>
      <c r="M40" s="216"/>
      <c r="N40" s="216"/>
      <c r="U40" s="315"/>
      <c r="V40" s="216"/>
      <c r="W40" s="216"/>
      <c r="X40" s="216"/>
      <c r="Y40" s="216"/>
      <c r="Z40" s="216"/>
      <c r="AA40" s="216"/>
      <c r="AB40" s="216"/>
      <c r="AC40" s="216"/>
      <c r="AD40" s="216"/>
      <c r="AE40" s="216"/>
      <c r="AF40" s="216"/>
      <c r="AG40" s="216"/>
      <c r="AH40" s="216"/>
    </row>
    <row r="41" spans="1:34">
      <c r="B41" s="216"/>
      <c r="C41" s="216"/>
      <c r="D41" s="216"/>
      <c r="E41" s="216"/>
      <c r="F41" s="216"/>
      <c r="G41" s="216"/>
      <c r="H41" s="216"/>
      <c r="I41" s="216"/>
      <c r="J41" s="216"/>
      <c r="K41" s="216"/>
      <c r="L41" s="216"/>
      <c r="M41" s="216"/>
      <c r="N41" s="216"/>
      <c r="U41" s="315"/>
      <c r="V41" s="216"/>
      <c r="W41" s="216"/>
      <c r="X41" s="216"/>
      <c r="Y41" s="216"/>
      <c r="Z41" s="216"/>
      <c r="AA41" s="216"/>
      <c r="AB41" s="216"/>
      <c r="AC41" s="216"/>
      <c r="AD41" s="216"/>
      <c r="AE41" s="216"/>
      <c r="AF41" s="216"/>
      <c r="AG41" s="216"/>
      <c r="AH41" s="216"/>
    </row>
    <row r="42" spans="1:34">
      <c r="B42" s="216"/>
      <c r="C42" s="216"/>
      <c r="D42" s="216"/>
      <c r="E42" s="216"/>
      <c r="F42" s="216"/>
      <c r="G42" s="216"/>
      <c r="H42" s="216"/>
      <c r="I42" s="216"/>
      <c r="J42" s="216"/>
      <c r="K42" s="216"/>
      <c r="L42" s="216"/>
      <c r="M42" s="216"/>
      <c r="N42" s="216"/>
      <c r="U42" s="315"/>
      <c r="V42" s="216"/>
      <c r="W42" s="216"/>
      <c r="X42" s="216"/>
      <c r="Y42" s="216"/>
      <c r="Z42" s="216"/>
      <c r="AA42" s="216"/>
      <c r="AB42" s="216"/>
      <c r="AC42" s="216"/>
      <c r="AD42" s="216"/>
      <c r="AE42" s="216"/>
      <c r="AF42" s="216"/>
      <c r="AG42" s="216"/>
      <c r="AH42" s="216"/>
    </row>
    <row r="43" spans="1:34">
      <c r="B43" s="216"/>
      <c r="C43" s="216"/>
      <c r="D43" s="216"/>
      <c r="E43" s="216"/>
      <c r="F43" s="216"/>
      <c r="G43" s="216"/>
      <c r="H43" s="216"/>
      <c r="I43" s="216"/>
      <c r="J43" s="216"/>
      <c r="K43" s="216"/>
      <c r="L43" s="216"/>
      <c r="M43" s="216"/>
      <c r="N43" s="216"/>
      <c r="U43" s="315"/>
      <c r="V43" s="216"/>
      <c r="W43" s="216"/>
      <c r="X43" s="216"/>
      <c r="Y43" s="216"/>
      <c r="Z43" s="216"/>
      <c r="AA43" s="216"/>
      <c r="AB43" s="216"/>
      <c r="AC43" s="216"/>
      <c r="AD43" s="216"/>
      <c r="AE43" s="216"/>
      <c r="AF43" s="216"/>
      <c r="AG43" s="216"/>
      <c r="AH43" s="216"/>
    </row>
    <row r="44" spans="1:34" ht="28.5">
      <c r="A44" s="696"/>
      <c r="B44" s="299" t="s">
        <v>197</v>
      </c>
      <c r="C44" s="216"/>
      <c r="D44" s="216"/>
      <c r="E44" s="216"/>
      <c r="F44" s="216"/>
      <c r="G44" s="216"/>
      <c r="H44" s="216"/>
      <c r="I44" s="216"/>
      <c r="J44" s="216"/>
      <c r="K44" s="216"/>
      <c r="L44" s="216"/>
      <c r="M44" s="216"/>
      <c r="N44" s="742">
        <f>'[7]P&amp;L Actual'!$K$76</f>
        <v>-107.465346056</v>
      </c>
      <c r="O44" s="216"/>
      <c r="P44" s="216">
        <f>'[8]YTD_COS_WALK_vs LY'!$AP$47</f>
        <v>-0.69854552220731225</v>
      </c>
      <c r="Q44" s="216"/>
      <c r="R44" s="216"/>
      <c r="S44" s="216"/>
      <c r="T44" s="216"/>
      <c r="U44" s="315"/>
      <c r="V44" s="216"/>
      <c r="W44" s="216"/>
      <c r="X44" s="216"/>
      <c r="Y44" s="216"/>
      <c r="Z44" s="216"/>
      <c r="AA44" s="216"/>
      <c r="AB44" s="216"/>
      <c r="AC44" s="216"/>
      <c r="AD44" s="216"/>
      <c r="AE44" s="216"/>
      <c r="AF44" s="216"/>
      <c r="AG44" s="216"/>
      <c r="AH44" s="216"/>
    </row>
    <row r="45" spans="1:34">
      <c r="A45" s="696"/>
      <c r="B45" s="216"/>
      <c r="C45" s="216"/>
      <c r="D45" s="216"/>
      <c r="E45" s="216"/>
      <c r="F45" s="216"/>
      <c r="G45" s="216"/>
      <c r="H45" s="216"/>
      <c r="I45" s="216"/>
      <c r="J45" s="216"/>
      <c r="K45" s="216"/>
      <c r="L45" s="216"/>
      <c r="M45" s="216"/>
      <c r="N45" s="216"/>
      <c r="O45" s="216"/>
      <c r="P45" s="216"/>
      <c r="Q45" s="216"/>
      <c r="R45" s="216"/>
      <c r="S45" s="216"/>
      <c r="T45" s="216"/>
      <c r="U45" s="315"/>
      <c r="V45" s="216"/>
      <c r="W45" s="216"/>
      <c r="X45" s="216"/>
      <c r="Y45" s="216"/>
      <c r="Z45" s="216"/>
      <c r="AA45" s="216"/>
      <c r="AB45" s="216"/>
      <c r="AC45" s="216"/>
      <c r="AD45" s="216"/>
      <c r="AE45" s="216"/>
      <c r="AF45" s="216"/>
      <c r="AG45" s="216"/>
      <c r="AH45" s="216"/>
    </row>
    <row r="46" spans="1:34">
      <c r="A46" s="696"/>
      <c r="B46" s="216"/>
      <c r="C46" s="216"/>
      <c r="D46" s="216"/>
      <c r="E46" s="216"/>
      <c r="F46" s="216"/>
      <c r="G46" s="216"/>
      <c r="H46" s="216"/>
      <c r="I46" s="216"/>
      <c r="J46" s="216"/>
      <c r="K46" s="216"/>
      <c r="L46" s="216"/>
      <c r="M46" s="216"/>
      <c r="N46" s="216"/>
      <c r="O46" s="216"/>
      <c r="P46" s="216"/>
      <c r="Q46" s="216"/>
      <c r="R46" s="216"/>
      <c r="S46" s="216"/>
      <c r="T46" s="216"/>
      <c r="U46" s="315"/>
      <c r="V46" s="216"/>
      <c r="W46" s="216"/>
      <c r="X46" s="216"/>
      <c r="Y46" s="216"/>
      <c r="Z46" s="216"/>
      <c r="AA46" s="216"/>
      <c r="AB46" s="216"/>
      <c r="AC46" s="216"/>
      <c r="AD46" s="216"/>
      <c r="AE46" s="216"/>
      <c r="AF46" s="216"/>
      <c r="AG46" s="216"/>
      <c r="AH46" s="216"/>
    </row>
    <row r="47" spans="1:34" ht="20.25">
      <c r="A47" s="696"/>
      <c r="B47" s="216"/>
      <c r="C47" s="226" t="str">
        <f>B52</f>
        <v>FC MTD</v>
      </c>
      <c r="D47" s="226" t="str">
        <f>C52</f>
        <v>Act MTD</v>
      </c>
      <c r="E47" s="226" t="s">
        <v>320</v>
      </c>
      <c r="F47" s="226" t="s">
        <v>321</v>
      </c>
      <c r="G47" s="226" t="s">
        <v>322</v>
      </c>
      <c r="H47" s="292" t="s">
        <v>323</v>
      </c>
      <c r="I47" s="216"/>
      <c r="J47" s="216"/>
      <c r="K47" s="216"/>
      <c r="L47" s="216"/>
      <c r="M47" s="216"/>
      <c r="N47" s="216"/>
      <c r="O47" s="216"/>
      <c r="P47" s="639">
        <f>[8]TABLE_MTD!$Z$9</f>
        <v>0</v>
      </c>
      <c r="Q47" s="216"/>
      <c r="R47" s="216"/>
      <c r="S47" s="216"/>
      <c r="T47" s="216"/>
      <c r="U47" s="315"/>
      <c r="V47" s="216"/>
      <c r="W47" s="216"/>
      <c r="X47" s="216"/>
      <c r="Y47" s="216"/>
      <c r="Z47" s="216"/>
      <c r="AA47" s="216"/>
      <c r="AB47" s="216"/>
      <c r="AC47" s="216"/>
      <c r="AD47" s="216"/>
      <c r="AE47" s="216"/>
      <c r="AF47" s="216"/>
      <c r="AG47" s="216"/>
      <c r="AH47" s="216"/>
    </row>
    <row r="48" spans="1:34" ht="20.25">
      <c r="A48" s="696"/>
      <c r="B48" s="226" t="s">
        <v>324</v>
      </c>
      <c r="C48" s="229" t="e">
        <f>INDEX('Summary month'!$T$27:$V$27,1,MATCH($C$1,'Summary month'!$X$6:$Z$6,0))</f>
        <v>#VALUE!</v>
      </c>
      <c r="D48" s="229">
        <f>INDEX('Summary month'!$F$27:$H$27,1,MATCH($C$1,'Summary month'!$O$6:$Q$6,0))</f>
        <v>86.083619587646751</v>
      </c>
      <c r="E48" s="226" t="e">
        <f>+D48-C48</f>
        <v>#VALUE!</v>
      </c>
      <c r="F48" s="226">
        <f>B61</f>
        <v>4.919954735893322</v>
      </c>
      <c r="G48" s="226">
        <f>SUM(C61:S61)</f>
        <v>-4.9199547358933202</v>
      </c>
      <c r="H48" s="502" t="e">
        <f>E48-F48-G48</f>
        <v>#VALUE!</v>
      </c>
      <c r="I48" s="216"/>
      <c r="J48" s="216"/>
      <c r="K48" s="216"/>
      <c r="L48" s="216"/>
      <c r="M48" s="216"/>
      <c r="N48" s="216"/>
      <c r="O48" s="216"/>
      <c r="P48" s="216"/>
      <c r="Q48" s="216"/>
      <c r="R48" s="216"/>
      <c r="S48" s="216"/>
      <c r="T48" s="216"/>
      <c r="U48" s="315"/>
      <c r="V48" s="216"/>
      <c r="W48" s="216"/>
      <c r="X48" s="216"/>
      <c r="Y48" s="216"/>
      <c r="Z48" s="216"/>
      <c r="AA48" s="216"/>
      <c r="AB48" s="216"/>
      <c r="AC48" s="216"/>
      <c r="AD48" s="216"/>
      <c r="AE48" s="216"/>
      <c r="AF48" s="216"/>
      <c r="AG48" s="216"/>
      <c r="AH48" s="216"/>
    </row>
    <row r="49" spans="1:34" ht="20.25">
      <c r="A49" s="696"/>
      <c r="B49" s="226" t="s">
        <v>325</v>
      </c>
      <c r="C49" s="229">
        <f>INDEX('Summary month'!$T$46:$V$46,1,MATCH($C$1,'Summary month'!$X$6:$Z$6,0))</f>
        <v>-128.47130442265512</v>
      </c>
      <c r="D49" s="229">
        <f>INDEX('Summary month'!$F$46:$H$46,1,MATCH($C$1,'Summary month'!$O$6:$Q$6,0))</f>
        <v>-128.47130442265509</v>
      </c>
      <c r="E49" s="226">
        <f>+D49-C49</f>
        <v>0</v>
      </c>
      <c r="F49" s="226">
        <f>T61</f>
        <v>0.37779200428325732</v>
      </c>
      <c r="G49" s="226">
        <f>SUM(U61:AH61)</f>
        <v>-0.3777920042832289</v>
      </c>
      <c r="H49" s="502">
        <f>E49-F49-G49</f>
        <v>-2.8421709430404007E-14</v>
      </c>
      <c r="I49" s="216"/>
      <c r="J49" s="216"/>
      <c r="K49" s="216"/>
      <c r="L49" s="216"/>
      <c r="M49" s="216"/>
      <c r="N49" s="216"/>
      <c r="O49" s="216"/>
      <c r="P49" s="216"/>
      <c r="Q49" s="216"/>
      <c r="R49" s="216"/>
      <c r="S49" s="216"/>
      <c r="T49" s="216"/>
      <c r="U49" s="315"/>
      <c r="V49" s="216"/>
      <c r="W49" s="216"/>
      <c r="X49" s="216"/>
      <c r="Y49" s="216"/>
      <c r="Z49" s="216"/>
      <c r="AA49" s="216"/>
      <c r="AB49" s="216"/>
      <c r="AC49" s="216"/>
      <c r="AD49" s="216"/>
      <c r="AE49" s="216"/>
      <c r="AF49" s="216"/>
      <c r="AG49" s="216"/>
      <c r="AH49" s="216"/>
    </row>
    <row r="50" spans="1:34" ht="20.25">
      <c r="A50" s="696"/>
      <c r="B50" s="226" t="s">
        <v>326</v>
      </c>
      <c r="C50" s="226" t="e">
        <f>+C48+C49</f>
        <v>#VALUE!</v>
      </c>
      <c r="D50" s="226">
        <f>+D48+D49</f>
        <v>-42.387684835008343</v>
      </c>
      <c r="E50" s="226" t="e">
        <f>+D50-C50</f>
        <v>#VALUE!</v>
      </c>
      <c r="F50" s="226" t="e">
        <f>+E50-G50</f>
        <v>#VALUE!</v>
      </c>
      <c r="G50" s="226">
        <f>+G48+G49</f>
        <v>-5.2977467401765495</v>
      </c>
      <c r="H50" s="502" t="e">
        <f>E50-F50-G50</f>
        <v>#VALUE!</v>
      </c>
      <c r="I50" s="216"/>
      <c r="J50" s="216"/>
      <c r="K50" s="216"/>
      <c r="L50" s="216"/>
      <c r="M50" s="216"/>
      <c r="N50" s="216"/>
      <c r="O50" s="216"/>
      <c r="P50" s="216"/>
      <c r="Q50" s="216"/>
      <c r="R50" s="216"/>
      <c r="S50" s="216"/>
      <c r="T50" s="216"/>
      <c r="U50" s="315"/>
      <c r="V50" s="216"/>
      <c r="W50" s="216"/>
      <c r="X50" s="216"/>
      <c r="Y50" s="216"/>
      <c r="Z50" s="216"/>
      <c r="AA50" s="216"/>
      <c r="AB50" s="216"/>
      <c r="AC50" s="216"/>
      <c r="AD50" s="216"/>
      <c r="AE50" s="216"/>
      <c r="AF50" s="216"/>
      <c r="AG50" s="216"/>
      <c r="AH50" s="216"/>
    </row>
    <row r="51" spans="1:34" ht="18">
      <c r="A51" s="696"/>
      <c r="B51" s="215"/>
      <c r="C51" s="216"/>
      <c r="D51" s="215"/>
      <c r="E51" s="216"/>
      <c r="F51" s="215"/>
      <c r="G51" s="217" t="s">
        <v>138</v>
      </c>
      <c r="H51" s="216"/>
      <c r="I51" s="216"/>
      <c r="J51" s="216"/>
      <c r="K51" s="216"/>
      <c r="L51" s="216"/>
      <c r="M51" s="216"/>
      <c r="N51" s="216"/>
      <c r="O51" s="216"/>
      <c r="P51" s="216"/>
      <c r="Q51" s="216"/>
      <c r="R51" s="216"/>
      <c r="S51" s="216"/>
      <c r="T51" s="216"/>
      <c r="U51" s="315"/>
      <c r="V51" s="216"/>
      <c r="W51" s="216"/>
      <c r="X51" s="216"/>
      <c r="Y51" s="216"/>
      <c r="Z51" s="216"/>
      <c r="AA51" s="216"/>
      <c r="AB51" s="216"/>
      <c r="AC51" s="216"/>
      <c r="AD51" s="216"/>
      <c r="AE51" s="216"/>
      <c r="AF51" s="216"/>
      <c r="AG51" s="216"/>
      <c r="AH51" s="216"/>
    </row>
    <row r="52" spans="1:34" ht="20.100000000000001" customHeight="1">
      <c r="A52" s="696"/>
      <c r="B52" s="1014" t="s">
        <v>212</v>
      </c>
      <c r="C52" s="1014" t="s">
        <v>207</v>
      </c>
      <c r="D52" s="218"/>
      <c r="E52" s="219"/>
      <c r="F52" s="219"/>
      <c r="G52" s="220"/>
      <c r="H52" s="216"/>
      <c r="I52" s="216"/>
      <c r="J52" s="216"/>
      <c r="K52" s="216"/>
      <c r="L52" s="216" t="s">
        <v>301</v>
      </c>
      <c r="M52" s="721">
        <f>SUM(E55:E57,G55)</f>
        <v>4.919954735893322</v>
      </c>
      <c r="N52" s="216"/>
      <c r="O52" s="221"/>
      <c r="P52" s="221"/>
      <c r="Q52" s="221"/>
      <c r="R52" s="216"/>
      <c r="S52" s="216"/>
      <c r="T52" s="216"/>
      <c r="U52" s="315"/>
      <c r="V52" s="216"/>
      <c r="W52" s="221"/>
      <c r="X52" s="221"/>
      <c r="Y52" s="221"/>
      <c r="Z52" s="221"/>
      <c r="AA52" s="221"/>
      <c r="AB52" s="221"/>
      <c r="AC52" s="221"/>
      <c r="AD52" s="419"/>
      <c r="AE52" s="221"/>
      <c r="AF52" s="221"/>
      <c r="AG52" s="221"/>
      <c r="AH52" s="221"/>
    </row>
    <row r="53" spans="1:34" ht="40.5">
      <c r="A53" s="696"/>
      <c r="B53" s="1015"/>
      <c r="C53" s="1016"/>
      <c r="D53" s="222"/>
      <c r="E53" s="223" t="s">
        <v>154</v>
      </c>
      <c r="F53" s="224" t="s">
        <v>198</v>
      </c>
      <c r="G53" s="225" t="s">
        <v>156</v>
      </c>
      <c r="H53" s="216"/>
      <c r="I53" s="216" t="s">
        <v>208</v>
      </c>
      <c r="J53" s="216"/>
      <c r="K53" s="216"/>
      <c r="L53" s="216" t="s">
        <v>302</v>
      </c>
      <c r="M53" s="722">
        <f>SUM(U62:AH62,AJ66,AK66)</f>
        <v>0.37779200428325732</v>
      </c>
      <c r="N53" s="216"/>
      <c r="O53" s="216"/>
      <c r="P53" s="216"/>
      <c r="Q53" s="216"/>
      <c r="R53" s="216"/>
      <c r="S53" s="216"/>
      <c r="T53" s="216"/>
      <c r="V53" s="420"/>
      <c r="W53" s="420"/>
      <c r="X53" s="216"/>
      <c r="Y53" s="216"/>
      <c r="Z53" s="216"/>
      <c r="AA53" s="216"/>
      <c r="AB53" s="216"/>
      <c r="AC53" s="216" t="s">
        <v>266</v>
      </c>
      <c r="AD53" s="320">
        <v>2.2165927812395712</v>
      </c>
      <c r="AE53" s="216" t="s">
        <v>452</v>
      </c>
      <c r="AF53" s="216"/>
      <c r="AG53" s="216"/>
      <c r="AH53" s="216"/>
    </row>
    <row r="54" spans="1:34" ht="20.25">
      <c r="A54" s="696"/>
      <c r="B54" s="226" t="e">
        <f>INDEX('Summary month'!$T$47:$V$47,1,MATCH($C$1,'Summary month'!$X$6:$Z$6,0))</f>
        <v>#VALUE!</v>
      </c>
      <c r="C54" s="494">
        <f>INDEX('Summary month'!$F$47:$H$47,1,MATCH($C$1,'Summary month'!$X$6:$Z$6,0))</f>
        <v>-42.387684835008343</v>
      </c>
      <c r="D54" s="227" t="e">
        <f>C54-B54</f>
        <v>#VALUE!</v>
      </c>
      <c r="E54" s="228">
        <f>SUM(M52:M53)</f>
        <v>5.2977467401765796</v>
      </c>
      <c r="F54" s="229">
        <f>INDEX('Summary month'!$X$27:$Z$27,1,MATCH($C$1,'Summary month'!$X$6:$Z$6,0))-M52</f>
        <v>-4.919954735893322</v>
      </c>
      <c r="G54" s="229">
        <f>INDEX('Summary month'!$X$46:$Z$46,1,MATCH($C$1,'Summary month'!$X$6:$Z$6,0))-M53</f>
        <v>-0.3777920042832289</v>
      </c>
      <c r="H54" s="216"/>
      <c r="I54" s="286" t="e">
        <f>SUM(E54:G54)-D54</f>
        <v>#VALUE!</v>
      </c>
      <c r="J54" s="216"/>
      <c r="K54" s="216"/>
      <c r="L54" s="216"/>
      <c r="M54" s="216"/>
      <c r="N54" s="216"/>
      <c r="O54" s="230"/>
      <c r="P54" s="216"/>
      <c r="Q54" s="216"/>
      <c r="R54" s="216"/>
      <c r="S54" s="216"/>
      <c r="T54" s="216"/>
      <c r="U54" s="315"/>
      <c r="V54" s="420"/>
      <c r="W54" s="421"/>
      <c r="X54" s="216"/>
      <c r="Y54" s="230"/>
      <c r="Z54" s="230"/>
      <c r="AA54" s="230"/>
      <c r="AB54" s="230"/>
      <c r="AC54" s="230" t="s">
        <v>269</v>
      </c>
      <c r="AD54" s="724">
        <f>-2560/1000</f>
        <v>-2.56</v>
      </c>
      <c r="AE54" s="230" t="s">
        <v>451</v>
      </c>
      <c r="AF54" s="230"/>
      <c r="AG54" s="230"/>
      <c r="AH54" s="230"/>
    </row>
    <row r="55" spans="1:34">
      <c r="A55" s="696"/>
      <c r="B55" s="216"/>
      <c r="C55" s="216"/>
      <c r="D55" s="216" t="s">
        <v>139</v>
      </c>
      <c r="E55" s="411">
        <f>[8]CMOR_MTD_vsFC!$I$154+[8]CMOR_MTD_vsFC!$I$156+[8]CMOR_MTD_vsFC!$I$168</f>
        <v>5.5847915115908995</v>
      </c>
      <c r="F55" s="216" t="s">
        <v>193</v>
      </c>
      <c r="G55" s="320">
        <f>[8]CMOR_MTD_vsFC!$I$169+[8]CMOR_MTD_vsFC!$I$157+[8]CMOR_MTD_vsFC!$I$159</f>
        <v>-2.5676966083205133E-3</v>
      </c>
      <c r="H55" s="216"/>
      <c r="I55" s="216"/>
      <c r="J55" s="216"/>
      <c r="K55" s="216"/>
      <c r="L55" s="216"/>
      <c r="M55" s="216"/>
      <c r="N55" s="216"/>
      <c r="O55" s="216"/>
      <c r="P55" s="216"/>
      <c r="Q55" s="216"/>
      <c r="R55" s="216"/>
      <c r="S55" s="216"/>
      <c r="T55" s="216"/>
      <c r="U55" s="315"/>
      <c r="V55" s="420"/>
      <c r="W55" s="420" t="s">
        <v>145</v>
      </c>
      <c r="X55" s="320">
        <f>[8]TABLE_MTD!$Z$82-Y55</f>
        <v>-0.74222529800000026</v>
      </c>
      <c r="Y55" s="216">
        <f>[8]CMOR_MTD_vsFC!$I$161</f>
        <v>0.26481907199999999</v>
      </c>
      <c r="Z55" s="216"/>
      <c r="AA55" s="216"/>
      <c r="AB55" s="216"/>
      <c r="AC55" s="216" t="s">
        <v>141</v>
      </c>
      <c r="AD55" s="320">
        <v>-3.1241397000000008E-2</v>
      </c>
      <c r="AE55" s="216" t="s">
        <v>452</v>
      </c>
      <c r="AF55" s="216"/>
      <c r="AG55" s="216"/>
      <c r="AH55" s="216"/>
    </row>
    <row r="56" spans="1:34">
      <c r="A56" s="696"/>
      <c r="B56" s="216"/>
      <c r="C56" s="216"/>
      <c r="D56" s="216" t="s">
        <v>200</v>
      </c>
      <c r="E56" s="411">
        <f>[8]CMOR_MTD_vsFC!$I$164+[8]CMOR_MTD_vsFC!$I$165</f>
        <v>-3.9215170892550333E-3</v>
      </c>
      <c r="F56" s="216"/>
      <c r="G56" s="216"/>
      <c r="H56" s="216"/>
      <c r="I56" s="216"/>
      <c r="J56" s="216"/>
      <c r="K56" s="216"/>
      <c r="L56" s="216"/>
      <c r="M56" s="216"/>
      <c r="N56" s="216"/>
      <c r="O56" s="216"/>
      <c r="P56" s="216"/>
      <c r="Q56" s="216"/>
      <c r="R56" s="216"/>
      <c r="S56" s="216"/>
      <c r="T56" s="216"/>
      <c r="V56" s="422"/>
      <c r="W56" s="422" t="s">
        <v>193</v>
      </c>
      <c r="X56" s="441">
        <f>[8]TABLE_MTD!$Z$78-Y56</f>
        <v>0.15337939600000006</v>
      </c>
      <c r="Y56">
        <f>[8]CMOR_MTD_vsFC!$I$158</f>
        <v>0</v>
      </c>
      <c r="AC56" s="216" t="s">
        <v>144</v>
      </c>
      <c r="AD56" s="520">
        <f>AD61-SUM(AD53:AD55)</f>
        <v>0.3746486157604289</v>
      </c>
      <c r="AH56" s="216"/>
    </row>
    <row r="57" spans="1:34" ht="21" thickBot="1">
      <c r="A57" s="696"/>
      <c r="B57" s="231" t="s">
        <v>157</v>
      </c>
      <c r="C57" s="232"/>
      <c r="D57" s="232" t="s">
        <v>145</v>
      </c>
      <c r="E57" s="440">
        <f>[8]CMOR_MTD_vsFC!$I$160+[8]CMOR_MTD_vsFC!$I$162+[8]CMOR_MTD_vsFC!$I$170</f>
        <v>-0.65834756200000166</v>
      </c>
      <c r="F57" s="232"/>
      <c r="G57" s="232"/>
      <c r="H57" s="232"/>
      <c r="I57" s="232"/>
      <c r="J57" s="232"/>
      <c r="K57" s="232"/>
      <c r="L57" s="232"/>
      <c r="M57" s="232"/>
      <c r="N57" s="232"/>
      <c r="O57" s="232"/>
      <c r="P57" s="232"/>
      <c r="Q57" s="232"/>
      <c r="R57" s="232"/>
      <c r="S57" s="232"/>
      <c r="T57" s="232"/>
      <c r="U57" s="316"/>
      <c r="V57" s="232"/>
      <c r="W57" s="232" t="s">
        <v>144</v>
      </c>
      <c r="X57" s="316">
        <f>X61-SUM(X55:X56)</f>
        <v>0.32402683000000021</v>
      </c>
      <c r="Y57" s="232"/>
      <c r="Z57" s="232"/>
      <c r="AA57" s="232"/>
      <c r="AB57" s="232"/>
      <c r="AC57" s="232"/>
      <c r="AD57" s="316"/>
      <c r="AE57" s="232"/>
      <c r="AF57" s="232"/>
      <c r="AG57" s="232"/>
      <c r="AH57" s="217" t="s">
        <v>138</v>
      </c>
    </row>
    <row r="58" spans="1:34" ht="21" thickBot="1">
      <c r="A58" s="696"/>
      <c r="B58" s="233"/>
      <c r="C58" s="234" t="s">
        <v>199</v>
      </c>
      <c r="D58" s="234"/>
      <c r="E58" s="234"/>
      <c r="F58" s="234"/>
      <c r="G58" s="234"/>
      <c r="H58" s="234"/>
      <c r="I58" s="234"/>
      <c r="J58" s="234"/>
      <c r="K58" s="234"/>
      <c r="L58" s="234"/>
      <c r="M58" s="234"/>
      <c r="N58" s="234"/>
      <c r="O58" s="234"/>
      <c r="P58" s="234"/>
      <c r="Q58" s="234"/>
      <c r="R58" s="234"/>
      <c r="S58" s="235"/>
      <c r="T58" s="236"/>
      <c r="U58" s="641" t="s">
        <v>160</v>
      </c>
      <c r="V58" s="237"/>
      <c r="W58" s="237"/>
      <c r="X58" s="237"/>
      <c r="Y58" s="237"/>
      <c r="Z58" s="237"/>
      <c r="AA58" s="237"/>
      <c r="AB58" s="237"/>
      <c r="AC58" s="237"/>
      <c r="AD58" s="237"/>
      <c r="AE58" s="237"/>
      <c r="AF58" s="237"/>
      <c r="AG58" s="237"/>
      <c r="AH58" s="238"/>
    </row>
    <row r="59" spans="1:34" ht="20.25">
      <c r="A59" s="696"/>
      <c r="B59" s="1027" t="s">
        <v>274</v>
      </c>
      <c r="C59" s="239" t="s">
        <v>161</v>
      </c>
      <c r="D59" s="240"/>
      <c r="E59" s="240"/>
      <c r="F59" s="240"/>
      <c r="G59" s="241"/>
      <c r="H59" s="1017" t="s">
        <v>162</v>
      </c>
      <c r="I59" s="242" t="s">
        <v>163</v>
      </c>
      <c r="J59" s="243"/>
      <c r="K59" s="243"/>
      <c r="L59" s="243"/>
      <c r="M59" s="243"/>
      <c r="N59" s="244"/>
      <c r="O59" s="1029" t="s">
        <v>164</v>
      </c>
      <c r="P59" s="1029" t="s">
        <v>165</v>
      </c>
      <c r="Q59" s="1019" t="s">
        <v>166</v>
      </c>
      <c r="R59" s="1022" t="s">
        <v>167</v>
      </c>
      <c r="S59" s="1023" t="s">
        <v>168</v>
      </c>
      <c r="T59" s="1027" t="s">
        <v>274</v>
      </c>
      <c r="U59" s="642" t="s">
        <v>169</v>
      </c>
      <c r="V59" s="246"/>
      <c r="W59" s="246"/>
      <c r="X59" s="247"/>
      <c r="Y59" s="248" t="s">
        <v>163</v>
      </c>
      <c r="Z59" s="246"/>
      <c r="AA59" s="246"/>
      <c r="AB59" s="246"/>
      <c r="AC59" s="246"/>
      <c r="AD59" s="247"/>
      <c r="AE59" s="1022" t="s">
        <v>166</v>
      </c>
      <c r="AF59" s="1025" t="s">
        <v>167</v>
      </c>
      <c r="AG59" s="311"/>
      <c r="AH59" s="1012" t="s">
        <v>168</v>
      </c>
    </row>
    <row r="60" spans="1:34" ht="57">
      <c r="A60" s="696"/>
      <c r="B60" s="1028"/>
      <c r="C60" s="249" t="s">
        <v>170</v>
      </c>
      <c r="D60" s="300" t="s">
        <v>171</v>
      </c>
      <c r="E60" s="250" t="s">
        <v>172</v>
      </c>
      <c r="F60" s="250" t="s">
        <v>173</v>
      </c>
      <c r="G60" s="251" t="s">
        <v>174</v>
      </c>
      <c r="H60" s="1018"/>
      <c r="I60" s="250" t="s">
        <v>175</v>
      </c>
      <c r="J60" s="250" t="s">
        <v>176</v>
      </c>
      <c r="K60" s="250" t="s">
        <v>201</v>
      </c>
      <c r="L60" s="250" t="s">
        <v>178</v>
      </c>
      <c r="M60" s="250" t="s">
        <v>168</v>
      </c>
      <c r="N60" s="250" t="s">
        <v>179</v>
      </c>
      <c r="O60" s="1030"/>
      <c r="P60" s="1031"/>
      <c r="Q60" s="1021"/>
      <c r="R60" s="1021"/>
      <c r="S60" s="1024"/>
      <c r="T60" s="1028"/>
      <c r="U60" s="643" t="s">
        <v>203</v>
      </c>
      <c r="V60" s="308" t="s">
        <v>180</v>
      </c>
      <c r="W60" s="309" t="s">
        <v>181</v>
      </c>
      <c r="X60" s="310" t="s">
        <v>33</v>
      </c>
      <c r="Y60" s="305" t="s">
        <v>25</v>
      </c>
      <c r="Z60" s="306" t="s">
        <v>183</v>
      </c>
      <c r="AA60" s="306" t="s">
        <v>204</v>
      </c>
      <c r="AB60" s="306" t="s">
        <v>205</v>
      </c>
      <c r="AC60" s="306" t="s">
        <v>184</v>
      </c>
      <c r="AD60" s="306" t="s">
        <v>30</v>
      </c>
      <c r="AE60" s="1021"/>
      <c r="AF60" s="1026"/>
      <c r="AG60" s="312" t="s">
        <v>37</v>
      </c>
      <c r="AH60" s="1013"/>
    </row>
    <row r="61" spans="1:34" ht="21" thickBot="1">
      <c r="A61" s="696"/>
      <c r="B61" s="712">
        <f>M52</f>
        <v>4.919954735893322</v>
      </c>
      <c r="C61" s="713">
        <f>SUM([8]CMOR_MTD_vsFC!$J$22:$K$22)</f>
        <v>-24.626850718771916</v>
      </c>
      <c r="D61" s="737"/>
      <c r="E61" s="710">
        <f>[8]CMOR_MTD_vsFC!$N$22</f>
        <v>-7.9285416116216556</v>
      </c>
      <c r="F61" s="710">
        <f>SUM([8]CMOR_MTD_vsFC!$L$22:$M$22)</f>
        <v>-3.3877379601972777</v>
      </c>
      <c r="G61" s="254"/>
      <c r="H61" s="254"/>
      <c r="I61" s="710">
        <v>0.78556109017703135</v>
      </c>
      <c r="J61" s="710">
        <v>0.69259233446944346</v>
      </c>
      <c r="K61" s="710">
        <v>-1</v>
      </c>
      <c r="L61" s="710">
        <v>0</v>
      </c>
      <c r="M61" s="254">
        <f>3.65704930949922+SUM(M69:M71)</f>
        <v>4.31809966149922</v>
      </c>
      <c r="N61" s="303"/>
      <c r="O61" s="302"/>
      <c r="P61" s="302"/>
      <c r="Q61" s="256"/>
      <c r="R61" s="710">
        <f>[8]CMOR_MTD_vsFC!$Q$22</f>
        <v>-4.3485030639999884</v>
      </c>
      <c r="S61" s="257">
        <f>F54-SUM(C61:R61)</f>
        <v>30.575425532551826</v>
      </c>
      <c r="T61" s="713">
        <f>M53</f>
        <v>0.37779200428325732</v>
      </c>
      <c r="U61" s="738">
        <f>INDEX('Summary month'!$X$17:$Z$73,MATCH(U60,'Summary month'!$D$17:$D$74,0),MATCH($C$1,'Summary month'!$X$6:$Z$6,0))-U62</f>
        <v>0</v>
      </c>
      <c r="V61" s="715">
        <f>INDEX('Summary month'!$X$17:$Z$74,MATCH(V60,'Summary month'!$D$17:$D$74,0),MATCH($C$1,'Summary month'!$X$6:$Z$6,0))-V62</f>
        <v>0</v>
      </c>
      <c r="W61" s="715"/>
      <c r="X61" s="715">
        <f>INDEX('Summary month'!$X$17:$Z$73,MATCH(X60,'Summary month'!$D$17:$D$74,0),MATCH($C$1,'Summary month'!$X$6:$Z$6,0))-X62</f>
        <v>-0.26481907199999999</v>
      </c>
      <c r="Y61" s="715">
        <f>INDEX('Summary month'!$X$17:$Z$73,MATCH(Y60,'Summary month'!$D$17:$D$74,0),MATCH($C$1,'Summary month'!$X$6:$Z$6,0))-Y62</f>
        <v>-0.19455314970396795</v>
      </c>
      <c r="Z61" s="715">
        <f>INDEX('Summary month'!$X$17:$Z$73,MATCH(Z60,'Summary month'!$D$17:$D$74,0),MATCH($C$1,'Summary month'!$X$6:$Z$6,0))-Z62</f>
        <v>-1.5629364828154968E-3</v>
      </c>
      <c r="AA61" s="715">
        <f>INDEX('Summary month'!$X$17:$Z$73,MATCH(AA60,'Summary month'!$D$17:$D$74,0),MATCH($C$1,'Summary month'!$X$6:$Z$6,0))</f>
        <v>0</v>
      </c>
      <c r="AB61" s="739"/>
      <c r="AC61" s="715">
        <f>INDEX('Summary month'!$X$17:$Z$73,MATCH(AC60,'Summary month'!$D$17:$D$74,0),MATCH($C$1,'Summary month'!$X$6:$Z$6,0))-AC62</f>
        <v>0</v>
      </c>
      <c r="AD61" s="715">
        <f>INDEX('Summary month'!$X$17:$Z$73,MATCH(AD60,'Summary month'!$D$17:$D$74,0),MATCH($C$1,'Summary month'!$X$6:$Z$6,0))</f>
        <v>0</v>
      </c>
      <c r="AE61" s="716"/>
      <c r="AF61" s="717"/>
      <c r="AG61" s="710">
        <f>INDEX('Summary month'!$X$17:$Z$73,MATCH(AG60,'Summary month'!$D$17:$D$74,0),MATCH($C$1,'Summary month'!$X$6:$Z$6,0))-AG62</f>
        <v>3.6514153903526116E-2</v>
      </c>
      <c r="AH61" s="718">
        <f>G54-SUM(U61:AG61)</f>
        <v>4.6629000000028398E-2</v>
      </c>
    </row>
    <row r="62" spans="1:34" s="318" customFormat="1" ht="18">
      <c r="A62" s="697"/>
      <c r="B62" s="286"/>
      <c r="C62" s="439"/>
      <c r="D62" s="286"/>
      <c r="E62" s="286"/>
      <c r="F62" s="286"/>
      <c r="G62" s="286"/>
      <c r="H62" s="286"/>
      <c r="I62" s="286"/>
      <c r="J62" s="286"/>
      <c r="K62" s="286"/>
      <c r="L62" s="286"/>
      <c r="M62" s="286"/>
      <c r="N62" s="286"/>
      <c r="O62" s="286"/>
      <c r="P62" s="286"/>
      <c r="Q62" s="286"/>
      <c r="R62" s="286"/>
      <c r="S62" s="286"/>
      <c r="T62" s="286"/>
      <c r="U62" s="315">
        <f>'[8]CMOR_MTD_vsFC-1'!$I$155</f>
        <v>0</v>
      </c>
      <c r="V62" s="286"/>
      <c r="W62" s="286"/>
      <c r="X62" s="286">
        <f>SUM(Y55:Y56)</f>
        <v>0.26481907199999999</v>
      </c>
      <c r="Y62" s="286">
        <f>'[8]CMOR_MTD_vsFC-1'!$I$163-Z62-Z62</f>
        <v>0.19455314970396795</v>
      </c>
      <c r="Z62" s="286">
        <f>[8]VA_MZ_MTD!$W$10</f>
        <v>1.5629364828154968E-3</v>
      </c>
      <c r="AA62" s="286"/>
      <c r="AB62" s="286"/>
      <c r="AC62" s="286">
        <f>'[8]CMOR_MTD_vsFC-1'!$I$167</f>
        <v>0</v>
      </c>
      <c r="AG62" s="286">
        <f>'[8]CMOR_MTD_vsFC-1'!$I$166-AJ66-AK66</f>
        <v>-3.6514153903526116E-2</v>
      </c>
    </row>
    <row r="63" spans="1:34" ht="18">
      <c r="A63" s="696"/>
      <c r="B63" s="221"/>
      <c r="C63" s="319"/>
      <c r="D63" s="221"/>
      <c r="E63" s="221"/>
      <c r="F63" s="221"/>
      <c r="H63" s="121"/>
      <c r="I63" s="221"/>
      <c r="J63" s="221"/>
      <c r="K63" s="221"/>
      <c r="L63" s="221"/>
      <c r="M63" s="221"/>
      <c r="N63" s="221"/>
      <c r="O63" s="221"/>
      <c r="P63" s="221"/>
      <c r="Q63" s="221"/>
      <c r="R63" s="221"/>
      <c r="S63" s="669"/>
      <c r="T63" s="221"/>
      <c r="U63" s="495"/>
      <c r="V63" s="221"/>
      <c r="W63" s="221"/>
      <c r="AC63" s="221"/>
    </row>
    <row r="64" spans="1:34" ht="18">
      <c r="A64" s="696"/>
      <c r="E64" s="678"/>
      <c r="F64" s="678"/>
      <c r="G64" s="679" t="s">
        <v>475</v>
      </c>
      <c r="I64" s="216"/>
      <c r="J64" s="216"/>
      <c r="K64" s="216"/>
      <c r="L64" s="216"/>
      <c r="M64" s="216"/>
      <c r="N64" s="216"/>
      <c r="P64" s="216"/>
      <c r="Q64" s="216"/>
      <c r="R64" s="216"/>
      <c r="S64" s="216"/>
      <c r="T64" s="216"/>
      <c r="U64" s="315"/>
      <c r="V64" s="216"/>
      <c r="W64" s="216"/>
      <c r="AC64" s="216"/>
      <c r="AD64" s="216"/>
      <c r="AE64" s="216"/>
      <c r="AF64" s="216"/>
      <c r="AH64" s="216"/>
    </row>
    <row r="65" spans="1:37" ht="20.25">
      <c r="A65" s="696"/>
      <c r="B65" s="216"/>
      <c r="C65" s="319"/>
      <c r="D65" s="216"/>
      <c r="E65" s="216"/>
      <c r="F65" s="216"/>
      <c r="G65" t="s">
        <v>288</v>
      </c>
      <c r="H65" s="740">
        <f>-2.227579842-AD54</f>
        <v>0.33242015800000013</v>
      </c>
      <c r="I65" s="273" t="s">
        <v>188</v>
      </c>
      <c r="J65" s="274"/>
      <c r="K65" s="274"/>
      <c r="L65" s="274"/>
      <c r="M65" s="275">
        <f>M61</f>
        <v>4.31809966149922</v>
      </c>
      <c r="N65" s="216"/>
      <c r="P65" s="273" t="s">
        <v>191</v>
      </c>
      <c r="Q65" s="274"/>
      <c r="R65" s="274"/>
      <c r="S65" s="294">
        <f>S61</f>
        <v>30.575425532551826</v>
      </c>
      <c r="T65" s="216"/>
      <c r="U65" s="427"/>
      <c r="V65" s="272"/>
      <c r="W65" s="272"/>
      <c r="X65" s="263" t="s">
        <v>185</v>
      </c>
      <c r="Y65" s="264"/>
      <c r="Z65" s="264"/>
      <c r="AA65" s="265">
        <f>AD61</f>
        <v>0</v>
      </c>
      <c r="AC65" s="216"/>
      <c r="AE65" s="263" t="s">
        <v>186</v>
      </c>
      <c r="AF65" s="264"/>
      <c r="AG65" s="264"/>
      <c r="AH65" s="265">
        <f>AH61</f>
        <v>4.6629000000028398E-2</v>
      </c>
      <c r="AJ65" t="s">
        <v>262</v>
      </c>
      <c r="AK65" t="s">
        <v>315</v>
      </c>
    </row>
    <row r="66" spans="1:37" ht="18">
      <c r="A66" s="696"/>
      <c r="B66" s="216"/>
      <c r="C66" s="329"/>
      <c r="D66" s="370"/>
      <c r="E66" s="334"/>
      <c r="F66" s="216"/>
      <c r="G66" t="s">
        <v>290</v>
      </c>
      <c r="H66" s="722">
        <v>6.5869569000000003E-2</v>
      </c>
      <c r="I66" s="279">
        <v>1</v>
      </c>
      <c r="J66" s="635" t="s">
        <v>361</v>
      </c>
      <c r="K66" s="270"/>
      <c r="L66" s="270"/>
      <c r="M66" s="743">
        <v>4</v>
      </c>
      <c r="N66" s="216"/>
      <c r="P66" s="279">
        <v>1</v>
      </c>
      <c r="Q66" s="269" t="s">
        <v>193</v>
      </c>
      <c r="R66" s="270"/>
      <c r="S66" s="743">
        <f>[8]CMOR_MTD_vsFC!$O$22</f>
        <v>-1.0864213013916777</v>
      </c>
      <c r="T66" s="216"/>
      <c r="V66" s="216"/>
      <c r="W66" s="216"/>
      <c r="X66" s="268">
        <v>1</v>
      </c>
      <c r="Y66" s="269" t="s">
        <v>460</v>
      </c>
      <c r="Z66" s="270"/>
      <c r="AA66" s="271">
        <v>0.2</v>
      </c>
      <c r="AC66" s="216"/>
      <c r="AE66" s="268">
        <v>1</v>
      </c>
      <c r="AF66" s="269" t="s">
        <v>39</v>
      </c>
      <c r="AG66" s="270"/>
      <c r="AH66" s="271">
        <f>INDEX('Summary month'!$X$17:$Z$73,MATCH(AF66,'Summary month'!$D$17:$D$74,0),MATCH($C$1,'Summary month'!$X$6:$Z$6,0))-AJ66-AK66</f>
        <v>4.6629000000042629E-2</v>
      </c>
      <c r="AI66" t="s">
        <v>262</v>
      </c>
      <c r="AJ66" s="441">
        <f>INDEX('Summary month'!$X$17:$Z$74,MATCH(AI66,'Summary month'!$D$17:$D$74,0),MATCH($C$1,'Summary month'!$X$6:$Z$6,0))</f>
        <v>0</v>
      </c>
      <c r="AK66">
        <f>'MTD VA vs BP'!AK76</f>
        <v>-4.6628999999999997E-2</v>
      </c>
    </row>
    <row r="67" spans="1:37" ht="18">
      <c r="A67" s="696"/>
      <c r="B67" s="216"/>
      <c r="C67" s="329"/>
      <c r="D67" s="370"/>
      <c r="E67" s="334"/>
      <c r="F67" s="216"/>
      <c r="G67" s="221" t="s">
        <v>282</v>
      </c>
      <c r="H67" s="741">
        <v>0.26276062499999997</v>
      </c>
      <c r="I67" s="279">
        <v>2</v>
      </c>
      <c r="J67" s="276"/>
      <c r="K67" s="277"/>
      <c r="L67" s="277"/>
      <c r="M67" s="736"/>
      <c r="P67" s="279">
        <v>2</v>
      </c>
      <c r="Q67" s="276" t="s">
        <v>143</v>
      </c>
      <c r="R67" s="277"/>
      <c r="S67" s="736">
        <f>'[7]New KPI vs BP'!$AC$449</f>
        <v>1.0766981969095117</v>
      </c>
      <c r="T67" s="216"/>
      <c r="U67" s="315"/>
      <c r="V67" s="216"/>
      <c r="W67" s="216"/>
      <c r="X67" s="268">
        <v>2</v>
      </c>
      <c r="Y67" s="276" t="s">
        <v>144</v>
      </c>
      <c r="Z67" s="277"/>
      <c r="AA67" s="278">
        <v>1.1000000000000001</v>
      </c>
      <c r="AC67" s="216"/>
      <c r="AE67" s="268">
        <v>2</v>
      </c>
      <c r="AF67" s="276"/>
      <c r="AG67" s="277"/>
      <c r="AH67" s="278"/>
      <c r="AI67" t="s">
        <v>144</v>
      </c>
      <c r="AJ67" s="506">
        <f>AH66</f>
        <v>4.6629000000042629E-2</v>
      </c>
    </row>
    <row r="68" spans="1:37" ht="18">
      <c r="A68" s="696"/>
      <c r="B68" s="216"/>
      <c r="C68" s="329"/>
      <c r="D68" s="370"/>
      <c r="E68" s="334"/>
      <c r="F68" s="221"/>
      <c r="I68" s="279">
        <v>3</v>
      </c>
      <c r="J68" s="672" t="s">
        <v>401</v>
      </c>
      <c r="K68" s="277"/>
      <c r="L68" s="277"/>
      <c r="M68" s="736">
        <v>-0.34295069050077931</v>
      </c>
      <c r="N68" s="216"/>
      <c r="P68" s="279">
        <v>3</v>
      </c>
      <c r="Q68" s="276" t="s">
        <v>195</v>
      </c>
      <c r="R68" s="277"/>
      <c r="S68" s="736">
        <v>0.33213999929159765</v>
      </c>
      <c r="W68" s="216"/>
      <c r="X68" s="268">
        <v>3</v>
      </c>
      <c r="Y68" s="276"/>
      <c r="Z68" s="277"/>
      <c r="AA68" s="278"/>
      <c r="AC68" s="216"/>
      <c r="AE68" s="268">
        <v>3</v>
      </c>
      <c r="AF68" s="276"/>
      <c r="AG68" s="277"/>
      <c r="AH68" s="278"/>
      <c r="AJ68" s="422"/>
    </row>
    <row r="69" spans="1:37" ht="18">
      <c r="A69" s="696"/>
      <c r="B69" s="216"/>
      <c r="C69" s="329"/>
      <c r="D69" s="370"/>
      <c r="E69" s="334"/>
      <c r="I69" s="279">
        <v>4</v>
      </c>
      <c r="J69" s="276" t="s">
        <v>288</v>
      </c>
      <c r="K69" s="277"/>
      <c r="L69" s="277"/>
      <c r="M69" s="736">
        <v>0.33242015800000013</v>
      </c>
      <c r="N69" s="323"/>
      <c r="P69" s="279">
        <v>4</v>
      </c>
      <c r="Q69" s="276" t="s">
        <v>247</v>
      </c>
      <c r="R69" s="277"/>
      <c r="S69" s="736">
        <v>68.111895769</v>
      </c>
      <c r="X69" s="268">
        <v>4</v>
      </c>
      <c r="Y69" s="276"/>
      <c r="Z69" s="277"/>
      <c r="AA69" s="278"/>
      <c r="AC69" s="216"/>
      <c r="AE69" s="268">
        <v>4</v>
      </c>
      <c r="AF69" s="276"/>
      <c r="AG69" s="277"/>
      <c r="AH69" s="278"/>
    </row>
    <row r="70" spans="1:37" ht="18">
      <c r="A70" s="696"/>
      <c r="B70" s="216"/>
      <c r="C70" s="329"/>
      <c r="D70" s="429"/>
      <c r="E70" s="334"/>
      <c r="G70" s="216"/>
      <c r="H70" s="334"/>
      <c r="I70" s="279">
        <v>5</v>
      </c>
      <c r="J70" s="276" t="s">
        <v>290</v>
      </c>
      <c r="K70" s="277"/>
      <c r="L70" s="277"/>
      <c r="M70" s="736">
        <v>6.5869569000000003E-2</v>
      </c>
      <c r="N70" s="216"/>
      <c r="P70" s="279">
        <v>5</v>
      </c>
      <c r="Q70" s="276" t="s">
        <v>498</v>
      </c>
      <c r="R70" s="277"/>
      <c r="S70" s="736">
        <v>-2.1228180479999299</v>
      </c>
      <c r="X70" s="282">
        <v>5</v>
      </c>
      <c r="Y70" s="283" t="s">
        <v>182</v>
      </c>
      <c r="Z70" s="284"/>
      <c r="AA70" s="285">
        <f>AA65-SUM(AA66:AA69)</f>
        <v>-1.3</v>
      </c>
      <c r="AC70" s="216"/>
      <c r="AE70" s="282">
        <v>5</v>
      </c>
      <c r="AF70" s="283" t="s">
        <v>182</v>
      </c>
      <c r="AG70" s="284"/>
      <c r="AH70" s="285">
        <f>AH65-SUM(AH66:AH69)</f>
        <v>-1.4231671396913725E-14</v>
      </c>
    </row>
    <row r="71" spans="1:37" ht="18">
      <c r="A71" s="696"/>
      <c r="B71" s="216"/>
      <c r="C71" s="329"/>
      <c r="D71" s="370"/>
      <c r="E71" s="334"/>
      <c r="F71" s="216"/>
      <c r="G71" s="216"/>
      <c r="H71" s="216"/>
      <c r="I71" s="279">
        <v>6</v>
      </c>
      <c r="J71" s="276" t="s">
        <v>282</v>
      </c>
      <c r="K71" s="277"/>
      <c r="L71" s="277"/>
      <c r="M71" s="736">
        <v>0.26276062499999997</v>
      </c>
      <c r="N71" s="216"/>
      <c r="P71" s="279">
        <v>6</v>
      </c>
      <c r="Q71" s="276"/>
      <c r="R71" s="277"/>
      <c r="S71" s="281"/>
      <c r="X71" s="216"/>
      <c r="Y71" s="216"/>
      <c r="Z71" s="216"/>
      <c r="AA71" s="216"/>
      <c r="AB71" s="216"/>
      <c r="AC71" s="216"/>
      <c r="AD71" s="216"/>
      <c r="AE71" s="216"/>
      <c r="AF71" s="216"/>
      <c r="AG71" s="216"/>
      <c r="AH71" s="216"/>
    </row>
    <row r="72" spans="1:37" ht="18">
      <c r="A72" s="696"/>
      <c r="B72" s="216"/>
      <c r="C72" s="272"/>
      <c r="D72" s="216"/>
      <c r="E72" s="334"/>
      <c r="F72" s="216"/>
      <c r="G72" s="216"/>
      <c r="H72" s="216"/>
      <c r="I72" s="279">
        <v>7</v>
      </c>
      <c r="J72" s="276"/>
      <c r="K72" s="277"/>
      <c r="L72" s="277"/>
      <c r="M72" s="736"/>
      <c r="P72" s="279">
        <v>7</v>
      </c>
      <c r="Q72" s="276"/>
      <c r="R72" s="277"/>
      <c r="S72" s="281"/>
      <c r="X72" s="216"/>
      <c r="Y72" s="216"/>
      <c r="Z72" s="216"/>
      <c r="AA72" s="330"/>
      <c r="AB72" s="216"/>
      <c r="AC72" s="216"/>
      <c r="AD72" s="216"/>
      <c r="AE72" s="216"/>
      <c r="AF72" s="216"/>
      <c r="AG72" s="216"/>
      <c r="AH72" s="216"/>
    </row>
    <row r="73" spans="1:37" ht="18">
      <c r="A73" s="696"/>
      <c r="B73" s="216"/>
      <c r="C73" s="272"/>
      <c r="D73" s="272"/>
      <c r="E73" s="216"/>
      <c r="F73" s="216"/>
      <c r="G73" s="216"/>
      <c r="H73" s="216"/>
      <c r="I73" s="279">
        <v>8</v>
      </c>
      <c r="J73" s="276"/>
      <c r="K73" s="277"/>
      <c r="L73" s="277"/>
      <c r="M73" s="736"/>
      <c r="P73" s="279">
        <v>8</v>
      </c>
      <c r="Q73" s="276"/>
      <c r="R73" s="277"/>
      <c r="S73" s="278"/>
      <c r="T73" t="s">
        <v>344</v>
      </c>
      <c r="X73" s="216"/>
      <c r="Y73" s="216"/>
      <c r="AB73" s="216"/>
      <c r="AC73" s="216"/>
      <c r="AD73" s="216"/>
      <c r="AE73" s="216"/>
      <c r="AF73" s="216"/>
      <c r="AG73" s="216"/>
      <c r="AH73" s="216"/>
    </row>
    <row r="74" spans="1:37" ht="18">
      <c r="A74" s="696"/>
      <c r="B74" s="216"/>
      <c r="C74" s="216"/>
      <c r="D74" s="216"/>
      <c r="E74" s="216"/>
      <c r="F74" s="216"/>
      <c r="G74" s="216"/>
      <c r="H74" s="216"/>
      <c r="I74" s="279">
        <v>9</v>
      </c>
      <c r="J74" s="276"/>
      <c r="K74" s="277"/>
      <c r="L74" s="277"/>
      <c r="M74" s="736"/>
      <c r="N74" s="323"/>
      <c r="P74" s="279">
        <v>9</v>
      </c>
      <c r="Q74" s="276"/>
      <c r="R74" s="277"/>
      <c r="S74" s="278"/>
      <c r="U74" s="668"/>
      <c r="X74" s="216"/>
      <c r="Y74" s="216"/>
      <c r="Z74" s="216"/>
      <c r="AA74" s="216"/>
      <c r="AB74" s="216"/>
      <c r="AC74" s="216"/>
      <c r="AD74" s="216"/>
      <c r="AE74" s="216"/>
      <c r="AF74" s="216"/>
      <c r="AG74" s="216"/>
      <c r="AH74" s="216"/>
    </row>
    <row r="75" spans="1:37" ht="18">
      <c r="A75" s="696"/>
      <c r="B75" s="216"/>
      <c r="C75" s="216"/>
      <c r="D75" s="216"/>
      <c r="E75" s="216"/>
      <c r="F75" s="216"/>
      <c r="G75" s="216"/>
      <c r="H75" s="216"/>
      <c r="I75" s="288">
        <v>10</v>
      </c>
      <c r="J75" s="289" t="s">
        <v>182</v>
      </c>
      <c r="K75" s="284"/>
      <c r="L75" s="284"/>
      <c r="M75" s="761">
        <f>M65-SUM(M66:M74)</f>
        <v>0</v>
      </c>
      <c r="N75" s="216"/>
      <c r="P75" s="288">
        <v>10</v>
      </c>
      <c r="Q75" s="283" t="s">
        <v>182</v>
      </c>
      <c r="R75" s="284"/>
      <c r="S75" s="285">
        <f>S65-SUM(S66:S74)</f>
        <v>-35.736069083257682</v>
      </c>
      <c r="T75" t="s">
        <v>195</v>
      </c>
      <c r="U75" s="668">
        <v>0.33213999929159765</v>
      </c>
      <c r="V75" s="216"/>
      <c r="X75" s="297"/>
      <c r="Y75" s="216"/>
      <c r="Z75" s="216"/>
      <c r="AA75" s="216"/>
      <c r="AB75" s="216"/>
      <c r="AC75" s="216"/>
      <c r="AD75" s="216"/>
      <c r="AE75" s="216"/>
      <c r="AF75" s="216"/>
      <c r="AG75" s="216"/>
      <c r="AH75" s="216"/>
    </row>
    <row r="76" spans="1:37">
      <c r="A76" s="696"/>
      <c r="B76" s="216"/>
      <c r="C76" s="216"/>
      <c r="D76" s="216"/>
      <c r="E76" s="216"/>
      <c r="F76" s="216"/>
      <c r="G76" s="216"/>
      <c r="H76" s="216"/>
      <c r="I76" s="216"/>
      <c r="J76" s="216"/>
      <c r="K76" s="216"/>
      <c r="L76" s="216"/>
      <c r="M76" s="216"/>
      <c r="N76" s="216"/>
      <c r="S76" s="504"/>
      <c r="T76" t="s">
        <v>246</v>
      </c>
      <c r="U76" s="541">
        <v>11.346037275692279</v>
      </c>
      <c r="X76" s="216"/>
      <c r="Y76" s="216"/>
      <c r="Z76" s="216"/>
      <c r="AA76" s="216"/>
      <c r="AB76" s="216"/>
      <c r="AC76" s="216"/>
      <c r="AD76" s="216"/>
      <c r="AE76" s="216"/>
      <c r="AF76" s="216"/>
      <c r="AG76" s="216"/>
      <c r="AH76" s="216"/>
    </row>
    <row r="77" spans="1:37">
      <c r="A77" s="696"/>
      <c r="B77" s="216"/>
      <c r="C77" s="216"/>
      <c r="D77" s="216"/>
      <c r="E77" s="216"/>
      <c r="F77" s="216"/>
      <c r="G77" s="216"/>
      <c r="H77" s="216"/>
      <c r="N77" s="216"/>
      <c r="Q77" s="317">
        <f>SUM(S67:S75)+SUM(H65:H68)-H67</f>
        <v>32.060136560943491</v>
      </c>
      <c r="S77" s="318">
        <f>S75-S76</f>
        <v>-35.736069083257682</v>
      </c>
      <c r="T77" t="s">
        <v>247</v>
      </c>
      <c r="U77" s="317">
        <v>68.111895769</v>
      </c>
      <c r="Y77" s="216"/>
      <c r="Z77" s="216">
        <f>'[7]New KPI vs BP'!$AC$437</f>
        <v>-0.17399999999999993</v>
      </c>
      <c r="AA77" s="216"/>
      <c r="AB77" s="216"/>
      <c r="AC77" s="216"/>
      <c r="AD77" s="216"/>
      <c r="AE77" s="216"/>
      <c r="AF77" s="216"/>
      <c r="AG77" s="216"/>
      <c r="AH77" s="216"/>
    </row>
    <row r="78" spans="1:37">
      <c r="A78" s="696"/>
      <c r="B78" s="216"/>
      <c r="C78" s="216"/>
      <c r="D78" s="216"/>
      <c r="E78" s="216"/>
      <c r="F78" s="216"/>
      <c r="G78" s="216"/>
      <c r="H78" s="216"/>
      <c r="I78" s="216"/>
      <c r="J78" s="216"/>
      <c r="K78" s="216"/>
      <c r="L78" s="216"/>
      <c r="M78" s="216"/>
      <c r="N78" s="216"/>
      <c r="P78" t="s">
        <v>195</v>
      </c>
      <c r="Q78" s="317">
        <v>-41</v>
      </c>
      <c r="T78" t="s">
        <v>222</v>
      </c>
      <c r="U78" s="317">
        <v>-22.049638822285566</v>
      </c>
      <c r="V78" s="216" t="s">
        <v>400</v>
      </c>
      <c r="W78" s="314">
        <v>-19.600000000000001</v>
      </c>
      <c r="X78" s="532">
        <f>U78-W78</f>
        <v>-2.4496388222855643</v>
      </c>
      <c r="Y78" s="216"/>
      <c r="Z78" s="216"/>
      <c r="AA78" s="216"/>
      <c r="AB78" s="216"/>
      <c r="AC78" s="216"/>
      <c r="AD78" s="216"/>
      <c r="AE78" s="216"/>
      <c r="AF78" s="216"/>
      <c r="AG78" s="216"/>
      <c r="AH78" s="216"/>
    </row>
    <row r="79" spans="1:37">
      <c r="A79" s="696"/>
      <c r="B79" s="216"/>
      <c r="C79" s="216"/>
      <c r="D79" s="216"/>
      <c r="E79" s="216"/>
      <c r="F79" s="216"/>
      <c r="G79" s="216"/>
      <c r="H79" s="216"/>
      <c r="I79" s="216"/>
      <c r="J79" s="216"/>
      <c r="K79" s="216"/>
      <c r="L79" s="216"/>
      <c r="M79" s="216"/>
      <c r="N79" s="216"/>
      <c r="Q79" s="317"/>
      <c r="T79" t="s">
        <v>292</v>
      </c>
      <c r="U79" s="676">
        <v>-0.30845034002296501</v>
      </c>
      <c r="V79" s="529">
        <f>SUM('[7]New KPI vs BP'!$AC$455:$AC$456,'[7]New KPI vs BP'!$AC$466)-SUM(U75:U78)</f>
        <v>-64.277753710229931</v>
      </c>
      <c r="X79" s="216"/>
      <c r="Y79" s="216"/>
      <c r="Z79" s="216"/>
      <c r="AA79" s="216"/>
      <c r="AB79" s="216"/>
      <c r="AC79" s="216"/>
      <c r="AD79" s="216"/>
      <c r="AE79" s="216"/>
      <c r="AF79" s="216"/>
      <c r="AG79" s="216"/>
      <c r="AH79" s="216"/>
    </row>
    <row r="80" spans="1:37">
      <c r="A80" s="696"/>
      <c r="B80" s="216"/>
      <c r="C80" s="216"/>
      <c r="D80" s="216"/>
      <c r="E80" s="216"/>
      <c r="F80" s="216"/>
      <c r="G80" s="216"/>
      <c r="H80" s="216"/>
      <c r="I80" s="216"/>
      <c r="J80" s="216"/>
      <c r="K80" s="216"/>
      <c r="L80" s="216"/>
      <c r="M80" s="216"/>
      <c r="N80" s="216"/>
      <c r="Q80" s="317"/>
      <c r="T80" t="s">
        <v>217</v>
      </c>
      <c r="U80" s="317">
        <v>0.27549112744344662</v>
      </c>
      <c r="V80">
        <f>SUM('[7]New KPI vs BP'!$AC$453,'[7]New KPI vs BP'!$AC$464)</f>
        <v>-1.7182458108604228</v>
      </c>
      <c r="X80" s="216"/>
      <c r="Y80" s="216"/>
      <c r="Z80" s="216"/>
      <c r="AA80" s="216"/>
      <c r="AB80" s="216"/>
      <c r="AC80" s="216"/>
      <c r="AD80" s="216"/>
      <c r="AE80" s="216"/>
      <c r="AF80" s="216"/>
      <c r="AG80" s="216"/>
      <c r="AH80" s="216"/>
    </row>
    <row r="81" spans="1:34">
      <c r="A81" s="696"/>
      <c r="B81" s="216"/>
      <c r="C81" s="216"/>
      <c r="D81" s="216"/>
      <c r="E81" s="216"/>
      <c r="F81" s="216"/>
      <c r="G81" s="216"/>
      <c r="H81" s="216"/>
      <c r="I81" s="216"/>
      <c r="J81" s="216"/>
      <c r="K81" s="216"/>
      <c r="L81" s="216"/>
      <c r="M81" s="216"/>
      <c r="N81" s="216"/>
      <c r="Q81" s="317"/>
      <c r="T81" s="216" t="s">
        <v>223</v>
      </c>
      <c r="U81" s="541">
        <v>-0.10531182436260861</v>
      </c>
      <c r="V81" s="216">
        <f>'[7]New KPI vs BP'!$AC$457</f>
        <v>6.0495639187848429</v>
      </c>
      <c r="X81" s="216"/>
      <c r="Y81" s="216"/>
      <c r="Z81" s="216"/>
      <c r="AA81" s="216"/>
      <c r="AB81" s="216"/>
      <c r="AC81" s="216"/>
      <c r="AD81" s="216"/>
      <c r="AE81" s="216"/>
      <c r="AF81" s="216"/>
      <c r="AG81" s="216"/>
      <c r="AH81" s="216"/>
    </row>
    <row r="82" spans="1:34">
      <c r="A82" s="696"/>
      <c r="B82" s="216"/>
      <c r="C82" s="216"/>
      <c r="D82" s="216"/>
      <c r="E82" s="216"/>
      <c r="F82" s="216"/>
      <c r="G82" s="216"/>
      <c r="H82" s="216"/>
      <c r="I82" s="216"/>
      <c r="J82" s="216"/>
      <c r="K82" s="216"/>
      <c r="L82" s="216"/>
      <c r="M82" s="216"/>
      <c r="N82" s="216"/>
      <c r="Q82" s="317">
        <f>Q77-SUM(Q78:Q81)</f>
        <v>73.060136560943491</v>
      </c>
      <c r="W82" s="673"/>
      <c r="X82" s="216"/>
      <c r="Y82" s="216"/>
      <c r="Z82" s="216"/>
      <c r="AA82" s="216"/>
      <c r="AB82" s="216"/>
      <c r="AC82" s="216"/>
      <c r="AD82" s="216"/>
      <c r="AE82" s="216"/>
      <c r="AF82" s="216"/>
      <c r="AG82" s="216"/>
      <c r="AH82" s="216"/>
    </row>
    <row r="83" spans="1:34">
      <c r="A83" s="696"/>
      <c r="B83" s="216"/>
      <c r="C83" s="216"/>
      <c r="D83" s="216"/>
      <c r="E83" s="216"/>
      <c r="F83" s="216"/>
      <c r="G83" s="216"/>
      <c r="H83" s="216"/>
      <c r="I83" s="216"/>
      <c r="J83" s="216"/>
      <c r="K83" s="216"/>
      <c r="L83" s="216"/>
      <c r="M83" s="216"/>
      <c r="N83" s="216"/>
      <c r="T83" t="s">
        <v>289</v>
      </c>
      <c r="U83" s="317">
        <f>SUM(U84:U86)</f>
        <v>-0.65297437330375985</v>
      </c>
      <c r="X83" s="216"/>
      <c r="Y83" s="216"/>
      <c r="Z83" s="216"/>
      <c r="AA83" s="216"/>
      <c r="AB83" s="216"/>
      <c r="AC83" s="216"/>
      <c r="AD83" s="216"/>
      <c r="AE83" s="216"/>
      <c r="AF83" s="216"/>
      <c r="AG83" s="216"/>
      <c r="AH83" s="216"/>
    </row>
    <row r="84" spans="1:34">
      <c r="A84" s="696"/>
      <c r="B84" s="216"/>
      <c r="C84" s="216"/>
      <c r="D84" s="216"/>
      <c r="E84" s="216"/>
      <c r="F84" s="216"/>
      <c r="G84" s="216"/>
      <c r="H84" s="216"/>
      <c r="I84" s="216"/>
      <c r="J84" s="216"/>
      <c r="K84" s="216"/>
      <c r="L84" s="216"/>
      <c r="M84" s="216"/>
      <c r="N84" s="216"/>
      <c r="T84" s="423" t="s">
        <v>28</v>
      </c>
      <c r="U84" s="645">
        <v>4.5701072456711955E-2</v>
      </c>
      <c r="V84" s="674">
        <f>'[7]P&amp;L vs BP'!$V$238-'[7]New KPI vs BP'!$AC$437-AC61</f>
        <v>-1.4507644229999999</v>
      </c>
      <c r="X84" s="216"/>
      <c r="Y84" s="216"/>
      <c r="Z84" s="216"/>
      <c r="AA84" s="216"/>
      <c r="AB84" s="216"/>
      <c r="AC84" s="216"/>
      <c r="AD84" s="216"/>
      <c r="AE84" s="216"/>
      <c r="AF84" s="216"/>
      <c r="AG84" s="216"/>
      <c r="AH84" s="216"/>
    </row>
    <row r="85" spans="1:34">
      <c r="A85" s="696"/>
      <c r="T85" s="135" t="s">
        <v>144</v>
      </c>
      <c r="U85" s="373">
        <f>-(AD56+X57+AJ67+AK66)</f>
        <v>-0.6986754457604718</v>
      </c>
      <c r="V85" s="414"/>
      <c r="X85" s="216"/>
    </row>
    <row r="86" spans="1:34">
      <c r="A86" s="696"/>
      <c r="T86" s="135" t="s">
        <v>273</v>
      </c>
      <c r="U86" s="373"/>
      <c r="X86" s="314"/>
    </row>
    <row r="87" spans="1:34">
      <c r="A87" s="696"/>
      <c r="U87" s="415"/>
      <c r="V87" s="371"/>
      <c r="X87" s="314"/>
    </row>
    <row r="88" spans="1:34">
      <c r="X88" s="314"/>
    </row>
    <row r="91" spans="1:34">
      <c r="X91" s="318"/>
    </row>
  </sheetData>
  <mergeCells count="26">
    <mergeCell ref="AH17:AH18"/>
    <mergeCell ref="B10:B11"/>
    <mergeCell ref="C10:C11"/>
    <mergeCell ref="H17:H18"/>
    <mergeCell ref="O17:O18"/>
    <mergeCell ref="P17:P18"/>
    <mergeCell ref="Q17:Q18"/>
    <mergeCell ref="R17:R18"/>
    <mergeCell ref="S17:S18"/>
    <mergeCell ref="AE17:AE18"/>
    <mergeCell ref="AF17:AF18"/>
    <mergeCell ref="T17:T18"/>
    <mergeCell ref="B17:B18"/>
    <mergeCell ref="AH59:AH60"/>
    <mergeCell ref="B52:B53"/>
    <mergeCell ref="C52:C53"/>
    <mergeCell ref="H59:H60"/>
    <mergeCell ref="O59:O60"/>
    <mergeCell ref="P59:P60"/>
    <mergeCell ref="Q59:Q60"/>
    <mergeCell ref="R59:R60"/>
    <mergeCell ref="S59:S60"/>
    <mergeCell ref="AE59:AE60"/>
    <mergeCell ref="AF59:AF60"/>
    <mergeCell ref="T59:T60"/>
    <mergeCell ref="B59:B60"/>
  </mergeCells>
  <pageMargins left="0.7" right="0.7" top="0.75" bottom="0.75" header="0.3" footer="0.3"/>
  <pageSetup orientation="portrait" r:id="rId1"/>
  <customProperties>
    <customPr name="_pios_id" r:id="rId2"/>
    <customPr name="EpmWorksheetKeyString_GUID" r:id="rId3"/>
  </customProperties>
  <drawing r:id="rId4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74BF7-01FB-4B95-9459-99F542EABC41}">
  <sheetPr>
    <tabColor rgb="FFFFFF00"/>
  </sheetPr>
  <dimension ref="A1:AM102"/>
  <sheetViews>
    <sheetView showGridLines="0" topLeftCell="A44" zoomScale="50" zoomScaleNormal="50" workbookViewId="0">
      <selection activeCell="C61" sqref="C61"/>
    </sheetView>
  </sheetViews>
  <sheetFormatPr defaultRowHeight="15"/>
  <cols>
    <col min="2" max="2" width="23.140625" customWidth="1"/>
    <col min="3" max="3" width="20.42578125" bestFit="1" customWidth="1"/>
    <col min="4" max="4" width="16.42578125" customWidth="1"/>
    <col min="5" max="5" width="15" bestFit="1" customWidth="1"/>
    <col min="6" max="6" width="15.5703125" bestFit="1" customWidth="1"/>
    <col min="7" max="7" width="18.42578125" bestFit="1" customWidth="1"/>
    <col min="8" max="8" width="15.5703125" customWidth="1"/>
    <col min="9" max="9" width="10.140625" customWidth="1"/>
    <col min="10" max="10" width="12.140625" customWidth="1"/>
    <col min="11" max="11" width="10.140625" customWidth="1"/>
    <col min="12" max="12" width="15.140625" customWidth="1"/>
    <col min="13" max="13" width="11.5703125" bestFit="1" customWidth="1"/>
    <col min="15" max="15" width="11" customWidth="1"/>
    <col min="18" max="18" width="11.85546875" bestFit="1" customWidth="1"/>
    <col min="19" max="19" width="13.5703125" bestFit="1" customWidth="1"/>
    <col min="20" max="20" width="10.42578125" customWidth="1"/>
    <col min="21" max="21" width="11.5703125" customWidth="1"/>
    <col min="22" max="22" width="19" bestFit="1" customWidth="1"/>
    <col min="24" max="24" width="10.5703125" customWidth="1"/>
    <col min="29" max="29" width="10.42578125" customWidth="1"/>
    <col min="30" max="30" width="11.42578125" customWidth="1"/>
    <col min="33" max="33" width="12" bestFit="1" customWidth="1"/>
    <col min="35" max="35" width="11.5703125" customWidth="1"/>
    <col min="37" max="37" width="9.5703125" bestFit="1" customWidth="1"/>
  </cols>
  <sheetData>
    <row r="1" spans="1:34" ht="28.5">
      <c r="B1" s="304" t="str">
        <f>'Summary month'!E2</f>
        <v>Apr</v>
      </c>
      <c r="C1" t="str">
        <f>VLOOKUP(B1,mapping!$A$2:$C$13,3,0)</f>
        <v>M01</v>
      </c>
    </row>
    <row r="3" spans="1:34" ht="28.5">
      <c r="A3" s="694"/>
      <c r="B3" s="299" t="s">
        <v>202</v>
      </c>
      <c r="I3" s="216"/>
      <c r="J3" s="334"/>
      <c r="K3" s="216"/>
      <c r="L3" s="216"/>
      <c r="M3" s="216"/>
      <c r="N3" s="334"/>
      <c r="O3" s="216"/>
      <c r="P3" s="216"/>
      <c r="Q3" s="216"/>
    </row>
    <row r="4" spans="1:34" ht="28.5">
      <c r="A4" s="694"/>
      <c r="B4" s="299"/>
      <c r="I4" s="216"/>
      <c r="J4" s="334"/>
      <c r="K4" s="216">
        <f>'[10]New KPI vs BP'!$L$1</f>
        <v>0</v>
      </c>
      <c r="L4" s="216"/>
      <c r="M4" s="216"/>
      <c r="N4" s="334"/>
      <c r="O4" s="216"/>
      <c r="P4" s="216"/>
      <c r="Q4" s="216"/>
    </row>
    <row r="5" spans="1:34" ht="20.25">
      <c r="A5" s="694"/>
      <c r="B5" s="216"/>
      <c r="C5" s="226" t="str">
        <f>B10</f>
        <v>2+10 YTD</v>
      </c>
      <c r="D5" s="226" t="str">
        <f>C10</f>
        <v>Act YTD</v>
      </c>
      <c r="E5" s="226" t="s">
        <v>320</v>
      </c>
      <c r="F5" s="226" t="s">
        <v>321</v>
      </c>
      <c r="G5" s="226" t="s">
        <v>322</v>
      </c>
      <c r="H5" s="292" t="s">
        <v>323</v>
      </c>
      <c r="I5" s="216"/>
    </row>
    <row r="6" spans="1:34" ht="20.25">
      <c r="A6" s="694"/>
      <c r="B6" s="226" t="s">
        <v>327</v>
      </c>
      <c r="C6" s="229" t="e">
        <f>#REF!</f>
        <v>#REF!</v>
      </c>
      <c r="D6" s="229" t="e">
        <f>#REF!</f>
        <v>#REF!</v>
      </c>
      <c r="E6" s="226" t="e">
        <f>+D6-C6</f>
        <v>#REF!</v>
      </c>
      <c r="F6" s="226" t="e">
        <f>B19</f>
        <v>#REF!</v>
      </c>
      <c r="G6" s="226" t="e">
        <f>SUM(C19:S19)</f>
        <v>#REF!</v>
      </c>
      <c r="H6" s="502" t="e">
        <f>E6-F6-G6</f>
        <v>#REF!</v>
      </c>
      <c r="I6" s="216"/>
      <c r="J6" s="334"/>
      <c r="K6" s="216"/>
      <c r="L6" s="216"/>
      <c r="M6" s="216"/>
      <c r="N6" s="334"/>
      <c r="O6" s="216"/>
      <c r="P6" s="216"/>
      <c r="Q6" s="216"/>
    </row>
    <row r="7" spans="1:34" ht="20.25">
      <c r="A7" s="694"/>
      <c r="B7" s="226" t="s">
        <v>325</v>
      </c>
      <c r="C7" s="229" t="e">
        <f>#REF!</f>
        <v>#REF!</v>
      </c>
      <c r="D7" s="229" t="e">
        <f>#REF!</f>
        <v>#REF!</v>
      </c>
      <c r="E7" s="226" t="e">
        <f>+D7-C7</f>
        <v>#REF!</v>
      </c>
      <c r="F7" s="226" t="e">
        <f>T19</f>
        <v>#REF!</v>
      </c>
      <c r="G7" s="226" t="e">
        <f>SUM(U19:AH19)</f>
        <v>#REF!</v>
      </c>
      <c r="H7" s="502" t="e">
        <f>E7-F7-G7</f>
        <v>#REF!</v>
      </c>
      <c r="I7" s="216"/>
      <c r="J7" s="334"/>
      <c r="K7" s="216"/>
      <c r="L7" s="216"/>
      <c r="M7" s="216"/>
      <c r="N7" s="334"/>
      <c r="O7" s="216"/>
      <c r="P7" s="216"/>
      <c r="Q7" s="216"/>
    </row>
    <row r="8" spans="1:34" ht="20.25">
      <c r="A8" s="694"/>
      <c r="B8" s="226" t="s">
        <v>326</v>
      </c>
      <c r="C8" s="226" t="e">
        <f>+C6+C7</f>
        <v>#REF!</v>
      </c>
      <c r="D8" s="226" t="e">
        <f>+D6+D7</f>
        <v>#REF!</v>
      </c>
      <c r="E8" s="226" t="e">
        <f>+D8-C8</f>
        <v>#REF!</v>
      </c>
      <c r="F8" s="226" t="e">
        <f>+E8-G8</f>
        <v>#REF!</v>
      </c>
      <c r="G8" s="226" t="e">
        <f>+G6+G7</f>
        <v>#REF!</v>
      </c>
      <c r="H8" s="502" t="e">
        <f>E8-F8-G8</f>
        <v>#REF!</v>
      </c>
      <c r="I8" s="216"/>
      <c r="J8" s="334" t="s">
        <v>303</v>
      </c>
      <c r="K8" s="216" t="s">
        <v>143</v>
      </c>
      <c r="L8" s="216" t="s">
        <v>304</v>
      </c>
      <c r="M8" s="216"/>
      <c r="N8" s="334" t="s">
        <v>303</v>
      </c>
      <c r="O8" s="216" t="s">
        <v>279</v>
      </c>
      <c r="P8" s="216" t="s">
        <v>143</v>
      </c>
      <c r="Q8" s="216" t="s">
        <v>305</v>
      </c>
      <c r="R8" s="216" t="s">
        <v>306</v>
      </c>
    </row>
    <row r="9" spans="1:34" ht="18">
      <c r="A9" s="694"/>
      <c r="B9" s="215"/>
      <c r="C9" s="216"/>
      <c r="D9" s="318" t="e">
        <f>D12-D54</f>
        <v>#REF!</v>
      </c>
      <c r="E9" s="318" t="e">
        <f>E12-E54</f>
        <v>#REF!</v>
      </c>
      <c r="F9" s="318" t="e">
        <f>F12-F54</f>
        <v>#REF!</v>
      </c>
      <c r="G9" s="318" t="e">
        <f>G12-G54</f>
        <v>#REF!</v>
      </c>
      <c r="H9" s="216"/>
      <c r="I9" s="216" t="s">
        <v>307</v>
      </c>
      <c r="J9" s="334">
        <f>'[10]New KPI vs BP'!$AK$34-K9-L9</f>
        <v>-27.995817479551508</v>
      </c>
      <c r="K9" s="216">
        <f>'[10]New KPI vs BP'!$AK$15</f>
        <v>-3.9877249127762506</v>
      </c>
      <c r="L9" s="334">
        <f>'[10]New KPI vs BP'!$AK$507+'[10]New KPI vs BP'!$AK$523</f>
        <v>2.5826456493346166</v>
      </c>
      <c r="M9" s="216"/>
      <c r="N9" s="334" t="e">
        <f>'[10]New KPI vs BP'!$AK$34-P9-Q9-O9</f>
        <v>#REF!</v>
      </c>
      <c r="O9">
        <f>'[10]New KPI vs BP'!$AK$19</f>
        <v>0.32004892279692143</v>
      </c>
      <c r="P9" s="216">
        <f>K9</f>
        <v>-3.9877249127762506</v>
      </c>
      <c r="Q9" s="406" t="e">
        <f>L10-AJ74+AA20</f>
        <v>#REF!</v>
      </c>
      <c r="R9" s="334" t="e">
        <f>L9-(Q9)</f>
        <v>#REF!</v>
      </c>
      <c r="S9" s="216"/>
      <c r="T9" s="216"/>
      <c r="U9" s="216"/>
      <c r="V9" s="216"/>
      <c r="W9" s="216"/>
      <c r="X9" s="216"/>
      <c r="Y9" s="216"/>
      <c r="Z9" s="216"/>
      <c r="AA9" s="216"/>
      <c r="AB9" s="216"/>
      <c r="AC9" s="216"/>
      <c r="AD9" s="216"/>
      <c r="AE9" s="216"/>
      <c r="AF9" s="216"/>
      <c r="AG9" s="216"/>
      <c r="AH9" s="216"/>
    </row>
    <row r="10" spans="1:34" ht="20.100000000000001" customHeight="1">
      <c r="A10" s="694"/>
      <c r="B10" s="1014" t="s">
        <v>450</v>
      </c>
      <c r="C10" s="1014" t="s">
        <v>210</v>
      </c>
      <c r="D10" s="218"/>
      <c r="E10" s="219"/>
      <c r="F10" s="219"/>
      <c r="G10" s="220"/>
      <c r="H10" s="216"/>
      <c r="I10" s="216" t="s">
        <v>62</v>
      </c>
      <c r="J10" s="334">
        <f>M52</f>
        <v>27.585518275664963</v>
      </c>
      <c r="K10" s="216">
        <v>0</v>
      </c>
      <c r="L10" s="334" t="e">
        <f>M53</f>
        <v>#REF!</v>
      </c>
      <c r="M10" s="216"/>
      <c r="N10" s="216"/>
      <c r="O10" s="216"/>
      <c r="P10" s="216"/>
      <c r="Q10" s="216"/>
      <c r="R10" s="216"/>
      <c r="S10" s="216"/>
      <c r="T10" s="216"/>
      <c r="U10" s="216"/>
      <c r="V10" s="216"/>
      <c r="W10" s="221"/>
      <c r="X10" s="221"/>
      <c r="Y10" s="221"/>
      <c r="Z10" s="221"/>
      <c r="AA10" s="221"/>
      <c r="AB10" s="221"/>
      <c r="AC10" s="221"/>
      <c r="AD10" s="221"/>
      <c r="AE10" s="221"/>
      <c r="AF10" s="221"/>
      <c r="AG10" s="221"/>
      <c r="AH10" s="221"/>
    </row>
    <row r="11" spans="1:34" ht="20.25">
      <c r="A11" s="694"/>
      <c r="B11" s="1015"/>
      <c r="C11" s="1016"/>
      <c r="D11" s="222"/>
      <c r="E11" s="223" t="s">
        <v>154</v>
      </c>
      <c r="F11" s="224" t="s">
        <v>155</v>
      </c>
      <c r="G11" s="225" t="s">
        <v>156</v>
      </c>
      <c r="H11" s="216"/>
      <c r="I11" s="216" t="s">
        <v>208</v>
      </c>
      <c r="J11" s="216"/>
      <c r="K11" s="216"/>
      <c r="L11" s="442"/>
      <c r="M11" s="216"/>
      <c r="N11" s="334" t="e">
        <f>SUM(N9:P9)</f>
        <v>#REF!</v>
      </c>
      <c r="O11" s="216"/>
      <c r="P11" s="216"/>
      <c r="Q11" s="216"/>
      <c r="R11" s="216"/>
      <c r="AH11" s="216"/>
    </row>
    <row r="12" spans="1:34" ht="20.25">
      <c r="A12" s="694"/>
      <c r="B12" s="226" t="e">
        <f>#REF!</f>
        <v>#REF!</v>
      </c>
      <c r="C12" s="226" t="e">
        <f>#REF!</f>
        <v>#REF!</v>
      </c>
      <c r="D12" s="227" t="e">
        <f>C12-B12</f>
        <v>#REF!</v>
      </c>
      <c r="E12" s="228">
        <f>'[10]New KPI vs BP'!$AK$34</f>
        <v>-29.400896742993144</v>
      </c>
      <c r="F12" s="228" t="e">
        <f>#REF!-E13</f>
        <v>#REF!</v>
      </c>
      <c r="G12" s="229" t="e">
        <f>#REF!-E14</f>
        <v>#REF!</v>
      </c>
      <c r="H12" s="216"/>
      <c r="I12" s="286" t="e">
        <f>SUM(E12:G12)-D12</f>
        <v>#REF!</v>
      </c>
      <c r="J12" s="216"/>
      <c r="K12" s="216"/>
      <c r="L12" s="322"/>
      <c r="M12" s="216"/>
      <c r="N12" s="216"/>
      <c r="O12" s="230"/>
      <c r="P12" s="216"/>
      <c r="Q12" s="216"/>
      <c r="R12" s="216"/>
      <c r="AH12" s="230"/>
    </row>
    <row r="13" spans="1:34">
      <c r="A13" s="694"/>
      <c r="B13" s="216"/>
      <c r="C13" s="216"/>
      <c r="E13" s="315" t="e">
        <f>SUM(N9:P9)</f>
        <v>#REF!</v>
      </c>
      <c r="F13" s="216" t="s">
        <v>308</v>
      </c>
      <c r="G13" s="334" t="e">
        <f>E13-M52</f>
        <v>#REF!</v>
      </c>
      <c r="H13" s="216"/>
      <c r="I13" s="216"/>
      <c r="J13" s="216"/>
      <c r="K13" s="216"/>
      <c r="L13" s="216"/>
      <c r="M13" s="216"/>
      <c r="N13" s="216"/>
      <c r="O13" s="216" t="s">
        <v>53</v>
      </c>
      <c r="P13" s="315" t="e">
        <f>-#REF!</f>
        <v>#REF!</v>
      </c>
      <c r="Q13" s="216"/>
      <c r="R13" s="216"/>
      <c r="AH13" s="216"/>
    </row>
    <row r="14" spans="1:34">
      <c r="A14" s="694"/>
      <c r="B14" s="216"/>
      <c r="C14" s="216" t="s">
        <v>51</v>
      </c>
      <c r="D14" s="216" t="s">
        <v>50</v>
      </c>
      <c r="E14" s="315" t="e">
        <f>Q9</f>
        <v>#REF!</v>
      </c>
      <c r="F14" s="216" t="s">
        <v>309</v>
      </c>
      <c r="G14" s="334" t="e">
        <f>E14-M53</f>
        <v>#REF!</v>
      </c>
      <c r="H14" s="216"/>
      <c r="I14" s="216"/>
      <c r="J14" s="216"/>
      <c r="K14" s="216"/>
      <c r="L14" s="216"/>
      <c r="M14" s="216"/>
      <c r="N14" s="216"/>
      <c r="O14" s="216" t="s">
        <v>54</v>
      </c>
      <c r="P14" s="315" t="e">
        <f>-#REF!</f>
        <v>#REF!</v>
      </c>
      <c r="Q14" s="216"/>
      <c r="R14" s="216"/>
      <c r="AH14" s="216"/>
    </row>
    <row r="15" spans="1:34" ht="21" thickBot="1">
      <c r="A15" s="694"/>
      <c r="B15" s="231" t="s">
        <v>157</v>
      </c>
      <c r="C15" s="232" t="s">
        <v>56</v>
      </c>
      <c r="D15" s="232" t="s">
        <v>57</v>
      </c>
      <c r="E15" s="232"/>
      <c r="F15" s="232"/>
      <c r="G15" s="232"/>
      <c r="H15" s="232"/>
      <c r="I15" s="232"/>
      <c r="J15" s="232"/>
      <c r="K15" s="232"/>
      <c r="L15" s="232"/>
      <c r="M15" s="232"/>
      <c r="N15" s="232"/>
      <c r="O15" s="232" t="s">
        <v>55</v>
      </c>
      <c r="P15" s="286" t="e">
        <f>-#REF!</f>
        <v>#REF!</v>
      </c>
      <c r="Q15" s="232"/>
      <c r="R15" s="232" t="s">
        <v>60</v>
      </c>
      <c r="AA15" t="s">
        <v>52</v>
      </c>
      <c r="AB15" t="s">
        <v>59</v>
      </c>
      <c r="AH15" s="217" t="s">
        <v>138</v>
      </c>
    </row>
    <row r="16" spans="1:34" ht="21" thickBot="1">
      <c r="A16" s="694"/>
      <c r="B16" s="233"/>
      <c r="C16" s="234" t="s">
        <v>159</v>
      </c>
      <c r="D16" s="234"/>
      <c r="E16" s="234"/>
      <c r="F16" s="234"/>
      <c r="G16" s="234"/>
      <c r="H16" s="234"/>
      <c r="I16" s="234"/>
      <c r="J16" s="234"/>
      <c r="K16" s="234"/>
      <c r="L16" s="234"/>
      <c r="M16" s="234"/>
      <c r="N16" s="234"/>
      <c r="O16" s="234"/>
      <c r="P16" s="234"/>
      <c r="Q16" s="234"/>
      <c r="R16" s="234"/>
      <c r="S16" s="235"/>
      <c r="T16" s="236"/>
      <c r="U16" s="237" t="s">
        <v>160</v>
      </c>
      <c r="V16" s="237"/>
      <c r="W16" s="237"/>
      <c r="X16" s="237"/>
      <c r="Y16" s="237"/>
      <c r="Z16" s="237"/>
      <c r="AA16" s="237"/>
      <c r="AB16" s="237"/>
      <c r="AC16" s="237"/>
      <c r="AD16" s="237"/>
      <c r="AE16" s="237"/>
      <c r="AF16" s="237"/>
      <c r="AG16" s="237"/>
      <c r="AH16" s="238"/>
    </row>
    <row r="17" spans="1:34" ht="20.100000000000001" customHeight="1">
      <c r="A17" s="694"/>
      <c r="B17" s="1027" t="s">
        <v>274</v>
      </c>
      <c r="C17" s="239" t="s">
        <v>161</v>
      </c>
      <c r="D17" s="240"/>
      <c r="E17" s="240"/>
      <c r="F17" s="240"/>
      <c r="G17" s="241"/>
      <c r="H17" s="1017" t="s">
        <v>162</v>
      </c>
      <c r="I17" s="242" t="s">
        <v>163</v>
      </c>
      <c r="J17" s="243"/>
      <c r="K17" s="243"/>
      <c r="L17" s="243"/>
      <c r="M17" s="243"/>
      <c r="N17" s="244"/>
      <c r="O17" s="1019" t="s">
        <v>164</v>
      </c>
      <c r="P17" s="1019" t="s">
        <v>165</v>
      </c>
      <c r="Q17" s="1019" t="s">
        <v>166</v>
      </c>
      <c r="R17" s="1022" t="s">
        <v>167</v>
      </c>
      <c r="S17" s="1023" t="s">
        <v>168</v>
      </c>
      <c r="T17" s="1027" t="s">
        <v>274</v>
      </c>
      <c r="U17" s="245" t="s">
        <v>169</v>
      </c>
      <c r="V17" s="246"/>
      <c r="W17" s="246"/>
      <c r="X17" s="247"/>
      <c r="Y17" s="248" t="s">
        <v>163</v>
      </c>
      <c r="Z17" s="246"/>
      <c r="AA17" s="246"/>
      <c r="AB17" s="246"/>
      <c r="AC17" s="246"/>
      <c r="AD17" s="247"/>
      <c r="AE17" s="1022" t="s">
        <v>166</v>
      </c>
      <c r="AF17" s="1025" t="s">
        <v>167</v>
      </c>
      <c r="AG17" s="311"/>
      <c r="AH17" s="1012" t="s">
        <v>168</v>
      </c>
    </row>
    <row r="18" spans="1:34" ht="77.45" customHeight="1">
      <c r="A18" s="694"/>
      <c r="B18" s="1028"/>
      <c r="C18" s="249" t="s">
        <v>170</v>
      </c>
      <c r="D18" s="250" t="s">
        <v>171</v>
      </c>
      <c r="E18" s="250" t="s">
        <v>172</v>
      </c>
      <c r="F18" s="250" t="s">
        <v>173</v>
      </c>
      <c r="G18" s="251" t="s">
        <v>174</v>
      </c>
      <c r="H18" s="1018"/>
      <c r="I18" s="250" t="s">
        <v>175</v>
      </c>
      <c r="J18" s="250" t="s">
        <v>176</v>
      </c>
      <c r="K18" s="250" t="s">
        <v>177</v>
      </c>
      <c r="L18" s="250" t="s">
        <v>178</v>
      </c>
      <c r="M18" s="250" t="s">
        <v>168</v>
      </c>
      <c r="N18" s="250" t="s">
        <v>179</v>
      </c>
      <c r="O18" s="1020"/>
      <c r="P18" s="1021"/>
      <c r="Q18" s="1021"/>
      <c r="R18" s="1021"/>
      <c r="S18" s="1024"/>
      <c r="T18" s="1028"/>
      <c r="U18" s="307" t="s">
        <v>203</v>
      </c>
      <c r="V18" s="308" t="s">
        <v>180</v>
      </c>
      <c r="W18" s="309" t="s">
        <v>181</v>
      </c>
      <c r="X18" s="310" t="s">
        <v>33</v>
      </c>
      <c r="Y18" s="305" t="s">
        <v>25</v>
      </c>
      <c r="Z18" s="306" t="s">
        <v>183</v>
      </c>
      <c r="AA18" s="306" t="s">
        <v>204</v>
      </c>
      <c r="AB18" s="306" t="s">
        <v>205</v>
      </c>
      <c r="AC18" s="306" t="s">
        <v>184</v>
      </c>
      <c r="AD18" s="306" t="s">
        <v>30</v>
      </c>
      <c r="AE18" s="1021"/>
      <c r="AF18" s="1026"/>
      <c r="AG18" s="312" t="s">
        <v>37</v>
      </c>
      <c r="AH18" s="1013"/>
    </row>
    <row r="19" spans="1:34" ht="21" thickBot="1">
      <c r="A19" s="694"/>
      <c r="B19" s="252" t="e">
        <f>E13</f>
        <v>#REF!</v>
      </c>
      <c r="C19" s="253" t="e">
        <f>C61-#REF!-#REF!+M52-N9-O9</f>
        <v>#REF!</v>
      </c>
      <c r="D19" s="254" t="e">
        <f>S75-#REF!-#REF!-P9</f>
        <v>#REF!</v>
      </c>
      <c r="E19" s="254">
        <f>E61</f>
        <v>-20.569371422967595</v>
      </c>
      <c r="F19" s="254">
        <f>F61</f>
        <v>-7.3679944125277279</v>
      </c>
      <c r="G19" s="254"/>
      <c r="H19" s="254">
        <f t="shared" ref="H19:M19" si="0">H61</f>
        <v>0</v>
      </c>
      <c r="I19" s="254">
        <f t="shared" si="0"/>
        <v>1.2517632339895739</v>
      </c>
      <c r="J19" s="255">
        <f t="shared" si="0"/>
        <v>0.73791161237971226</v>
      </c>
      <c r="K19" s="255">
        <f t="shared" si="0"/>
        <v>-2.1877254192267328</v>
      </c>
      <c r="L19" s="255">
        <f t="shared" si="0"/>
        <v>4.3934369637699977E-2</v>
      </c>
      <c r="M19" s="255">
        <f t="shared" si="0"/>
        <v>31.273999853445638</v>
      </c>
      <c r="N19" s="255"/>
      <c r="O19" s="254" t="e">
        <f>-SUM(#REF!)</f>
        <v>#REF!</v>
      </c>
      <c r="P19" s="254"/>
      <c r="Q19" s="256"/>
      <c r="R19" s="254" t="e">
        <f>R61-#REF!</f>
        <v>#REF!</v>
      </c>
      <c r="S19" s="254" t="e">
        <f>F12-SUM(C19:R19)</f>
        <v>#REF!</v>
      </c>
      <c r="T19" s="253" t="e">
        <f>E14</f>
        <v>#REF!</v>
      </c>
      <c r="U19" s="253" t="e">
        <f>U61</f>
        <v>#REF!</v>
      </c>
      <c r="V19" s="258" t="e">
        <f>V61</f>
        <v>#REF!</v>
      </c>
      <c r="W19" s="258"/>
      <c r="X19" s="258" t="e">
        <f>X61</f>
        <v>#REF!</v>
      </c>
      <c r="Y19" s="258" t="e">
        <f>Y61</f>
        <v>#REF!</v>
      </c>
      <c r="Z19" s="258" t="e">
        <f>Z61</f>
        <v>#REF!</v>
      </c>
      <c r="AA19" s="258" t="e">
        <f>AA61-#REF!-AA20</f>
        <v>#REF!</v>
      </c>
      <c r="AB19" s="258" t="e">
        <f>-#REF!</f>
        <v>#REF!</v>
      </c>
      <c r="AC19" s="258" t="e">
        <f>AC61</f>
        <v>#REF!</v>
      </c>
      <c r="AD19" s="258" t="e">
        <f>AD61</f>
        <v>#REF!</v>
      </c>
      <c r="AE19" s="256"/>
      <c r="AF19" s="259"/>
      <c r="AG19" s="254" t="e">
        <f>AG61</f>
        <v>#REF!</v>
      </c>
      <c r="AH19" s="260" t="e">
        <f>G12-SUM(U19:AG19)</f>
        <v>#REF!</v>
      </c>
    </row>
    <row r="20" spans="1:34">
      <c r="A20" s="694"/>
      <c r="B20" s="286" t="e">
        <f>B19-B61</f>
        <v>#REF!</v>
      </c>
      <c r="C20" s="286" t="e">
        <f>C19-C61</f>
        <v>#REF!</v>
      </c>
      <c r="D20" s="286" t="e">
        <f t="shared" ref="D20:R20" si="1">D19-D61</f>
        <v>#REF!</v>
      </c>
      <c r="E20" s="286">
        <f t="shared" si="1"/>
        <v>0</v>
      </c>
      <c r="F20" s="286">
        <f t="shared" si="1"/>
        <v>0</v>
      </c>
      <c r="G20" s="286">
        <f t="shared" si="1"/>
        <v>0</v>
      </c>
      <c r="H20" s="286">
        <f t="shared" si="1"/>
        <v>0</v>
      </c>
      <c r="I20" s="286">
        <f t="shared" si="1"/>
        <v>0</v>
      </c>
      <c r="J20" s="286">
        <f t="shared" si="1"/>
        <v>0</v>
      </c>
      <c r="K20" s="286">
        <f t="shared" si="1"/>
        <v>0</v>
      </c>
      <c r="L20" s="286">
        <f t="shared" si="1"/>
        <v>0</v>
      </c>
      <c r="M20" s="286">
        <f t="shared" si="1"/>
        <v>0</v>
      </c>
      <c r="N20" s="286">
        <f t="shared" si="1"/>
        <v>0</v>
      </c>
      <c r="O20" s="286" t="e">
        <f>O19-O61</f>
        <v>#REF!</v>
      </c>
      <c r="P20" s="286">
        <f t="shared" si="1"/>
        <v>0</v>
      </c>
      <c r="Q20" s="286">
        <f t="shared" si="1"/>
        <v>0</v>
      </c>
      <c r="R20" s="286" t="e">
        <f t="shared" si="1"/>
        <v>#REF!</v>
      </c>
      <c r="S20" s="286" t="e">
        <f>S19-S61</f>
        <v>#REF!</v>
      </c>
      <c r="T20" s="286"/>
      <c r="U20" s="216"/>
      <c r="V20" s="216"/>
      <c r="W20" s="216"/>
      <c r="X20" s="216"/>
      <c r="Y20" s="216"/>
      <c r="Z20" s="216"/>
      <c r="AA20" s="216">
        <f>'[10]New KPI vs BP'!$AK$20</f>
        <v>0.16389695227173651</v>
      </c>
      <c r="AB20" s="216"/>
      <c r="AC20" s="216"/>
      <c r="AE20" t="s">
        <v>262</v>
      </c>
      <c r="AF20" s="216"/>
      <c r="AG20" s="216"/>
      <c r="AH20" s="216"/>
    </row>
    <row r="21" spans="1:34" ht="18">
      <c r="A21" s="694"/>
      <c r="B21" s="221"/>
      <c r="C21" s="261"/>
      <c r="D21" s="262"/>
      <c r="E21" s="433" t="s">
        <v>285</v>
      </c>
      <c r="F21" s="434" t="s">
        <v>286</v>
      </c>
      <c r="G21" s="262"/>
      <c r="H21" s="262"/>
      <c r="I21" s="262"/>
      <c r="J21" s="262"/>
      <c r="K21" s="262"/>
      <c r="L21" s="262"/>
      <c r="M21" s="262"/>
      <c r="N21" s="262"/>
      <c r="O21" s="262"/>
      <c r="P21" s="262"/>
      <c r="Q21" s="262"/>
      <c r="R21" s="262"/>
      <c r="S21" s="221"/>
      <c r="T21" s="221"/>
      <c r="U21" s="221"/>
      <c r="V21" s="221"/>
      <c r="W21" s="221"/>
    </row>
    <row r="22" spans="1:34" ht="18">
      <c r="A22" s="694"/>
      <c r="B22" s="216"/>
      <c r="C22" s="266"/>
      <c r="D22" s="267"/>
      <c r="E22" s="267"/>
      <c r="F22" s="267"/>
      <c r="G22" s="267"/>
      <c r="H22" s="267"/>
      <c r="I22" s="267"/>
      <c r="J22" s="267"/>
      <c r="K22" s="267"/>
      <c r="L22" s="267"/>
      <c r="M22" s="267"/>
      <c r="N22" s="267"/>
      <c r="O22" s="267"/>
      <c r="P22" s="267"/>
      <c r="Q22" s="267"/>
      <c r="R22" s="267"/>
      <c r="S22" s="216"/>
      <c r="T22" s="216"/>
      <c r="V22" s="216"/>
      <c r="W22" s="216"/>
    </row>
    <row r="23" spans="1:34" ht="20.25">
      <c r="A23" s="694"/>
      <c r="B23" s="221" t="s">
        <v>277</v>
      </c>
      <c r="C23" s="426">
        <f>C61</f>
        <v>-11.494464159448192</v>
      </c>
      <c r="D23" s="216"/>
      <c r="E23" s="216" t="s">
        <v>281</v>
      </c>
      <c r="F23" s="216" t="s">
        <v>274</v>
      </c>
      <c r="G23" s="216"/>
      <c r="H23" s="216"/>
      <c r="I23" s="273" t="s">
        <v>188</v>
      </c>
      <c r="J23" s="274"/>
      <c r="K23" s="274"/>
      <c r="L23" s="274"/>
      <c r="M23" s="275">
        <f>M19</f>
        <v>31.273999853445638</v>
      </c>
      <c r="N23" s="216"/>
      <c r="P23" s="273" t="s">
        <v>191</v>
      </c>
      <c r="Q23" s="274"/>
      <c r="R23" s="274"/>
      <c r="S23" s="294" t="e">
        <f>S19</f>
        <v>#REF!</v>
      </c>
      <c r="T23" s="216"/>
      <c r="U23" s="216"/>
      <c r="V23" s="216"/>
      <c r="W23" s="216"/>
      <c r="X23" s="263" t="s">
        <v>185</v>
      </c>
      <c r="Y23" s="264"/>
      <c r="Z23" s="264"/>
      <c r="AA23" s="265" t="e">
        <f>AD19</f>
        <v>#REF!</v>
      </c>
      <c r="AC23" s="263" t="s">
        <v>186</v>
      </c>
      <c r="AD23" s="264"/>
      <c r="AE23" s="264"/>
      <c r="AF23" s="264"/>
      <c r="AG23" s="264"/>
      <c r="AH23" s="265" t="e">
        <f>AH19</f>
        <v>#REF!</v>
      </c>
    </row>
    <row r="24" spans="1:34" ht="18">
      <c r="A24" s="694"/>
      <c r="B24" s="216" t="s">
        <v>278</v>
      </c>
      <c r="C24" s="426" t="e">
        <f>-#REF!</f>
        <v>#REF!</v>
      </c>
      <c r="D24" s="216"/>
      <c r="E24" s="412" t="e">
        <f>C24-F24</f>
        <v>#REF!</v>
      </c>
      <c r="F24" s="580">
        <v>-18.95547125918258</v>
      </c>
      <c r="G24" s="216"/>
      <c r="H24" s="216"/>
      <c r="I24" s="279">
        <v>1</v>
      </c>
      <c r="J24" s="635" t="str">
        <f t="shared" ref="J24:J29" si="2">J74</f>
        <v>ITP relief catch up (outside PER)</v>
      </c>
      <c r="K24" s="270"/>
      <c r="L24" s="270"/>
      <c r="M24" s="280">
        <f t="shared" ref="M24:M29" si="3">M74</f>
        <v>12</v>
      </c>
      <c r="N24" s="216"/>
      <c r="P24" s="279">
        <v>1</v>
      </c>
      <c r="Q24" s="269" t="str">
        <f>Q74</f>
        <v>UC</v>
      </c>
      <c r="R24" s="270"/>
      <c r="S24" s="280">
        <f t="shared" ref="S24:S29" si="4">S74</f>
        <v>-2.9539575066950889</v>
      </c>
      <c r="T24" s="216"/>
      <c r="U24" s="216"/>
      <c r="V24" s="216"/>
      <c r="W24" s="216"/>
      <c r="X24" s="268">
        <v>1</v>
      </c>
      <c r="Y24" s="269" t="s">
        <v>405</v>
      </c>
      <c r="Z24" s="270"/>
      <c r="AA24" s="271"/>
      <c r="AC24" s="268">
        <v>1</v>
      </c>
      <c r="AD24" s="269" t="s">
        <v>187</v>
      </c>
      <c r="AE24" s="270"/>
      <c r="AF24" s="270"/>
      <c r="AG24" s="270"/>
      <c r="AH24" s="271" t="e">
        <f>AH74</f>
        <v>#REF!</v>
      </c>
    </row>
    <row r="25" spans="1:34" ht="18">
      <c r="A25" s="694"/>
      <c r="B25" s="216" t="s">
        <v>279</v>
      </c>
      <c r="C25" s="427" t="e">
        <f>-#REF!-O9</f>
        <v>#REF!</v>
      </c>
      <c r="D25" s="216"/>
      <c r="E25" s="216"/>
      <c r="F25" s="216"/>
      <c r="G25" s="216"/>
      <c r="H25" s="216"/>
      <c r="I25" s="279">
        <v>2</v>
      </c>
      <c r="J25" s="276" t="str">
        <f t="shared" si="2"/>
        <v>Supplier claims</v>
      </c>
      <c r="K25" s="277"/>
      <c r="L25" s="277"/>
      <c r="M25" s="281">
        <f t="shared" si="3"/>
        <v>11.6</v>
      </c>
      <c r="P25" s="279">
        <v>2</v>
      </c>
      <c r="Q25" s="276" t="str">
        <f>Q76</f>
        <v>NRV</v>
      </c>
      <c r="R25" s="277"/>
      <c r="S25" s="281">
        <f t="shared" si="4"/>
        <v>0.70747274647204916</v>
      </c>
      <c r="T25" s="216"/>
      <c r="U25" s="216"/>
      <c r="V25" s="216"/>
      <c r="W25" s="216"/>
      <c r="X25" s="268">
        <v>2</v>
      </c>
      <c r="Y25" s="276" t="s">
        <v>460</v>
      </c>
      <c r="Z25" s="277"/>
      <c r="AA25" s="278">
        <v>1.4</v>
      </c>
      <c r="AC25" s="268">
        <v>2</v>
      </c>
      <c r="AD25" s="276"/>
      <c r="AE25" s="277"/>
      <c r="AF25" s="277"/>
      <c r="AG25" s="277"/>
      <c r="AH25" s="278"/>
    </row>
    <row r="26" spans="1:34" ht="18">
      <c r="A26" s="694"/>
      <c r="B26" s="216" t="s">
        <v>280</v>
      </c>
      <c r="C26" s="438" t="e">
        <f>(M52-N9)</f>
        <v>#REF!</v>
      </c>
      <c r="D26" s="216"/>
      <c r="E26" s="216"/>
      <c r="F26" s="216"/>
      <c r="G26" s="216"/>
      <c r="H26" s="216"/>
      <c r="I26" s="279">
        <v>3</v>
      </c>
      <c r="J26" s="276" t="str">
        <f t="shared" si="2"/>
        <v>MZ Others</v>
      </c>
      <c r="K26" s="277"/>
      <c r="L26" s="277"/>
      <c r="M26" s="281">
        <f t="shared" si="3"/>
        <v>-0.53087321355436501</v>
      </c>
      <c r="N26" s="216"/>
      <c r="P26" s="279">
        <v>3</v>
      </c>
      <c r="Q26" s="276" t="str">
        <f>Q77</f>
        <v>Mgt Task</v>
      </c>
      <c r="R26" s="277"/>
      <c r="S26" s="281">
        <f t="shared" si="4"/>
        <v>15.805551828293797</v>
      </c>
      <c r="T26" s="216"/>
      <c r="U26" s="216"/>
      <c r="V26" s="216"/>
      <c r="W26" s="216"/>
      <c r="X26" s="268">
        <v>3</v>
      </c>
      <c r="Y26" s="276" t="s">
        <v>401</v>
      </c>
      <c r="Z26" s="277"/>
      <c r="AA26" s="278"/>
      <c r="AC26" s="268">
        <v>3</v>
      </c>
      <c r="AD26" s="276"/>
      <c r="AE26" s="277"/>
      <c r="AF26" s="277"/>
      <c r="AG26" s="277"/>
      <c r="AH26" s="278"/>
    </row>
    <row r="27" spans="1:34" ht="18">
      <c r="A27" s="694"/>
      <c r="B27" s="216"/>
      <c r="C27" s="216"/>
      <c r="D27" s="272"/>
      <c r="E27" s="329"/>
      <c r="F27" s="272"/>
      <c r="G27" s="272"/>
      <c r="H27" s="272"/>
      <c r="I27" s="279">
        <v>4</v>
      </c>
      <c r="J27" s="276" t="str">
        <f t="shared" si="2"/>
        <v>X-badges TP</v>
      </c>
      <c r="K27" s="277"/>
      <c r="L27" s="277"/>
      <c r="M27" s="281">
        <f t="shared" si="3"/>
        <v>4.117543736</v>
      </c>
      <c r="N27" s="216"/>
      <c r="P27" s="279">
        <v>4</v>
      </c>
      <c r="Q27" s="276" t="s">
        <v>58</v>
      </c>
      <c r="R27" s="277"/>
      <c r="S27" s="281">
        <f t="shared" si="4"/>
        <v>-60</v>
      </c>
      <c r="T27" s="216"/>
      <c r="U27" s="431">
        <f>-S75+S27</f>
        <v>-60.70747274647205</v>
      </c>
      <c r="V27" s="216"/>
      <c r="W27" s="216"/>
      <c r="X27" s="268">
        <v>4</v>
      </c>
      <c r="Y27" s="276"/>
      <c r="Z27" s="277"/>
      <c r="AA27" s="278"/>
      <c r="AC27" s="268">
        <v>4</v>
      </c>
      <c r="AD27" s="276"/>
      <c r="AE27" s="277"/>
      <c r="AF27" s="277"/>
      <c r="AG27" s="277"/>
      <c r="AH27" s="278"/>
    </row>
    <row r="28" spans="1:34" ht="18">
      <c r="A28" s="694"/>
      <c r="B28" s="216"/>
      <c r="C28" s="272"/>
      <c r="D28" s="216"/>
      <c r="E28" s="216"/>
      <c r="F28" s="334"/>
      <c r="G28" s="216"/>
      <c r="H28" s="216"/>
      <c r="I28" s="279">
        <v>5</v>
      </c>
      <c r="J28" s="276" t="str">
        <f t="shared" si="2"/>
        <v>Duties for CBUs</v>
      </c>
      <c r="K28" s="277"/>
      <c r="L28" s="277"/>
      <c r="M28" s="281">
        <f t="shared" si="3"/>
        <v>0.10874117499999998</v>
      </c>
      <c r="N28" s="216"/>
      <c r="P28" s="279">
        <v>5</v>
      </c>
      <c r="Q28" s="276" t="s">
        <v>498</v>
      </c>
      <c r="R28" s="277"/>
      <c r="S28" s="281">
        <f t="shared" si="4"/>
        <v>-6.052235162901451</v>
      </c>
      <c r="T28" s="216"/>
      <c r="U28" s="216"/>
      <c r="V28" s="216"/>
      <c r="W28" s="216"/>
      <c r="X28" s="282">
        <v>5</v>
      </c>
      <c r="Y28" s="283" t="s">
        <v>182</v>
      </c>
      <c r="Z28" s="284"/>
      <c r="AA28" s="285" t="e">
        <f>AA23-SUM(AA24:AA27)</f>
        <v>#REF!</v>
      </c>
      <c r="AC28" s="282">
        <v>5</v>
      </c>
      <c r="AD28" s="283" t="s">
        <v>182</v>
      </c>
      <c r="AE28" s="284"/>
      <c r="AF28" s="284"/>
      <c r="AG28" s="284"/>
      <c r="AH28" s="285" t="e">
        <f>AH23-SUM(AH24:AH27)</f>
        <v>#REF!</v>
      </c>
    </row>
    <row r="29" spans="1:34" ht="18">
      <c r="A29" s="694"/>
      <c r="B29" s="216"/>
      <c r="C29" s="272"/>
      <c r="D29" s="216"/>
      <c r="E29" s="216"/>
      <c r="F29" s="216"/>
      <c r="G29" s="216"/>
      <c r="H29" s="216"/>
      <c r="I29" s="279">
        <v>6</v>
      </c>
      <c r="J29" s="276" t="str">
        <f t="shared" si="2"/>
        <v>Outbound logistics</v>
      </c>
      <c r="K29" s="277"/>
      <c r="L29" s="277"/>
      <c r="M29" s="281">
        <f t="shared" si="3"/>
        <v>3.9785881559999998</v>
      </c>
      <c r="N29" s="216"/>
      <c r="P29" s="279">
        <v>6</v>
      </c>
      <c r="Q29" s="276" t="s">
        <v>247</v>
      </c>
      <c r="R29" s="277"/>
      <c r="S29" s="281">
        <f t="shared" si="4"/>
        <v>67.470928230999988</v>
      </c>
      <c r="T29" s="216"/>
      <c r="U29" s="216"/>
      <c r="V29" s="216"/>
      <c r="W29" s="216"/>
      <c r="X29" s="216"/>
      <c r="Y29" s="216"/>
      <c r="Z29" s="216"/>
      <c r="AA29" s="286" t="e">
        <f>AA28-AA78</f>
        <v>#REF!</v>
      </c>
      <c r="AC29" s="216"/>
      <c r="AD29" s="216"/>
      <c r="AE29" s="216"/>
      <c r="AF29" s="216"/>
      <c r="AG29" s="287"/>
      <c r="AH29" s="286" t="e">
        <f>AH28-AH78</f>
        <v>#REF!</v>
      </c>
    </row>
    <row r="30" spans="1:34" ht="18">
      <c r="A30" s="694"/>
      <c r="B30" s="216"/>
      <c r="C30" s="272"/>
      <c r="D30" s="272"/>
      <c r="E30" s="216"/>
      <c r="F30" s="216"/>
      <c r="G30" s="216"/>
      <c r="H30" s="216"/>
      <c r="I30" s="279">
        <v>7</v>
      </c>
      <c r="J30" s="276"/>
      <c r="K30" s="277"/>
      <c r="L30" s="277"/>
      <c r="M30" s="281"/>
      <c r="N30" s="216"/>
      <c r="P30" s="279">
        <v>7</v>
      </c>
      <c r="Q30" s="276"/>
      <c r="R30" s="277"/>
      <c r="S30" s="281"/>
      <c r="T30" s="216"/>
      <c r="U30" s="216"/>
      <c r="V30" s="216"/>
      <c r="W30" s="216"/>
      <c r="X30" s="216"/>
      <c r="Y30" s="216"/>
      <c r="Z30" s="216"/>
      <c r="AA30" s="216"/>
      <c r="AB30" s="216"/>
      <c r="AC30" s="216"/>
      <c r="AD30" s="216"/>
      <c r="AE30" s="216"/>
      <c r="AF30" s="216"/>
      <c r="AG30" s="216"/>
      <c r="AH30" s="216"/>
    </row>
    <row r="31" spans="1:34" ht="18">
      <c r="A31" s="694"/>
      <c r="B31" s="216"/>
      <c r="C31" s="291"/>
      <c r="D31" s="216"/>
      <c r="E31" s="216"/>
      <c r="F31" s="292" t="s">
        <v>189</v>
      </c>
      <c r="G31" s="216"/>
      <c r="H31" s="216"/>
      <c r="I31" s="279">
        <v>8</v>
      </c>
      <c r="J31" s="276"/>
      <c r="K31" s="277"/>
      <c r="L31" s="277"/>
      <c r="M31" s="281"/>
      <c r="N31" s="216"/>
      <c r="P31" s="279">
        <v>8</v>
      </c>
      <c r="Q31" s="276"/>
      <c r="R31" s="277"/>
      <c r="S31" s="278"/>
      <c r="T31" s="216"/>
      <c r="U31" s="216"/>
      <c r="V31" s="216"/>
      <c r="W31" s="216"/>
      <c r="X31" s="216"/>
      <c r="Y31" s="216"/>
      <c r="Z31" s="216"/>
      <c r="AA31" s="216"/>
      <c r="AB31" s="216"/>
      <c r="AC31" s="216"/>
      <c r="AD31" s="216"/>
      <c r="AE31" s="216"/>
      <c r="AF31" s="216"/>
      <c r="AG31" s="216"/>
      <c r="AH31" s="216"/>
    </row>
    <row r="32" spans="1:34" ht="18">
      <c r="A32" s="694"/>
      <c r="B32" s="216"/>
      <c r="C32" s="216"/>
      <c r="D32" s="293" t="s">
        <v>471</v>
      </c>
      <c r="E32" s="293" t="s">
        <v>287</v>
      </c>
      <c r="F32" s="293" t="s">
        <v>190</v>
      </c>
      <c r="G32" s="216"/>
      <c r="H32" s="216"/>
      <c r="I32" s="279">
        <v>9</v>
      </c>
      <c r="J32" s="276"/>
      <c r="K32" s="277"/>
      <c r="L32" s="277"/>
      <c r="M32" s="281"/>
      <c r="N32" s="216"/>
      <c r="P32" s="279">
        <v>9</v>
      </c>
      <c r="Q32" s="276"/>
      <c r="R32" s="277"/>
      <c r="S32" s="278"/>
      <c r="T32" s="216"/>
      <c r="U32" s="272"/>
      <c r="V32" s="272"/>
      <c r="W32" s="272"/>
      <c r="X32" s="216"/>
      <c r="Y32" s="216"/>
      <c r="Z32" s="216"/>
      <c r="AA32" s="216"/>
      <c r="AB32" s="216"/>
      <c r="AC32" s="216"/>
      <c r="AD32" s="216"/>
      <c r="AE32" s="216"/>
      <c r="AF32" s="216"/>
      <c r="AG32" s="216"/>
      <c r="AH32" s="216"/>
    </row>
    <row r="33" spans="1:39" ht="20.25">
      <c r="A33" s="694"/>
      <c r="B33" s="216"/>
      <c r="C33" s="295" t="s">
        <v>192</v>
      </c>
      <c r="D33" s="296">
        <f>'[10]P&amp;L vs BP'!$Y$24</f>
        <v>207688</v>
      </c>
      <c r="E33" s="296">
        <f>'[10]P&amp;L vs BP'!$X$24</f>
        <v>202655</v>
      </c>
      <c r="F33" s="296">
        <f>E33-D33</f>
        <v>-5033</v>
      </c>
      <c r="G33" s="216"/>
      <c r="H33" s="216"/>
      <c r="I33" s="279">
        <v>10</v>
      </c>
      <c r="J33" s="276"/>
      <c r="K33" s="277"/>
      <c r="L33" s="277"/>
      <c r="M33" s="281"/>
      <c r="N33" s="216"/>
      <c r="P33" s="288">
        <v>10</v>
      </c>
      <c r="Q33" s="283" t="s">
        <v>182</v>
      </c>
      <c r="R33" s="284"/>
      <c r="S33" s="285" t="e">
        <f>S23-SUM(S24:S32)</f>
        <v>#REF!</v>
      </c>
      <c r="T33" s="216"/>
      <c r="U33" s="216"/>
      <c r="V33" s="216"/>
      <c r="W33" s="216"/>
      <c r="X33" s="297"/>
      <c r="Y33" s="216"/>
      <c r="Z33" s="216"/>
      <c r="AA33" s="216"/>
      <c r="AB33" s="216"/>
      <c r="AC33" s="216"/>
      <c r="AD33" s="216"/>
      <c r="AE33" s="216"/>
      <c r="AF33" s="216"/>
      <c r="AG33" s="216"/>
      <c r="AH33" s="216"/>
    </row>
    <row r="34" spans="1:39" ht="20.25">
      <c r="A34" s="694"/>
      <c r="B34" s="216"/>
      <c r="C34" s="295" t="s">
        <v>194</v>
      </c>
      <c r="D34" s="296">
        <f>'[10]P&amp;L vs BP'!$Y$27</f>
        <v>6996</v>
      </c>
      <c r="E34" s="296">
        <f>'[10]P&amp;L vs BP'!$X$27</f>
        <v>5481</v>
      </c>
      <c r="F34" s="296">
        <f>E34-D34</f>
        <v>-1515</v>
      </c>
      <c r="G34" s="216"/>
      <c r="H34" s="216"/>
      <c r="I34" s="279">
        <v>11</v>
      </c>
      <c r="J34" s="276"/>
      <c r="K34" s="277"/>
      <c r="L34" s="277"/>
      <c r="M34" s="281"/>
      <c r="N34" s="216"/>
      <c r="O34" s="216"/>
      <c r="P34" s="216"/>
      <c r="Q34" s="216"/>
      <c r="R34" s="216"/>
      <c r="S34" s="286" t="e">
        <f>S33-S83</f>
        <v>#REF!</v>
      </c>
      <c r="T34" s="286"/>
      <c r="U34" s="216"/>
      <c r="V34" s="216"/>
      <c r="W34" s="216"/>
      <c r="X34" s="216"/>
      <c r="Y34" s="216"/>
      <c r="Z34" s="216"/>
      <c r="AA34" s="216"/>
      <c r="AB34" s="216"/>
      <c r="AC34" s="216"/>
      <c r="AD34" s="216"/>
      <c r="AE34" s="216"/>
      <c r="AF34" s="216"/>
      <c r="AG34" s="216"/>
      <c r="AH34" s="216"/>
    </row>
    <row r="35" spans="1:39" ht="18">
      <c r="A35" s="694"/>
      <c r="B35" s="216"/>
      <c r="C35" s="216"/>
      <c r="D35" s="298"/>
      <c r="E35" s="298"/>
      <c r="F35" s="298"/>
      <c r="G35" s="216"/>
      <c r="H35" s="216"/>
      <c r="I35" s="279">
        <v>12</v>
      </c>
      <c r="J35" s="289" t="s">
        <v>182</v>
      </c>
      <c r="K35" s="284"/>
      <c r="L35" s="284"/>
      <c r="M35" s="290">
        <f>M23-SUM(M24:M34)</f>
        <v>0</v>
      </c>
      <c r="N35" s="216"/>
      <c r="U35" s="216"/>
      <c r="V35" s="216"/>
      <c r="W35" s="216"/>
      <c r="X35" s="216"/>
      <c r="Y35" s="216"/>
      <c r="Z35" s="216"/>
      <c r="AA35" s="216"/>
      <c r="AB35" s="216"/>
      <c r="AC35" s="216"/>
      <c r="AD35" s="216"/>
      <c r="AE35" s="216"/>
      <c r="AF35" s="216"/>
      <c r="AG35" s="216"/>
      <c r="AH35" s="216"/>
    </row>
    <row r="36" spans="1:39" ht="20.25">
      <c r="A36" s="694"/>
      <c r="B36" s="216"/>
      <c r="C36" s="295" t="s">
        <v>196</v>
      </c>
      <c r="D36" s="296">
        <f>'[10]P&amp;L vs BP'!$Y$18</f>
        <v>184981.8</v>
      </c>
      <c r="E36" s="296">
        <f>'[10]P&amp;L vs BP'!$X$18</f>
        <v>179105</v>
      </c>
      <c r="F36" s="296">
        <f>E36-D36</f>
        <v>-5876.7999999999884</v>
      </c>
      <c r="G36" s="216"/>
      <c r="H36" s="216"/>
      <c r="I36" s="216"/>
      <c r="J36" s="216"/>
      <c r="K36" s="216"/>
      <c r="L36" s="216"/>
      <c r="M36" s="367">
        <f>M35-M85</f>
        <v>0</v>
      </c>
      <c r="N36" s="216"/>
      <c r="U36" s="216"/>
      <c r="V36" s="216"/>
      <c r="W36" s="216"/>
      <c r="X36" s="216"/>
      <c r="Y36" s="216"/>
      <c r="Z36" s="216"/>
      <c r="AA36" s="216"/>
      <c r="AB36" s="216"/>
      <c r="AC36" s="216"/>
      <c r="AD36" s="216"/>
      <c r="AE36" s="216"/>
      <c r="AF36" s="216"/>
      <c r="AG36" s="216"/>
      <c r="AH36" s="216"/>
    </row>
    <row r="37" spans="1:39">
      <c r="A37" s="694"/>
      <c r="B37" s="216"/>
      <c r="C37" s="216"/>
      <c r="D37" s="216"/>
      <c r="E37" s="216"/>
      <c r="F37" s="216"/>
      <c r="G37" s="216"/>
      <c r="H37" s="216"/>
      <c r="I37" s="216"/>
      <c r="J37" s="216"/>
      <c r="K37" s="216"/>
      <c r="L37" s="216"/>
      <c r="M37" s="216"/>
      <c r="N37" s="216"/>
      <c r="U37" s="216"/>
      <c r="V37" s="216"/>
      <c r="W37" s="216"/>
      <c r="X37" s="216"/>
      <c r="Y37" s="216"/>
      <c r="Z37" s="216"/>
      <c r="AA37" s="216"/>
      <c r="AB37" s="216"/>
      <c r="AC37" s="216"/>
      <c r="AD37" s="216"/>
      <c r="AE37" s="216"/>
      <c r="AF37" s="216"/>
      <c r="AG37" s="216"/>
      <c r="AH37" s="216"/>
    </row>
    <row r="38" spans="1:39">
      <c r="A38" s="694"/>
      <c r="B38" s="216"/>
      <c r="C38" s="216"/>
      <c r="D38" s="216"/>
      <c r="E38" s="216"/>
      <c r="F38" s="216"/>
      <c r="G38" s="216"/>
      <c r="H38" s="216"/>
      <c r="I38" s="216"/>
      <c r="J38" s="216"/>
      <c r="K38" s="216"/>
      <c r="L38" s="216"/>
      <c r="M38" s="216"/>
      <c r="N38" s="216"/>
      <c r="U38" s="216"/>
      <c r="V38" s="216"/>
      <c r="W38" s="216"/>
      <c r="X38" s="216"/>
      <c r="Y38" s="216"/>
      <c r="Z38" s="216"/>
      <c r="AA38" s="216"/>
      <c r="AB38" s="216"/>
      <c r="AC38" s="216"/>
      <c r="AD38" s="216"/>
      <c r="AE38" s="216"/>
      <c r="AF38" s="216"/>
      <c r="AG38" s="216"/>
      <c r="AH38" s="216"/>
    </row>
    <row r="39" spans="1:39">
      <c r="A39" s="694"/>
      <c r="B39" s="216"/>
      <c r="C39" s="216"/>
      <c r="D39" s="216"/>
      <c r="E39" s="216"/>
      <c r="F39" s="216"/>
      <c r="G39" s="216"/>
      <c r="H39" s="216"/>
      <c r="I39" s="216"/>
      <c r="J39" s="216"/>
      <c r="K39" s="216"/>
      <c r="L39" s="216"/>
      <c r="M39" s="216"/>
      <c r="N39" s="216"/>
      <c r="U39" s="216"/>
      <c r="V39" s="216"/>
      <c r="W39" s="216"/>
      <c r="X39" s="216"/>
      <c r="Y39" s="216"/>
      <c r="Z39" s="216"/>
      <c r="AA39" s="216"/>
      <c r="AB39" s="216"/>
      <c r="AC39" s="216"/>
      <c r="AD39" s="216"/>
      <c r="AE39" s="216"/>
      <c r="AF39" s="216"/>
      <c r="AG39" s="216"/>
      <c r="AH39" s="216"/>
    </row>
    <row r="40" spans="1:39" s="694" customFormat="1">
      <c r="B40" s="695"/>
      <c r="C40" s="695"/>
      <c r="D40" s="695"/>
      <c r="E40" s="695"/>
      <c r="F40" s="695"/>
      <c r="G40" s="695"/>
      <c r="H40" s="695"/>
      <c r="I40" s="695"/>
      <c r="J40" s="695"/>
      <c r="K40" s="695"/>
      <c r="L40" s="695"/>
      <c r="M40" s="695"/>
      <c r="N40" s="695"/>
      <c r="U40" s="695"/>
      <c r="V40" s="695"/>
      <c r="W40" s="695"/>
      <c r="X40" s="695"/>
      <c r="Y40" s="695"/>
      <c r="Z40" s="695"/>
      <c r="AA40" s="695"/>
      <c r="AB40" s="695"/>
      <c r="AC40" s="695"/>
      <c r="AD40" s="695"/>
      <c r="AE40" s="695"/>
      <c r="AF40" s="695"/>
      <c r="AG40" s="695"/>
      <c r="AH40" s="695"/>
    </row>
    <row r="41" spans="1:39">
      <c r="B41" s="216"/>
      <c r="C41" s="216"/>
      <c r="D41" s="216"/>
      <c r="E41" s="216"/>
      <c r="F41" s="216"/>
      <c r="G41" s="216"/>
      <c r="H41" s="216"/>
      <c r="I41" s="216"/>
      <c r="J41" s="216"/>
      <c r="K41" s="216"/>
      <c r="L41" s="216"/>
      <c r="M41" s="216"/>
      <c r="N41" s="216"/>
      <c r="U41" s="216"/>
      <c r="V41" s="216"/>
      <c r="W41" s="216"/>
      <c r="X41" s="216"/>
      <c r="Y41" s="216"/>
      <c r="Z41" s="216"/>
      <c r="AA41" s="216"/>
      <c r="AB41" s="216"/>
      <c r="AC41" s="216"/>
      <c r="AD41" s="216"/>
      <c r="AE41" s="216"/>
      <c r="AF41" s="216"/>
      <c r="AG41" s="216"/>
      <c r="AH41" s="216"/>
    </row>
    <row r="42" spans="1:39">
      <c r="B42" s="216"/>
      <c r="C42" s="216"/>
      <c r="D42" s="216"/>
      <c r="E42" s="216"/>
      <c r="F42" s="216"/>
      <c r="G42" s="216"/>
      <c r="H42" s="216"/>
      <c r="I42" s="216"/>
      <c r="J42" s="216"/>
      <c r="K42" s="216"/>
      <c r="L42" s="216"/>
      <c r="M42" s="216"/>
      <c r="N42" s="216"/>
      <c r="U42" s="216"/>
      <c r="V42" s="216"/>
      <c r="W42" s="216"/>
      <c r="X42" s="216"/>
      <c r="Y42" s="216"/>
      <c r="Z42" s="216"/>
      <c r="AA42" s="216"/>
      <c r="AB42" s="216"/>
      <c r="AC42" s="216"/>
      <c r="AD42" s="216"/>
      <c r="AE42" s="216"/>
      <c r="AF42" s="216"/>
      <c r="AG42" s="216"/>
      <c r="AH42" s="216"/>
    </row>
    <row r="43" spans="1:39">
      <c r="B43" s="216"/>
      <c r="C43" s="216"/>
      <c r="D43" s="216"/>
      <c r="E43" s="216"/>
      <c r="F43" s="216"/>
      <c r="G43" s="216"/>
      <c r="H43" s="216"/>
      <c r="I43" s="216"/>
      <c r="J43" s="216"/>
      <c r="K43" s="216"/>
      <c r="L43" s="216"/>
      <c r="M43" s="216"/>
      <c r="N43" s="216"/>
      <c r="U43" s="216"/>
      <c r="V43" s="216"/>
      <c r="W43" s="216"/>
      <c r="X43" s="216"/>
      <c r="Y43" s="216"/>
      <c r="Z43" s="216"/>
      <c r="AA43" s="216"/>
      <c r="AB43" s="216"/>
      <c r="AC43" s="216"/>
      <c r="AD43" s="216"/>
      <c r="AE43" s="216"/>
      <c r="AF43" s="216"/>
      <c r="AG43" s="216"/>
      <c r="AH43" s="216"/>
    </row>
    <row r="44" spans="1:39" ht="28.5">
      <c r="A44" s="699"/>
      <c r="B44" s="299" t="s">
        <v>197</v>
      </c>
      <c r="C44" s="216"/>
      <c r="D44" s="216"/>
      <c r="E44" s="216"/>
      <c r="F44" s="216"/>
      <c r="G44" s="216"/>
      <c r="H44" s="216"/>
      <c r="I44" s="216"/>
      <c r="J44" s="216"/>
      <c r="K44" s="216"/>
      <c r="L44" s="216"/>
      <c r="M44" s="216"/>
      <c r="N44" s="216"/>
      <c r="O44" s="216"/>
      <c r="P44" s="216"/>
      <c r="Q44" s="216"/>
      <c r="R44" s="216"/>
      <c r="S44" s="216"/>
      <c r="T44" s="216"/>
      <c r="U44" s="216"/>
      <c r="V44" s="216"/>
      <c r="W44" s="216"/>
      <c r="X44" s="216"/>
      <c r="Y44" s="216"/>
      <c r="Z44" s="216"/>
      <c r="AA44" s="216"/>
      <c r="AB44" s="216"/>
      <c r="AC44" s="216"/>
      <c r="AD44" s="216"/>
      <c r="AE44" s="216"/>
      <c r="AF44" s="216"/>
      <c r="AG44" s="216"/>
      <c r="AH44" s="216"/>
    </row>
    <row r="45" spans="1:39">
      <c r="A45" s="699"/>
      <c r="B45" s="216"/>
      <c r="C45" s="216"/>
      <c r="D45" s="216"/>
      <c r="E45" s="216"/>
      <c r="F45" s="216"/>
      <c r="G45" s="216"/>
      <c r="H45" s="216"/>
      <c r="I45" s="216"/>
      <c r="J45" s="216"/>
      <c r="K45" s="216"/>
      <c r="L45" s="216"/>
      <c r="M45" t="s">
        <v>490</v>
      </c>
      <c r="N45" s="711">
        <f>'[10]New KPI vs BP'!$CE$2</f>
        <v>0</v>
      </c>
      <c r="R45" t="s">
        <v>491</v>
      </c>
      <c r="S45" s="681">
        <f>[8]ACT_VOL!$N$5</f>
        <v>0</v>
      </c>
      <c r="T45" s="216"/>
      <c r="U45" s="216"/>
      <c r="V45" s="216"/>
      <c r="W45" s="216"/>
      <c r="X45" s="216"/>
      <c r="Y45" s="216"/>
      <c r="Z45" s="216"/>
      <c r="AA45" s="216"/>
      <c r="AB45" s="216"/>
      <c r="AC45" s="216"/>
      <c r="AD45" s="216"/>
      <c r="AE45" s="216"/>
      <c r="AF45" s="216"/>
      <c r="AG45" s="216"/>
      <c r="AH45" s="216"/>
      <c r="AM45">
        <v>167</v>
      </c>
    </row>
    <row r="46" spans="1:39">
      <c r="A46" s="699"/>
      <c r="B46" s="216"/>
      <c r="C46" s="216"/>
      <c r="D46" s="216"/>
      <c r="E46" s="216"/>
      <c r="F46" s="216"/>
      <c r="G46" s="216"/>
      <c r="H46" s="216"/>
      <c r="I46" s="216"/>
      <c r="J46" s="216"/>
      <c r="K46" s="216"/>
      <c r="L46" s="216"/>
      <c r="M46" s="216"/>
      <c r="N46" s="216"/>
      <c r="O46" s="216"/>
      <c r="P46" s="216"/>
      <c r="Q46" s="216"/>
      <c r="R46" s="216"/>
      <c r="S46" s="216"/>
      <c r="T46" s="216"/>
      <c r="U46" s="216"/>
      <c r="V46" s="216"/>
      <c r="W46" s="216"/>
      <c r="X46" s="216"/>
      <c r="Y46" s="216"/>
      <c r="Z46" s="216"/>
      <c r="AA46" s="216"/>
      <c r="AB46" s="216"/>
      <c r="AC46" s="216"/>
      <c r="AD46" s="216"/>
      <c r="AE46" s="216"/>
      <c r="AF46" s="216"/>
      <c r="AG46" s="216"/>
      <c r="AH46" s="216"/>
      <c r="AM46">
        <f>4*AM45/1000</f>
        <v>0.66800000000000004</v>
      </c>
    </row>
    <row r="47" spans="1:39" ht="20.25">
      <c r="A47" s="699"/>
      <c r="B47" s="216"/>
      <c r="C47" s="226" t="str">
        <f>B52</f>
        <v>FC2+10 YTD</v>
      </c>
      <c r="D47" s="226" t="str">
        <f>C52</f>
        <v>Act YTD</v>
      </c>
      <c r="E47" s="226" t="s">
        <v>320</v>
      </c>
      <c r="F47" s="226" t="s">
        <v>321</v>
      </c>
      <c r="G47" s="226" t="s">
        <v>322</v>
      </c>
      <c r="H47" s="292" t="s">
        <v>323</v>
      </c>
      <c r="I47" s="216"/>
      <c r="J47" s="216"/>
      <c r="K47" s="216"/>
      <c r="L47" s="216"/>
      <c r="M47" s="216"/>
      <c r="N47" s="216"/>
      <c r="O47" s="216"/>
      <c r="P47" s="216"/>
      <c r="Q47" s="216"/>
      <c r="R47" s="216"/>
      <c r="S47" s="216"/>
      <c r="T47" s="216"/>
      <c r="U47" s="216"/>
      <c r="V47" s="216"/>
      <c r="W47" s="216"/>
      <c r="X47" s="216"/>
      <c r="Y47" s="216"/>
      <c r="Z47" s="216"/>
      <c r="AA47" s="216"/>
      <c r="AB47" s="216"/>
      <c r="AC47" s="216"/>
      <c r="AD47" s="216"/>
      <c r="AE47" s="216"/>
      <c r="AF47" s="216"/>
      <c r="AG47" s="216"/>
      <c r="AH47" s="216"/>
    </row>
    <row r="48" spans="1:39" ht="20.25">
      <c r="A48" s="699"/>
      <c r="B48" s="226" t="s">
        <v>324</v>
      </c>
      <c r="C48" s="229" t="e">
        <f>#REF!</f>
        <v>#REF!</v>
      </c>
      <c r="D48" s="229" t="e">
        <f>#REF!</f>
        <v>#REF!</v>
      </c>
      <c r="E48" s="226" t="e">
        <f>+D48-C48</f>
        <v>#REF!</v>
      </c>
      <c r="F48" s="226">
        <f>B61</f>
        <v>27.585518275664963</v>
      </c>
      <c r="G48" s="226" t="e">
        <f>SUM(C61:S61)</f>
        <v>#REF!</v>
      </c>
      <c r="H48" s="502" t="e">
        <f>E48-F48-G48</f>
        <v>#REF!</v>
      </c>
      <c r="I48" s="216"/>
      <c r="J48" s="216"/>
      <c r="K48" s="216"/>
      <c r="L48" s="216"/>
      <c r="M48" s="216"/>
      <c r="N48" s="216"/>
      <c r="O48" s="216"/>
      <c r="P48" s="216"/>
      <c r="Q48" s="216"/>
      <c r="R48" s="216"/>
      <c r="S48" s="216"/>
      <c r="T48" s="216"/>
      <c r="U48" s="216"/>
      <c r="V48" s="216"/>
      <c r="W48" s="216"/>
      <c r="X48" s="216"/>
      <c r="Y48" s="216"/>
      <c r="Z48" s="216"/>
      <c r="AA48" s="216"/>
      <c r="AB48" s="216"/>
      <c r="AC48" s="216"/>
      <c r="AD48" s="216"/>
      <c r="AE48" s="216"/>
      <c r="AF48" s="216"/>
      <c r="AG48" s="216"/>
      <c r="AH48" s="216"/>
    </row>
    <row r="49" spans="1:34" ht="20.25">
      <c r="A49" s="699"/>
      <c r="B49" s="226" t="s">
        <v>325</v>
      </c>
      <c r="C49" s="229" t="e">
        <f>#REF!</f>
        <v>#REF!</v>
      </c>
      <c r="D49" s="229" t="e">
        <f>#REF!</f>
        <v>#REF!</v>
      </c>
      <c r="E49" s="226" t="e">
        <f>+D49-C49</f>
        <v>#REF!</v>
      </c>
      <c r="F49" s="226" t="e">
        <f>T61</f>
        <v>#REF!</v>
      </c>
      <c r="G49" s="226" t="e">
        <f>SUM(U61:AH61)</f>
        <v>#REF!</v>
      </c>
      <c r="H49" s="502" t="e">
        <f>E49-F49-G49</f>
        <v>#REF!</v>
      </c>
      <c r="I49" s="216"/>
      <c r="J49" s="216"/>
      <c r="K49" s="216"/>
      <c r="L49" s="216"/>
      <c r="M49" s="216"/>
      <c r="N49" s="216"/>
      <c r="O49" s="216"/>
      <c r="P49" s="216"/>
      <c r="Q49" s="216"/>
      <c r="R49" s="216"/>
      <c r="S49" s="216"/>
      <c r="T49" s="216"/>
      <c r="U49" s="216"/>
      <c r="V49" s="216"/>
      <c r="W49" s="216"/>
      <c r="X49" s="216"/>
      <c r="Y49" s="216"/>
      <c r="Z49" s="216"/>
      <c r="AA49" s="216"/>
      <c r="AB49" s="216"/>
      <c r="AC49" s="216"/>
      <c r="AD49" s="216"/>
      <c r="AE49" s="216"/>
      <c r="AF49" s="216"/>
      <c r="AG49" s="216"/>
      <c r="AH49" s="216"/>
    </row>
    <row r="50" spans="1:34" ht="20.25">
      <c r="A50" s="699"/>
      <c r="B50" s="226" t="s">
        <v>326</v>
      </c>
      <c r="C50" s="226" t="e">
        <f>+C48+C49</f>
        <v>#REF!</v>
      </c>
      <c r="D50" s="226" t="e">
        <f>+D48+D49</f>
        <v>#REF!</v>
      </c>
      <c r="E50" s="226" t="e">
        <f>+D50-C50</f>
        <v>#REF!</v>
      </c>
      <c r="F50" s="226" t="e">
        <f>+E50-G50</f>
        <v>#REF!</v>
      </c>
      <c r="G50" s="226" t="e">
        <f>+G48+G49</f>
        <v>#REF!</v>
      </c>
      <c r="H50" s="502" t="e">
        <f>E50-F50-G50</f>
        <v>#REF!</v>
      </c>
      <c r="I50" s="216"/>
      <c r="J50" s="216"/>
      <c r="K50" s="216"/>
      <c r="L50" s="216"/>
      <c r="M50" s="216"/>
      <c r="N50" s="216"/>
      <c r="O50" s="216"/>
      <c r="P50" s="216"/>
      <c r="Q50" s="216"/>
      <c r="R50" s="216"/>
      <c r="S50" s="216"/>
      <c r="T50" s="216"/>
      <c r="U50" s="216"/>
      <c r="V50" s="216"/>
      <c r="W50" s="216"/>
      <c r="X50" s="216"/>
      <c r="Y50" s="216"/>
      <c r="Z50" s="216"/>
      <c r="AA50" s="216"/>
      <c r="AB50" s="216"/>
      <c r="AC50" s="216"/>
      <c r="AD50" s="216"/>
      <c r="AE50" s="216"/>
      <c r="AF50" s="216"/>
      <c r="AG50" s="216"/>
      <c r="AH50" s="216"/>
    </row>
    <row r="51" spans="1:34" ht="18">
      <c r="A51" s="699"/>
      <c r="B51" s="215"/>
      <c r="C51" s="216"/>
      <c r="D51" s="215"/>
      <c r="E51" s="216"/>
      <c r="F51" s="215"/>
      <c r="G51" s="217" t="s">
        <v>138</v>
      </c>
      <c r="H51" s="216"/>
      <c r="I51" s="216"/>
      <c r="J51" s="216"/>
      <c r="K51" s="216"/>
      <c r="L51" s="216"/>
      <c r="M51" s="216"/>
      <c r="N51" s="216"/>
      <c r="O51" s="216"/>
      <c r="P51" s="216"/>
      <c r="Q51" s="216"/>
      <c r="R51" s="216"/>
      <c r="S51" s="216"/>
      <c r="T51" s="216"/>
      <c r="U51" s="216"/>
      <c r="V51" s="216"/>
      <c r="W51" s="216"/>
      <c r="X51" s="216"/>
      <c r="Y51" s="216"/>
      <c r="Z51" s="216"/>
      <c r="AA51" s="216"/>
      <c r="AB51" s="216"/>
      <c r="AC51" s="216"/>
      <c r="AD51" s="216"/>
      <c r="AE51" s="216"/>
      <c r="AF51" s="216"/>
      <c r="AG51" s="216"/>
      <c r="AH51" s="216"/>
    </row>
    <row r="52" spans="1:34" ht="20.25">
      <c r="A52" s="699"/>
      <c r="B52" s="1014" t="s">
        <v>461</v>
      </c>
      <c r="C52" s="1014" t="s">
        <v>210</v>
      </c>
      <c r="D52" s="218"/>
      <c r="E52" s="219"/>
      <c r="F52" s="219"/>
      <c r="G52" s="220"/>
      <c r="H52" s="216"/>
      <c r="I52" s="216"/>
      <c r="J52" s="216"/>
      <c r="K52" s="216"/>
      <c r="L52" s="720" t="s">
        <v>301</v>
      </c>
      <c r="M52" s="721">
        <f>SUM(E55:E57,G55)</f>
        <v>27.585518275664963</v>
      </c>
      <c r="N52" s="216"/>
      <c r="O52" s="221"/>
      <c r="P52" s="221"/>
      <c r="Q52" s="221"/>
      <c r="R52" s="216"/>
      <c r="S52" s="216"/>
      <c r="T52" s="216"/>
      <c r="U52" s="216"/>
      <c r="V52" s="216"/>
      <c r="W52" s="221"/>
      <c r="X52" s="221"/>
      <c r="Y52" s="221"/>
      <c r="Z52" s="221"/>
      <c r="AA52" s="221"/>
      <c r="AB52" s="221"/>
      <c r="AC52" s="221"/>
      <c r="AD52" s="221"/>
      <c r="AE52" s="221"/>
      <c r="AF52" s="221"/>
      <c r="AG52" s="221"/>
      <c r="AH52" s="221"/>
    </row>
    <row r="53" spans="1:34" ht="20.25">
      <c r="A53" s="699"/>
      <c r="B53" s="1015"/>
      <c r="C53" s="1016"/>
      <c r="D53" s="222"/>
      <c r="E53" s="223" t="s">
        <v>154</v>
      </c>
      <c r="F53" s="224" t="s">
        <v>198</v>
      </c>
      <c r="G53" s="225" t="s">
        <v>156</v>
      </c>
      <c r="H53" s="216"/>
      <c r="I53" s="720" t="s">
        <v>208</v>
      </c>
      <c r="J53" s="216"/>
      <c r="K53" s="216"/>
      <c r="L53" s="720" t="s">
        <v>302</v>
      </c>
      <c r="M53" s="721" t="e">
        <f>SUM(U62:AH62,AJ74:AK74)</f>
        <v>#REF!</v>
      </c>
      <c r="N53" s="216"/>
      <c r="O53" s="216"/>
      <c r="P53" s="216"/>
      <c r="Q53" s="216"/>
      <c r="R53" s="216"/>
      <c r="S53" s="216"/>
      <c r="T53" s="216"/>
      <c r="V53" s="216"/>
      <c r="W53" s="216"/>
      <c r="X53" s="216"/>
      <c r="Y53" s="216"/>
      <c r="Z53" s="216"/>
      <c r="AA53" s="216"/>
      <c r="AB53" s="216"/>
      <c r="AC53" s="216" t="s">
        <v>266</v>
      </c>
      <c r="AD53" s="594">
        <v>3.2054661664171</v>
      </c>
      <c r="AE53" s="216" t="s">
        <v>448</v>
      </c>
      <c r="AF53" s="216"/>
      <c r="AG53" s="216"/>
      <c r="AH53" s="216"/>
    </row>
    <row r="54" spans="1:34" ht="20.25">
      <c r="A54" s="699"/>
      <c r="B54" s="226" t="e">
        <f>#REF!</f>
        <v>#REF!</v>
      </c>
      <c r="C54" s="226" t="e">
        <f>#REF!</f>
        <v>#REF!</v>
      </c>
      <c r="D54" s="227" t="e">
        <f>C54-B54</f>
        <v>#REF!</v>
      </c>
      <c r="E54" s="228" t="e">
        <f>SUM(M52:M53)</f>
        <v>#REF!</v>
      </c>
      <c r="F54" s="228" t="e">
        <f>#REF!-M52</f>
        <v>#REF!</v>
      </c>
      <c r="G54" s="229" t="e">
        <f>#REF!-M53</f>
        <v>#REF!</v>
      </c>
      <c r="H54" s="216"/>
      <c r="I54" s="709" t="e">
        <f>SUM(E54:G54)-D54</f>
        <v>#REF!</v>
      </c>
      <c r="J54" s="216"/>
      <c r="K54" s="216"/>
      <c r="L54" s="216"/>
      <c r="M54" s="216"/>
      <c r="N54" s="216"/>
      <c r="O54" s="230"/>
      <c r="P54" s="216"/>
      <c r="Q54" s="216"/>
      <c r="R54" s="216"/>
      <c r="S54" s="216"/>
      <c r="T54" s="216"/>
      <c r="U54" s="216"/>
      <c r="V54" s="216"/>
      <c r="W54" s="230"/>
      <c r="X54" s="216"/>
      <c r="Y54" s="230"/>
      <c r="Z54" s="230"/>
      <c r="AA54" s="230"/>
      <c r="AB54" s="230"/>
      <c r="AC54" s="230" t="s">
        <v>269</v>
      </c>
      <c r="AD54" s="675">
        <f>-613/1000</f>
        <v>-0.61299999999999999</v>
      </c>
      <c r="AE54" s="230" t="s">
        <v>449</v>
      </c>
      <c r="AF54" s="230"/>
      <c r="AG54" s="230"/>
      <c r="AH54" s="230"/>
    </row>
    <row r="55" spans="1:34">
      <c r="A55" s="699"/>
      <c r="B55" s="216"/>
      <c r="C55" s="216"/>
      <c r="D55" s="216" t="s">
        <v>139</v>
      </c>
      <c r="E55" s="411">
        <f>[8]CMOR_YTD_vsFC!$I$154+[8]CMOR_YTD_vsFC!$I$156+[8]CMOR_YTD_vsFC!$I$168</f>
        <v>29.909003972943502</v>
      </c>
      <c r="F55" s="216" t="s">
        <v>193</v>
      </c>
      <c r="G55" s="320">
        <f>[8]CMOR_YTD_vsFC!$I$169+[8]CMOR_YTD_vsFC!$I$157+[8]CMOR_YTD_vsFC!$I$159</f>
        <v>3.4318320695088902E-2</v>
      </c>
      <c r="H55" s="216"/>
      <c r="I55" s="720"/>
      <c r="J55" s="216"/>
      <c r="K55" s="216"/>
      <c r="L55" s="216"/>
      <c r="M55" s="216"/>
      <c r="N55" s="216"/>
      <c r="O55" s="216"/>
      <c r="P55" s="216"/>
      <c r="Q55" s="216"/>
      <c r="R55" s="216"/>
      <c r="S55" s="216"/>
      <c r="T55" s="216"/>
      <c r="U55" s="216"/>
      <c r="V55" s="216"/>
      <c r="W55" s="216" t="s">
        <v>145</v>
      </c>
      <c r="X55" s="411">
        <f>[8]TABLE_YTD!$S$82-Y55</f>
        <v>1.9231418340000015</v>
      </c>
      <c r="Y55" s="479">
        <f>[8]CMOR_YTD_vsFC!$I$161</f>
        <v>0.75030609199999998</v>
      </c>
      <c r="Z55" s="216"/>
      <c r="AA55" s="216"/>
      <c r="AB55" s="216"/>
      <c r="AC55" s="216" t="s">
        <v>141</v>
      </c>
      <c r="AD55" s="675">
        <v>1.4608347999994293E-2</v>
      </c>
      <c r="AE55" s="216" t="s">
        <v>448</v>
      </c>
      <c r="AF55" s="216"/>
      <c r="AG55" s="216"/>
      <c r="AH55" s="216"/>
    </row>
    <row r="56" spans="1:34">
      <c r="A56" s="699"/>
      <c r="B56" s="216"/>
      <c r="C56" s="216"/>
      <c r="D56" s="216" t="s">
        <v>200</v>
      </c>
      <c r="E56" s="411">
        <f>[8]CMOR_YTD_vsFC!$I$164+[8]CMOR_YTD_vsFC!$I$165</f>
        <v>-3.2631429736085238E-3</v>
      </c>
      <c r="F56" s="216"/>
      <c r="G56" s="216"/>
      <c r="H56" s="216"/>
      <c r="I56" s="216"/>
      <c r="J56" s="216"/>
      <c r="K56" s="216"/>
      <c r="L56" s="216"/>
      <c r="M56" s="216"/>
      <c r="N56" s="216"/>
      <c r="O56" s="216"/>
      <c r="P56" s="216"/>
      <c r="Q56" s="216"/>
      <c r="R56" s="216"/>
      <c r="S56" s="216"/>
      <c r="T56" s="216"/>
      <c r="W56" t="s">
        <v>193</v>
      </c>
      <c r="X56" s="412">
        <f>[8]TABLE_YTD!$S$78-Y56</f>
        <v>1.2730119830000017</v>
      </c>
      <c r="Y56" s="129">
        <f>[8]CMOR_YTD_vsFC!$I$158</f>
        <v>0</v>
      </c>
      <c r="AC56" s="216" t="s">
        <v>144</v>
      </c>
      <c r="AD56" s="520" t="e">
        <f>AD61-SUM(AD53:AD55)</f>
        <v>#REF!</v>
      </c>
      <c r="AH56" s="216"/>
    </row>
    <row r="57" spans="1:34" ht="21" thickBot="1">
      <c r="A57" s="699"/>
      <c r="B57" s="231" t="s">
        <v>157</v>
      </c>
      <c r="C57" s="232"/>
      <c r="D57" s="232" t="s">
        <v>145</v>
      </c>
      <c r="E57" s="440">
        <f>[8]CMOR_YTD_vsFC!$I$160+[8]CMOR_YTD_vsFC!$I$162+[8]CMOR_YTD_vsFC!$I$170</f>
        <v>-2.354540875000021</v>
      </c>
      <c r="F57" s="232"/>
      <c r="G57" s="232"/>
      <c r="H57" s="232"/>
      <c r="I57" s="232"/>
      <c r="J57" s="232"/>
      <c r="K57" s="232"/>
      <c r="L57" s="232"/>
      <c r="M57" s="232"/>
      <c r="N57" s="232"/>
      <c r="O57" s="232"/>
      <c r="P57" s="232"/>
      <c r="Q57" s="232"/>
      <c r="R57" s="232"/>
      <c r="S57" s="232"/>
      <c r="T57" s="232"/>
      <c r="U57" s="232"/>
      <c r="V57" s="232"/>
      <c r="W57" s="232" t="s">
        <v>144</v>
      </c>
      <c r="X57" s="440" t="e">
        <f>X61-SUM(X55:X56)</f>
        <v>#REF!</v>
      </c>
      <c r="Y57" s="232"/>
      <c r="Z57" s="232"/>
      <c r="AA57" s="232"/>
      <c r="AB57" s="232"/>
      <c r="AC57" s="232"/>
      <c r="AD57" s="232"/>
      <c r="AE57" s="232"/>
      <c r="AF57" s="232"/>
      <c r="AG57" s="232"/>
      <c r="AH57" s="217" t="s">
        <v>138</v>
      </c>
    </row>
    <row r="58" spans="1:34" ht="21" thickBot="1">
      <c r="A58" s="699"/>
      <c r="B58" s="233"/>
      <c r="C58" s="234" t="s">
        <v>199</v>
      </c>
      <c r="D58" s="234"/>
      <c r="E58" s="234"/>
      <c r="F58" s="234"/>
      <c r="G58" s="234"/>
      <c r="H58" s="234"/>
      <c r="I58" s="234"/>
      <c r="J58" s="234"/>
      <c r="K58" s="234"/>
      <c r="L58" s="234"/>
      <c r="M58" s="234"/>
      <c r="N58" s="234"/>
      <c r="O58" s="234"/>
      <c r="P58" s="234"/>
      <c r="Q58" s="234"/>
      <c r="R58" s="234"/>
      <c r="S58" s="235"/>
      <c r="T58" s="236"/>
      <c r="U58" s="237" t="s">
        <v>160</v>
      </c>
      <c r="V58" s="237"/>
      <c r="W58" s="237"/>
      <c r="X58" s="237"/>
      <c r="Y58" s="237"/>
      <c r="Z58" s="237"/>
      <c r="AA58" s="237"/>
      <c r="AB58" s="237"/>
      <c r="AC58" s="237"/>
      <c r="AD58" s="237"/>
      <c r="AE58" s="237"/>
      <c r="AF58" s="237"/>
      <c r="AG58" s="237"/>
      <c r="AH58" s="238"/>
    </row>
    <row r="59" spans="1:34" ht="20.25">
      <c r="A59" s="699"/>
      <c r="B59" s="1027" t="s">
        <v>274</v>
      </c>
      <c r="C59" s="239" t="s">
        <v>161</v>
      </c>
      <c r="D59" s="240"/>
      <c r="E59" s="240"/>
      <c r="F59" s="240"/>
      <c r="G59" s="241"/>
      <c r="H59" s="1017" t="s">
        <v>162</v>
      </c>
      <c r="I59" s="242" t="s">
        <v>163</v>
      </c>
      <c r="J59" s="243"/>
      <c r="K59" s="243"/>
      <c r="L59" s="243"/>
      <c r="M59" s="243"/>
      <c r="N59" s="244"/>
      <c r="O59" s="1029" t="s">
        <v>164</v>
      </c>
      <c r="P59" s="1029" t="s">
        <v>165</v>
      </c>
      <c r="Q59" s="1019" t="s">
        <v>166</v>
      </c>
      <c r="R59" s="1022" t="s">
        <v>167</v>
      </c>
      <c r="S59" s="1032" t="s">
        <v>168</v>
      </c>
      <c r="T59" s="1027" t="s">
        <v>274</v>
      </c>
      <c r="U59" s="245" t="s">
        <v>169</v>
      </c>
      <c r="V59" s="246"/>
      <c r="W59" s="246"/>
      <c r="X59" s="247"/>
      <c r="Y59" s="248" t="s">
        <v>163</v>
      </c>
      <c r="Z59" s="246"/>
      <c r="AA59" s="246"/>
      <c r="AB59" s="246"/>
      <c r="AC59" s="246"/>
      <c r="AD59" s="247"/>
      <c r="AE59" s="1022" t="s">
        <v>166</v>
      </c>
      <c r="AF59" s="1025" t="s">
        <v>167</v>
      </c>
      <c r="AG59" s="311"/>
      <c r="AH59" s="1012" t="s">
        <v>168</v>
      </c>
    </row>
    <row r="60" spans="1:34" ht="60.75">
      <c r="A60" s="699"/>
      <c r="B60" s="1028"/>
      <c r="C60" s="249" t="s">
        <v>170</v>
      </c>
      <c r="D60" s="300" t="s">
        <v>171</v>
      </c>
      <c r="E60" s="250" t="s">
        <v>172</v>
      </c>
      <c r="F60" s="250" t="s">
        <v>173</v>
      </c>
      <c r="G60" s="251" t="s">
        <v>174</v>
      </c>
      <c r="H60" s="1018"/>
      <c r="I60" s="250" t="s">
        <v>175</v>
      </c>
      <c r="J60" s="250" t="s">
        <v>176</v>
      </c>
      <c r="K60" s="250" t="s">
        <v>201</v>
      </c>
      <c r="L60" s="250" t="s">
        <v>178</v>
      </c>
      <c r="M60" s="250" t="s">
        <v>168</v>
      </c>
      <c r="N60" s="250" t="s">
        <v>179</v>
      </c>
      <c r="O60" s="1030"/>
      <c r="P60" s="1031"/>
      <c r="Q60" s="1021"/>
      <c r="R60" s="1021"/>
      <c r="S60" s="1033"/>
      <c r="T60" s="1028"/>
      <c r="U60" s="307" t="s">
        <v>203</v>
      </c>
      <c r="V60" s="308" t="s">
        <v>180</v>
      </c>
      <c r="W60" s="309" t="s">
        <v>181</v>
      </c>
      <c r="X60" s="310" t="s">
        <v>33</v>
      </c>
      <c r="Y60" s="305" t="s">
        <v>25</v>
      </c>
      <c r="Z60" s="306" t="s">
        <v>183</v>
      </c>
      <c r="AA60" s="306" t="s">
        <v>204</v>
      </c>
      <c r="AB60" s="306" t="s">
        <v>205</v>
      </c>
      <c r="AC60" s="306" t="s">
        <v>184</v>
      </c>
      <c r="AD60" s="306" t="s">
        <v>30</v>
      </c>
      <c r="AE60" s="1021"/>
      <c r="AF60" s="1026"/>
      <c r="AG60" s="312" t="s">
        <v>37</v>
      </c>
      <c r="AH60" s="1013"/>
    </row>
    <row r="61" spans="1:34" ht="21" thickBot="1">
      <c r="A61" s="699"/>
      <c r="B61" s="712">
        <f>M52</f>
        <v>27.585518275664963</v>
      </c>
      <c r="C61" s="713">
        <f>[8]CMOR_YTD_vsFC!$J$22+[8]CMOR_YTD_vsFC!$K$22</f>
        <v>-11.494464159448192</v>
      </c>
      <c r="D61" s="737"/>
      <c r="E61" s="710">
        <f>[8]CMOR_YTD_vsFC!$N$22</f>
        <v>-20.569371422967595</v>
      </c>
      <c r="F61" s="710">
        <f>[8]CMOR_YTD_vsFC!$M$22+[8]CMOR_YTD_vsFC!$L$22</f>
        <v>-7.3679944125277279</v>
      </c>
      <c r="G61" s="710"/>
      <c r="H61" s="254"/>
      <c r="I61" s="710">
        <f>I64</f>
        <v>1.2517632339895739</v>
      </c>
      <c r="J61" s="710">
        <f>J64</f>
        <v>0.73791161237971226</v>
      </c>
      <c r="K61" s="710">
        <f>K64</f>
        <v>-2.1877254192267328</v>
      </c>
      <c r="L61" s="710">
        <f>L64</f>
        <v>4.3934369637699977E-2</v>
      </c>
      <c r="M61" s="710">
        <f>M64+SUM(M77:M79)</f>
        <v>31.273999853445638</v>
      </c>
      <c r="N61" s="303"/>
      <c r="O61" s="302"/>
      <c r="P61" s="302"/>
      <c r="Q61" s="256"/>
      <c r="R61" s="710">
        <f>[8]CMOR_YTD_vsFC!$Q$22</f>
        <v>-13.536842119999966</v>
      </c>
      <c r="S61" s="710" t="e">
        <f>F54-SUM(C61:R61)</f>
        <v>#REF!</v>
      </c>
      <c r="T61" s="713" t="e">
        <f>M53</f>
        <v>#REF!</v>
      </c>
      <c r="U61" s="713" t="e">
        <f>#REF!-U62</f>
        <v>#REF!</v>
      </c>
      <c r="V61" s="715" t="e">
        <f>#REF!-V62</f>
        <v>#REF!</v>
      </c>
      <c r="W61" s="715"/>
      <c r="X61" s="715" t="e">
        <f>#REF!-X62</f>
        <v>#REF!</v>
      </c>
      <c r="Y61" s="715" t="e">
        <f>#REF!-Y62</f>
        <v>#REF!</v>
      </c>
      <c r="Z61" s="715" t="e">
        <f>#REF!-Z62</f>
        <v>#REF!</v>
      </c>
      <c r="AA61" s="715" t="e">
        <f>#REF!</f>
        <v>#REF!</v>
      </c>
      <c r="AB61" s="739"/>
      <c r="AC61" s="715" t="e">
        <f>#REF!-AC62</f>
        <v>#REF!</v>
      </c>
      <c r="AD61" s="715" t="e">
        <f>#REF!</f>
        <v>#REF!</v>
      </c>
      <c r="AE61" s="716"/>
      <c r="AF61" s="717"/>
      <c r="AG61" s="710" t="e">
        <f>#REF!-AG62</f>
        <v>#REF!</v>
      </c>
      <c r="AH61" s="718" t="e">
        <f>G54-SUM(U61:AG61)</f>
        <v>#REF!</v>
      </c>
    </row>
    <row r="62" spans="1:34" ht="18">
      <c r="A62" s="699"/>
      <c r="B62" s="216"/>
      <c r="C62" s="272"/>
      <c r="D62" s="216"/>
      <c r="E62" s="216"/>
      <c r="F62" s="216"/>
      <c r="G62" s="216"/>
      <c r="H62" s="216"/>
      <c r="I62" s="216"/>
      <c r="J62" s="216"/>
      <c r="K62" s="216"/>
      <c r="L62" s="216"/>
      <c r="M62" s="216"/>
      <c r="N62" s="216"/>
      <c r="O62" s="216"/>
      <c r="P62" s="216"/>
      <c r="Q62" s="216"/>
      <c r="R62" s="216"/>
      <c r="S62" s="216"/>
      <c r="T62" s="216"/>
      <c r="U62" s="745">
        <f>[8]CMOR_YTD_vsFC!$I$155</f>
        <v>0.5</v>
      </c>
      <c r="V62" s="745"/>
      <c r="W62" s="746"/>
      <c r="X62" s="746">
        <f>SUM(Y55:Y56)</f>
        <v>0.75030609199999998</v>
      </c>
      <c r="Y62" s="746">
        <f>[8]CMOR_YTD_vsFC!$I$163-Z62</f>
        <v>1.3465587240402116E-2</v>
      </c>
      <c r="Z62" s="746">
        <f>[8]VA_MZ_MTD!$W$10</f>
        <v>1.5629364828154968E-3</v>
      </c>
      <c r="AA62" s="746"/>
      <c r="AB62" s="746"/>
      <c r="AC62" s="746">
        <f>[8]CMOR_YTD_vsFC!$I$167</f>
        <v>0</v>
      </c>
      <c r="AD62" s="746"/>
      <c r="AE62" s="746"/>
      <c r="AF62" s="746"/>
      <c r="AG62" s="747" t="e">
        <f>[8]CMOR_YTD_vsFC!$I$166-AJ74-AK74</f>
        <v>#REF!</v>
      </c>
      <c r="AH62" s="746"/>
    </row>
    <row r="63" spans="1:34" ht="18">
      <c r="A63" s="699"/>
      <c r="B63" s="216"/>
      <c r="C63" s="272"/>
      <c r="D63" s="216"/>
      <c r="E63" s="216"/>
      <c r="F63" s="216"/>
      <c r="G63" s="216"/>
      <c r="H63" s="216"/>
      <c r="I63" s="216"/>
      <c r="J63" s="216"/>
      <c r="K63" s="216"/>
      <c r="L63" s="216"/>
      <c r="M63" s="216"/>
      <c r="N63" s="216"/>
      <c r="O63" s="216"/>
      <c r="P63" s="216"/>
      <c r="Q63" s="216"/>
      <c r="R63" s="216"/>
      <c r="S63" s="216"/>
      <c r="T63" s="216"/>
      <c r="U63" s="431"/>
      <c r="V63" s="431"/>
      <c r="W63" s="216"/>
      <c r="X63" s="216"/>
      <c r="Y63" s="216"/>
      <c r="Z63" s="216"/>
      <c r="AA63" s="216"/>
      <c r="AB63" s="216"/>
      <c r="AC63" s="216"/>
      <c r="AD63" s="216"/>
      <c r="AE63" s="216"/>
      <c r="AF63" s="216"/>
      <c r="AG63" s="334"/>
      <c r="AH63" s="216"/>
    </row>
    <row r="64" spans="1:34" ht="21" thickBot="1">
      <c r="A64" s="699"/>
      <c r="B64" s="216"/>
      <c r="C64" s="272"/>
      <c r="D64" s="216"/>
      <c r="E64" s="216"/>
      <c r="F64" s="216"/>
      <c r="G64" s="216"/>
      <c r="H64" s="216"/>
      <c r="I64" s="744">
        <v>1.2517632339895739</v>
      </c>
      <c r="J64" s="744">
        <v>0.73791161237971226</v>
      </c>
      <c r="K64" s="744">
        <v>-2.1877254192267328</v>
      </c>
      <c r="L64" s="744">
        <v>4.3934369637699977E-2</v>
      </c>
      <c r="M64" s="744">
        <v>23.069126786445636</v>
      </c>
      <c r="N64" s="216"/>
      <c r="O64" s="216"/>
      <c r="P64" s="216"/>
      <c r="Q64" s="216"/>
      <c r="R64" s="216"/>
      <c r="S64" s="216"/>
      <c r="T64" s="216"/>
      <c r="U64" s="431"/>
      <c r="V64" s="431"/>
      <c r="W64" s="216"/>
      <c r="X64" s="216"/>
      <c r="Y64" s="216"/>
      <c r="Z64" s="216"/>
      <c r="AA64" s="216"/>
      <c r="AB64" s="216"/>
      <c r="AC64" s="216"/>
      <c r="AD64" s="216"/>
      <c r="AE64" s="216"/>
      <c r="AF64" s="216"/>
      <c r="AG64" s="334"/>
      <c r="AH64" s="216"/>
    </row>
    <row r="65" spans="1:37" ht="18">
      <c r="A65" s="699"/>
      <c r="B65" s="216"/>
      <c r="C65" s="272"/>
      <c r="D65" s="216"/>
      <c r="E65" s="216"/>
      <c r="F65" s="216"/>
      <c r="G65" s="216"/>
      <c r="H65" s="216"/>
      <c r="I65" s="216"/>
      <c r="J65" s="216"/>
      <c r="K65" s="216"/>
      <c r="L65" s="216"/>
      <c r="M65" s="216"/>
      <c r="N65" s="216"/>
      <c r="O65" s="216"/>
      <c r="P65" s="216"/>
      <c r="Q65" s="216"/>
      <c r="R65" s="216"/>
      <c r="S65" s="216"/>
      <c r="T65" s="216"/>
      <c r="U65" s="431"/>
      <c r="V65" s="431"/>
      <c r="W65" s="216"/>
      <c r="X65" s="216"/>
      <c r="Y65" s="216"/>
      <c r="Z65" s="216"/>
      <c r="AA65" s="216"/>
      <c r="AB65" s="216"/>
      <c r="AC65" s="216"/>
      <c r="AD65" s="216"/>
      <c r="AE65" s="216"/>
      <c r="AF65" s="216"/>
      <c r="AG65" s="334"/>
      <c r="AH65" s="216"/>
    </row>
    <row r="66" spans="1:37" ht="18">
      <c r="A66" s="699"/>
      <c r="B66" s="216"/>
      <c r="C66" s="272"/>
      <c r="D66" s="216"/>
      <c r="E66" s="216"/>
      <c r="F66" s="216"/>
      <c r="G66" s="216"/>
      <c r="H66" s="216"/>
      <c r="I66" s="216"/>
      <c r="J66" s="216"/>
      <c r="K66" s="216"/>
      <c r="L66" s="216"/>
      <c r="M66" s="216"/>
      <c r="N66" s="216"/>
      <c r="O66" s="216"/>
      <c r="P66" s="216"/>
      <c r="Q66" s="216"/>
      <c r="R66" s="216"/>
      <c r="S66" s="216"/>
      <c r="T66" s="216"/>
      <c r="U66" s="431"/>
      <c r="V66" s="431"/>
      <c r="W66" s="216"/>
      <c r="X66" s="216"/>
      <c r="Y66" s="216"/>
      <c r="Z66" s="216"/>
      <c r="AA66" s="216"/>
      <c r="AB66" s="216"/>
      <c r="AC66" s="216"/>
      <c r="AD66" s="216"/>
      <c r="AE66" s="216"/>
      <c r="AF66" s="216"/>
      <c r="AG66" s="334"/>
      <c r="AH66" s="216"/>
    </row>
    <row r="67" spans="1:37" ht="18">
      <c r="A67" s="699"/>
      <c r="B67" s="216"/>
      <c r="C67" s="272"/>
      <c r="D67" s="216"/>
      <c r="E67" s="216"/>
      <c r="F67" s="216"/>
      <c r="G67" s="216"/>
      <c r="H67" s="216"/>
      <c r="I67" s="216"/>
      <c r="J67" s="216"/>
      <c r="K67" s="216"/>
      <c r="L67" s="216"/>
      <c r="M67" s="216"/>
      <c r="N67" s="216"/>
      <c r="O67" s="216"/>
      <c r="P67" s="216"/>
      <c r="Q67" s="216"/>
      <c r="R67" s="216"/>
      <c r="S67" s="216"/>
      <c r="T67" s="216"/>
      <c r="U67" s="431"/>
      <c r="V67" s="431"/>
      <c r="W67" s="216"/>
      <c r="X67" s="216"/>
      <c r="Y67" s="216"/>
      <c r="Z67" s="216"/>
      <c r="AA67" s="216"/>
      <c r="AB67" s="216"/>
      <c r="AC67" s="216"/>
      <c r="AD67" s="216"/>
      <c r="AE67" s="216"/>
      <c r="AF67" s="216"/>
      <c r="AG67" s="334"/>
      <c r="AH67" s="216"/>
    </row>
    <row r="68" spans="1:37" ht="18">
      <c r="A68" s="699"/>
      <c r="B68" s="216"/>
      <c r="C68" s="272"/>
      <c r="D68" s="216"/>
      <c r="E68" s="216"/>
      <c r="F68" s="216"/>
      <c r="G68" s="216"/>
      <c r="H68" s="216"/>
      <c r="I68" s="216"/>
      <c r="J68" s="216"/>
      <c r="K68" s="216"/>
      <c r="L68" s="216"/>
      <c r="M68" s="216"/>
      <c r="N68" s="216"/>
      <c r="O68" s="216"/>
      <c r="P68" s="216"/>
      <c r="Q68" s="216"/>
      <c r="R68" s="216"/>
      <c r="S68" s="216"/>
      <c r="T68" s="216"/>
      <c r="U68" s="431"/>
      <c r="V68" s="431"/>
      <c r="W68" s="216"/>
      <c r="X68" s="216"/>
      <c r="Y68" s="216"/>
      <c r="Z68" s="216"/>
      <c r="AA68" s="216"/>
      <c r="AB68" s="216"/>
      <c r="AC68" s="216"/>
      <c r="AD68" s="216"/>
      <c r="AE68" s="216"/>
      <c r="AF68" s="216"/>
      <c r="AG68" s="334"/>
      <c r="AH68" s="216"/>
    </row>
    <row r="69" spans="1:37" ht="18">
      <c r="A69" s="699"/>
      <c r="B69" s="216"/>
      <c r="C69" s="272"/>
      <c r="D69" s="216"/>
      <c r="E69" s="216"/>
      <c r="F69" s="216"/>
      <c r="G69" s="216"/>
      <c r="H69" s="216"/>
      <c r="I69" s="216"/>
      <c r="J69" s="216"/>
      <c r="K69" s="216"/>
      <c r="L69" s="216"/>
      <c r="M69" s="216"/>
      <c r="N69" s="216"/>
      <c r="O69" s="216"/>
      <c r="P69" s="216"/>
      <c r="Q69" s="216"/>
      <c r="R69" s="216"/>
      <c r="S69" s="216"/>
      <c r="T69" s="216"/>
      <c r="U69" s="431"/>
      <c r="V69" s="431"/>
      <c r="W69" s="216"/>
      <c r="X69" s="216"/>
      <c r="Y69" s="216"/>
      <c r="Z69" s="216"/>
      <c r="AA69" s="216"/>
      <c r="AB69" s="216"/>
      <c r="AC69" s="216"/>
      <c r="AD69" s="216"/>
      <c r="AE69" s="216"/>
      <c r="AF69" s="216"/>
      <c r="AG69" s="334"/>
      <c r="AH69" s="216"/>
    </row>
    <row r="70" spans="1:37" ht="18">
      <c r="A70" s="699"/>
      <c r="B70" s="216"/>
      <c r="C70" s="272"/>
      <c r="D70" s="216"/>
      <c r="E70" s="216"/>
      <c r="F70" s="216"/>
      <c r="G70" s="216"/>
      <c r="H70" s="216"/>
      <c r="I70" s="216"/>
      <c r="J70" s="216"/>
      <c r="K70" s="216"/>
      <c r="L70" s="216"/>
      <c r="M70" s="216"/>
      <c r="N70" s="216"/>
      <c r="O70" s="216"/>
      <c r="P70" s="216"/>
      <c r="Q70" s="216"/>
      <c r="R70" s="216"/>
      <c r="S70" s="216"/>
      <c r="T70" s="216"/>
      <c r="U70" s="431"/>
      <c r="V70" s="431"/>
      <c r="W70" s="216"/>
      <c r="X70" s="216"/>
      <c r="Y70" s="216"/>
      <c r="Z70" s="216"/>
      <c r="AA70" s="216"/>
      <c r="AB70" s="216"/>
      <c r="AC70" s="216"/>
      <c r="AD70" s="216"/>
      <c r="AE70" s="216"/>
      <c r="AF70" s="216"/>
      <c r="AG70" s="334"/>
      <c r="AH70" s="216"/>
    </row>
    <row r="71" spans="1:37" ht="18">
      <c r="A71" s="699"/>
      <c r="B71" s="221"/>
      <c r="C71" s="542"/>
      <c r="D71" s="221"/>
      <c r="E71" s="221"/>
      <c r="F71" s="221"/>
      <c r="G71" s="221"/>
      <c r="H71" s="221"/>
      <c r="I71" s="221"/>
      <c r="J71" s="221"/>
      <c r="K71" s="221"/>
      <c r="L71" s="221"/>
      <c r="M71" s="221"/>
      <c r="N71" s="221"/>
      <c r="O71" s="221"/>
      <c r="P71" s="221"/>
      <c r="Q71" s="221"/>
      <c r="R71" s="491"/>
      <c r="S71" s="221"/>
      <c r="T71" s="221"/>
      <c r="U71" s="221"/>
      <c r="V71" s="221"/>
      <c r="W71" s="221"/>
    </row>
    <row r="72" spans="1:37" ht="18">
      <c r="A72" s="699"/>
      <c r="B72" s="216"/>
      <c r="C72" s="319"/>
      <c r="D72" s="216"/>
      <c r="F72" s="216"/>
      <c r="G72" s="216"/>
      <c r="H72" s="334"/>
      <c r="I72" s="216"/>
      <c r="J72" s="216"/>
      <c r="K72" s="216"/>
      <c r="L72" s="216"/>
      <c r="M72" s="216"/>
      <c r="N72" s="216"/>
      <c r="O72" s="216"/>
      <c r="P72" s="216"/>
      <c r="Q72" s="216"/>
      <c r="R72" s="216"/>
      <c r="S72" s="216"/>
      <c r="T72" s="216"/>
      <c r="U72" s="216"/>
      <c r="V72" s="216"/>
      <c r="W72" s="216"/>
    </row>
    <row r="73" spans="1:37" ht="20.25">
      <c r="A73" s="699"/>
      <c r="B73" s="216"/>
      <c r="C73" s="319"/>
      <c r="D73" s="678"/>
      <c r="E73" s="678"/>
      <c r="F73" s="679" t="s">
        <v>475</v>
      </c>
      <c r="G73" s="216"/>
      <c r="H73" s="286"/>
      <c r="I73" s="273" t="s">
        <v>188</v>
      </c>
      <c r="J73" s="274"/>
      <c r="K73" s="274"/>
      <c r="L73" s="274"/>
      <c r="M73" s="275">
        <f>M61</f>
        <v>31.273999853445638</v>
      </c>
      <c r="N73" s="216"/>
      <c r="P73" s="273" t="s">
        <v>191</v>
      </c>
      <c r="Q73" s="274"/>
      <c r="R73" s="274"/>
      <c r="S73" s="294" t="e">
        <f>S61</f>
        <v>#REF!</v>
      </c>
      <c r="T73" s="216"/>
      <c r="U73" s="272"/>
      <c r="V73" s="272"/>
      <c r="W73" s="216"/>
      <c r="X73" s="263" t="s">
        <v>185</v>
      </c>
      <c r="Y73" s="264"/>
      <c r="Z73" s="264"/>
      <c r="AA73" s="265" t="e">
        <f>AD61</f>
        <v>#REF!</v>
      </c>
      <c r="AE73" s="263" t="s">
        <v>186</v>
      </c>
      <c r="AF73" s="264"/>
      <c r="AG73" s="264"/>
      <c r="AH73" s="265" t="e">
        <f>AH61</f>
        <v>#REF!</v>
      </c>
      <c r="AK73" t="s">
        <v>315</v>
      </c>
    </row>
    <row r="74" spans="1:37" ht="18">
      <c r="A74" s="699"/>
      <c r="B74" s="216"/>
      <c r="C74" s="319"/>
      <c r="D74" s="216"/>
      <c r="F74" s="216"/>
      <c r="G74" t="s">
        <v>288</v>
      </c>
      <c r="H74" s="581">
        <f>3.504543736-AD54</f>
        <v>4.117543736</v>
      </c>
      <c r="I74" s="279">
        <v>1</v>
      </c>
      <c r="J74" s="269" t="s">
        <v>472</v>
      </c>
      <c r="K74" s="270"/>
      <c r="L74" s="270"/>
      <c r="M74" s="743">
        <v>12</v>
      </c>
      <c r="N74" s="216"/>
      <c r="P74" s="279">
        <v>1</v>
      </c>
      <c r="Q74" s="635" t="s">
        <v>193</v>
      </c>
      <c r="R74" s="270"/>
      <c r="S74" s="743">
        <f>[8]CMOR_YTD_vsFC!$O$22</f>
        <v>-2.9539575066950889</v>
      </c>
      <c r="T74" s="334"/>
      <c r="U74" s="216"/>
      <c r="V74" s="286"/>
      <c r="W74" s="216"/>
      <c r="X74" s="268">
        <v>1</v>
      </c>
      <c r="Y74" s="269" t="s">
        <v>405</v>
      </c>
      <c r="Z74" s="270"/>
      <c r="AA74" s="271">
        <f>AD53</f>
        <v>3.2054661664171</v>
      </c>
      <c r="AE74" s="268">
        <v>1</v>
      </c>
      <c r="AF74" s="269" t="s">
        <v>39</v>
      </c>
      <c r="AG74" s="270"/>
      <c r="AH74" s="271" t="e">
        <f>#REF!-AJ74-AK74</f>
        <v>#REF!</v>
      </c>
      <c r="AI74" t="s">
        <v>262</v>
      </c>
      <c r="AJ74" t="e">
        <f>#REF!</f>
        <v>#REF!</v>
      </c>
      <c r="AK74" s="524">
        <f>'YTD VA vs BP'!AK78</f>
        <v>-0.16664300000000001</v>
      </c>
    </row>
    <row r="75" spans="1:37" ht="18">
      <c r="A75" s="699"/>
      <c r="B75" s="216"/>
      <c r="C75" s="319"/>
      <c r="D75" s="216"/>
      <c r="F75" s="216"/>
      <c r="G75" t="s">
        <v>290</v>
      </c>
      <c r="H75" s="581">
        <v>0.10874117499999998</v>
      </c>
      <c r="I75" s="279">
        <v>2</v>
      </c>
      <c r="J75" s="276" t="s">
        <v>361</v>
      </c>
      <c r="K75" s="277"/>
      <c r="L75" s="277"/>
      <c r="M75" s="736">
        <v>11.6</v>
      </c>
      <c r="N75" s="216"/>
      <c r="P75" s="279">
        <v>2</v>
      </c>
      <c r="Q75" s="276" t="s">
        <v>143</v>
      </c>
      <c r="R75" s="277"/>
      <c r="S75" s="736">
        <f>'[10]New KPI vs BP'!$AJ$449</f>
        <v>0.70747274647204916</v>
      </c>
      <c r="T75" s="216"/>
      <c r="U75" s="216"/>
      <c r="V75" s="216"/>
      <c r="W75" s="216"/>
      <c r="X75" s="268">
        <v>2</v>
      </c>
      <c r="Y75" s="276" t="s">
        <v>460</v>
      </c>
      <c r="Z75" s="277"/>
      <c r="AA75" s="278">
        <v>1.4</v>
      </c>
      <c r="AE75" s="268">
        <v>2</v>
      </c>
      <c r="AF75" s="276"/>
      <c r="AG75" s="277"/>
      <c r="AH75" s="278"/>
      <c r="AI75" t="s">
        <v>144</v>
      </c>
      <c r="AJ75" s="412" t="e">
        <f>AH74</f>
        <v>#REF!</v>
      </c>
    </row>
    <row r="76" spans="1:37" ht="18">
      <c r="A76" s="699"/>
      <c r="B76" s="216"/>
      <c r="C76" s="272"/>
      <c r="D76" s="216"/>
      <c r="E76" s="216"/>
      <c r="F76" s="216"/>
      <c r="G76" s="221" t="s">
        <v>282</v>
      </c>
      <c r="H76" s="585">
        <v>3.9785881559999998</v>
      </c>
      <c r="I76" s="279">
        <v>3</v>
      </c>
      <c r="J76" s="276" t="s">
        <v>401</v>
      </c>
      <c r="K76" s="277"/>
      <c r="L76" s="277"/>
      <c r="M76" s="736">
        <v>-0.53087321355436501</v>
      </c>
      <c r="P76" s="279">
        <v>3</v>
      </c>
      <c r="Q76" s="276" t="s">
        <v>195</v>
      </c>
      <c r="R76" s="277"/>
      <c r="S76" s="281">
        <v>15.805551828293797</v>
      </c>
      <c r="W76" s="216"/>
      <c r="X76" s="268">
        <v>3</v>
      </c>
      <c r="Y76" s="276" t="s">
        <v>401</v>
      </c>
      <c r="Z76" s="277"/>
      <c r="AA76" s="278"/>
      <c r="AE76" s="268">
        <v>3</v>
      </c>
      <c r="AF76" s="276"/>
      <c r="AG76" s="277"/>
      <c r="AH76" s="278"/>
    </row>
    <row r="77" spans="1:37" ht="18">
      <c r="A77" s="699"/>
      <c r="B77" s="216"/>
      <c r="C77" s="216"/>
      <c r="D77" s="272"/>
      <c r="E77" s="272"/>
      <c r="F77" s="272"/>
      <c r="G77" t="s">
        <v>294</v>
      </c>
      <c r="H77" s="585"/>
      <c r="I77" s="279">
        <v>4</v>
      </c>
      <c r="J77" s="276" t="s">
        <v>288</v>
      </c>
      <c r="K77" s="277"/>
      <c r="L77" s="277"/>
      <c r="M77" s="736">
        <v>4.117543736</v>
      </c>
      <c r="P77" s="279">
        <v>4</v>
      </c>
      <c r="Q77" s="276" t="s">
        <v>441</v>
      </c>
      <c r="R77" s="277"/>
      <c r="S77" s="281">
        <v>-60</v>
      </c>
      <c r="X77" s="268">
        <v>4</v>
      </c>
      <c r="Y77" s="276"/>
      <c r="Z77" s="277"/>
      <c r="AA77" s="278"/>
      <c r="AE77" s="268">
        <v>4</v>
      </c>
      <c r="AF77" s="276"/>
      <c r="AG77" s="277"/>
      <c r="AH77" s="278"/>
    </row>
    <row r="78" spans="1:37" ht="18">
      <c r="A78" s="699"/>
      <c r="B78" s="216"/>
      <c r="C78" s="272"/>
      <c r="D78" s="216"/>
      <c r="E78" s="216"/>
      <c r="F78" s="216"/>
      <c r="H78" s="334"/>
      <c r="I78" s="279">
        <v>5</v>
      </c>
      <c r="J78" s="276" t="s">
        <v>290</v>
      </c>
      <c r="K78" s="277"/>
      <c r="L78" s="277"/>
      <c r="M78" s="736">
        <v>0.10874117499999998</v>
      </c>
      <c r="P78" s="279">
        <v>5</v>
      </c>
      <c r="Q78" s="276" t="s">
        <v>498</v>
      </c>
      <c r="R78" s="277"/>
      <c r="S78" s="281">
        <v>-6.052235162901451</v>
      </c>
      <c r="W78" s="216"/>
      <c r="X78" s="282">
        <v>5</v>
      </c>
      <c r="Y78" s="283" t="s">
        <v>182</v>
      </c>
      <c r="Z78" s="284"/>
      <c r="AA78" s="285" t="e">
        <f>AA73-SUM(AA74:AA77)</f>
        <v>#REF!</v>
      </c>
      <c r="AE78" s="282">
        <v>5</v>
      </c>
      <c r="AF78" s="283" t="s">
        <v>182</v>
      </c>
      <c r="AG78" s="284"/>
      <c r="AH78" s="285" t="e">
        <f>AH73-SUM(AH74:AH77)</f>
        <v>#REF!</v>
      </c>
      <c r="AJ78" s="121"/>
    </row>
    <row r="79" spans="1:37" ht="18">
      <c r="A79" s="699"/>
      <c r="B79" s="216"/>
      <c r="C79" s="272"/>
      <c r="D79" s="216"/>
      <c r="E79" s="216"/>
      <c r="F79" s="216"/>
      <c r="G79" s="216"/>
      <c r="H79" s="216"/>
      <c r="I79" s="279">
        <v>6</v>
      </c>
      <c r="J79" s="276" t="s">
        <v>282</v>
      </c>
      <c r="K79" s="277"/>
      <c r="L79" s="277"/>
      <c r="M79" s="736">
        <v>3.9785881559999998</v>
      </c>
      <c r="P79" s="279">
        <v>6</v>
      </c>
      <c r="Q79" s="276" t="s">
        <v>247</v>
      </c>
      <c r="R79" s="277"/>
      <c r="S79" s="281">
        <v>67.470928230999988</v>
      </c>
      <c r="X79" s="216"/>
      <c r="Y79" s="216"/>
      <c r="Z79" s="216"/>
      <c r="AA79" s="216"/>
      <c r="AB79" s="330"/>
      <c r="AC79" s="216"/>
      <c r="AD79" s="216"/>
      <c r="AE79" s="216"/>
      <c r="AF79" s="216"/>
      <c r="AG79" s="216"/>
      <c r="AH79" s="216"/>
    </row>
    <row r="80" spans="1:37" ht="18">
      <c r="A80" s="699"/>
      <c r="B80" s="216"/>
      <c r="C80" s="272"/>
      <c r="D80" s="272"/>
      <c r="E80" s="216"/>
      <c r="F80" s="216"/>
      <c r="G80" s="216"/>
      <c r="H80" s="334"/>
      <c r="I80" s="279">
        <v>7</v>
      </c>
      <c r="J80" s="276"/>
      <c r="K80" s="277"/>
      <c r="L80" s="277"/>
      <c r="M80" s="736"/>
      <c r="N80" s="443"/>
      <c r="P80" s="279">
        <v>7</v>
      </c>
      <c r="Q80" s="276"/>
      <c r="R80" s="277"/>
      <c r="S80" s="281"/>
      <c r="T80" s="660"/>
      <c r="U80" s="412"/>
      <c r="X80" s="216"/>
      <c r="Y80" s="216"/>
      <c r="Z80" s="216"/>
      <c r="AA80" s="315"/>
      <c r="AB80" s="216"/>
      <c r="AC80" s="216"/>
      <c r="AD80" s="216"/>
      <c r="AE80" s="216"/>
      <c r="AF80" s="216"/>
      <c r="AG80" s="216"/>
      <c r="AH80" s="216"/>
    </row>
    <row r="81" spans="1:34" ht="18">
      <c r="A81" s="699"/>
      <c r="B81" s="216"/>
      <c r="C81" s="216"/>
      <c r="D81" s="216"/>
      <c r="E81" s="216"/>
      <c r="F81" s="216"/>
      <c r="G81" s="216"/>
      <c r="H81" s="216"/>
      <c r="I81" s="279">
        <v>8</v>
      </c>
      <c r="J81" s="276"/>
      <c r="K81" s="277"/>
      <c r="L81" s="277"/>
      <c r="M81" s="736"/>
      <c r="P81" s="279">
        <v>8</v>
      </c>
      <c r="Q81" s="276"/>
      <c r="R81" s="277"/>
      <c r="S81" s="281"/>
      <c r="T81" s="660"/>
      <c r="U81" s="412"/>
      <c r="X81" s="216"/>
      <c r="Y81" s="216"/>
      <c r="Z81" s="216"/>
      <c r="AA81" s="315"/>
      <c r="AB81" s="216"/>
      <c r="AC81" s="216"/>
      <c r="AD81" s="216"/>
      <c r="AE81" s="216"/>
      <c r="AF81" s="216"/>
      <c r="AG81" s="216"/>
      <c r="AH81" s="216"/>
    </row>
    <row r="82" spans="1:34" ht="18">
      <c r="A82" s="699"/>
      <c r="B82" s="216"/>
      <c r="C82" s="216"/>
      <c r="D82" s="216"/>
      <c r="E82" s="216"/>
      <c r="F82" s="216"/>
      <c r="G82" s="216"/>
      <c r="H82" s="216"/>
      <c r="I82" s="279">
        <v>9</v>
      </c>
      <c r="J82" s="276"/>
      <c r="K82" s="277"/>
      <c r="L82" s="277"/>
      <c r="M82" s="281"/>
      <c r="N82" s="424"/>
      <c r="P82" s="279">
        <v>9</v>
      </c>
      <c r="Q82" s="276"/>
      <c r="R82" s="277"/>
      <c r="S82" s="278"/>
      <c r="T82" s="660" t="s">
        <v>247</v>
      </c>
      <c r="U82" s="412"/>
      <c r="V82" s="541">
        <v>67.470928230999988</v>
      </c>
      <c r="X82" s="216"/>
      <c r="Y82" s="216"/>
      <c r="AA82" s="317"/>
      <c r="AB82" s="216"/>
      <c r="AC82" s="216"/>
      <c r="AD82" s="216"/>
      <c r="AE82" s="216"/>
      <c r="AF82" s="216"/>
      <c r="AG82" s="216"/>
      <c r="AH82" s="216"/>
    </row>
    <row r="83" spans="1:34" ht="18">
      <c r="A83" s="699"/>
      <c r="B83" s="216"/>
      <c r="C83" s="216"/>
      <c r="D83" s="216"/>
      <c r="E83" s="216"/>
      <c r="F83" s="216"/>
      <c r="G83" s="216"/>
      <c r="H83" s="216"/>
      <c r="I83" s="279">
        <v>10</v>
      </c>
      <c r="J83" s="276"/>
      <c r="K83" s="277"/>
      <c r="L83" s="277"/>
      <c r="M83" s="281"/>
      <c r="P83" s="288">
        <v>10</v>
      </c>
      <c r="Q83" s="283" t="s">
        <v>182</v>
      </c>
      <c r="R83" s="284"/>
      <c r="S83" s="285" t="e">
        <f>S73-SUM(S74:S82)</f>
        <v>#REF!</v>
      </c>
      <c r="T83" s="661" t="s">
        <v>195</v>
      </c>
      <c r="U83" s="412"/>
      <c r="V83" s="314">
        <v>15.805551828293797</v>
      </c>
      <c r="Y83" s="216"/>
      <c r="Z83" s="216"/>
      <c r="AA83" s="216"/>
      <c r="AB83" s="216"/>
      <c r="AC83" s="216"/>
      <c r="AD83" s="216"/>
      <c r="AE83" s="216"/>
      <c r="AF83" s="216"/>
      <c r="AG83" s="216"/>
      <c r="AH83" s="216"/>
    </row>
    <row r="84" spans="1:34" ht="18">
      <c r="A84" s="699"/>
      <c r="B84" s="216"/>
      <c r="C84" s="216"/>
      <c r="D84" s="216"/>
      <c r="E84" s="216"/>
      <c r="F84" s="216"/>
      <c r="G84" s="216"/>
      <c r="H84" s="216"/>
      <c r="I84" s="279">
        <v>11</v>
      </c>
      <c r="J84" s="276"/>
      <c r="K84" s="277"/>
      <c r="L84" s="277"/>
      <c r="M84" s="281"/>
      <c r="S84" s="317"/>
      <c r="T84" s="216" t="s">
        <v>222</v>
      </c>
      <c r="U84" s="412"/>
      <c r="V84" s="330">
        <v>-42.673967658065834</v>
      </c>
      <c r="W84" s="297">
        <v>-58.9260103416498</v>
      </c>
      <c r="X84" t="s">
        <v>473</v>
      </c>
      <c r="Y84" s="216"/>
      <c r="Z84" s="216"/>
      <c r="AA84" s="216"/>
      <c r="AB84" s="216"/>
      <c r="AC84" s="216"/>
      <c r="AD84" s="216"/>
      <c r="AE84" s="216"/>
      <c r="AF84" s="216"/>
      <c r="AG84" s="216"/>
      <c r="AH84" s="216"/>
    </row>
    <row r="85" spans="1:34" ht="18">
      <c r="A85" s="699"/>
      <c r="B85" s="216"/>
      <c r="C85" s="216"/>
      <c r="D85" s="216"/>
      <c r="E85" s="216"/>
      <c r="F85" s="216"/>
      <c r="G85" s="216"/>
      <c r="H85" s="216"/>
      <c r="I85" s="288">
        <v>12</v>
      </c>
      <c r="J85" s="289" t="s">
        <v>182</v>
      </c>
      <c r="K85" s="284"/>
      <c r="L85" s="284"/>
      <c r="M85" s="290">
        <f>M73-SUM(M74:M83)</f>
        <v>0</v>
      </c>
      <c r="Q85" s="536" t="e">
        <f>SUM(S75:S83)+SUM(H74:H77)-H76</f>
        <v>#REF!</v>
      </c>
      <c r="S85" s="317" t="e">
        <f>S83-S84</f>
        <v>#REF!</v>
      </c>
      <c r="T85" t="s">
        <v>246</v>
      </c>
      <c r="U85" s="412"/>
      <c r="V85" s="677">
        <v>3.0528917554443251</v>
      </c>
      <c r="W85" s="216"/>
      <c r="Y85" s="216"/>
      <c r="Z85" s="216"/>
      <c r="AA85" s="216"/>
      <c r="AB85" s="216"/>
      <c r="AC85" s="216"/>
      <c r="AD85" s="216"/>
      <c r="AE85" s="216"/>
      <c r="AF85" s="216"/>
      <c r="AG85" s="216"/>
      <c r="AH85" s="216"/>
    </row>
    <row r="86" spans="1:34">
      <c r="A86" s="699"/>
      <c r="B86" s="216"/>
      <c r="C86" s="216"/>
      <c r="D86" s="216"/>
      <c r="E86" s="216"/>
      <c r="F86" s="216"/>
      <c r="G86" s="216"/>
      <c r="H86" s="216"/>
      <c r="N86" s="216"/>
      <c r="P86" t="s">
        <v>462</v>
      </c>
      <c r="Q86" s="364">
        <v>15.473411829002199</v>
      </c>
      <c r="T86" t="s">
        <v>349</v>
      </c>
      <c r="U86" s="412"/>
      <c r="V86" s="677">
        <v>-13.404455986225969</v>
      </c>
      <c r="W86" s="529">
        <f>SUM('[10]New KPI vs BP'!$AJ$455:$AJ$456,'[10]New KPI vs BP'!$AJ$466)-SUM(V82:V85)</f>
        <v>-37.933458941304806</v>
      </c>
      <c r="Y86" s="216"/>
      <c r="Z86" s="216"/>
      <c r="AA86" s="216"/>
      <c r="AB86" s="216"/>
      <c r="AC86" s="216"/>
      <c r="AD86" s="216"/>
      <c r="AE86" s="216"/>
      <c r="AF86" s="216"/>
      <c r="AG86" s="216"/>
      <c r="AH86" s="216"/>
    </row>
    <row r="87" spans="1:34">
      <c r="A87" s="699"/>
      <c r="B87" s="216"/>
      <c r="C87" s="216"/>
      <c r="D87" s="216"/>
      <c r="E87" s="216"/>
      <c r="F87" s="216"/>
      <c r="G87" s="216"/>
      <c r="H87" s="216"/>
      <c r="I87" s="216"/>
      <c r="J87" s="216"/>
      <c r="K87" s="216"/>
      <c r="L87" s="216"/>
      <c r="M87" s="216"/>
      <c r="N87" s="216"/>
      <c r="P87" t="s">
        <v>441</v>
      </c>
      <c r="Q87" s="314">
        <v>-39.314824912707003</v>
      </c>
      <c r="T87" t="s">
        <v>223</v>
      </c>
      <c r="U87" s="317"/>
      <c r="V87" s="677">
        <v>-24.359188188173764</v>
      </c>
      <c r="W87" s="216"/>
      <c r="Z87" s="216"/>
      <c r="AA87" s="216"/>
      <c r="AB87" s="216"/>
      <c r="AC87" s="216"/>
      <c r="AD87" s="216"/>
      <c r="AE87" s="216"/>
      <c r="AF87" s="216"/>
      <c r="AG87" s="216"/>
      <c r="AH87" s="216"/>
    </row>
    <row r="88" spans="1:34">
      <c r="A88" s="699"/>
      <c r="B88" s="216"/>
      <c r="C88" s="216"/>
      <c r="D88" s="216"/>
      <c r="E88" s="216"/>
      <c r="F88" s="216"/>
      <c r="G88" s="216"/>
      <c r="H88" s="216"/>
      <c r="I88" s="216"/>
      <c r="J88" s="216"/>
      <c r="K88" s="216"/>
      <c r="L88" s="216"/>
      <c r="M88" s="216"/>
      <c r="N88" s="216"/>
      <c r="P88" t="s">
        <v>223</v>
      </c>
      <c r="Q88" s="318">
        <v>-24.24824536081114</v>
      </c>
      <c r="U88" s="529"/>
      <c r="V88" s="659"/>
      <c r="W88" s="216"/>
      <c r="Y88" s="216"/>
      <c r="Z88" s="216"/>
      <c r="AA88" s="216"/>
      <c r="AB88" s="216"/>
      <c r="AC88" s="216"/>
      <c r="AD88" s="216"/>
      <c r="AE88" s="216"/>
      <c r="AF88" s="216"/>
      <c r="AG88" s="216"/>
      <c r="AH88" s="216"/>
    </row>
    <row r="89" spans="1:34">
      <c r="A89" s="699"/>
      <c r="B89" s="216"/>
      <c r="C89" s="216"/>
      <c r="D89" s="216"/>
      <c r="E89" s="216"/>
      <c r="F89" s="216"/>
      <c r="G89" s="216"/>
      <c r="H89" s="216"/>
      <c r="I89" s="216"/>
      <c r="J89" s="216"/>
      <c r="K89" s="216"/>
      <c r="L89" s="216"/>
      <c r="M89" s="216"/>
      <c r="N89" s="216"/>
      <c r="P89" t="s">
        <v>474</v>
      </c>
      <c r="Q89" s="317">
        <v>5.9624875385801817</v>
      </c>
      <c r="U89" s="411"/>
      <c r="V89" s="314"/>
      <c r="Y89" s="216"/>
      <c r="Z89" s="216"/>
      <c r="AA89" s="216"/>
      <c r="AB89" s="216"/>
      <c r="AC89" s="216"/>
      <c r="AD89" s="216"/>
      <c r="AE89" s="216"/>
      <c r="AF89" s="216"/>
      <c r="AG89" s="216"/>
      <c r="AH89" s="216"/>
    </row>
    <row r="90" spans="1:34">
      <c r="A90" s="699"/>
      <c r="B90" s="216"/>
      <c r="C90" s="216"/>
      <c r="D90" s="216"/>
      <c r="E90" s="216"/>
      <c r="F90" s="216"/>
      <c r="G90" s="216"/>
      <c r="H90" s="216"/>
      <c r="I90" s="216"/>
      <c r="J90" s="216"/>
      <c r="K90" s="216"/>
      <c r="L90" s="216"/>
      <c r="M90" s="332"/>
      <c r="N90" s="216"/>
      <c r="T90" s="582" t="s">
        <v>438</v>
      </c>
      <c r="V90" s="519">
        <f>SUM('[10]New KPI vs BP'!$AJ$453+'[10]New KPI vs BP'!$AJ$464)</f>
        <v>5.7192133844450836</v>
      </c>
      <c r="W90" s="216"/>
      <c r="Y90" s="216"/>
      <c r="Z90" s="216"/>
      <c r="AA90" s="216"/>
      <c r="AB90" s="216"/>
      <c r="AC90" s="216"/>
      <c r="AD90" s="216"/>
      <c r="AE90" s="216"/>
      <c r="AF90" s="216"/>
      <c r="AG90" s="216"/>
      <c r="AH90" s="216"/>
    </row>
    <row r="91" spans="1:34">
      <c r="A91" s="699"/>
      <c r="B91" s="216"/>
      <c r="C91" s="216"/>
      <c r="D91" s="216"/>
      <c r="E91" s="216"/>
      <c r="F91" s="216"/>
      <c r="G91" s="216"/>
      <c r="H91" s="216"/>
      <c r="I91" s="216"/>
      <c r="J91" s="216"/>
      <c r="K91" s="216"/>
      <c r="L91" s="216"/>
      <c r="M91" s="216"/>
      <c r="N91" s="216"/>
      <c r="Q91" s="534" t="e">
        <f>Q85-SUM(Q86:Q90)</f>
        <v>#REF!</v>
      </c>
      <c r="Y91" s="216"/>
      <c r="Z91" s="216"/>
      <c r="AA91" s="216"/>
      <c r="AB91" s="216"/>
      <c r="AC91" s="216"/>
      <c r="AD91" s="216"/>
      <c r="AE91" s="216"/>
      <c r="AF91" s="216"/>
      <c r="AG91" s="216"/>
      <c r="AH91" s="216"/>
    </row>
    <row r="92" spans="1:34">
      <c r="A92" s="699"/>
      <c r="B92" s="216"/>
      <c r="C92" s="216"/>
      <c r="D92" s="216"/>
      <c r="E92" s="216"/>
      <c r="F92" s="216"/>
      <c r="G92" s="216"/>
      <c r="H92" s="216"/>
      <c r="I92" s="216"/>
      <c r="J92" s="216"/>
      <c r="K92" s="216"/>
      <c r="L92" s="216"/>
      <c r="M92" s="216"/>
      <c r="N92" s="216"/>
      <c r="Z92" s="216"/>
      <c r="AA92" s="216"/>
      <c r="AB92" s="216"/>
      <c r="AC92" s="216"/>
      <c r="AD92" s="216"/>
      <c r="AE92" s="216"/>
      <c r="AF92" s="216"/>
      <c r="AG92" s="216"/>
      <c r="AH92" s="216"/>
    </row>
    <row r="93" spans="1:34">
      <c r="A93" s="699"/>
      <c r="Y93" s="314"/>
    </row>
    <row r="94" spans="1:34">
      <c r="A94" s="699"/>
    </row>
    <row r="95" spans="1:34">
      <c r="A95" s="699"/>
    </row>
    <row r="96" spans="1:34">
      <c r="A96" s="699"/>
      <c r="T96" t="s">
        <v>284</v>
      </c>
      <c r="U96" s="541" t="e">
        <f>SUM(U97:U99)</f>
        <v>#REF!</v>
      </c>
    </row>
    <row r="97" spans="1:26">
      <c r="A97" s="699"/>
      <c r="T97" s="216" t="s">
        <v>252</v>
      </c>
      <c r="U97" s="363">
        <v>0.193179889519218</v>
      </c>
    </row>
    <row r="98" spans="1:26">
      <c r="A98" s="699"/>
      <c r="T98" s="362" t="s">
        <v>144</v>
      </c>
      <c r="U98" s="363" t="e">
        <f>-AD56-AJ75-X57-AK74</f>
        <v>#REF!</v>
      </c>
    </row>
    <row r="99" spans="1:26">
      <c r="A99" s="699"/>
      <c r="T99" s="216" t="s">
        <v>200</v>
      </c>
      <c r="U99" s="363">
        <v>0.75839560363275105</v>
      </c>
    </row>
    <row r="100" spans="1:26">
      <c r="X100" s="216"/>
    </row>
    <row r="102" spans="1:26">
      <c r="Z102" s="314"/>
    </row>
  </sheetData>
  <mergeCells count="26">
    <mergeCell ref="B10:B11"/>
    <mergeCell ref="C10:C11"/>
    <mergeCell ref="B17:B18"/>
    <mergeCell ref="H17:H18"/>
    <mergeCell ref="O17:O18"/>
    <mergeCell ref="P59:P60"/>
    <mergeCell ref="Q59:Q60"/>
    <mergeCell ref="R59:R60"/>
    <mergeCell ref="S59:S60"/>
    <mergeCell ref="Q17:Q18"/>
    <mergeCell ref="R17:R18"/>
    <mergeCell ref="S17:S18"/>
    <mergeCell ref="P17:P18"/>
    <mergeCell ref="B52:B53"/>
    <mergeCell ref="C52:C53"/>
    <mergeCell ref="B59:B60"/>
    <mergeCell ref="H59:H60"/>
    <mergeCell ref="O59:O60"/>
    <mergeCell ref="T59:T60"/>
    <mergeCell ref="AE59:AE60"/>
    <mergeCell ref="AF59:AF60"/>
    <mergeCell ref="AH59:AH60"/>
    <mergeCell ref="AH17:AH18"/>
    <mergeCell ref="T17:T18"/>
    <mergeCell ref="AE17:AE18"/>
    <mergeCell ref="AF17:AF18"/>
  </mergeCells>
  <pageMargins left="0.7" right="0.7" top="0.75" bottom="0.75" header="0.3" footer="0.3"/>
  <pageSetup orientation="portrait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3657E-BC02-401D-B951-EC01100A7285}">
  <sheetPr>
    <tabColor theme="7" tint="-0.249977111117893"/>
  </sheetPr>
  <dimension ref="B1:AK97"/>
  <sheetViews>
    <sheetView showGridLines="0" topLeftCell="A27" zoomScale="50" zoomScaleNormal="50" workbookViewId="0">
      <selection activeCell="G54" sqref="G54"/>
    </sheetView>
  </sheetViews>
  <sheetFormatPr defaultRowHeight="15"/>
  <cols>
    <col min="2" max="2" width="24.42578125" customWidth="1"/>
    <col min="3" max="3" width="19.5703125" bestFit="1" customWidth="1"/>
    <col min="4" max="4" width="17.85546875" bestFit="1" customWidth="1"/>
    <col min="5" max="5" width="13.5703125" bestFit="1" customWidth="1"/>
    <col min="6" max="6" width="14.5703125" bestFit="1" customWidth="1"/>
    <col min="7" max="7" width="13" bestFit="1" customWidth="1"/>
    <col min="12" max="12" width="12.5703125" bestFit="1" customWidth="1"/>
    <col min="13" max="13" width="9.85546875" bestFit="1" customWidth="1"/>
    <col min="17" max="17" width="20.42578125" bestFit="1" customWidth="1"/>
    <col min="19" max="19" width="10.5703125" bestFit="1" customWidth="1"/>
    <col min="20" max="20" width="10.5703125" customWidth="1"/>
    <col min="21" max="21" width="22.140625" bestFit="1" customWidth="1"/>
    <col min="22" max="22" width="11.140625" customWidth="1"/>
    <col min="24" max="24" width="19.5703125" bestFit="1" customWidth="1"/>
    <col min="26" max="26" width="12.42578125" customWidth="1"/>
    <col min="27" max="27" width="15.42578125" customWidth="1"/>
    <col min="33" max="33" width="12.5703125" bestFit="1" customWidth="1"/>
    <col min="34" max="34" width="11.42578125" bestFit="1" customWidth="1"/>
  </cols>
  <sheetData>
    <row r="1" spans="2:34" ht="28.5">
      <c r="B1" s="304" t="str">
        <f>'Summary month'!E2</f>
        <v>Apr</v>
      </c>
      <c r="C1" t="str">
        <f>VLOOKUP(B1,mapping!$A$2:$C$13,3,0)</f>
        <v>M01</v>
      </c>
    </row>
    <row r="3" spans="2:34" ht="28.5">
      <c r="B3" s="299" t="s">
        <v>202</v>
      </c>
      <c r="I3" s="216"/>
      <c r="J3" s="334"/>
      <c r="K3" s="216"/>
      <c r="L3" s="216"/>
      <c r="M3" s="216"/>
      <c r="N3" s="334"/>
      <c r="O3" s="216"/>
      <c r="P3" s="216"/>
      <c r="Q3" s="216"/>
    </row>
    <row r="4" spans="2:34" ht="28.5">
      <c r="B4" s="299"/>
      <c r="I4" s="530" t="s">
        <v>355</v>
      </c>
      <c r="J4" s="334"/>
      <c r="K4" s="216"/>
      <c r="L4" s="216"/>
      <c r="M4" s="216"/>
      <c r="N4" s="334"/>
      <c r="O4" s="216"/>
      <c r="P4" s="216"/>
      <c r="Q4" s="216"/>
    </row>
    <row r="5" spans="2:34" ht="20.25">
      <c r="B5" s="216"/>
      <c r="C5" s="226" t="str">
        <f>B10</f>
        <v>OL MTD</v>
      </c>
      <c r="D5" s="226" t="str">
        <f>C10</f>
        <v>Act MTD</v>
      </c>
      <c r="E5" s="226" t="s">
        <v>320</v>
      </c>
      <c r="F5" s="226" t="s">
        <v>321</v>
      </c>
      <c r="G5" s="226" t="s">
        <v>358</v>
      </c>
      <c r="H5" s="292" t="s">
        <v>323</v>
      </c>
      <c r="I5" s="216"/>
    </row>
    <row r="6" spans="2:34" ht="20.25">
      <c r="B6" s="226" t="s">
        <v>327</v>
      </c>
      <c r="C6" s="229">
        <f>INDEX('Summary month'!$AC$82:$AE$82,1,MATCH($C$1,'Summary month'!$X$6:$Z$6,0))</f>
        <v>107.76375566499685</v>
      </c>
      <c r="D6" s="229">
        <f>INDEX('Summary month'!$F$82:$H$82,1,MATCH($C$1,'Summary month'!$O$6:$Q$6,0))</f>
        <v>63.237619418000122</v>
      </c>
      <c r="E6" s="226">
        <f>+D6-C6</f>
        <v>-44.526136246996728</v>
      </c>
      <c r="F6" s="226">
        <f>B19</f>
        <v>-33.148876858541541</v>
      </c>
      <c r="G6" s="226">
        <f>SUM(C19:S19)</f>
        <v>-11.377259388455194</v>
      </c>
      <c r="H6" s="502">
        <f>E6-F6-G6</f>
        <v>0</v>
      </c>
      <c r="I6" s="216"/>
      <c r="J6" s="334"/>
      <c r="K6" s="216"/>
      <c r="L6" s="216"/>
      <c r="M6" s="216"/>
      <c r="N6" s="334"/>
      <c r="O6" s="216"/>
      <c r="P6" s="216"/>
      <c r="Q6" s="216"/>
    </row>
    <row r="7" spans="2:34" ht="20.25">
      <c r="B7" s="226" t="s">
        <v>325</v>
      </c>
      <c r="C7" s="229">
        <f>INDEX('Summary month'!$AC$83:$AE$83,1,MATCH($C$1,'Summary month'!$X$6:$Z$6,0))</f>
        <v>-122.70532976500002</v>
      </c>
      <c r="D7" s="229">
        <f>INDEX('Summary month'!$F$83:$H$83,1,MATCH($C$1,'Summary month'!$O$6:$Q$6,0))</f>
        <v>-134.40743371799999</v>
      </c>
      <c r="E7" s="226">
        <f>+D7-C7</f>
        <v>-11.702103952999977</v>
      </c>
      <c r="F7" s="226">
        <f>T19</f>
        <v>2.1419278585388417</v>
      </c>
      <c r="G7" s="226">
        <f>SUM(U19:AH19)</f>
        <v>-13.844031811538805</v>
      </c>
      <c r="H7" s="502">
        <f>E7-F7-G7</f>
        <v>-1.4210854715202004E-14</v>
      </c>
      <c r="I7" s="216"/>
      <c r="J7" s="334"/>
      <c r="K7" s="216"/>
      <c r="L7" s="216"/>
      <c r="M7" s="216"/>
      <c r="N7" s="334"/>
      <c r="O7" s="216"/>
      <c r="P7" s="216"/>
      <c r="Q7" s="216"/>
    </row>
    <row r="8" spans="2:34" ht="20.25">
      <c r="B8" s="226" t="s">
        <v>326</v>
      </c>
      <c r="C8" s="226">
        <f>+C6+C7</f>
        <v>-14.941574100003166</v>
      </c>
      <c r="D8" s="226">
        <f>+D6+D7</f>
        <v>-71.169814299999871</v>
      </c>
      <c r="E8" s="226">
        <f>+D8-C8</f>
        <v>-56.228240199996705</v>
      </c>
      <c r="F8" s="226">
        <f>+E8-G8</f>
        <v>-31.006949000002706</v>
      </c>
      <c r="G8" s="226">
        <f>+G6+G7</f>
        <v>-25.221291199993999</v>
      </c>
      <c r="H8" s="502">
        <f>E8-F8-G8</f>
        <v>0</v>
      </c>
      <c r="I8" s="216"/>
      <c r="J8" s="334" t="s">
        <v>303</v>
      </c>
      <c r="K8" s="216" t="s">
        <v>143</v>
      </c>
      <c r="L8" s="216" t="s">
        <v>304</v>
      </c>
      <c r="M8" s="216"/>
      <c r="N8" s="334" t="s">
        <v>303</v>
      </c>
      <c r="O8" s="216" t="s">
        <v>143</v>
      </c>
      <c r="P8" s="216" t="s">
        <v>305</v>
      </c>
      <c r="Q8" s="216" t="s">
        <v>306</v>
      </c>
    </row>
    <row r="9" spans="2:34" ht="18">
      <c r="B9" s="215"/>
      <c r="C9" s="216"/>
      <c r="D9" s="318">
        <f>D12-D58</f>
        <v>-56.228240199996726</v>
      </c>
      <c r="E9" s="318">
        <f>E12-E58</f>
        <v>-31.006949000002702</v>
      </c>
      <c r="F9" s="318">
        <f>F12-F58</f>
        <v>-11.377259388455194</v>
      </c>
      <c r="G9" s="318">
        <f>G12-G58</f>
        <v>-13.844031811538805</v>
      </c>
      <c r="H9" s="216"/>
      <c r="I9" s="216" t="s">
        <v>307</v>
      </c>
      <c r="J9" s="334">
        <f>'[7]New KPI vs BP'!$AT$34-K9-L9</f>
        <v>84.018481206997308</v>
      </c>
      <c r="K9" s="216">
        <f>'[7]New KPI vs BP'!$AT$15</f>
        <v>1.6126676020000001</v>
      </c>
      <c r="L9" s="334">
        <f>'[7]New KPI vs BP'!$AT$507+'[7]New KPI vs BP'!$AT$523</f>
        <v>-116.63809780900002</v>
      </c>
      <c r="M9" s="216"/>
      <c r="N9" s="334">
        <f>'[7]New KPI vs BP'!$AT$34-O9-P9</f>
        <v>-34.761544460541543</v>
      </c>
      <c r="O9" s="216">
        <f>K9</f>
        <v>1.6126676020000001</v>
      </c>
      <c r="P9" s="406">
        <f>L10-AJ66</f>
        <v>2.1419278585388417</v>
      </c>
      <c r="Q9" s="334">
        <f>L9-(P9)</f>
        <v>-118.78002566753885</v>
      </c>
      <c r="R9" s="216"/>
      <c r="S9" s="216"/>
      <c r="T9" s="216"/>
      <c r="U9" s="216"/>
      <c r="V9" s="216"/>
      <c r="W9" s="216"/>
      <c r="X9" s="216"/>
      <c r="Y9" s="216"/>
      <c r="Z9" s="216"/>
      <c r="AA9" s="216"/>
      <c r="AB9" s="216"/>
      <c r="AC9" s="216"/>
      <c r="AD9" s="216"/>
      <c r="AE9" s="216"/>
      <c r="AF9" s="216"/>
      <c r="AG9" s="216"/>
      <c r="AH9" s="216"/>
    </row>
    <row r="10" spans="2:34" ht="20.100000000000001" customHeight="1">
      <c r="B10" s="1014" t="s">
        <v>245</v>
      </c>
      <c r="C10" s="1014" t="s">
        <v>207</v>
      </c>
      <c r="D10" s="218"/>
      <c r="E10" s="219"/>
      <c r="F10" s="219"/>
      <c r="G10" s="220"/>
      <c r="H10" s="216"/>
      <c r="I10" s="216" t="s">
        <v>62</v>
      </c>
      <c r="J10" s="334">
        <f>M52</f>
        <v>6.3744855012013657E-2</v>
      </c>
      <c r="K10" s="216">
        <v>0</v>
      </c>
      <c r="L10" s="334">
        <f>M53</f>
        <v>2.9976835308994798</v>
      </c>
      <c r="M10" s="216"/>
      <c r="N10" s="216"/>
      <c r="O10" s="216"/>
      <c r="P10" s="216"/>
      <c r="Q10" s="216"/>
      <c r="R10" s="216"/>
      <c r="S10" s="216"/>
      <c r="T10" s="216"/>
      <c r="U10" s="216"/>
      <c r="V10" s="216"/>
      <c r="W10" s="221"/>
      <c r="X10" s="221"/>
      <c r="Y10" s="221"/>
      <c r="Z10" s="221"/>
      <c r="AA10" s="221"/>
      <c r="AB10" s="221"/>
      <c r="AC10" s="221"/>
      <c r="AD10" s="221"/>
      <c r="AE10" s="221"/>
      <c r="AF10" s="221"/>
      <c r="AG10" s="221"/>
      <c r="AH10" s="221"/>
    </row>
    <row r="11" spans="2:34" ht="40.5">
      <c r="B11" s="1015"/>
      <c r="C11" s="1016"/>
      <c r="D11" s="222"/>
      <c r="E11" s="223" t="s">
        <v>154</v>
      </c>
      <c r="F11" s="224" t="s">
        <v>155</v>
      </c>
      <c r="G11" s="225" t="s">
        <v>156</v>
      </c>
      <c r="H11" s="216"/>
      <c r="I11" s="216" t="s">
        <v>208</v>
      </c>
      <c r="J11" s="216"/>
      <c r="K11" s="216"/>
      <c r="L11" s="216"/>
      <c r="M11" s="216"/>
      <c r="N11" s="216"/>
      <c r="O11" s="216"/>
      <c r="P11" s="216"/>
      <c r="Q11" s="216"/>
      <c r="R11" s="216"/>
      <c r="AH11" s="216"/>
    </row>
    <row r="12" spans="2:34" ht="20.25">
      <c r="B12" s="226">
        <f>INDEX('Summary month'!$AC$55:$AE$55,1,MATCH($C$1,'Summary month'!$AG6:$AI$6,0))</f>
        <v>-14.941574100003159</v>
      </c>
      <c r="C12" s="226">
        <f>INDEX('Summary month'!$F$55:$H$55,1,MATCH($C$1,'Summary month'!$X$6:$Z$6,0))</f>
        <v>-71.169814299999885</v>
      </c>
      <c r="D12" s="227">
        <f>C12-B12</f>
        <v>-56.228240199996726</v>
      </c>
      <c r="E12" s="228">
        <f>'[7]New KPI vs BP'!$AT$34</f>
        <v>-31.006949000002702</v>
      </c>
      <c r="F12" s="228">
        <f>INDEX('Summary month'!$AG$82:$AI$82,1,MATCH($C$1,'Summary month'!$AG$6:$AI$6,0))-E13</f>
        <v>-11.377259388455194</v>
      </c>
      <c r="G12" s="229">
        <f>INDEX('Summary month'!$AG$83:$AI$83,1,MATCH($C$1,'Summary month'!$AG$6:$AI$6,0))-E14</f>
        <v>-13.844031811538805</v>
      </c>
      <c r="H12" s="216"/>
      <c r="I12" s="286">
        <f>SUM(E12:G12)-D12</f>
        <v>0</v>
      </c>
      <c r="J12" s="216"/>
      <c r="K12" s="216"/>
      <c r="L12" s="216"/>
      <c r="M12" s="216"/>
      <c r="N12" s="216"/>
      <c r="O12" s="230"/>
      <c r="P12" s="216"/>
      <c r="Q12" s="216"/>
      <c r="R12" s="216"/>
      <c r="AH12" s="230"/>
    </row>
    <row r="13" spans="2:34">
      <c r="B13" s="216"/>
      <c r="C13" s="216"/>
      <c r="D13" s="216"/>
      <c r="E13" s="315">
        <f>SUM(N9:O9)</f>
        <v>-33.148876858541541</v>
      </c>
      <c r="F13" s="216" t="s">
        <v>308</v>
      </c>
      <c r="G13" s="216"/>
      <c r="H13" s="216"/>
      <c r="I13" s="216"/>
      <c r="J13" s="216"/>
      <c r="K13" s="216"/>
      <c r="L13" s="216"/>
      <c r="M13" s="216"/>
      <c r="N13" s="216"/>
      <c r="O13" s="216" t="s">
        <v>53</v>
      </c>
      <c r="P13" s="216">
        <f>-INDEX('Summary month'!$AG$17:$AI$73,MATCH(O13,'Summary month'!$D$17:$D$73,0),MATCH($C$1,'Summary month'!$AG$6:$AI$6,0))</f>
        <v>-1.9876000000000005</v>
      </c>
      <c r="Q13" s="216"/>
      <c r="R13" s="216"/>
      <c r="AH13" s="216"/>
    </row>
    <row r="14" spans="2:34">
      <c r="B14" s="216"/>
      <c r="C14" s="216" t="s">
        <v>51</v>
      </c>
      <c r="D14" s="216" t="s">
        <v>50</v>
      </c>
      <c r="E14" s="315">
        <f>P9</f>
        <v>2.1419278585388417</v>
      </c>
      <c r="F14" s="216" t="s">
        <v>309</v>
      </c>
      <c r="G14" s="216"/>
      <c r="H14" s="216"/>
      <c r="I14" s="216"/>
      <c r="J14" s="216"/>
      <c r="K14" s="216"/>
      <c r="L14" s="216"/>
      <c r="M14" s="216"/>
      <c r="N14" s="216"/>
      <c r="O14" s="216" t="s">
        <v>54</v>
      </c>
      <c r="P14" s="216">
        <f>-INDEX('Summary month'!$AG$17:$AI$73,MATCH(O14,'Summary month'!$D$17:$D$73,0),MATCH($C$1,'Summary month'!$AG$6:$AI$6,0))</f>
        <v>0.48476128947928415</v>
      </c>
      <c r="Q14" s="216"/>
      <c r="R14" s="216"/>
      <c r="AH14" s="216"/>
    </row>
    <row r="15" spans="2:34" ht="21" thickBot="1">
      <c r="B15" s="231" t="s">
        <v>157</v>
      </c>
      <c r="C15" s="232" t="s">
        <v>56</v>
      </c>
      <c r="D15" s="232" t="s">
        <v>57</v>
      </c>
      <c r="E15" s="232"/>
      <c r="F15" s="232"/>
      <c r="G15" s="232"/>
      <c r="H15" s="232"/>
      <c r="I15" s="232"/>
      <c r="J15" s="232"/>
      <c r="K15" s="232"/>
      <c r="L15" s="232"/>
      <c r="M15" s="232"/>
      <c r="N15" s="232"/>
      <c r="O15" s="232" t="s">
        <v>55</v>
      </c>
      <c r="P15" s="232">
        <f>-INDEX('Summary month'!$AG$17:$AI$73,MATCH(O15,'Summary month'!$D$17:$D$73,0),MATCH($C$1,'Summary month'!$AG$6:$AI$6,0))</f>
        <v>0</v>
      </c>
      <c r="Q15" s="232"/>
      <c r="R15" s="232" t="s">
        <v>60</v>
      </c>
      <c r="AA15" t="s">
        <v>52</v>
      </c>
      <c r="AB15" t="s">
        <v>59</v>
      </c>
      <c r="AH15" s="217" t="s">
        <v>138</v>
      </c>
    </row>
    <row r="16" spans="2:34" ht="21" thickBot="1">
      <c r="B16" s="233"/>
      <c r="C16" s="234" t="s">
        <v>159</v>
      </c>
      <c r="D16" s="234"/>
      <c r="E16" s="234"/>
      <c r="F16" s="234"/>
      <c r="G16" s="234"/>
      <c r="H16" s="234"/>
      <c r="I16" s="234"/>
      <c r="J16" s="234"/>
      <c r="K16" s="234"/>
      <c r="L16" s="234"/>
      <c r="M16" s="234"/>
      <c r="N16" s="234"/>
      <c r="O16" s="234"/>
      <c r="P16" s="234"/>
      <c r="Q16" s="234"/>
      <c r="R16" s="234"/>
      <c r="S16" s="235"/>
      <c r="T16" s="236"/>
      <c r="U16" s="237" t="s">
        <v>160</v>
      </c>
      <c r="V16" s="237"/>
      <c r="W16" s="237"/>
      <c r="X16" s="237"/>
      <c r="Y16" s="237"/>
      <c r="Z16" s="237"/>
      <c r="AA16" s="237"/>
      <c r="AB16" s="237"/>
      <c r="AC16" s="237"/>
      <c r="AD16" s="237"/>
      <c r="AE16" s="237"/>
      <c r="AF16" s="237"/>
      <c r="AG16" s="237"/>
      <c r="AH16" s="238"/>
    </row>
    <row r="17" spans="2:34" ht="20.100000000000001" customHeight="1">
      <c r="B17" s="1027" t="s">
        <v>274</v>
      </c>
      <c r="C17" s="239" t="s">
        <v>161</v>
      </c>
      <c r="D17" s="240"/>
      <c r="E17" s="240"/>
      <c r="F17" s="240"/>
      <c r="G17" s="241"/>
      <c r="H17" s="1017" t="s">
        <v>162</v>
      </c>
      <c r="I17" s="242" t="s">
        <v>163</v>
      </c>
      <c r="J17" s="243"/>
      <c r="K17" s="243"/>
      <c r="L17" s="243"/>
      <c r="M17" s="243"/>
      <c r="N17" s="244"/>
      <c r="O17" s="1019" t="s">
        <v>164</v>
      </c>
      <c r="P17" s="1019" t="s">
        <v>165</v>
      </c>
      <c r="Q17" s="1019" t="s">
        <v>166</v>
      </c>
      <c r="R17" s="1022" t="s">
        <v>167</v>
      </c>
      <c r="S17" s="1023" t="s">
        <v>168</v>
      </c>
      <c r="T17" s="1027" t="s">
        <v>274</v>
      </c>
      <c r="U17" s="245" t="s">
        <v>169</v>
      </c>
      <c r="V17" s="246"/>
      <c r="W17" s="246"/>
      <c r="X17" s="247"/>
      <c r="Y17" s="248" t="s">
        <v>163</v>
      </c>
      <c r="Z17" s="246"/>
      <c r="AA17" s="246"/>
      <c r="AB17" s="246"/>
      <c r="AC17" s="246"/>
      <c r="AD17" s="247"/>
      <c r="AE17" s="1022" t="s">
        <v>166</v>
      </c>
      <c r="AF17" s="1025" t="s">
        <v>167</v>
      </c>
      <c r="AG17" s="311"/>
      <c r="AH17" s="1012" t="s">
        <v>168</v>
      </c>
    </row>
    <row r="18" spans="2:34" ht="77.45" customHeight="1">
      <c r="B18" s="1028"/>
      <c r="C18" s="249" t="s">
        <v>170</v>
      </c>
      <c r="D18" s="250" t="s">
        <v>171</v>
      </c>
      <c r="E18" s="250" t="s">
        <v>172</v>
      </c>
      <c r="F18" s="250" t="s">
        <v>173</v>
      </c>
      <c r="G18" s="251" t="s">
        <v>174</v>
      </c>
      <c r="H18" s="1018"/>
      <c r="I18" s="250" t="s">
        <v>175</v>
      </c>
      <c r="J18" s="250" t="s">
        <v>176</v>
      </c>
      <c r="K18" s="250" t="s">
        <v>177</v>
      </c>
      <c r="L18" s="250" t="s">
        <v>178</v>
      </c>
      <c r="M18" s="250" t="s">
        <v>168</v>
      </c>
      <c r="N18" s="250" t="s">
        <v>179</v>
      </c>
      <c r="O18" s="1020"/>
      <c r="P18" s="1021"/>
      <c r="Q18" s="1021"/>
      <c r="R18" s="1021"/>
      <c r="S18" s="1024"/>
      <c r="T18" s="1028"/>
      <c r="U18" s="307" t="s">
        <v>203</v>
      </c>
      <c r="V18" s="308" t="s">
        <v>180</v>
      </c>
      <c r="W18" s="309" t="s">
        <v>181</v>
      </c>
      <c r="X18" s="310" t="s">
        <v>33</v>
      </c>
      <c r="Y18" s="305" t="s">
        <v>25</v>
      </c>
      <c r="Z18" s="306" t="s">
        <v>183</v>
      </c>
      <c r="AA18" s="306" t="s">
        <v>204</v>
      </c>
      <c r="AB18" s="306" t="s">
        <v>205</v>
      </c>
      <c r="AC18" s="306" t="s">
        <v>184</v>
      </c>
      <c r="AD18" s="306" t="s">
        <v>30</v>
      </c>
      <c r="AE18" s="1021"/>
      <c r="AF18" s="1026"/>
      <c r="AG18" s="312" t="s">
        <v>37</v>
      </c>
      <c r="AH18" s="1013"/>
    </row>
    <row r="19" spans="2:34" ht="21" thickBot="1">
      <c r="B19" s="252">
        <f>E13</f>
        <v>-33.148876858541541</v>
      </c>
      <c r="C19" s="253">
        <f>C61-INDEX('Summary month'!$AG$17:$AI$74,MATCH(C14,'Summary month'!$D$17:$D$74,0),MATCH($C$1,'Summary month'!$AG$6:$AI$6,0))-INDEX('Summary month'!$AG$17:$AI$74,MATCH(C15,'Summary month'!$D$17:$D$74,0),MATCH($C$1,'Summary month'!$AG$6:$AI$6,0))+M52-N9</f>
        <v>47.460770858514223</v>
      </c>
      <c r="D19" s="547">
        <f>S67-INDEX('Summary month'!$AG$17:$AI$74,MATCH(D14,'Summary month'!$D$17:$D$74,0),MATCH($C$1,'Summary month'!$AG$6:$AI$6,0))-INDEX('Summary month'!$AG$17:$AI$74,MATCH(D15,'Summary month'!$D$17:$D$74,0),MATCH($C$1,'Summary month'!$AG$6:$AI$6,0))-O9</f>
        <v>-0.67116014858881967</v>
      </c>
      <c r="E19" s="254">
        <f>E61</f>
        <v>0</v>
      </c>
      <c r="F19" s="254">
        <f>F61</f>
        <v>0</v>
      </c>
      <c r="G19" s="254"/>
      <c r="H19" s="254"/>
      <c r="I19" s="254">
        <f>I61</f>
        <v>-9.5807186283748222E-2</v>
      </c>
      <c r="J19" s="255">
        <f>J61</f>
        <v>3.6837941759397686E-3</v>
      </c>
      <c r="K19" s="255">
        <f>K61</f>
        <v>7.2256084504340734E-3</v>
      </c>
      <c r="L19" s="255">
        <f>L61</f>
        <v>0</v>
      </c>
      <c r="M19" s="255">
        <f>M61</f>
        <v>6.3</v>
      </c>
      <c r="N19" s="255"/>
      <c r="O19" s="254">
        <f>-INDEX('Summary month'!$AG$17:$AI$74,MATCH(O13,'Summary month'!$D$17:$D$74,0),MATCH($C$1,'Summary month'!$AG$6:$AI$6,0))-INDEX('Summary month'!$AG$17:$AI$74,MATCH(O14,'Summary month'!$D$17:$D$74,0),MATCH($C$1,'Summary month'!$AG$6:$AI$6,0))-INDEX('Summary month'!$AG$17:$AI$74,MATCH(O15,'Summary month'!$D$17:$D$74,0),MATCH($C$1,'Summary month'!$AG$6:$AI$6,0))</f>
        <v>-1.5028387105207164</v>
      </c>
      <c r="P19" s="254"/>
      <c r="Q19" s="256"/>
      <c r="R19" s="254">
        <f>R61-INDEX('Summary month'!$AG$17:$AI$74,MATCH(R15,'Summary month'!$D$17:$D$74,0),MATCH($C$1,'Summary month'!$AG$6:$AI$6,0))</f>
        <v>-6.536864909048921</v>
      </c>
      <c r="S19" s="257">
        <f>F12-SUM(C19:R19)</f>
        <v>-56.342268695153585</v>
      </c>
      <c r="T19" s="253">
        <f>E14</f>
        <v>2.1419278585388417</v>
      </c>
      <c r="U19" s="253">
        <f>U61</f>
        <v>4.7678626289999997</v>
      </c>
      <c r="V19" s="258">
        <f>V61</f>
        <v>-0.99796745999999992</v>
      </c>
      <c r="W19" s="258"/>
      <c r="X19" s="258">
        <f>X61</f>
        <v>1.8442641309999939</v>
      </c>
      <c r="Y19" s="258">
        <f>Y61</f>
        <v>-2.2001206680422141</v>
      </c>
      <c r="Z19" s="258">
        <f>Z61</f>
        <v>-4.025756118848463</v>
      </c>
      <c r="AA19" s="258">
        <f>AA61-INDEX('Summary month'!$AG$17:$AI$74,MATCH(AA15,'Summary month'!$D$17:$D$74,0),MATCH($C$1,'Summary month'!$AG$6:$AI$6,0))</f>
        <v>0.76501878399999867</v>
      </c>
      <c r="AB19" s="258">
        <f>-INDEX('Summary month'!$AG$17:$AI$74,MATCH(AB15,'Summary month'!$D$17:$D$74,0),MATCH($C$1,'Summary month'!$AG$6:$AI$6,0))</f>
        <v>2.8353969999999999</v>
      </c>
      <c r="AC19" s="258">
        <f>AC61</f>
        <v>-13.443898399999973</v>
      </c>
      <c r="AD19" s="258">
        <f>AD61</f>
        <v>1.9552660143518281</v>
      </c>
      <c r="AE19" s="256"/>
      <c r="AF19" s="259"/>
      <c r="AG19" s="254">
        <f>AG61</f>
        <v>-5.9647375439999983</v>
      </c>
      <c r="AH19" s="260">
        <f>G12-SUM(U19:AG19)</f>
        <v>0.62063982100002235</v>
      </c>
    </row>
    <row r="20" spans="2:34">
      <c r="B20" s="286">
        <f>B19-B61</f>
        <v>-33.212621713553553</v>
      </c>
      <c r="C20" s="286">
        <f>C19-C61</f>
        <v>47.460770858514223</v>
      </c>
      <c r="D20" s="286">
        <f t="shared" ref="D20:S20" si="0">D19-D61</f>
        <v>-0.67116014858881967</v>
      </c>
      <c r="E20" s="286">
        <f t="shared" si="0"/>
        <v>0</v>
      </c>
      <c r="F20" s="286">
        <f t="shared" si="0"/>
        <v>0</v>
      </c>
      <c r="G20" s="286">
        <f t="shared" si="0"/>
        <v>0</v>
      </c>
      <c r="H20" s="286">
        <f t="shared" si="0"/>
        <v>-4.9853159209999998</v>
      </c>
      <c r="I20" s="286">
        <f t="shared" si="0"/>
        <v>0</v>
      </c>
      <c r="J20" s="286">
        <f t="shared" si="0"/>
        <v>0</v>
      </c>
      <c r="K20" s="286">
        <f t="shared" si="0"/>
        <v>0</v>
      </c>
      <c r="L20" s="286">
        <f t="shared" si="0"/>
        <v>0</v>
      </c>
      <c r="M20" s="286">
        <f t="shared" si="0"/>
        <v>0</v>
      </c>
      <c r="N20" s="286">
        <f t="shared" si="0"/>
        <v>0</v>
      </c>
      <c r="O20" s="286">
        <f t="shared" si="0"/>
        <v>-1.5028387105207164</v>
      </c>
      <c r="P20" s="286">
        <f t="shared" si="0"/>
        <v>0</v>
      </c>
      <c r="Q20" s="286">
        <f t="shared" si="0"/>
        <v>0</v>
      </c>
      <c r="R20" s="286">
        <f t="shared" si="0"/>
        <v>1.5282999999999998</v>
      </c>
      <c r="S20" s="286">
        <f t="shared" si="0"/>
        <v>5.0561215037499778</v>
      </c>
      <c r="T20" s="286"/>
      <c r="U20" s="216"/>
      <c r="V20" s="216"/>
      <c r="W20" s="216"/>
      <c r="X20" s="216"/>
      <c r="Y20" s="216"/>
      <c r="Z20" s="216"/>
      <c r="AA20" s="216"/>
      <c r="AB20" s="216"/>
      <c r="AC20" s="216"/>
      <c r="AD20" s="216"/>
      <c r="AE20" t="s">
        <v>262</v>
      </c>
      <c r="AF20" s="216"/>
      <c r="AG20" s="216"/>
      <c r="AH20" s="216"/>
    </row>
    <row r="21" spans="2:34" ht="20.25">
      <c r="B21" s="221"/>
      <c r="C21" s="261"/>
      <c r="D21" s="262"/>
      <c r="E21" s="262"/>
      <c r="F21" s="262"/>
      <c r="G21" s="262"/>
      <c r="H21" s="262"/>
      <c r="I21" s="262"/>
      <c r="J21" s="262"/>
      <c r="K21" s="262"/>
      <c r="L21" s="262"/>
      <c r="M21" s="262"/>
      <c r="N21" s="262"/>
      <c r="O21" s="262"/>
      <c r="P21" s="262"/>
      <c r="Q21" s="262"/>
      <c r="R21" s="262"/>
      <c r="S21" s="221"/>
      <c r="T21" s="221"/>
      <c r="U21" s="221"/>
      <c r="V21" s="221"/>
      <c r="W21" s="221"/>
      <c r="X21" s="263" t="s">
        <v>185</v>
      </c>
      <c r="Y21" s="264"/>
      <c r="Z21" s="264"/>
      <c r="AA21" s="264"/>
      <c r="AB21" s="265">
        <f>AD19</f>
        <v>1.9552660143518281</v>
      </c>
      <c r="AC21" s="221"/>
      <c r="AD21" s="263" t="s">
        <v>186</v>
      </c>
      <c r="AE21" s="264"/>
      <c r="AF21" s="264"/>
      <c r="AG21" s="264"/>
      <c r="AH21" s="265">
        <f>AH19</f>
        <v>0.62063982100002235</v>
      </c>
    </row>
    <row r="22" spans="2:34" ht="18">
      <c r="B22" s="216"/>
      <c r="C22" s="266"/>
      <c r="D22" s="267"/>
      <c r="E22" s="267"/>
      <c r="F22" s="267"/>
      <c r="G22" s="267"/>
      <c r="H22" s="267"/>
      <c r="I22" s="267"/>
      <c r="J22" s="267"/>
      <c r="K22" s="267"/>
      <c r="L22" s="267"/>
      <c r="M22" s="267"/>
      <c r="N22" s="267"/>
      <c r="O22" s="267"/>
      <c r="P22" s="267"/>
      <c r="Q22" s="267"/>
      <c r="R22" s="267"/>
      <c r="S22" s="216"/>
      <c r="T22" s="216"/>
      <c r="U22" s="431"/>
      <c r="V22" s="216"/>
      <c r="W22" s="216"/>
      <c r="X22" s="268">
        <v>1</v>
      </c>
      <c r="Y22" s="269">
        <f>Y66</f>
        <v>0</v>
      </c>
      <c r="Z22" s="270"/>
      <c r="AA22" s="270"/>
      <c r="AB22" s="271">
        <f>AA66</f>
        <v>0</v>
      </c>
      <c r="AC22" s="216"/>
      <c r="AD22" s="268">
        <v>1</v>
      </c>
      <c r="AE22" s="269" t="s">
        <v>187</v>
      </c>
      <c r="AF22" s="270"/>
      <c r="AG22" s="270"/>
      <c r="AH22" s="271">
        <f>AH66</f>
        <v>0.62063982100002901</v>
      </c>
    </row>
    <row r="23" spans="2:34" ht="20.25">
      <c r="B23" s="221" t="s">
        <v>277</v>
      </c>
      <c r="C23" s="426">
        <f>C61</f>
        <v>0</v>
      </c>
      <c r="D23" s="216"/>
      <c r="E23" s="216" t="s">
        <v>281</v>
      </c>
      <c r="F23" s="216" t="s">
        <v>274</v>
      </c>
      <c r="G23" s="216"/>
      <c r="H23" s="216"/>
      <c r="I23" s="273" t="s">
        <v>188</v>
      </c>
      <c r="J23" s="274"/>
      <c r="K23" s="274"/>
      <c r="L23" s="274"/>
      <c r="M23" s="275">
        <f>M19</f>
        <v>6.3</v>
      </c>
      <c r="N23" s="216"/>
      <c r="O23" s="216"/>
      <c r="P23" s="216"/>
      <c r="Q23" s="216"/>
      <c r="R23" s="216"/>
      <c r="S23" s="216"/>
      <c r="T23" s="216"/>
      <c r="U23" s="216"/>
      <c r="V23" s="216"/>
      <c r="W23" s="216"/>
      <c r="X23" s="268">
        <v>2</v>
      </c>
      <c r="Y23" s="276"/>
      <c r="Z23" s="277"/>
      <c r="AA23" s="277"/>
      <c r="AB23" s="278"/>
      <c r="AC23" s="216"/>
      <c r="AD23" s="268">
        <v>2</v>
      </c>
      <c r="AE23" s="276"/>
      <c r="AF23" s="277"/>
      <c r="AG23" s="277"/>
      <c r="AH23" s="278"/>
    </row>
    <row r="24" spans="2:34" ht="18">
      <c r="B24" s="216" t="s">
        <v>278</v>
      </c>
      <c r="C24" s="579">
        <f>-INDEX('Summary month'!$AG$17:$AI$74,MATCH(C14,'Summary month'!$D$17:$D$74,0),MATCH($C$1,'Summary month'!$AG$6:$AI$6,0))</f>
        <v>12.06904974296067</v>
      </c>
      <c r="D24" s="216"/>
      <c r="E24" s="435">
        <f>C24-F24</f>
        <v>17.432078473887891</v>
      </c>
      <c r="F24" s="436">
        <v>-5.36302873092722</v>
      </c>
      <c r="G24" s="216"/>
      <c r="H24" s="216"/>
      <c r="I24" s="279">
        <v>1</v>
      </c>
      <c r="J24" s="269" t="str">
        <f>J66</f>
        <v>Supplier claims</v>
      </c>
      <c r="K24" s="270"/>
      <c r="L24" s="270"/>
      <c r="M24" s="280">
        <f>M66</f>
        <v>3.3</v>
      </c>
      <c r="N24" s="216"/>
      <c r="O24" s="216"/>
      <c r="P24" s="216"/>
      <c r="Q24" s="216"/>
      <c r="R24" s="216"/>
      <c r="S24" s="216"/>
      <c r="T24" s="216"/>
      <c r="U24" s="216"/>
      <c r="V24" s="216"/>
      <c r="W24" s="216"/>
      <c r="X24" s="268">
        <v>3</v>
      </c>
      <c r="Y24" s="276"/>
      <c r="Z24" s="277"/>
      <c r="AA24" s="277"/>
      <c r="AB24" s="278"/>
      <c r="AC24" s="216"/>
      <c r="AD24" s="268">
        <v>3</v>
      </c>
      <c r="AE24" s="276"/>
      <c r="AF24" s="277"/>
      <c r="AG24" s="277"/>
      <c r="AH24" s="278"/>
    </row>
    <row r="25" spans="2:34" ht="18">
      <c r="B25" s="216" t="s">
        <v>279</v>
      </c>
      <c r="C25" s="427">
        <f>-INDEX('Summary month'!$AG$17:$AI$74,MATCH(C15,'Summary month'!$D$17:$D$74,0),MATCH($C$1,'Summary month'!$AG$6:$AI$6,0))</f>
        <v>0.56643180000000015</v>
      </c>
      <c r="D25" s="216"/>
      <c r="E25" s="216"/>
      <c r="F25" s="216"/>
      <c r="G25" s="216"/>
      <c r="H25" s="216"/>
      <c r="I25" s="279">
        <v>2</v>
      </c>
      <c r="J25" s="276" t="str">
        <f>J67</f>
        <v>ILN business</v>
      </c>
      <c r="K25" s="277"/>
      <c r="L25" s="277"/>
      <c r="M25" s="281">
        <f>M67</f>
        <v>1</v>
      </c>
      <c r="N25" s="216"/>
      <c r="O25" s="216"/>
      <c r="P25" s="216"/>
      <c r="Q25" s="216"/>
      <c r="R25" s="216"/>
      <c r="S25" s="216"/>
      <c r="T25" s="216"/>
      <c r="U25" s="216"/>
      <c r="V25" s="216"/>
      <c r="W25" s="216"/>
      <c r="X25" s="268">
        <v>4</v>
      </c>
      <c r="Y25" s="276"/>
      <c r="Z25" s="277"/>
      <c r="AA25" s="277"/>
      <c r="AB25" s="278"/>
      <c r="AC25" s="216"/>
      <c r="AD25" s="268">
        <v>4</v>
      </c>
      <c r="AE25" s="276"/>
      <c r="AF25" s="277"/>
      <c r="AG25" s="277"/>
      <c r="AH25" s="278"/>
    </row>
    <row r="26" spans="2:34" ht="18">
      <c r="B26" s="216" t="s">
        <v>280</v>
      </c>
      <c r="C26" s="438">
        <f>(M52-N9)</f>
        <v>34.825289315553555</v>
      </c>
      <c r="D26" s="216"/>
      <c r="E26" s="216"/>
      <c r="F26" s="216"/>
      <c r="G26" s="216"/>
      <c r="H26" s="216"/>
      <c r="I26" s="279">
        <v>3</v>
      </c>
      <c r="J26" s="276" t="str">
        <f>J68</f>
        <v>AVL/CTB</v>
      </c>
      <c r="K26" s="277"/>
      <c r="L26" s="277"/>
      <c r="M26" s="281">
        <f>M68</f>
        <v>1</v>
      </c>
      <c r="N26" s="216"/>
      <c r="O26" s="216"/>
      <c r="P26" s="216"/>
      <c r="Q26" s="216"/>
      <c r="R26" s="216"/>
      <c r="S26" s="216"/>
      <c r="T26" s="216"/>
      <c r="U26" s="216"/>
      <c r="V26" s="216"/>
      <c r="W26" s="216"/>
      <c r="X26" s="282">
        <v>5</v>
      </c>
      <c r="Y26" s="283" t="s">
        <v>182</v>
      </c>
      <c r="Z26" s="284"/>
      <c r="AA26" s="284"/>
      <c r="AB26" s="285">
        <f>AB21-SUM(AB22:AB25)</f>
        <v>1.9552660143518281</v>
      </c>
      <c r="AC26" s="216"/>
      <c r="AD26" s="282">
        <v>5</v>
      </c>
      <c r="AE26" s="283" t="s">
        <v>182</v>
      </c>
      <c r="AF26" s="284"/>
      <c r="AG26" s="284"/>
      <c r="AH26" s="285">
        <f>AH21-SUM(AH22:AH25)</f>
        <v>-6.6613381477509392E-15</v>
      </c>
    </row>
    <row r="27" spans="2:34" ht="18">
      <c r="B27" s="216"/>
      <c r="C27" s="216"/>
      <c r="D27" s="272"/>
      <c r="E27" s="272"/>
      <c r="F27" s="272"/>
      <c r="G27" s="272"/>
      <c r="H27" s="272"/>
      <c r="I27" s="279">
        <v>4</v>
      </c>
      <c r="J27" s="276" t="str">
        <f>J70</f>
        <v>X-vbadge</v>
      </c>
      <c r="K27" s="277"/>
      <c r="L27" s="277"/>
      <c r="M27" s="281">
        <f>M70</f>
        <v>0</v>
      </c>
      <c r="N27" s="216"/>
      <c r="O27" s="216"/>
      <c r="P27" s="272"/>
      <c r="Q27" s="272"/>
      <c r="R27" s="216"/>
      <c r="S27" s="216"/>
      <c r="T27" s="216"/>
      <c r="U27" s="216"/>
      <c r="V27" s="216"/>
      <c r="W27" s="216"/>
      <c r="X27" s="216"/>
      <c r="Y27" s="216"/>
      <c r="Z27" s="216"/>
      <c r="AA27" s="216"/>
      <c r="AB27" s="286">
        <f>AB26-AA70</f>
        <v>0</v>
      </c>
      <c r="AC27" s="216"/>
      <c r="AD27" s="216"/>
      <c r="AE27" s="216"/>
      <c r="AF27" s="216"/>
      <c r="AG27" s="287"/>
      <c r="AH27" s="286">
        <f>AH26-AH70</f>
        <v>0</v>
      </c>
    </row>
    <row r="28" spans="2:34" ht="18">
      <c r="B28" s="216"/>
      <c r="C28" s="272"/>
      <c r="D28" s="216"/>
      <c r="E28" s="216"/>
      <c r="F28" s="529"/>
      <c r="G28" s="216"/>
      <c r="H28" s="216"/>
      <c r="I28" s="279">
        <v>5</v>
      </c>
      <c r="J28" s="276" t="str">
        <f>J71</f>
        <v>Duties</v>
      </c>
      <c r="K28" s="277"/>
      <c r="L28" s="277"/>
      <c r="M28" s="281">
        <f>M71</f>
        <v>0</v>
      </c>
      <c r="N28" s="216"/>
      <c r="O28" s="216"/>
      <c r="P28" s="216"/>
      <c r="Q28" s="216"/>
      <c r="R28" s="216"/>
      <c r="S28" s="216"/>
      <c r="T28" s="216"/>
      <c r="U28" s="216"/>
      <c r="V28" s="216"/>
      <c r="W28" s="216"/>
      <c r="X28" s="216"/>
      <c r="Y28" s="216"/>
      <c r="Z28" s="216"/>
      <c r="AA28" s="216"/>
      <c r="AB28" s="216"/>
      <c r="AC28" s="216"/>
      <c r="AD28" s="216"/>
      <c r="AE28" s="216"/>
      <c r="AF28" s="216"/>
      <c r="AG28" s="216"/>
      <c r="AH28" s="216"/>
    </row>
    <row r="29" spans="2:34" ht="18">
      <c r="B29" s="216"/>
      <c r="C29" s="272"/>
      <c r="D29" s="216"/>
      <c r="E29" s="216"/>
      <c r="F29" s="216"/>
      <c r="G29" s="216"/>
      <c r="H29" s="216"/>
      <c r="I29" s="279">
        <v>6</v>
      </c>
      <c r="J29" s="276" t="str">
        <f>J72</f>
        <v>Micra</v>
      </c>
      <c r="K29" s="277"/>
      <c r="L29" s="277"/>
      <c r="M29" s="281">
        <f>M72</f>
        <v>0</v>
      </c>
      <c r="N29" s="216"/>
      <c r="O29" s="216"/>
      <c r="P29" s="216"/>
      <c r="Q29" s="216"/>
      <c r="R29" s="216"/>
      <c r="S29" s="216"/>
      <c r="T29" s="216"/>
      <c r="U29" s="216"/>
      <c r="V29" s="216"/>
      <c r="W29" s="216"/>
      <c r="X29" s="216"/>
      <c r="Y29" s="216"/>
      <c r="Z29" s="216"/>
      <c r="AA29" s="216"/>
      <c r="AB29" s="216"/>
      <c r="AC29" s="216"/>
      <c r="AD29" s="216"/>
      <c r="AE29" s="216"/>
      <c r="AF29" s="216"/>
      <c r="AG29" s="216"/>
      <c r="AH29" s="216"/>
    </row>
    <row r="30" spans="2:34" ht="18">
      <c r="B30" s="216"/>
      <c r="C30" s="272"/>
      <c r="D30" s="272"/>
      <c r="E30" s="216"/>
      <c r="F30" s="216"/>
      <c r="G30" s="216"/>
      <c r="H30" s="216"/>
      <c r="I30" s="279">
        <v>7</v>
      </c>
      <c r="J30" s="269"/>
      <c r="K30" s="270"/>
      <c r="L30" s="270"/>
      <c r="M30" s="280"/>
      <c r="N30" s="216"/>
      <c r="O30" s="216"/>
      <c r="P30" s="216"/>
      <c r="Q30" s="216"/>
      <c r="R30" s="216"/>
      <c r="S30" s="216"/>
      <c r="T30" s="216"/>
      <c r="U30" s="216"/>
      <c r="V30" s="216"/>
      <c r="W30" s="216"/>
      <c r="X30" s="216"/>
      <c r="Y30" s="216"/>
      <c r="Z30" s="216"/>
      <c r="AA30" s="216"/>
      <c r="AB30" s="216"/>
      <c r="AC30" s="216"/>
      <c r="AD30" s="216"/>
      <c r="AE30" s="216"/>
      <c r="AF30" s="216"/>
      <c r="AG30" s="216"/>
      <c r="AH30" s="216"/>
    </row>
    <row r="31" spans="2:34" ht="18">
      <c r="B31" s="216"/>
      <c r="C31" s="291"/>
      <c r="D31" s="216"/>
      <c r="E31" s="216"/>
      <c r="F31" s="292" t="s">
        <v>189</v>
      </c>
      <c r="G31" s="216"/>
      <c r="H31" s="216"/>
      <c r="I31" s="288">
        <v>8</v>
      </c>
      <c r="J31" s="289" t="str">
        <f>J73</f>
        <v>Others</v>
      </c>
      <c r="K31" s="284"/>
      <c r="L31" s="284"/>
      <c r="M31" s="290">
        <f>M23-SUM(M24:M30)</f>
        <v>1</v>
      </c>
      <c r="N31" s="216"/>
      <c r="O31" s="216"/>
      <c r="P31" s="216"/>
      <c r="Q31" s="216"/>
      <c r="R31" s="216"/>
      <c r="S31" s="216"/>
      <c r="T31" s="216"/>
      <c r="U31" s="216"/>
      <c r="V31" s="216"/>
      <c r="W31" s="216"/>
      <c r="X31" s="216"/>
      <c r="Y31" s="216"/>
      <c r="Z31" s="216"/>
      <c r="AA31" s="216"/>
      <c r="AB31" s="216"/>
      <c r="AC31" s="216"/>
      <c r="AD31" s="216"/>
      <c r="AE31" s="216"/>
      <c r="AF31" s="216"/>
      <c r="AG31" s="216"/>
      <c r="AH31" s="216"/>
    </row>
    <row r="32" spans="2:34" ht="20.25">
      <c r="B32" s="216"/>
      <c r="C32" s="216"/>
      <c r="D32" s="293" t="s">
        <v>402</v>
      </c>
      <c r="E32" s="293" t="s">
        <v>291</v>
      </c>
      <c r="F32" s="293" t="s">
        <v>190</v>
      </c>
      <c r="G32" s="216"/>
      <c r="H32" s="216"/>
      <c r="I32" s="216"/>
      <c r="J32" s="216"/>
      <c r="K32" s="216"/>
      <c r="L32" s="216"/>
      <c r="M32" s="286">
        <f>M31-M73</f>
        <v>1</v>
      </c>
      <c r="N32" s="216"/>
      <c r="O32" s="273" t="s">
        <v>191</v>
      </c>
      <c r="P32" s="274"/>
      <c r="Q32" s="274"/>
      <c r="R32" s="274"/>
      <c r="S32" s="294">
        <f>S19</f>
        <v>-56.342268695153585</v>
      </c>
      <c r="T32" s="216"/>
      <c r="U32" s="272"/>
      <c r="V32" s="272"/>
      <c r="W32" s="272"/>
      <c r="X32" s="216"/>
      <c r="Y32" s="216"/>
      <c r="Z32" s="216"/>
      <c r="AA32" s="216"/>
      <c r="AB32" s="216"/>
      <c r="AC32" s="216"/>
      <c r="AD32" s="216"/>
      <c r="AE32" s="216"/>
      <c r="AF32" s="216"/>
      <c r="AG32" s="216"/>
      <c r="AH32" s="216"/>
    </row>
    <row r="33" spans="2:34" ht="20.25">
      <c r="B33" s="216"/>
      <c r="C33" s="295" t="s">
        <v>192</v>
      </c>
      <c r="D33" s="368">
        <f>SUM('Summary month'!AD11:AD13)*1000</f>
        <v>32723.999999999996</v>
      </c>
      <c r="E33" s="296">
        <f>'[7]P&amp;L vs BP'!$H$24</f>
        <v>22727</v>
      </c>
      <c r="F33" s="296">
        <f>E33-D33</f>
        <v>-9996.9999999999964</v>
      </c>
      <c r="G33" s="216"/>
      <c r="H33" s="216"/>
      <c r="I33" s="216"/>
      <c r="J33" s="216"/>
      <c r="K33" s="216"/>
      <c r="L33" s="216"/>
      <c r="M33" s="216"/>
      <c r="N33" s="216"/>
      <c r="O33" s="279">
        <v>1</v>
      </c>
      <c r="P33" s="269" t="str">
        <f>Q66</f>
        <v>UC</v>
      </c>
      <c r="Q33" s="270"/>
      <c r="R33" s="270"/>
      <c r="S33" s="280">
        <f>S66</f>
        <v>0</v>
      </c>
      <c r="T33" s="216"/>
      <c r="U33" s="216"/>
      <c r="V33" s="216"/>
      <c r="W33" s="216"/>
      <c r="X33" s="297"/>
      <c r="Y33" s="216"/>
      <c r="Z33" s="216"/>
      <c r="AA33" s="216"/>
      <c r="AB33" s="216"/>
      <c r="AC33" s="216"/>
      <c r="AD33" s="216"/>
      <c r="AE33" s="216"/>
      <c r="AF33" s="216"/>
      <c r="AG33" s="216"/>
      <c r="AH33" s="216"/>
    </row>
    <row r="34" spans="2:34" ht="20.25">
      <c r="B34" s="216"/>
      <c r="C34" s="295" t="s">
        <v>194</v>
      </c>
      <c r="D34" s="368">
        <f>'Summary month'!AD14*1000</f>
        <v>867</v>
      </c>
      <c r="E34" s="296">
        <f>'[7]P&amp;L vs BP'!$H$27</f>
        <v>601</v>
      </c>
      <c r="F34" s="296">
        <f>E34-D34</f>
        <v>-266</v>
      </c>
      <c r="G34" s="216"/>
      <c r="H34" s="216"/>
      <c r="I34" s="216"/>
      <c r="J34" s="216"/>
      <c r="K34" s="216"/>
      <c r="L34" s="216"/>
      <c r="M34" s="216"/>
      <c r="N34" s="216"/>
      <c r="O34" s="279">
        <v>2</v>
      </c>
      <c r="P34" s="276">
        <f>Q68</f>
        <v>0</v>
      </c>
      <c r="Q34" s="277"/>
      <c r="R34" s="277"/>
      <c r="S34" s="281">
        <f>S68</f>
        <v>0</v>
      </c>
      <c r="T34" s="216"/>
      <c r="U34" s="552">
        <f>-S67+S35</f>
        <v>7.0805582749975171E-2</v>
      </c>
      <c r="V34" s="216"/>
      <c r="W34" s="216"/>
      <c r="X34" s="216"/>
      <c r="Y34" s="216"/>
      <c r="Z34" s="216"/>
      <c r="AA34" s="216"/>
      <c r="AB34" s="216"/>
      <c r="AC34" s="216"/>
      <c r="AD34" s="216"/>
      <c r="AE34" s="216"/>
      <c r="AF34" s="216"/>
      <c r="AG34" s="216"/>
      <c r="AH34" s="216"/>
    </row>
    <row r="35" spans="2:34" ht="18">
      <c r="B35" s="216"/>
      <c r="C35" s="216"/>
      <c r="D35" s="298"/>
      <c r="E35" s="298"/>
      <c r="F35" s="298"/>
      <c r="G35" s="216"/>
      <c r="H35" s="216"/>
      <c r="I35" s="216"/>
      <c r="J35" s="216"/>
      <c r="K35" s="216"/>
      <c r="L35" s="216"/>
      <c r="M35" s="216"/>
      <c r="N35" s="216"/>
      <c r="O35" s="279">
        <v>3</v>
      </c>
      <c r="P35" s="276" t="s">
        <v>58</v>
      </c>
      <c r="Q35" s="277"/>
      <c r="R35" s="277"/>
      <c r="S35" s="281">
        <f>-INDEX('Summary month'!$AG$17:$AI$74,MATCH(P35,'Summary month'!$D$17:$D$74,0),MATCH($C$1,'Summary month'!$X$6:$Z$6,0))</f>
        <v>0.99296627999999609</v>
      </c>
      <c r="T35" s="216"/>
      <c r="U35" s="216"/>
      <c r="V35" s="216"/>
      <c r="W35" s="216"/>
      <c r="X35" s="216"/>
      <c r="Y35" s="216"/>
      <c r="Z35" s="216"/>
      <c r="AA35" s="216"/>
      <c r="AB35" s="216"/>
      <c r="AC35" s="216"/>
      <c r="AD35" s="216"/>
      <c r="AE35" s="216"/>
      <c r="AF35" s="216"/>
      <c r="AG35" s="216"/>
      <c r="AH35" s="216"/>
    </row>
    <row r="36" spans="2:34" ht="20.25">
      <c r="B36" s="216"/>
      <c r="C36" s="295" t="s">
        <v>196</v>
      </c>
      <c r="D36" s="368">
        <v>16591</v>
      </c>
      <c r="E36" s="296">
        <f>'[7]P&amp;L vs BP'!$H$18</f>
        <v>27586</v>
      </c>
      <c r="F36" s="296">
        <f>E36-D36</f>
        <v>10995</v>
      </c>
      <c r="G36" s="216"/>
      <c r="H36" s="216"/>
      <c r="I36" s="216"/>
      <c r="J36" s="216"/>
      <c r="K36" s="216"/>
      <c r="L36" s="216"/>
      <c r="M36" s="216"/>
      <c r="N36" s="216"/>
      <c r="O36" s="279">
        <v>4</v>
      </c>
      <c r="P36" s="276">
        <f>Q69</f>
        <v>0</v>
      </c>
      <c r="Q36" s="277"/>
      <c r="R36" s="277"/>
      <c r="S36" s="281">
        <f>S69</f>
        <v>0</v>
      </c>
      <c r="T36" s="216"/>
      <c r="U36" s="216"/>
      <c r="V36" s="216"/>
      <c r="W36" s="216"/>
      <c r="X36" s="216"/>
      <c r="Y36" s="216"/>
      <c r="Z36" s="216"/>
      <c r="AA36" s="216"/>
      <c r="AB36" s="216"/>
      <c r="AC36" s="216"/>
      <c r="AD36" s="216"/>
      <c r="AE36" s="216"/>
      <c r="AF36" s="216"/>
      <c r="AG36" s="216"/>
      <c r="AH36" s="216"/>
    </row>
    <row r="37" spans="2:34" ht="18">
      <c r="B37" s="216"/>
      <c r="C37" s="216"/>
      <c r="D37" s="216"/>
      <c r="E37" s="216"/>
      <c r="F37" s="216"/>
      <c r="G37" s="216"/>
      <c r="H37" s="216"/>
      <c r="I37" s="216"/>
      <c r="J37" s="216"/>
      <c r="K37" s="216"/>
      <c r="L37" s="216"/>
      <c r="M37" s="216"/>
      <c r="N37" s="216"/>
      <c r="O37" s="279">
        <v>5</v>
      </c>
      <c r="P37" s="276"/>
      <c r="Q37" s="277"/>
      <c r="R37" s="277"/>
      <c r="S37" s="281"/>
      <c r="T37" s="216"/>
      <c r="U37" s="216"/>
      <c r="V37" s="216"/>
      <c r="W37" s="216"/>
      <c r="X37" s="216"/>
      <c r="Y37" s="216"/>
      <c r="Z37" s="216"/>
      <c r="AA37" s="216"/>
      <c r="AB37" s="216"/>
      <c r="AC37" s="216"/>
      <c r="AD37" s="216"/>
      <c r="AE37" s="216"/>
      <c r="AF37" s="216"/>
      <c r="AG37" s="216"/>
      <c r="AH37" s="216"/>
    </row>
    <row r="38" spans="2:34" ht="18">
      <c r="B38" s="216"/>
      <c r="C38" s="216"/>
      <c r="D38" s="216"/>
      <c r="E38" s="216"/>
      <c r="F38" s="216"/>
      <c r="G38" s="216"/>
      <c r="H38" s="216"/>
      <c r="I38" s="216"/>
      <c r="J38" s="216"/>
      <c r="K38" s="216"/>
      <c r="L38" s="216"/>
      <c r="M38" s="216"/>
      <c r="N38" s="216"/>
      <c r="O38" s="279">
        <v>6</v>
      </c>
      <c r="P38" s="276"/>
      <c r="Q38" s="277"/>
      <c r="R38" s="277"/>
      <c r="S38" s="281"/>
      <c r="T38" s="216"/>
      <c r="U38" s="216"/>
      <c r="V38" s="216"/>
      <c r="W38" s="216"/>
      <c r="X38" s="216"/>
      <c r="Y38" s="216"/>
      <c r="Z38" s="216"/>
      <c r="AA38" s="216"/>
      <c r="AB38" s="216"/>
      <c r="AC38" s="216"/>
      <c r="AD38" s="216"/>
      <c r="AE38" s="216"/>
      <c r="AF38" s="216"/>
      <c r="AG38" s="216"/>
      <c r="AH38" s="216"/>
    </row>
    <row r="39" spans="2:34" ht="18">
      <c r="B39" s="216"/>
      <c r="C39" s="216"/>
      <c r="D39" s="216"/>
      <c r="E39" s="216"/>
      <c r="F39" s="216"/>
      <c r="G39" s="216"/>
      <c r="H39" s="216"/>
      <c r="I39" s="216"/>
      <c r="J39" s="216"/>
      <c r="K39" s="216"/>
      <c r="L39" s="216"/>
      <c r="M39" s="216"/>
      <c r="N39" s="216"/>
      <c r="O39" s="279">
        <v>7</v>
      </c>
      <c r="P39" s="276"/>
      <c r="Q39" s="277"/>
      <c r="R39" s="277"/>
      <c r="S39" s="281"/>
      <c r="T39" s="216"/>
      <c r="U39" s="216"/>
      <c r="V39" s="216"/>
      <c r="W39" s="216"/>
      <c r="X39" s="216"/>
      <c r="Y39" s="216"/>
      <c r="Z39" s="216"/>
      <c r="AA39" s="216"/>
      <c r="AB39" s="216"/>
      <c r="AC39" s="216"/>
      <c r="AD39" s="216"/>
      <c r="AE39" s="216"/>
      <c r="AF39" s="216"/>
      <c r="AG39" s="216"/>
      <c r="AH39" s="216"/>
    </row>
    <row r="40" spans="2:34" ht="18">
      <c r="B40" s="216"/>
      <c r="C40" s="216"/>
      <c r="D40" s="216"/>
      <c r="E40" s="216"/>
      <c r="F40" s="216"/>
      <c r="G40" s="216"/>
      <c r="H40" s="216"/>
      <c r="I40" s="216"/>
      <c r="J40" s="216"/>
      <c r="K40" s="216"/>
      <c r="L40" s="216"/>
      <c r="M40" s="216"/>
      <c r="N40" s="216"/>
      <c r="O40" s="279">
        <v>8</v>
      </c>
      <c r="P40" s="276"/>
      <c r="Q40" s="277"/>
      <c r="R40" s="277"/>
      <c r="S40" s="278"/>
      <c r="T40" s="216"/>
      <c r="U40" s="216"/>
      <c r="V40" s="216"/>
      <c r="W40" s="216"/>
      <c r="X40" s="216"/>
      <c r="Y40" s="216"/>
      <c r="Z40" s="216"/>
      <c r="AA40" s="216"/>
      <c r="AB40" s="216"/>
      <c r="AC40" s="216"/>
      <c r="AD40" s="216"/>
      <c r="AE40" s="216"/>
      <c r="AF40" s="216"/>
      <c r="AG40" s="216"/>
      <c r="AH40" s="216"/>
    </row>
    <row r="41" spans="2:34" ht="18">
      <c r="B41" s="216"/>
      <c r="C41" s="216"/>
      <c r="D41" s="216"/>
      <c r="E41" s="216"/>
      <c r="F41" s="216"/>
      <c r="G41" s="216"/>
      <c r="H41" s="216"/>
      <c r="I41" s="216"/>
      <c r="J41" s="216"/>
      <c r="K41" s="216"/>
      <c r="L41" s="216"/>
      <c r="M41" s="216"/>
      <c r="N41" s="216"/>
      <c r="O41" s="279">
        <v>9</v>
      </c>
      <c r="P41" s="276"/>
      <c r="Q41" s="277"/>
      <c r="R41" s="277"/>
      <c r="S41" s="278"/>
      <c r="T41" s="216"/>
      <c r="U41" s="216"/>
      <c r="V41" s="216"/>
      <c r="W41" s="216"/>
      <c r="X41" s="216"/>
      <c r="Y41" s="216"/>
      <c r="Z41" s="216"/>
      <c r="AA41" s="216"/>
      <c r="AB41" s="216"/>
      <c r="AC41" s="216"/>
      <c r="AD41" s="216"/>
      <c r="AE41" s="216"/>
      <c r="AF41" s="216"/>
      <c r="AG41" s="216"/>
      <c r="AH41" s="216"/>
    </row>
    <row r="42" spans="2:34" ht="18">
      <c r="B42" s="216"/>
      <c r="C42" s="216"/>
      <c r="D42" s="216"/>
      <c r="E42" s="216"/>
      <c r="F42" s="216"/>
      <c r="G42" s="216"/>
      <c r="H42" s="216"/>
      <c r="I42" s="216"/>
      <c r="J42" s="216"/>
      <c r="K42" s="216"/>
      <c r="L42" s="216"/>
      <c r="M42" s="216"/>
      <c r="N42" s="216"/>
      <c r="O42" s="288">
        <v>10</v>
      </c>
      <c r="P42" s="283" t="s">
        <v>182</v>
      </c>
      <c r="Q42" s="284"/>
      <c r="R42" s="284"/>
      <c r="S42" s="285">
        <f>S32-SUM(S33:S41)</f>
        <v>-57.335234975153583</v>
      </c>
      <c r="T42" s="216"/>
      <c r="U42" s="216"/>
      <c r="V42" s="216"/>
      <c r="W42" s="216"/>
      <c r="X42" s="216"/>
      <c r="Y42" s="216"/>
      <c r="Z42" s="216"/>
      <c r="AA42" s="216"/>
      <c r="AB42" s="216"/>
      <c r="AC42" s="216"/>
      <c r="AD42" s="216"/>
      <c r="AE42" s="216"/>
      <c r="AF42" s="216"/>
      <c r="AG42" s="216"/>
      <c r="AH42" s="216"/>
    </row>
    <row r="43" spans="2:34">
      <c r="B43" s="216"/>
      <c r="C43" s="216"/>
      <c r="D43" s="216"/>
      <c r="E43" s="216"/>
      <c r="F43" s="216"/>
      <c r="G43" s="216"/>
      <c r="H43" s="216"/>
      <c r="I43" s="216"/>
      <c r="J43" s="216"/>
      <c r="K43" s="216"/>
      <c r="L43" s="216"/>
      <c r="M43" s="216"/>
      <c r="N43" s="216"/>
      <c r="O43" s="216"/>
      <c r="P43" s="216"/>
      <c r="Q43" s="216"/>
      <c r="R43" s="216"/>
      <c r="S43" s="286">
        <f>S42-S75</f>
        <v>4.9853159210000015</v>
      </c>
      <c r="T43" s="286"/>
      <c r="U43" s="216"/>
      <c r="V43" s="216"/>
      <c r="W43" s="216"/>
      <c r="X43" s="216"/>
      <c r="Y43" s="216"/>
      <c r="Z43" s="216"/>
      <c r="AA43" s="216"/>
      <c r="AB43" s="216"/>
      <c r="AC43" s="216"/>
      <c r="AD43" s="216"/>
      <c r="AE43" s="216"/>
      <c r="AF43" s="216"/>
      <c r="AG43" s="216"/>
      <c r="AH43" s="216"/>
    </row>
    <row r="44" spans="2:34" ht="28.5">
      <c r="B44" s="299" t="s">
        <v>197</v>
      </c>
      <c r="C44" s="216"/>
      <c r="D44" s="216"/>
      <c r="E44" s="216"/>
      <c r="F44" s="216"/>
      <c r="G44" s="216"/>
      <c r="H44" s="216"/>
      <c r="I44" s="216"/>
      <c r="J44" s="216"/>
      <c r="K44" s="216"/>
      <c r="L44" s="216"/>
      <c r="M44" s="216"/>
      <c r="N44" s="216"/>
      <c r="O44" s="216"/>
      <c r="P44" s="216"/>
      <c r="Q44" s="216"/>
      <c r="R44" s="216"/>
      <c r="S44" s="216"/>
      <c r="T44" s="216"/>
      <c r="U44" s="216"/>
      <c r="V44" s="216"/>
      <c r="W44" s="216"/>
      <c r="X44" s="216"/>
      <c r="Y44" s="216"/>
      <c r="Z44" s="216"/>
      <c r="AA44" s="216"/>
      <c r="AB44" s="216"/>
      <c r="AC44" s="216"/>
      <c r="AD44" s="216"/>
      <c r="AE44" s="216"/>
      <c r="AF44" s="216"/>
      <c r="AG44" s="216"/>
      <c r="AH44" s="216"/>
    </row>
    <row r="45" spans="2:34">
      <c r="B45" s="216"/>
      <c r="C45" s="216"/>
      <c r="D45" s="216"/>
      <c r="E45" s="216"/>
      <c r="F45" s="216"/>
      <c r="G45" s="216"/>
      <c r="H45" s="216"/>
      <c r="I45" s="216"/>
      <c r="J45" s="216"/>
      <c r="K45" s="216"/>
      <c r="L45" s="216"/>
      <c r="M45" s="216"/>
      <c r="N45" s="216"/>
      <c r="O45" s="216"/>
      <c r="P45" s="216"/>
      <c r="Q45" s="216"/>
      <c r="R45" s="216"/>
      <c r="S45" s="216"/>
      <c r="T45" s="216"/>
      <c r="U45" s="216"/>
      <c r="V45" s="216"/>
      <c r="W45" s="216"/>
      <c r="X45" s="216"/>
      <c r="Y45" s="216"/>
      <c r="Z45" s="216"/>
      <c r="AA45" s="216"/>
      <c r="AB45" s="216"/>
      <c r="AC45" s="216"/>
      <c r="AD45" s="216"/>
      <c r="AE45" s="216"/>
      <c r="AF45" s="216"/>
      <c r="AG45" s="216"/>
      <c r="AH45" s="216"/>
    </row>
    <row r="46" spans="2:34">
      <c r="B46" s="216"/>
      <c r="C46" s="216"/>
      <c r="D46" s="216"/>
      <c r="E46" s="216"/>
      <c r="F46" s="216"/>
      <c r="G46" s="216"/>
      <c r="H46" s="216"/>
      <c r="I46" s="216"/>
      <c r="J46" s="216"/>
      <c r="K46" s="216"/>
      <c r="L46" s="216"/>
      <c r="M46" s="216"/>
      <c r="N46" s="216"/>
      <c r="O46" s="216"/>
      <c r="P46" s="216"/>
      <c r="Q46" s="216"/>
      <c r="R46" s="216"/>
      <c r="S46" s="216"/>
      <c r="T46" s="216"/>
      <c r="U46" s="216"/>
      <c r="V46" s="216"/>
      <c r="W46" s="216"/>
      <c r="X46" s="216"/>
      <c r="Y46" s="216"/>
      <c r="Z46" s="216"/>
      <c r="AA46" s="216"/>
      <c r="AB46" s="216"/>
      <c r="AC46" s="216"/>
      <c r="AD46" s="216"/>
      <c r="AE46" s="216"/>
      <c r="AF46" s="216"/>
      <c r="AG46" s="216"/>
      <c r="AH46" s="216"/>
    </row>
    <row r="47" spans="2:34" ht="20.25">
      <c r="B47" s="216"/>
      <c r="C47" s="226" t="str">
        <f>B52</f>
        <v>OL MTD</v>
      </c>
      <c r="D47" s="226" t="str">
        <f>C52</f>
        <v>Act MTD</v>
      </c>
      <c r="E47" s="226" t="s">
        <v>320</v>
      </c>
      <c r="F47" s="226" t="s">
        <v>321</v>
      </c>
      <c r="G47" s="226" t="s">
        <v>322</v>
      </c>
      <c r="H47" s="292" t="s">
        <v>323</v>
      </c>
      <c r="I47" s="216"/>
      <c r="J47" s="216"/>
      <c r="K47" s="216"/>
      <c r="L47" s="216"/>
      <c r="M47" s="216"/>
      <c r="N47" s="216"/>
      <c r="O47" s="216"/>
      <c r="P47" s="216"/>
      <c r="Q47" s="216"/>
      <c r="R47" s="216"/>
      <c r="S47" s="216"/>
      <c r="T47" s="216"/>
      <c r="U47" s="216"/>
      <c r="V47" s="216"/>
      <c r="W47" s="216"/>
      <c r="X47" s="216"/>
      <c r="Y47" s="216"/>
      <c r="Z47" s="216"/>
      <c r="AA47" s="216"/>
      <c r="AB47" s="216"/>
      <c r="AC47" s="216"/>
      <c r="AD47" s="216"/>
      <c r="AE47" s="216"/>
      <c r="AF47" s="216"/>
      <c r="AG47" s="216"/>
      <c r="AH47" s="216"/>
    </row>
    <row r="48" spans="2:34" ht="20.25">
      <c r="B48" s="226" t="s">
        <v>324</v>
      </c>
      <c r="C48" s="229">
        <f>INDEX('Summary month'!$AC$27:$AE$27,1,MATCH($C$1,'Summary month'!$AG$6:$AI$6,0))</f>
        <v>144.2830117032446</v>
      </c>
      <c r="D48" s="229">
        <f>INDEX('Summary month'!$F$27:$H$27,1,MATCH($C$1,'Summary month'!$O$6:$Q$6,0))</f>
        <v>86.083619587646751</v>
      </c>
      <c r="E48" s="226">
        <f>+D48-C48</f>
        <v>-58.199392115597846</v>
      </c>
      <c r="F48" s="226">
        <f>B61</f>
        <v>6.3744855012013657E-2</v>
      </c>
      <c r="G48" s="226">
        <f>SUM(C61:S61)</f>
        <v>-58.263136970609857</v>
      </c>
      <c r="H48" s="502">
        <f>E48-F48-G48</f>
        <v>0</v>
      </c>
      <c r="I48" s="216"/>
      <c r="J48" s="216"/>
      <c r="K48" s="216"/>
      <c r="L48" s="216"/>
      <c r="M48" s="216"/>
      <c r="N48" s="216"/>
      <c r="O48" s="216"/>
      <c r="P48" s="216"/>
      <c r="Q48" s="216">
        <v>0</v>
      </c>
      <c r="R48" s="216"/>
      <c r="S48" s="216"/>
      <c r="T48" s="216"/>
      <c r="U48" s="216"/>
      <c r="V48" s="216"/>
      <c r="W48" s="216"/>
      <c r="X48" s="216"/>
      <c r="Y48" s="216"/>
      <c r="Z48" s="216"/>
      <c r="AA48" s="216"/>
      <c r="AB48" s="216"/>
      <c r="AC48" s="216"/>
      <c r="AD48" s="216"/>
      <c r="AE48" s="216"/>
      <c r="AF48" s="216"/>
      <c r="AG48" s="216"/>
      <c r="AH48" s="216"/>
    </row>
    <row r="49" spans="2:34" ht="20.25">
      <c r="B49" s="226" t="s">
        <v>325</v>
      </c>
      <c r="C49" s="229">
        <f>INDEX('Summary month'!$AC$46:$AE$46,1,MATCH($C$1,'Summary month'!$AG$6:$AI$6,0))</f>
        <v>-114.02454035801577</v>
      </c>
      <c r="D49" s="229">
        <f>INDEX('Summary month'!$F$46:$H$46,1,MATCH($C$1,'Summary month'!$O$6:$Q$6,0))</f>
        <v>-128.47130442265509</v>
      </c>
      <c r="E49" s="226">
        <f>+D49-C49</f>
        <v>-14.446764064639325</v>
      </c>
      <c r="F49" s="226">
        <f>T61</f>
        <v>2.9976835308994798</v>
      </c>
      <c r="G49" s="226">
        <f>SUM(U61:AH61)</f>
        <v>-17.444447595538804</v>
      </c>
      <c r="H49" s="502">
        <f>E49-F49-G49</f>
        <v>0</v>
      </c>
      <c r="I49" s="216"/>
      <c r="J49" s="216"/>
      <c r="K49" s="216"/>
      <c r="L49" s="216"/>
      <c r="M49" s="216"/>
      <c r="N49" s="216"/>
      <c r="O49" s="216"/>
      <c r="P49" s="216"/>
      <c r="Q49" s="216"/>
      <c r="R49" s="216"/>
      <c r="S49" s="216"/>
      <c r="T49" s="216"/>
      <c r="U49" s="216"/>
      <c r="V49" s="216"/>
      <c r="W49" s="216"/>
      <c r="X49" s="216"/>
      <c r="Y49" s="216"/>
      <c r="Z49" s="216"/>
      <c r="AA49" s="216"/>
      <c r="AB49" s="216"/>
      <c r="AC49" s="216"/>
      <c r="AD49" s="216"/>
      <c r="AE49" s="216"/>
      <c r="AF49" s="216"/>
      <c r="AG49" s="216"/>
      <c r="AH49" s="216"/>
    </row>
    <row r="50" spans="2:34" ht="20.25">
      <c r="B50" s="226" t="s">
        <v>326</v>
      </c>
      <c r="C50" s="226">
        <f>+C48+C49</f>
        <v>30.258471345228827</v>
      </c>
      <c r="D50" s="226">
        <f>+D48+D49</f>
        <v>-42.387684835008343</v>
      </c>
      <c r="E50" s="226">
        <f>+D50-C50</f>
        <v>-72.64615618023717</v>
      </c>
      <c r="F50" s="226">
        <f>+E50-G50</f>
        <v>3.0614283859114835</v>
      </c>
      <c r="G50" s="226">
        <f>+G48+G49</f>
        <v>-75.707584566148654</v>
      </c>
      <c r="H50" s="502">
        <f>E50-F50-G50</f>
        <v>0</v>
      </c>
      <c r="I50" s="216"/>
      <c r="J50" s="216"/>
      <c r="K50" s="216"/>
      <c r="L50" s="216"/>
      <c r="M50" s="216"/>
      <c r="N50" s="216"/>
      <c r="O50" s="216"/>
      <c r="P50" s="216"/>
      <c r="Q50" s="216"/>
      <c r="R50" s="216"/>
      <c r="S50" s="216"/>
      <c r="T50" s="216"/>
      <c r="U50" s="216"/>
      <c r="V50" s="216"/>
      <c r="W50" s="216"/>
      <c r="X50" s="216"/>
      <c r="Y50" s="216"/>
      <c r="Z50" s="216"/>
      <c r="AA50" s="216"/>
      <c r="AB50" s="216"/>
      <c r="AC50" s="216"/>
      <c r="AD50" s="216"/>
      <c r="AE50" s="216"/>
      <c r="AF50" s="216"/>
      <c r="AG50" s="216"/>
      <c r="AH50" s="216"/>
    </row>
    <row r="51" spans="2:34" ht="18">
      <c r="B51" s="215"/>
      <c r="C51" s="216"/>
      <c r="D51" s="215"/>
      <c r="E51" s="216"/>
      <c r="F51" s="215"/>
      <c r="G51" s="217" t="s">
        <v>138</v>
      </c>
      <c r="H51" s="216"/>
      <c r="I51" s="216"/>
      <c r="J51" s="216"/>
      <c r="K51" s="216"/>
      <c r="L51" s="216"/>
      <c r="M51" s="216"/>
      <c r="N51" s="216"/>
      <c r="O51" s="216"/>
      <c r="P51" s="216"/>
      <c r="Q51" s="216"/>
      <c r="R51" s="216"/>
      <c r="S51" s="216"/>
      <c r="T51" s="216"/>
      <c r="U51" s="216"/>
      <c r="V51" s="216"/>
      <c r="W51" s="216"/>
      <c r="X51" s="216"/>
      <c r="Y51" s="216"/>
      <c r="Z51" s="216"/>
      <c r="AA51" s="216"/>
      <c r="AB51" s="216"/>
      <c r="AC51" s="216"/>
      <c r="AD51" s="216"/>
      <c r="AE51" s="216"/>
      <c r="AF51" s="216"/>
      <c r="AG51" s="216"/>
      <c r="AH51" s="216"/>
    </row>
    <row r="52" spans="2:34" ht="20.100000000000001" customHeight="1">
      <c r="B52" s="1014" t="s">
        <v>245</v>
      </c>
      <c r="C52" s="1014" t="s">
        <v>207</v>
      </c>
      <c r="D52" s="218"/>
      <c r="E52" s="219"/>
      <c r="F52" s="219"/>
      <c r="G52" s="220"/>
      <c r="H52" s="216"/>
      <c r="I52" s="216"/>
      <c r="J52" s="216"/>
      <c r="K52" s="216"/>
      <c r="L52" s="216" t="s">
        <v>357</v>
      </c>
      <c r="M52" s="478">
        <f>SUM(E55:E57,G55)</f>
        <v>6.3744855012013657E-2</v>
      </c>
      <c r="N52" s="216"/>
      <c r="O52" s="221"/>
      <c r="P52" s="221"/>
      <c r="Q52" s="221"/>
      <c r="R52" s="216">
        <v>1.8928358743898328</v>
      </c>
      <c r="S52" s="216"/>
      <c r="T52" s="216"/>
      <c r="U52" s="216"/>
      <c r="V52" s="216"/>
      <c r="W52" s="221"/>
      <c r="X52" s="221"/>
      <c r="Y52" s="221"/>
      <c r="Z52" s="221"/>
      <c r="AA52" s="221"/>
      <c r="AB52" s="221"/>
      <c r="AC52" s="221"/>
      <c r="AD52" s="221"/>
      <c r="AE52" s="221"/>
      <c r="AF52" s="221"/>
      <c r="AG52" s="221"/>
      <c r="AH52" s="221"/>
    </row>
    <row r="53" spans="2:34" ht="40.5">
      <c r="B53" s="1015"/>
      <c r="C53" s="1016"/>
      <c r="D53" s="222"/>
      <c r="E53" s="223" t="s">
        <v>154</v>
      </c>
      <c r="F53" s="224" t="s">
        <v>198</v>
      </c>
      <c r="G53" s="225" t="s">
        <v>156</v>
      </c>
      <c r="H53" s="216"/>
      <c r="I53" s="216" t="s">
        <v>208</v>
      </c>
      <c r="J53" s="216"/>
      <c r="K53" s="216"/>
      <c r="L53" s="216" t="s">
        <v>302</v>
      </c>
      <c r="M53" s="334">
        <f>SUM(U62:AH62,AJ66:AK66)</f>
        <v>2.9976835308994798</v>
      </c>
      <c r="N53" s="216"/>
      <c r="O53" s="216"/>
      <c r="P53" s="216"/>
      <c r="Q53" s="216"/>
      <c r="R53" s="216"/>
      <c r="S53" s="216"/>
      <c r="T53" s="216"/>
      <c r="V53" s="216"/>
      <c r="W53" s="216"/>
      <c r="X53" s="216"/>
      <c r="Y53" s="216"/>
      <c r="Z53" s="216"/>
      <c r="AA53" s="216"/>
      <c r="AB53" s="216"/>
      <c r="AC53" s="407" t="s">
        <v>266</v>
      </c>
      <c r="AD53" s="531"/>
      <c r="AE53" s="216"/>
      <c r="AF53" s="216"/>
      <c r="AG53" s="216"/>
      <c r="AH53" s="216"/>
    </row>
    <row r="54" spans="2:34" ht="20.25">
      <c r="B54" s="226">
        <f>INDEX('Summary month'!$AC$47:$AE$47,1,MATCH($C$1,'Summary month'!$AG$6:$AI$6,0))</f>
        <v>30.258471345228827</v>
      </c>
      <c r="C54" s="226">
        <f>INDEX('Summary month'!$F$47:$H$47,1,MATCH($C$1,'Summary month'!$AG$6:$AI$6,0))</f>
        <v>-42.387684835008343</v>
      </c>
      <c r="D54" s="227">
        <f>C54-B54</f>
        <v>-72.64615618023717</v>
      </c>
      <c r="E54" s="228">
        <f>SUM(M52:M53)</f>
        <v>3.0614283859114932</v>
      </c>
      <c r="F54" s="228">
        <f>INDEX('Summary month'!$AG$27:$AI$27,1,MATCH($C$1,'Summary month'!$AG$6:$AI$6,0))-M52</f>
        <v>-58.263136970609857</v>
      </c>
      <c r="G54" s="229">
        <f>INDEX('Summary month'!$AG$46:$AI$46,1,MATCH($C$1,'Summary month'!$AG$6:$AI$6,0))-M53</f>
        <v>-17.444447595538804</v>
      </c>
      <c r="H54" s="216"/>
      <c r="I54" s="286">
        <f>SUM(E54:G54)-D54</f>
        <v>0</v>
      </c>
      <c r="J54" s="216"/>
      <c r="K54" s="216"/>
      <c r="L54" s="216"/>
      <c r="M54" s="216"/>
      <c r="N54" s="216"/>
      <c r="O54" s="230"/>
      <c r="P54" s="216"/>
      <c r="Q54" s="216"/>
      <c r="R54" s="216"/>
      <c r="S54" s="216"/>
      <c r="T54" s="216"/>
      <c r="U54" s="216"/>
      <c r="V54" s="216"/>
      <c r="W54" s="230"/>
      <c r="X54" s="216"/>
      <c r="Y54" s="230"/>
      <c r="Z54" s="230"/>
      <c r="AA54" s="230"/>
      <c r="AB54" s="230"/>
      <c r="AC54" s="409" t="s">
        <v>269</v>
      </c>
      <c r="AD54" s="425">
        <v>-1E-3</v>
      </c>
      <c r="AE54" s="230"/>
      <c r="AF54" s="230"/>
      <c r="AG54" s="230"/>
      <c r="AH54" s="230"/>
    </row>
    <row r="55" spans="2:34">
      <c r="B55" s="216"/>
      <c r="C55" s="216"/>
      <c r="D55" s="216" t="s">
        <v>139</v>
      </c>
      <c r="E55" s="411">
        <v>0</v>
      </c>
      <c r="F55" s="216" t="s">
        <v>193</v>
      </c>
      <c r="G55" s="320">
        <v>0</v>
      </c>
      <c r="H55" s="216"/>
      <c r="I55" s="216"/>
      <c r="J55" s="216"/>
      <c r="K55" s="216"/>
      <c r="L55" s="216"/>
      <c r="M55" s="216"/>
      <c r="N55" s="216"/>
      <c r="O55" s="216"/>
      <c r="P55" s="216"/>
      <c r="Q55" s="216"/>
      <c r="R55" s="216"/>
      <c r="S55" s="216"/>
      <c r="T55" s="216"/>
      <c r="U55" s="216"/>
      <c r="V55" s="216"/>
      <c r="W55" s="216" t="s">
        <v>145</v>
      </c>
      <c r="X55" s="320">
        <v>0.56580569419031379</v>
      </c>
      <c r="Y55" s="216">
        <v>0</v>
      </c>
      <c r="Z55" s="216"/>
      <c r="AA55" s="216"/>
      <c r="AB55" s="216"/>
      <c r="AC55" s="407" t="s">
        <v>141</v>
      </c>
      <c r="AD55" s="531"/>
      <c r="AE55" s="216"/>
      <c r="AF55" s="216"/>
      <c r="AG55" s="216"/>
      <c r="AH55" s="216"/>
    </row>
    <row r="56" spans="2:34">
      <c r="B56" s="216"/>
      <c r="C56" s="216"/>
      <c r="D56" s="216" t="s">
        <v>200</v>
      </c>
      <c r="E56" s="411">
        <v>6.3744855012013657E-2</v>
      </c>
      <c r="F56" s="216"/>
      <c r="G56" s="216"/>
      <c r="H56" s="216"/>
      <c r="I56" s="216"/>
      <c r="J56" s="216"/>
      <c r="K56" s="216"/>
      <c r="L56" s="216"/>
      <c r="M56" s="216"/>
      <c r="N56" s="216"/>
      <c r="O56" s="216"/>
      <c r="P56" s="216"/>
      <c r="Q56" s="216"/>
      <c r="R56" s="216"/>
      <c r="S56" s="216"/>
      <c r="T56" s="216"/>
      <c r="W56" t="s">
        <v>193</v>
      </c>
      <c r="X56" s="441">
        <v>1.09467300291335</v>
      </c>
      <c r="Y56">
        <v>0</v>
      </c>
      <c r="AC56" s="407" t="s">
        <v>144</v>
      </c>
      <c r="AD56" s="511">
        <f>AD61-SUM(AD53:AD55)</f>
        <v>1.956266014351828</v>
      </c>
      <c r="AH56" s="216"/>
    </row>
    <row r="57" spans="2:34" ht="21" thickBot="1">
      <c r="B57" s="231" t="s">
        <v>157</v>
      </c>
      <c r="C57" s="232"/>
      <c r="D57" s="232" t="s">
        <v>145</v>
      </c>
      <c r="E57" s="440">
        <v>0</v>
      </c>
      <c r="F57" s="232"/>
      <c r="G57" s="232"/>
      <c r="H57" s="232"/>
      <c r="I57" s="232"/>
      <c r="J57" s="232"/>
      <c r="K57" s="232"/>
      <c r="L57" s="232"/>
      <c r="M57" s="232"/>
      <c r="N57" s="232"/>
      <c r="O57" s="232"/>
      <c r="P57" s="232"/>
      <c r="Q57" s="232"/>
      <c r="R57" s="232"/>
      <c r="S57" s="232"/>
      <c r="T57" s="232"/>
      <c r="U57" s="232"/>
      <c r="V57" s="232"/>
      <c r="W57" s="232" t="s">
        <v>144</v>
      </c>
      <c r="X57" s="313">
        <f>X61-SUM(X55:X56)</f>
        <v>0.18378543389633006</v>
      </c>
      <c r="Y57" s="232"/>
      <c r="Z57" s="232"/>
      <c r="AA57" s="232"/>
      <c r="AB57" s="232"/>
      <c r="AC57" s="232"/>
      <c r="AD57" s="232"/>
      <c r="AE57" s="232"/>
      <c r="AF57" s="232"/>
      <c r="AG57" s="232"/>
      <c r="AH57" s="217" t="s">
        <v>138</v>
      </c>
    </row>
    <row r="58" spans="2:34" ht="21" thickBot="1">
      <c r="B58" s="233"/>
      <c r="C58" s="234" t="s">
        <v>199</v>
      </c>
      <c r="D58" s="234"/>
      <c r="E58" s="234"/>
      <c r="F58" s="234"/>
      <c r="G58" s="234"/>
      <c r="H58" s="234"/>
      <c r="I58" s="234"/>
      <c r="J58" s="234"/>
      <c r="K58" s="234"/>
      <c r="L58" s="234"/>
      <c r="M58" s="234"/>
      <c r="N58" s="234"/>
      <c r="O58" s="234"/>
      <c r="P58" s="234"/>
      <c r="Q58" s="234"/>
      <c r="R58" s="234"/>
      <c r="S58" s="235"/>
      <c r="T58" s="236"/>
      <c r="U58" s="237" t="s">
        <v>160</v>
      </c>
      <c r="V58" s="237"/>
      <c r="W58" s="237"/>
      <c r="X58" s="237"/>
      <c r="Y58" s="237"/>
      <c r="Z58" s="237"/>
      <c r="AA58" s="237"/>
      <c r="AB58" s="237"/>
      <c r="AC58" s="237"/>
      <c r="AD58" s="237"/>
      <c r="AE58" s="237"/>
      <c r="AF58" s="237"/>
      <c r="AG58" s="237"/>
      <c r="AH58" s="238"/>
    </row>
    <row r="59" spans="2:34" ht="20.25">
      <c r="B59" s="1027" t="s">
        <v>274</v>
      </c>
      <c r="C59" s="239" t="s">
        <v>161</v>
      </c>
      <c r="D59" s="240"/>
      <c r="E59" s="240"/>
      <c r="F59" s="240"/>
      <c r="G59" s="241"/>
      <c r="H59" s="1017" t="s">
        <v>162</v>
      </c>
      <c r="I59" s="242" t="s">
        <v>163</v>
      </c>
      <c r="J59" s="243"/>
      <c r="K59" s="243"/>
      <c r="L59" s="243"/>
      <c r="M59" s="243"/>
      <c r="N59" s="244"/>
      <c r="O59" s="1029" t="s">
        <v>164</v>
      </c>
      <c r="P59" s="1029" t="s">
        <v>165</v>
      </c>
      <c r="Q59" s="1019" t="s">
        <v>166</v>
      </c>
      <c r="R59" s="1022" t="s">
        <v>167</v>
      </c>
      <c r="S59" s="1023" t="s">
        <v>168</v>
      </c>
      <c r="T59" s="1027" t="s">
        <v>274</v>
      </c>
      <c r="U59" s="245" t="s">
        <v>169</v>
      </c>
      <c r="V59" s="246"/>
      <c r="W59" s="246"/>
      <c r="X59" s="247"/>
      <c r="Y59" s="248" t="s">
        <v>163</v>
      </c>
      <c r="Z59" s="246"/>
      <c r="AA59" s="246"/>
      <c r="AB59" s="246"/>
      <c r="AC59" s="246"/>
      <c r="AD59" s="247"/>
      <c r="AE59" s="1022" t="s">
        <v>166</v>
      </c>
      <c r="AF59" s="1025" t="s">
        <v>167</v>
      </c>
      <c r="AG59" s="311"/>
      <c r="AH59" s="1012" t="s">
        <v>168</v>
      </c>
    </row>
    <row r="60" spans="2:34" ht="60.75">
      <c r="B60" s="1028"/>
      <c r="C60" s="249" t="s">
        <v>170</v>
      </c>
      <c r="D60" s="300" t="s">
        <v>171</v>
      </c>
      <c r="E60" s="250" t="s">
        <v>172</v>
      </c>
      <c r="F60" s="250" t="s">
        <v>173</v>
      </c>
      <c r="G60" s="251" t="s">
        <v>174</v>
      </c>
      <c r="H60" s="1018"/>
      <c r="I60" s="250" t="s">
        <v>175</v>
      </c>
      <c r="J60" s="250" t="s">
        <v>176</v>
      </c>
      <c r="K60" s="250" t="s">
        <v>201</v>
      </c>
      <c r="L60" s="250" t="s">
        <v>178</v>
      </c>
      <c r="M60" s="250" t="s">
        <v>168</v>
      </c>
      <c r="N60" s="250" t="s">
        <v>179</v>
      </c>
      <c r="O60" s="1030"/>
      <c r="P60" s="1031"/>
      <c r="Q60" s="1021"/>
      <c r="R60" s="1021"/>
      <c r="S60" s="1024"/>
      <c r="T60" s="1028"/>
      <c r="U60" s="307" t="s">
        <v>203</v>
      </c>
      <c r="V60" s="308" t="s">
        <v>180</v>
      </c>
      <c r="W60" s="309" t="s">
        <v>181</v>
      </c>
      <c r="X60" s="310" t="s">
        <v>33</v>
      </c>
      <c r="Y60" s="305" t="s">
        <v>25</v>
      </c>
      <c r="Z60" s="306" t="s">
        <v>183</v>
      </c>
      <c r="AA60" s="306" t="s">
        <v>204</v>
      </c>
      <c r="AB60" s="306" t="s">
        <v>205</v>
      </c>
      <c r="AC60" s="306" t="s">
        <v>184</v>
      </c>
      <c r="AD60" s="306" t="s">
        <v>30</v>
      </c>
      <c r="AE60" s="1021"/>
      <c r="AF60" s="1026"/>
      <c r="AG60" s="312" t="s">
        <v>37</v>
      </c>
      <c r="AH60" s="1013"/>
    </row>
    <row r="61" spans="2:34" ht="21" thickBot="1">
      <c r="B61" s="252">
        <f>M52</f>
        <v>6.3744855012013657E-2</v>
      </c>
      <c r="C61" s="253">
        <v>0</v>
      </c>
      <c r="D61" s="302"/>
      <c r="E61" s="254">
        <v>0</v>
      </c>
      <c r="F61" s="254">
        <v>0</v>
      </c>
      <c r="G61" s="254"/>
      <c r="H61" s="254">
        <f>SUM(H64:H67)</f>
        <v>4.9853159209999998</v>
      </c>
      <c r="I61" s="254">
        <v>-9.5807186283748222E-2</v>
      </c>
      <c r="J61" s="254">
        <v>3.6837941759397686E-3</v>
      </c>
      <c r="K61" s="254">
        <v>7.2256084504340734E-3</v>
      </c>
      <c r="L61" s="254">
        <v>0</v>
      </c>
      <c r="M61" s="254">
        <f>SUM(M66:M72)</f>
        <v>6.3</v>
      </c>
      <c r="N61" s="254"/>
      <c r="O61" s="302"/>
      <c r="P61" s="302"/>
      <c r="Q61" s="256"/>
      <c r="R61" s="254">
        <v>-8.0651649090489208</v>
      </c>
      <c r="S61" s="257">
        <f>F54-SUM(C61:R61)</f>
        <v>-61.398390198903563</v>
      </c>
      <c r="T61" s="253">
        <f>M53</f>
        <v>2.9976835308994798</v>
      </c>
      <c r="U61" s="253">
        <f>INDEX('Summary month'!$AG$17:$AI$74,MATCH(U60,'Summary month'!$D$17:$D$74,0),MATCH($C$1,'Summary month'!$AG$6:$AI$6,0))-U62</f>
        <v>4.7678626289999997</v>
      </c>
      <c r="V61" s="258">
        <f>INDEX('Summary month'!$AG$17:$AI$74,MATCH(V60,'Summary month'!$D$17:$D$74,0),MATCH($C$1,'Summary month'!$AG$6:$AI$6,0))-V62</f>
        <v>-0.99796745999999992</v>
      </c>
      <c r="W61" s="258"/>
      <c r="X61" s="258">
        <f>INDEX('Summary month'!$AG$17:$AI$74,MATCH(X60,'Summary month'!$D$17:$D$74,0),MATCH($C$1,'Summary month'!$AG$6:$AI$6,0))-X62</f>
        <v>1.8442641309999939</v>
      </c>
      <c r="Y61" s="258">
        <f>INDEX('Summary month'!$AG$17:$AI$74,MATCH(Y60,'Summary month'!$D$17:$D$74,0),MATCH($C$1,'Summary month'!$AG$6:$AI$6,0))-Y62</f>
        <v>-2.2001206680422141</v>
      </c>
      <c r="Z61" s="258">
        <f>INDEX('Summary month'!$AG$17:$AI$74,MATCH(Z60,'Summary month'!$D$17:$D$74,0),MATCH($C$1,'Summary month'!$AG$6:$AI$6,0))-Z62</f>
        <v>-4.025756118848463</v>
      </c>
      <c r="AA61" s="258">
        <f>INDEX('Summary month'!$AG$17:$AI$74,MATCH(AA60,'Summary month'!$D$17:$D$74,0),MATCH($C$1,'Summary month'!$AG$6:$AI$6,0))</f>
        <v>0</v>
      </c>
      <c r="AB61" s="301"/>
      <c r="AC61" s="258">
        <f>INDEX('Summary month'!$AG$17:$AI$74,MATCH(AC60,'Summary month'!$D$17:$D$74,0),MATCH($C$1,'Summary month'!$AG$6:$AI$6,0))-AC62</f>
        <v>-13.443898399999973</v>
      </c>
      <c r="AD61" s="258">
        <f>INDEX('Summary month'!$AG$17:$AI$74,MATCH(AD60,'Summary month'!$D$17:$D$74,0),MATCH($C$1,'Summary month'!$AG$6:$AI$6,0))</f>
        <v>1.9552660143518281</v>
      </c>
      <c r="AE61" s="256"/>
      <c r="AF61" s="259"/>
      <c r="AG61" s="254">
        <f>INDEX('Summary month'!$AG$17:$AI$74,MATCH(AG60,'Summary month'!$D$17:$D$74,0),MATCH($C$1,'Summary month'!$AG$6:$AI$6,0))-AG62</f>
        <v>-5.9647375439999983</v>
      </c>
      <c r="AH61" s="260">
        <f>G54-SUM(U61:AG61)</f>
        <v>0.62063982100002235</v>
      </c>
    </row>
    <row r="62" spans="2:34" ht="18">
      <c r="B62" s="216"/>
      <c r="C62" s="272">
        <v>0</v>
      </c>
      <c r="D62" s="216"/>
      <c r="E62" s="216"/>
      <c r="F62" s="216"/>
      <c r="G62" s="216"/>
      <c r="H62" s="216"/>
      <c r="I62" s="479"/>
      <c r="J62" s="479"/>
      <c r="K62" s="479"/>
      <c r="L62" s="479"/>
      <c r="M62" s="216"/>
      <c r="N62" s="216"/>
      <c r="O62" s="216"/>
      <c r="P62" s="216"/>
      <c r="Q62" s="216"/>
      <c r="R62" s="216">
        <v>-8.0651649090489208</v>
      </c>
      <c r="S62" s="216"/>
      <c r="T62" s="216"/>
      <c r="U62" s="431">
        <v>0</v>
      </c>
      <c r="V62" s="431"/>
      <c r="W62" s="216"/>
      <c r="X62" s="216">
        <f>SUM(Y55:Y56)</f>
        <v>0</v>
      </c>
      <c r="Y62" s="216">
        <v>-0.35746686030962094</v>
      </c>
      <c r="Z62" s="216">
        <v>-6.0528115153737905E-4</v>
      </c>
      <c r="AA62" s="216"/>
      <c r="AB62" s="216"/>
      <c r="AC62" s="216">
        <v>0</v>
      </c>
      <c r="AD62" s="216"/>
      <c r="AE62" s="216"/>
      <c r="AF62" s="216"/>
      <c r="AG62" s="334">
        <v>2.959813</v>
      </c>
      <c r="AH62" s="216"/>
    </row>
    <row r="63" spans="2:34" ht="18">
      <c r="B63" s="221"/>
      <c r="C63" s="319"/>
      <c r="D63" s="221"/>
      <c r="E63" s="221"/>
      <c r="F63" s="221"/>
      <c r="G63" s="221"/>
      <c r="H63" s="221"/>
      <c r="I63" s="221"/>
      <c r="J63" s="221"/>
      <c r="K63" s="221"/>
      <c r="L63" s="221"/>
      <c r="M63" s="221"/>
      <c r="N63" s="221"/>
      <c r="O63" s="221"/>
      <c r="P63" s="221"/>
      <c r="Q63" s="221"/>
      <c r="R63" s="491"/>
      <c r="S63" s="221"/>
      <c r="T63" s="221"/>
      <c r="U63" s="221"/>
      <c r="V63" s="221"/>
      <c r="W63" s="221"/>
    </row>
    <row r="64" spans="2:34" ht="18">
      <c r="B64" s="216"/>
      <c r="C64" s="319"/>
      <c r="D64" s="216"/>
      <c r="E64" s="216"/>
      <c r="F64" s="216"/>
      <c r="G64" s="216" t="s">
        <v>353</v>
      </c>
      <c r="H64" s="594">
        <f>0.727243761-AD54</f>
        <v>0.72824376099999999</v>
      </c>
      <c r="I64" s="216"/>
      <c r="J64" s="216"/>
      <c r="K64" s="216"/>
      <c r="L64" s="216"/>
      <c r="M64" s="216"/>
      <c r="N64" s="216"/>
      <c r="O64" s="216"/>
      <c r="P64" s="216"/>
      <c r="Q64" s="216"/>
      <c r="R64" s="216"/>
      <c r="S64" s="216"/>
      <c r="T64" s="216"/>
      <c r="U64" s="216"/>
      <c r="V64" s="216"/>
      <c r="W64" s="216"/>
    </row>
    <row r="65" spans="2:37" ht="20.25">
      <c r="B65" s="216"/>
      <c r="C65" s="329"/>
      <c r="D65" s="216"/>
      <c r="E65" s="216"/>
      <c r="F65" s="216"/>
      <c r="G65" s="216" t="s">
        <v>295</v>
      </c>
      <c r="H65" s="594">
        <v>-0.80414208000000009</v>
      </c>
      <c r="I65" s="273" t="s">
        <v>188</v>
      </c>
      <c r="J65" s="274"/>
      <c r="K65" s="274"/>
      <c r="L65" s="274"/>
      <c r="M65" s="275">
        <f>M61</f>
        <v>6.3</v>
      </c>
      <c r="N65" s="216"/>
      <c r="P65" s="273" t="s">
        <v>191</v>
      </c>
      <c r="Q65" s="274"/>
      <c r="R65" s="274"/>
      <c r="S65" s="294">
        <f>S61</f>
        <v>-61.398390198903563</v>
      </c>
      <c r="T65" s="216"/>
      <c r="U65" s="272"/>
      <c r="V65" s="272"/>
      <c r="W65" s="216"/>
      <c r="X65" s="263" t="s">
        <v>185</v>
      </c>
      <c r="Y65" s="264"/>
      <c r="Z65" s="264"/>
      <c r="AA65" s="265">
        <f>AD61</f>
        <v>1.9552660143518281</v>
      </c>
      <c r="AC65" s="263" t="s">
        <v>186</v>
      </c>
      <c r="AD65" s="264"/>
      <c r="AE65" s="264"/>
      <c r="AF65" s="264"/>
      <c r="AG65" s="264"/>
      <c r="AH65" s="265">
        <f>AH61</f>
        <v>0.62063982100002235</v>
      </c>
    </row>
    <row r="66" spans="2:37" ht="18">
      <c r="B66" s="216"/>
      <c r="C66" s="329"/>
      <c r="D66" s="216"/>
      <c r="E66" s="216"/>
      <c r="F66" s="216"/>
      <c r="G66" s="216" t="s">
        <v>239</v>
      </c>
      <c r="H66" s="594">
        <v>3.042271747</v>
      </c>
      <c r="I66" s="279">
        <v>1</v>
      </c>
      <c r="J66" s="269" t="s">
        <v>361</v>
      </c>
      <c r="K66" s="270"/>
      <c r="L66" s="270"/>
      <c r="M66" s="280">
        <v>3.3</v>
      </c>
      <c r="N66" s="216"/>
      <c r="P66" s="279">
        <v>1</v>
      </c>
      <c r="Q66" s="269" t="s">
        <v>193</v>
      </c>
      <c r="R66" s="270"/>
      <c r="S66" s="280">
        <v>0</v>
      </c>
      <c r="T66" s="216">
        <v>0</v>
      </c>
      <c r="U66" s="537"/>
      <c r="V66" s="286"/>
      <c r="W66" s="216"/>
      <c r="X66" s="268">
        <v>1</v>
      </c>
      <c r="Y66" s="269"/>
      <c r="Z66" s="270"/>
      <c r="AA66" s="271"/>
      <c r="AC66" s="268">
        <v>1</v>
      </c>
      <c r="AD66" s="269" t="s">
        <v>39</v>
      </c>
      <c r="AE66" s="270"/>
      <c r="AF66" s="270"/>
      <c r="AG66" s="270"/>
      <c r="AH66" s="271">
        <f>INDEX('Summary month'!$AG$17:$AI$73,MATCH(AD66,'Summary month'!$D$17:$D$74,0),MATCH($C$1,'Summary month'!$AG$6:$AI$6,0))-AJ66-AK66</f>
        <v>0.62063982100002901</v>
      </c>
      <c r="AI66" t="s">
        <v>262</v>
      </c>
      <c r="AJ66">
        <f>INDEX('Summary month'!$AG$17:$AI$74,MATCH(AI66,'Summary month'!$D$17:$D$74,0),MATCH($C$1,'Summary month'!$AG$6:$AI$6,0))</f>
        <v>0.8557556723606381</v>
      </c>
      <c r="AK66">
        <f>-459813/10^6</f>
        <v>-0.45981300000000003</v>
      </c>
    </row>
    <row r="67" spans="2:37" ht="18">
      <c r="E67" s="216"/>
      <c r="F67" s="216"/>
      <c r="G67" s="216" t="s">
        <v>28</v>
      </c>
      <c r="H67" s="594">
        <v>2.0189424929999999</v>
      </c>
      <c r="I67" s="279">
        <v>2</v>
      </c>
      <c r="J67" s="276" t="s">
        <v>363</v>
      </c>
      <c r="K67" s="277"/>
      <c r="L67" s="277"/>
      <c r="M67" s="281">
        <v>1</v>
      </c>
      <c r="P67" s="279">
        <v>2</v>
      </c>
      <c r="Q67" s="276" t="s">
        <v>143</v>
      </c>
      <c r="R67" s="277"/>
      <c r="S67" s="281">
        <f>SUM('[7]New KPI vs BP'!$DL$449+'[7]New KPI vs BP'!$DL$460)</f>
        <v>0.92216069725002092</v>
      </c>
      <c r="T67" s="216"/>
      <c r="U67" s="216"/>
      <c r="V67" s="216"/>
      <c r="W67" s="216"/>
      <c r="X67" s="268">
        <v>2</v>
      </c>
      <c r="Y67" s="276"/>
      <c r="Z67" s="277"/>
      <c r="AA67" s="278"/>
      <c r="AC67" s="268">
        <v>2</v>
      </c>
      <c r="AD67" s="276"/>
      <c r="AE67" s="277"/>
      <c r="AF67" s="277"/>
      <c r="AG67" s="277"/>
      <c r="AH67" s="278"/>
      <c r="AI67" t="s">
        <v>144</v>
      </c>
      <c r="AJ67" s="441">
        <f>AH66</f>
        <v>0.62063982100002901</v>
      </c>
    </row>
    <row r="68" spans="2:37" ht="18">
      <c r="B68" s="216"/>
      <c r="C68" s="319"/>
      <c r="D68" s="216"/>
      <c r="E68" s="216"/>
      <c r="F68" s="216"/>
      <c r="G68" s="216" t="s">
        <v>354</v>
      </c>
      <c r="H68" s="216"/>
      <c r="I68" s="279">
        <v>3</v>
      </c>
      <c r="J68" s="276" t="s">
        <v>362</v>
      </c>
      <c r="K68" s="277"/>
      <c r="L68" s="277"/>
      <c r="M68" s="281">
        <v>1</v>
      </c>
      <c r="N68" s="216"/>
      <c r="P68" s="279">
        <v>3</v>
      </c>
      <c r="Q68" s="276"/>
      <c r="R68" s="277"/>
      <c r="S68" s="281"/>
      <c r="V68" s="216"/>
      <c r="W68" s="216"/>
      <c r="X68" s="268">
        <v>3</v>
      </c>
      <c r="Y68" s="276"/>
      <c r="Z68" s="277"/>
      <c r="AA68" s="278"/>
      <c r="AC68" s="268">
        <v>3</v>
      </c>
      <c r="AD68" s="276"/>
      <c r="AE68" s="277"/>
      <c r="AF68" s="277"/>
      <c r="AG68" s="277"/>
      <c r="AH68" s="278"/>
    </row>
    <row r="69" spans="2:37" ht="18">
      <c r="B69" s="216"/>
      <c r="C69" s="319"/>
      <c r="D69" s="216"/>
      <c r="E69" s="272"/>
      <c r="F69" s="272"/>
      <c r="G69" s="272"/>
      <c r="H69" s="272"/>
      <c r="I69" s="279">
        <v>4</v>
      </c>
      <c r="J69" s="276" t="s">
        <v>397</v>
      </c>
      <c r="K69" s="277"/>
      <c r="L69" s="277"/>
      <c r="M69" s="281">
        <v>1</v>
      </c>
      <c r="N69" s="216"/>
      <c r="P69" s="279">
        <v>4</v>
      </c>
      <c r="Q69" s="276"/>
      <c r="R69" s="277"/>
      <c r="S69" s="281"/>
      <c r="V69" s="216"/>
      <c r="W69" s="216"/>
      <c r="X69" s="268">
        <v>4</v>
      </c>
      <c r="Y69" s="276"/>
      <c r="Z69" s="277"/>
      <c r="AA69" s="278"/>
      <c r="AC69" s="268">
        <v>4</v>
      </c>
      <c r="AD69" s="276"/>
      <c r="AE69" s="277"/>
      <c r="AF69" s="277"/>
      <c r="AG69" s="277"/>
      <c r="AH69" s="278"/>
    </row>
    <row r="70" spans="2:37" ht="18">
      <c r="B70" s="216"/>
      <c r="C70" s="319"/>
      <c r="D70" s="216"/>
      <c r="E70" s="216"/>
      <c r="F70" s="216"/>
      <c r="G70" s="216"/>
      <c r="H70" s="216"/>
      <c r="I70" s="279">
        <v>5</v>
      </c>
      <c r="J70" s="276" t="s">
        <v>353</v>
      </c>
      <c r="K70" s="277"/>
      <c r="L70" s="277"/>
      <c r="M70" s="281"/>
      <c r="N70" s="323"/>
      <c r="P70" s="279">
        <v>5</v>
      </c>
      <c r="Q70" s="276"/>
      <c r="R70" s="277"/>
      <c r="S70" s="281"/>
      <c r="W70" s="216"/>
      <c r="X70" s="282">
        <v>5</v>
      </c>
      <c r="Y70" s="283" t="s">
        <v>182</v>
      </c>
      <c r="Z70" s="284"/>
      <c r="AA70" s="285">
        <f>AA65-SUM(AA66:AA69)</f>
        <v>1.9552660143518281</v>
      </c>
      <c r="AC70" s="282">
        <v>5</v>
      </c>
      <c r="AD70" s="283" t="s">
        <v>182</v>
      </c>
      <c r="AE70" s="284"/>
      <c r="AF70" s="284"/>
      <c r="AG70" s="284"/>
      <c r="AH70" s="285">
        <f>AH65-SUM(AH66:AH69)</f>
        <v>-6.6613381477509392E-15</v>
      </c>
    </row>
    <row r="71" spans="2:37" ht="18">
      <c r="B71" s="216"/>
      <c r="C71" s="319"/>
      <c r="D71" s="216"/>
      <c r="E71" s="216"/>
      <c r="F71" s="216"/>
      <c r="G71" s="216"/>
      <c r="H71" s="216"/>
      <c r="I71" s="279">
        <v>6</v>
      </c>
      <c r="J71" s="276" t="s">
        <v>295</v>
      </c>
      <c r="K71" s="277"/>
      <c r="L71" s="277"/>
      <c r="M71" s="281"/>
      <c r="P71" s="279">
        <v>6</v>
      </c>
      <c r="Q71" s="276"/>
      <c r="R71" s="277"/>
      <c r="S71" s="281"/>
      <c r="W71" s="216"/>
      <c r="X71" s="216"/>
      <c r="Y71" s="216"/>
      <c r="Z71" s="216"/>
      <c r="AA71" s="216"/>
      <c r="AB71" s="216"/>
      <c r="AC71" s="216"/>
      <c r="AD71" s="216"/>
      <c r="AE71" s="216"/>
      <c r="AF71" s="216"/>
      <c r="AG71" s="216"/>
      <c r="AH71" s="216"/>
    </row>
    <row r="72" spans="2:37" ht="18">
      <c r="B72" s="216"/>
      <c r="C72" s="319"/>
      <c r="D72" s="216"/>
      <c r="E72" s="216"/>
      <c r="F72" s="216"/>
      <c r="G72" s="216"/>
      <c r="H72" s="216"/>
      <c r="I72" s="279">
        <v>7</v>
      </c>
      <c r="J72" s="276" t="s">
        <v>354</v>
      </c>
      <c r="K72" s="277"/>
      <c r="L72" s="277"/>
      <c r="M72" s="281"/>
      <c r="N72" s="216"/>
      <c r="P72" s="279">
        <v>7</v>
      </c>
      <c r="Q72" s="276"/>
      <c r="R72" s="277"/>
      <c r="S72" s="281"/>
      <c r="W72" s="216"/>
      <c r="X72" s="216"/>
      <c r="Y72" s="216"/>
      <c r="Z72" s="216"/>
      <c r="AA72" s="216"/>
      <c r="AB72" s="216"/>
      <c r="AC72" s="216"/>
      <c r="AD72" s="216"/>
      <c r="AE72" s="216"/>
      <c r="AF72" s="216"/>
      <c r="AG72" s="216"/>
      <c r="AH72" s="216"/>
    </row>
    <row r="73" spans="2:37" ht="18">
      <c r="B73" s="216"/>
      <c r="C73" s="319"/>
      <c r="D73" s="216"/>
      <c r="E73" s="216"/>
      <c r="F73" s="216"/>
      <c r="G73" s="216"/>
      <c r="I73" s="288">
        <v>8</v>
      </c>
      <c r="J73" s="289" t="s">
        <v>182</v>
      </c>
      <c r="K73" s="284"/>
      <c r="L73" s="284"/>
      <c r="M73" s="290">
        <f>M65-SUM(M66:M72)</f>
        <v>0</v>
      </c>
      <c r="N73" s="216"/>
      <c r="P73" s="279">
        <v>8</v>
      </c>
      <c r="Q73" s="276"/>
      <c r="R73" s="277"/>
      <c r="S73" s="278"/>
      <c r="T73" t="s">
        <v>195</v>
      </c>
      <c r="W73" s="216"/>
      <c r="X73" s="216"/>
      <c r="Y73" s="216"/>
      <c r="Z73" s="216"/>
      <c r="AA73" s="216"/>
      <c r="AB73" s="216"/>
      <c r="AC73" s="216"/>
      <c r="AD73" s="216"/>
      <c r="AE73" s="216"/>
      <c r="AF73" s="216"/>
      <c r="AG73" s="216"/>
      <c r="AH73" s="216"/>
    </row>
    <row r="74" spans="2:37" ht="18">
      <c r="B74" s="216"/>
      <c r="C74" s="319"/>
      <c r="D74" s="216"/>
      <c r="E74" s="216"/>
      <c r="F74" s="216"/>
      <c r="G74" s="216"/>
      <c r="H74" s="216"/>
      <c r="N74" s="216"/>
      <c r="P74" s="279">
        <v>9</v>
      </c>
      <c r="Q74" s="276"/>
      <c r="R74" s="277"/>
      <c r="S74" s="278"/>
      <c r="T74" t="s">
        <v>388</v>
      </c>
      <c r="U74" s="317"/>
      <c r="W74" s="272"/>
      <c r="X74" s="216"/>
      <c r="Y74" s="216"/>
      <c r="Z74" s="216"/>
      <c r="AA74" s="216"/>
      <c r="AB74" s="216"/>
      <c r="AC74" s="216"/>
      <c r="AD74" s="216"/>
      <c r="AE74" s="216"/>
      <c r="AF74" s="216"/>
      <c r="AG74" s="216"/>
      <c r="AH74" s="216"/>
    </row>
    <row r="75" spans="2:37" ht="18">
      <c r="B75" s="216"/>
      <c r="C75" s="319"/>
      <c r="D75" s="216"/>
      <c r="E75" s="216"/>
      <c r="F75" s="216"/>
      <c r="G75" s="216"/>
      <c r="H75" s="216"/>
      <c r="I75" s="216"/>
      <c r="J75" s="216"/>
      <c r="K75" s="216"/>
      <c r="L75" s="216"/>
      <c r="M75" s="216"/>
      <c r="N75" s="216"/>
      <c r="P75" s="288">
        <v>10</v>
      </c>
      <c r="Q75" s="283" t="s">
        <v>182</v>
      </c>
      <c r="R75" s="284"/>
      <c r="S75" s="285">
        <f>S65-SUM(S66:S74)</f>
        <v>-62.320550896153584</v>
      </c>
      <c r="T75" s="216" t="s">
        <v>246</v>
      </c>
      <c r="U75" s="315"/>
      <c r="W75" s="216"/>
      <c r="X75" s="297"/>
      <c r="Y75" s="216"/>
      <c r="Z75" s="216"/>
      <c r="AA75" s="216"/>
      <c r="AB75" s="216"/>
      <c r="AC75" s="216"/>
      <c r="AD75" s="216"/>
      <c r="AE75" s="216"/>
      <c r="AF75" s="216"/>
      <c r="AG75" s="216"/>
      <c r="AH75" s="216"/>
    </row>
    <row r="76" spans="2:37" ht="18">
      <c r="B76" s="216"/>
      <c r="C76" s="319"/>
      <c r="D76" s="216"/>
      <c r="E76" s="216"/>
      <c r="F76" s="216"/>
      <c r="G76" s="216"/>
      <c r="H76" s="216"/>
      <c r="I76" s="216"/>
      <c r="J76" s="216"/>
      <c r="K76" s="216"/>
      <c r="L76" s="216"/>
      <c r="M76" s="216"/>
      <c r="N76" s="216"/>
      <c r="T76" t="s">
        <v>375</v>
      </c>
      <c r="U76" s="317"/>
      <c r="W76" s="216"/>
      <c r="X76" s="216"/>
      <c r="Y76" s="216"/>
      <c r="Z76" s="216"/>
      <c r="AA76" s="216"/>
      <c r="AB76" s="216"/>
      <c r="AC76" s="216"/>
      <c r="AD76" s="216"/>
      <c r="AE76" s="216"/>
      <c r="AF76" s="216"/>
      <c r="AG76" s="216"/>
      <c r="AH76" s="216"/>
    </row>
    <row r="77" spans="2:37" ht="18">
      <c r="B77" s="216"/>
      <c r="C77" s="319"/>
      <c r="D77" s="216"/>
      <c r="E77" s="216"/>
      <c r="F77" s="216"/>
      <c r="G77" s="216"/>
      <c r="H77" s="216"/>
      <c r="I77" s="216"/>
      <c r="J77" s="216"/>
      <c r="K77" s="216"/>
      <c r="L77" s="216"/>
      <c r="M77" s="216"/>
      <c r="N77" s="216"/>
      <c r="Q77" s="565">
        <f>SUM(S67:S75)+SUM(H64:H67)-H66</f>
        <v>-59.455346024903562</v>
      </c>
      <c r="T77" s="216" t="s">
        <v>359</v>
      </c>
      <c r="U77" s="317"/>
      <c r="W77" s="216"/>
      <c r="X77" s="216"/>
      <c r="Y77" s="216"/>
      <c r="Z77" s="216"/>
      <c r="AA77" s="216"/>
      <c r="AB77" s="216"/>
      <c r="AC77" s="216"/>
      <c r="AD77" s="216"/>
      <c r="AE77" s="216"/>
      <c r="AF77" s="216"/>
      <c r="AG77" s="216"/>
      <c r="AH77" s="216"/>
    </row>
    <row r="78" spans="2:37">
      <c r="B78" s="216"/>
      <c r="C78" s="216"/>
      <c r="D78" s="216"/>
      <c r="E78" s="216"/>
      <c r="F78" s="216"/>
      <c r="G78" s="216"/>
      <c r="H78" s="216"/>
      <c r="I78" s="216"/>
      <c r="J78" s="216"/>
      <c r="K78" s="216"/>
      <c r="L78" s="216"/>
      <c r="M78" s="216"/>
      <c r="N78" s="216"/>
      <c r="Q78" s="560"/>
      <c r="T78" t="s">
        <v>222</v>
      </c>
      <c r="U78" s="317"/>
      <c r="V78" t="s">
        <v>387</v>
      </c>
      <c r="W78" s="216"/>
      <c r="X78" s="216"/>
      <c r="Y78" s="216"/>
      <c r="Z78" s="216"/>
      <c r="AA78" s="216"/>
      <c r="AB78" s="216"/>
      <c r="AC78" s="216"/>
      <c r="AD78" s="216"/>
      <c r="AE78" s="216"/>
      <c r="AF78" s="216"/>
      <c r="AG78" s="216"/>
      <c r="AH78" s="216"/>
    </row>
    <row r="79" spans="2:37">
      <c r="B79" s="216"/>
      <c r="C79" s="216"/>
      <c r="D79" s="216"/>
      <c r="E79" s="216"/>
      <c r="F79" s="216"/>
      <c r="G79" s="216"/>
      <c r="H79" s="216"/>
      <c r="I79" s="216"/>
      <c r="J79" s="216"/>
      <c r="K79" s="216"/>
      <c r="L79" s="216"/>
      <c r="M79" s="216"/>
      <c r="N79" s="216"/>
      <c r="Q79" s="560"/>
      <c r="T79" s="216" t="s">
        <v>292</v>
      </c>
      <c r="U79" s="317"/>
      <c r="X79" s="216"/>
      <c r="Y79" s="216"/>
      <c r="AB79" s="216"/>
      <c r="AC79" s="216"/>
      <c r="AD79" s="216"/>
      <c r="AE79" s="216"/>
      <c r="AF79" s="216"/>
      <c r="AG79" s="216"/>
      <c r="AH79" s="216"/>
    </row>
    <row r="80" spans="2:37">
      <c r="B80" s="216"/>
      <c r="C80" s="216"/>
      <c r="D80" s="216"/>
      <c r="E80" s="216"/>
      <c r="F80" s="216"/>
      <c r="G80" s="216"/>
      <c r="H80" s="216"/>
      <c r="I80" s="216"/>
      <c r="J80" s="216"/>
      <c r="K80" s="216"/>
      <c r="L80" s="216"/>
      <c r="M80" s="216"/>
      <c r="N80" s="216"/>
      <c r="Q80" s="561"/>
      <c r="T80" s="216" t="s">
        <v>223</v>
      </c>
      <c r="U80" s="317"/>
      <c r="X80" s="216"/>
      <c r="Y80" s="216"/>
      <c r="Z80" s="216"/>
      <c r="AA80" s="216"/>
      <c r="AB80" s="216"/>
      <c r="AC80" s="216"/>
      <c r="AD80" s="216"/>
      <c r="AE80" s="216"/>
      <c r="AF80" s="216"/>
      <c r="AG80" s="216"/>
      <c r="AH80" s="216"/>
    </row>
    <row r="81" spans="2:34">
      <c r="B81" s="216"/>
      <c r="C81" s="216"/>
      <c r="D81" s="216"/>
      <c r="E81" s="216"/>
      <c r="F81" s="216"/>
      <c r="G81" s="216"/>
      <c r="H81" s="216"/>
      <c r="I81" s="216"/>
      <c r="J81" s="216"/>
      <c r="K81" s="216"/>
      <c r="L81" s="216"/>
      <c r="M81" s="216"/>
      <c r="N81" s="216"/>
      <c r="Q81" s="562"/>
      <c r="W81" s="369"/>
      <c r="Y81" s="216"/>
      <c r="Z81" s="216"/>
      <c r="AA81" s="216"/>
      <c r="AB81" s="216"/>
      <c r="AC81" s="216"/>
      <c r="AD81" s="216"/>
      <c r="AE81" s="216"/>
      <c r="AF81" s="216"/>
      <c r="AG81" s="216"/>
      <c r="AH81" s="216"/>
    </row>
    <row r="82" spans="2:34">
      <c r="B82" s="216"/>
      <c r="C82" s="216"/>
      <c r="D82" s="216"/>
      <c r="E82" s="216"/>
      <c r="F82" s="216"/>
      <c r="G82" s="216"/>
      <c r="H82" s="216"/>
      <c r="I82" s="216"/>
      <c r="J82" s="532"/>
      <c r="K82" s="216"/>
      <c r="L82" s="216"/>
      <c r="M82" s="216"/>
      <c r="N82" s="216"/>
      <c r="Q82" s="562"/>
      <c r="T82" s="216" t="s">
        <v>217</v>
      </c>
      <c r="U82" s="577">
        <f>'[7]New KPI vs BP'!$DL$453+'[7]New KPI vs BP'!$DL$464</f>
        <v>1.2754385061395759</v>
      </c>
      <c r="X82" s="216"/>
      <c r="Y82" s="216"/>
      <c r="Z82" s="216"/>
      <c r="AA82" s="216"/>
      <c r="AB82" s="216"/>
      <c r="AC82" s="216"/>
      <c r="AD82" s="216"/>
      <c r="AE82" s="216"/>
      <c r="AF82" s="216"/>
      <c r="AG82" s="216"/>
      <c r="AH82" s="216"/>
    </row>
    <row r="83" spans="2:34">
      <c r="B83" s="216"/>
      <c r="C83" s="216"/>
      <c r="D83" s="216"/>
      <c r="E83" s="216"/>
      <c r="F83" s="216"/>
      <c r="G83" s="216"/>
      <c r="H83" s="216"/>
      <c r="I83" s="216"/>
      <c r="J83" s="216"/>
      <c r="K83" s="216"/>
      <c r="L83" s="216"/>
      <c r="M83" s="216"/>
      <c r="N83" s="216"/>
      <c r="Q83" s="563"/>
      <c r="T83" s="216" t="s">
        <v>283</v>
      </c>
      <c r="U83" s="317">
        <f>SUM(V95:V97)</f>
        <v>-2.7606912692481869</v>
      </c>
      <c r="X83" s="216"/>
      <c r="Y83" s="216"/>
      <c r="Z83" s="216"/>
      <c r="AA83" s="216"/>
      <c r="AB83" s="216"/>
      <c r="AC83" s="216"/>
      <c r="AD83" s="216"/>
      <c r="AE83" s="216"/>
      <c r="AF83" s="216"/>
      <c r="AG83" s="216"/>
      <c r="AH83" s="216"/>
    </row>
    <row r="84" spans="2:34">
      <c r="B84" s="216"/>
      <c r="C84" s="216"/>
      <c r="D84" s="216"/>
      <c r="E84" s="216"/>
      <c r="F84" s="216"/>
      <c r="G84" s="216"/>
      <c r="H84" s="216"/>
      <c r="I84" s="216"/>
      <c r="J84" s="216"/>
      <c r="K84" s="216"/>
      <c r="L84" s="216"/>
      <c r="M84" s="216"/>
      <c r="N84" s="216"/>
      <c r="Q84" s="564">
        <f>Q77-SUM(Q78:Q83)</f>
        <v>-59.455346024903562</v>
      </c>
      <c r="W84" s="216"/>
      <c r="X84" s="216"/>
      <c r="Y84" s="216"/>
      <c r="Z84" s="216"/>
      <c r="AA84" s="216"/>
      <c r="AB84" s="216"/>
      <c r="AC84" s="216"/>
      <c r="AD84" s="216"/>
      <c r="AE84" s="216"/>
      <c r="AF84" s="216"/>
      <c r="AG84" s="216"/>
      <c r="AH84" s="216"/>
    </row>
    <row r="85" spans="2:34">
      <c r="Q85" s="529"/>
      <c r="X85" s="314"/>
    </row>
    <row r="86" spans="2:34">
      <c r="X86" s="314"/>
    </row>
    <row r="87" spans="2:34">
      <c r="W87" s="216"/>
      <c r="X87" s="314"/>
    </row>
    <row r="89" spans="2:34">
      <c r="U89" s="317"/>
      <c r="W89" s="216"/>
    </row>
    <row r="95" spans="2:34">
      <c r="U95" s="372" t="s">
        <v>252</v>
      </c>
      <c r="V95" s="373"/>
      <c r="X95" s="317"/>
      <c r="Z95" s="488"/>
    </row>
    <row r="96" spans="2:34">
      <c r="U96" t="s">
        <v>293</v>
      </c>
      <c r="V96" s="317"/>
    </row>
    <row r="97" spans="21:22">
      <c r="U97" s="135" t="s">
        <v>144</v>
      </c>
      <c r="V97" s="373">
        <f>-AD56-AJ67-X57</f>
        <v>-2.7606912692481869</v>
      </c>
    </row>
  </sheetData>
  <mergeCells count="26">
    <mergeCell ref="AH17:AH18"/>
    <mergeCell ref="B10:B11"/>
    <mergeCell ref="C10:C11"/>
    <mergeCell ref="H17:H18"/>
    <mergeCell ref="O17:O18"/>
    <mergeCell ref="P17:P18"/>
    <mergeCell ref="Q17:Q18"/>
    <mergeCell ref="R17:R18"/>
    <mergeCell ref="S17:S18"/>
    <mergeCell ref="AE17:AE18"/>
    <mergeCell ref="AF17:AF18"/>
    <mergeCell ref="T17:T18"/>
    <mergeCell ref="B17:B18"/>
    <mergeCell ref="AH59:AH60"/>
    <mergeCell ref="B52:B53"/>
    <mergeCell ref="C52:C53"/>
    <mergeCell ref="H59:H60"/>
    <mergeCell ref="O59:O60"/>
    <mergeCell ref="P59:P60"/>
    <mergeCell ref="Q59:Q60"/>
    <mergeCell ref="R59:R60"/>
    <mergeCell ref="S59:S60"/>
    <mergeCell ref="AE59:AE60"/>
    <mergeCell ref="AF59:AF60"/>
    <mergeCell ref="T59:T60"/>
    <mergeCell ref="B59:B60"/>
  </mergeCells>
  <pageMargins left="0.7" right="0.7" top="0.75" bottom="0.75" header="0.3" footer="0.3"/>
  <pageSetup orientation="portrait" r:id="rId1"/>
  <customProperties>
    <customPr name="_pios_id" r:id="rId2"/>
    <customPr name="EpmWorksheetKeyString_GUID" r:id="rId3"/>
  </customProperties>
  <drawing r:id="rId4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8A4BD-7F31-4924-8486-7418EB1A65FF}">
  <sheetPr>
    <tabColor theme="7" tint="-0.249977111117893"/>
  </sheetPr>
  <dimension ref="B1:AK94"/>
  <sheetViews>
    <sheetView showGridLines="0" zoomScale="60" zoomScaleNormal="60" workbookViewId="0">
      <selection activeCell="U9" sqref="U9"/>
    </sheetView>
  </sheetViews>
  <sheetFormatPr defaultRowHeight="15"/>
  <cols>
    <col min="2" max="2" width="10.42578125" customWidth="1"/>
    <col min="3" max="3" width="17" bestFit="1" customWidth="1"/>
    <col min="4" max="4" width="19" bestFit="1" customWidth="1"/>
    <col min="5" max="5" width="14.5703125" bestFit="1" customWidth="1"/>
    <col min="6" max="6" width="13" bestFit="1" customWidth="1"/>
    <col min="7" max="7" width="11.42578125" customWidth="1"/>
    <col min="11" max="11" width="9.5703125" bestFit="1" customWidth="1"/>
    <col min="21" max="21" width="19" bestFit="1" customWidth="1"/>
    <col min="24" max="24" width="10.5703125" customWidth="1"/>
  </cols>
  <sheetData>
    <row r="1" spans="2:34" ht="28.5">
      <c r="B1" s="304" t="str">
        <f>'Summary month'!E2</f>
        <v>Apr</v>
      </c>
      <c r="C1" t="str">
        <f>VLOOKUP(B1,mapping!$A$2:$C$13,3,0)</f>
        <v>M01</v>
      </c>
    </row>
    <row r="3" spans="2:34" ht="28.5">
      <c r="B3" s="299" t="s">
        <v>202</v>
      </c>
      <c r="I3" s="216"/>
      <c r="J3" s="334"/>
      <c r="K3" s="216"/>
      <c r="L3" s="216"/>
      <c r="M3" s="216"/>
      <c r="N3" s="334"/>
      <c r="O3" s="216"/>
      <c r="P3" s="216"/>
      <c r="Q3" s="216"/>
    </row>
    <row r="4" spans="2:34" ht="28.5">
      <c r="B4" s="299"/>
      <c r="I4" s="216"/>
      <c r="J4" s="334"/>
      <c r="K4" s="216"/>
      <c r="L4" s="216"/>
      <c r="M4" s="216"/>
      <c r="N4" s="334"/>
      <c r="O4" s="216"/>
      <c r="P4" s="216"/>
      <c r="Q4" s="216"/>
    </row>
    <row r="5" spans="2:34" ht="20.25">
      <c r="B5" s="216"/>
      <c r="C5" s="226" t="str">
        <f>B10</f>
        <v>OL QTD</v>
      </c>
      <c r="D5" s="226" t="str">
        <f>C10</f>
        <v>Act QTD</v>
      </c>
      <c r="E5" s="226" t="s">
        <v>320</v>
      </c>
      <c r="F5" s="226" t="s">
        <v>321</v>
      </c>
      <c r="G5" s="226" t="s">
        <v>322</v>
      </c>
      <c r="H5" s="292" t="s">
        <v>323</v>
      </c>
      <c r="I5" s="216"/>
    </row>
    <row r="6" spans="2:34" ht="20.25">
      <c r="B6" s="226" t="s">
        <v>327</v>
      </c>
      <c r="C6" s="229">
        <f>'Summary month'!BJ82</f>
        <v>228.03681770763109</v>
      </c>
      <c r="D6" s="229">
        <f>'Summary month'!I82</f>
        <v>63.237619418000122</v>
      </c>
      <c r="E6" s="226">
        <f>+D6-C6</f>
        <v>-164.79919828963097</v>
      </c>
      <c r="F6" s="226">
        <f>B19</f>
        <v>-6.8981584439113091</v>
      </c>
      <c r="G6" s="226">
        <f>SUM(C19:S19)</f>
        <v>-157.90103984571965</v>
      </c>
      <c r="H6" s="502">
        <f>E6-F6-G6</f>
        <v>0</v>
      </c>
      <c r="I6" s="216"/>
      <c r="J6" s="334"/>
      <c r="K6" s="216"/>
      <c r="L6" s="216"/>
      <c r="M6" s="216"/>
      <c r="N6" s="334"/>
      <c r="O6" s="216"/>
      <c r="P6" s="216"/>
      <c r="Q6" s="216"/>
    </row>
    <row r="7" spans="2:34" ht="20.25">
      <c r="B7" s="226" t="s">
        <v>325</v>
      </c>
      <c r="C7" s="229">
        <f>'Summary month'!BJ83</f>
        <v>-385.68138755319882</v>
      </c>
      <c r="D7" s="229">
        <f>'Summary month'!I83</f>
        <v>-134.40743371799999</v>
      </c>
      <c r="E7" s="226">
        <f>+D7-C7</f>
        <v>251.27395383519882</v>
      </c>
      <c r="F7" s="226">
        <f>T19</f>
        <v>5.4644509622827435</v>
      </c>
      <c r="G7" s="226">
        <f>SUM(U19:AH19)</f>
        <v>245.80950287291614</v>
      </c>
      <c r="H7" s="502">
        <f>E7-F7-G7</f>
        <v>0</v>
      </c>
      <c r="I7" s="216"/>
      <c r="J7" s="334"/>
      <c r="K7" s="216"/>
      <c r="L7" s="216"/>
      <c r="M7" s="216"/>
      <c r="N7" s="334"/>
      <c r="O7" s="216"/>
      <c r="P7" s="216"/>
      <c r="Q7" s="216"/>
    </row>
    <row r="8" spans="2:34" ht="20.25">
      <c r="B8" s="226" t="s">
        <v>326</v>
      </c>
      <c r="C8" s="226">
        <f>+C6+C7</f>
        <v>-157.64456984556773</v>
      </c>
      <c r="D8" s="226">
        <f>+D6+D7</f>
        <v>-71.169814299999871</v>
      </c>
      <c r="E8" s="226">
        <f>+D8-C8</f>
        <v>86.474755545567859</v>
      </c>
      <c r="F8" s="226">
        <f>+E8-G8</f>
        <v>-1.4337074816286304</v>
      </c>
      <c r="G8" s="226">
        <f>+G6+G7</f>
        <v>87.90846302719649</v>
      </c>
      <c r="H8" s="502">
        <f>E8-F8-G8</f>
        <v>0</v>
      </c>
      <c r="I8" s="216"/>
      <c r="J8" s="334" t="s">
        <v>303</v>
      </c>
      <c r="K8" s="216" t="s">
        <v>143</v>
      </c>
      <c r="L8" s="216" t="s">
        <v>304</v>
      </c>
      <c r="M8" s="216"/>
      <c r="N8" s="334" t="s">
        <v>303</v>
      </c>
      <c r="O8" s="216" t="s">
        <v>143</v>
      </c>
      <c r="P8" s="216" t="s">
        <v>305</v>
      </c>
      <c r="Q8" s="216" t="s">
        <v>306</v>
      </c>
    </row>
    <row r="9" spans="2:34" ht="18">
      <c r="B9" s="215"/>
      <c r="C9" s="216"/>
      <c r="D9" s="318">
        <f>D12-D54</f>
        <v>41.167566993258816</v>
      </c>
      <c r="E9" s="318">
        <f>E12-E54</f>
        <v>1.4350237070099698</v>
      </c>
      <c r="F9" s="318">
        <f>F12-F54</f>
        <v>40.248858995894693</v>
      </c>
      <c r="G9" s="318">
        <f>G12-G54</f>
        <v>7.8648368079566637</v>
      </c>
      <c r="H9" s="216"/>
      <c r="I9" s="216" t="s">
        <v>307</v>
      </c>
      <c r="J9" s="334">
        <f>'[9]New KPI vs BP'!$AN$34-K9-L9</f>
        <v>6.6802822597915217</v>
      </c>
      <c r="K9" s="216">
        <f>'[9]New KPI vs BP'!$DQ$15</f>
        <v>-7.4059679772478404E-2</v>
      </c>
      <c r="L9" s="334">
        <f>'[9]New KPI vs BP'!$DQ$507+'[9]New KPI vs BP'!$DQ$523</f>
        <v>0.34122245595488637</v>
      </c>
      <c r="M9" s="216"/>
      <c r="N9" s="334">
        <f>'[9]New KPI vs BP'!$DQ$34-O9-P9</f>
        <v>-6.8240987641388307</v>
      </c>
      <c r="O9" s="216">
        <f>K9</f>
        <v>-7.4059679772478404E-2</v>
      </c>
      <c r="P9" s="406">
        <f>L10-AJ64</f>
        <v>5.4644509622827435</v>
      </c>
      <c r="Q9" s="334">
        <f>L9-(P9)</f>
        <v>-5.1232285063278571</v>
      </c>
      <c r="R9" s="216"/>
      <c r="S9" s="216"/>
      <c r="T9" s="216"/>
      <c r="U9" s="216"/>
      <c r="V9" s="216"/>
      <c r="W9" s="216"/>
      <c r="X9" s="216"/>
      <c r="Y9" s="216"/>
      <c r="Z9" s="216"/>
      <c r="AA9" s="216"/>
      <c r="AB9" s="216"/>
      <c r="AC9" s="216"/>
      <c r="AD9" s="216"/>
      <c r="AE9" s="216"/>
      <c r="AF9" s="216"/>
      <c r="AG9" s="216"/>
      <c r="AH9" s="216"/>
    </row>
    <row r="10" spans="2:34" ht="20.100000000000001" customHeight="1">
      <c r="B10" s="1014" t="s">
        <v>311</v>
      </c>
      <c r="C10" s="1014" t="s">
        <v>214</v>
      </c>
      <c r="D10" s="218"/>
      <c r="E10" s="219"/>
      <c r="F10" s="219"/>
      <c r="G10" s="220"/>
      <c r="H10" s="216"/>
      <c r="I10" s="216" t="s">
        <v>62</v>
      </c>
      <c r="J10" s="334">
        <f>M52</f>
        <v>5.0479703666812172</v>
      </c>
      <c r="K10" s="216">
        <v>0</v>
      </c>
      <c r="L10" s="334">
        <f>M53</f>
        <v>0.46445096228274307</v>
      </c>
      <c r="M10" s="216"/>
      <c r="N10" s="216"/>
      <c r="O10" s="216"/>
      <c r="P10" s="216"/>
      <c r="Q10" s="216"/>
      <c r="R10" s="216"/>
      <c r="S10" s="216"/>
      <c r="T10" s="216"/>
      <c r="U10" s="216"/>
      <c r="V10" s="216"/>
      <c r="W10" s="221"/>
      <c r="X10" s="221"/>
      <c r="Y10" s="221"/>
      <c r="Z10" s="221"/>
      <c r="AA10" s="221"/>
      <c r="AB10" s="221"/>
      <c r="AC10" s="221"/>
      <c r="AD10" s="221"/>
      <c r="AE10" s="221"/>
      <c r="AF10" s="221"/>
      <c r="AG10" s="221"/>
      <c r="AH10" s="221"/>
    </row>
    <row r="11" spans="2:34" ht="40.5">
      <c r="B11" s="1015"/>
      <c r="C11" s="1016"/>
      <c r="D11" s="222"/>
      <c r="E11" s="223" t="s">
        <v>154</v>
      </c>
      <c r="F11" s="224" t="s">
        <v>155</v>
      </c>
      <c r="G11" s="225" t="s">
        <v>156</v>
      </c>
      <c r="H11" s="216"/>
      <c r="I11" s="216" t="s">
        <v>208</v>
      </c>
      <c r="J11" s="216"/>
      <c r="K11" s="216"/>
      <c r="L11" s="216"/>
      <c r="M11" s="216"/>
      <c r="N11" s="216"/>
      <c r="O11" s="216"/>
      <c r="P11" s="216"/>
      <c r="Q11" s="216"/>
      <c r="R11" s="216"/>
      <c r="AH11" s="216"/>
    </row>
    <row r="12" spans="2:34" ht="20.25">
      <c r="B12" s="226">
        <f>'Summary month'!BJ55</f>
        <v>-157.64456984556782</v>
      </c>
      <c r="C12" s="226">
        <f>'Summary month'!I55</f>
        <v>-71.169814299999885</v>
      </c>
      <c r="D12" s="227">
        <f>C12-B12</f>
        <v>86.47475554556793</v>
      </c>
      <c r="E12" s="228">
        <f>'[9]New KPI vs BP'!$AN$34</f>
        <v>6.9474450359739297</v>
      </c>
      <c r="F12" s="228">
        <f>'Summary month'!BN82-E13</f>
        <v>-157.90103984571965</v>
      </c>
      <c r="G12" s="229">
        <f>'Summary month'!BN83-E14</f>
        <v>245.80950287291614</v>
      </c>
      <c r="H12" s="216"/>
      <c r="I12" s="286">
        <f>SUM(E12:G12)-D12</f>
        <v>8.3811525176025015</v>
      </c>
      <c r="J12" s="216"/>
      <c r="K12" s="216"/>
      <c r="L12" s="216"/>
      <c r="M12" s="216"/>
      <c r="N12" s="216"/>
      <c r="O12" s="230"/>
      <c r="P12" s="216"/>
      <c r="Q12" s="216"/>
      <c r="R12" s="216"/>
      <c r="AH12" s="230"/>
    </row>
    <row r="13" spans="2:34">
      <c r="B13" s="216"/>
      <c r="C13" s="216"/>
      <c r="D13" s="216"/>
      <c r="E13" s="315">
        <f>SUM(N9:O9)</f>
        <v>-6.8981584439113091</v>
      </c>
      <c r="F13" s="216" t="s">
        <v>308</v>
      </c>
      <c r="G13" s="216"/>
      <c r="H13" s="216"/>
      <c r="I13" s="216"/>
      <c r="J13" s="216"/>
      <c r="K13" s="216"/>
      <c r="L13" s="216"/>
      <c r="M13" s="216"/>
      <c r="N13" s="216"/>
      <c r="O13" s="216" t="s">
        <v>53</v>
      </c>
      <c r="P13" s="216">
        <f>-'Summary month'!BN66</f>
        <v>-36.923674456455856</v>
      </c>
      <c r="Q13" s="216"/>
      <c r="R13" s="216"/>
      <c r="AH13" s="216"/>
    </row>
    <row r="14" spans="2:34">
      <c r="B14" s="216"/>
      <c r="C14" s="216" t="s">
        <v>51</v>
      </c>
      <c r="D14" s="216" t="s">
        <v>50</v>
      </c>
      <c r="E14" s="315">
        <f>P9</f>
        <v>5.4644509622827435</v>
      </c>
      <c r="F14" s="216" t="s">
        <v>309</v>
      </c>
      <c r="G14" s="216"/>
      <c r="H14" s="216"/>
      <c r="I14" s="216"/>
      <c r="J14" s="216"/>
      <c r="K14" s="216"/>
      <c r="L14" s="216"/>
      <c r="M14" s="216"/>
      <c r="N14" s="216"/>
      <c r="O14" s="216" t="s">
        <v>54</v>
      </c>
      <c r="P14" s="216">
        <f>-'Summary month'!BN67</f>
        <v>-0.97</v>
      </c>
      <c r="Q14" s="216"/>
      <c r="R14" s="216"/>
      <c r="AH14" s="216"/>
    </row>
    <row r="15" spans="2:34" ht="21" thickBot="1">
      <c r="B15" s="231" t="s">
        <v>157</v>
      </c>
      <c r="C15" s="232" t="s">
        <v>56</v>
      </c>
      <c r="D15" s="232" t="s">
        <v>57</v>
      </c>
      <c r="E15" s="232"/>
      <c r="F15" s="232"/>
      <c r="G15" s="232"/>
      <c r="H15" s="232"/>
      <c r="I15" s="232"/>
      <c r="J15" s="232"/>
      <c r="K15" s="232"/>
      <c r="L15" s="232"/>
      <c r="M15" s="232"/>
      <c r="N15" s="232"/>
      <c r="O15" s="232" t="s">
        <v>55</v>
      </c>
      <c r="P15" s="216">
        <f>-'Summary month'!BN68</f>
        <v>-1.0699507338786465</v>
      </c>
      <c r="Q15" s="232"/>
      <c r="R15" s="232" t="s">
        <v>60</v>
      </c>
      <c r="AA15" t="s">
        <v>52</v>
      </c>
      <c r="AB15" t="s">
        <v>59</v>
      </c>
      <c r="AH15" s="217" t="s">
        <v>138</v>
      </c>
    </row>
    <row r="16" spans="2:34" ht="21" thickBot="1">
      <c r="B16" s="233"/>
      <c r="C16" s="234" t="s">
        <v>159</v>
      </c>
      <c r="D16" s="234"/>
      <c r="E16" s="234"/>
      <c r="F16" s="234"/>
      <c r="G16" s="234"/>
      <c r="H16" s="234"/>
      <c r="I16" s="234"/>
      <c r="J16" s="234"/>
      <c r="K16" s="234"/>
      <c r="L16" s="234"/>
      <c r="M16" s="234"/>
      <c r="N16" s="234"/>
      <c r="O16" s="234"/>
      <c r="P16" s="234"/>
      <c r="Q16" s="234"/>
      <c r="R16" s="234"/>
      <c r="S16" s="235"/>
      <c r="T16" s="236"/>
      <c r="U16" s="237" t="s">
        <v>160</v>
      </c>
      <c r="V16" s="237"/>
      <c r="W16" s="237"/>
      <c r="X16" s="237"/>
      <c r="Y16" s="237"/>
      <c r="Z16" s="237"/>
      <c r="AA16" s="237"/>
      <c r="AB16" s="237"/>
      <c r="AC16" s="237"/>
      <c r="AD16" s="237"/>
      <c r="AE16" s="237"/>
      <c r="AF16" s="237"/>
      <c r="AG16" s="237"/>
      <c r="AH16" s="238"/>
    </row>
    <row r="17" spans="2:34" ht="20.100000000000001" customHeight="1">
      <c r="B17" s="1027" t="s">
        <v>274</v>
      </c>
      <c r="C17" s="239" t="s">
        <v>161</v>
      </c>
      <c r="D17" s="240"/>
      <c r="E17" s="240"/>
      <c r="F17" s="240"/>
      <c r="G17" s="241"/>
      <c r="H17" s="1017" t="s">
        <v>162</v>
      </c>
      <c r="I17" s="242" t="s">
        <v>163</v>
      </c>
      <c r="J17" s="243"/>
      <c r="K17" s="243"/>
      <c r="L17" s="243"/>
      <c r="M17" s="243"/>
      <c r="N17" s="244"/>
      <c r="O17" s="1019" t="s">
        <v>164</v>
      </c>
      <c r="P17" s="1019" t="s">
        <v>165</v>
      </c>
      <c r="Q17" s="1019" t="s">
        <v>166</v>
      </c>
      <c r="R17" s="1022" t="s">
        <v>167</v>
      </c>
      <c r="S17" s="1023" t="s">
        <v>168</v>
      </c>
      <c r="T17" s="1027" t="s">
        <v>274</v>
      </c>
      <c r="U17" s="245" t="s">
        <v>169</v>
      </c>
      <c r="V17" s="246"/>
      <c r="W17" s="246"/>
      <c r="X17" s="247"/>
      <c r="Y17" s="248" t="s">
        <v>163</v>
      </c>
      <c r="Z17" s="246"/>
      <c r="AA17" s="246"/>
      <c r="AB17" s="246"/>
      <c r="AC17" s="246"/>
      <c r="AD17" s="247"/>
      <c r="AE17" s="1022" t="s">
        <v>166</v>
      </c>
      <c r="AF17" s="1025" t="s">
        <v>167</v>
      </c>
      <c r="AG17" s="311"/>
      <c r="AH17" s="1012" t="s">
        <v>168</v>
      </c>
    </row>
    <row r="18" spans="2:34" ht="77.45" customHeight="1">
      <c r="B18" s="1028"/>
      <c r="C18" s="249" t="s">
        <v>170</v>
      </c>
      <c r="D18" s="250" t="s">
        <v>171</v>
      </c>
      <c r="E18" s="250" t="s">
        <v>172</v>
      </c>
      <c r="F18" s="250" t="s">
        <v>173</v>
      </c>
      <c r="G18" s="251" t="s">
        <v>174</v>
      </c>
      <c r="H18" s="1018"/>
      <c r="I18" s="250" t="s">
        <v>175</v>
      </c>
      <c r="J18" s="250" t="s">
        <v>176</v>
      </c>
      <c r="K18" s="250" t="s">
        <v>177</v>
      </c>
      <c r="L18" s="250" t="s">
        <v>178</v>
      </c>
      <c r="M18" s="250" t="s">
        <v>168</v>
      </c>
      <c r="N18" s="250" t="s">
        <v>179</v>
      </c>
      <c r="O18" s="1020"/>
      <c r="P18" s="1021"/>
      <c r="Q18" s="1021"/>
      <c r="R18" s="1021"/>
      <c r="S18" s="1024"/>
      <c r="T18" s="1028"/>
      <c r="U18" s="307" t="s">
        <v>203</v>
      </c>
      <c r="V18" s="308" t="s">
        <v>180</v>
      </c>
      <c r="W18" s="309" t="s">
        <v>181</v>
      </c>
      <c r="X18" s="310" t="s">
        <v>33</v>
      </c>
      <c r="Y18" s="305" t="s">
        <v>25</v>
      </c>
      <c r="Z18" s="306" t="s">
        <v>183</v>
      </c>
      <c r="AA18" s="306" t="s">
        <v>204</v>
      </c>
      <c r="AB18" s="306" t="s">
        <v>205</v>
      </c>
      <c r="AC18" s="306" t="s">
        <v>184</v>
      </c>
      <c r="AD18" s="306" t="s">
        <v>30</v>
      </c>
      <c r="AE18" s="1021"/>
      <c r="AF18" s="1026"/>
      <c r="AG18" s="312" t="s">
        <v>37</v>
      </c>
      <c r="AH18" s="1013"/>
    </row>
    <row r="19" spans="2:34" ht="21" thickBot="1">
      <c r="B19" s="252">
        <f>E13</f>
        <v>-6.8981584439113091</v>
      </c>
      <c r="C19" s="253">
        <f>C61-'Summary month'!BN64-'Summary month'!BN69+J10-N9</f>
        <v>82.654473632615563</v>
      </c>
      <c r="D19" s="254">
        <f>-'Summary month'!BN63-'Summary month'!BN70-O9</f>
        <v>-4.0811242850959815</v>
      </c>
      <c r="E19" s="254">
        <f>E61</f>
        <v>-4.6929178749938032</v>
      </c>
      <c r="F19" s="254">
        <f>F61</f>
        <v>-42.726097201904381</v>
      </c>
      <c r="G19" s="254"/>
      <c r="H19" s="254"/>
      <c r="I19" s="254">
        <f>I61</f>
        <v>1.7157248086409549</v>
      </c>
      <c r="J19" s="255">
        <f>J61</f>
        <v>-0.2058408092973929</v>
      </c>
      <c r="K19" s="255">
        <f>K61</f>
        <v>-3.6205677010449686</v>
      </c>
      <c r="L19" s="255">
        <f>L61</f>
        <v>0</v>
      </c>
      <c r="M19" s="255">
        <f>M61</f>
        <v>-56.107395404671557</v>
      </c>
      <c r="N19" s="255"/>
      <c r="O19" s="254">
        <f>-SUM('Summary month'!BN66:BN68)</f>
        <v>-38.963625190334504</v>
      </c>
      <c r="P19" s="254"/>
      <c r="Q19" s="256"/>
      <c r="R19" s="254">
        <f>R61-'Summary month'!BN73</f>
        <v>1.8377771929902942</v>
      </c>
      <c r="S19" s="257">
        <f>F12-SUM(C19:R19)</f>
        <v>-93.711447012623864</v>
      </c>
      <c r="T19" s="253">
        <f>E14</f>
        <v>5.4644509622827435</v>
      </c>
      <c r="U19" s="253">
        <f>U61</f>
        <v>62.252730757234886</v>
      </c>
      <c r="V19" s="258">
        <f>V61</f>
        <v>4.3000468527090208</v>
      </c>
      <c r="W19" s="258"/>
      <c r="X19" s="258">
        <f>X61</f>
        <v>11.700383342976657</v>
      </c>
      <c r="Y19" s="258">
        <f>Y61</f>
        <v>57.52310071966113</v>
      </c>
      <c r="Z19" s="258">
        <f>Z61</f>
        <v>7.296120323607389</v>
      </c>
      <c r="AA19" s="258">
        <f>AA61-'Summary month'!BN65</f>
        <v>7.8648368079566549</v>
      </c>
      <c r="AB19" s="258">
        <f>-'Summary month'!BN72</f>
        <v>0</v>
      </c>
      <c r="AC19" s="258">
        <f>AC61</f>
        <v>14.110461892835964</v>
      </c>
      <c r="AD19" s="258">
        <f>AD61</f>
        <v>24.141574678849821</v>
      </c>
      <c r="AE19" s="256"/>
      <c r="AF19" s="259"/>
      <c r="AG19" s="254">
        <f>AG61</f>
        <v>60.360481349793645</v>
      </c>
      <c r="AH19" s="260">
        <f>G12-SUM(U19:AG19)</f>
        <v>-3.7402338527090251</v>
      </c>
    </row>
    <row r="20" spans="2:34" ht="18">
      <c r="B20" s="216"/>
      <c r="C20" s="261"/>
      <c r="D20" s="216"/>
      <c r="E20" s="216"/>
      <c r="F20" s="216"/>
      <c r="G20" s="216"/>
      <c r="H20" s="216"/>
      <c r="I20" s="216"/>
      <c r="J20" s="216"/>
      <c r="K20" s="216"/>
      <c r="L20" s="216"/>
      <c r="M20" s="216"/>
      <c r="N20" s="216"/>
      <c r="O20" s="216"/>
      <c r="P20" s="216"/>
      <c r="Q20" s="216"/>
      <c r="R20" s="216"/>
      <c r="S20" s="216"/>
      <c r="T20" s="216"/>
      <c r="U20" s="216"/>
      <c r="V20" s="216"/>
      <c r="W20" s="216"/>
      <c r="X20" s="216"/>
      <c r="Y20" s="216"/>
      <c r="Z20" s="216"/>
      <c r="AA20" s="216"/>
      <c r="AB20" s="216"/>
      <c r="AC20" s="216"/>
      <c r="AD20" s="216"/>
      <c r="AE20" s="216"/>
      <c r="AF20" s="216"/>
      <c r="AG20" s="216"/>
      <c r="AH20" s="216"/>
    </row>
    <row r="21" spans="2:34" ht="20.25">
      <c r="B21" s="221"/>
      <c r="C21" s="261"/>
      <c r="D21" s="262"/>
      <c r="E21" s="262"/>
      <c r="F21" s="262"/>
      <c r="G21" s="262"/>
      <c r="H21" s="262"/>
      <c r="I21" s="262"/>
      <c r="J21" s="262"/>
      <c r="K21" s="262"/>
      <c r="L21" s="262"/>
      <c r="M21" s="262"/>
      <c r="N21" s="262"/>
      <c r="O21" s="262"/>
      <c r="P21" s="262"/>
      <c r="Q21" s="262"/>
      <c r="R21" s="262"/>
      <c r="S21" s="221"/>
      <c r="T21" s="221"/>
      <c r="U21" s="221"/>
      <c r="V21" s="221"/>
      <c r="W21" s="221"/>
      <c r="X21" s="263" t="s">
        <v>185</v>
      </c>
      <c r="Y21" s="264"/>
      <c r="Z21" s="264"/>
      <c r="AA21" s="264"/>
      <c r="AB21" s="265">
        <f>AD19</f>
        <v>24.141574678849821</v>
      </c>
      <c r="AC21" s="221"/>
      <c r="AD21" s="263" t="s">
        <v>186</v>
      </c>
      <c r="AE21" s="264"/>
      <c r="AF21" s="264"/>
      <c r="AG21" s="264"/>
      <c r="AH21" s="265">
        <f>AH19</f>
        <v>-3.7402338527090251</v>
      </c>
    </row>
    <row r="22" spans="2:34" ht="18">
      <c r="B22" s="216"/>
      <c r="C22" s="266"/>
      <c r="D22" s="267"/>
      <c r="E22" s="267"/>
      <c r="F22" s="267"/>
      <c r="G22" s="267"/>
      <c r="H22" s="267"/>
      <c r="I22" s="267"/>
      <c r="J22" s="267"/>
      <c r="K22" s="267"/>
      <c r="L22" s="267"/>
      <c r="M22" s="267"/>
      <c r="N22" s="267"/>
      <c r="O22" s="267"/>
      <c r="P22" s="267"/>
      <c r="Q22" s="267"/>
      <c r="R22" s="267"/>
      <c r="S22" s="216"/>
      <c r="T22" s="216"/>
      <c r="U22" s="216"/>
      <c r="V22" s="216"/>
      <c r="W22" s="216"/>
      <c r="X22" s="268">
        <v>1</v>
      </c>
      <c r="Y22" s="269"/>
      <c r="Z22" s="270"/>
      <c r="AA22" s="270"/>
      <c r="AB22" s="271"/>
      <c r="AC22" s="216"/>
      <c r="AD22" s="268">
        <v>1</v>
      </c>
      <c r="AE22" s="269" t="s">
        <v>187</v>
      </c>
      <c r="AF22" s="270"/>
      <c r="AG22" s="270"/>
      <c r="AH22" s="271">
        <f>AJ64-'Summary month'!BN74</f>
        <v>0</v>
      </c>
    </row>
    <row r="23" spans="2:34" ht="20.25">
      <c r="B23" s="216"/>
      <c r="C23" s="272"/>
      <c r="D23" s="216"/>
      <c r="E23" s="216"/>
      <c r="F23" s="216"/>
      <c r="G23" s="216"/>
      <c r="H23" s="216"/>
      <c r="I23" s="273" t="s">
        <v>188</v>
      </c>
      <c r="J23" s="274"/>
      <c r="K23" s="274"/>
      <c r="L23" s="274"/>
      <c r="M23" s="275">
        <f>M19</f>
        <v>-56.107395404671557</v>
      </c>
      <c r="N23" s="216"/>
      <c r="O23" s="216"/>
      <c r="P23" s="216"/>
      <c r="Q23" s="216"/>
      <c r="R23" s="216"/>
      <c r="S23" s="216"/>
      <c r="T23" s="216"/>
      <c r="U23" s="216"/>
      <c r="V23" s="216"/>
      <c r="W23" s="216"/>
      <c r="X23" s="268">
        <v>2</v>
      </c>
      <c r="Y23" s="276"/>
      <c r="Z23" s="277"/>
      <c r="AA23" s="277"/>
      <c r="AB23" s="278"/>
      <c r="AC23" s="216"/>
      <c r="AD23" s="268">
        <v>2</v>
      </c>
      <c r="AE23" s="276"/>
      <c r="AF23" s="277"/>
      <c r="AG23" s="277"/>
      <c r="AH23" s="278"/>
    </row>
    <row r="24" spans="2:34" ht="18">
      <c r="B24" s="216"/>
      <c r="C24" s="272"/>
      <c r="D24" s="216"/>
      <c r="E24" s="216"/>
      <c r="F24" s="216"/>
      <c r="G24" s="216"/>
      <c r="H24" s="216"/>
      <c r="I24" s="279">
        <v>1</v>
      </c>
      <c r="J24" s="269" t="str">
        <f t="shared" ref="J24:J30" si="0">J66</f>
        <v>Legacy claims March push down</v>
      </c>
      <c r="K24" s="270"/>
      <c r="L24" s="270"/>
      <c r="M24" s="280">
        <f t="shared" ref="M24:M30" si="1">M66</f>
        <v>-37</v>
      </c>
      <c r="N24" s="216"/>
      <c r="O24" s="216"/>
      <c r="P24" s="216"/>
      <c r="Q24" s="216"/>
      <c r="R24" s="216"/>
      <c r="S24" s="216"/>
      <c r="T24" s="216"/>
      <c r="U24" s="216"/>
      <c r="V24" s="216"/>
      <c r="W24" s="216"/>
      <c r="X24" s="268">
        <v>3</v>
      </c>
      <c r="Y24" s="276"/>
      <c r="Z24" s="277"/>
      <c r="AA24" s="277"/>
      <c r="AB24" s="278"/>
      <c r="AC24" s="216"/>
      <c r="AD24" s="268">
        <v>3</v>
      </c>
      <c r="AE24" s="276"/>
      <c r="AF24" s="277"/>
      <c r="AG24" s="277"/>
      <c r="AH24" s="278"/>
    </row>
    <row r="25" spans="2:34" ht="18">
      <c r="B25" s="216"/>
      <c r="C25" s="272"/>
      <c r="D25" s="216"/>
      <c r="E25" s="216"/>
      <c r="F25" s="216"/>
      <c r="G25" s="216"/>
      <c r="H25" s="216"/>
      <c r="I25" s="279">
        <v>2</v>
      </c>
      <c r="J25" s="276" t="str">
        <f t="shared" si="0"/>
        <v>Bosch claim</v>
      </c>
      <c r="K25" s="277"/>
      <c r="L25" s="277"/>
      <c r="M25" s="281">
        <f t="shared" si="1"/>
        <v>-2</v>
      </c>
      <c r="N25" s="216"/>
      <c r="O25" s="216"/>
      <c r="P25" s="216"/>
      <c r="Q25" s="216"/>
      <c r="R25" s="216"/>
      <c r="S25" s="216"/>
      <c r="T25" s="216"/>
      <c r="U25" s="216"/>
      <c r="V25" s="216"/>
      <c r="W25" s="216"/>
      <c r="X25" s="268">
        <v>4</v>
      </c>
      <c r="Y25" s="276"/>
      <c r="Z25" s="277"/>
      <c r="AA25" s="277"/>
      <c r="AB25" s="278"/>
      <c r="AC25" s="216"/>
      <c r="AD25" s="268">
        <v>4</v>
      </c>
      <c r="AE25" s="276"/>
      <c r="AF25" s="277"/>
      <c r="AG25" s="277"/>
      <c r="AH25" s="278"/>
    </row>
    <row r="26" spans="2:34" ht="18">
      <c r="B26" s="216"/>
      <c r="C26" s="272"/>
      <c r="D26" s="216"/>
      <c r="E26" s="216"/>
      <c r="F26" s="216"/>
      <c r="G26" s="216"/>
      <c r="H26" s="216"/>
      <c r="I26" s="279">
        <v>3</v>
      </c>
      <c r="J26" s="276" t="str">
        <f t="shared" si="0"/>
        <v>PUR Blind task</v>
      </c>
      <c r="K26" s="277"/>
      <c r="L26" s="277"/>
      <c r="M26" s="281">
        <f t="shared" si="1"/>
        <v>-7</v>
      </c>
      <c r="N26" s="216"/>
      <c r="O26" s="216"/>
      <c r="P26" s="216"/>
      <c r="Q26" s="216"/>
      <c r="R26" s="216"/>
      <c r="S26" s="216"/>
      <c r="T26" s="216"/>
      <c r="U26" s="216"/>
      <c r="V26" s="216"/>
      <c r="W26" s="216"/>
      <c r="X26" s="282">
        <v>5</v>
      </c>
      <c r="Y26" s="283" t="s">
        <v>182</v>
      </c>
      <c r="Z26" s="284"/>
      <c r="AA26" s="284"/>
      <c r="AB26" s="285">
        <f>AB21-SUM(AB22:AB25)</f>
        <v>24.141574678849821</v>
      </c>
      <c r="AC26" s="216"/>
      <c r="AD26" s="282">
        <v>5</v>
      </c>
      <c r="AE26" s="283" t="s">
        <v>182</v>
      </c>
      <c r="AF26" s="284"/>
      <c r="AG26" s="284"/>
      <c r="AH26" s="285">
        <f>AH21-SUM(AH22:AH25)</f>
        <v>-3.7402338527090251</v>
      </c>
    </row>
    <row r="27" spans="2:34" ht="18">
      <c r="B27" s="216"/>
      <c r="C27" s="216"/>
      <c r="D27" s="272"/>
      <c r="E27" s="272"/>
      <c r="F27" s="272"/>
      <c r="G27" s="272"/>
      <c r="H27" s="272"/>
      <c r="I27" s="279">
        <v>4</v>
      </c>
      <c r="J27" s="276" t="str">
        <f t="shared" si="0"/>
        <v>Inv mvnt</v>
      </c>
      <c r="K27" s="277"/>
      <c r="L27" s="277"/>
      <c r="M27" s="281">
        <f t="shared" si="1"/>
        <v>-4</v>
      </c>
      <c r="N27" s="216"/>
      <c r="O27" s="216"/>
      <c r="P27" s="272"/>
      <c r="Q27" s="272"/>
      <c r="R27" s="216"/>
      <c r="S27" s="216"/>
      <c r="T27" s="216"/>
      <c r="U27" s="216"/>
      <c r="V27" s="216"/>
      <c r="W27" s="216"/>
      <c r="X27" s="216"/>
      <c r="Y27" s="216"/>
      <c r="Z27" s="216"/>
      <c r="AA27" s="216"/>
      <c r="AB27" s="286">
        <f>AB26-AB68</f>
        <v>0</v>
      </c>
      <c r="AC27" s="216"/>
      <c r="AD27" s="216"/>
      <c r="AE27" s="216"/>
      <c r="AF27" s="216"/>
      <c r="AG27" s="287"/>
      <c r="AH27" s="286">
        <f>AH26-AH68</f>
        <v>9.9999999999999645E-2</v>
      </c>
    </row>
    <row r="28" spans="2:34" ht="18">
      <c r="B28" s="216"/>
      <c r="C28" s="272"/>
      <c r="D28" s="216"/>
      <c r="E28" s="216"/>
      <c r="F28" s="216"/>
      <c r="G28" s="216"/>
      <c r="H28" s="216"/>
      <c r="I28" s="279">
        <v>5</v>
      </c>
      <c r="J28" s="276" t="str">
        <f t="shared" si="0"/>
        <v xml:space="preserve"> X-badges</v>
      </c>
      <c r="K28" s="277"/>
      <c r="L28" s="277"/>
      <c r="M28" s="281">
        <f t="shared" si="1"/>
        <v>-2.0672616390000016</v>
      </c>
      <c r="N28" s="216"/>
      <c r="O28" s="216"/>
      <c r="P28" s="216"/>
      <c r="Q28" s="216"/>
      <c r="R28" s="216"/>
      <c r="S28" s="216"/>
      <c r="T28" s="216"/>
      <c r="U28" s="216"/>
      <c r="V28" s="216"/>
      <c r="W28" s="216"/>
      <c r="X28" s="216"/>
      <c r="Y28" s="216"/>
      <c r="Z28" s="216"/>
      <c r="AA28" s="216"/>
      <c r="AB28" s="216"/>
      <c r="AC28" s="216"/>
      <c r="AD28" s="216"/>
      <c r="AE28" s="216"/>
      <c r="AF28" s="216"/>
      <c r="AG28" s="216"/>
      <c r="AH28" s="216"/>
    </row>
    <row r="29" spans="2:34" ht="18">
      <c r="B29" s="216"/>
      <c r="C29" s="272"/>
      <c r="D29" s="216"/>
      <c r="E29" s="216"/>
      <c r="F29" s="216"/>
      <c r="G29" s="216"/>
      <c r="H29" s="216"/>
      <c r="I29" s="279">
        <v>6</v>
      </c>
      <c r="J29" s="276" t="str">
        <f t="shared" si="0"/>
        <v>Logistic</v>
      </c>
      <c r="K29" s="277"/>
      <c r="L29" s="277"/>
      <c r="M29" s="281">
        <f t="shared" si="1"/>
        <v>-2.1220487920000002</v>
      </c>
      <c r="N29" s="216"/>
      <c r="O29" s="216"/>
      <c r="P29" s="216"/>
      <c r="Q29" s="216"/>
      <c r="R29" s="216"/>
      <c r="S29" s="216"/>
      <c r="T29" s="216"/>
      <c r="U29" s="216"/>
      <c r="V29" s="216"/>
      <c r="W29" s="216"/>
      <c r="X29" s="216"/>
      <c r="Y29" s="216"/>
      <c r="Z29" s="216"/>
      <c r="AA29" s="216"/>
      <c r="AB29" s="216"/>
      <c r="AC29" s="216"/>
      <c r="AD29" s="216"/>
      <c r="AE29" s="216"/>
      <c r="AF29" s="216"/>
      <c r="AG29" s="216"/>
      <c r="AH29" s="216"/>
    </row>
    <row r="30" spans="2:34" ht="18">
      <c r="B30" s="216"/>
      <c r="C30" s="272"/>
      <c r="D30" s="272"/>
      <c r="E30" s="216"/>
      <c r="F30" s="216"/>
      <c r="G30" s="216"/>
      <c r="H30" s="216"/>
      <c r="I30" s="279">
        <v>7</v>
      </c>
      <c r="J30" s="276" t="str">
        <f t="shared" si="0"/>
        <v>Micra</v>
      </c>
      <c r="K30" s="277"/>
      <c r="L30" s="277"/>
      <c r="M30" s="281">
        <f t="shared" si="1"/>
        <v>-1.359</v>
      </c>
      <c r="N30" s="216"/>
      <c r="O30" s="216"/>
      <c r="P30" s="216"/>
      <c r="Q30" s="216"/>
      <c r="R30" s="216"/>
      <c r="S30" s="216"/>
      <c r="T30" s="216"/>
      <c r="U30" s="216"/>
      <c r="V30" s="216"/>
      <c r="W30" s="216"/>
      <c r="X30" s="216"/>
      <c r="Y30" s="216"/>
      <c r="Z30" s="216"/>
      <c r="AA30" s="216"/>
      <c r="AB30" s="216"/>
      <c r="AC30" s="216"/>
      <c r="AD30" s="216"/>
      <c r="AE30" s="216"/>
      <c r="AF30" s="216"/>
      <c r="AG30" s="216"/>
      <c r="AH30" s="216"/>
    </row>
    <row r="31" spans="2:34" ht="18">
      <c r="B31" s="216"/>
      <c r="C31" s="291"/>
      <c r="D31" s="216"/>
      <c r="E31" s="216"/>
      <c r="F31" s="292" t="s">
        <v>189</v>
      </c>
      <c r="G31" s="216"/>
      <c r="H31" s="216"/>
      <c r="I31" s="279">
        <v>8</v>
      </c>
      <c r="J31" s="289" t="s">
        <v>182</v>
      </c>
      <c r="K31" s="284"/>
      <c r="L31" s="284"/>
      <c r="M31" s="290">
        <f>M23-SUM(M24:M30)</f>
        <v>-0.55908497367155263</v>
      </c>
      <c r="N31" s="216"/>
      <c r="O31" s="216"/>
      <c r="P31" s="216"/>
      <c r="Q31" s="216"/>
      <c r="R31" s="216"/>
      <c r="S31" s="216"/>
      <c r="T31" s="216"/>
      <c r="U31" s="216"/>
      <c r="V31" s="216"/>
      <c r="W31" s="216"/>
      <c r="X31" s="216"/>
      <c r="Y31" s="216"/>
      <c r="Z31" s="216"/>
      <c r="AA31" s="216"/>
      <c r="AB31" s="216"/>
      <c r="AC31" s="216"/>
      <c r="AD31" s="216"/>
      <c r="AE31" s="216"/>
      <c r="AF31" s="216"/>
      <c r="AG31" s="216"/>
      <c r="AH31" s="216"/>
    </row>
    <row r="32" spans="2:34" ht="20.25">
      <c r="B32" s="216"/>
      <c r="C32" s="216"/>
      <c r="D32" s="293" t="s">
        <v>243</v>
      </c>
      <c r="E32" s="293" t="s">
        <v>287</v>
      </c>
      <c r="F32" s="293" t="s">
        <v>190</v>
      </c>
      <c r="G32" s="216"/>
      <c r="H32" s="216"/>
      <c r="I32" s="216"/>
      <c r="J32" s="216"/>
      <c r="K32" s="216"/>
      <c r="L32" s="216"/>
      <c r="M32" s="216"/>
      <c r="N32" s="216"/>
      <c r="O32" s="273" t="s">
        <v>191</v>
      </c>
      <c r="P32" s="274"/>
      <c r="Q32" s="274"/>
      <c r="R32" s="274"/>
      <c r="S32" s="294">
        <f>S19</f>
        <v>-93.711447012623864</v>
      </c>
      <c r="T32" s="216"/>
      <c r="U32" s="272"/>
      <c r="V32" s="272"/>
      <c r="W32" s="272"/>
      <c r="X32" s="216"/>
      <c r="Y32" s="216"/>
      <c r="Z32" s="216"/>
      <c r="AA32" s="216"/>
      <c r="AB32" s="216"/>
      <c r="AC32" s="216"/>
      <c r="AD32" s="216"/>
      <c r="AE32" s="216"/>
      <c r="AF32" s="216"/>
      <c r="AG32" s="216"/>
      <c r="AH32" s="216"/>
    </row>
    <row r="33" spans="2:34" ht="20.25">
      <c r="B33" s="216"/>
      <c r="C33" s="295" t="s">
        <v>192</v>
      </c>
      <c r="D33" s="296">
        <f>SUM('Summary month'!BJ11:BJ13)*1000</f>
        <v>70572</v>
      </c>
      <c r="E33" s="296">
        <f>SUM('Summary month'!I11:I13)*1000</f>
        <v>16125</v>
      </c>
      <c r="F33" s="296">
        <f>E33-D33</f>
        <v>-54447</v>
      </c>
      <c r="G33" s="216"/>
      <c r="H33" s="216"/>
      <c r="I33" s="216"/>
      <c r="J33" s="216"/>
      <c r="K33" s="216"/>
      <c r="L33" s="216"/>
      <c r="M33" s="216"/>
      <c r="N33" s="216"/>
      <c r="O33" s="279">
        <v>1</v>
      </c>
      <c r="P33" s="269" t="s">
        <v>193</v>
      </c>
      <c r="Q33" s="270"/>
      <c r="R33" s="270"/>
      <c r="S33" s="280">
        <f>S75</f>
        <v>0.39289625109600723</v>
      </c>
      <c r="T33" s="216"/>
      <c r="U33" s="216"/>
      <c r="V33" s="216"/>
      <c r="W33" s="216"/>
      <c r="X33" s="297"/>
      <c r="Y33" s="216"/>
      <c r="Z33" s="216"/>
      <c r="AA33" s="216"/>
      <c r="AB33" s="216"/>
      <c r="AC33" s="216"/>
      <c r="AD33" s="216"/>
      <c r="AE33" s="216"/>
      <c r="AF33" s="216"/>
      <c r="AG33" s="216"/>
      <c r="AH33" s="216"/>
    </row>
    <row r="34" spans="2:34" ht="20.25">
      <c r="B34" s="216"/>
      <c r="C34" s="295" t="s">
        <v>194</v>
      </c>
      <c r="D34" s="296">
        <f>'Summary month'!BJ14*1000</f>
        <v>2393</v>
      </c>
      <c r="E34" s="296">
        <f>'Summary month'!I14*1000</f>
        <v>481</v>
      </c>
      <c r="F34" s="296">
        <f>E34-D34</f>
        <v>-1912</v>
      </c>
      <c r="G34" s="216"/>
      <c r="H34" s="216"/>
      <c r="I34" s="216"/>
      <c r="J34" s="216"/>
      <c r="K34" s="216"/>
      <c r="L34" s="216"/>
      <c r="M34" s="216"/>
      <c r="N34" s="216"/>
      <c r="O34" s="279">
        <v>2</v>
      </c>
      <c r="P34" s="276" t="str">
        <f>P77</f>
        <v>NRV</v>
      </c>
      <c r="Q34" s="277"/>
      <c r="R34" s="277"/>
      <c r="S34" s="281">
        <f>S77</f>
        <v>15.651760827947582</v>
      </c>
      <c r="T34" s="216"/>
      <c r="U34" s="552">
        <f>-S76+S37</f>
        <v>-2.1358332515785223</v>
      </c>
      <c r="V34" s="216"/>
      <c r="W34" s="216"/>
      <c r="X34" s="216"/>
      <c r="Y34" s="216"/>
      <c r="Z34" s="216"/>
      <c r="AA34" s="216"/>
      <c r="AB34" s="216"/>
      <c r="AC34" s="216"/>
      <c r="AD34" s="216"/>
      <c r="AE34" s="216"/>
      <c r="AF34" s="216"/>
      <c r="AG34" s="216"/>
      <c r="AH34" s="216"/>
    </row>
    <row r="35" spans="2:34" ht="18">
      <c r="B35" s="216"/>
      <c r="C35" s="216"/>
      <c r="D35" s="298"/>
      <c r="E35" s="298"/>
      <c r="F35" s="298"/>
      <c r="G35" s="216"/>
      <c r="H35" s="216"/>
      <c r="I35" s="216"/>
      <c r="J35" s="216"/>
      <c r="K35" s="216"/>
      <c r="L35" s="216"/>
      <c r="M35" s="216"/>
      <c r="N35" s="216"/>
      <c r="O35" s="279">
        <v>3</v>
      </c>
      <c r="P35" s="276" t="str">
        <f>P78</f>
        <v>UP</v>
      </c>
      <c r="Q35" s="277"/>
      <c r="R35" s="277"/>
      <c r="S35" s="281">
        <f>S78</f>
        <v>8.5134868828717511</v>
      </c>
      <c r="T35" s="216"/>
      <c r="U35" s="216"/>
      <c r="V35" s="216"/>
      <c r="W35" s="216"/>
      <c r="X35" s="216"/>
      <c r="Y35" s="216"/>
      <c r="Z35" s="216"/>
      <c r="AA35" s="216"/>
      <c r="AB35" s="216"/>
      <c r="AC35" s="216"/>
      <c r="AD35" s="216"/>
      <c r="AE35" s="216"/>
      <c r="AF35" s="216"/>
      <c r="AG35" s="216"/>
      <c r="AH35" s="216"/>
    </row>
    <row r="36" spans="2:34" ht="20.25">
      <c r="B36" s="216"/>
      <c r="C36" s="295" t="s">
        <v>196</v>
      </c>
      <c r="D36" s="368">
        <f>[11]MZ!$H$12*1000</f>
        <v>72720</v>
      </c>
      <c r="E36" s="296">
        <f>'[9]P&amp;L Actual'!$AL$18</f>
        <v>73110</v>
      </c>
      <c r="F36" s="296">
        <f>E36-D36</f>
        <v>390</v>
      </c>
      <c r="G36" s="216"/>
      <c r="H36" s="216"/>
      <c r="I36" s="216"/>
      <c r="J36" s="216"/>
      <c r="K36" s="216"/>
      <c r="L36" s="216"/>
      <c r="M36" s="216"/>
      <c r="N36" s="216"/>
      <c r="O36" s="279">
        <v>4</v>
      </c>
      <c r="P36" s="276" t="s">
        <v>247</v>
      </c>
      <c r="Q36" s="277"/>
      <c r="R36" s="277"/>
      <c r="S36" s="281">
        <f>S79</f>
        <v>19.557352230000003</v>
      </c>
      <c r="T36" s="216"/>
      <c r="U36" s="216"/>
      <c r="V36" s="216"/>
      <c r="W36" s="216"/>
      <c r="X36" s="216"/>
      <c r="Y36" s="216"/>
      <c r="Z36" s="216"/>
      <c r="AA36" s="216"/>
      <c r="AB36" s="216"/>
      <c r="AC36" s="216"/>
      <c r="AD36" s="216"/>
      <c r="AE36" s="216"/>
      <c r="AF36" s="216"/>
      <c r="AG36" s="216"/>
      <c r="AH36" s="216"/>
    </row>
    <row r="37" spans="2:34" ht="18">
      <c r="B37" s="216"/>
      <c r="C37" s="216"/>
      <c r="D37" s="216"/>
      <c r="E37" s="216"/>
      <c r="F37" s="216"/>
      <c r="G37" s="216"/>
      <c r="H37" s="216"/>
      <c r="I37" s="216"/>
      <c r="J37" s="216"/>
      <c r="K37" s="216"/>
      <c r="L37" s="216"/>
      <c r="M37" s="216"/>
      <c r="N37" s="216"/>
      <c r="O37" s="279">
        <v>5</v>
      </c>
      <c r="P37" s="276" t="s">
        <v>58</v>
      </c>
      <c r="Q37" s="277"/>
      <c r="R37" s="277"/>
      <c r="S37" s="278">
        <f>'Summary month'!BN71</f>
        <v>-6.6385539999999992</v>
      </c>
      <c r="T37" s="216"/>
      <c r="U37" s="216"/>
      <c r="V37" s="216"/>
      <c r="W37" s="216"/>
      <c r="X37" s="216"/>
      <c r="Y37" s="216"/>
      <c r="Z37" s="216"/>
      <c r="AA37" s="216"/>
      <c r="AB37" s="216"/>
      <c r="AC37" s="216"/>
      <c r="AD37" s="216"/>
      <c r="AE37" s="216"/>
      <c r="AF37" s="216"/>
      <c r="AG37" s="216"/>
      <c r="AH37" s="216"/>
    </row>
    <row r="38" spans="2:34" ht="18">
      <c r="B38" s="216"/>
      <c r="C38" s="216"/>
      <c r="D38" s="216"/>
      <c r="E38" s="216"/>
      <c r="F38" s="216"/>
      <c r="G38" s="216"/>
      <c r="H38" s="216"/>
      <c r="I38" s="216"/>
      <c r="J38" s="216"/>
      <c r="K38" s="216"/>
      <c r="L38" s="216"/>
      <c r="M38" s="216"/>
      <c r="N38" s="216"/>
      <c r="O38" s="279">
        <v>6</v>
      </c>
      <c r="P38" s="276"/>
      <c r="Q38" s="277"/>
      <c r="R38" s="277"/>
      <c r="S38" s="281"/>
      <c r="T38" s="216"/>
      <c r="U38" s="216"/>
      <c r="V38" s="216"/>
      <c r="W38" s="216"/>
      <c r="X38" s="216"/>
      <c r="Y38" s="216"/>
      <c r="Z38" s="216"/>
      <c r="AA38" s="216"/>
      <c r="AB38" s="216"/>
      <c r="AC38" s="216"/>
      <c r="AD38" s="216"/>
      <c r="AE38" s="216"/>
      <c r="AF38" s="216"/>
      <c r="AG38" s="216"/>
      <c r="AH38" s="216"/>
    </row>
    <row r="39" spans="2:34" ht="18">
      <c r="B39" s="216"/>
      <c r="C39" s="216"/>
      <c r="D39" s="216"/>
      <c r="E39" s="216"/>
      <c r="F39" s="216"/>
      <c r="G39" s="216"/>
      <c r="H39" s="216"/>
      <c r="I39" s="216"/>
      <c r="J39" s="216"/>
      <c r="K39" s="216"/>
      <c r="L39" s="216"/>
      <c r="M39" s="216"/>
      <c r="N39" s="216"/>
      <c r="O39" s="279">
        <v>7</v>
      </c>
      <c r="P39" s="276"/>
      <c r="Q39" s="277"/>
      <c r="R39" s="277"/>
      <c r="S39" s="281"/>
      <c r="T39" s="216"/>
      <c r="U39" s="216"/>
      <c r="V39" s="216"/>
      <c r="W39" s="216"/>
      <c r="X39" s="216"/>
      <c r="Y39" s="216"/>
      <c r="Z39" s="216"/>
      <c r="AA39" s="216"/>
      <c r="AB39" s="216"/>
      <c r="AC39" s="216"/>
      <c r="AD39" s="216"/>
      <c r="AE39" s="216"/>
      <c r="AF39" s="216"/>
      <c r="AG39" s="216"/>
      <c r="AH39" s="216"/>
    </row>
    <row r="40" spans="2:34" ht="18">
      <c r="B40" s="216"/>
      <c r="C40" s="216"/>
      <c r="D40" s="216"/>
      <c r="E40" s="216"/>
      <c r="F40" s="216"/>
      <c r="G40" s="216"/>
      <c r="H40" s="216"/>
      <c r="I40" s="216"/>
      <c r="J40" s="216"/>
      <c r="K40" s="216"/>
      <c r="L40" s="216"/>
      <c r="M40" s="216"/>
      <c r="N40" s="216"/>
      <c r="O40" s="279">
        <v>8</v>
      </c>
      <c r="P40" s="276"/>
      <c r="Q40" s="277"/>
      <c r="R40" s="277"/>
      <c r="S40" s="278"/>
      <c r="T40" s="216"/>
      <c r="U40" s="216"/>
      <c r="V40" s="216"/>
      <c r="W40" s="216"/>
      <c r="X40" s="216"/>
      <c r="Y40" s="216"/>
      <c r="Z40" s="216"/>
      <c r="AA40" s="216"/>
      <c r="AB40" s="216"/>
      <c r="AC40" s="216"/>
      <c r="AD40" s="216"/>
      <c r="AE40" s="216"/>
      <c r="AF40" s="216"/>
      <c r="AG40" s="216"/>
      <c r="AH40" s="216"/>
    </row>
    <row r="41" spans="2:34" ht="18">
      <c r="B41" s="216"/>
      <c r="C41" s="216"/>
      <c r="D41" s="216"/>
      <c r="E41" s="216"/>
      <c r="F41" s="216"/>
      <c r="G41" s="216"/>
      <c r="H41" s="216"/>
      <c r="I41" s="216"/>
      <c r="J41" s="216"/>
      <c r="K41" s="216"/>
      <c r="L41" s="216"/>
      <c r="M41" s="216"/>
      <c r="N41" s="216"/>
      <c r="O41" s="279">
        <v>9</v>
      </c>
      <c r="P41" s="276"/>
      <c r="Q41" s="277"/>
      <c r="R41" s="277"/>
      <c r="S41" s="278"/>
      <c r="T41" s="216"/>
      <c r="U41" s="216"/>
      <c r="V41" s="216"/>
      <c r="W41" s="216"/>
      <c r="X41" s="216"/>
      <c r="Y41" s="216"/>
      <c r="Z41" s="216"/>
      <c r="AA41" s="216"/>
      <c r="AB41" s="216"/>
      <c r="AC41" s="216"/>
      <c r="AD41" s="216"/>
      <c r="AE41" s="216"/>
      <c r="AF41" s="216"/>
      <c r="AG41" s="216"/>
      <c r="AH41" s="216"/>
    </row>
    <row r="42" spans="2:34" ht="18">
      <c r="B42" s="216"/>
      <c r="C42" s="216"/>
      <c r="D42" s="216"/>
      <c r="E42" s="216"/>
      <c r="F42" s="216"/>
      <c r="G42" s="216"/>
      <c r="H42" s="216"/>
      <c r="I42" s="216"/>
      <c r="J42" s="216"/>
      <c r="K42" s="216"/>
      <c r="L42" s="216"/>
      <c r="M42" s="216"/>
      <c r="N42" s="216"/>
      <c r="O42" s="288">
        <v>10</v>
      </c>
      <c r="P42" s="283" t="s">
        <v>182</v>
      </c>
      <c r="Q42" s="284"/>
      <c r="R42" s="284"/>
      <c r="S42" s="285">
        <f>S32-SUM(S33:S41)</f>
        <v>-131.18838920453919</v>
      </c>
      <c r="T42" s="216"/>
      <c r="U42" s="216"/>
      <c r="V42" s="216"/>
      <c r="W42" s="216"/>
      <c r="X42" s="216"/>
      <c r="Y42" s="216"/>
      <c r="Z42" s="216"/>
      <c r="AA42" s="216"/>
      <c r="AB42" s="216"/>
      <c r="AC42" s="216"/>
      <c r="AD42" s="216"/>
      <c r="AE42" s="216"/>
      <c r="AF42" s="216"/>
      <c r="AG42" s="216"/>
      <c r="AH42" s="216"/>
    </row>
    <row r="43" spans="2:34">
      <c r="B43" s="216"/>
      <c r="C43" s="216"/>
      <c r="D43" s="216"/>
      <c r="E43" s="216"/>
      <c r="F43" s="216"/>
      <c r="G43" s="216"/>
      <c r="H43" s="216"/>
      <c r="I43" s="216"/>
      <c r="J43" s="216"/>
      <c r="K43" s="216"/>
      <c r="L43" s="216"/>
      <c r="M43" s="216"/>
      <c r="N43" s="216"/>
      <c r="O43" s="216"/>
      <c r="P43" s="216"/>
      <c r="Q43" s="216"/>
      <c r="R43" s="216"/>
      <c r="S43" s="286">
        <f>S42-S84</f>
        <v>8.7743872515785881</v>
      </c>
      <c r="T43" s="286"/>
      <c r="U43" s="216"/>
      <c r="V43" s="216"/>
      <c r="W43" s="216"/>
      <c r="X43" s="216"/>
      <c r="Y43" s="216"/>
      <c r="Z43" s="216"/>
      <c r="AA43" s="216"/>
      <c r="AB43" s="216"/>
      <c r="AC43" s="216"/>
      <c r="AD43" s="216"/>
      <c r="AE43" s="216"/>
      <c r="AF43" s="216"/>
      <c r="AG43" s="216"/>
      <c r="AH43" s="216"/>
    </row>
    <row r="44" spans="2:34" ht="28.5">
      <c r="B44" s="299" t="s">
        <v>197</v>
      </c>
      <c r="C44" s="216"/>
      <c r="D44" s="216"/>
      <c r="E44" s="216"/>
      <c r="F44" s="216"/>
      <c r="G44" s="216"/>
      <c r="H44" s="216"/>
      <c r="I44" s="216"/>
      <c r="J44" s="216"/>
      <c r="K44" s="216"/>
      <c r="L44" s="216"/>
      <c r="M44" s="216"/>
      <c r="N44" s="216"/>
      <c r="O44" s="216"/>
      <c r="P44" s="216"/>
      <c r="Q44" s="216"/>
      <c r="R44" s="216"/>
      <c r="S44" s="216"/>
      <c r="T44" s="216"/>
      <c r="U44" s="216"/>
      <c r="V44" s="216"/>
      <c r="W44" s="216"/>
      <c r="X44" s="216"/>
      <c r="Y44" s="216"/>
      <c r="Z44" s="216"/>
      <c r="AA44" s="216"/>
      <c r="AB44" s="216"/>
      <c r="AC44" s="216"/>
      <c r="AD44" s="216"/>
      <c r="AE44" s="216"/>
      <c r="AF44" s="216"/>
      <c r="AG44" s="216"/>
      <c r="AH44" s="216"/>
    </row>
    <row r="45" spans="2:34">
      <c r="B45" s="216"/>
      <c r="C45" s="216"/>
      <c r="D45" s="216"/>
      <c r="E45" s="216"/>
      <c r="F45" s="216"/>
      <c r="G45" s="216"/>
      <c r="H45" s="216"/>
      <c r="I45" s="216"/>
      <c r="J45" s="216"/>
      <c r="K45" s="216"/>
      <c r="L45" s="216"/>
      <c r="M45" s="216"/>
      <c r="N45" s="216"/>
      <c r="O45" s="216"/>
      <c r="P45" s="216"/>
      <c r="Q45" s="216"/>
      <c r="R45" s="216"/>
      <c r="S45" s="216"/>
      <c r="T45" s="216"/>
      <c r="U45" s="216"/>
      <c r="V45" s="216"/>
      <c r="W45" s="216"/>
      <c r="X45" s="216"/>
      <c r="Y45" s="216"/>
      <c r="Z45" s="216"/>
      <c r="AA45" s="216"/>
      <c r="AB45" s="216"/>
      <c r="AC45" s="216"/>
      <c r="AD45" s="216"/>
      <c r="AE45" s="216"/>
      <c r="AF45" s="216"/>
      <c r="AG45" s="216"/>
      <c r="AH45" s="216"/>
    </row>
    <row r="46" spans="2:34">
      <c r="B46" s="216"/>
      <c r="C46" s="216"/>
      <c r="D46" s="216"/>
      <c r="E46" s="216"/>
      <c r="F46" s="216"/>
      <c r="G46" s="216"/>
      <c r="H46" s="216"/>
      <c r="I46" s="216"/>
      <c r="J46" s="216"/>
      <c r="K46" s="216"/>
      <c r="L46" s="216"/>
      <c r="M46" s="216"/>
      <c r="N46" s="216"/>
      <c r="O46" s="216"/>
      <c r="P46" s="216"/>
      <c r="Q46" s="216"/>
      <c r="R46" s="216"/>
      <c r="S46" s="216"/>
      <c r="T46" s="216"/>
      <c r="U46" s="216"/>
      <c r="V46" s="216"/>
      <c r="W46" s="216"/>
      <c r="X46" s="216"/>
      <c r="Y46" s="216"/>
      <c r="Z46" s="216"/>
      <c r="AA46" s="216"/>
      <c r="AB46" s="216"/>
      <c r="AC46" s="216"/>
      <c r="AD46" s="216"/>
      <c r="AE46" s="216"/>
      <c r="AF46" s="216"/>
      <c r="AG46" s="216"/>
      <c r="AH46" s="216"/>
    </row>
    <row r="47" spans="2:34" ht="20.25">
      <c r="B47" s="216"/>
      <c r="C47" s="226" t="str">
        <f>B52</f>
        <v>OL QTD</v>
      </c>
      <c r="D47" s="226" t="str">
        <f>C52</f>
        <v>Act QTD</v>
      </c>
      <c r="E47" s="226" t="s">
        <v>320</v>
      </c>
      <c r="F47" s="226" t="s">
        <v>321</v>
      </c>
      <c r="G47" s="226" t="s">
        <v>322</v>
      </c>
      <c r="H47" s="292" t="s">
        <v>323</v>
      </c>
      <c r="I47" s="216"/>
      <c r="J47" s="216"/>
      <c r="K47" s="216"/>
      <c r="L47" s="216"/>
      <c r="M47" s="216"/>
      <c r="N47" s="216"/>
      <c r="O47" s="216"/>
      <c r="P47" s="216"/>
      <c r="Q47" s="216"/>
      <c r="R47" s="216"/>
      <c r="S47" s="216"/>
      <c r="T47" s="216"/>
      <c r="U47" s="216"/>
      <c r="V47" s="216"/>
      <c r="W47" s="216"/>
      <c r="X47" s="216"/>
      <c r="Y47" s="216"/>
      <c r="Z47" s="216"/>
      <c r="AA47" s="216"/>
      <c r="AB47" s="216"/>
      <c r="AC47" s="216"/>
      <c r="AD47" s="216"/>
      <c r="AE47" s="216"/>
      <c r="AF47" s="216"/>
      <c r="AG47" s="216"/>
      <c r="AH47" s="216"/>
    </row>
    <row r="48" spans="2:34" ht="20.25">
      <c r="B48" s="226" t="s">
        <v>324</v>
      </c>
      <c r="C48" s="229">
        <f>'Summary month'!BJ27</f>
        <v>279.18554806257987</v>
      </c>
      <c r="D48" s="229">
        <f>'Summary month'!I27</f>
        <v>86.083619587646751</v>
      </c>
      <c r="E48" s="226">
        <f>+D48-C48</f>
        <v>-193.10192847493312</v>
      </c>
      <c r="F48" s="226">
        <f>B61</f>
        <v>5.0479703666812172</v>
      </c>
      <c r="G48" s="226">
        <f>SUM(C61:S61)</f>
        <v>-198.14989884161434</v>
      </c>
      <c r="H48" s="502">
        <f>E48-F48-G48</f>
        <v>0</v>
      </c>
      <c r="I48" s="216"/>
      <c r="J48" s="216"/>
      <c r="K48" s="216"/>
      <c r="L48" s="216"/>
      <c r="M48" s="216"/>
      <c r="N48" s="216"/>
      <c r="O48" s="216"/>
      <c r="P48" s="216"/>
      <c r="Q48" s="216"/>
      <c r="R48" s="216"/>
      <c r="S48" s="216"/>
      <c r="T48" s="216"/>
      <c r="U48" s="216"/>
      <c r="V48" s="216"/>
      <c r="W48" s="216"/>
      <c r="X48" s="216"/>
      <c r="Y48" s="216"/>
      <c r="Z48" s="216"/>
      <c r="AA48" s="216"/>
      <c r="AB48" s="216"/>
      <c r="AC48" s="216"/>
      <c r="AD48" s="216"/>
      <c r="AE48" s="216"/>
      <c r="AF48" s="216"/>
      <c r="AG48" s="216"/>
      <c r="AH48" s="216"/>
    </row>
    <row r="49" spans="2:37" ht="20.25">
      <c r="B49" s="226" t="s">
        <v>325</v>
      </c>
      <c r="C49" s="229">
        <f>'Summary month'!BJ46</f>
        <v>-366.88042144989731</v>
      </c>
      <c r="D49" s="229">
        <f>'Summary month'!I46</f>
        <v>-128.47130442265509</v>
      </c>
      <c r="E49" s="226">
        <f>+D49-C49</f>
        <v>238.40911702724222</v>
      </c>
      <c r="F49" s="226">
        <f>T61</f>
        <v>0.46445096228274307</v>
      </c>
      <c r="G49" s="226">
        <f>SUM(U61:AH61)</f>
        <v>237.94466606495948</v>
      </c>
      <c r="H49" s="502">
        <f>E49-F49-G49</f>
        <v>0</v>
      </c>
      <c r="I49" s="216"/>
      <c r="J49" s="216"/>
      <c r="K49" s="216"/>
      <c r="L49" s="216"/>
      <c r="M49" s="216"/>
      <c r="N49" s="216"/>
      <c r="O49" s="216"/>
      <c r="P49" s="216"/>
      <c r="Q49" s="216">
        <v>0</v>
      </c>
      <c r="R49" s="216"/>
      <c r="S49" s="216"/>
      <c r="T49" s="216"/>
      <c r="U49" s="216"/>
      <c r="V49" s="216"/>
      <c r="W49" s="216"/>
      <c r="X49" s="216"/>
      <c r="Y49" s="216"/>
      <c r="Z49" s="216"/>
      <c r="AA49" s="216"/>
      <c r="AB49" s="216"/>
      <c r="AC49" s="216"/>
      <c r="AD49" s="216"/>
      <c r="AE49" s="216"/>
      <c r="AF49" s="216"/>
      <c r="AG49" s="216"/>
      <c r="AH49" s="216"/>
    </row>
    <row r="50" spans="2:37" ht="20.25">
      <c r="B50" s="226" t="s">
        <v>326</v>
      </c>
      <c r="C50" s="226">
        <f>+C48+C49</f>
        <v>-87.694873387317443</v>
      </c>
      <c r="D50" s="226">
        <f>+D48+D49</f>
        <v>-42.387684835008343</v>
      </c>
      <c r="E50" s="226">
        <f>+D50-C50</f>
        <v>45.3071885523091</v>
      </c>
      <c r="F50" s="226">
        <f>+E50-G50</f>
        <v>5.512421328963967</v>
      </c>
      <c r="G50" s="226">
        <f>+G48+G49</f>
        <v>39.794767223345133</v>
      </c>
      <c r="H50" s="502">
        <f>E50-F50-G50</f>
        <v>0</v>
      </c>
      <c r="I50" s="216"/>
      <c r="J50" s="216"/>
      <c r="K50" s="216"/>
      <c r="L50" s="216"/>
      <c r="M50" s="216"/>
      <c r="N50" s="216"/>
      <c r="O50" s="216"/>
      <c r="P50" s="216"/>
      <c r="Q50" s="216"/>
      <c r="R50" s="216"/>
      <c r="S50" s="216"/>
      <c r="T50" s="216"/>
      <c r="U50" s="216"/>
      <c r="V50" s="216"/>
      <c r="W50" s="216"/>
      <c r="X50" s="216"/>
      <c r="Y50" s="216"/>
      <c r="Z50" s="216"/>
      <c r="AA50" s="216"/>
      <c r="AB50" s="216"/>
      <c r="AC50" s="216"/>
      <c r="AD50" s="216"/>
      <c r="AE50" s="216"/>
      <c r="AF50" s="216"/>
      <c r="AG50" s="216"/>
      <c r="AH50" s="216"/>
    </row>
    <row r="51" spans="2:37" ht="18">
      <c r="B51" s="215"/>
      <c r="C51" s="216"/>
      <c r="D51" s="215"/>
      <c r="E51" s="216"/>
      <c r="F51" s="215"/>
      <c r="G51" s="217" t="s">
        <v>138</v>
      </c>
      <c r="H51" s="216"/>
      <c r="I51" s="216"/>
      <c r="J51" s="216"/>
      <c r="K51" s="216"/>
      <c r="L51" s="216"/>
      <c r="M51" s="216"/>
      <c r="N51" s="216"/>
      <c r="O51" s="216"/>
      <c r="P51" s="216"/>
      <c r="Q51" s="216"/>
      <c r="R51" s="216"/>
      <c r="S51" s="216"/>
      <c r="T51" s="216"/>
      <c r="U51" s="216"/>
      <c r="V51" s="216"/>
      <c r="W51" s="216"/>
      <c r="X51" s="216"/>
      <c r="Y51" s="216"/>
      <c r="Z51" s="216"/>
      <c r="AA51" s="216"/>
      <c r="AB51" s="216"/>
      <c r="AC51" s="216"/>
      <c r="AD51" s="216"/>
      <c r="AE51" s="216"/>
      <c r="AF51" s="216"/>
      <c r="AG51" s="216"/>
      <c r="AH51" s="216"/>
    </row>
    <row r="52" spans="2:37" ht="20.100000000000001" customHeight="1">
      <c r="B52" s="1014" t="s">
        <v>311</v>
      </c>
      <c r="C52" s="1014" t="s">
        <v>214</v>
      </c>
      <c r="D52" s="218"/>
      <c r="E52" s="219"/>
      <c r="F52" s="219"/>
      <c r="G52" s="220"/>
      <c r="H52" s="216"/>
      <c r="I52" s="216"/>
      <c r="J52" s="216"/>
      <c r="K52" s="216"/>
      <c r="L52" s="216" t="s">
        <v>301</v>
      </c>
      <c r="M52" s="478">
        <f>SUM(E55:E57,G55)</f>
        <v>5.0479703666812172</v>
      </c>
      <c r="N52" s="216"/>
      <c r="O52" s="221"/>
      <c r="P52" s="221"/>
      <c r="Q52" s="221"/>
      <c r="R52" s="216"/>
      <c r="S52" s="216"/>
      <c r="T52" s="216"/>
      <c r="U52" s="216"/>
      <c r="V52" s="216"/>
      <c r="W52" s="221"/>
      <c r="X52" s="221"/>
      <c r="Y52" s="221"/>
      <c r="Z52" s="221"/>
      <c r="AA52" s="221"/>
      <c r="AB52" s="221"/>
      <c r="AC52" s="221"/>
      <c r="AD52" s="221"/>
      <c r="AE52" s="221"/>
      <c r="AF52" s="221"/>
      <c r="AG52" s="221"/>
      <c r="AH52" s="221"/>
    </row>
    <row r="53" spans="2:37" ht="40.5">
      <c r="B53" s="1015"/>
      <c r="C53" s="1016"/>
      <c r="D53" s="222"/>
      <c r="E53" s="223" t="s">
        <v>154</v>
      </c>
      <c r="F53" s="224" t="s">
        <v>198</v>
      </c>
      <c r="G53" s="225" t="s">
        <v>156</v>
      </c>
      <c r="H53" s="216"/>
      <c r="I53" s="216" t="s">
        <v>208</v>
      </c>
      <c r="J53" s="216"/>
      <c r="K53" s="216"/>
      <c r="L53" s="216" t="s">
        <v>302</v>
      </c>
      <c r="M53" s="334">
        <f>SUM(U62:AH62,AJ64:AK64)</f>
        <v>0.46445096228274307</v>
      </c>
      <c r="N53" s="216"/>
      <c r="O53" s="216"/>
      <c r="P53" s="216"/>
      <c r="Q53" s="216"/>
      <c r="R53" s="216"/>
      <c r="S53" s="216"/>
      <c r="T53" s="216"/>
      <c r="V53" s="216"/>
      <c r="W53" s="216"/>
      <c r="X53" s="216"/>
      <c r="Y53" s="216"/>
      <c r="Z53" s="216"/>
      <c r="AA53" s="216"/>
      <c r="AB53" s="216"/>
      <c r="AC53" s="407" t="s">
        <v>266</v>
      </c>
      <c r="AD53" s="408">
        <v>1.3136388654370494</v>
      </c>
      <c r="AE53" s="216"/>
      <c r="AF53" s="216"/>
      <c r="AG53" s="216"/>
      <c r="AH53" s="216"/>
    </row>
    <row r="54" spans="2:37" ht="20.25">
      <c r="B54" s="226">
        <f>'Summary month'!BJ47</f>
        <v>-87.694873387317458</v>
      </c>
      <c r="C54" s="226">
        <f>'Summary month'!I47</f>
        <v>-42.387684835008343</v>
      </c>
      <c r="D54" s="227">
        <f>C54-B54</f>
        <v>45.307188552309114</v>
      </c>
      <c r="E54" s="228">
        <f>SUM(M52:M53)</f>
        <v>5.5124213289639599</v>
      </c>
      <c r="F54" s="229">
        <f>'Summary month'!BN27-M52</f>
        <v>-198.14989884161434</v>
      </c>
      <c r="G54" s="229">
        <f>'Summary month'!BN46-M53</f>
        <v>237.94466606495948</v>
      </c>
      <c r="H54" s="216"/>
      <c r="I54" s="286">
        <f>SUM(E54:G54)-D54</f>
        <v>0</v>
      </c>
      <c r="J54" s="216"/>
      <c r="K54" s="216"/>
      <c r="L54" s="216"/>
      <c r="M54" s="216"/>
      <c r="N54" s="216"/>
      <c r="O54" s="230"/>
      <c r="P54" s="216"/>
      <c r="Q54" s="216"/>
      <c r="R54" s="216"/>
      <c r="S54" s="216"/>
      <c r="T54" s="216"/>
      <c r="U54" s="216"/>
      <c r="V54" s="216"/>
      <c r="W54" s="230"/>
      <c r="X54" s="216"/>
      <c r="Y54" s="230"/>
      <c r="Z54" s="230"/>
      <c r="AA54" s="230"/>
      <c r="AB54" s="230"/>
      <c r="AC54" s="409" t="s">
        <v>269</v>
      </c>
      <c r="AD54" s="408"/>
      <c r="AE54" s="230"/>
      <c r="AF54" s="230"/>
      <c r="AG54" s="230"/>
      <c r="AH54" s="230"/>
    </row>
    <row r="55" spans="2:37">
      <c r="B55" s="216"/>
      <c r="C55" s="216"/>
      <c r="D55" s="216" t="s">
        <v>139</v>
      </c>
      <c r="E55" s="436">
        <v>5.1187296466078536</v>
      </c>
      <c r="F55" s="216" t="s">
        <v>193</v>
      </c>
      <c r="G55" s="484">
        <v>-1.7505971969579676E-2</v>
      </c>
      <c r="H55" s="216"/>
      <c r="I55" s="216"/>
      <c r="J55" s="216"/>
      <c r="K55" s="216"/>
      <c r="L55" s="216"/>
      <c r="M55" s="216"/>
      <c r="N55" s="216"/>
      <c r="O55" s="216"/>
      <c r="P55" s="216"/>
      <c r="Q55" s="216"/>
      <c r="R55" s="216"/>
      <c r="S55" s="216"/>
      <c r="T55" s="216"/>
      <c r="U55" s="216"/>
      <c r="V55" s="216"/>
      <c r="W55" s="216" t="s">
        <v>145</v>
      </c>
      <c r="X55" s="216">
        <v>3.9040503529755348</v>
      </c>
      <c r="Y55" s="216">
        <v>0</v>
      </c>
      <c r="Z55" s="216"/>
      <c r="AA55" s="216"/>
      <c r="AB55" s="216"/>
      <c r="AC55" s="407" t="s">
        <v>141</v>
      </c>
      <c r="AD55" s="408">
        <v>-0.50163236710635284</v>
      </c>
      <c r="AE55" s="216"/>
      <c r="AF55" s="216"/>
      <c r="AG55" s="216"/>
      <c r="AH55" s="216"/>
    </row>
    <row r="56" spans="2:37">
      <c r="B56" s="216"/>
      <c r="C56" s="216"/>
      <c r="D56" s="216" t="s">
        <v>200</v>
      </c>
      <c r="E56" s="436">
        <v>-5.3253307957056961E-2</v>
      </c>
      <c r="F56" s="216"/>
      <c r="G56" s="216"/>
      <c r="H56" s="216"/>
      <c r="I56" s="216"/>
      <c r="J56" s="216"/>
      <c r="K56" s="216"/>
      <c r="L56" s="216"/>
      <c r="M56" s="216"/>
      <c r="N56" s="216"/>
      <c r="O56" s="216"/>
      <c r="P56" s="216"/>
      <c r="Q56" s="216"/>
      <c r="R56" s="216"/>
      <c r="S56" s="216"/>
      <c r="T56" s="216"/>
      <c r="W56" t="s">
        <v>193</v>
      </c>
      <c r="X56">
        <v>1.2056050415301711</v>
      </c>
      <c r="Y56">
        <v>0</v>
      </c>
      <c r="AC56" s="407" t="s">
        <v>144</v>
      </c>
      <c r="AD56" s="417">
        <f>AD61-SUM(AD53:AD55)</f>
        <v>23.329568180519125</v>
      </c>
      <c r="AH56" s="216"/>
    </row>
    <row r="57" spans="2:37" ht="21" thickBot="1">
      <c r="B57" s="231" t="s">
        <v>157</v>
      </c>
      <c r="C57" s="232"/>
      <c r="D57" s="232" t="s">
        <v>145</v>
      </c>
      <c r="E57" s="483">
        <v>0</v>
      </c>
      <c r="F57" s="232"/>
      <c r="G57" s="232"/>
      <c r="H57" s="232"/>
      <c r="I57" s="232"/>
      <c r="J57" s="232"/>
      <c r="K57" s="232"/>
      <c r="L57" s="232"/>
      <c r="M57" s="232"/>
      <c r="N57" s="232"/>
      <c r="O57" s="232"/>
      <c r="P57" s="232"/>
      <c r="Q57" s="232"/>
      <c r="R57" s="232"/>
      <c r="S57" s="232"/>
      <c r="T57" s="232"/>
      <c r="U57" s="232"/>
      <c r="V57" s="232"/>
      <c r="W57" s="232" t="s">
        <v>144</v>
      </c>
      <c r="X57" s="313">
        <f>X61-SUM(X55:X56)</f>
        <v>6.5907279484709509</v>
      </c>
      <c r="Y57" s="232"/>
      <c r="Z57" s="232"/>
      <c r="AA57" s="232"/>
      <c r="AB57" s="232"/>
      <c r="AC57" s="232"/>
      <c r="AD57" s="232"/>
      <c r="AE57" s="232"/>
      <c r="AF57" s="232"/>
      <c r="AG57" s="232"/>
      <c r="AH57" s="217" t="s">
        <v>138</v>
      </c>
    </row>
    <row r="58" spans="2:37" ht="21" thickBot="1">
      <c r="B58" s="233"/>
      <c r="C58" s="234" t="s">
        <v>199</v>
      </c>
      <c r="D58" s="234"/>
      <c r="E58" s="234"/>
      <c r="F58" s="234"/>
      <c r="G58" s="234"/>
      <c r="H58" s="234"/>
      <c r="I58" s="234"/>
      <c r="J58" s="234"/>
      <c r="K58" s="234"/>
      <c r="L58" s="234"/>
      <c r="M58" s="234"/>
      <c r="N58" s="234"/>
      <c r="O58" s="234"/>
      <c r="P58" s="234"/>
      <c r="Q58" s="234"/>
      <c r="R58" s="234"/>
      <c r="S58" s="235"/>
      <c r="T58" s="236"/>
      <c r="U58" s="237" t="s">
        <v>160</v>
      </c>
      <c r="V58" s="237"/>
      <c r="W58" s="237"/>
      <c r="X58" s="237"/>
      <c r="Y58" s="237"/>
      <c r="Z58" s="237"/>
      <c r="AA58" s="237"/>
      <c r="AB58" s="237"/>
      <c r="AC58" s="237"/>
      <c r="AD58" s="237"/>
      <c r="AE58" s="237"/>
      <c r="AF58" s="237"/>
      <c r="AG58" s="237"/>
      <c r="AH58" s="238"/>
    </row>
    <row r="59" spans="2:37" ht="20.25">
      <c r="B59" s="1027" t="s">
        <v>274</v>
      </c>
      <c r="C59" s="239" t="s">
        <v>161</v>
      </c>
      <c r="D59" s="240"/>
      <c r="E59" s="240"/>
      <c r="F59" s="240"/>
      <c r="G59" s="241"/>
      <c r="H59" s="1017" t="s">
        <v>162</v>
      </c>
      <c r="I59" s="242" t="s">
        <v>163</v>
      </c>
      <c r="J59" s="243"/>
      <c r="K59" s="243"/>
      <c r="L59" s="243"/>
      <c r="M59" s="243"/>
      <c r="N59" s="244"/>
      <c r="O59" s="1029" t="s">
        <v>164</v>
      </c>
      <c r="P59" s="1029" t="s">
        <v>165</v>
      </c>
      <c r="Q59" s="1019" t="s">
        <v>166</v>
      </c>
      <c r="R59" s="1022" t="s">
        <v>167</v>
      </c>
      <c r="S59" s="1023" t="s">
        <v>168</v>
      </c>
      <c r="T59" s="1027" t="s">
        <v>274</v>
      </c>
      <c r="U59" s="245" t="s">
        <v>169</v>
      </c>
      <c r="V59" s="246"/>
      <c r="W59" s="246"/>
      <c r="X59" s="247"/>
      <c r="Y59" s="248" t="s">
        <v>163</v>
      </c>
      <c r="Z59" s="246"/>
      <c r="AA59" s="246"/>
      <c r="AB59" s="246"/>
      <c r="AC59" s="246"/>
      <c r="AD59" s="247"/>
      <c r="AE59" s="1022" t="s">
        <v>166</v>
      </c>
      <c r="AF59" s="1025" t="s">
        <v>167</v>
      </c>
      <c r="AG59" s="311"/>
      <c r="AH59" s="1012" t="s">
        <v>168</v>
      </c>
    </row>
    <row r="60" spans="2:37" ht="60.75">
      <c r="B60" s="1028"/>
      <c r="C60" s="249" t="s">
        <v>170</v>
      </c>
      <c r="D60" s="300" t="s">
        <v>171</v>
      </c>
      <c r="E60" s="250" t="s">
        <v>172</v>
      </c>
      <c r="F60" s="250" t="s">
        <v>173</v>
      </c>
      <c r="G60" s="251" t="s">
        <v>174</v>
      </c>
      <c r="H60" s="1018"/>
      <c r="I60" s="250" t="s">
        <v>175</v>
      </c>
      <c r="J60" s="250" t="s">
        <v>176</v>
      </c>
      <c r="K60" s="250" t="s">
        <v>201</v>
      </c>
      <c r="L60" s="250" t="s">
        <v>178</v>
      </c>
      <c r="M60" s="250" t="s">
        <v>168</v>
      </c>
      <c r="N60" s="250" t="s">
        <v>179</v>
      </c>
      <c r="O60" s="1030"/>
      <c r="P60" s="1031"/>
      <c r="Q60" s="1021"/>
      <c r="R60" s="1021"/>
      <c r="S60" s="1024"/>
      <c r="T60" s="1028"/>
      <c r="U60" s="307" t="s">
        <v>203</v>
      </c>
      <c r="V60" s="308" t="s">
        <v>180</v>
      </c>
      <c r="W60" s="309" t="s">
        <v>181</v>
      </c>
      <c r="X60" s="310" t="s">
        <v>33</v>
      </c>
      <c r="Y60" s="305" t="s">
        <v>25</v>
      </c>
      <c r="Z60" s="306" t="s">
        <v>183</v>
      </c>
      <c r="AA60" s="306" t="s">
        <v>204</v>
      </c>
      <c r="AB60" s="306" t="s">
        <v>205</v>
      </c>
      <c r="AC60" s="306" t="s">
        <v>184</v>
      </c>
      <c r="AD60" s="306" t="s">
        <v>30</v>
      </c>
      <c r="AE60" s="1021"/>
      <c r="AF60" s="1026"/>
      <c r="AG60" s="312" t="s">
        <v>37</v>
      </c>
      <c r="AH60" s="1013"/>
    </row>
    <row r="61" spans="2:37" ht="21" thickBot="1">
      <c r="B61" s="252">
        <f>M52</f>
        <v>5.0479703666812172</v>
      </c>
      <c r="C61" s="253">
        <v>6.9287391612904061</v>
      </c>
      <c r="D61" s="302"/>
      <c r="E61" s="254">
        <v>-4.6929178749938032</v>
      </c>
      <c r="F61" s="254">
        <v>-42.726097201904381</v>
      </c>
      <c r="G61" s="254"/>
      <c r="H61" s="254"/>
      <c r="I61" s="254">
        <v>1.7157248086409549</v>
      </c>
      <c r="J61" s="255">
        <v>-0.2058408092973929</v>
      </c>
      <c r="K61" s="255">
        <v>-3.6205677010449686</v>
      </c>
      <c r="L61" s="255">
        <v>0</v>
      </c>
      <c r="M61" s="255">
        <v>-56.107395404671557</v>
      </c>
      <c r="N61" s="303"/>
      <c r="O61" s="302"/>
      <c r="P61" s="302"/>
      <c r="Q61" s="256"/>
      <c r="R61" s="254">
        <v>0.90845719299029426</v>
      </c>
      <c r="S61" s="257">
        <f>F54-SUM(C61:R61)</f>
        <v>-100.35000101262391</v>
      </c>
      <c r="T61" s="253">
        <f>M53</f>
        <v>0.46445096228274307</v>
      </c>
      <c r="U61" s="253">
        <f>'Summary month'!BN36-U62</f>
        <v>62.252730757234886</v>
      </c>
      <c r="V61" s="258">
        <f>'Summary month'!BN59-V62</f>
        <v>4.3000468527090208</v>
      </c>
      <c r="W61" s="258"/>
      <c r="X61" s="258">
        <f>'Summary month'!BN38-X62</f>
        <v>11.700383342976657</v>
      </c>
      <c r="Y61" s="258">
        <f>'Summary month'!BN29-Y62</f>
        <v>57.52310071966113</v>
      </c>
      <c r="Z61" s="258">
        <f>'Summary month'!BN30-Z62</f>
        <v>7.296120323607389</v>
      </c>
      <c r="AA61" s="258">
        <f>'Summary month'!BN31</f>
        <v>0</v>
      </c>
      <c r="AB61" s="301"/>
      <c r="AC61" s="258">
        <f>'Summary month'!BN32-AC62</f>
        <v>14.110461892835964</v>
      </c>
      <c r="AD61" s="258">
        <f>'Summary month'!BN34</f>
        <v>24.141574678849821</v>
      </c>
      <c r="AE61" s="256"/>
      <c r="AF61" s="259"/>
      <c r="AG61" s="254">
        <f>'Summary month'!BN42-AG62</f>
        <v>60.360481349793645</v>
      </c>
      <c r="AH61" s="260">
        <f>G54-SUM(U61:AG61)</f>
        <v>-3.7402338527090251</v>
      </c>
    </row>
    <row r="62" spans="2:37" ht="18">
      <c r="B62" s="216"/>
      <c r="C62" s="272"/>
      <c r="D62" s="216"/>
      <c r="E62" s="216"/>
      <c r="F62" s="216"/>
      <c r="G62" s="216"/>
      <c r="H62" s="216"/>
      <c r="I62" s="216"/>
      <c r="J62" s="216"/>
      <c r="K62" s="216"/>
      <c r="L62" s="216"/>
      <c r="M62" s="216"/>
      <c r="N62" s="216"/>
      <c r="O62" s="216"/>
      <c r="P62" s="216"/>
      <c r="Q62" s="216"/>
      <c r="R62" s="216"/>
      <c r="S62" s="216"/>
      <c r="T62" s="216"/>
      <c r="U62" s="479">
        <v>-0.1</v>
      </c>
      <c r="V62" s="479"/>
      <c r="W62" s="479"/>
      <c r="X62" s="479">
        <f>SUM(Y55:Y56)</f>
        <v>0</v>
      </c>
      <c r="Y62" s="479">
        <v>0.65474531207638575</v>
      </c>
      <c r="Z62" s="479"/>
      <c r="AA62" s="479"/>
      <c r="AB62" s="479"/>
      <c r="AC62" s="479">
        <v>0</v>
      </c>
      <c r="AD62" s="479"/>
      <c r="AE62" s="479"/>
      <c r="AF62" s="479"/>
      <c r="AG62" s="482">
        <v>5.3695186502063574</v>
      </c>
      <c r="AH62" s="479"/>
    </row>
    <row r="63" spans="2:37" ht="20.25">
      <c r="B63" s="221"/>
      <c r="C63" s="272"/>
      <c r="D63" s="221"/>
      <c r="E63" s="221"/>
      <c r="F63" s="221"/>
      <c r="G63" s="221"/>
      <c r="H63" s="221"/>
      <c r="I63" s="221"/>
      <c r="J63" s="221"/>
      <c r="K63" s="221"/>
      <c r="L63" s="221"/>
      <c r="M63" s="221"/>
      <c r="N63" s="221"/>
      <c r="O63" s="221"/>
      <c r="P63" s="221"/>
      <c r="Q63" s="221"/>
      <c r="R63" s="221"/>
      <c r="S63" s="221"/>
      <c r="T63" s="221"/>
      <c r="U63" s="221"/>
      <c r="V63" s="221"/>
      <c r="W63" s="221"/>
      <c r="X63" s="263" t="s">
        <v>185</v>
      </c>
      <c r="Y63" s="264"/>
      <c r="Z63" s="264"/>
      <c r="AA63" s="264"/>
      <c r="AB63" s="265">
        <f>AD61</f>
        <v>24.141574678849821</v>
      </c>
      <c r="AC63" s="221"/>
      <c r="AD63" s="263" t="s">
        <v>186</v>
      </c>
      <c r="AE63" s="264"/>
      <c r="AF63" s="264"/>
      <c r="AG63" s="264"/>
      <c r="AH63" s="265">
        <f>AH61</f>
        <v>-3.7402338527090251</v>
      </c>
    </row>
    <row r="64" spans="2:37" ht="18">
      <c r="B64" s="216"/>
      <c r="C64" s="272"/>
      <c r="D64" s="216"/>
      <c r="E64" s="216"/>
      <c r="F64" s="216"/>
      <c r="G64" s="216"/>
      <c r="H64" s="216"/>
      <c r="I64" s="216"/>
      <c r="J64" s="216"/>
      <c r="K64" s="216"/>
      <c r="L64" s="216"/>
      <c r="M64" s="216"/>
      <c r="N64" s="216"/>
      <c r="O64" s="216"/>
      <c r="P64" s="216"/>
      <c r="Q64" s="216"/>
      <c r="R64" s="216"/>
      <c r="S64" s="216"/>
      <c r="T64" s="216"/>
      <c r="U64" s="216"/>
      <c r="V64" s="216"/>
      <c r="W64" s="216"/>
      <c r="X64" s="268">
        <v>1</v>
      </c>
      <c r="Y64" s="269"/>
      <c r="Z64" s="270"/>
      <c r="AA64" s="270"/>
      <c r="AB64" s="271"/>
      <c r="AC64" s="216"/>
      <c r="AD64" s="268">
        <v>1</v>
      </c>
      <c r="AE64" s="269" t="s">
        <v>39</v>
      </c>
      <c r="AF64" s="270"/>
      <c r="AG64" s="270"/>
      <c r="AH64" s="271">
        <f>'Summary month'!BN44-AJ64</f>
        <v>9.9999999999999645E-2</v>
      </c>
      <c r="AI64" t="s">
        <v>262</v>
      </c>
      <c r="AJ64">
        <f>'Summary month'!BN74</f>
        <v>-5</v>
      </c>
      <c r="AK64">
        <f>'MTD VA vs OL (0+3)'!AK66</f>
        <v>-0.45981300000000003</v>
      </c>
    </row>
    <row r="65" spans="2:36" ht="20.25">
      <c r="B65" s="216"/>
      <c r="C65" s="272"/>
      <c r="D65" s="216"/>
      <c r="E65" s="216"/>
      <c r="F65" s="216"/>
      <c r="G65" s="216"/>
      <c r="H65" s="216"/>
      <c r="I65" s="273" t="s">
        <v>188</v>
      </c>
      <c r="J65" s="274"/>
      <c r="K65" s="274"/>
      <c r="L65" s="274"/>
      <c r="M65" s="275">
        <f>M61</f>
        <v>-56.107395404671557</v>
      </c>
      <c r="N65" s="216"/>
      <c r="O65" s="216"/>
      <c r="P65" s="216"/>
      <c r="Q65" s="216"/>
      <c r="R65" s="216"/>
      <c r="S65" s="216"/>
      <c r="T65" s="216"/>
      <c r="U65" s="216"/>
      <c r="V65" s="216"/>
      <c r="W65" s="216"/>
      <c r="X65" s="268">
        <v>2</v>
      </c>
      <c r="Y65" s="276"/>
      <c r="Z65" s="277"/>
      <c r="AA65" s="277"/>
      <c r="AB65" s="278"/>
      <c r="AC65" s="216"/>
      <c r="AD65" s="268">
        <v>2</v>
      </c>
      <c r="AE65" s="276"/>
      <c r="AF65" s="277"/>
      <c r="AG65" s="277"/>
      <c r="AH65" s="278"/>
      <c r="AI65" t="s">
        <v>144</v>
      </c>
      <c r="AJ65" s="318">
        <f>AH64</f>
        <v>9.9999999999999645E-2</v>
      </c>
    </row>
    <row r="66" spans="2:36" ht="18">
      <c r="B66" s="216"/>
      <c r="C66" s="272"/>
      <c r="D66" s="216"/>
      <c r="E66" s="216"/>
      <c r="F66" s="216"/>
      <c r="G66" s="216" t="s">
        <v>390</v>
      </c>
      <c r="H66" s="532">
        <f>-2.067261639-AD54</f>
        <v>-2.0672616389999998</v>
      </c>
      <c r="I66" s="279">
        <v>1</v>
      </c>
      <c r="J66" s="269" t="s">
        <v>391</v>
      </c>
      <c r="K66" s="270"/>
      <c r="L66" s="270"/>
      <c r="M66" s="280">
        <v>-37</v>
      </c>
      <c r="N66" s="216"/>
      <c r="O66" s="216"/>
      <c r="P66" s="216"/>
      <c r="Q66" s="216"/>
      <c r="R66" s="216"/>
      <c r="S66" s="216"/>
      <c r="T66" s="216"/>
      <c r="U66" s="216"/>
      <c r="V66" s="216"/>
      <c r="W66" s="216"/>
      <c r="X66" s="268">
        <v>3</v>
      </c>
      <c r="Y66" s="276"/>
      <c r="Z66" s="277"/>
      <c r="AA66" s="277"/>
      <c r="AB66" s="278"/>
      <c r="AC66" s="216"/>
      <c r="AD66" s="268">
        <v>3</v>
      </c>
      <c r="AE66" s="276"/>
      <c r="AF66" s="277"/>
      <c r="AG66" s="277"/>
      <c r="AH66" s="278"/>
    </row>
    <row r="67" spans="2:36" ht="18">
      <c r="B67" s="216"/>
      <c r="C67" s="272"/>
      <c r="D67" s="216"/>
      <c r="E67" s="216"/>
      <c r="F67" s="216"/>
      <c r="G67" s="216" t="s">
        <v>373</v>
      </c>
      <c r="H67" s="216">
        <v>-2.1220487920000002</v>
      </c>
      <c r="I67" s="279">
        <v>2</v>
      </c>
      <c r="J67" s="276" t="s">
        <v>392</v>
      </c>
      <c r="K67" s="277"/>
      <c r="L67" s="277"/>
      <c r="M67" s="281">
        <v>-2</v>
      </c>
      <c r="N67" s="216"/>
      <c r="O67" s="216"/>
      <c r="P67" s="216"/>
      <c r="Q67" s="216"/>
      <c r="R67" s="216"/>
      <c r="S67" s="216"/>
      <c r="T67" s="216"/>
      <c r="U67" s="216"/>
      <c r="V67" s="216"/>
      <c r="W67" s="216"/>
      <c r="X67" s="268">
        <v>4</v>
      </c>
      <c r="Y67" s="276"/>
      <c r="Z67" s="277"/>
      <c r="AA67" s="277"/>
      <c r="AB67" s="278"/>
      <c r="AC67" s="216"/>
      <c r="AD67" s="268">
        <v>4</v>
      </c>
      <c r="AE67" s="276"/>
      <c r="AF67" s="277"/>
      <c r="AG67" s="277"/>
      <c r="AH67" s="278"/>
    </row>
    <row r="68" spans="2:36" ht="18">
      <c r="B68" s="216"/>
      <c r="C68" s="272"/>
      <c r="D68" s="216"/>
      <c r="E68" s="216"/>
      <c r="F68" s="216"/>
      <c r="G68" s="216" t="s">
        <v>354</v>
      </c>
      <c r="H68" s="216">
        <v>-1.359</v>
      </c>
      <c r="I68" s="279">
        <v>3</v>
      </c>
      <c r="J68" s="276" t="s">
        <v>393</v>
      </c>
      <c r="K68" s="277"/>
      <c r="L68" s="277"/>
      <c r="M68" s="281">
        <v>-7</v>
      </c>
      <c r="N68" s="216"/>
      <c r="O68" s="216"/>
      <c r="P68" s="216"/>
      <c r="Q68" s="216"/>
      <c r="R68" s="216"/>
      <c r="S68" s="216"/>
      <c r="T68" s="216"/>
      <c r="U68" s="216"/>
      <c r="V68" s="216"/>
      <c r="W68" s="216"/>
      <c r="X68" s="282">
        <v>5</v>
      </c>
      <c r="Y68" s="283" t="s">
        <v>182</v>
      </c>
      <c r="Z68" s="284"/>
      <c r="AA68" s="284"/>
      <c r="AB68" s="285">
        <f>AB63-SUM(AB64:AB67)</f>
        <v>24.141574678849821</v>
      </c>
      <c r="AC68" s="216"/>
      <c r="AD68" s="282">
        <v>5</v>
      </c>
      <c r="AE68" s="283" t="s">
        <v>182</v>
      </c>
      <c r="AF68" s="284"/>
      <c r="AG68" s="284"/>
      <c r="AH68" s="285">
        <f>AH63-SUM(AH64:AH67)</f>
        <v>-3.8402338527090247</v>
      </c>
    </row>
    <row r="69" spans="2:36" ht="18">
      <c r="B69" s="216"/>
      <c r="C69" s="216"/>
      <c r="D69" s="272"/>
      <c r="E69" s="272"/>
      <c r="F69" s="272"/>
      <c r="G69" s="272"/>
      <c r="H69" s="272"/>
      <c r="I69" s="279">
        <v>4</v>
      </c>
      <c r="J69" s="276" t="s">
        <v>394</v>
      </c>
      <c r="K69" s="277"/>
      <c r="L69" s="277"/>
      <c r="M69" s="281">
        <v>-4</v>
      </c>
      <c r="N69" s="323"/>
      <c r="O69" s="216"/>
      <c r="P69" s="272"/>
      <c r="Q69" s="272"/>
      <c r="R69" s="216"/>
      <c r="S69" s="216"/>
      <c r="T69" s="216"/>
      <c r="U69" s="216"/>
      <c r="V69" s="216"/>
      <c r="W69" s="216"/>
      <c r="X69" s="216"/>
      <c r="Y69" s="216"/>
      <c r="Z69" s="216"/>
      <c r="AA69" s="216"/>
      <c r="AB69" s="216"/>
      <c r="AC69" s="216"/>
      <c r="AD69" s="216"/>
      <c r="AE69" s="216"/>
      <c r="AF69" s="216"/>
      <c r="AG69" s="287"/>
      <c r="AH69" s="287"/>
    </row>
    <row r="70" spans="2:36" ht="18">
      <c r="B70" s="216"/>
      <c r="C70" s="272"/>
      <c r="D70" s="216"/>
      <c r="E70" s="216"/>
      <c r="F70" s="216"/>
      <c r="G70" s="216"/>
      <c r="H70" s="216"/>
      <c r="I70" s="279">
        <v>5</v>
      </c>
      <c r="J70" s="276" t="s">
        <v>390</v>
      </c>
      <c r="K70" s="277"/>
      <c r="L70" s="277"/>
      <c r="M70" s="281">
        <v>-2.0672616390000016</v>
      </c>
      <c r="N70" s="216"/>
      <c r="O70" s="216"/>
      <c r="P70" s="216"/>
      <c r="Q70" s="216"/>
      <c r="R70" s="216"/>
      <c r="S70" s="216"/>
      <c r="T70" s="216"/>
      <c r="U70" s="216"/>
      <c r="V70" s="216"/>
      <c r="W70" s="216"/>
      <c r="X70" s="216"/>
      <c r="Y70" s="216"/>
      <c r="Z70" s="216"/>
      <c r="AA70" s="216"/>
      <c r="AB70" s="216"/>
      <c r="AC70" s="216"/>
      <c r="AD70" s="216"/>
      <c r="AE70" s="216"/>
      <c r="AF70" s="216"/>
      <c r="AG70" s="216"/>
      <c r="AH70" s="216"/>
    </row>
    <row r="71" spans="2:36" ht="18">
      <c r="B71" s="216"/>
      <c r="C71" s="272"/>
      <c r="D71" s="216"/>
      <c r="E71" s="216"/>
      <c r="F71" s="216"/>
      <c r="G71" s="216"/>
      <c r="H71" s="216"/>
      <c r="I71" s="279">
        <v>6</v>
      </c>
      <c r="J71" s="276" t="s">
        <v>373</v>
      </c>
      <c r="K71" s="277"/>
      <c r="L71" s="277"/>
      <c r="M71" s="281">
        <v>-2.1220487920000002</v>
      </c>
      <c r="N71" s="216"/>
      <c r="O71" s="216"/>
      <c r="P71" s="216"/>
      <c r="Q71" s="216"/>
      <c r="R71" s="216"/>
      <c r="S71" s="216"/>
      <c r="T71" s="216"/>
      <c r="U71" s="216"/>
      <c r="V71" s="216"/>
      <c r="W71" s="216"/>
      <c r="X71" s="216"/>
      <c r="Y71" s="216"/>
      <c r="Z71" s="216"/>
      <c r="AA71" s="216"/>
      <c r="AB71" s="216"/>
      <c r="AC71" s="216"/>
      <c r="AD71" s="216"/>
      <c r="AE71" s="216"/>
      <c r="AF71" s="216"/>
      <c r="AG71" s="216"/>
      <c r="AH71" s="216"/>
    </row>
    <row r="72" spans="2:36" ht="18">
      <c r="B72" s="216"/>
      <c r="C72" s="272"/>
      <c r="D72" s="272"/>
      <c r="E72" s="216"/>
      <c r="F72" s="216"/>
      <c r="G72" s="216"/>
      <c r="H72" s="216"/>
      <c r="I72" s="279">
        <v>7</v>
      </c>
      <c r="J72" s="276" t="s">
        <v>354</v>
      </c>
      <c r="K72" s="277"/>
      <c r="L72" s="277"/>
      <c r="M72" s="281">
        <v>-1.359</v>
      </c>
      <c r="N72" s="216"/>
      <c r="O72" s="216"/>
      <c r="P72" s="216"/>
      <c r="Q72" s="216"/>
      <c r="R72" s="216"/>
      <c r="S72" s="216"/>
      <c r="T72" s="216"/>
      <c r="U72" s="216"/>
      <c r="V72" s="216"/>
      <c r="W72" s="216"/>
      <c r="X72" s="216"/>
      <c r="Y72" s="216"/>
      <c r="Z72" s="216"/>
      <c r="AA72" s="216"/>
      <c r="AB72" s="216"/>
      <c r="AC72" s="216"/>
      <c r="AD72" s="216"/>
      <c r="AE72" s="216"/>
      <c r="AF72" s="216"/>
      <c r="AG72" s="216"/>
      <c r="AH72" s="216"/>
    </row>
    <row r="73" spans="2:36" ht="18">
      <c r="B73" s="216"/>
      <c r="C73" s="216"/>
      <c r="D73" s="216"/>
      <c r="E73" s="216"/>
      <c r="F73" s="216"/>
      <c r="G73" s="216">
        <v>0</v>
      </c>
      <c r="H73" s="216"/>
      <c r="I73" s="279">
        <v>8</v>
      </c>
      <c r="J73" s="276"/>
      <c r="K73" s="277"/>
      <c r="L73" s="277"/>
      <c r="M73" s="281"/>
      <c r="N73" s="216"/>
      <c r="O73" s="216"/>
      <c r="P73" s="216"/>
      <c r="Q73" s="216"/>
      <c r="R73" s="216"/>
      <c r="S73" s="216"/>
      <c r="T73" s="216"/>
      <c r="U73" s="216"/>
      <c r="V73" s="216"/>
      <c r="W73" s="216"/>
      <c r="X73" s="216"/>
      <c r="Y73" s="216"/>
      <c r="Z73" s="216"/>
      <c r="AA73" s="216"/>
      <c r="AB73" s="216"/>
      <c r="AC73" s="216"/>
      <c r="AD73" s="216"/>
      <c r="AE73" s="216"/>
      <c r="AF73" s="216"/>
      <c r="AG73" s="216"/>
      <c r="AH73" s="216"/>
    </row>
    <row r="74" spans="2:36" ht="20.25">
      <c r="B74" s="216"/>
      <c r="C74" s="216"/>
      <c r="D74" s="216"/>
      <c r="E74" s="216"/>
      <c r="F74" s="216"/>
      <c r="G74" s="216"/>
      <c r="H74" s="216"/>
      <c r="I74" s="279">
        <v>9</v>
      </c>
      <c r="J74" s="276"/>
      <c r="K74" s="277"/>
      <c r="L74" s="277"/>
      <c r="M74" s="281"/>
      <c r="N74" s="216"/>
      <c r="O74" s="273" t="s">
        <v>191</v>
      </c>
      <c r="P74" s="274"/>
      <c r="Q74" s="274"/>
      <c r="R74" s="274"/>
      <c r="S74" s="294">
        <f>S61</f>
        <v>-100.35000101262391</v>
      </c>
      <c r="T74" s="216"/>
      <c r="U74" s="272"/>
      <c r="V74" s="272"/>
      <c r="W74" s="272"/>
      <c r="X74" s="216"/>
      <c r="Y74" s="216"/>
      <c r="Z74" s="216"/>
      <c r="AA74" s="216"/>
      <c r="AB74" s="216"/>
      <c r="AC74" s="216"/>
      <c r="AD74" s="216"/>
      <c r="AE74" s="216"/>
      <c r="AF74" s="216"/>
      <c r="AG74" s="216"/>
      <c r="AH74" s="216"/>
    </row>
    <row r="75" spans="2:36" ht="18">
      <c r="B75" s="216"/>
      <c r="C75" s="216"/>
      <c r="D75" s="216"/>
      <c r="E75" s="216"/>
      <c r="F75" s="216"/>
      <c r="G75" s="216"/>
      <c r="H75" s="216"/>
      <c r="I75" s="279">
        <v>10</v>
      </c>
      <c r="J75" s="289" t="s">
        <v>182</v>
      </c>
      <c r="K75" s="284"/>
      <c r="L75" s="284"/>
      <c r="M75" s="290">
        <f>M65-SUM(M66:M74)</f>
        <v>-0.55908497367155263</v>
      </c>
      <c r="N75" s="216"/>
      <c r="O75" s="279">
        <v>1</v>
      </c>
      <c r="P75" s="269" t="s">
        <v>193</v>
      </c>
      <c r="Q75" s="270"/>
      <c r="R75" s="270"/>
      <c r="S75" s="280">
        <v>0.39289625109600723</v>
      </c>
      <c r="T75" s="216"/>
      <c r="U75" s="216"/>
      <c r="V75" s="216"/>
      <c r="W75" s="216"/>
      <c r="X75" s="297"/>
      <c r="Y75" s="216"/>
      <c r="Z75" s="216"/>
      <c r="AA75" s="216"/>
      <c r="AB75" s="216"/>
      <c r="AC75" s="216"/>
      <c r="AD75" s="216"/>
      <c r="AE75" s="216"/>
      <c r="AF75" s="216"/>
      <c r="AG75" s="216"/>
      <c r="AH75" s="216"/>
    </row>
    <row r="76" spans="2:36" ht="18">
      <c r="B76" s="216"/>
      <c r="C76" s="216"/>
      <c r="D76" s="216"/>
      <c r="E76" s="216"/>
      <c r="F76" s="216"/>
      <c r="G76" s="216"/>
      <c r="H76" s="216"/>
      <c r="I76" s="216"/>
      <c r="J76" s="216"/>
      <c r="K76" s="216"/>
      <c r="L76" s="216"/>
      <c r="M76" s="216"/>
      <c r="N76" s="216"/>
      <c r="O76" s="279">
        <v>2</v>
      </c>
      <c r="P76" s="276" t="s">
        <v>143</v>
      </c>
      <c r="Q76" s="277"/>
      <c r="R76" s="277"/>
      <c r="S76" s="281">
        <f>'[9]New KPI vs BP'!$DP$449+'[9]New KPI vs BP'!$DP$460</f>
        <v>-4.5027207484214768</v>
      </c>
      <c r="T76" s="216"/>
      <c r="U76" s="216"/>
      <c r="V76" s="216"/>
      <c r="W76" s="216"/>
      <c r="X76" s="216"/>
      <c r="Y76" s="216"/>
      <c r="Z76" s="216"/>
      <c r="AA76" s="216"/>
      <c r="AB76" s="216"/>
      <c r="AC76" s="216"/>
      <c r="AD76" s="216"/>
      <c r="AE76" s="216"/>
      <c r="AF76" s="216"/>
      <c r="AG76" s="216"/>
      <c r="AH76" s="216"/>
    </row>
    <row r="77" spans="2:36" ht="18">
      <c r="B77" s="216"/>
      <c r="C77" s="216"/>
      <c r="D77" s="216"/>
      <c r="E77" s="216"/>
      <c r="F77" s="216"/>
      <c r="G77" s="216"/>
      <c r="H77" s="216"/>
      <c r="I77" s="216"/>
      <c r="J77" s="216"/>
      <c r="K77" s="216"/>
      <c r="L77" s="216"/>
      <c r="M77" s="216"/>
      <c r="N77" s="216"/>
      <c r="O77" s="279">
        <v>3</v>
      </c>
      <c r="P77" s="276" t="s">
        <v>195</v>
      </c>
      <c r="Q77" s="277"/>
      <c r="R77" s="277"/>
      <c r="S77" s="281">
        <v>15.651760827947582</v>
      </c>
      <c r="T77" s="216" t="s">
        <v>195</v>
      </c>
      <c r="U77" s="315">
        <v>15.651760827947582</v>
      </c>
      <c r="V77" s="216"/>
      <c r="W77" s="216"/>
      <c r="X77" s="216"/>
      <c r="Y77" s="216"/>
      <c r="Z77" s="216"/>
      <c r="AA77" s="216"/>
      <c r="AB77" s="216"/>
      <c r="AC77" s="216"/>
      <c r="AD77" s="216"/>
      <c r="AE77" s="216"/>
      <c r="AF77" s="216"/>
      <c r="AG77" s="216"/>
      <c r="AH77" s="216"/>
    </row>
    <row r="78" spans="2:36" ht="18">
      <c r="B78" s="216"/>
      <c r="C78" s="216"/>
      <c r="D78" s="216"/>
      <c r="E78" s="216"/>
      <c r="F78" s="216"/>
      <c r="G78" s="216"/>
      <c r="H78" s="216"/>
      <c r="I78" s="216"/>
      <c r="J78" s="216"/>
      <c r="K78" s="216"/>
      <c r="L78" s="216"/>
      <c r="M78" s="216"/>
      <c r="N78" s="216"/>
      <c r="O78" s="279">
        <v>4</v>
      </c>
      <c r="P78" s="276" t="s">
        <v>246</v>
      </c>
      <c r="Q78" s="277"/>
      <c r="R78" s="277"/>
      <c r="S78" s="281">
        <v>8.5134868828717511</v>
      </c>
      <c r="T78" s="216" t="s">
        <v>246</v>
      </c>
      <c r="U78" s="315">
        <v>8.5134868828717511</v>
      </c>
      <c r="V78" s="216"/>
      <c r="W78" s="216"/>
      <c r="X78" s="216"/>
      <c r="Y78" s="216"/>
      <c r="Z78" s="216"/>
      <c r="AA78" s="216"/>
      <c r="AB78" s="216"/>
      <c r="AC78" s="216"/>
      <c r="AD78" s="216"/>
      <c r="AE78" s="216"/>
      <c r="AF78" s="216"/>
      <c r="AG78" s="216"/>
      <c r="AH78" s="216"/>
    </row>
    <row r="79" spans="2:36" ht="18">
      <c r="B79" s="216"/>
      <c r="C79" s="216"/>
      <c r="D79" s="216"/>
      <c r="E79" s="216"/>
      <c r="F79" s="216"/>
      <c r="G79" s="216"/>
      <c r="H79" s="216"/>
      <c r="I79" s="216"/>
      <c r="J79" s="216"/>
      <c r="K79" s="216"/>
      <c r="L79" s="216"/>
      <c r="M79" s="216"/>
      <c r="N79" s="216"/>
      <c r="O79" s="279">
        <v>5</v>
      </c>
      <c r="P79" s="276" t="s">
        <v>247</v>
      </c>
      <c r="Q79" s="277"/>
      <c r="R79" s="277"/>
      <c r="S79" s="278">
        <v>19.557352230000003</v>
      </c>
      <c r="T79" s="216" t="s">
        <v>247</v>
      </c>
      <c r="U79" s="315">
        <v>19.557352230000003</v>
      </c>
      <c r="V79" s="216"/>
      <c r="W79" s="216"/>
      <c r="X79" s="216"/>
      <c r="Y79" s="216"/>
      <c r="Z79" s="216"/>
      <c r="AA79" s="216"/>
      <c r="AB79" s="216"/>
      <c r="AC79" s="216"/>
      <c r="AD79" s="216"/>
      <c r="AE79" s="216"/>
      <c r="AF79" s="216"/>
      <c r="AG79" s="216"/>
      <c r="AH79" s="216"/>
    </row>
    <row r="80" spans="2:36" ht="18">
      <c r="B80" s="216"/>
      <c r="C80" s="216"/>
      <c r="D80" s="216"/>
      <c r="E80" s="216"/>
      <c r="F80" s="216"/>
      <c r="G80" s="216"/>
      <c r="H80" s="216"/>
      <c r="I80" s="216"/>
      <c r="J80" s="216"/>
      <c r="K80" s="216"/>
      <c r="L80" s="216"/>
      <c r="M80" s="216"/>
      <c r="N80" s="216"/>
      <c r="O80" s="279">
        <v>6</v>
      </c>
      <c r="P80" s="276"/>
      <c r="Q80" s="277"/>
      <c r="R80" s="277"/>
      <c r="S80" s="281"/>
      <c r="T80" s="216" t="s">
        <v>222</v>
      </c>
      <c r="U80" s="315">
        <v>-26.392784795978386</v>
      </c>
      <c r="V80" s="216"/>
      <c r="W80" s="216"/>
      <c r="X80" s="216"/>
      <c r="Y80" s="216"/>
      <c r="Z80" s="216"/>
      <c r="AA80" s="216"/>
      <c r="AB80" s="216"/>
      <c r="AC80" s="216"/>
      <c r="AD80" s="216"/>
      <c r="AE80" s="216"/>
      <c r="AF80" s="216"/>
      <c r="AG80" s="216"/>
      <c r="AH80" s="216"/>
    </row>
    <row r="81" spans="2:34" ht="18">
      <c r="B81" s="216"/>
      <c r="C81" s="216"/>
      <c r="D81" s="216"/>
      <c r="E81" s="216"/>
      <c r="F81" s="216"/>
      <c r="G81" s="216"/>
      <c r="H81" s="216"/>
      <c r="I81" s="216"/>
      <c r="J81" s="216"/>
      <c r="K81" s="216"/>
      <c r="L81" s="216"/>
      <c r="M81" s="216"/>
      <c r="N81" s="216"/>
      <c r="O81" s="279">
        <v>7</v>
      </c>
      <c r="P81" s="276"/>
      <c r="Q81" s="277"/>
      <c r="R81" s="277"/>
      <c r="S81" s="281"/>
      <c r="T81" s="216" t="s">
        <v>395</v>
      </c>
      <c r="U81" s="315">
        <v>-9.6946314047910747</v>
      </c>
      <c r="V81" s="216"/>
      <c r="W81" s="216"/>
      <c r="X81" s="216"/>
      <c r="Y81" s="216"/>
      <c r="Z81" s="216"/>
      <c r="AA81" s="216"/>
      <c r="AB81" s="216"/>
      <c r="AC81" s="216"/>
      <c r="AD81" s="216"/>
      <c r="AE81" s="216"/>
      <c r="AF81" s="216"/>
      <c r="AG81" s="216"/>
      <c r="AH81" s="216"/>
    </row>
    <row r="82" spans="2:34" ht="18">
      <c r="B82" s="216"/>
      <c r="C82" s="216"/>
      <c r="D82" s="216"/>
      <c r="E82" s="216"/>
      <c r="F82" s="216"/>
      <c r="G82" s="216"/>
      <c r="H82" s="216"/>
      <c r="I82" s="216"/>
      <c r="J82" s="216"/>
      <c r="K82" s="216"/>
      <c r="L82" s="216"/>
      <c r="M82" s="216"/>
      <c r="N82" s="216"/>
      <c r="O82" s="279">
        <v>8</v>
      </c>
      <c r="P82" s="276"/>
      <c r="Q82" s="277"/>
      <c r="R82" s="277"/>
      <c r="S82" s="278"/>
      <c r="T82" s="216"/>
      <c r="U82" s="315"/>
      <c r="V82" s="216"/>
      <c r="W82" s="216"/>
      <c r="X82" s="216"/>
      <c r="Y82" s="216"/>
      <c r="Z82" s="216"/>
      <c r="AA82" s="216"/>
      <c r="AB82" s="216"/>
      <c r="AC82" s="216"/>
      <c r="AD82" s="216"/>
      <c r="AE82" s="216"/>
      <c r="AF82" s="216"/>
      <c r="AG82" s="216"/>
      <c r="AH82" s="216"/>
    </row>
    <row r="83" spans="2:34" ht="18">
      <c r="B83" s="216"/>
      <c r="C83" s="216"/>
      <c r="D83" s="216"/>
      <c r="E83" s="216"/>
      <c r="F83" s="216"/>
      <c r="G83" s="216"/>
      <c r="H83" s="216"/>
      <c r="I83" s="216"/>
      <c r="J83" s="216"/>
      <c r="K83" s="216"/>
      <c r="L83" s="216"/>
      <c r="M83" s="216"/>
      <c r="N83" s="216"/>
      <c r="O83" s="279">
        <v>9</v>
      </c>
      <c r="P83" s="276"/>
      <c r="Q83" s="277"/>
      <c r="R83" s="277"/>
      <c r="S83" s="278"/>
      <c r="T83" s="216" t="s">
        <v>217</v>
      </c>
      <c r="U83" s="216">
        <f>SUM('[9]New KPI vs BP'!$DP$453+'[9]New KPI vs BP'!$DP$464)</f>
        <v>19.929431090020234</v>
      </c>
      <c r="W83" s="216"/>
      <c r="X83" s="216"/>
      <c r="Y83" s="216"/>
      <c r="Z83" s="216"/>
      <c r="AA83" s="216"/>
      <c r="AB83" s="216"/>
      <c r="AC83" s="216"/>
      <c r="AD83" s="216"/>
      <c r="AE83" s="216"/>
      <c r="AF83" s="216"/>
      <c r="AG83" s="216"/>
      <c r="AH83" s="216"/>
    </row>
    <row r="84" spans="2:34" ht="18">
      <c r="B84" s="216"/>
      <c r="C84" s="216"/>
      <c r="D84" s="216"/>
      <c r="E84" s="216"/>
      <c r="F84" s="216"/>
      <c r="G84" s="216"/>
      <c r="H84" s="216"/>
      <c r="I84" s="216"/>
      <c r="J84" s="216"/>
      <c r="K84" s="216"/>
      <c r="L84" s="216"/>
      <c r="M84" s="216"/>
      <c r="N84" s="216"/>
      <c r="O84" s="288">
        <v>10</v>
      </c>
      <c r="P84" s="283" t="s">
        <v>182</v>
      </c>
      <c r="Q84" s="284"/>
      <c r="R84" s="284"/>
      <c r="S84" s="285">
        <f>S74-SUM(S75:S83)</f>
        <v>-139.96277645611778</v>
      </c>
      <c r="T84" s="216"/>
      <c r="U84" s="216"/>
      <c r="W84" s="216"/>
      <c r="X84" s="216"/>
      <c r="Y84" s="216"/>
      <c r="Z84" s="216"/>
      <c r="AA84" s="216"/>
      <c r="AB84" s="216"/>
      <c r="AC84" s="216"/>
      <c r="AD84" s="216"/>
      <c r="AE84" s="216"/>
      <c r="AF84" s="216"/>
      <c r="AG84" s="216"/>
      <c r="AH84" s="216"/>
    </row>
    <row r="85" spans="2:34">
      <c r="T85" s="216"/>
    </row>
    <row r="86" spans="2:34">
      <c r="P86" s="333">
        <f>SUM(S76:S84)</f>
        <v>-100.74289726371993</v>
      </c>
      <c r="T86" s="216"/>
    </row>
    <row r="87" spans="2:34">
      <c r="T87" s="216" t="s">
        <v>223</v>
      </c>
      <c r="U87">
        <v>-51.038748347372163</v>
      </c>
    </row>
    <row r="91" spans="2:34">
      <c r="T91" s="216" t="s">
        <v>283</v>
      </c>
      <c r="U91" s="317">
        <f>SUM(U92:U94)</f>
        <v>-111.24085972581162</v>
      </c>
    </row>
    <row r="92" spans="2:34">
      <c r="T92" s="372" t="s">
        <v>252</v>
      </c>
      <c r="U92" s="373">
        <v>2.7195345443254602</v>
      </c>
    </row>
    <row r="93" spans="2:34">
      <c r="T93" t="s">
        <v>293</v>
      </c>
      <c r="U93" s="317">
        <v>-83.940098141147004</v>
      </c>
    </row>
    <row r="94" spans="2:34">
      <c r="T94" s="135" t="s">
        <v>144</v>
      </c>
      <c r="U94" s="373">
        <f>-AD56-AJ65-X57</f>
        <v>-30.020296128990076</v>
      </c>
    </row>
  </sheetData>
  <mergeCells count="26">
    <mergeCell ref="AH59:AH60"/>
    <mergeCell ref="B52:B53"/>
    <mergeCell ref="C52:C53"/>
    <mergeCell ref="H59:H60"/>
    <mergeCell ref="O59:O60"/>
    <mergeCell ref="P59:P60"/>
    <mergeCell ref="Q59:Q60"/>
    <mergeCell ref="R59:R60"/>
    <mergeCell ref="S59:S60"/>
    <mergeCell ref="AE59:AE60"/>
    <mergeCell ref="AF59:AF60"/>
    <mergeCell ref="T59:T60"/>
    <mergeCell ref="B59:B60"/>
    <mergeCell ref="AH17:AH18"/>
    <mergeCell ref="B10:B11"/>
    <mergeCell ref="C10:C11"/>
    <mergeCell ref="H17:H18"/>
    <mergeCell ref="O17:O18"/>
    <mergeCell ref="P17:P18"/>
    <mergeCell ref="Q17:Q18"/>
    <mergeCell ref="R17:R18"/>
    <mergeCell ref="S17:S18"/>
    <mergeCell ref="AE17:AE18"/>
    <mergeCell ref="AF17:AF18"/>
    <mergeCell ref="T17:T18"/>
    <mergeCell ref="B17:B18"/>
  </mergeCells>
  <pageMargins left="0.7" right="0.7" top="0.75" bottom="0.75" header="0.3" footer="0.3"/>
  <pageSetup orientation="portrait" r:id="rId1"/>
  <customProperties>
    <customPr name="_pios_id" r:id="rId2"/>
    <customPr name="EpmWorksheetKeyString_GUID" r:id="rId3"/>
  </customProperties>
  <drawing r:id="rId4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E29C6-3F79-4C57-BA47-EBF67C8D79B1}">
  <sheetPr>
    <tabColor theme="7" tint="0.39997558519241921"/>
  </sheetPr>
  <dimension ref="B1:AK87"/>
  <sheetViews>
    <sheetView showGridLines="0" zoomScale="55" zoomScaleNormal="55" workbookViewId="0">
      <selection activeCell="AC11" sqref="AC11"/>
    </sheetView>
  </sheetViews>
  <sheetFormatPr defaultRowHeight="15"/>
  <cols>
    <col min="2" max="2" width="10.42578125" bestFit="1" customWidth="1"/>
    <col min="3" max="3" width="10.85546875" bestFit="1" customWidth="1"/>
    <col min="4" max="4" width="14.85546875" customWidth="1"/>
    <col min="5" max="5" width="12.5703125" customWidth="1"/>
    <col min="6" max="6" width="14.140625" customWidth="1"/>
    <col min="7" max="7" width="11.85546875" customWidth="1"/>
    <col min="17" max="17" width="8.85546875" customWidth="1"/>
    <col min="19" max="19" width="10.5703125" customWidth="1"/>
    <col min="21" max="21" width="10.5703125" bestFit="1" customWidth="1"/>
    <col min="24" max="24" width="10.5703125" customWidth="1"/>
  </cols>
  <sheetData>
    <row r="1" spans="2:34" ht="28.5">
      <c r="B1" s="304" t="str">
        <f>'Summary month'!E2</f>
        <v>Apr</v>
      </c>
      <c r="C1" t="str">
        <f>VLOOKUP(B1,mapping!$A$2:$C$13,3,0)</f>
        <v>M01</v>
      </c>
    </row>
    <row r="2" spans="2:34">
      <c r="Q2" t="s">
        <v>485</v>
      </c>
    </row>
    <row r="3" spans="2:34" ht="28.5">
      <c r="B3" s="299" t="s">
        <v>202</v>
      </c>
      <c r="I3" s="216"/>
      <c r="J3" s="334"/>
      <c r="K3" s="216"/>
      <c r="L3" s="216"/>
      <c r="M3" s="216"/>
      <c r="N3" s="334"/>
      <c r="O3" s="216"/>
      <c r="P3" s="216"/>
      <c r="Q3" s="216"/>
    </row>
    <row r="4" spans="2:34" ht="28.5">
      <c r="B4" s="299"/>
      <c r="I4" s="216"/>
      <c r="J4" s="334"/>
      <c r="K4" s="216"/>
      <c r="L4" s="216"/>
      <c r="M4" s="216"/>
      <c r="N4" s="334"/>
      <c r="O4" s="216"/>
      <c r="P4" s="216"/>
      <c r="Q4" s="216"/>
    </row>
    <row r="5" spans="2:34" ht="20.25">
      <c r="B5" s="216"/>
      <c r="C5" s="226" t="str">
        <f>B10</f>
        <v>FC-1 QTD</v>
      </c>
      <c r="D5" s="226" t="str">
        <f>C10</f>
        <v>Act QTD</v>
      </c>
      <c r="E5" s="226" t="s">
        <v>320</v>
      </c>
      <c r="F5" s="226" t="s">
        <v>321</v>
      </c>
      <c r="G5" s="226" t="s">
        <v>322</v>
      </c>
      <c r="H5" s="292" t="s">
        <v>323</v>
      </c>
      <c r="I5" s="216"/>
    </row>
    <row r="6" spans="2:34" ht="20.25">
      <c r="B6" s="226" t="s">
        <v>327</v>
      </c>
      <c r="C6" s="229">
        <f>'Summary month'!W82</f>
        <v>0</v>
      </c>
      <c r="D6" s="229">
        <f>'Summary month'!I82</f>
        <v>63.237619418000122</v>
      </c>
      <c r="E6" s="226">
        <f>+D6-C6</f>
        <v>63.237619418000122</v>
      </c>
      <c r="F6" s="226" t="e">
        <f>B19</f>
        <v>#REF!</v>
      </c>
      <c r="G6" s="226" t="e">
        <f>SUM(C19:S19)</f>
        <v>#REF!</v>
      </c>
      <c r="H6" s="502" t="e">
        <f>E6-F6-G6</f>
        <v>#REF!</v>
      </c>
      <c r="I6" s="216"/>
      <c r="J6" s="334"/>
      <c r="K6" s="216"/>
      <c r="L6" s="216"/>
      <c r="M6" s="216"/>
      <c r="N6" s="334"/>
      <c r="O6" s="216"/>
      <c r="P6" s="216"/>
      <c r="Q6" s="216"/>
    </row>
    <row r="7" spans="2:34" ht="20.25">
      <c r="B7" s="226" t="s">
        <v>325</v>
      </c>
      <c r="C7" s="229">
        <f>'Summary month'!W83</f>
        <v>-134.40743371800002</v>
      </c>
      <c r="D7" s="229">
        <f>'Summary month'!I83</f>
        <v>-134.40743371799999</v>
      </c>
      <c r="E7" s="226">
        <f>+D7-C7</f>
        <v>0</v>
      </c>
      <c r="F7" s="226" t="e">
        <f>T19</f>
        <v>#REF!</v>
      </c>
      <c r="G7" s="226" t="e">
        <f>SUM(U19:AH19)</f>
        <v>#REF!</v>
      </c>
      <c r="H7" s="502" t="e">
        <f>E7-F7-G7</f>
        <v>#REF!</v>
      </c>
      <c r="I7" s="216"/>
      <c r="J7" s="334"/>
      <c r="K7" s="216"/>
      <c r="L7" s="216"/>
      <c r="M7" s="216"/>
      <c r="N7" s="334"/>
      <c r="O7" s="216"/>
      <c r="P7" s="216"/>
      <c r="Q7" s="216"/>
    </row>
    <row r="8" spans="2:34" ht="20.25">
      <c r="B8" s="226" t="s">
        <v>326</v>
      </c>
      <c r="C8" s="226">
        <f>+C6+C7</f>
        <v>-134.40743371800002</v>
      </c>
      <c r="D8" s="226">
        <f>+D6+D7</f>
        <v>-71.169814299999871</v>
      </c>
      <c r="E8" s="226">
        <f>+D8-C8</f>
        <v>63.237619418000151</v>
      </c>
      <c r="F8" s="226" t="e">
        <f>+E8-G8</f>
        <v>#REF!</v>
      </c>
      <c r="G8" s="226" t="e">
        <f>+G6+G7</f>
        <v>#REF!</v>
      </c>
      <c r="H8" s="502" t="e">
        <f>E8-F8-G8</f>
        <v>#REF!</v>
      </c>
      <c r="I8" s="216"/>
      <c r="J8" s="334" t="s">
        <v>303</v>
      </c>
      <c r="K8" s="216" t="s">
        <v>143</v>
      </c>
      <c r="L8" s="216" t="s">
        <v>304</v>
      </c>
      <c r="M8" s="216"/>
      <c r="N8" s="334" t="s">
        <v>303</v>
      </c>
      <c r="O8" s="216" t="s">
        <v>143</v>
      </c>
      <c r="P8" s="216" t="s">
        <v>305</v>
      </c>
      <c r="Q8" s="216" t="s">
        <v>306</v>
      </c>
    </row>
    <row r="9" spans="2:34" ht="18">
      <c r="B9" s="215"/>
      <c r="C9" s="216"/>
      <c r="D9" s="318" t="e">
        <f>D12-D54</f>
        <v>#VALUE!</v>
      </c>
      <c r="E9" s="318" t="e">
        <f>E12-E54</f>
        <v>#REF!</v>
      </c>
      <c r="F9" s="318" t="e">
        <f>F12-F54</f>
        <v>#REF!</v>
      </c>
      <c r="G9" s="318" t="e">
        <f>G12-G54</f>
        <v>#REF!</v>
      </c>
      <c r="H9" s="216"/>
      <c r="I9" s="216" t="s">
        <v>307</v>
      </c>
      <c r="J9" s="334">
        <f>'[9]New KPI vs BP'!$AN$34-K9-L9</f>
        <v>8.206118843052792</v>
      </c>
      <c r="K9" s="216">
        <f>'[9]New KPI vs BP'!$AN$15</f>
        <v>0.90964658602447934</v>
      </c>
      <c r="L9" s="334">
        <f>'[9]New KPI vs BP'!$AN$507+'[9]New KPI vs BP'!$AN$523</f>
        <v>-2.1683203931033423</v>
      </c>
      <c r="M9" s="216"/>
      <c r="N9" s="334" t="e">
        <f>'[9]New KPI vs BP'!$AN$34-O9-P9</f>
        <v>#REF!</v>
      </c>
      <c r="O9" s="216">
        <f>K9</f>
        <v>0.90964658602447934</v>
      </c>
      <c r="P9" s="406" t="e">
        <f>L10-AJ66+AA20</f>
        <v>#REF!</v>
      </c>
      <c r="Q9" s="334" t="e">
        <f>L9-(P9)</f>
        <v>#REF!</v>
      </c>
      <c r="R9" s="216"/>
      <c r="S9" s="216"/>
      <c r="T9" s="216"/>
      <c r="U9" s="216"/>
      <c r="V9" s="216"/>
      <c r="W9" s="216"/>
      <c r="X9" s="216"/>
      <c r="Y9" s="216"/>
      <c r="Z9" s="216"/>
      <c r="AA9" s="216"/>
      <c r="AB9" s="216"/>
      <c r="AC9" s="216"/>
      <c r="AD9" s="216"/>
      <c r="AE9" s="216"/>
      <c r="AF9" s="216"/>
      <c r="AG9" s="216"/>
      <c r="AH9" s="216"/>
    </row>
    <row r="10" spans="2:34" ht="20.100000000000001" customHeight="1">
      <c r="B10" s="1014" t="s">
        <v>342</v>
      </c>
      <c r="C10" s="1014" t="s">
        <v>214</v>
      </c>
      <c r="D10" s="218"/>
      <c r="E10" s="219"/>
      <c r="F10" s="219"/>
      <c r="G10" s="220"/>
      <c r="H10" s="216"/>
      <c r="I10" s="216" t="s">
        <v>62</v>
      </c>
      <c r="J10" s="334" t="e">
        <f>M52</f>
        <v>#REF!</v>
      </c>
      <c r="K10" s="216">
        <v>0</v>
      </c>
      <c r="L10" s="334" t="e">
        <f>M53</f>
        <v>#REF!</v>
      </c>
      <c r="M10" s="216"/>
      <c r="N10" s="216"/>
      <c r="O10" s="216"/>
      <c r="P10" s="216"/>
      <c r="Q10" s="216"/>
      <c r="R10" s="216"/>
      <c r="S10" s="216"/>
      <c r="T10" s="216"/>
      <c r="U10" s="216"/>
      <c r="V10" s="216"/>
      <c r="W10" s="221"/>
      <c r="X10" s="221"/>
      <c r="Y10" s="221"/>
      <c r="Z10" s="221"/>
      <c r="AA10" s="221"/>
      <c r="AB10" s="221"/>
      <c r="AC10" s="221"/>
      <c r="AD10" s="221"/>
      <c r="AE10" s="221"/>
      <c r="AF10" s="221"/>
      <c r="AG10" s="221"/>
      <c r="AH10" s="221"/>
    </row>
    <row r="11" spans="2:34" ht="40.5">
      <c r="B11" s="1015"/>
      <c r="C11" s="1016"/>
      <c r="D11" s="222"/>
      <c r="E11" s="223" t="s">
        <v>154</v>
      </c>
      <c r="F11" s="224" t="s">
        <v>155</v>
      </c>
      <c r="G11" s="225" t="s">
        <v>156</v>
      </c>
      <c r="H11" s="216"/>
      <c r="I11" s="216" t="s">
        <v>208</v>
      </c>
      <c r="J11" s="216"/>
      <c r="K11" s="216"/>
      <c r="L11" s="216"/>
      <c r="M11" s="216"/>
      <c r="N11" s="216"/>
      <c r="O11" s="216"/>
      <c r="P11" s="216"/>
      <c r="Q11" s="216"/>
      <c r="R11" s="216"/>
      <c r="AH11" s="216"/>
    </row>
    <row r="12" spans="2:34" ht="20.25">
      <c r="B12" s="226">
        <f>'Summary month'!W55</f>
        <v>-71.169814299999885</v>
      </c>
      <c r="C12" s="226">
        <f>'Summary month'!I55</f>
        <v>-71.169814299999885</v>
      </c>
      <c r="D12" s="227">
        <f>C12-B12</f>
        <v>0</v>
      </c>
      <c r="E12" s="228">
        <f>'[9]New KPI vs BP'!$AN$34</f>
        <v>6.9474450359739297</v>
      </c>
      <c r="F12" s="228" t="e">
        <f>'Summary month'!AA82-E13</f>
        <v>#REF!</v>
      </c>
      <c r="G12" s="229" t="e">
        <f>'Summary month'!AA83-E14</f>
        <v>#REF!</v>
      </c>
      <c r="H12" s="216"/>
      <c r="I12" s="286" t="e">
        <f>SUM(E12:G12)-D12</f>
        <v>#REF!</v>
      </c>
      <c r="J12" s="216"/>
      <c r="K12" s="216"/>
      <c r="L12" s="216"/>
      <c r="M12" s="216"/>
      <c r="N12" s="216"/>
      <c r="O12" s="230"/>
      <c r="P12" s="216"/>
      <c r="Q12" s="216"/>
      <c r="R12" s="216"/>
      <c r="AH12" s="230"/>
    </row>
    <row r="13" spans="2:34">
      <c r="B13" s="216"/>
      <c r="C13" s="216"/>
      <c r="D13" s="216"/>
      <c r="E13" s="315" t="e">
        <f>SUM(N9:O9)</f>
        <v>#REF!</v>
      </c>
      <c r="F13" s="216" t="s">
        <v>308</v>
      </c>
      <c r="G13" s="216"/>
      <c r="H13" s="216"/>
      <c r="I13" s="216"/>
      <c r="J13" s="216"/>
      <c r="K13" s="216"/>
      <c r="L13" s="216"/>
      <c r="M13" s="216"/>
      <c r="N13" s="216"/>
      <c r="O13" s="216" t="s">
        <v>53</v>
      </c>
      <c r="P13" s="216">
        <f>-'Summary month'!AA66</f>
        <v>0</v>
      </c>
      <c r="Q13" s="216"/>
      <c r="R13" s="216"/>
      <c r="AH13" s="216"/>
    </row>
    <row r="14" spans="2:34">
      <c r="B14" s="216"/>
      <c r="C14" s="216" t="s">
        <v>51</v>
      </c>
      <c r="D14" s="216" t="s">
        <v>50</v>
      </c>
      <c r="E14" s="315" t="e">
        <f>P9</f>
        <v>#REF!</v>
      </c>
      <c r="F14" s="216" t="s">
        <v>309</v>
      </c>
      <c r="G14" s="216"/>
      <c r="H14" s="216"/>
      <c r="I14" s="216"/>
      <c r="J14" s="216"/>
      <c r="K14" s="216"/>
      <c r="L14" s="216"/>
      <c r="M14" s="216"/>
      <c r="N14" s="216"/>
      <c r="O14" s="216" t="s">
        <v>54</v>
      </c>
      <c r="P14" s="216">
        <f>-'Summary month'!AA67</f>
        <v>0</v>
      </c>
      <c r="Q14" s="216"/>
      <c r="R14" s="216"/>
      <c r="AH14" s="216"/>
    </row>
    <row r="15" spans="2:34" ht="21" thickBot="1">
      <c r="B15" s="231" t="s">
        <v>157</v>
      </c>
      <c r="C15" s="232" t="s">
        <v>56</v>
      </c>
      <c r="D15" s="232" t="s">
        <v>57</v>
      </c>
      <c r="E15" s="232"/>
      <c r="F15" s="232"/>
      <c r="G15" s="232"/>
      <c r="H15" s="232"/>
      <c r="I15" s="232"/>
      <c r="J15" s="232"/>
      <c r="K15" s="232"/>
      <c r="L15" s="232"/>
      <c r="M15" s="232"/>
      <c r="N15" s="232"/>
      <c r="O15" s="232" t="s">
        <v>55</v>
      </c>
      <c r="P15" s="216">
        <f>-'Summary month'!AA68</f>
        <v>0</v>
      </c>
      <c r="Q15" s="232"/>
      <c r="R15" s="232" t="s">
        <v>60</v>
      </c>
      <c r="AA15" t="s">
        <v>52</v>
      </c>
      <c r="AB15" t="s">
        <v>59</v>
      </c>
      <c r="AH15" s="217" t="s">
        <v>138</v>
      </c>
    </row>
    <row r="16" spans="2:34" ht="21" thickBot="1">
      <c r="B16" s="233"/>
      <c r="C16" s="234" t="s">
        <v>159</v>
      </c>
      <c r="D16" s="234"/>
      <c r="E16" s="234"/>
      <c r="F16" s="234"/>
      <c r="G16" s="234"/>
      <c r="H16" s="234"/>
      <c r="I16" s="234"/>
      <c r="J16" s="234"/>
      <c r="K16" s="234"/>
      <c r="L16" s="234"/>
      <c r="M16" s="234"/>
      <c r="N16" s="234"/>
      <c r="O16" s="234"/>
      <c r="P16" s="234"/>
      <c r="Q16" s="234"/>
      <c r="R16" s="234"/>
      <c r="S16" s="235"/>
      <c r="T16" s="236"/>
      <c r="U16" s="237" t="s">
        <v>160</v>
      </c>
      <c r="V16" s="237"/>
      <c r="W16" s="237"/>
      <c r="X16" s="237"/>
      <c r="Y16" s="237"/>
      <c r="Z16" s="237"/>
      <c r="AA16" s="237"/>
      <c r="AB16" s="237"/>
      <c r="AC16" s="237"/>
      <c r="AD16" s="237"/>
      <c r="AE16" s="237"/>
      <c r="AF16" s="237"/>
      <c r="AG16" s="237"/>
      <c r="AH16" s="238"/>
    </row>
    <row r="17" spans="2:34" ht="20.100000000000001" customHeight="1">
      <c r="B17" s="1027" t="s">
        <v>274</v>
      </c>
      <c r="C17" s="239" t="s">
        <v>161</v>
      </c>
      <c r="D17" s="240"/>
      <c r="E17" s="240"/>
      <c r="F17" s="240"/>
      <c r="G17" s="241"/>
      <c r="H17" s="1017" t="s">
        <v>162</v>
      </c>
      <c r="I17" s="242" t="s">
        <v>163</v>
      </c>
      <c r="J17" s="243"/>
      <c r="K17" s="243"/>
      <c r="L17" s="243"/>
      <c r="M17" s="243"/>
      <c r="N17" s="244"/>
      <c r="O17" s="1019" t="s">
        <v>164</v>
      </c>
      <c r="P17" s="1019" t="s">
        <v>165</v>
      </c>
      <c r="Q17" s="1019" t="s">
        <v>166</v>
      </c>
      <c r="R17" s="1022" t="s">
        <v>167</v>
      </c>
      <c r="S17" s="1023" t="s">
        <v>168</v>
      </c>
      <c r="T17" s="1027" t="s">
        <v>274</v>
      </c>
      <c r="U17" s="245" t="s">
        <v>169</v>
      </c>
      <c r="V17" s="246"/>
      <c r="W17" s="246"/>
      <c r="X17" s="247"/>
      <c r="Y17" s="248" t="s">
        <v>163</v>
      </c>
      <c r="Z17" s="246"/>
      <c r="AA17" s="246"/>
      <c r="AB17" s="246"/>
      <c r="AC17" s="246"/>
      <c r="AD17" s="247"/>
      <c r="AE17" s="1022" t="s">
        <v>166</v>
      </c>
      <c r="AF17" s="1025" t="s">
        <v>167</v>
      </c>
      <c r="AG17" s="311"/>
      <c r="AH17" s="1012" t="s">
        <v>168</v>
      </c>
    </row>
    <row r="18" spans="2:34" ht="77.45" customHeight="1">
      <c r="B18" s="1028"/>
      <c r="C18" s="249" t="s">
        <v>170</v>
      </c>
      <c r="D18" s="250" t="s">
        <v>171</v>
      </c>
      <c r="E18" s="250" t="s">
        <v>172</v>
      </c>
      <c r="F18" s="250" t="s">
        <v>173</v>
      </c>
      <c r="G18" s="251" t="s">
        <v>174</v>
      </c>
      <c r="H18" s="1018"/>
      <c r="I18" s="250" t="s">
        <v>175</v>
      </c>
      <c r="J18" s="250" t="s">
        <v>176</v>
      </c>
      <c r="K18" s="250" t="s">
        <v>177</v>
      </c>
      <c r="L18" s="250" t="s">
        <v>178</v>
      </c>
      <c r="M18" s="250" t="s">
        <v>168</v>
      </c>
      <c r="N18" s="250" t="s">
        <v>179</v>
      </c>
      <c r="O18" s="1020"/>
      <c r="P18" s="1021"/>
      <c r="Q18" s="1021"/>
      <c r="R18" s="1021"/>
      <c r="S18" s="1024"/>
      <c r="T18" s="1028"/>
      <c r="U18" s="307" t="s">
        <v>203</v>
      </c>
      <c r="V18" s="308" t="s">
        <v>180</v>
      </c>
      <c r="W18" s="309" t="s">
        <v>181</v>
      </c>
      <c r="X18" s="310" t="s">
        <v>33</v>
      </c>
      <c r="Y18" s="305" t="s">
        <v>25</v>
      </c>
      <c r="Z18" s="306" t="s">
        <v>183</v>
      </c>
      <c r="AA18" s="306" t="s">
        <v>204</v>
      </c>
      <c r="AB18" s="306" t="s">
        <v>205</v>
      </c>
      <c r="AC18" s="306" t="s">
        <v>184</v>
      </c>
      <c r="AD18" s="306" t="s">
        <v>30</v>
      </c>
      <c r="AE18" s="1021"/>
      <c r="AF18" s="1026"/>
      <c r="AG18" s="312" t="s">
        <v>37</v>
      </c>
      <c r="AH18" s="1013"/>
    </row>
    <row r="19" spans="2:34" ht="21" thickBot="1">
      <c r="B19" s="252" t="e">
        <f>E13</f>
        <v>#REF!</v>
      </c>
      <c r="C19" s="253" t="e">
        <f>C61-'Summary month'!AA64-'Summary month'!AA69+J10-N9</f>
        <v>#REF!</v>
      </c>
      <c r="D19" s="254">
        <f>S67-'Summary month'!AA63-'Summary month'!AA70-O9</f>
        <v>1.2844562371502881</v>
      </c>
      <c r="E19" s="254" t="e">
        <f>E61</f>
        <v>#REF!</v>
      </c>
      <c r="F19" s="254" t="e">
        <f>F61</f>
        <v>#REF!</v>
      </c>
      <c r="G19" s="254"/>
      <c r="H19" s="254"/>
      <c r="I19" s="254">
        <f>I61</f>
        <v>5.7019311818052358</v>
      </c>
      <c r="J19" s="255">
        <f>J61</f>
        <v>1.4855263852785687</v>
      </c>
      <c r="K19" s="255">
        <f>K61</f>
        <v>-7.4543777387711811</v>
      </c>
      <c r="L19" s="255">
        <f>L61</f>
        <v>1</v>
      </c>
      <c r="M19" s="255">
        <f>M61</f>
        <v>17.440121785955952</v>
      </c>
      <c r="N19" s="255"/>
      <c r="O19" s="254">
        <f>SUM(P13:P15)</f>
        <v>0</v>
      </c>
      <c r="P19" s="254"/>
      <c r="Q19" s="256"/>
      <c r="R19" s="254" t="e">
        <f>R61-'Summary month'!AA73</f>
        <v>#REF!</v>
      </c>
      <c r="S19" s="257" t="e">
        <f>F12-SUM(C19:R19)</f>
        <v>#REF!</v>
      </c>
      <c r="T19" s="253" t="e">
        <f>E14</f>
        <v>#REF!</v>
      </c>
      <c r="U19" s="253" t="e">
        <f>U61</f>
        <v>#REF!</v>
      </c>
      <c r="V19" s="258">
        <f>V61</f>
        <v>0</v>
      </c>
      <c r="W19" s="258"/>
      <c r="X19" s="258" t="e">
        <f>X61</f>
        <v>#REF!</v>
      </c>
      <c r="Y19" s="258" t="e">
        <f>Y61</f>
        <v>#REF!</v>
      </c>
      <c r="Z19" s="258" t="e">
        <f>Z61</f>
        <v>#REF!</v>
      </c>
      <c r="AA19" s="258">
        <f>AA61-'Summary month'!AA65-AA20</f>
        <v>2.0510781877509585E-2</v>
      </c>
      <c r="AB19" s="258">
        <f>-'Summary month'!AA72</f>
        <v>0</v>
      </c>
      <c r="AC19" s="258" t="e">
        <f>AC61</f>
        <v>#REF!</v>
      </c>
      <c r="AD19" s="258">
        <f>AD61</f>
        <v>0</v>
      </c>
      <c r="AE19" s="256"/>
      <c r="AF19" s="259"/>
      <c r="AG19" s="254" t="e">
        <f>AG61</f>
        <v>#REF!</v>
      </c>
      <c r="AH19" s="260" t="e">
        <f>G12-SUM(U19:AG19)</f>
        <v>#REF!</v>
      </c>
    </row>
    <row r="20" spans="2:34">
      <c r="B20" s="286" t="e">
        <f>B19-B61</f>
        <v>#REF!</v>
      </c>
      <c r="C20" s="286" t="e">
        <f t="shared" ref="C20:S20" si="0">C19-C61</f>
        <v>#REF!</v>
      </c>
      <c r="D20" s="286">
        <f t="shared" si="0"/>
        <v>1.2844562371502881</v>
      </c>
      <c r="E20" s="286" t="e">
        <f t="shared" si="0"/>
        <v>#REF!</v>
      </c>
      <c r="F20" s="286" t="e">
        <f t="shared" si="0"/>
        <v>#REF!</v>
      </c>
      <c r="G20" s="286">
        <f t="shared" si="0"/>
        <v>0</v>
      </c>
      <c r="H20" s="286">
        <f t="shared" si="0"/>
        <v>0</v>
      </c>
      <c r="I20" s="286">
        <f t="shared" si="0"/>
        <v>0</v>
      </c>
      <c r="J20" s="286">
        <f t="shared" si="0"/>
        <v>0</v>
      </c>
      <c r="K20" s="286">
        <f t="shared" si="0"/>
        <v>0</v>
      </c>
      <c r="L20" s="286">
        <f t="shared" si="0"/>
        <v>0</v>
      </c>
      <c r="M20" s="286">
        <f t="shared" si="0"/>
        <v>0</v>
      </c>
      <c r="N20" s="286">
        <f t="shared" si="0"/>
        <v>0</v>
      </c>
      <c r="O20" s="286">
        <f t="shared" si="0"/>
        <v>0</v>
      </c>
      <c r="P20" s="286">
        <f t="shared" si="0"/>
        <v>0</v>
      </c>
      <c r="Q20" s="286">
        <f t="shared" si="0"/>
        <v>0</v>
      </c>
      <c r="R20" s="286" t="e">
        <f t="shared" si="0"/>
        <v>#REF!</v>
      </c>
      <c r="S20" s="286" t="e">
        <f t="shared" si="0"/>
        <v>#REF!</v>
      </c>
      <c r="T20" s="216"/>
      <c r="U20" s="216"/>
      <c r="V20" s="216"/>
      <c r="W20" s="216"/>
      <c r="X20" s="216"/>
      <c r="Y20" s="216"/>
      <c r="Z20" s="216"/>
      <c r="AA20" s="216">
        <f>'[9]New KPI vs BP'!$AN$20</f>
        <v>-2.0510781877509585E-2</v>
      </c>
      <c r="AB20" s="216"/>
      <c r="AC20" s="216"/>
      <c r="AD20" s="216"/>
      <c r="AE20" s="216"/>
      <c r="AF20" s="216"/>
      <c r="AG20" s="216"/>
      <c r="AH20" s="216"/>
    </row>
    <row r="21" spans="2:34" ht="18">
      <c r="B21" s="221"/>
      <c r="C21" s="261"/>
      <c r="D21" s="262"/>
      <c r="E21" s="262"/>
      <c r="F21" s="262"/>
      <c r="G21" s="262"/>
      <c r="H21" s="262"/>
      <c r="I21" s="262"/>
      <c r="J21" s="262"/>
      <c r="K21" s="262"/>
      <c r="L21" s="262"/>
      <c r="M21" s="262"/>
      <c r="N21" s="262"/>
      <c r="O21" s="262"/>
      <c r="P21" s="262"/>
      <c r="Q21" s="262"/>
      <c r="R21" s="262"/>
      <c r="S21" s="221"/>
      <c r="T21" s="221"/>
      <c r="U21" s="221"/>
      <c r="V21" s="221"/>
      <c r="W21" s="221"/>
    </row>
    <row r="22" spans="2:34" ht="18">
      <c r="B22" s="216"/>
      <c r="C22" s="266"/>
      <c r="D22" s="267"/>
      <c r="E22" s="267"/>
      <c r="F22" s="267"/>
      <c r="G22" s="267"/>
      <c r="H22" s="267"/>
      <c r="I22" s="267"/>
      <c r="J22" s="267"/>
      <c r="K22" s="267"/>
      <c r="L22" s="267"/>
      <c r="M22" s="267"/>
      <c r="N22" s="267"/>
      <c r="O22" s="267"/>
      <c r="P22" s="267"/>
      <c r="Q22" s="267"/>
      <c r="R22" s="267"/>
      <c r="S22" s="216"/>
      <c r="T22" s="216"/>
      <c r="U22" s="216"/>
      <c r="V22" s="216"/>
      <c r="W22" s="216"/>
    </row>
    <row r="23" spans="2:34" ht="20.25">
      <c r="B23" s="221" t="s">
        <v>277</v>
      </c>
      <c r="C23" s="426" t="e">
        <f>C61</f>
        <v>#REF!</v>
      </c>
      <c r="D23" s="216"/>
      <c r="E23" s="216" t="s">
        <v>281</v>
      </c>
      <c r="F23" s="216" t="s">
        <v>274</v>
      </c>
      <c r="G23" s="216"/>
      <c r="H23" s="216"/>
      <c r="I23" s="273" t="s">
        <v>188</v>
      </c>
      <c r="J23" s="274"/>
      <c r="K23" s="274"/>
      <c r="L23" s="274"/>
      <c r="M23" s="275">
        <f>M19</f>
        <v>17.440121785955952</v>
      </c>
      <c r="N23" s="216"/>
      <c r="P23" s="273" t="s">
        <v>191</v>
      </c>
      <c r="Q23" s="274"/>
      <c r="R23" s="274"/>
      <c r="S23" s="294" t="e">
        <f>S19</f>
        <v>#REF!</v>
      </c>
      <c r="T23" s="216"/>
      <c r="U23" s="315">
        <f>-S67+S26</f>
        <v>-2.1941028231747675</v>
      </c>
      <c r="V23" s="216"/>
      <c r="W23" s="216"/>
      <c r="X23" s="263" t="s">
        <v>185</v>
      </c>
      <c r="Y23" s="264"/>
      <c r="Z23" s="264"/>
      <c r="AA23" s="265">
        <f>AD19</f>
        <v>0</v>
      </c>
      <c r="AC23" s="221"/>
      <c r="AE23" s="263" t="s">
        <v>186</v>
      </c>
      <c r="AF23" s="264"/>
      <c r="AG23" s="264"/>
      <c r="AH23" s="265" t="e">
        <f>AH19</f>
        <v>#REF!</v>
      </c>
    </row>
    <row r="24" spans="2:34" ht="18">
      <c r="B24" s="216" t="s">
        <v>278</v>
      </c>
      <c r="C24" s="426" t="e">
        <f>-'Summary month'!AA64</f>
        <v>#VALUE!</v>
      </c>
      <c r="D24" s="216"/>
      <c r="E24" s="412" t="e">
        <f>C24-F24</f>
        <v>#VALUE!</v>
      </c>
      <c r="F24" s="411">
        <v>0.73312859726109303</v>
      </c>
      <c r="G24" s="216"/>
      <c r="H24" s="216"/>
      <c r="I24" s="279">
        <v>1</v>
      </c>
      <c r="J24" s="269" t="str">
        <f t="shared" ref="J24:J30" si="1">J66</f>
        <v>Inventory mvnt</v>
      </c>
      <c r="K24" s="270"/>
      <c r="L24" s="270"/>
      <c r="M24" s="280">
        <f t="shared" ref="M24:M30" si="2">M66</f>
        <v>3.5</v>
      </c>
      <c r="N24" s="216"/>
      <c r="P24" s="279">
        <v>1</v>
      </c>
      <c r="Q24" s="269" t="s">
        <v>193</v>
      </c>
      <c r="R24" s="270"/>
      <c r="S24" s="280" t="e">
        <f>S66</f>
        <v>#REF!</v>
      </c>
      <c r="T24" s="216"/>
      <c r="U24" s="216"/>
      <c r="V24" s="216"/>
      <c r="W24" s="216"/>
      <c r="X24" s="268">
        <v>1</v>
      </c>
      <c r="Y24" s="269" t="str">
        <f>Y66</f>
        <v>Capacity reservation</v>
      </c>
      <c r="Z24" s="270"/>
      <c r="AA24" s="271">
        <f>AA66</f>
        <v>0.9633100537543996</v>
      </c>
      <c r="AC24" s="216"/>
      <c r="AE24" s="268">
        <v>1</v>
      </c>
      <c r="AF24" s="269" t="s">
        <v>187</v>
      </c>
      <c r="AG24" s="270"/>
      <c r="AH24" s="271">
        <f>AH66</f>
        <v>0.37603900000004264</v>
      </c>
    </row>
    <row r="25" spans="2:34" ht="18">
      <c r="B25" s="216" t="s">
        <v>279</v>
      </c>
      <c r="C25" s="427">
        <f>-'Summary month'!AA69</f>
        <v>0</v>
      </c>
      <c r="D25" s="216"/>
      <c r="E25" s="216"/>
      <c r="F25" s="216"/>
      <c r="G25" s="216"/>
      <c r="H25" s="216"/>
      <c r="I25" s="279">
        <v>2</v>
      </c>
      <c r="J25" s="276" t="str">
        <f t="shared" si="1"/>
        <v>Supplier claims</v>
      </c>
      <c r="K25" s="277"/>
      <c r="L25" s="277"/>
      <c r="M25" s="281">
        <f t="shared" si="2"/>
        <v>10</v>
      </c>
      <c r="N25" s="216"/>
      <c r="P25" s="279">
        <v>2</v>
      </c>
      <c r="Q25" s="276" t="s">
        <v>195</v>
      </c>
      <c r="R25" s="277"/>
      <c r="S25" s="281">
        <f>S68</f>
        <v>-27.343977988545884</v>
      </c>
      <c r="T25" s="216"/>
      <c r="U25" s="216"/>
      <c r="V25" s="216"/>
      <c r="W25" s="216"/>
      <c r="X25" s="268">
        <v>2</v>
      </c>
      <c r="Y25" s="276" t="str">
        <f>Y67</f>
        <v>Non-funct R&amp;D</v>
      </c>
      <c r="Z25" s="277"/>
      <c r="AA25" s="278">
        <f>AA67</f>
        <v>1.3802265889999998</v>
      </c>
      <c r="AC25" s="216"/>
      <c r="AE25" s="268">
        <v>2</v>
      </c>
      <c r="AF25" s="276"/>
      <c r="AG25" s="277"/>
      <c r="AH25" s="278"/>
    </row>
    <row r="26" spans="2:34" ht="18">
      <c r="B26" s="216" t="s">
        <v>280</v>
      </c>
      <c r="C26" s="438" t="e">
        <f>J10-N9</f>
        <v>#REF!</v>
      </c>
      <c r="D26" s="216"/>
      <c r="E26" s="216"/>
      <c r="F26" s="216"/>
      <c r="G26" s="216"/>
      <c r="H26" s="216"/>
      <c r="I26" s="279">
        <v>3</v>
      </c>
      <c r="J26" s="276" t="str">
        <f t="shared" si="1"/>
        <v>Parts business</v>
      </c>
      <c r="K26" s="277"/>
      <c r="L26" s="277"/>
      <c r="M26" s="281">
        <f t="shared" si="2"/>
        <v>5</v>
      </c>
      <c r="N26" s="216"/>
      <c r="P26" s="279">
        <v>3</v>
      </c>
      <c r="Q26" s="276" t="s">
        <v>58</v>
      </c>
      <c r="R26" s="277"/>
      <c r="S26" s="278">
        <f>-'Summary month'!AA71</f>
        <v>0</v>
      </c>
      <c r="T26" s="216"/>
      <c r="U26" s="216"/>
      <c r="V26" s="216"/>
      <c r="W26" s="216"/>
      <c r="X26" s="268">
        <v>3</v>
      </c>
      <c r="Y26" s="276"/>
      <c r="Z26" s="277"/>
      <c r="AA26" s="278"/>
      <c r="AC26" s="216"/>
      <c r="AE26" s="268">
        <v>3</v>
      </c>
      <c r="AF26" s="276"/>
      <c r="AG26" s="277"/>
      <c r="AH26" s="278"/>
    </row>
    <row r="27" spans="2:34" ht="18">
      <c r="B27" s="216"/>
      <c r="C27" s="216"/>
      <c r="D27" s="272"/>
      <c r="E27" s="272"/>
      <c r="F27" s="272"/>
      <c r="G27" s="272"/>
      <c r="H27" s="272"/>
      <c r="I27" s="279">
        <v>4</v>
      </c>
      <c r="J27" s="276" t="str">
        <f t="shared" si="1"/>
        <v>X-badges TP</v>
      </c>
      <c r="K27" s="277"/>
      <c r="L27" s="277"/>
      <c r="M27" s="281">
        <f t="shared" si="2"/>
        <v>-2.3890176169999999</v>
      </c>
      <c r="N27" s="216"/>
      <c r="P27" s="279">
        <v>4</v>
      </c>
      <c r="Q27" s="276"/>
      <c r="R27" s="277"/>
      <c r="S27" s="281"/>
      <c r="T27" s="216"/>
      <c r="U27" s="216"/>
      <c r="V27" s="216"/>
      <c r="W27" s="216"/>
      <c r="X27" s="268">
        <v>4</v>
      </c>
      <c r="Y27" s="276"/>
      <c r="Z27" s="277"/>
      <c r="AA27" s="278"/>
      <c r="AC27" s="216"/>
      <c r="AE27" s="268">
        <v>4</v>
      </c>
      <c r="AF27" s="276"/>
      <c r="AG27" s="277"/>
      <c r="AH27" s="278"/>
    </row>
    <row r="28" spans="2:34" ht="18">
      <c r="B28" s="216"/>
      <c r="C28" s="272"/>
      <c r="D28" s="216"/>
      <c r="E28" s="216"/>
      <c r="F28" s="216"/>
      <c r="G28" s="216"/>
      <c r="H28" s="216"/>
      <c r="I28" s="279">
        <v>5</v>
      </c>
      <c r="J28" s="276" t="str">
        <f t="shared" si="1"/>
        <v>Duties for CBUs</v>
      </c>
      <c r="K28" s="277"/>
      <c r="L28" s="277"/>
      <c r="M28" s="281">
        <f t="shared" si="2"/>
        <v>-0.44323456299999997</v>
      </c>
      <c r="N28" s="216"/>
      <c r="P28" s="279">
        <v>5</v>
      </c>
      <c r="Q28" s="276"/>
      <c r="R28" s="277"/>
      <c r="S28" s="281"/>
      <c r="T28" s="216"/>
      <c r="U28" s="216"/>
      <c r="V28" s="216"/>
      <c r="W28" s="216"/>
      <c r="X28" s="282">
        <v>5</v>
      </c>
      <c r="Y28" s="283" t="s">
        <v>182</v>
      </c>
      <c r="Z28" s="284"/>
      <c r="AA28" s="285">
        <f>AA23-SUM(AA24:AA27)</f>
        <v>-2.3435366427543993</v>
      </c>
      <c r="AC28" s="216"/>
      <c r="AE28" s="282">
        <v>5</v>
      </c>
      <c r="AF28" s="283" t="s">
        <v>182</v>
      </c>
      <c r="AG28" s="284"/>
      <c r="AH28" s="285" t="e">
        <f>AH23-SUM(AH24:AH27)</f>
        <v>#REF!</v>
      </c>
    </row>
    <row r="29" spans="2:34" ht="18">
      <c r="B29" s="216"/>
      <c r="C29" s="272"/>
      <c r="D29" s="216"/>
      <c r="E29" s="216"/>
      <c r="F29" s="216"/>
      <c r="G29" s="216"/>
      <c r="H29" s="216"/>
      <c r="I29" s="279">
        <v>6</v>
      </c>
      <c r="J29" s="276" t="str">
        <f t="shared" si="1"/>
        <v>Outbound logistics</v>
      </c>
      <c r="K29" s="277"/>
      <c r="L29" s="277"/>
      <c r="M29" s="281">
        <f t="shared" si="2"/>
        <v>1.0747578370000004</v>
      </c>
      <c r="N29" s="216"/>
      <c r="P29" s="279">
        <v>6</v>
      </c>
      <c r="Q29" s="276"/>
      <c r="R29" s="277"/>
      <c r="S29" s="281"/>
      <c r="T29" s="216"/>
      <c r="U29" s="216"/>
      <c r="V29" s="216"/>
      <c r="W29" s="216"/>
      <c r="X29" s="216"/>
      <c r="Y29" s="216"/>
      <c r="Z29" s="216"/>
      <c r="AA29" s="286">
        <f>AA28-AA70</f>
        <v>0</v>
      </c>
      <c r="AC29" s="216"/>
      <c r="AD29" s="216"/>
      <c r="AE29" s="216"/>
      <c r="AF29" s="216"/>
      <c r="AG29" s="287"/>
      <c r="AH29" s="286" t="e">
        <f>AH28-AH70</f>
        <v>#REF!</v>
      </c>
    </row>
    <row r="30" spans="2:34" ht="18">
      <c r="B30" s="216"/>
      <c r="C30" s="272"/>
      <c r="D30" s="272"/>
      <c r="E30" s="216"/>
      <c r="F30" s="216"/>
      <c r="G30" s="216"/>
      <c r="H30" s="216"/>
      <c r="I30" s="279">
        <v>7</v>
      </c>
      <c r="J30" s="276" t="str">
        <f t="shared" si="1"/>
        <v>Micra SC</v>
      </c>
      <c r="K30" s="277"/>
      <c r="L30" s="277"/>
      <c r="M30" s="281">
        <f t="shared" si="2"/>
        <v>0.69599999999999995</v>
      </c>
      <c r="N30" s="216"/>
      <c r="P30" s="279">
        <v>7</v>
      </c>
      <c r="Q30" s="276"/>
      <c r="R30" s="277"/>
      <c r="S30" s="281"/>
      <c r="T30" s="216"/>
      <c r="U30" s="216"/>
      <c r="V30" s="216"/>
      <c r="W30" s="216"/>
      <c r="X30" s="216"/>
      <c r="Y30" s="216"/>
      <c r="Z30" s="216"/>
      <c r="AA30" s="216"/>
      <c r="AB30" s="216"/>
      <c r="AC30" s="216"/>
      <c r="AD30" s="216"/>
      <c r="AE30" s="216"/>
      <c r="AF30" s="216"/>
      <c r="AG30" s="216"/>
      <c r="AH30" s="216"/>
    </row>
    <row r="31" spans="2:34" ht="18">
      <c r="B31" s="216"/>
      <c r="C31" s="291"/>
      <c r="D31" s="216"/>
      <c r="E31" s="216"/>
      <c r="F31" s="292" t="s">
        <v>189</v>
      </c>
      <c r="G31" s="216"/>
      <c r="H31" s="216"/>
      <c r="I31" s="279">
        <v>8</v>
      </c>
      <c r="J31" s="276"/>
      <c r="K31" s="277"/>
      <c r="L31" s="277"/>
      <c r="M31" s="281"/>
      <c r="N31" s="216"/>
      <c r="P31" s="279">
        <v>8</v>
      </c>
      <c r="Q31" s="276"/>
      <c r="R31" s="277"/>
      <c r="S31" s="278"/>
      <c r="T31" s="216"/>
      <c r="U31" s="216"/>
      <c r="V31" s="216"/>
      <c r="W31" s="216"/>
      <c r="X31" s="216"/>
      <c r="Y31" s="216"/>
      <c r="Z31" s="216"/>
      <c r="AA31" s="216"/>
      <c r="AB31" s="216"/>
      <c r="AC31" s="216"/>
      <c r="AD31" s="216"/>
      <c r="AE31" s="216"/>
      <c r="AF31" s="216"/>
      <c r="AG31" s="216"/>
      <c r="AH31" s="216"/>
    </row>
    <row r="32" spans="2:34" ht="18">
      <c r="B32" s="216"/>
      <c r="C32" s="216"/>
      <c r="D32" s="293" t="s">
        <v>63</v>
      </c>
      <c r="E32" s="293" t="s">
        <v>287</v>
      </c>
      <c r="F32" s="293" t="s">
        <v>190</v>
      </c>
      <c r="G32" s="216"/>
      <c r="H32" s="216"/>
      <c r="I32" s="288">
        <v>5</v>
      </c>
      <c r="J32" s="289" t="s">
        <v>182</v>
      </c>
      <c r="K32" s="284"/>
      <c r="L32" s="284"/>
      <c r="M32" s="290">
        <f>M23-SUM(M24:M31)</f>
        <v>1.6161289559519787E-3</v>
      </c>
      <c r="N32" s="216"/>
      <c r="P32" s="279">
        <v>9</v>
      </c>
      <c r="Q32" s="276"/>
      <c r="R32" s="277"/>
      <c r="S32" s="278"/>
      <c r="T32" s="216"/>
      <c r="U32" s="272"/>
      <c r="V32" s="272"/>
      <c r="W32" s="272"/>
      <c r="X32" s="216"/>
      <c r="Y32" s="216"/>
      <c r="Z32" s="216"/>
      <c r="AA32" s="216"/>
      <c r="AB32" s="216"/>
      <c r="AC32" s="216"/>
      <c r="AD32" s="216"/>
      <c r="AE32" s="216"/>
      <c r="AF32" s="216"/>
      <c r="AG32" s="216"/>
      <c r="AH32" s="216"/>
    </row>
    <row r="33" spans="2:34" ht="20.25">
      <c r="B33" s="216"/>
      <c r="C33" s="295" t="s">
        <v>192</v>
      </c>
      <c r="D33" s="296">
        <f>'[9]P&amp;L vs BP'!$AC$24</f>
        <v>100251</v>
      </c>
      <c r="E33" s="296">
        <f>'QTD VA vs BP'!E33</f>
        <v>82846</v>
      </c>
      <c r="F33" s="296">
        <f>E33-D33</f>
        <v>-17405</v>
      </c>
      <c r="G33" s="216"/>
      <c r="H33" s="216"/>
      <c r="I33" s="216"/>
      <c r="J33" s="216"/>
      <c r="K33" s="216"/>
      <c r="L33" s="216"/>
      <c r="M33" s="286">
        <f>M32-M74</f>
        <v>0</v>
      </c>
      <c r="N33" s="216"/>
      <c r="P33" s="288">
        <v>10</v>
      </c>
      <c r="Q33" s="283" t="s">
        <v>182</v>
      </c>
      <c r="R33" s="284"/>
      <c r="S33" s="285" t="e">
        <f>S23-SUM(S24:S32)</f>
        <v>#REF!</v>
      </c>
      <c r="T33" s="216"/>
      <c r="U33" s="216"/>
      <c r="V33" s="216"/>
      <c r="W33" s="216"/>
      <c r="X33" s="297"/>
      <c r="Y33" s="216"/>
      <c r="Z33" s="216"/>
      <c r="AA33" s="216"/>
      <c r="AB33" s="216"/>
      <c r="AC33" s="216"/>
      <c r="AD33" s="216"/>
      <c r="AE33" s="216"/>
      <c r="AF33" s="216"/>
      <c r="AG33" s="216"/>
      <c r="AH33" s="216"/>
    </row>
    <row r="34" spans="2:34" ht="20.25">
      <c r="B34" s="216"/>
      <c r="C34" s="295" t="s">
        <v>194</v>
      </c>
      <c r="D34" s="296">
        <f>'[9]P&amp;L vs BP'!$AC$27</f>
        <v>2927</v>
      </c>
      <c r="E34" s="296">
        <f>'QTD VA vs BP'!E34</f>
        <v>2953</v>
      </c>
      <c r="F34" s="296">
        <f>E34-D34</f>
        <v>26</v>
      </c>
      <c r="G34" s="216"/>
      <c r="H34" s="216"/>
      <c r="I34" s="216"/>
      <c r="J34" s="216"/>
      <c r="K34" s="216"/>
      <c r="L34" s="216"/>
      <c r="M34" s="216"/>
      <c r="N34" s="216"/>
      <c r="O34" s="216"/>
      <c r="P34" s="216"/>
      <c r="Q34" s="216"/>
      <c r="R34" s="216"/>
      <c r="S34" s="286" t="e">
        <f>S33-S75</f>
        <v>#REF!</v>
      </c>
      <c r="T34" s="216"/>
      <c r="U34" s="216"/>
      <c r="V34" s="216"/>
      <c r="W34" s="216"/>
      <c r="X34" s="216"/>
      <c r="Y34" s="216"/>
      <c r="Z34" s="216"/>
      <c r="AA34" s="216"/>
      <c r="AB34" s="216"/>
      <c r="AC34" s="216"/>
      <c r="AD34" s="216"/>
      <c r="AE34" s="216"/>
      <c r="AF34" s="216"/>
      <c r="AG34" s="216"/>
      <c r="AH34" s="216"/>
    </row>
    <row r="35" spans="2:34">
      <c r="B35" s="216"/>
      <c r="C35" s="216"/>
      <c r="D35" s="298"/>
      <c r="E35" s="298"/>
      <c r="F35" s="298"/>
      <c r="G35" s="216"/>
      <c r="H35" s="216"/>
      <c r="I35" s="216"/>
      <c r="J35" s="216"/>
      <c r="K35" s="216"/>
      <c r="L35" s="216"/>
      <c r="M35" s="216"/>
      <c r="N35" s="216"/>
      <c r="T35" s="216"/>
      <c r="U35" s="216"/>
      <c r="V35" s="216"/>
      <c r="W35" s="216"/>
      <c r="X35" s="216"/>
      <c r="Y35" s="216"/>
      <c r="Z35" s="216"/>
      <c r="AA35" s="216"/>
      <c r="AB35" s="216"/>
      <c r="AC35" s="216"/>
      <c r="AD35" s="216"/>
      <c r="AE35" s="216"/>
      <c r="AF35" s="216"/>
      <c r="AG35" s="216"/>
      <c r="AH35" s="216"/>
    </row>
    <row r="36" spans="2:34" ht="20.25">
      <c r="B36" s="216"/>
      <c r="C36" s="295" t="s">
        <v>196</v>
      </c>
      <c r="D36" s="296">
        <f>'[9]P&amp;L vs BP'!$AC$18</f>
        <v>75094</v>
      </c>
      <c r="E36" s="296">
        <f>'QTD VA vs BP'!E36</f>
        <v>60757</v>
      </c>
      <c r="F36" s="296">
        <f>E36-D36</f>
        <v>-14337</v>
      </c>
      <c r="G36" s="216"/>
      <c r="H36" s="216"/>
      <c r="I36" s="216"/>
      <c r="J36" s="216"/>
      <c r="K36" s="216"/>
      <c r="L36" s="216"/>
      <c r="M36" s="216"/>
      <c r="N36" s="216"/>
      <c r="T36" s="216"/>
      <c r="U36" s="216"/>
      <c r="V36" s="216"/>
      <c r="W36" s="216"/>
      <c r="X36" s="216"/>
      <c r="Y36" s="216"/>
      <c r="Z36" s="216"/>
      <c r="AA36" s="216"/>
      <c r="AB36" s="216"/>
      <c r="AC36" s="216"/>
      <c r="AD36" s="216"/>
      <c r="AE36" s="216"/>
      <c r="AF36" s="216"/>
      <c r="AG36" s="216"/>
      <c r="AH36" s="216"/>
    </row>
    <row r="37" spans="2:34">
      <c r="B37" s="216"/>
      <c r="C37" s="216"/>
      <c r="D37" s="216"/>
      <c r="E37" s="216"/>
      <c r="F37" s="216"/>
      <c r="G37" s="216"/>
      <c r="H37" s="216"/>
      <c r="I37" s="216"/>
      <c r="J37" s="216"/>
      <c r="K37" s="216"/>
      <c r="L37" s="216"/>
      <c r="M37" s="216"/>
      <c r="N37" s="216"/>
      <c r="T37" s="216"/>
      <c r="U37" s="216"/>
      <c r="V37" s="216"/>
      <c r="W37" s="216"/>
      <c r="X37" s="216"/>
      <c r="Y37" s="216"/>
      <c r="Z37" s="216"/>
      <c r="AA37" s="216"/>
      <c r="AB37" s="216"/>
      <c r="AC37" s="216"/>
      <c r="AD37" s="216"/>
      <c r="AE37" s="216"/>
      <c r="AF37" s="216"/>
      <c r="AG37" s="216"/>
      <c r="AH37" s="216"/>
    </row>
    <row r="38" spans="2:34">
      <c r="B38" s="216"/>
      <c r="C38" s="216"/>
      <c r="D38" s="216"/>
      <c r="E38" s="216"/>
      <c r="F38" s="216"/>
      <c r="G38" s="216"/>
      <c r="H38" s="216"/>
      <c r="I38" s="216"/>
      <c r="J38" s="216"/>
      <c r="K38" s="216"/>
      <c r="L38" s="216"/>
      <c r="M38" s="216"/>
      <c r="N38" s="216"/>
      <c r="T38" s="216"/>
      <c r="U38" s="216"/>
      <c r="V38" s="216"/>
      <c r="W38" s="216"/>
      <c r="X38" s="216"/>
      <c r="Y38" s="216"/>
      <c r="Z38" s="216"/>
      <c r="AA38" s="216"/>
      <c r="AB38" s="216"/>
      <c r="AC38" s="216"/>
      <c r="AD38" s="216"/>
      <c r="AE38" s="216"/>
      <c r="AF38" s="216"/>
      <c r="AG38" s="216"/>
      <c r="AH38" s="216"/>
    </row>
    <row r="39" spans="2:34">
      <c r="B39" s="216"/>
      <c r="C39" s="216"/>
      <c r="D39" s="216"/>
      <c r="E39" s="216"/>
      <c r="F39" s="216"/>
      <c r="G39" s="216"/>
      <c r="H39" s="216"/>
      <c r="I39" s="216"/>
      <c r="J39" s="216"/>
      <c r="K39" s="216"/>
      <c r="L39" s="216"/>
      <c r="M39" s="216"/>
      <c r="N39" s="216"/>
      <c r="T39" s="216"/>
      <c r="U39" s="216"/>
      <c r="V39" s="216"/>
      <c r="W39" s="216"/>
      <c r="X39" s="216"/>
      <c r="Y39" s="216"/>
      <c r="Z39" s="216"/>
      <c r="AA39" s="216"/>
      <c r="AB39" s="216"/>
      <c r="AC39" s="216"/>
      <c r="AD39" s="216"/>
      <c r="AE39" s="216"/>
      <c r="AF39" s="216"/>
      <c r="AG39" s="216"/>
      <c r="AH39" s="216"/>
    </row>
    <row r="40" spans="2:34">
      <c r="B40" s="216"/>
      <c r="C40" s="216"/>
      <c r="D40" s="216"/>
      <c r="E40" s="216"/>
      <c r="F40" s="216"/>
      <c r="G40" s="216"/>
      <c r="H40" s="216"/>
      <c r="I40" s="216"/>
      <c r="J40" s="216"/>
      <c r="K40" s="216"/>
      <c r="L40" s="216"/>
      <c r="M40" s="216"/>
      <c r="N40" s="216"/>
      <c r="T40" s="216"/>
      <c r="U40" s="216"/>
      <c r="V40" s="216"/>
      <c r="W40" s="216"/>
      <c r="X40" s="216"/>
      <c r="Y40" s="216"/>
      <c r="Z40" s="216"/>
      <c r="AA40" s="216"/>
      <c r="AB40" s="216"/>
      <c r="AC40" s="216"/>
      <c r="AD40" s="216"/>
      <c r="AE40" s="216"/>
      <c r="AF40" s="216"/>
      <c r="AG40" s="216"/>
      <c r="AH40" s="216"/>
    </row>
    <row r="41" spans="2:34">
      <c r="B41" s="216"/>
      <c r="C41" s="216"/>
      <c r="D41" s="216"/>
      <c r="E41" s="216"/>
      <c r="F41" s="216"/>
      <c r="G41" s="216"/>
      <c r="H41" s="216"/>
      <c r="I41" s="216"/>
      <c r="J41" s="216"/>
      <c r="K41" s="216"/>
      <c r="L41" s="216"/>
      <c r="M41" s="216"/>
      <c r="N41" s="216"/>
      <c r="T41" s="216"/>
      <c r="U41" s="216"/>
      <c r="V41" s="216"/>
      <c r="W41" s="216"/>
      <c r="X41" s="216"/>
      <c r="Y41" s="216"/>
      <c r="Z41" s="216"/>
      <c r="AA41" s="216"/>
      <c r="AB41" s="216"/>
      <c r="AC41" s="216"/>
      <c r="AD41" s="216"/>
      <c r="AE41" s="216"/>
      <c r="AF41" s="216"/>
      <c r="AG41" s="216"/>
      <c r="AH41" s="216"/>
    </row>
    <row r="42" spans="2:34">
      <c r="B42" s="216"/>
      <c r="C42" s="216"/>
      <c r="D42" s="216"/>
      <c r="E42" s="216"/>
      <c r="F42" s="216"/>
      <c r="G42" s="216"/>
      <c r="H42" s="216"/>
      <c r="I42" s="216"/>
      <c r="J42" s="216"/>
      <c r="K42" s="216"/>
      <c r="L42" s="216"/>
      <c r="M42" s="216"/>
      <c r="N42" s="216"/>
      <c r="T42" s="216"/>
      <c r="U42" s="216"/>
      <c r="V42" s="216"/>
      <c r="W42" s="216"/>
      <c r="X42" s="216"/>
      <c r="Y42" s="216"/>
      <c r="Z42" s="216"/>
      <c r="AA42" s="216"/>
      <c r="AB42" s="216"/>
      <c r="AC42" s="216"/>
      <c r="AD42" s="216"/>
      <c r="AE42" s="216"/>
      <c r="AF42" s="216"/>
      <c r="AG42" s="216"/>
      <c r="AH42" s="216"/>
    </row>
    <row r="43" spans="2:34">
      <c r="B43" s="216"/>
      <c r="C43" s="216"/>
      <c r="D43" s="216"/>
      <c r="E43" s="216"/>
      <c r="F43" s="216"/>
      <c r="G43" s="216"/>
      <c r="H43" s="216"/>
      <c r="I43" s="216"/>
      <c r="J43" s="216"/>
      <c r="K43" s="216"/>
      <c r="L43" s="216"/>
      <c r="M43" s="216"/>
      <c r="N43" s="216"/>
      <c r="T43" s="286"/>
      <c r="U43" s="216"/>
      <c r="V43" s="216"/>
      <c r="W43" s="216"/>
      <c r="X43" s="216"/>
      <c r="Y43" s="216"/>
      <c r="Z43" s="216"/>
      <c r="AA43" s="216"/>
      <c r="AB43" s="216"/>
      <c r="AC43" s="216"/>
      <c r="AD43" s="216"/>
      <c r="AE43" s="216"/>
      <c r="AF43" s="216"/>
      <c r="AG43" s="216"/>
      <c r="AH43" s="216"/>
    </row>
    <row r="44" spans="2:34" ht="28.5">
      <c r="B44" s="299" t="s">
        <v>197</v>
      </c>
      <c r="C44" s="216"/>
      <c r="D44" s="216"/>
      <c r="E44" s="216"/>
      <c r="F44" s="216"/>
      <c r="G44" s="216"/>
      <c r="H44" s="216"/>
      <c r="I44" s="216"/>
      <c r="J44" s="216"/>
      <c r="K44" s="216"/>
      <c r="L44" s="216"/>
      <c r="M44" s="216"/>
      <c r="N44" s="216"/>
      <c r="O44" s="216"/>
      <c r="P44" s="216"/>
      <c r="Q44" s="216"/>
      <c r="R44" s="216"/>
      <c r="S44" s="216"/>
      <c r="T44" s="216"/>
      <c r="U44" s="216"/>
      <c r="V44" s="216"/>
      <c r="W44" s="216"/>
      <c r="X44" s="216"/>
      <c r="Y44" s="216"/>
      <c r="Z44" s="216"/>
      <c r="AA44" s="216"/>
      <c r="AB44" s="216"/>
      <c r="AC44" s="216"/>
      <c r="AD44" s="216"/>
      <c r="AE44" s="216"/>
      <c r="AF44" s="216"/>
      <c r="AG44" s="216"/>
      <c r="AH44" s="216"/>
    </row>
    <row r="45" spans="2:34">
      <c r="B45" s="216"/>
      <c r="C45" s="216"/>
      <c r="D45" s="216"/>
      <c r="E45" s="216"/>
      <c r="F45" s="216"/>
      <c r="G45" s="216"/>
      <c r="H45" s="216"/>
      <c r="I45" s="216"/>
      <c r="J45" s="216"/>
      <c r="K45" s="216"/>
      <c r="L45" s="216"/>
      <c r="M45" s="216"/>
      <c r="N45" s="216"/>
      <c r="O45" s="216"/>
      <c r="P45" s="216"/>
      <c r="Q45" s="216"/>
      <c r="R45" s="216"/>
      <c r="S45" s="216"/>
      <c r="T45" s="216"/>
      <c r="U45" s="216"/>
      <c r="V45" s="216"/>
      <c r="W45" s="216"/>
      <c r="X45" s="216"/>
      <c r="Y45" s="216"/>
      <c r="Z45" s="216"/>
      <c r="AA45" s="216"/>
      <c r="AB45" s="216"/>
      <c r="AC45" s="216"/>
      <c r="AD45" s="216"/>
      <c r="AE45" s="216"/>
      <c r="AF45" s="216"/>
      <c r="AG45" s="216"/>
      <c r="AH45" s="216"/>
    </row>
    <row r="46" spans="2:34">
      <c r="B46" s="216"/>
      <c r="C46" s="216"/>
      <c r="D46" s="216"/>
      <c r="E46" s="216"/>
      <c r="F46" s="216"/>
      <c r="G46" s="216"/>
      <c r="H46" s="216"/>
      <c r="I46" s="216"/>
      <c r="J46" s="216"/>
      <c r="K46" s="216"/>
      <c r="L46" s="216"/>
      <c r="M46" s="216"/>
      <c r="N46" s="216"/>
      <c r="O46" s="216"/>
      <c r="P46" s="216"/>
      <c r="Q46" s="216"/>
      <c r="R46" s="216"/>
      <c r="S46" s="216"/>
      <c r="T46" s="216"/>
      <c r="U46" s="216"/>
      <c r="V46" s="216"/>
      <c r="W46" s="216"/>
      <c r="X46" s="216"/>
      <c r="Y46" s="216"/>
      <c r="Z46" s="216"/>
      <c r="AA46" s="216"/>
      <c r="AB46" s="216"/>
      <c r="AC46" s="216"/>
      <c r="AD46" s="216"/>
      <c r="AE46" s="216"/>
      <c r="AF46" s="216"/>
      <c r="AG46" s="216"/>
      <c r="AH46" s="216"/>
    </row>
    <row r="47" spans="2:34" ht="20.25">
      <c r="B47" s="216"/>
      <c r="C47" s="226" t="str">
        <f>B52</f>
        <v>FC QTD</v>
      </c>
      <c r="D47" s="226" t="str">
        <f>C52</f>
        <v>Act QTD</v>
      </c>
      <c r="E47" s="226" t="s">
        <v>320</v>
      </c>
      <c r="F47" s="226" t="s">
        <v>321</v>
      </c>
      <c r="G47" s="226" t="s">
        <v>322</v>
      </c>
      <c r="H47" s="292" t="s">
        <v>323</v>
      </c>
      <c r="I47" s="216"/>
      <c r="J47" s="216"/>
      <c r="K47" s="216"/>
      <c r="L47" s="216"/>
      <c r="M47" s="216"/>
      <c r="N47" s="216"/>
      <c r="O47" s="216"/>
      <c r="P47" s="216"/>
      <c r="Q47" s="216"/>
      <c r="R47" s="216"/>
      <c r="S47" s="216"/>
      <c r="T47" s="216"/>
      <c r="U47" s="216"/>
      <c r="V47" s="216"/>
      <c r="W47" s="216"/>
      <c r="X47" s="216"/>
      <c r="Y47" s="216"/>
      <c r="Z47" s="216"/>
      <c r="AA47" s="216"/>
      <c r="AB47" s="216"/>
      <c r="AC47" s="216"/>
      <c r="AD47" s="216"/>
      <c r="AE47" s="216"/>
      <c r="AF47" s="216"/>
      <c r="AG47" s="216"/>
      <c r="AH47" s="216"/>
    </row>
    <row r="48" spans="2:34" ht="20.25">
      <c r="B48" s="226" t="s">
        <v>324</v>
      </c>
      <c r="C48" s="229" t="e">
        <f>'Summary month'!W27</f>
        <v>#VALUE!</v>
      </c>
      <c r="D48" s="229">
        <f>'Summary month'!I27</f>
        <v>86.083619587646751</v>
      </c>
      <c r="E48" s="226" t="e">
        <f>+D48-C48</f>
        <v>#VALUE!</v>
      </c>
      <c r="F48" s="226" t="e">
        <f>B61</f>
        <v>#REF!</v>
      </c>
      <c r="G48" s="226" t="e">
        <f>SUM(C61:S61)</f>
        <v>#REF!</v>
      </c>
      <c r="H48" s="502" t="e">
        <f>E48-F48-G48</f>
        <v>#VALUE!</v>
      </c>
      <c r="I48" s="216"/>
      <c r="J48" s="216"/>
      <c r="K48" s="216"/>
      <c r="L48" s="216"/>
      <c r="M48" s="216"/>
      <c r="N48" s="216"/>
      <c r="O48" s="216"/>
      <c r="P48" s="216"/>
      <c r="Q48" s="216"/>
      <c r="R48" s="216"/>
      <c r="S48" s="216"/>
      <c r="T48" s="216"/>
      <c r="U48" s="216"/>
      <c r="V48" s="216"/>
      <c r="W48" s="216"/>
      <c r="X48" s="216"/>
      <c r="Y48" s="216"/>
      <c r="Z48" s="216"/>
      <c r="AA48" s="216"/>
      <c r="AB48" s="216"/>
      <c r="AC48" s="216"/>
      <c r="AD48" s="216"/>
      <c r="AE48" s="216"/>
      <c r="AF48" s="216"/>
      <c r="AG48" s="216"/>
      <c r="AH48" s="216"/>
    </row>
    <row r="49" spans="2:34" ht="20.25">
      <c r="B49" s="226" t="s">
        <v>325</v>
      </c>
      <c r="C49" s="229">
        <f>'Summary month'!W46</f>
        <v>-128.47130442265512</v>
      </c>
      <c r="D49" s="229">
        <f>'Summary month'!I46</f>
        <v>-128.47130442265509</v>
      </c>
      <c r="E49" s="226">
        <f>+D49-C49</f>
        <v>0</v>
      </c>
      <c r="F49" s="226" t="e">
        <f>T61</f>
        <v>#REF!</v>
      </c>
      <c r="G49" s="226" t="e">
        <f>SUM(U61:AH61)</f>
        <v>#REF!</v>
      </c>
      <c r="H49" s="502" t="e">
        <f>E49-F49-G49</f>
        <v>#REF!</v>
      </c>
      <c r="I49" s="216"/>
      <c r="J49" s="216"/>
      <c r="K49" s="216"/>
      <c r="L49" s="216"/>
      <c r="M49" s="216"/>
      <c r="N49" s="216"/>
      <c r="O49" s="216"/>
      <c r="P49" s="216"/>
      <c r="Q49" s="216"/>
      <c r="R49" s="216"/>
      <c r="S49" s="216"/>
      <c r="T49" s="216"/>
      <c r="U49" s="216"/>
      <c r="V49" s="216"/>
      <c r="W49" s="216"/>
      <c r="X49" s="216"/>
      <c r="Y49" s="216"/>
      <c r="Z49" s="216"/>
      <c r="AA49" s="216"/>
      <c r="AB49" s="216"/>
      <c r="AC49" s="216"/>
      <c r="AD49" s="216"/>
      <c r="AE49" s="216"/>
      <c r="AF49" s="216"/>
      <c r="AG49" s="216"/>
      <c r="AH49" s="216"/>
    </row>
    <row r="50" spans="2:34" ht="20.25">
      <c r="B50" s="226" t="s">
        <v>326</v>
      </c>
      <c r="C50" s="226" t="e">
        <f>+C48+C49</f>
        <v>#VALUE!</v>
      </c>
      <c r="D50" s="226">
        <f>+D48+D49</f>
        <v>-42.387684835008343</v>
      </c>
      <c r="E50" s="226" t="e">
        <f>+D50-C50</f>
        <v>#VALUE!</v>
      </c>
      <c r="F50" s="226" t="e">
        <f>+E50-G50</f>
        <v>#VALUE!</v>
      </c>
      <c r="G50" s="226" t="e">
        <f>+G48+G49</f>
        <v>#REF!</v>
      </c>
      <c r="H50" s="502" t="e">
        <f>E50-F50-G50</f>
        <v>#VALUE!</v>
      </c>
      <c r="I50" s="216"/>
      <c r="J50" s="216"/>
      <c r="K50" s="216"/>
      <c r="L50" s="216"/>
      <c r="M50" s="216"/>
      <c r="N50" s="216"/>
      <c r="O50" s="216"/>
      <c r="P50" s="216"/>
      <c r="Q50" s="216"/>
      <c r="R50" s="216"/>
      <c r="S50" s="216"/>
      <c r="T50" s="216"/>
      <c r="U50" s="216"/>
      <c r="V50" s="216"/>
      <c r="W50" s="216"/>
      <c r="X50" s="216"/>
      <c r="Y50" s="216"/>
      <c r="Z50" s="216"/>
      <c r="AA50" s="216"/>
      <c r="AB50" s="216"/>
      <c r="AC50" s="216"/>
      <c r="AD50" s="216"/>
      <c r="AE50" s="216"/>
      <c r="AF50" s="216"/>
      <c r="AG50" s="216"/>
      <c r="AH50" s="216"/>
    </row>
    <row r="51" spans="2:34" ht="18">
      <c r="B51" s="215"/>
      <c r="C51" s="216"/>
      <c r="D51" s="215"/>
      <c r="E51" s="216"/>
      <c r="F51" s="215"/>
      <c r="G51" s="217" t="s">
        <v>138</v>
      </c>
      <c r="H51" s="216"/>
      <c r="I51" s="216"/>
      <c r="J51" s="216"/>
      <c r="K51" s="216"/>
      <c r="L51" s="216"/>
      <c r="M51" s="216"/>
      <c r="N51" s="216"/>
      <c r="O51" s="216"/>
      <c r="P51" s="216"/>
      <c r="Q51" s="216"/>
      <c r="R51" s="216"/>
      <c r="S51" s="216"/>
      <c r="T51" s="216"/>
      <c r="U51" s="216"/>
      <c r="V51" s="216"/>
      <c r="W51" s="216"/>
      <c r="X51" s="216"/>
      <c r="Y51" s="216"/>
      <c r="Z51" s="216"/>
      <c r="AA51" s="216"/>
      <c r="AB51" s="216"/>
      <c r="AC51" s="216"/>
      <c r="AD51" s="216"/>
      <c r="AE51" s="216"/>
      <c r="AF51" s="216"/>
      <c r="AG51" s="216"/>
      <c r="AH51" s="216"/>
    </row>
    <row r="52" spans="2:34" ht="20.100000000000001" customHeight="1">
      <c r="B52" s="1014" t="s">
        <v>215</v>
      </c>
      <c r="C52" s="1014" t="s">
        <v>214</v>
      </c>
      <c r="D52" s="218"/>
      <c r="E52" s="219"/>
      <c r="F52" s="219"/>
      <c r="G52" s="220"/>
      <c r="H52" s="216"/>
      <c r="I52" s="216"/>
      <c r="J52" s="216"/>
      <c r="K52" s="216"/>
      <c r="L52" s="216" t="s">
        <v>301</v>
      </c>
      <c r="M52" s="478" t="e">
        <f>SUM(E55:E57,G55)</f>
        <v>#REF!</v>
      </c>
      <c r="N52" s="216"/>
      <c r="O52" s="221"/>
      <c r="P52" s="221"/>
      <c r="Q52" s="221"/>
      <c r="R52" s="216"/>
      <c r="S52" s="216"/>
      <c r="T52" s="216"/>
      <c r="U52" s="216"/>
      <c r="V52" s="216"/>
      <c r="W52" s="221"/>
      <c r="X52" s="221"/>
      <c r="Y52" s="221"/>
      <c r="Z52" s="221"/>
      <c r="AA52" s="221"/>
      <c r="AB52" s="221"/>
      <c r="AC52" s="221"/>
      <c r="AD52" s="221"/>
      <c r="AE52" s="221"/>
      <c r="AF52" s="221"/>
      <c r="AG52" s="221"/>
      <c r="AH52" s="221"/>
    </row>
    <row r="53" spans="2:34" ht="40.5">
      <c r="B53" s="1015"/>
      <c r="C53" s="1016"/>
      <c r="D53" s="222"/>
      <c r="E53" s="223" t="s">
        <v>154</v>
      </c>
      <c r="F53" s="224" t="s">
        <v>198</v>
      </c>
      <c r="G53" s="225" t="s">
        <v>156</v>
      </c>
      <c r="H53" s="216"/>
      <c r="I53" s="216" t="s">
        <v>208</v>
      </c>
      <c r="J53" s="216"/>
      <c r="K53" s="216"/>
      <c r="L53" s="216" t="s">
        <v>302</v>
      </c>
      <c r="M53" s="334" t="e">
        <f>SUM(U62:AH62,AJ66:AK66)</f>
        <v>#REF!</v>
      </c>
      <c r="N53" s="216"/>
      <c r="O53" s="216"/>
      <c r="P53" s="216"/>
      <c r="Q53" s="216"/>
      <c r="R53" s="216"/>
      <c r="S53" s="216"/>
      <c r="T53" s="216"/>
      <c r="V53" s="216"/>
      <c r="W53" s="216"/>
      <c r="X53" s="216"/>
      <c r="Y53" s="216"/>
      <c r="Z53" s="216"/>
      <c r="AA53" s="216"/>
      <c r="AB53" s="216"/>
      <c r="AC53" s="407" t="s">
        <v>266</v>
      </c>
      <c r="AD53" s="408">
        <v>0.9633100537543996</v>
      </c>
      <c r="AE53" s="216"/>
      <c r="AF53" s="216"/>
      <c r="AG53" s="216"/>
      <c r="AH53" s="216"/>
    </row>
    <row r="54" spans="2:34" ht="20.25">
      <c r="B54" s="226" t="e">
        <f>'Summary month'!W47</f>
        <v>#VALUE!</v>
      </c>
      <c r="C54" s="226">
        <f>'Summary month'!I47</f>
        <v>-42.387684835008343</v>
      </c>
      <c r="D54" s="227" t="e">
        <f>C54-B54</f>
        <v>#VALUE!</v>
      </c>
      <c r="E54" s="228" t="e">
        <f>SUM(M52:M53)</f>
        <v>#REF!</v>
      </c>
      <c r="F54" s="229" t="e">
        <f>'Summary month'!AA27-M52</f>
        <v>#VALUE!</v>
      </c>
      <c r="G54" s="229" t="e">
        <f>'Summary month'!AA46-M53</f>
        <v>#REF!</v>
      </c>
      <c r="H54" s="216"/>
      <c r="I54" s="286" t="e">
        <f>SUM(E54:G54)-D54</f>
        <v>#REF!</v>
      </c>
      <c r="J54" s="216"/>
      <c r="K54" s="216"/>
      <c r="L54" s="216"/>
      <c r="M54" s="216"/>
      <c r="N54" s="216"/>
      <c r="O54" s="230"/>
      <c r="P54" s="216"/>
      <c r="Q54" s="216"/>
      <c r="R54" s="216"/>
      <c r="S54" s="216"/>
      <c r="T54" s="216"/>
      <c r="U54" s="216"/>
      <c r="V54" s="216"/>
      <c r="W54" s="230"/>
      <c r="X54" s="216"/>
      <c r="Y54" s="230"/>
      <c r="Z54" s="230"/>
      <c r="AA54" s="230"/>
      <c r="AB54" s="230"/>
      <c r="AC54" s="409" t="s">
        <v>269</v>
      </c>
      <c r="AD54" s="408">
        <f>4/1000</f>
        <v>4.0000000000000001E-3</v>
      </c>
      <c r="AE54" s="230"/>
      <c r="AF54" s="230"/>
      <c r="AG54" s="230"/>
      <c r="AH54" s="230"/>
    </row>
    <row r="55" spans="2:34">
      <c r="B55" s="216"/>
      <c r="C55" s="216"/>
      <c r="D55" s="216" t="s">
        <v>139</v>
      </c>
      <c r="E55" s="411" t="e">
        <f>#REF!+#REF!+#REF!</f>
        <v>#REF!</v>
      </c>
      <c r="F55" s="216" t="s">
        <v>193</v>
      </c>
      <c r="G55" s="320" t="e">
        <f>#REF!+#REF!+#REF!</f>
        <v>#REF!</v>
      </c>
      <c r="H55" s="216"/>
      <c r="I55" s="216"/>
      <c r="J55" s="216"/>
      <c r="K55" s="216"/>
      <c r="L55" s="216"/>
      <c r="M55" s="216"/>
      <c r="N55" s="216"/>
      <c r="O55" s="216"/>
      <c r="P55" s="216"/>
      <c r="Q55" s="216"/>
      <c r="R55" s="216"/>
      <c r="S55" s="216"/>
      <c r="T55" s="216"/>
      <c r="U55" s="216"/>
      <c r="V55" s="216"/>
      <c r="W55" s="216" t="s">
        <v>145</v>
      </c>
      <c r="X55" s="411" t="e">
        <f>#REF!-Y55</f>
        <v>#REF!</v>
      </c>
      <c r="Y55" s="411" t="e">
        <f>#REF!</f>
        <v>#REF!</v>
      </c>
      <c r="Z55" s="216"/>
      <c r="AA55" s="216"/>
      <c r="AB55" s="216"/>
      <c r="AC55" s="407" t="s">
        <v>141</v>
      </c>
      <c r="AD55" s="408">
        <v>1.3802265889999998</v>
      </c>
      <c r="AE55" s="216"/>
      <c r="AF55" s="216"/>
      <c r="AG55" s="216"/>
      <c r="AH55" s="216"/>
    </row>
    <row r="56" spans="2:34">
      <c r="B56" s="216"/>
      <c r="C56" s="216"/>
      <c r="D56" s="216" t="s">
        <v>200</v>
      </c>
      <c r="E56" s="411" t="e">
        <f>#REF!+#REF!</f>
        <v>#REF!</v>
      </c>
      <c r="F56" s="216"/>
      <c r="G56" s="216"/>
      <c r="H56" s="216"/>
      <c r="I56" s="216"/>
      <c r="J56" s="216"/>
      <c r="K56" s="216"/>
      <c r="L56" s="216"/>
      <c r="M56" s="216">
        <v>18.501616128955952</v>
      </c>
      <c r="N56" s="216"/>
      <c r="O56" s="216"/>
      <c r="P56" s="216"/>
      <c r="Q56" s="216"/>
      <c r="R56" s="216"/>
      <c r="S56" s="216"/>
      <c r="T56" s="216"/>
      <c r="W56" t="s">
        <v>193</v>
      </c>
      <c r="X56" s="412" t="e">
        <f>#REF!-Y56</f>
        <v>#REF!</v>
      </c>
      <c r="Y56" s="412" t="e">
        <f>#REF!</f>
        <v>#REF!</v>
      </c>
      <c r="AC56" s="407" t="s">
        <v>144</v>
      </c>
      <c r="AD56" s="417">
        <f>AD61-SUM(AD53:AD55)</f>
        <v>-2.3475366427543993</v>
      </c>
      <c r="AH56" s="216"/>
    </row>
    <row r="57" spans="2:34" ht="21" thickBot="1">
      <c r="B57" s="231" t="s">
        <v>157</v>
      </c>
      <c r="C57" s="232"/>
      <c r="D57" s="232" t="s">
        <v>145</v>
      </c>
      <c r="E57" s="440" t="e">
        <f>#REF!+#REF!+#REF!</f>
        <v>#REF!</v>
      </c>
      <c r="F57" s="232"/>
      <c r="G57" s="232"/>
      <c r="H57" s="232"/>
      <c r="I57" s="232"/>
      <c r="J57" s="232"/>
      <c r="K57" s="232"/>
      <c r="L57" s="232"/>
      <c r="M57" s="232"/>
      <c r="N57" s="232"/>
      <c r="O57" s="232"/>
      <c r="P57" s="232"/>
      <c r="Q57" s="232"/>
      <c r="R57" s="232"/>
      <c r="S57" s="232"/>
      <c r="T57" s="232"/>
      <c r="U57" s="232"/>
      <c r="V57" s="232"/>
      <c r="W57" s="232" t="s">
        <v>144</v>
      </c>
      <c r="X57" s="316" t="e">
        <f>X61-SUM(X55:X56)</f>
        <v>#REF!</v>
      </c>
      <c r="Y57" s="232"/>
      <c r="Z57" s="232"/>
      <c r="AA57" s="232"/>
      <c r="AB57" s="232"/>
      <c r="AC57" s="232"/>
      <c r="AD57" s="232"/>
      <c r="AE57" s="232"/>
      <c r="AF57" s="232"/>
      <c r="AG57" s="232"/>
      <c r="AH57" s="217" t="s">
        <v>138</v>
      </c>
    </row>
    <row r="58" spans="2:34" ht="21" thickBot="1">
      <c r="B58" s="233"/>
      <c r="C58" s="234" t="s">
        <v>199</v>
      </c>
      <c r="D58" s="234"/>
      <c r="E58" s="234"/>
      <c r="F58" s="234"/>
      <c r="G58" s="234"/>
      <c r="H58" s="234"/>
      <c r="I58" s="234"/>
      <c r="J58" s="234"/>
      <c r="K58" s="234"/>
      <c r="L58" s="234"/>
      <c r="M58" s="234"/>
      <c r="N58" s="234"/>
      <c r="O58" s="234"/>
      <c r="P58" s="234"/>
      <c r="Q58" s="234"/>
      <c r="R58" s="234"/>
      <c r="S58" s="235"/>
      <c r="T58" s="236"/>
      <c r="U58" s="237" t="s">
        <v>160</v>
      </c>
      <c r="V58" s="237"/>
      <c r="W58" s="237"/>
      <c r="X58" s="237"/>
      <c r="Y58" s="237"/>
      <c r="Z58" s="237"/>
      <c r="AA58" s="237"/>
      <c r="AB58" s="237"/>
      <c r="AC58" s="237"/>
      <c r="AD58" s="237"/>
      <c r="AE58" s="237"/>
      <c r="AF58" s="237"/>
      <c r="AG58" s="237"/>
      <c r="AH58" s="238"/>
    </row>
    <row r="59" spans="2:34" ht="20.25">
      <c r="B59" s="1027" t="s">
        <v>274</v>
      </c>
      <c r="C59" s="239" t="s">
        <v>161</v>
      </c>
      <c r="D59" s="240"/>
      <c r="E59" s="240"/>
      <c r="F59" s="240"/>
      <c r="G59" s="241"/>
      <c r="H59" s="1017" t="s">
        <v>162</v>
      </c>
      <c r="I59" s="242" t="s">
        <v>163</v>
      </c>
      <c r="J59" s="243"/>
      <c r="K59" s="243"/>
      <c r="L59" s="243"/>
      <c r="M59" s="243"/>
      <c r="N59" s="244"/>
      <c r="O59" s="1029" t="s">
        <v>164</v>
      </c>
      <c r="P59" s="1029" t="s">
        <v>165</v>
      </c>
      <c r="Q59" s="1019" t="s">
        <v>166</v>
      </c>
      <c r="R59" s="1022" t="s">
        <v>167</v>
      </c>
      <c r="S59" s="1023" t="s">
        <v>168</v>
      </c>
      <c r="T59" s="1027" t="s">
        <v>274</v>
      </c>
      <c r="U59" s="245" t="s">
        <v>169</v>
      </c>
      <c r="V59" s="246"/>
      <c r="W59" s="246"/>
      <c r="X59" s="247"/>
      <c r="Y59" s="248" t="s">
        <v>163</v>
      </c>
      <c r="Z59" s="246"/>
      <c r="AA59" s="246"/>
      <c r="AB59" s="246"/>
      <c r="AC59" s="246"/>
      <c r="AD59" s="247"/>
      <c r="AE59" s="1022" t="s">
        <v>166</v>
      </c>
      <c r="AF59" s="1025" t="s">
        <v>167</v>
      </c>
      <c r="AG59" s="311"/>
      <c r="AH59" s="1012" t="s">
        <v>168</v>
      </c>
    </row>
    <row r="60" spans="2:34" ht="60.75">
      <c r="B60" s="1028"/>
      <c r="C60" s="249" t="s">
        <v>170</v>
      </c>
      <c r="D60" s="300" t="s">
        <v>171</v>
      </c>
      <c r="E60" s="250" t="s">
        <v>172</v>
      </c>
      <c r="F60" s="250" t="s">
        <v>173</v>
      </c>
      <c r="G60" s="251" t="s">
        <v>174</v>
      </c>
      <c r="H60" s="1018"/>
      <c r="I60" s="250" t="s">
        <v>175</v>
      </c>
      <c r="J60" s="250" t="s">
        <v>176</v>
      </c>
      <c r="K60" s="250" t="s">
        <v>201</v>
      </c>
      <c r="L60" s="250" t="s">
        <v>178</v>
      </c>
      <c r="M60" s="250" t="s">
        <v>168</v>
      </c>
      <c r="N60" s="250" t="s">
        <v>179</v>
      </c>
      <c r="O60" s="1030"/>
      <c r="P60" s="1031"/>
      <c r="Q60" s="1021"/>
      <c r="R60" s="1021"/>
      <c r="S60" s="1024"/>
      <c r="T60" s="1028"/>
      <c r="U60" s="307" t="s">
        <v>203</v>
      </c>
      <c r="V60" s="308" t="s">
        <v>180</v>
      </c>
      <c r="W60" s="309" t="s">
        <v>181</v>
      </c>
      <c r="X60" s="310" t="s">
        <v>33</v>
      </c>
      <c r="Y60" s="305" t="s">
        <v>25</v>
      </c>
      <c r="Z60" s="306" t="s">
        <v>183</v>
      </c>
      <c r="AA60" s="306" t="s">
        <v>204</v>
      </c>
      <c r="AB60" s="306" t="s">
        <v>205</v>
      </c>
      <c r="AC60" s="306" t="s">
        <v>184</v>
      </c>
      <c r="AD60" s="306" t="s">
        <v>30</v>
      </c>
      <c r="AE60" s="1021"/>
      <c r="AF60" s="1026"/>
      <c r="AG60" s="312" t="s">
        <v>37</v>
      </c>
      <c r="AH60" s="1013"/>
    </row>
    <row r="61" spans="2:34" ht="21" thickBot="1">
      <c r="B61" s="252" t="e">
        <f>M52</f>
        <v>#REF!</v>
      </c>
      <c r="C61" s="253" t="e">
        <f>SUM(#REF!)</f>
        <v>#REF!</v>
      </c>
      <c r="D61" s="302"/>
      <c r="E61" s="254" t="e">
        <f>#REF!</f>
        <v>#REF!</v>
      </c>
      <c r="F61" s="254" t="e">
        <f>#REF!+#REF!</f>
        <v>#REF!</v>
      </c>
      <c r="G61" s="254"/>
      <c r="H61" s="254"/>
      <c r="I61" s="254">
        <v>5.7019311818052358</v>
      </c>
      <c r="J61" s="254">
        <v>1.4855263852785687</v>
      </c>
      <c r="K61" s="254">
        <v>-7.4543777387711811</v>
      </c>
      <c r="L61" s="254">
        <v>1</v>
      </c>
      <c r="M61" s="254">
        <v>17.440121785955952</v>
      </c>
      <c r="N61" s="303"/>
      <c r="O61" s="302"/>
      <c r="P61" s="302"/>
      <c r="Q61" s="256"/>
      <c r="R61" s="254" t="e">
        <f>#REF!</f>
        <v>#REF!</v>
      </c>
      <c r="S61" s="257" t="e">
        <f>F54-SUM(C61:R61)</f>
        <v>#VALUE!</v>
      </c>
      <c r="T61" s="253" t="e">
        <f>M53</f>
        <v>#REF!</v>
      </c>
      <c r="U61" s="253" t="e">
        <f>'Summary month'!AA36-U62</f>
        <v>#REF!</v>
      </c>
      <c r="V61" s="258">
        <f>'Summary month'!AA37-V62</f>
        <v>0</v>
      </c>
      <c r="W61" s="258"/>
      <c r="X61" s="258" t="e">
        <f>'Summary month'!AA38-X62</f>
        <v>#REF!</v>
      </c>
      <c r="Y61" s="258" t="e">
        <f>'Summary month'!AA29-Y62</f>
        <v>#REF!</v>
      </c>
      <c r="Z61" s="258" t="e">
        <f>'Summary month'!AA30-Z62</f>
        <v>#REF!</v>
      </c>
      <c r="AA61" s="258">
        <f>'Summary month'!AA31-AA62</f>
        <v>0</v>
      </c>
      <c r="AB61" s="301"/>
      <c r="AC61" s="258" t="e">
        <f>'Summary month'!AA32-AC62</f>
        <v>#REF!</v>
      </c>
      <c r="AD61" s="258">
        <f>'Summary month'!AA34</f>
        <v>0</v>
      </c>
      <c r="AE61" s="256"/>
      <c r="AF61" s="259"/>
      <c r="AG61" s="254" t="e">
        <f>'Summary month'!AA42-AG62</f>
        <v>#REF!</v>
      </c>
      <c r="AH61" s="260" t="e">
        <f>G54-SUM(U61:AG61)</f>
        <v>#REF!</v>
      </c>
    </row>
    <row r="62" spans="2:34" ht="18">
      <c r="B62" s="216"/>
      <c r="C62" s="272"/>
      <c r="D62" s="216"/>
      <c r="E62" s="216"/>
      <c r="F62" s="216"/>
      <c r="G62" s="216"/>
      <c r="H62" s="216"/>
      <c r="I62" s="216"/>
      <c r="J62" s="216"/>
      <c r="K62" s="216"/>
      <c r="L62" s="216"/>
      <c r="M62" s="216"/>
      <c r="N62" s="216"/>
      <c r="O62" s="216"/>
      <c r="P62" s="216"/>
      <c r="Q62" s="216"/>
      <c r="R62" s="216"/>
      <c r="S62" s="216"/>
      <c r="T62" s="216"/>
      <c r="U62" s="216" t="e">
        <f>#REF!</f>
        <v>#REF!</v>
      </c>
      <c r="V62" s="216"/>
      <c r="W62" s="216"/>
      <c r="X62" s="216" t="e">
        <f>SUM(Y55:Y56)</f>
        <v>#REF!</v>
      </c>
      <c r="Y62" s="514" t="e">
        <f>#REF!-Z62</f>
        <v>#REF!</v>
      </c>
      <c r="Z62" s="514" t="e">
        <f>#REF!</f>
        <v>#REF!</v>
      </c>
      <c r="AA62" s="216"/>
      <c r="AB62" s="216"/>
      <c r="AC62" s="216" t="e">
        <f>#REF!</f>
        <v>#REF!</v>
      </c>
      <c r="AD62" s="216"/>
      <c r="AE62" s="216"/>
      <c r="AF62" s="216"/>
      <c r="AG62" s="334" t="e">
        <f>#REF!-AJ66-AK66</f>
        <v>#REF!</v>
      </c>
      <c r="AH62" s="216"/>
    </row>
    <row r="63" spans="2:34" ht="18">
      <c r="B63" s="221"/>
      <c r="C63" s="319"/>
      <c r="D63" s="221"/>
      <c r="E63" s="221"/>
      <c r="F63" s="221"/>
      <c r="G63" s="221"/>
      <c r="H63" s="221"/>
      <c r="I63" s="221"/>
      <c r="J63" s="221"/>
      <c r="K63" s="221"/>
      <c r="L63" s="221"/>
      <c r="M63" s="221"/>
      <c r="N63" s="221"/>
      <c r="O63" s="221"/>
      <c r="P63" s="221"/>
      <c r="Q63" s="221"/>
      <c r="R63" s="221"/>
      <c r="S63" s="221"/>
      <c r="T63" s="221"/>
      <c r="U63" s="221"/>
      <c r="V63" s="221"/>
      <c r="W63" s="221"/>
    </row>
    <row r="64" spans="2:34" ht="18">
      <c r="B64" s="216"/>
      <c r="C64" s="272"/>
      <c r="D64" s="216"/>
      <c r="E64" s="216"/>
      <c r="F64" s="216"/>
      <c r="G64" t="s">
        <v>288</v>
      </c>
      <c r="H64" s="334">
        <f>-2.385017617-AD54</f>
        <v>-2.3890176169999999</v>
      </c>
      <c r="I64" s="216"/>
      <c r="J64" s="216"/>
      <c r="K64" s="216"/>
      <c r="L64" s="216"/>
      <c r="M64" s="216"/>
      <c r="N64" s="216"/>
      <c r="O64" s="216"/>
      <c r="P64" s="216"/>
      <c r="Q64" s="216"/>
      <c r="R64" s="216"/>
      <c r="S64" s="216"/>
      <c r="T64" s="216"/>
      <c r="U64" s="216"/>
      <c r="V64" s="216"/>
      <c r="W64" s="216"/>
    </row>
    <row r="65" spans="2:37" ht="20.25">
      <c r="B65" s="216"/>
      <c r="C65" s="272"/>
      <c r="D65" s="216"/>
      <c r="E65" s="216"/>
      <c r="F65" s="216"/>
      <c r="G65" t="s">
        <v>290</v>
      </c>
      <c r="H65" s="216">
        <v>-0.44323456299999997</v>
      </c>
      <c r="I65" s="273" t="s">
        <v>188</v>
      </c>
      <c r="J65" s="274"/>
      <c r="K65" s="274"/>
      <c r="L65" s="274"/>
      <c r="M65" s="275">
        <f>M61</f>
        <v>17.440121785955952</v>
      </c>
      <c r="N65" s="216"/>
      <c r="P65" s="273" t="s">
        <v>191</v>
      </c>
      <c r="Q65" s="274"/>
      <c r="R65" s="274"/>
      <c r="S65" s="294" t="e">
        <f>S61</f>
        <v>#VALUE!</v>
      </c>
      <c r="T65" s="216"/>
      <c r="U65" s="216"/>
      <c r="V65" s="216"/>
      <c r="W65" s="216"/>
      <c r="X65" s="263" t="s">
        <v>185</v>
      </c>
      <c r="Y65" s="264"/>
      <c r="Z65" s="264"/>
      <c r="AA65" s="265">
        <f>AD61</f>
        <v>0</v>
      </c>
      <c r="AC65" s="221"/>
      <c r="AE65" s="263" t="s">
        <v>186</v>
      </c>
      <c r="AF65" s="264"/>
      <c r="AG65" s="264"/>
      <c r="AH65" s="265" t="e">
        <f>AH61</f>
        <v>#REF!</v>
      </c>
    </row>
    <row r="66" spans="2:37" ht="18">
      <c r="B66" s="216"/>
      <c r="C66" s="272"/>
      <c r="D66" s="216"/>
      <c r="E66" s="216"/>
      <c r="F66" s="216"/>
      <c r="G66" s="221" t="s">
        <v>282</v>
      </c>
      <c r="H66" s="216">
        <v>1.0747578370000004</v>
      </c>
      <c r="I66" s="279">
        <v>1</v>
      </c>
      <c r="J66" s="269" t="s">
        <v>397</v>
      </c>
      <c r="K66" s="270"/>
      <c r="L66" s="270"/>
      <c r="M66" s="280">
        <v>3.5</v>
      </c>
      <c r="N66" s="216"/>
      <c r="P66" s="279">
        <v>1</v>
      </c>
      <c r="Q66" s="269" t="s">
        <v>193</v>
      </c>
      <c r="R66" s="270"/>
      <c r="S66" s="280" t="e">
        <f>#REF!</f>
        <v>#REF!</v>
      </c>
      <c r="T66" s="216"/>
      <c r="U66" s="216"/>
      <c r="V66" s="216"/>
      <c r="W66" s="216"/>
      <c r="X66" s="268">
        <v>1</v>
      </c>
      <c r="Y66" s="269" t="s">
        <v>319</v>
      </c>
      <c r="Z66" s="270"/>
      <c r="AA66" s="271">
        <f>AD53</f>
        <v>0.9633100537543996</v>
      </c>
      <c r="AC66" s="216"/>
      <c r="AE66" s="268">
        <v>1</v>
      </c>
      <c r="AF66" s="269" t="s">
        <v>39</v>
      </c>
      <c r="AG66" s="270"/>
      <c r="AH66" s="271">
        <f>'Summary month'!AA44-AJ66-AK66</f>
        <v>0.37603900000004264</v>
      </c>
      <c r="AI66" t="s">
        <v>262</v>
      </c>
      <c r="AJ66" s="327">
        <f>'Summary month'!AA74</f>
        <v>0</v>
      </c>
      <c r="AK66">
        <v>-0.37603900000000001</v>
      </c>
    </row>
    <row r="67" spans="2:37" ht="18">
      <c r="B67" s="216"/>
      <c r="C67" s="272"/>
      <c r="D67" s="216"/>
      <c r="E67" s="216"/>
      <c r="F67" s="216"/>
      <c r="G67" t="s">
        <v>294</v>
      </c>
      <c r="H67" s="216">
        <v>0.69599999999999995</v>
      </c>
      <c r="I67" s="279">
        <v>2</v>
      </c>
      <c r="J67" s="276" t="s">
        <v>361</v>
      </c>
      <c r="K67" s="277"/>
      <c r="L67" s="277"/>
      <c r="M67" s="281">
        <v>10</v>
      </c>
      <c r="N67" s="216"/>
      <c r="P67" s="279">
        <v>2</v>
      </c>
      <c r="Q67" s="276" t="s">
        <v>143</v>
      </c>
      <c r="R67" s="277"/>
      <c r="S67" s="281">
        <f>'[9]New KPI vs BP'!$AM$449</f>
        <v>2.1941028231747675</v>
      </c>
      <c r="T67" s="216"/>
      <c r="U67" s="216"/>
      <c r="V67" s="216"/>
      <c r="W67" s="216"/>
      <c r="X67" s="268">
        <v>2</v>
      </c>
      <c r="Y67" s="276" t="s">
        <v>345</v>
      </c>
      <c r="Z67" s="277"/>
      <c r="AA67" s="278">
        <f>AD55</f>
        <v>1.3802265889999998</v>
      </c>
      <c r="AC67" s="216"/>
      <c r="AE67" s="268">
        <v>2</v>
      </c>
      <c r="AF67" s="276"/>
      <c r="AG67" s="277"/>
      <c r="AH67" s="278"/>
      <c r="AI67" t="s">
        <v>144</v>
      </c>
      <c r="AJ67" s="517">
        <f>AH66</f>
        <v>0.37603900000004264</v>
      </c>
    </row>
    <row r="68" spans="2:37" ht="18">
      <c r="B68" s="216"/>
      <c r="C68" s="272"/>
      <c r="D68" s="216"/>
      <c r="E68" s="216"/>
      <c r="F68" s="216"/>
      <c r="G68" s="216"/>
      <c r="H68" s="216"/>
      <c r="I68" s="279">
        <v>3</v>
      </c>
      <c r="J68" s="276" t="s">
        <v>396</v>
      </c>
      <c r="K68" s="277"/>
      <c r="L68" s="277"/>
      <c r="M68" s="281">
        <v>5</v>
      </c>
      <c r="N68" s="216"/>
      <c r="P68" s="279">
        <v>3</v>
      </c>
      <c r="Q68" s="276" t="s">
        <v>195</v>
      </c>
      <c r="R68" s="277"/>
      <c r="S68" s="281">
        <v>-27.343977988545884</v>
      </c>
      <c r="T68" s="216"/>
      <c r="U68" s="216"/>
      <c r="V68" s="216"/>
      <c r="W68" s="216"/>
      <c r="X68" s="268">
        <v>3</v>
      </c>
      <c r="Y68" s="276"/>
      <c r="Z68" s="277"/>
      <c r="AA68" s="278"/>
      <c r="AC68" s="216"/>
      <c r="AE68" s="268">
        <v>3</v>
      </c>
      <c r="AF68" s="276"/>
      <c r="AG68" s="277"/>
      <c r="AH68" s="278"/>
    </row>
    <row r="69" spans="2:37" ht="18">
      <c r="B69" s="216"/>
      <c r="C69" s="216"/>
      <c r="D69" s="272"/>
      <c r="E69" s="272"/>
      <c r="F69" s="272"/>
      <c r="G69" s="272"/>
      <c r="H69" s="272"/>
      <c r="I69" s="279">
        <v>4</v>
      </c>
      <c r="J69" s="276" t="s">
        <v>288</v>
      </c>
      <c r="K69" s="277"/>
      <c r="L69" s="277"/>
      <c r="M69" s="281">
        <v>-2.3890176169999999</v>
      </c>
      <c r="N69" s="216"/>
      <c r="P69" s="279">
        <v>4</v>
      </c>
      <c r="Q69" s="276"/>
      <c r="R69" s="277"/>
      <c r="S69" s="281"/>
      <c r="T69" s="216"/>
      <c r="U69" s="216"/>
      <c r="V69" s="216"/>
      <c r="W69" s="216"/>
      <c r="X69" s="268">
        <v>4</v>
      </c>
      <c r="Y69" s="276"/>
      <c r="Z69" s="277"/>
      <c r="AA69" s="278"/>
      <c r="AC69" s="216"/>
      <c r="AE69" s="268">
        <v>4</v>
      </c>
      <c r="AF69" s="276"/>
      <c r="AG69" s="277"/>
      <c r="AH69" s="278"/>
    </row>
    <row r="70" spans="2:37" ht="18">
      <c r="B70" s="216"/>
      <c r="C70" s="272"/>
      <c r="D70" s="216"/>
      <c r="E70" s="216"/>
      <c r="F70" s="216"/>
      <c r="G70" s="216"/>
      <c r="H70" s="334">
        <f>SUM(H64:H69)</f>
        <v>-1.0614943429999995</v>
      </c>
      <c r="I70" s="279">
        <v>5</v>
      </c>
      <c r="J70" s="276" t="s">
        <v>290</v>
      </c>
      <c r="K70" s="277"/>
      <c r="L70" s="277"/>
      <c r="M70" s="281">
        <v>-0.44323456299999997</v>
      </c>
      <c r="N70" s="216"/>
      <c r="P70" s="279">
        <v>5</v>
      </c>
      <c r="Q70" s="276"/>
      <c r="R70" s="277"/>
      <c r="S70" s="278"/>
      <c r="W70" s="216"/>
      <c r="X70" s="282">
        <v>5</v>
      </c>
      <c r="Y70" s="283" t="s">
        <v>182</v>
      </c>
      <c r="Z70" s="284"/>
      <c r="AA70" s="285">
        <f>AA65-SUM(AA66:AA69)</f>
        <v>-2.3435366427543993</v>
      </c>
      <c r="AC70" s="216"/>
      <c r="AE70" s="282">
        <v>5</v>
      </c>
      <c r="AF70" s="283" t="s">
        <v>182</v>
      </c>
      <c r="AG70" s="284"/>
      <c r="AH70" s="285" t="e">
        <f>AH65-SUM(AH66:AH69)</f>
        <v>#REF!</v>
      </c>
    </row>
    <row r="71" spans="2:37" ht="18">
      <c r="B71" s="216"/>
      <c r="C71" s="272"/>
      <c r="D71" s="216"/>
      <c r="E71" s="216"/>
      <c r="F71" s="216"/>
      <c r="G71" s="216"/>
      <c r="H71" s="216"/>
      <c r="I71" s="279">
        <v>6</v>
      </c>
      <c r="J71" s="276" t="s">
        <v>282</v>
      </c>
      <c r="K71" s="277"/>
      <c r="L71" s="277"/>
      <c r="M71" s="281">
        <v>1.0747578370000004</v>
      </c>
      <c r="N71" s="216"/>
      <c r="P71" s="279">
        <v>6</v>
      </c>
      <c r="Q71" s="276"/>
      <c r="R71" s="277"/>
      <c r="S71" s="281"/>
      <c r="W71" s="216"/>
      <c r="X71" s="216"/>
      <c r="Y71" s="216"/>
      <c r="Z71" s="216"/>
      <c r="AA71" s="216"/>
      <c r="AB71" s="216"/>
      <c r="AC71" s="216"/>
      <c r="AD71" s="216"/>
      <c r="AE71" s="216"/>
      <c r="AF71" s="216"/>
      <c r="AG71" s="216"/>
      <c r="AH71" s="216"/>
    </row>
    <row r="72" spans="2:37" ht="18">
      <c r="B72" s="216"/>
      <c r="C72" s="272"/>
      <c r="D72" s="272"/>
      <c r="E72" s="216"/>
      <c r="F72" s="216"/>
      <c r="G72" s="216"/>
      <c r="H72" s="216"/>
      <c r="I72" s="279">
        <v>7</v>
      </c>
      <c r="J72" s="276" t="s">
        <v>294</v>
      </c>
      <c r="K72" s="277"/>
      <c r="L72" s="277"/>
      <c r="M72" s="281">
        <v>0.69599999999999995</v>
      </c>
      <c r="N72" s="216"/>
      <c r="P72" s="279">
        <v>7</v>
      </c>
      <c r="Q72" s="276"/>
      <c r="R72" s="277"/>
      <c r="S72" s="281"/>
      <c r="W72" s="216"/>
      <c r="X72" s="216"/>
      <c r="Y72" s="216"/>
      <c r="Z72" s="216"/>
      <c r="AA72" s="216"/>
      <c r="AB72" s="216"/>
      <c r="AC72" s="216"/>
      <c r="AD72" s="216"/>
      <c r="AE72" s="216"/>
      <c r="AF72" s="216"/>
      <c r="AG72" s="216"/>
      <c r="AH72" s="216"/>
    </row>
    <row r="73" spans="2:37" ht="18">
      <c r="B73" s="216"/>
      <c r="C73" s="216"/>
      <c r="D73" s="216"/>
      <c r="E73" s="216"/>
      <c r="F73" s="216"/>
      <c r="G73" s="216"/>
      <c r="H73" s="216"/>
      <c r="I73" s="279">
        <v>8</v>
      </c>
      <c r="J73" s="276"/>
      <c r="K73" s="277"/>
      <c r="L73" s="277"/>
      <c r="M73" s="281"/>
      <c r="N73" s="216"/>
      <c r="P73" s="279">
        <v>8</v>
      </c>
      <c r="Q73" s="276"/>
      <c r="R73" s="277"/>
      <c r="S73" s="278"/>
      <c r="W73" s="216"/>
      <c r="X73" s="216"/>
      <c r="Y73" s="216"/>
      <c r="Z73" s="216"/>
      <c r="AA73" s="216"/>
      <c r="AB73" s="216"/>
      <c r="AC73" s="216"/>
      <c r="AD73" s="216"/>
      <c r="AE73" s="216"/>
      <c r="AF73" s="216"/>
      <c r="AG73" s="216"/>
      <c r="AH73" s="216"/>
    </row>
    <row r="74" spans="2:37" ht="18">
      <c r="B74" s="216"/>
      <c r="C74" s="216"/>
      <c r="D74" s="216"/>
      <c r="E74" s="216"/>
      <c r="F74" s="216"/>
      <c r="G74" s="216"/>
      <c r="H74" s="216"/>
      <c r="I74" s="288">
        <v>9</v>
      </c>
      <c r="J74" s="289" t="s">
        <v>182</v>
      </c>
      <c r="K74" s="284"/>
      <c r="L74" s="284"/>
      <c r="M74" s="290">
        <f>M65-SUM(M66:M72)</f>
        <v>1.6161289559519787E-3</v>
      </c>
      <c r="N74" s="216"/>
      <c r="P74" s="279">
        <v>9</v>
      </c>
      <c r="Q74" s="276"/>
      <c r="R74" s="277"/>
      <c r="S74" s="278"/>
      <c r="W74" s="272"/>
      <c r="X74" s="216"/>
      <c r="Y74" s="216"/>
      <c r="Z74" s="216"/>
      <c r="AA74" s="216"/>
      <c r="AB74" s="216"/>
      <c r="AC74" s="216"/>
      <c r="AD74" s="216"/>
      <c r="AE74" s="216"/>
      <c r="AF74" s="216"/>
      <c r="AG74" s="216"/>
      <c r="AH74" s="216"/>
    </row>
    <row r="75" spans="2:37" ht="18">
      <c r="B75" s="216"/>
      <c r="C75" s="216"/>
      <c r="D75" s="216"/>
      <c r="E75" s="216"/>
      <c r="F75" s="216"/>
      <c r="G75" s="216"/>
      <c r="H75" s="216"/>
      <c r="I75" s="216"/>
      <c r="J75" s="216"/>
      <c r="K75" s="216"/>
      <c r="L75" s="216"/>
      <c r="M75" s="216"/>
      <c r="N75" s="216"/>
      <c r="P75" s="288">
        <v>10</v>
      </c>
      <c r="Q75" s="283" t="s">
        <v>182</v>
      </c>
      <c r="R75" s="284"/>
      <c r="S75" s="285" t="e">
        <f>S65-SUM(S66:S74)</f>
        <v>#VALUE!</v>
      </c>
      <c r="T75" s="216" t="s">
        <v>223</v>
      </c>
      <c r="U75" s="518">
        <v>-18.011643420665003</v>
      </c>
      <c r="V75" s="216"/>
      <c r="W75" s="216"/>
      <c r="X75" s="297"/>
      <c r="Y75" s="216"/>
      <c r="Z75" s="216"/>
      <c r="AA75" s="216"/>
      <c r="AB75" s="216"/>
      <c r="AC75" s="216"/>
      <c r="AD75" s="216"/>
      <c r="AE75" s="216"/>
      <c r="AF75" s="216"/>
      <c r="AG75" s="216"/>
      <c r="AH75" s="216"/>
    </row>
    <row r="76" spans="2:37">
      <c r="B76" s="216"/>
      <c r="C76" s="216"/>
      <c r="D76" s="216"/>
      <c r="E76" s="216"/>
      <c r="F76" s="216"/>
      <c r="G76" s="216"/>
      <c r="H76" s="216"/>
      <c r="I76" s="216"/>
      <c r="J76" s="216"/>
      <c r="K76" s="216"/>
      <c r="L76" s="216"/>
      <c r="M76" s="216"/>
      <c r="N76" s="216"/>
      <c r="S76">
        <v>-12.599732715262103</v>
      </c>
      <c r="T76" s="216" t="s">
        <v>246</v>
      </c>
      <c r="U76" s="519">
        <v>8.3764110390134157</v>
      </c>
      <c r="W76" s="216"/>
      <c r="X76" s="216"/>
      <c r="Y76" s="216"/>
      <c r="Z76" s="216"/>
      <c r="AA76" s="216"/>
      <c r="AB76" s="216"/>
      <c r="AC76" s="216"/>
      <c r="AD76" s="216"/>
      <c r="AE76" s="216"/>
      <c r="AF76" s="216"/>
      <c r="AG76" s="216"/>
      <c r="AH76" s="216"/>
    </row>
    <row r="77" spans="2:37">
      <c r="B77" s="216"/>
      <c r="C77" s="216"/>
      <c r="D77" s="216"/>
      <c r="E77" s="216"/>
      <c r="F77" s="216"/>
      <c r="G77" s="216"/>
      <c r="H77" s="216"/>
      <c r="I77" s="216"/>
      <c r="J77" s="216"/>
      <c r="K77" s="216"/>
      <c r="L77" s="216"/>
      <c r="M77" s="216"/>
      <c r="N77" s="216"/>
      <c r="Q77" s="333" t="e">
        <f>SUM(S67:S75)+SUM(H64:H67)-H66</f>
        <v>#VALUE!</v>
      </c>
      <c r="S77" s="327" t="e">
        <f>S75-S76</f>
        <v>#VALUE!</v>
      </c>
      <c r="T77" s="216" t="s">
        <v>222</v>
      </c>
      <c r="U77" s="315">
        <v>1.5383914143349562</v>
      </c>
      <c r="V77" s="216"/>
      <c r="W77" s="216"/>
      <c r="X77" s="216"/>
      <c r="Y77" s="216"/>
      <c r="Z77" s="216"/>
      <c r="AA77" s="216"/>
      <c r="AB77" s="216"/>
      <c r="AC77" s="216"/>
      <c r="AD77" s="216"/>
      <c r="AE77" s="216"/>
      <c r="AF77" s="216"/>
      <c r="AG77" s="216"/>
      <c r="AH77" s="216"/>
    </row>
    <row r="78" spans="2:37">
      <c r="B78" s="216"/>
      <c r="C78" s="216"/>
      <c r="D78" s="216"/>
      <c r="E78" s="216"/>
      <c r="F78" s="216"/>
      <c r="G78" s="216"/>
      <c r="H78" s="216"/>
      <c r="I78" s="216"/>
      <c r="J78" s="216"/>
      <c r="K78" s="216"/>
      <c r="L78" s="216"/>
      <c r="M78" s="216"/>
      <c r="N78" s="216"/>
      <c r="P78" t="s">
        <v>195</v>
      </c>
      <c r="Q78">
        <v>-27</v>
      </c>
      <c r="T78" s="216" t="s">
        <v>217</v>
      </c>
      <c r="U78" s="216">
        <f>'[9]New KPI vs BP'!$AM$453+'[9]New KPI vs BP'!$AM$464</f>
        <v>-4.1591004750428473</v>
      </c>
      <c r="V78" s="216"/>
      <c r="W78" s="216"/>
      <c r="X78" s="216"/>
      <c r="Y78" s="216"/>
      <c r="Z78" s="216"/>
      <c r="AA78" s="216"/>
      <c r="AB78" s="216"/>
      <c r="AC78" s="216"/>
      <c r="AD78" s="216"/>
      <c r="AE78" s="216"/>
      <c r="AF78" s="216"/>
      <c r="AG78" s="216"/>
      <c r="AH78" s="216"/>
    </row>
    <row r="79" spans="2:37">
      <c r="B79" s="216"/>
      <c r="C79" s="216"/>
      <c r="D79" s="216"/>
      <c r="E79" s="216"/>
      <c r="F79" s="216"/>
      <c r="G79" s="216"/>
      <c r="H79" s="216"/>
      <c r="I79" s="216"/>
      <c r="J79" s="216"/>
      <c r="K79" s="216"/>
      <c r="L79" s="216"/>
      <c r="M79" s="216"/>
      <c r="N79" s="216"/>
      <c r="P79" t="s">
        <v>332</v>
      </c>
      <c r="Q79">
        <v>-2</v>
      </c>
      <c r="T79" s="216" t="s">
        <v>336</v>
      </c>
      <c r="U79" s="315">
        <v>-0.66895187469119222</v>
      </c>
      <c r="V79" s="216"/>
      <c r="W79" s="216"/>
      <c r="X79" s="216"/>
      <c r="Y79" s="216"/>
      <c r="Z79" s="216"/>
      <c r="AA79" s="216"/>
      <c r="AB79" s="216"/>
      <c r="AC79" s="216"/>
      <c r="AD79" s="216"/>
      <c r="AE79" s="216"/>
      <c r="AF79" s="216"/>
      <c r="AG79" s="216"/>
      <c r="AH79" s="216"/>
    </row>
    <row r="80" spans="2:37" ht="18">
      <c r="B80" s="216"/>
      <c r="C80" s="216"/>
      <c r="D80" s="216"/>
      <c r="E80" s="216"/>
      <c r="F80" s="216"/>
      <c r="G80" s="216"/>
      <c r="H80" s="216"/>
      <c r="I80" s="216"/>
      <c r="J80" s="216"/>
      <c r="K80" s="216"/>
      <c r="L80" s="216"/>
      <c r="M80" s="216"/>
      <c r="N80" s="216"/>
      <c r="T80" s="216" t="s">
        <v>292</v>
      </c>
      <c r="U80" s="478">
        <v>-1.3246742791967492</v>
      </c>
      <c r="V80" s="272" t="s">
        <v>346</v>
      </c>
      <c r="W80" s="216"/>
      <c r="X80" s="216"/>
      <c r="Y80" s="216"/>
      <c r="Z80" s="216"/>
      <c r="AA80" s="216"/>
      <c r="AB80" s="216"/>
      <c r="AC80" s="216"/>
      <c r="AD80" s="216"/>
      <c r="AE80" s="216"/>
      <c r="AF80" s="216"/>
      <c r="AG80" s="216"/>
      <c r="AH80" s="216"/>
    </row>
    <row r="81" spans="2:34">
      <c r="B81" s="216"/>
      <c r="C81" s="216"/>
      <c r="D81" s="216"/>
      <c r="E81" s="216"/>
      <c r="F81" s="216"/>
      <c r="G81" s="216"/>
      <c r="H81" s="216"/>
      <c r="I81" s="216"/>
      <c r="J81" s="216"/>
      <c r="K81" s="216"/>
      <c r="L81" s="216"/>
      <c r="M81" s="216"/>
      <c r="N81" s="216"/>
      <c r="T81" s="216"/>
      <c r="U81" s="216"/>
      <c r="V81" s="216"/>
      <c r="W81" s="216"/>
      <c r="X81" s="216"/>
      <c r="Y81" s="216"/>
      <c r="Z81" s="216"/>
      <c r="AA81" s="216"/>
      <c r="AB81" s="216"/>
      <c r="AC81" s="216"/>
      <c r="AD81" s="216"/>
      <c r="AE81" s="216"/>
      <c r="AF81" s="216"/>
      <c r="AG81" s="216"/>
      <c r="AH81" s="216"/>
    </row>
    <row r="82" spans="2:34">
      <c r="B82" s="216"/>
      <c r="C82" s="216"/>
      <c r="D82" s="216"/>
      <c r="E82" s="216"/>
      <c r="F82" s="216"/>
      <c r="G82" s="216"/>
      <c r="H82" s="216"/>
      <c r="I82" s="216"/>
      <c r="J82" s="216"/>
      <c r="K82" s="216"/>
      <c r="L82" s="216"/>
      <c r="M82" s="216"/>
      <c r="N82" s="216"/>
      <c r="T82" s="216"/>
      <c r="U82" s="216"/>
      <c r="V82" s="216"/>
      <c r="W82" s="216"/>
      <c r="X82" s="216"/>
      <c r="Y82" s="216"/>
      <c r="Z82" s="216"/>
      <c r="AA82" s="216"/>
      <c r="AB82" s="216"/>
      <c r="AC82" s="216"/>
      <c r="AD82" s="216"/>
      <c r="AE82" s="216"/>
      <c r="AF82" s="216"/>
      <c r="AG82" s="216"/>
      <c r="AH82" s="216"/>
    </row>
    <row r="83" spans="2:34">
      <c r="B83" s="216"/>
      <c r="C83" s="216"/>
      <c r="D83" s="216"/>
      <c r="E83" s="216"/>
      <c r="F83" s="216"/>
      <c r="G83" s="216"/>
      <c r="H83" s="216"/>
      <c r="I83" s="216"/>
      <c r="J83" s="216"/>
      <c r="K83" s="216"/>
      <c r="L83" s="216"/>
      <c r="M83" s="216"/>
      <c r="N83" s="216"/>
      <c r="T83" s="216"/>
      <c r="U83" s="216"/>
      <c r="V83" s="216"/>
      <c r="W83" s="216"/>
      <c r="X83" s="216"/>
      <c r="Y83" s="216"/>
      <c r="Z83" s="216"/>
      <c r="AA83" s="216"/>
      <c r="AB83" s="216"/>
      <c r="AC83" s="216"/>
      <c r="AD83" s="216"/>
      <c r="AE83" s="216"/>
      <c r="AF83" s="216"/>
      <c r="AG83" s="216"/>
      <c r="AH83" s="216"/>
    </row>
    <row r="84" spans="2:34">
      <c r="B84" s="216"/>
      <c r="C84" s="216"/>
      <c r="D84" s="216"/>
      <c r="E84" s="216"/>
      <c r="F84" s="216"/>
      <c r="G84" s="216"/>
      <c r="H84" s="216"/>
      <c r="I84" s="216"/>
      <c r="J84" s="216"/>
      <c r="K84" s="216"/>
      <c r="L84" s="216"/>
      <c r="M84" s="216"/>
      <c r="N84" s="216"/>
      <c r="Q84" s="317" t="e">
        <f>Q77-SUM(Q78:Q83)</f>
        <v>#VALUE!</v>
      </c>
      <c r="T84" t="s">
        <v>283</v>
      </c>
      <c r="U84" s="369" t="e">
        <f>SUM(U85:U87)</f>
        <v>#REF!</v>
      </c>
      <c r="V84" s="216"/>
      <c r="W84" s="216"/>
      <c r="X84" s="216"/>
      <c r="Y84" s="216"/>
      <c r="Z84" s="216"/>
      <c r="AA84" s="216"/>
      <c r="AB84" s="216"/>
      <c r="AC84" s="216"/>
      <c r="AD84" s="216"/>
      <c r="AE84" s="216"/>
      <c r="AF84" s="216"/>
      <c r="AG84" s="216"/>
      <c r="AH84" s="216"/>
    </row>
    <row r="85" spans="2:34">
      <c r="T85" s="372" t="s">
        <v>28</v>
      </c>
      <c r="U85" s="373" t="e">
        <f>'[9]P&amp;L vs BP'!$AD$238-'[9]New KPI vs BP'!$AO$437-AC61</f>
        <v>#REF!</v>
      </c>
    </row>
    <row r="86" spans="2:34">
      <c r="T86" s="372" t="s">
        <v>200</v>
      </c>
      <c r="U86" s="373">
        <v>1.8336097389807999</v>
      </c>
    </row>
    <row r="87" spans="2:34">
      <c r="T87" s="135" t="s">
        <v>144</v>
      </c>
      <c r="U87" s="373" t="e">
        <f>-(X57+AD56+AJ67+AK66)</f>
        <v>#REF!</v>
      </c>
    </row>
  </sheetData>
  <mergeCells count="26">
    <mergeCell ref="AH17:AH18"/>
    <mergeCell ref="B10:B11"/>
    <mergeCell ref="C10:C11"/>
    <mergeCell ref="H17:H18"/>
    <mergeCell ref="O17:O18"/>
    <mergeCell ref="P17:P18"/>
    <mergeCell ref="Q17:Q18"/>
    <mergeCell ref="R17:R18"/>
    <mergeCell ref="S17:S18"/>
    <mergeCell ref="AE17:AE18"/>
    <mergeCell ref="AF17:AF18"/>
    <mergeCell ref="T17:T18"/>
    <mergeCell ref="B17:B18"/>
    <mergeCell ref="AH59:AH60"/>
    <mergeCell ref="B52:B53"/>
    <mergeCell ref="C52:C53"/>
    <mergeCell ref="H59:H60"/>
    <mergeCell ref="O59:O60"/>
    <mergeCell ref="P59:P60"/>
    <mergeCell ref="Q59:Q60"/>
    <mergeCell ref="R59:R60"/>
    <mergeCell ref="S59:S60"/>
    <mergeCell ref="AE59:AE60"/>
    <mergeCell ref="AF59:AF60"/>
    <mergeCell ref="T59:T60"/>
    <mergeCell ref="B59:B60"/>
  </mergeCells>
  <pageMargins left="0.7" right="0.7" top="0.75" bottom="0.75" header="0.3" footer="0.3"/>
  <pageSetup orientation="portrait" r:id="rId1"/>
  <customProperties>
    <customPr name="_pios_id" r:id="rId2"/>
    <customPr name="EpmWorksheetKeyString_GUID" r:id="rId3"/>
  </customProperties>
  <drawing r:id="rId4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B0576-F077-4AA3-9F1E-FAB87FFBAE5A}">
  <sheetPr>
    <tabColor theme="7" tint="0.39997558519241921"/>
  </sheetPr>
  <dimension ref="B1:AK87"/>
  <sheetViews>
    <sheetView showGridLines="0" topLeftCell="A30" zoomScale="70" zoomScaleNormal="70" workbookViewId="0">
      <selection activeCell="C54" sqref="C54"/>
    </sheetView>
  </sheetViews>
  <sheetFormatPr defaultRowHeight="15"/>
  <cols>
    <col min="2" max="2" width="10.42578125" bestFit="1" customWidth="1"/>
    <col min="3" max="3" width="10.85546875" bestFit="1" customWidth="1"/>
    <col min="4" max="4" width="14.85546875" customWidth="1"/>
    <col min="5" max="5" width="12.5703125" customWidth="1"/>
    <col min="6" max="6" width="14.140625" customWidth="1"/>
    <col min="7" max="7" width="11.85546875" customWidth="1"/>
    <col min="17" max="17" width="8.85546875" customWidth="1"/>
    <col min="19" max="19" width="10.5703125" customWidth="1"/>
    <col min="21" max="21" width="10.5703125" bestFit="1" customWidth="1"/>
    <col min="24" max="24" width="10.5703125" customWidth="1"/>
  </cols>
  <sheetData>
    <row r="1" spans="2:34" ht="28.5">
      <c r="B1" s="304" t="str">
        <f>'Summary month'!E2</f>
        <v>Apr</v>
      </c>
      <c r="C1" t="str">
        <f>VLOOKUP(B1,mapping!$A$2:$C$13,3,0)</f>
        <v>M01</v>
      </c>
    </row>
    <row r="3" spans="2:34" ht="28.5">
      <c r="B3" s="299" t="s">
        <v>202</v>
      </c>
      <c r="I3" s="216"/>
      <c r="J3" s="334"/>
      <c r="K3" s="216"/>
      <c r="L3" s="216"/>
      <c r="M3" s="216"/>
      <c r="N3" s="334"/>
      <c r="O3" s="216"/>
      <c r="P3" s="216"/>
      <c r="Q3" s="216"/>
    </row>
    <row r="4" spans="2:34" ht="28.5">
      <c r="B4" s="299"/>
      <c r="I4" s="216"/>
      <c r="J4" s="334"/>
      <c r="K4" s="216"/>
      <c r="L4" s="216"/>
      <c r="M4" s="216"/>
      <c r="N4" s="334"/>
      <c r="O4" s="216"/>
      <c r="P4" s="216"/>
      <c r="Q4" s="216"/>
    </row>
    <row r="5" spans="2:34" ht="20.25">
      <c r="B5" s="216"/>
      <c r="C5" s="226" t="str">
        <f>B10</f>
        <v>FC-1 QTD</v>
      </c>
      <c r="D5" s="226" t="str">
        <f>C10</f>
        <v>Act QTD</v>
      </c>
      <c r="E5" s="226" t="s">
        <v>320</v>
      </c>
      <c r="F5" s="226" t="s">
        <v>321</v>
      </c>
      <c r="G5" s="226" t="s">
        <v>322</v>
      </c>
      <c r="H5" s="292" t="s">
        <v>323</v>
      </c>
      <c r="I5" s="216"/>
    </row>
    <row r="6" spans="2:34" ht="20.25">
      <c r="B6" s="226" t="s">
        <v>327</v>
      </c>
      <c r="C6" s="229">
        <f>'Summary month'!CA82</f>
        <v>0</v>
      </c>
      <c r="D6" s="229">
        <f>'Summary month'!I82</f>
        <v>63.237619418000122</v>
      </c>
      <c r="E6" s="226">
        <f>+D6-C6</f>
        <v>63.237619418000122</v>
      </c>
      <c r="F6" s="226" t="e">
        <f>B19</f>
        <v>#REF!</v>
      </c>
      <c r="G6" s="226" t="e">
        <f>SUM(C19:S19)</f>
        <v>#REF!</v>
      </c>
      <c r="H6" s="502" t="e">
        <f>E6-F6-G6</f>
        <v>#REF!</v>
      </c>
      <c r="I6" s="216"/>
      <c r="J6" s="334"/>
      <c r="K6" s="216"/>
      <c r="L6" s="216"/>
      <c r="M6" s="216"/>
      <c r="N6" s="334"/>
      <c r="O6" s="216"/>
      <c r="P6" s="216"/>
      <c r="Q6" s="216"/>
    </row>
    <row r="7" spans="2:34" ht="20.25">
      <c r="B7" s="226" t="s">
        <v>325</v>
      </c>
      <c r="C7" s="229">
        <f>'Summary month'!CA83</f>
        <v>-346.0916622089257</v>
      </c>
      <c r="D7" s="229">
        <f>'Summary month'!I83</f>
        <v>-134.40743371799999</v>
      </c>
      <c r="E7" s="226">
        <f>+D7-C7</f>
        <v>211.6842284909257</v>
      </c>
      <c r="F7" s="226" t="e">
        <f>T19</f>
        <v>#REF!</v>
      </c>
      <c r="G7" s="226" t="e">
        <f>SUM(U19:AH19)</f>
        <v>#REF!</v>
      </c>
      <c r="H7" s="502" t="e">
        <f>E7-F7-G7</f>
        <v>#REF!</v>
      </c>
      <c r="I7" s="216"/>
      <c r="J7" s="334"/>
      <c r="K7" s="216"/>
      <c r="L7" s="216"/>
      <c r="M7" s="216"/>
      <c r="N7" s="334"/>
      <c r="O7" s="216"/>
      <c r="P7" s="216"/>
      <c r="Q7" s="216"/>
    </row>
    <row r="8" spans="2:34" ht="20.25">
      <c r="B8" s="226" t="s">
        <v>326</v>
      </c>
      <c r="C8" s="226">
        <f>+C6+C7</f>
        <v>-346.0916622089257</v>
      </c>
      <c r="D8" s="226">
        <f>+D6+D7</f>
        <v>-71.169814299999871</v>
      </c>
      <c r="E8" s="226">
        <f>+D8-C8</f>
        <v>274.92184790892583</v>
      </c>
      <c r="F8" s="226" t="e">
        <f>+E8-G8</f>
        <v>#REF!</v>
      </c>
      <c r="G8" s="226" t="e">
        <f>+G6+G7</f>
        <v>#REF!</v>
      </c>
      <c r="H8" s="502" t="e">
        <f>E8-F8-G8</f>
        <v>#REF!</v>
      </c>
      <c r="I8" s="216"/>
      <c r="J8" s="334" t="s">
        <v>303</v>
      </c>
      <c r="K8" s="216" t="s">
        <v>143</v>
      </c>
      <c r="L8" s="216" t="s">
        <v>304</v>
      </c>
      <c r="M8" s="216"/>
      <c r="N8" s="334" t="s">
        <v>303</v>
      </c>
      <c r="O8" s="216" t="s">
        <v>143</v>
      </c>
      <c r="P8" s="216" t="s">
        <v>305</v>
      </c>
      <c r="Q8" s="216" t="s">
        <v>306</v>
      </c>
    </row>
    <row r="9" spans="2:34" ht="18">
      <c r="B9" s="215"/>
      <c r="C9" s="216"/>
      <c r="D9" s="318" t="e">
        <f>D12-D54</f>
        <v>#VALUE!</v>
      </c>
      <c r="E9" s="318" t="e">
        <f>E12-E54</f>
        <v>#REF!</v>
      </c>
      <c r="F9" s="318" t="e">
        <f>F12-F54</f>
        <v>#REF!</v>
      </c>
      <c r="G9" s="318" t="e">
        <f>G12-G54</f>
        <v>#REF!</v>
      </c>
      <c r="H9" s="216"/>
      <c r="I9" s="216" t="s">
        <v>307</v>
      </c>
      <c r="J9" s="334">
        <f>'[9]New KPI vs BP'!$AN$34-K9-L9</f>
        <v>8.206118843052792</v>
      </c>
      <c r="K9" s="216">
        <f>'[9]New KPI vs BP'!$AN$15</f>
        <v>0.90964658602447934</v>
      </c>
      <c r="L9" s="334">
        <f>'[9]New KPI vs BP'!$AN$507+'[9]New KPI vs BP'!$AN$523</f>
        <v>-2.1683203931033423</v>
      </c>
      <c r="M9" s="216"/>
      <c r="N9" s="334" t="e">
        <f>'[9]New KPI vs BP'!$AN$34-O9-P9</f>
        <v>#REF!</v>
      </c>
      <c r="O9" s="216">
        <f>K9</f>
        <v>0.90964658602447934</v>
      </c>
      <c r="P9" s="406" t="e">
        <f>L10-AJ66+AA20</f>
        <v>#REF!</v>
      </c>
      <c r="Q9" s="334" t="e">
        <f>L9-(P9)</f>
        <v>#REF!</v>
      </c>
      <c r="R9" s="216"/>
      <c r="S9" s="216"/>
      <c r="T9" s="216"/>
      <c r="U9" s="216"/>
      <c r="V9" s="216"/>
      <c r="W9" s="216"/>
      <c r="X9" s="216"/>
      <c r="Y9" s="216"/>
      <c r="Z9" s="216"/>
      <c r="AA9" s="216"/>
      <c r="AB9" s="216"/>
      <c r="AC9" s="216"/>
      <c r="AD9" s="216"/>
      <c r="AE9" s="216"/>
      <c r="AF9" s="216"/>
      <c r="AG9" s="216"/>
      <c r="AH9" s="216"/>
    </row>
    <row r="10" spans="2:34" ht="20.100000000000001" customHeight="1">
      <c r="B10" s="1014" t="s">
        <v>342</v>
      </c>
      <c r="C10" s="1014" t="s">
        <v>214</v>
      </c>
      <c r="D10" s="218"/>
      <c r="E10" s="219"/>
      <c r="F10" s="219"/>
      <c r="G10" s="220"/>
      <c r="H10" s="216"/>
      <c r="I10" s="216" t="s">
        <v>62</v>
      </c>
      <c r="J10" s="334" t="e">
        <f>M52</f>
        <v>#REF!</v>
      </c>
      <c r="K10" s="216">
        <v>0</v>
      </c>
      <c r="L10" s="334" t="e">
        <f>M53</f>
        <v>#REF!</v>
      </c>
      <c r="M10" s="216"/>
      <c r="N10" s="216"/>
      <c r="O10" s="216"/>
      <c r="P10" s="216"/>
      <c r="Q10" s="216"/>
      <c r="R10" s="216"/>
      <c r="S10" s="216"/>
      <c r="T10" s="216"/>
      <c r="U10" s="216"/>
      <c r="V10" s="216"/>
      <c r="W10" s="221"/>
      <c r="X10" s="221"/>
      <c r="Y10" s="221"/>
      <c r="Z10" s="221"/>
      <c r="AA10" s="221"/>
      <c r="AB10" s="221"/>
      <c r="AC10" s="221"/>
      <c r="AD10" s="221"/>
      <c r="AE10" s="221"/>
      <c r="AF10" s="221"/>
      <c r="AG10" s="221"/>
      <c r="AH10" s="221"/>
    </row>
    <row r="11" spans="2:34" ht="40.5">
      <c r="B11" s="1015"/>
      <c r="C11" s="1016"/>
      <c r="D11" s="222"/>
      <c r="E11" s="223" t="s">
        <v>154</v>
      </c>
      <c r="F11" s="224" t="s">
        <v>155</v>
      </c>
      <c r="G11" s="225" t="s">
        <v>156</v>
      </c>
      <c r="H11" s="216"/>
      <c r="I11" s="216" t="s">
        <v>208</v>
      </c>
      <c r="J11" s="216"/>
      <c r="K11" s="216"/>
      <c r="L11" s="216"/>
      <c r="M11" s="216"/>
      <c r="N11" s="216"/>
      <c r="O11" s="216"/>
      <c r="P11" s="216"/>
      <c r="Q11" s="216"/>
      <c r="R11" s="216"/>
      <c r="AH11" s="216"/>
    </row>
    <row r="12" spans="2:34" ht="20.25">
      <c r="B12" s="226">
        <f>'Summary month'!CA55</f>
        <v>-35.984671931108444</v>
      </c>
      <c r="C12" s="226">
        <f>'Summary month'!I55</f>
        <v>-71.169814299999885</v>
      </c>
      <c r="D12" s="227">
        <f>C12-B12</f>
        <v>-35.185142368891441</v>
      </c>
      <c r="E12" s="228">
        <f>'[9]New KPI vs BP'!$AN$34</f>
        <v>6.9474450359739297</v>
      </c>
      <c r="F12" s="228" t="e">
        <f>'Summary month'!AA82-E13</f>
        <v>#REF!</v>
      </c>
      <c r="G12" s="229" t="e">
        <f>'Summary month'!AA83-E14</f>
        <v>#REF!</v>
      </c>
      <c r="H12" s="216"/>
      <c r="I12" s="286" t="e">
        <f>SUM(E12:G12)-D12</f>
        <v>#REF!</v>
      </c>
      <c r="J12" s="216"/>
      <c r="K12" s="216"/>
      <c r="L12" s="216"/>
      <c r="M12" s="216"/>
      <c r="N12" s="216"/>
      <c r="O12" s="230"/>
      <c r="P12" s="216"/>
      <c r="Q12" s="216"/>
      <c r="R12" s="216"/>
      <c r="AH12" s="230"/>
    </row>
    <row r="13" spans="2:34">
      <c r="B13" s="216"/>
      <c r="C13" s="216"/>
      <c r="D13" s="216"/>
      <c r="E13" s="315" t="e">
        <f>SUM(N9:O9)</f>
        <v>#REF!</v>
      </c>
      <c r="F13" s="216" t="s">
        <v>308</v>
      </c>
      <c r="G13" s="216"/>
      <c r="H13" s="216"/>
      <c r="I13" s="216"/>
      <c r="J13" s="216"/>
      <c r="K13" s="216"/>
      <c r="L13" s="216"/>
      <c r="M13" s="216"/>
      <c r="N13" s="216"/>
      <c r="O13" s="216" t="s">
        <v>53</v>
      </c>
      <c r="P13" s="216">
        <f>-'Summary month'!AA66</f>
        <v>0</v>
      </c>
      <c r="Q13" s="216"/>
      <c r="R13" s="216"/>
      <c r="AH13" s="216"/>
    </row>
    <row r="14" spans="2:34">
      <c r="B14" s="216"/>
      <c r="C14" s="216" t="s">
        <v>51</v>
      </c>
      <c r="D14" s="216" t="s">
        <v>50</v>
      </c>
      <c r="E14" s="315" t="e">
        <f>P9</f>
        <v>#REF!</v>
      </c>
      <c r="F14" s="216" t="s">
        <v>309</v>
      </c>
      <c r="G14" s="216"/>
      <c r="H14" s="216"/>
      <c r="I14" s="216"/>
      <c r="J14" s="216"/>
      <c r="K14" s="216"/>
      <c r="L14" s="216"/>
      <c r="M14" s="216"/>
      <c r="N14" s="216"/>
      <c r="O14" s="216" t="s">
        <v>54</v>
      </c>
      <c r="P14" s="216">
        <f>-'Summary month'!AA67</f>
        <v>0</v>
      </c>
      <c r="Q14" s="216"/>
      <c r="R14" s="216"/>
      <c r="AH14" s="216"/>
    </row>
    <row r="15" spans="2:34" ht="21" thickBot="1">
      <c r="B15" s="231" t="s">
        <v>157</v>
      </c>
      <c r="C15" s="232" t="s">
        <v>56</v>
      </c>
      <c r="D15" s="232" t="s">
        <v>57</v>
      </c>
      <c r="E15" s="232"/>
      <c r="F15" s="232"/>
      <c r="G15" s="232"/>
      <c r="H15" s="232"/>
      <c r="I15" s="232"/>
      <c r="J15" s="232"/>
      <c r="K15" s="232"/>
      <c r="L15" s="232"/>
      <c r="M15" s="232"/>
      <c r="N15" s="232"/>
      <c r="O15" s="232" t="s">
        <v>55</v>
      </c>
      <c r="P15" s="216">
        <f>-'Summary month'!AA68</f>
        <v>0</v>
      </c>
      <c r="Q15" s="232"/>
      <c r="R15" s="232" t="s">
        <v>60</v>
      </c>
      <c r="AA15" t="s">
        <v>52</v>
      </c>
      <c r="AB15" t="s">
        <v>59</v>
      </c>
      <c r="AH15" s="217" t="s">
        <v>138</v>
      </c>
    </row>
    <row r="16" spans="2:34" ht="21" thickBot="1">
      <c r="B16" s="233"/>
      <c r="C16" s="234" t="s">
        <v>159</v>
      </c>
      <c r="D16" s="234"/>
      <c r="E16" s="234"/>
      <c r="F16" s="234"/>
      <c r="G16" s="234"/>
      <c r="H16" s="234"/>
      <c r="I16" s="234"/>
      <c r="J16" s="234"/>
      <c r="K16" s="234"/>
      <c r="L16" s="234"/>
      <c r="M16" s="234"/>
      <c r="N16" s="234"/>
      <c r="O16" s="234"/>
      <c r="P16" s="234"/>
      <c r="Q16" s="234"/>
      <c r="R16" s="234"/>
      <c r="S16" s="235"/>
      <c r="T16" s="236"/>
      <c r="U16" s="237" t="s">
        <v>160</v>
      </c>
      <c r="V16" s="237"/>
      <c r="W16" s="237"/>
      <c r="X16" s="237"/>
      <c r="Y16" s="237"/>
      <c r="Z16" s="237"/>
      <c r="AA16" s="237"/>
      <c r="AB16" s="237"/>
      <c r="AC16" s="237"/>
      <c r="AD16" s="237"/>
      <c r="AE16" s="237"/>
      <c r="AF16" s="237"/>
      <c r="AG16" s="237"/>
      <c r="AH16" s="238"/>
    </row>
    <row r="17" spans="2:34" ht="20.100000000000001" customHeight="1">
      <c r="B17" s="1027" t="s">
        <v>274</v>
      </c>
      <c r="C17" s="239" t="s">
        <v>161</v>
      </c>
      <c r="D17" s="240"/>
      <c r="E17" s="240"/>
      <c r="F17" s="240"/>
      <c r="G17" s="241"/>
      <c r="H17" s="1017" t="s">
        <v>162</v>
      </c>
      <c r="I17" s="242" t="s">
        <v>163</v>
      </c>
      <c r="J17" s="243"/>
      <c r="K17" s="243"/>
      <c r="L17" s="243"/>
      <c r="M17" s="243"/>
      <c r="N17" s="244"/>
      <c r="O17" s="1019" t="s">
        <v>164</v>
      </c>
      <c r="P17" s="1019" t="s">
        <v>165</v>
      </c>
      <c r="Q17" s="1019" t="s">
        <v>166</v>
      </c>
      <c r="R17" s="1022" t="s">
        <v>167</v>
      </c>
      <c r="S17" s="1023" t="s">
        <v>168</v>
      </c>
      <c r="T17" s="1027" t="s">
        <v>274</v>
      </c>
      <c r="U17" s="245" t="s">
        <v>169</v>
      </c>
      <c r="V17" s="246"/>
      <c r="W17" s="246"/>
      <c r="X17" s="247"/>
      <c r="Y17" s="248" t="s">
        <v>163</v>
      </c>
      <c r="Z17" s="246"/>
      <c r="AA17" s="246"/>
      <c r="AB17" s="246"/>
      <c r="AC17" s="246"/>
      <c r="AD17" s="247"/>
      <c r="AE17" s="1022" t="s">
        <v>166</v>
      </c>
      <c r="AF17" s="1025" t="s">
        <v>167</v>
      </c>
      <c r="AG17" s="311"/>
      <c r="AH17" s="1012" t="s">
        <v>168</v>
      </c>
    </row>
    <row r="18" spans="2:34" ht="77.45" customHeight="1">
      <c r="B18" s="1028"/>
      <c r="C18" s="249" t="s">
        <v>170</v>
      </c>
      <c r="D18" s="250" t="s">
        <v>171</v>
      </c>
      <c r="E18" s="250" t="s">
        <v>172</v>
      </c>
      <c r="F18" s="250" t="s">
        <v>173</v>
      </c>
      <c r="G18" s="251" t="s">
        <v>174</v>
      </c>
      <c r="H18" s="1018"/>
      <c r="I18" s="250" t="s">
        <v>175</v>
      </c>
      <c r="J18" s="250" t="s">
        <v>176</v>
      </c>
      <c r="K18" s="250" t="s">
        <v>177</v>
      </c>
      <c r="L18" s="250" t="s">
        <v>178</v>
      </c>
      <c r="M18" s="250" t="s">
        <v>168</v>
      </c>
      <c r="N18" s="250" t="s">
        <v>179</v>
      </c>
      <c r="O18" s="1020"/>
      <c r="P18" s="1021"/>
      <c r="Q18" s="1021"/>
      <c r="R18" s="1021"/>
      <c r="S18" s="1024"/>
      <c r="T18" s="1028"/>
      <c r="U18" s="307" t="s">
        <v>203</v>
      </c>
      <c r="V18" s="308" t="s">
        <v>180</v>
      </c>
      <c r="W18" s="309" t="s">
        <v>181</v>
      </c>
      <c r="X18" s="310" t="s">
        <v>33</v>
      </c>
      <c r="Y18" s="305" t="s">
        <v>25</v>
      </c>
      <c r="Z18" s="306" t="s">
        <v>183</v>
      </c>
      <c r="AA18" s="306" t="s">
        <v>204</v>
      </c>
      <c r="AB18" s="306" t="s">
        <v>205</v>
      </c>
      <c r="AC18" s="306" t="s">
        <v>184</v>
      </c>
      <c r="AD18" s="306" t="s">
        <v>30</v>
      </c>
      <c r="AE18" s="1021"/>
      <c r="AF18" s="1026"/>
      <c r="AG18" s="312" t="s">
        <v>37</v>
      </c>
      <c r="AH18" s="1013"/>
    </row>
    <row r="19" spans="2:34" ht="21" thickBot="1">
      <c r="B19" s="252" t="e">
        <f>E13</f>
        <v>#REF!</v>
      </c>
      <c r="C19" s="253" t="e">
        <f>C61-'Summary month'!AA64-'Summary month'!AA69+J10-N9</f>
        <v>#REF!</v>
      </c>
      <c r="D19" s="254">
        <f>S67-'Summary month'!AA63-'Summary month'!AA70-O9</f>
        <v>1.2844562371502881</v>
      </c>
      <c r="E19" s="254" t="e">
        <f>E61</f>
        <v>#REF!</v>
      </c>
      <c r="F19" s="254" t="e">
        <f>F61</f>
        <v>#REF!</v>
      </c>
      <c r="G19" s="254"/>
      <c r="H19" s="254"/>
      <c r="I19" s="254">
        <f>I61</f>
        <v>5.7019311818052358</v>
      </c>
      <c r="J19" s="255">
        <f>J61</f>
        <v>1.4855263852785687</v>
      </c>
      <c r="K19" s="255">
        <f>K61</f>
        <v>-7.4543777387711811</v>
      </c>
      <c r="L19" s="255">
        <f>L61</f>
        <v>1</v>
      </c>
      <c r="M19" s="255">
        <f>M61</f>
        <v>17.440121785955952</v>
      </c>
      <c r="N19" s="255"/>
      <c r="O19" s="254">
        <f>SUM(P13:P15)</f>
        <v>0</v>
      </c>
      <c r="P19" s="254"/>
      <c r="Q19" s="256"/>
      <c r="R19" s="254" t="e">
        <f>R61-'Summary month'!AA73</f>
        <v>#REF!</v>
      </c>
      <c r="S19" s="257" t="e">
        <f>F12-SUM(C19:R19)</f>
        <v>#REF!</v>
      </c>
      <c r="T19" s="253" t="e">
        <f>E14</f>
        <v>#REF!</v>
      </c>
      <c r="U19" s="253" t="e">
        <f>U61</f>
        <v>#REF!</v>
      </c>
      <c r="V19" s="258">
        <f>V61</f>
        <v>0</v>
      </c>
      <c r="W19" s="258"/>
      <c r="X19" s="258" t="e">
        <f>X61</f>
        <v>#REF!</v>
      </c>
      <c r="Y19" s="258" t="e">
        <f>Y61</f>
        <v>#REF!</v>
      </c>
      <c r="Z19" s="258" t="e">
        <f>Z61</f>
        <v>#REF!</v>
      </c>
      <c r="AA19" s="258">
        <f>AA61-'Summary month'!AA65-AA20</f>
        <v>2.0510781877509585E-2</v>
      </c>
      <c r="AB19" s="258">
        <f>-'Summary month'!AA72</f>
        <v>0</v>
      </c>
      <c r="AC19" s="258" t="e">
        <f>AC61</f>
        <v>#REF!</v>
      </c>
      <c r="AD19" s="258">
        <f>AD61</f>
        <v>0</v>
      </c>
      <c r="AE19" s="256"/>
      <c r="AF19" s="259"/>
      <c r="AG19" s="254" t="e">
        <f>AG61</f>
        <v>#REF!</v>
      </c>
      <c r="AH19" s="260" t="e">
        <f>G12-SUM(U19:AG19)</f>
        <v>#REF!</v>
      </c>
    </row>
    <row r="20" spans="2:34">
      <c r="B20" s="286" t="e">
        <f>B19-B61</f>
        <v>#REF!</v>
      </c>
      <c r="C20" s="286" t="e">
        <f t="shared" ref="C20:S20" si="0">C19-C61</f>
        <v>#REF!</v>
      </c>
      <c r="D20" s="286">
        <f t="shared" si="0"/>
        <v>1.2844562371502881</v>
      </c>
      <c r="E20" s="286" t="e">
        <f t="shared" si="0"/>
        <v>#REF!</v>
      </c>
      <c r="F20" s="286" t="e">
        <f t="shared" si="0"/>
        <v>#REF!</v>
      </c>
      <c r="G20" s="286">
        <f t="shared" si="0"/>
        <v>0</v>
      </c>
      <c r="H20" s="286">
        <f t="shared" si="0"/>
        <v>0</v>
      </c>
      <c r="I20" s="286">
        <f t="shared" si="0"/>
        <v>0</v>
      </c>
      <c r="J20" s="286">
        <f t="shared" si="0"/>
        <v>0</v>
      </c>
      <c r="K20" s="286">
        <f t="shared" si="0"/>
        <v>0</v>
      </c>
      <c r="L20" s="286">
        <f t="shared" si="0"/>
        <v>0</v>
      </c>
      <c r="M20" s="286">
        <f t="shared" si="0"/>
        <v>0</v>
      </c>
      <c r="N20" s="286">
        <f t="shared" si="0"/>
        <v>0</v>
      </c>
      <c r="O20" s="286">
        <f t="shared" si="0"/>
        <v>0</v>
      </c>
      <c r="P20" s="286">
        <f t="shared" si="0"/>
        <v>0</v>
      </c>
      <c r="Q20" s="286">
        <f t="shared" si="0"/>
        <v>0</v>
      </c>
      <c r="R20" s="286" t="e">
        <f t="shared" si="0"/>
        <v>#REF!</v>
      </c>
      <c r="S20" s="286" t="e">
        <f t="shared" si="0"/>
        <v>#REF!</v>
      </c>
      <c r="T20" s="216"/>
      <c r="U20" s="216"/>
      <c r="V20" s="216"/>
      <c r="W20" s="216"/>
      <c r="X20" s="216"/>
      <c r="Y20" s="216"/>
      <c r="Z20" s="216"/>
      <c r="AA20" s="216">
        <f>'[9]New KPI vs BP'!$AN$20</f>
        <v>-2.0510781877509585E-2</v>
      </c>
      <c r="AB20" s="216"/>
      <c r="AC20" s="216"/>
      <c r="AD20" s="216"/>
      <c r="AE20" s="216"/>
      <c r="AF20" s="216"/>
      <c r="AG20" s="216"/>
      <c r="AH20" s="216"/>
    </row>
    <row r="21" spans="2:34" ht="18">
      <c r="B21" s="221"/>
      <c r="C21" s="261"/>
      <c r="D21" s="262"/>
      <c r="E21" s="262"/>
      <c r="F21" s="262"/>
      <c r="G21" s="262"/>
      <c r="H21" s="262"/>
      <c r="I21" s="262"/>
      <c r="J21" s="262"/>
      <c r="K21" s="262"/>
      <c r="L21" s="262"/>
      <c r="M21" s="262"/>
      <c r="N21" s="262"/>
      <c r="O21" s="262"/>
      <c r="P21" s="262"/>
      <c r="Q21" s="262"/>
      <c r="R21" s="262"/>
      <c r="S21" s="221"/>
      <c r="T21" s="221"/>
      <c r="U21" s="221"/>
      <c r="V21" s="221"/>
      <c r="W21" s="221"/>
    </row>
    <row r="22" spans="2:34" ht="18">
      <c r="B22" s="216"/>
      <c r="C22" s="266"/>
      <c r="D22" s="267"/>
      <c r="E22" s="267"/>
      <c r="F22" s="267"/>
      <c r="G22" s="267"/>
      <c r="H22" s="267"/>
      <c r="I22" s="267"/>
      <c r="J22" s="267"/>
      <c r="K22" s="267"/>
      <c r="L22" s="267"/>
      <c r="M22" s="267"/>
      <c r="N22" s="267"/>
      <c r="O22" s="267"/>
      <c r="P22" s="267"/>
      <c r="Q22" s="267"/>
      <c r="R22" s="267"/>
      <c r="S22" s="216"/>
      <c r="T22" s="216"/>
      <c r="U22" s="216"/>
      <c r="V22" s="216"/>
      <c r="W22" s="216"/>
    </row>
    <row r="23" spans="2:34" ht="20.25">
      <c r="B23" s="221" t="s">
        <v>277</v>
      </c>
      <c r="C23" s="426" t="e">
        <f>C61</f>
        <v>#REF!</v>
      </c>
      <c r="D23" s="216"/>
      <c r="E23" s="216" t="s">
        <v>281</v>
      </c>
      <c r="F23" s="216" t="s">
        <v>274</v>
      </c>
      <c r="G23" s="216"/>
      <c r="H23" s="216"/>
      <c r="I23" s="273" t="s">
        <v>188</v>
      </c>
      <c r="J23" s="274"/>
      <c r="K23" s="274"/>
      <c r="L23" s="274"/>
      <c r="M23" s="275">
        <f>M19</f>
        <v>17.440121785955952</v>
      </c>
      <c r="N23" s="216"/>
      <c r="P23" s="273" t="s">
        <v>191</v>
      </c>
      <c r="Q23" s="274"/>
      <c r="R23" s="274"/>
      <c r="S23" s="294" t="e">
        <f>S19</f>
        <v>#REF!</v>
      </c>
      <c r="T23" s="216"/>
      <c r="U23" s="315">
        <f>-S67+S26</f>
        <v>-2.1941028231747675</v>
      </c>
      <c r="V23" s="216"/>
      <c r="W23" s="216"/>
      <c r="X23" s="263" t="s">
        <v>185</v>
      </c>
      <c r="Y23" s="264"/>
      <c r="Z23" s="264"/>
      <c r="AA23" s="265">
        <f>AD19</f>
        <v>0</v>
      </c>
      <c r="AC23" s="221"/>
      <c r="AE23" s="263" t="s">
        <v>186</v>
      </c>
      <c r="AF23" s="264"/>
      <c r="AG23" s="264"/>
      <c r="AH23" s="265" t="e">
        <f>AH19</f>
        <v>#REF!</v>
      </c>
    </row>
    <row r="24" spans="2:34" ht="18">
      <c r="B24" s="216" t="s">
        <v>278</v>
      </c>
      <c r="C24" s="426" t="e">
        <f>-'Summary month'!AA64</f>
        <v>#VALUE!</v>
      </c>
      <c r="D24" s="216"/>
      <c r="E24" s="412" t="e">
        <f>C24-F24</f>
        <v>#VALUE!</v>
      </c>
      <c r="F24" s="411">
        <v>0.73312859726109303</v>
      </c>
      <c r="G24" s="216"/>
      <c r="H24" s="216"/>
      <c r="I24" s="279">
        <v>1</v>
      </c>
      <c r="J24" s="269" t="str">
        <f t="shared" ref="J24:J30" si="1">J66</f>
        <v>Inventory mvnt</v>
      </c>
      <c r="K24" s="270"/>
      <c r="L24" s="270"/>
      <c r="M24" s="280">
        <f t="shared" ref="M24:M30" si="2">M66</f>
        <v>3.5</v>
      </c>
      <c r="N24" s="216"/>
      <c r="P24" s="279">
        <v>1</v>
      </c>
      <c r="Q24" s="269" t="s">
        <v>193</v>
      </c>
      <c r="R24" s="270"/>
      <c r="S24" s="280" t="e">
        <f>S66</f>
        <v>#REF!</v>
      </c>
      <c r="T24" s="216"/>
      <c r="U24" s="216"/>
      <c r="V24" s="216"/>
      <c r="W24" s="216"/>
      <c r="X24" s="268">
        <v>1</v>
      </c>
      <c r="Y24" s="269" t="str">
        <f>Y66</f>
        <v>Capacity reservation</v>
      </c>
      <c r="Z24" s="270"/>
      <c r="AA24" s="271">
        <f>AA66</f>
        <v>0.9633100537543996</v>
      </c>
      <c r="AC24" s="216"/>
      <c r="AE24" s="268">
        <v>1</v>
      </c>
      <c r="AF24" s="269" t="s">
        <v>187</v>
      </c>
      <c r="AG24" s="270"/>
      <c r="AH24" s="271">
        <f>AH66</f>
        <v>0.37603900000004264</v>
      </c>
    </row>
    <row r="25" spans="2:34" ht="18">
      <c r="B25" s="216" t="s">
        <v>279</v>
      </c>
      <c r="C25" s="427">
        <f>-'Summary month'!AA69</f>
        <v>0</v>
      </c>
      <c r="D25" s="216"/>
      <c r="E25" s="216"/>
      <c r="F25" s="216"/>
      <c r="G25" s="216"/>
      <c r="H25" s="216"/>
      <c r="I25" s="279">
        <v>2</v>
      </c>
      <c r="J25" s="276" t="str">
        <f t="shared" si="1"/>
        <v>Supplier claims</v>
      </c>
      <c r="K25" s="277"/>
      <c r="L25" s="277"/>
      <c r="M25" s="281">
        <f t="shared" si="2"/>
        <v>10</v>
      </c>
      <c r="N25" s="216"/>
      <c r="P25" s="279">
        <v>2</v>
      </c>
      <c r="Q25" s="276" t="s">
        <v>195</v>
      </c>
      <c r="R25" s="277"/>
      <c r="S25" s="281">
        <f>S68</f>
        <v>-27.343977988545884</v>
      </c>
      <c r="T25" s="216"/>
      <c r="U25" s="216"/>
      <c r="V25" s="216"/>
      <c r="W25" s="216"/>
      <c r="X25" s="268">
        <v>2</v>
      </c>
      <c r="Y25" s="276" t="str">
        <f>Y67</f>
        <v>Non-funct R&amp;D</v>
      </c>
      <c r="Z25" s="277"/>
      <c r="AA25" s="278">
        <f>AA67</f>
        <v>1.3802265889999998</v>
      </c>
      <c r="AC25" s="216"/>
      <c r="AE25" s="268">
        <v>2</v>
      </c>
      <c r="AF25" s="276"/>
      <c r="AG25" s="277"/>
      <c r="AH25" s="278"/>
    </row>
    <row r="26" spans="2:34" ht="18">
      <c r="B26" s="216" t="s">
        <v>280</v>
      </c>
      <c r="C26" s="438" t="e">
        <f>J10-N9</f>
        <v>#REF!</v>
      </c>
      <c r="D26" s="216"/>
      <c r="E26" s="216"/>
      <c r="F26" s="216"/>
      <c r="G26" s="216"/>
      <c r="H26" s="216"/>
      <c r="I26" s="279">
        <v>3</v>
      </c>
      <c r="J26" s="276" t="str">
        <f t="shared" si="1"/>
        <v>Parts business</v>
      </c>
      <c r="K26" s="277"/>
      <c r="L26" s="277"/>
      <c r="M26" s="281">
        <f t="shared" si="2"/>
        <v>5</v>
      </c>
      <c r="N26" s="216"/>
      <c r="P26" s="279">
        <v>3</v>
      </c>
      <c r="Q26" s="276" t="s">
        <v>58</v>
      </c>
      <c r="R26" s="277"/>
      <c r="S26" s="278">
        <f>-'Summary month'!AA71</f>
        <v>0</v>
      </c>
      <c r="T26" s="216"/>
      <c r="U26" s="216"/>
      <c r="V26" s="216"/>
      <c r="W26" s="216"/>
      <c r="X26" s="268">
        <v>3</v>
      </c>
      <c r="Y26" s="276"/>
      <c r="Z26" s="277"/>
      <c r="AA26" s="278"/>
      <c r="AC26" s="216"/>
      <c r="AE26" s="268">
        <v>3</v>
      </c>
      <c r="AF26" s="276"/>
      <c r="AG26" s="277"/>
      <c r="AH26" s="278"/>
    </row>
    <row r="27" spans="2:34" ht="18">
      <c r="B27" s="216"/>
      <c r="C27" s="216"/>
      <c r="D27" s="272"/>
      <c r="E27" s="272"/>
      <c r="F27" s="272"/>
      <c r="G27" s="272"/>
      <c r="H27" s="272"/>
      <c r="I27" s="279">
        <v>4</v>
      </c>
      <c r="J27" s="276" t="str">
        <f t="shared" si="1"/>
        <v>X-badges TP</v>
      </c>
      <c r="K27" s="277"/>
      <c r="L27" s="277"/>
      <c r="M27" s="281">
        <f t="shared" si="2"/>
        <v>-2.3890176169999999</v>
      </c>
      <c r="N27" s="216"/>
      <c r="P27" s="279">
        <v>4</v>
      </c>
      <c r="Q27" s="276"/>
      <c r="R27" s="277"/>
      <c r="S27" s="281"/>
      <c r="T27" s="216"/>
      <c r="U27" s="216"/>
      <c r="V27" s="216"/>
      <c r="W27" s="216"/>
      <c r="X27" s="268">
        <v>4</v>
      </c>
      <c r="Y27" s="276"/>
      <c r="Z27" s="277"/>
      <c r="AA27" s="278"/>
      <c r="AC27" s="216"/>
      <c r="AE27" s="268">
        <v>4</v>
      </c>
      <c r="AF27" s="276"/>
      <c r="AG27" s="277"/>
      <c r="AH27" s="278"/>
    </row>
    <row r="28" spans="2:34" ht="18">
      <c r="B28" s="216"/>
      <c r="C28" s="272"/>
      <c r="D28" s="216"/>
      <c r="E28" s="216"/>
      <c r="F28" s="216"/>
      <c r="G28" s="216"/>
      <c r="H28" s="216"/>
      <c r="I28" s="279">
        <v>5</v>
      </c>
      <c r="J28" s="276" t="str">
        <f t="shared" si="1"/>
        <v>Duties for CBUs</v>
      </c>
      <c r="K28" s="277"/>
      <c r="L28" s="277"/>
      <c r="M28" s="281">
        <f t="shared" si="2"/>
        <v>-0.44323456299999997</v>
      </c>
      <c r="N28" s="216"/>
      <c r="P28" s="279">
        <v>5</v>
      </c>
      <c r="Q28" s="276"/>
      <c r="R28" s="277"/>
      <c r="S28" s="281"/>
      <c r="T28" s="216"/>
      <c r="U28" s="216"/>
      <c r="V28" s="216"/>
      <c r="W28" s="216"/>
      <c r="X28" s="282">
        <v>5</v>
      </c>
      <c r="Y28" s="283" t="s">
        <v>182</v>
      </c>
      <c r="Z28" s="284"/>
      <c r="AA28" s="285">
        <f>AA23-SUM(AA24:AA27)</f>
        <v>-2.3435366427543993</v>
      </c>
      <c r="AC28" s="216"/>
      <c r="AE28" s="282">
        <v>5</v>
      </c>
      <c r="AF28" s="283" t="s">
        <v>182</v>
      </c>
      <c r="AG28" s="284"/>
      <c r="AH28" s="285" t="e">
        <f>AH23-SUM(AH24:AH27)</f>
        <v>#REF!</v>
      </c>
    </row>
    <row r="29" spans="2:34" ht="18">
      <c r="B29" s="216"/>
      <c r="C29" s="272"/>
      <c r="D29" s="216"/>
      <c r="E29" s="216"/>
      <c r="F29" s="216"/>
      <c r="G29" s="216"/>
      <c r="H29" s="216"/>
      <c r="I29" s="279">
        <v>6</v>
      </c>
      <c r="J29" s="276" t="str">
        <f t="shared" si="1"/>
        <v>Outbound logistics</v>
      </c>
      <c r="K29" s="277"/>
      <c r="L29" s="277"/>
      <c r="M29" s="281">
        <f t="shared" si="2"/>
        <v>1.0747578370000004</v>
      </c>
      <c r="N29" s="216"/>
      <c r="P29" s="279">
        <v>6</v>
      </c>
      <c r="Q29" s="276"/>
      <c r="R29" s="277"/>
      <c r="S29" s="281"/>
      <c r="T29" s="216"/>
      <c r="U29" s="216"/>
      <c r="V29" s="216"/>
      <c r="W29" s="216"/>
      <c r="X29" s="216"/>
      <c r="Y29" s="216"/>
      <c r="Z29" s="216"/>
      <c r="AA29" s="286">
        <f>AA28-AA70</f>
        <v>0</v>
      </c>
      <c r="AC29" s="216"/>
      <c r="AD29" s="216"/>
      <c r="AE29" s="216"/>
      <c r="AF29" s="216"/>
      <c r="AG29" s="287"/>
      <c r="AH29" s="286" t="e">
        <f>AH28-AH70</f>
        <v>#REF!</v>
      </c>
    </row>
    <row r="30" spans="2:34" ht="18">
      <c r="B30" s="216"/>
      <c r="C30" s="272"/>
      <c r="D30" s="272"/>
      <c r="E30" s="216"/>
      <c r="F30" s="216"/>
      <c r="G30" s="216"/>
      <c r="H30" s="216"/>
      <c r="I30" s="279">
        <v>7</v>
      </c>
      <c r="J30" s="276" t="str">
        <f t="shared" si="1"/>
        <v>Micra SC</v>
      </c>
      <c r="K30" s="277"/>
      <c r="L30" s="277"/>
      <c r="M30" s="281">
        <f t="shared" si="2"/>
        <v>0.69599999999999995</v>
      </c>
      <c r="N30" s="216"/>
      <c r="P30" s="279">
        <v>7</v>
      </c>
      <c r="Q30" s="276"/>
      <c r="R30" s="277"/>
      <c r="S30" s="281"/>
      <c r="T30" s="216"/>
      <c r="U30" s="216"/>
      <c r="V30" s="216"/>
      <c r="W30" s="216"/>
      <c r="X30" s="216"/>
      <c r="Y30" s="216"/>
      <c r="Z30" s="216"/>
      <c r="AA30" s="216"/>
      <c r="AB30" s="216"/>
      <c r="AC30" s="216"/>
      <c r="AD30" s="216"/>
      <c r="AE30" s="216"/>
      <c r="AF30" s="216"/>
      <c r="AG30" s="216"/>
      <c r="AH30" s="216"/>
    </row>
    <row r="31" spans="2:34" ht="18">
      <c r="B31" s="216"/>
      <c r="C31" s="291"/>
      <c r="D31" s="216"/>
      <c r="E31" s="216"/>
      <c r="F31" s="292" t="s">
        <v>189</v>
      </c>
      <c r="G31" s="216"/>
      <c r="H31" s="216"/>
      <c r="I31" s="279">
        <v>8</v>
      </c>
      <c r="J31" s="276"/>
      <c r="K31" s="277"/>
      <c r="L31" s="277"/>
      <c r="M31" s="281"/>
      <c r="N31" s="216"/>
      <c r="P31" s="279">
        <v>8</v>
      </c>
      <c r="Q31" s="276"/>
      <c r="R31" s="277"/>
      <c r="S31" s="278"/>
      <c r="T31" s="216"/>
      <c r="U31" s="216"/>
      <c r="V31" s="216"/>
      <c r="W31" s="216"/>
      <c r="X31" s="216"/>
      <c r="Y31" s="216"/>
      <c r="Z31" s="216"/>
      <c r="AA31" s="216"/>
      <c r="AB31" s="216"/>
      <c r="AC31" s="216"/>
      <c r="AD31" s="216"/>
      <c r="AE31" s="216"/>
      <c r="AF31" s="216"/>
      <c r="AG31" s="216"/>
      <c r="AH31" s="216"/>
    </row>
    <row r="32" spans="2:34" ht="18">
      <c r="B32" s="216"/>
      <c r="C32" s="216"/>
      <c r="D32" s="293" t="s">
        <v>63</v>
      </c>
      <c r="E32" s="293" t="s">
        <v>287</v>
      </c>
      <c r="F32" s="293" t="s">
        <v>190</v>
      </c>
      <c r="G32" s="216"/>
      <c r="H32" s="216"/>
      <c r="I32" s="288">
        <v>5</v>
      </c>
      <c r="J32" s="289" t="s">
        <v>182</v>
      </c>
      <c r="K32" s="284"/>
      <c r="L32" s="284"/>
      <c r="M32" s="290">
        <f>M23-SUM(M24:M31)</f>
        <v>1.6161289559519787E-3</v>
      </c>
      <c r="N32" s="216"/>
      <c r="P32" s="279">
        <v>9</v>
      </c>
      <c r="Q32" s="276"/>
      <c r="R32" s="277"/>
      <c r="S32" s="278"/>
      <c r="T32" s="216"/>
      <c r="U32" s="272"/>
      <c r="V32" s="272"/>
      <c r="W32" s="272"/>
      <c r="X32" s="216"/>
      <c r="Y32" s="216"/>
      <c r="Z32" s="216"/>
      <c r="AA32" s="216"/>
      <c r="AB32" s="216"/>
      <c r="AC32" s="216"/>
      <c r="AD32" s="216"/>
      <c r="AE32" s="216"/>
      <c r="AF32" s="216"/>
      <c r="AG32" s="216"/>
      <c r="AH32" s="216"/>
    </row>
    <row r="33" spans="2:34" ht="20.25">
      <c r="B33" s="216"/>
      <c r="C33" s="295" t="s">
        <v>192</v>
      </c>
      <c r="D33" s="296">
        <f>'[9]P&amp;L vs BP'!$AC$24</f>
        <v>100251</v>
      </c>
      <c r="E33" s="296">
        <f>'QTD VA vs BP'!E33</f>
        <v>82846</v>
      </c>
      <c r="F33" s="296">
        <f>E33-D33</f>
        <v>-17405</v>
      </c>
      <c r="G33" s="216"/>
      <c r="H33" s="216"/>
      <c r="I33" s="216"/>
      <c r="J33" s="216"/>
      <c r="K33" s="216"/>
      <c r="L33" s="216"/>
      <c r="M33" s="286">
        <f>M32-M74</f>
        <v>0</v>
      </c>
      <c r="N33" s="216"/>
      <c r="P33" s="288">
        <v>10</v>
      </c>
      <c r="Q33" s="283" t="s">
        <v>182</v>
      </c>
      <c r="R33" s="284"/>
      <c r="S33" s="285" t="e">
        <f>S23-SUM(S24:S32)</f>
        <v>#REF!</v>
      </c>
      <c r="T33" s="216"/>
      <c r="U33" s="216"/>
      <c r="V33" s="216"/>
      <c r="W33" s="216"/>
      <c r="X33" s="297"/>
      <c r="Y33" s="216"/>
      <c r="Z33" s="216"/>
      <c r="AA33" s="216"/>
      <c r="AB33" s="216"/>
      <c r="AC33" s="216"/>
      <c r="AD33" s="216"/>
      <c r="AE33" s="216"/>
      <c r="AF33" s="216"/>
      <c r="AG33" s="216"/>
      <c r="AH33" s="216"/>
    </row>
    <row r="34" spans="2:34" ht="20.25">
      <c r="B34" s="216"/>
      <c r="C34" s="295" t="s">
        <v>194</v>
      </c>
      <c r="D34" s="296">
        <f>'[9]P&amp;L vs BP'!$AC$27</f>
        <v>2927</v>
      </c>
      <c r="E34" s="296">
        <f>'QTD VA vs BP'!E34</f>
        <v>2953</v>
      </c>
      <c r="F34" s="296">
        <f>E34-D34</f>
        <v>26</v>
      </c>
      <c r="G34" s="216"/>
      <c r="H34" s="216"/>
      <c r="I34" s="216"/>
      <c r="J34" s="216"/>
      <c r="K34" s="216"/>
      <c r="L34" s="216"/>
      <c r="M34" s="216"/>
      <c r="N34" s="216"/>
      <c r="O34" s="216"/>
      <c r="P34" s="216"/>
      <c r="Q34" s="216"/>
      <c r="R34" s="216"/>
      <c r="S34" s="286" t="e">
        <f>S33-S75</f>
        <v>#REF!</v>
      </c>
      <c r="T34" s="216"/>
      <c r="U34" s="216"/>
      <c r="V34" s="216"/>
      <c r="W34" s="216"/>
      <c r="X34" s="216"/>
      <c r="Y34" s="216"/>
      <c r="Z34" s="216"/>
      <c r="AA34" s="216"/>
      <c r="AB34" s="216"/>
      <c r="AC34" s="216"/>
      <c r="AD34" s="216"/>
      <c r="AE34" s="216"/>
      <c r="AF34" s="216"/>
      <c r="AG34" s="216"/>
      <c r="AH34" s="216"/>
    </row>
    <row r="35" spans="2:34">
      <c r="B35" s="216"/>
      <c r="C35" s="216"/>
      <c r="D35" s="298"/>
      <c r="E35" s="298"/>
      <c r="F35" s="298"/>
      <c r="G35" s="216"/>
      <c r="H35" s="216"/>
      <c r="I35" s="216"/>
      <c r="J35" s="216"/>
      <c r="K35" s="216"/>
      <c r="L35" s="216"/>
      <c r="M35" s="216"/>
      <c r="N35" s="216"/>
      <c r="T35" s="216"/>
      <c r="U35" s="216"/>
      <c r="V35" s="216"/>
      <c r="W35" s="216"/>
      <c r="X35" s="216"/>
      <c r="Y35" s="216"/>
      <c r="Z35" s="216"/>
      <c r="AA35" s="216"/>
      <c r="AB35" s="216"/>
      <c r="AC35" s="216"/>
      <c r="AD35" s="216"/>
      <c r="AE35" s="216"/>
      <c r="AF35" s="216"/>
      <c r="AG35" s="216"/>
      <c r="AH35" s="216"/>
    </row>
    <row r="36" spans="2:34" ht="20.25">
      <c r="B36" s="216"/>
      <c r="C36" s="295" t="s">
        <v>196</v>
      </c>
      <c r="D36" s="296">
        <f>'[9]P&amp;L vs BP'!$AC$18</f>
        <v>75094</v>
      </c>
      <c r="E36" s="296">
        <f>'QTD VA vs BP'!E36</f>
        <v>60757</v>
      </c>
      <c r="F36" s="296">
        <f>E36-D36</f>
        <v>-14337</v>
      </c>
      <c r="G36" s="216"/>
      <c r="H36" s="216"/>
      <c r="I36" s="216"/>
      <c r="J36" s="216"/>
      <c r="K36" s="216"/>
      <c r="L36" s="216"/>
      <c r="M36" s="216"/>
      <c r="N36" s="216"/>
      <c r="T36" s="216"/>
      <c r="U36" s="216"/>
      <c r="V36" s="216"/>
      <c r="W36" s="216"/>
      <c r="X36" s="216"/>
      <c r="Y36" s="216"/>
      <c r="Z36" s="216"/>
      <c r="AA36" s="216"/>
      <c r="AB36" s="216"/>
      <c r="AC36" s="216"/>
      <c r="AD36" s="216"/>
      <c r="AE36" s="216"/>
      <c r="AF36" s="216"/>
      <c r="AG36" s="216"/>
      <c r="AH36" s="216"/>
    </row>
    <row r="37" spans="2:34">
      <c r="B37" s="216"/>
      <c r="C37" s="216"/>
      <c r="D37" s="216"/>
      <c r="E37" s="216"/>
      <c r="F37" s="216"/>
      <c r="G37" s="216"/>
      <c r="H37" s="216"/>
      <c r="I37" s="216"/>
      <c r="J37" s="216"/>
      <c r="K37" s="216"/>
      <c r="L37" s="216"/>
      <c r="M37" s="216"/>
      <c r="N37" s="216"/>
      <c r="T37" s="216"/>
      <c r="U37" s="216"/>
      <c r="V37" s="216"/>
      <c r="W37" s="216"/>
      <c r="X37" s="216"/>
      <c r="Y37" s="216"/>
      <c r="Z37" s="216"/>
      <c r="AA37" s="216"/>
      <c r="AB37" s="216"/>
      <c r="AC37" s="216"/>
      <c r="AD37" s="216"/>
      <c r="AE37" s="216"/>
      <c r="AF37" s="216"/>
      <c r="AG37" s="216"/>
      <c r="AH37" s="216"/>
    </row>
    <row r="38" spans="2:34">
      <c r="B38" s="216"/>
      <c r="C38" s="216"/>
      <c r="D38" s="216"/>
      <c r="E38" s="216"/>
      <c r="F38" s="216"/>
      <c r="G38" s="216"/>
      <c r="H38" s="216"/>
      <c r="I38" s="216"/>
      <c r="J38" s="216"/>
      <c r="K38" s="216"/>
      <c r="L38" s="216"/>
      <c r="M38" s="216"/>
      <c r="N38" s="216"/>
      <c r="T38" s="216"/>
      <c r="U38" s="216"/>
      <c r="V38" s="216"/>
      <c r="W38" s="216"/>
      <c r="X38" s="216"/>
      <c r="Y38" s="216"/>
      <c r="Z38" s="216"/>
      <c r="AA38" s="216"/>
      <c r="AB38" s="216"/>
      <c r="AC38" s="216"/>
      <c r="AD38" s="216"/>
      <c r="AE38" s="216"/>
      <c r="AF38" s="216"/>
      <c r="AG38" s="216"/>
      <c r="AH38" s="216"/>
    </row>
    <row r="39" spans="2:34">
      <c r="B39" s="216"/>
      <c r="C39" s="216"/>
      <c r="D39" s="216"/>
      <c r="E39" s="216"/>
      <c r="F39" s="216"/>
      <c r="G39" s="216"/>
      <c r="H39" s="216"/>
      <c r="I39" s="216"/>
      <c r="J39" s="216"/>
      <c r="K39" s="216"/>
      <c r="L39" s="216"/>
      <c r="M39" s="216"/>
      <c r="N39" s="216"/>
      <c r="T39" s="216"/>
      <c r="U39" s="216"/>
      <c r="V39" s="216"/>
      <c r="W39" s="216"/>
      <c r="X39" s="216"/>
      <c r="Y39" s="216"/>
      <c r="Z39" s="216"/>
      <c r="AA39" s="216"/>
      <c r="AB39" s="216"/>
      <c r="AC39" s="216"/>
      <c r="AD39" s="216"/>
      <c r="AE39" s="216"/>
      <c r="AF39" s="216"/>
      <c r="AG39" s="216"/>
      <c r="AH39" s="216"/>
    </row>
    <row r="40" spans="2:34">
      <c r="B40" s="216"/>
      <c r="C40" s="216"/>
      <c r="D40" s="216"/>
      <c r="E40" s="216"/>
      <c r="F40" s="216"/>
      <c r="G40" s="216"/>
      <c r="H40" s="216"/>
      <c r="I40" s="216"/>
      <c r="J40" s="216"/>
      <c r="K40" s="216"/>
      <c r="L40" s="216"/>
      <c r="M40" s="216"/>
      <c r="N40" s="216"/>
      <c r="T40" s="216"/>
      <c r="U40" s="216"/>
      <c r="V40" s="216"/>
      <c r="W40" s="216"/>
      <c r="X40" s="216"/>
      <c r="Y40" s="216"/>
      <c r="Z40" s="216"/>
      <c r="AA40" s="216"/>
      <c r="AB40" s="216"/>
      <c r="AC40" s="216"/>
      <c r="AD40" s="216"/>
      <c r="AE40" s="216"/>
      <c r="AF40" s="216"/>
      <c r="AG40" s="216"/>
      <c r="AH40" s="216"/>
    </row>
    <row r="41" spans="2:34">
      <c r="B41" s="216"/>
      <c r="C41" s="216"/>
      <c r="D41" s="216"/>
      <c r="E41" s="216"/>
      <c r="F41" s="216"/>
      <c r="G41" s="216"/>
      <c r="H41" s="216"/>
      <c r="I41" s="216"/>
      <c r="J41" s="216"/>
      <c r="K41" s="216"/>
      <c r="L41" s="216"/>
      <c r="M41" s="216"/>
      <c r="N41" s="216"/>
      <c r="T41" s="216"/>
      <c r="U41" s="216"/>
      <c r="V41" s="216"/>
      <c r="W41" s="216"/>
      <c r="X41" s="216"/>
      <c r="Y41" s="216"/>
      <c r="Z41" s="216"/>
      <c r="AA41" s="216"/>
      <c r="AB41" s="216"/>
      <c r="AC41" s="216"/>
      <c r="AD41" s="216"/>
      <c r="AE41" s="216"/>
      <c r="AF41" s="216"/>
      <c r="AG41" s="216"/>
      <c r="AH41" s="216"/>
    </row>
    <row r="42" spans="2:34">
      <c r="B42" s="216"/>
      <c r="C42" s="216"/>
      <c r="D42" s="216"/>
      <c r="E42" s="216"/>
      <c r="F42" s="216"/>
      <c r="G42" s="216"/>
      <c r="H42" s="216"/>
      <c r="I42" s="216"/>
      <c r="J42" s="216"/>
      <c r="K42" s="216"/>
      <c r="L42" s="216"/>
      <c r="M42" s="216"/>
      <c r="N42" s="216"/>
      <c r="T42" s="216"/>
      <c r="U42" s="216"/>
      <c r="V42" s="216"/>
      <c r="W42" s="216"/>
      <c r="X42" s="216"/>
      <c r="Y42" s="216"/>
      <c r="Z42" s="216"/>
      <c r="AA42" s="216"/>
      <c r="AB42" s="216"/>
      <c r="AC42" s="216"/>
      <c r="AD42" s="216"/>
      <c r="AE42" s="216"/>
      <c r="AF42" s="216"/>
      <c r="AG42" s="216"/>
      <c r="AH42" s="216"/>
    </row>
    <row r="43" spans="2:34">
      <c r="B43" s="216"/>
      <c r="C43" s="216"/>
      <c r="D43" s="216"/>
      <c r="E43" s="216"/>
      <c r="F43" s="216"/>
      <c r="G43" s="216"/>
      <c r="H43" s="216"/>
      <c r="I43" s="216"/>
      <c r="J43" s="216"/>
      <c r="K43" s="216"/>
      <c r="L43" s="216"/>
      <c r="M43" s="216"/>
      <c r="N43" s="216"/>
      <c r="T43" s="286"/>
      <c r="U43" s="216"/>
      <c r="V43" s="216"/>
      <c r="W43" s="216"/>
      <c r="X43" s="216"/>
      <c r="Y43" s="216"/>
      <c r="Z43" s="216"/>
      <c r="AA43" s="216"/>
      <c r="AB43" s="216"/>
      <c r="AC43" s="216"/>
      <c r="AD43" s="216"/>
      <c r="AE43" s="216"/>
      <c r="AF43" s="216"/>
      <c r="AG43" s="216"/>
      <c r="AH43" s="216"/>
    </row>
    <row r="44" spans="2:34" ht="28.5">
      <c r="B44" s="299" t="s">
        <v>197</v>
      </c>
      <c r="C44" s="216"/>
      <c r="D44" s="216"/>
      <c r="E44" s="216"/>
      <c r="F44" s="216"/>
      <c r="G44" s="216"/>
      <c r="H44" s="216"/>
      <c r="I44" s="216"/>
      <c r="J44" s="216"/>
      <c r="K44" s="216"/>
      <c r="L44" s="216"/>
      <c r="M44" s="216"/>
      <c r="N44" s="216"/>
      <c r="O44" s="216"/>
      <c r="P44" s="216"/>
      <c r="Q44" s="216"/>
      <c r="R44" s="216"/>
      <c r="S44" s="216"/>
      <c r="T44" s="216"/>
      <c r="U44" s="216"/>
      <c r="V44" s="216"/>
      <c r="W44" s="216"/>
      <c r="X44" s="216"/>
      <c r="Y44" s="216"/>
      <c r="Z44" s="216"/>
      <c r="AA44" s="216"/>
      <c r="AB44" s="216"/>
      <c r="AC44" s="216"/>
      <c r="AD44" s="216"/>
      <c r="AE44" s="216"/>
      <c r="AF44" s="216"/>
      <c r="AG44" s="216"/>
      <c r="AH44" s="216"/>
    </row>
    <row r="45" spans="2:34">
      <c r="B45" s="216"/>
      <c r="C45" s="216"/>
      <c r="D45" s="216"/>
      <c r="E45" s="216"/>
      <c r="F45" s="216"/>
      <c r="G45" s="216"/>
      <c r="H45" s="216"/>
      <c r="I45" s="216"/>
      <c r="J45" s="216"/>
      <c r="K45" s="216"/>
      <c r="L45" s="216"/>
      <c r="M45" s="216"/>
      <c r="N45" s="216"/>
      <c r="O45" s="216"/>
      <c r="P45" s="216"/>
      <c r="Q45" s="216"/>
      <c r="R45" s="216"/>
      <c r="S45" s="216"/>
      <c r="T45" s="216"/>
      <c r="U45" s="216"/>
      <c r="V45" s="216"/>
      <c r="W45" s="216"/>
      <c r="X45" s="216"/>
      <c r="Y45" s="216"/>
      <c r="Z45" s="216"/>
      <c r="AA45" s="216"/>
      <c r="AB45" s="216"/>
      <c r="AC45" s="216"/>
      <c r="AD45" s="216"/>
      <c r="AE45" s="216"/>
      <c r="AF45" s="216"/>
      <c r="AG45" s="216"/>
      <c r="AH45" s="216"/>
    </row>
    <row r="46" spans="2:34">
      <c r="B46" s="216"/>
      <c r="C46" s="216"/>
      <c r="D46" s="216"/>
      <c r="E46" s="216"/>
      <c r="F46" s="216"/>
      <c r="G46" s="216"/>
      <c r="H46" s="216"/>
      <c r="I46" s="216"/>
      <c r="J46" s="216"/>
      <c r="K46" s="216"/>
      <c r="L46" s="216"/>
      <c r="M46" s="216"/>
      <c r="N46" s="216"/>
      <c r="O46" s="216"/>
      <c r="P46" s="216"/>
      <c r="Q46" s="216"/>
      <c r="R46" s="216"/>
      <c r="S46" s="216"/>
      <c r="T46" s="216"/>
      <c r="U46" s="216"/>
      <c r="V46" s="216"/>
      <c r="W46" s="216"/>
      <c r="X46" s="216"/>
      <c r="Y46" s="216"/>
      <c r="Z46" s="216"/>
      <c r="AA46" s="216"/>
      <c r="AB46" s="216"/>
      <c r="AC46" s="216"/>
      <c r="AD46" s="216"/>
      <c r="AE46" s="216"/>
      <c r="AF46" s="216"/>
      <c r="AG46" s="216"/>
      <c r="AH46" s="216"/>
    </row>
    <row r="47" spans="2:34" ht="20.25">
      <c r="B47" s="216"/>
      <c r="C47" s="226" t="str">
        <f>B52</f>
        <v>FC QTD</v>
      </c>
      <c r="D47" s="226" t="str">
        <f>C52</f>
        <v>Act QTD</v>
      </c>
      <c r="E47" s="226" t="s">
        <v>320</v>
      </c>
      <c r="F47" s="226" t="s">
        <v>321</v>
      </c>
      <c r="G47" s="226" t="s">
        <v>322</v>
      </c>
      <c r="H47" s="292" t="s">
        <v>323</v>
      </c>
      <c r="I47" s="216"/>
      <c r="J47" s="216"/>
      <c r="K47" s="216"/>
      <c r="L47" s="216"/>
      <c r="M47" s="216"/>
      <c r="N47" s="216"/>
      <c r="O47" s="216"/>
      <c r="P47" s="216"/>
      <c r="Q47" s="216"/>
      <c r="R47" s="216"/>
      <c r="S47" s="216"/>
      <c r="T47" s="216"/>
      <c r="U47" s="216"/>
      <c r="V47" s="216"/>
      <c r="W47" s="216"/>
      <c r="X47" s="216"/>
      <c r="Y47" s="216"/>
      <c r="Z47" s="216"/>
      <c r="AA47" s="216"/>
      <c r="AB47" s="216"/>
      <c r="AC47" s="216"/>
      <c r="AD47" s="216"/>
      <c r="AE47" s="216"/>
      <c r="AF47" s="216"/>
      <c r="AG47" s="216"/>
      <c r="AH47" s="216"/>
    </row>
    <row r="48" spans="2:34" ht="20.25">
      <c r="B48" s="226" t="s">
        <v>324</v>
      </c>
      <c r="C48" s="229" t="e">
        <f>'Summary month'!W27</f>
        <v>#VALUE!</v>
      </c>
      <c r="D48" s="229">
        <f>'Summary month'!I27</f>
        <v>86.083619587646751</v>
      </c>
      <c r="E48" s="226" t="e">
        <f>+D48-C48</f>
        <v>#VALUE!</v>
      </c>
      <c r="F48" s="226" t="e">
        <f>B61</f>
        <v>#REF!</v>
      </c>
      <c r="G48" s="226" t="e">
        <f>SUM(C61:S61)</f>
        <v>#REF!</v>
      </c>
      <c r="H48" s="502" t="e">
        <f>E48-F48-G48</f>
        <v>#VALUE!</v>
      </c>
      <c r="I48" s="216"/>
      <c r="J48" s="216"/>
      <c r="K48" s="216"/>
      <c r="L48" s="216"/>
      <c r="M48" s="216"/>
      <c r="N48" s="216"/>
      <c r="O48" s="216"/>
      <c r="P48" s="216"/>
      <c r="Q48" s="216"/>
      <c r="R48" s="216"/>
      <c r="S48" s="216"/>
      <c r="T48" s="216"/>
      <c r="U48" s="216"/>
      <c r="V48" s="216"/>
      <c r="W48" s="216"/>
      <c r="X48" s="216"/>
      <c r="Y48" s="216"/>
      <c r="Z48" s="216"/>
      <c r="AA48" s="216"/>
      <c r="AB48" s="216"/>
      <c r="AC48" s="216"/>
      <c r="AD48" s="216"/>
      <c r="AE48" s="216"/>
      <c r="AF48" s="216"/>
      <c r="AG48" s="216"/>
      <c r="AH48" s="216"/>
    </row>
    <row r="49" spans="2:34" ht="20.25">
      <c r="B49" s="226" t="s">
        <v>325</v>
      </c>
      <c r="C49" s="229">
        <f>'Summary month'!W46</f>
        <v>-128.47130442265512</v>
      </c>
      <c r="D49" s="229">
        <f>'Summary month'!I46</f>
        <v>-128.47130442265509</v>
      </c>
      <c r="E49" s="226">
        <f>+D49-C49</f>
        <v>0</v>
      </c>
      <c r="F49" s="226" t="e">
        <f>T61</f>
        <v>#REF!</v>
      </c>
      <c r="G49" s="226" t="e">
        <f>SUM(U61:AH61)</f>
        <v>#REF!</v>
      </c>
      <c r="H49" s="502" t="e">
        <f>E49-F49-G49</f>
        <v>#REF!</v>
      </c>
      <c r="I49" s="216"/>
      <c r="J49" s="216"/>
      <c r="K49" s="216"/>
      <c r="L49" s="216"/>
      <c r="M49" s="216"/>
      <c r="N49" s="216"/>
      <c r="O49" s="216"/>
      <c r="P49" s="216"/>
      <c r="Q49" s="216"/>
      <c r="R49" s="216"/>
      <c r="S49" s="216"/>
      <c r="T49" s="216"/>
      <c r="U49" s="216"/>
      <c r="V49" s="216"/>
      <c r="W49" s="216"/>
      <c r="X49" s="216"/>
      <c r="Y49" s="216"/>
      <c r="Z49" s="216"/>
      <c r="AA49" s="216"/>
      <c r="AB49" s="216"/>
      <c r="AC49" s="216"/>
      <c r="AD49" s="216"/>
      <c r="AE49" s="216"/>
      <c r="AF49" s="216"/>
      <c r="AG49" s="216"/>
      <c r="AH49" s="216"/>
    </row>
    <row r="50" spans="2:34" ht="20.25">
      <c r="B50" s="226" t="s">
        <v>326</v>
      </c>
      <c r="C50" s="226" t="e">
        <f>+C48+C49</f>
        <v>#VALUE!</v>
      </c>
      <c r="D50" s="226">
        <f>+D48+D49</f>
        <v>-42.387684835008343</v>
      </c>
      <c r="E50" s="226" t="e">
        <f>+D50-C50</f>
        <v>#VALUE!</v>
      </c>
      <c r="F50" s="226" t="e">
        <f>+E50-G50</f>
        <v>#VALUE!</v>
      </c>
      <c r="G50" s="226" t="e">
        <f>+G48+G49</f>
        <v>#REF!</v>
      </c>
      <c r="H50" s="502" t="e">
        <f>E50-F50-G50</f>
        <v>#VALUE!</v>
      </c>
      <c r="I50" s="216"/>
      <c r="J50" s="216"/>
      <c r="K50" s="216"/>
      <c r="L50" s="216"/>
      <c r="M50" s="216"/>
      <c r="N50" s="216"/>
      <c r="O50" s="216"/>
      <c r="P50" s="216"/>
      <c r="Q50" s="216"/>
      <c r="R50" s="216"/>
      <c r="S50" s="216"/>
      <c r="T50" s="216"/>
      <c r="U50" s="216"/>
      <c r="V50" s="216"/>
      <c r="W50" s="216"/>
      <c r="X50" s="216"/>
      <c r="Y50" s="216"/>
      <c r="Z50" s="216"/>
      <c r="AA50" s="216"/>
      <c r="AB50" s="216"/>
      <c r="AC50" s="216"/>
      <c r="AD50" s="216"/>
      <c r="AE50" s="216"/>
      <c r="AF50" s="216"/>
      <c r="AG50" s="216"/>
      <c r="AH50" s="216"/>
    </row>
    <row r="51" spans="2:34" ht="18">
      <c r="B51" s="215"/>
      <c r="C51" s="216"/>
      <c r="D51" s="215"/>
      <c r="E51" s="216"/>
      <c r="F51" s="215"/>
      <c r="G51" s="217" t="s">
        <v>138</v>
      </c>
      <c r="H51" s="216"/>
      <c r="I51" s="216"/>
      <c r="J51" s="216"/>
      <c r="K51" s="216"/>
      <c r="L51" s="216"/>
      <c r="M51" s="216"/>
      <c r="N51" s="216"/>
      <c r="O51" s="216"/>
      <c r="P51" s="216"/>
      <c r="Q51" s="216"/>
      <c r="R51" s="216"/>
      <c r="S51" s="216"/>
      <c r="T51" s="216"/>
      <c r="U51" s="216"/>
      <c r="V51" s="216"/>
      <c r="W51" s="216"/>
      <c r="X51" s="216"/>
      <c r="Y51" s="216"/>
      <c r="Z51" s="216"/>
      <c r="AA51" s="216"/>
      <c r="AB51" s="216"/>
      <c r="AC51" s="216"/>
      <c r="AD51" s="216"/>
      <c r="AE51" s="216"/>
      <c r="AF51" s="216"/>
      <c r="AG51" s="216"/>
      <c r="AH51" s="216"/>
    </row>
    <row r="52" spans="2:34" ht="20.100000000000001" customHeight="1">
      <c r="B52" s="1014" t="s">
        <v>215</v>
      </c>
      <c r="C52" s="1014" t="s">
        <v>214</v>
      </c>
      <c r="D52" s="218"/>
      <c r="E52" s="219"/>
      <c r="F52" s="219"/>
      <c r="G52" s="220"/>
      <c r="H52" s="216"/>
      <c r="I52" s="216"/>
      <c r="J52" s="216"/>
      <c r="K52" s="216"/>
      <c r="L52" s="216" t="s">
        <v>301</v>
      </c>
      <c r="M52" s="478" t="e">
        <f>SUM(E55:E57,G55)</f>
        <v>#REF!</v>
      </c>
      <c r="N52" s="216"/>
      <c r="O52" s="221"/>
      <c r="P52" s="221"/>
      <c r="Q52" s="221"/>
      <c r="R52" s="216"/>
      <c r="S52" s="216"/>
      <c r="T52" s="216"/>
      <c r="U52" s="216"/>
      <c r="V52" s="216"/>
      <c r="W52" s="221"/>
      <c r="X52" s="221"/>
      <c r="Y52" s="221"/>
      <c r="Z52" s="221"/>
      <c r="AA52" s="221"/>
      <c r="AB52" s="221"/>
      <c r="AC52" s="221"/>
      <c r="AD52" s="221"/>
      <c r="AE52" s="221"/>
      <c r="AF52" s="221"/>
      <c r="AG52" s="221"/>
      <c r="AH52" s="221"/>
    </row>
    <row r="53" spans="2:34" ht="40.5">
      <c r="B53" s="1015"/>
      <c r="C53" s="1016"/>
      <c r="D53" s="222"/>
      <c r="E53" s="223" t="s">
        <v>154</v>
      </c>
      <c r="F53" s="224" t="s">
        <v>198</v>
      </c>
      <c r="G53" s="225" t="s">
        <v>156</v>
      </c>
      <c r="H53" s="216"/>
      <c r="I53" s="216" t="s">
        <v>208</v>
      </c>
      <c r="J53" s="216"/>
      <c r="K53" s="216"/>
      <c r="L53" s="216" t="s">
        <v>302</v>
      </c>
      <c r="M53" s="334" t="e">
        <f>SUM(U62:AH62,AJ66:AK66)</f>
        <v>#REF!</v>
      </c>
      <c r="N53" s="216"/>
      <c r="O53" s="216"/>
      <c r="P53" s="216"/>
      <c r="Q53" s="216"/>
      <c r="R53" s="216"/>
      <c r="S53" s="216"/>
      <c r="T53" s="216"/>
      <c r="V53" s="216"/>
      <c r="W53" s="216"/>
      <c r="X53" s="216"/>
      <c r="Y53" s="216"/>
      <c r="Z53" s="216"/>
      <c r="AA53" s="216"/>
      <c r="AB53" s="216"/>
      <c r="AC53" s="407" t="s">
        <v>266</v>
      </c>
      <c r="AD53" s="408">
        <v>0.9633100537543996</v>
      </c>
      <c r="AE53" s="216"/>
      <c r="AF53" s="216"/>
      <c r="AG53" s="216"/>
      <c r="AH53" s="216"/>
    </row>
    <row r="54" spans="2:34" ht="20.25">
      <c r="B54" s="226" t="e">
        <f>'Summary month'!W47</f>
        <v>#VALUE!</v>
      </c>
      <c r="C54" s="226">
        <f>'Summary month'!I47</f>
        <v>-42.387684835008343</v>
      </c>
      <c r="D54" s="227" t="e">
        <f>C54-B54</f>
        <v>#VALUE!</v>
      </c>
      <c r="E54" s="228" t="e">
        <f>SUM(M52:M53)</f>
        <v>#REF!</v>
      </c>
      <c r="F54" s="229" t="e">
        <f>'Summary month'!AA27-M52</f>
        <v>#VALUE!</v>
      </c>
      <c r="G54" s="229" t="e">
        <f>'Summary month'!AA46-M53</f>
        <v>#REF!</v>
      </c>
      <c r="H54" s="216"/>
      <c r="I54" s="286" t="e">
        <f>SUM(E54:G54)-D54</f>
        <v>#REF!</v>
      </c>
      <c r="J54" s="216"/>
      <c r="K54" s="216"/>
      <c r="L54" s="216"/>
      <c r="M54" s="216"/>
      <c r="N54" s="216"/>
      <c r="O54" s="230"/>
      <c r="P54" s="216"/>
      <c r="Q54" s="216"/>
      <c r="R54" s="216"/>
      <c r="S54" s="216"/>
      <c r="T54" s="216"/>
      <c r="U54" s="216"/>
      <c r="V54" s="216"/>
      <c r="W54" s="230"/>
      <c r="X54" s="216"/>
      <c r="Y54" s="230"/>
      <c r="Z54" s="230"/>
      <c r="AA54" s="230"/>
      <c r="AB54" s="230"/>
      <c r="AC54" s="409" t="s">
        <v>269</v>
      </c>
      <c r="AD54" s="408">
        <f>4/1000</f>
        <v>4.0000000000000001E-3</v>
      </c>
      <c r="AE54" s="230"/>
      <c r="AF54" s="230"/>
      <c r="AG54" s="230"/>
      <c r="AH54" s="230"/>
    </row>
    <row r="55" spans="2:34">
      <c r="B55" s="216"/>
      <c r="C55" s="216"/>
      <c r="D55" s="216" t="s">
        <v>139</v>
      </c>
      <c r="E55" s="411" t="e">
        <f>#REF!+#REF!+#REF!</f>
        <v>#REF!</v>
      </c>
      <c r="F55" s="216" t="s">
        <v>193</v>
      </c>
      <c r="G55" s="320" t="e">
        <f>#REF!+#REF!+#REF!</f>
        <v>#REF!</v>
      </c>
      <c r="H55" s="216"/>
      <c r="I55" s="216"/>
      <c r="J55" s="216"/>
      <c r="K55" s="216"/>
      <c r="L55" s="216"/>
      <c r="M55" s="216"/>
      <c r="N55" s="216"/>
      <c r="O55" s="216"/>
      <c r="P55" s="216"/>
      <c r="Q55" s="216"/>
      <c r="R55" s="216"/>
      <c r="S55" s="216"/>
      <c r="T55" s="216"/>
      <c r="U55" s="216"/>
      <c r="V55" s="216"/>
      <c r="W55" s="216" t="s">
        <v>145</v>
      </c>
      <c r="X55" s="411" t="e">
        <f>#REF!-Y55</f>
        <v>#REF!</v>
      </c>
      <c r="Y55" s="411" t="e">
        <f>#REF!</f>
        <v>#REF!</v>
      </c>
      <c r="Z55" s="216"/>
      <c r="AA55" s="216"/>
      <c r="AB55" s="216"/>
      <c r="AC55" s="407" t="s">
        <v>141</v>
      </c>
      <c r="AD55" s="408">
        <v>1.3802265889999998</v>
      </c>
      <c r="AE55" s="216"/>
      <c r="AF55" s="216"/>
      <c r="AG55" s="216"/>
      <c r="AH55" s="216"/>
    </row>
    <row r="56" spans="2:34">
      <c r="B56" s="216"/>
      <c r="C56" s="216"/>
      <c r="D56" s="216" t="s">
        <v>200</v>
      </c>
      <c r="E56" s="411" t="e">
        <f>#REF!+#REF!</f>
        <v>#REF!</v>
      </c>
      <c r="F56" s="216"/>
      <c r="G56" s="216"/>
      <c r="H56" s="216"/>
      <c r="I56" s="216"/>
      <c r="J56" s="216"/>
      <c r="K56" s="216"/>
      <c r="L56" s="216"/>
      <c r="M56" s="216">
        <v>18.501616128955952</v>
      </c>
      <c r="N56" s="216"/>
      <c r="O56" s="216"/>
      <c r="P56" s="216"/>
      <c r="Q56" s="216"/>
      <c r="R56" s="216"/>
      <c r="S56" s="216"/>
      <c r="T56" s="216"/>
      <c r="W56" t="s">
        <v>193</v>
      </c>
      <c r="X56" s="412" t="e">
        <f>#REF!-Y56</f>
        <v>#REF!</v>
      </c>
      <c r="Y56" s="412" t="e">
        <f>#REF!</f>
        <v>#REF!</v>
      </c>
      <c r="AC56" s="407" t="s">
        <v>144</v>
      </c>
      <c r="AD56" s="417">
        <f>AD61-SUM(AD53:AD55)</f>
        <v>-2.3475366427543993</v>
      </c>
      <c r="AH56" s="216"/>
    </row>
    <row r="57" spans="2:34" ht="21" thickBot="1">
      <c r="B57" s="231" t="s">
        <v>157</v>
      </c>
      <c r="C57" s="232"/>
      <c r="D57" s="232" t="s">
        <v>145</v>
      </c>
      <c r="E57" s="440" t="e">
        <f>#REF!+#REF!+#REF!</f>
        <v>#REF!</v>
      </c>
      <c r="F57" s="232"/>
      <c r="G57" s="232"/>
      <c r="H57" s="232"/>
      <c r="I57" s="232"/>
      <c r="J57" s="232"/>
      <c r="K57" s="232"/>
      <c r="L57" s="232"/>
      <c r="M57" s="232"/>
      <c r="N57" s="232"/>
      <c r="O57" s="232"/>
      <c r="P57" s="232"/>
      <c r="Q57" s="232"/>
      <c r="R57" s="232"/>
      <c r="S57" s="232"/>
      <c r="T57" s="232"/>
      <c r="U57" s="232"/>
      <c r="V57" s="232"/>
      <c r="W57" s="232" t="s">
        <v>144</v>
      </c>
      <c r="X57" s="316" t="e">
        <f>X61-SUM(X55:X56)</f>
        <v>#REF!</v>
      </c>
      <c r="Y57" s="232"/>
      <c r="Z57" s="232"/>
      <c r="AA57" s="232"/>
      <c r="AB57" s="232"/>
      <c r="AC57" s="232"/>
      <c r="AD57" s="232"/>
      <c r="AE57" s="232"/>
      <c r="AF57" s="232"/>
      <c r="AG57" s="232"/>
      <c r="AH57" s="217" t="s">
        <v>138</v>
      </c>
    </row>
    <row r="58" spans="2:34" ht="21" thickBot="1">
      <c r="B58" s="233"/>
      <c r="C58" s="234" t="s">
        <v>199</v>
      </c>
      <c r="D58" s="234"/>
      <c r="E58" s="234"/>
      <c r="F58" s="234"/>
      <c r="G58" s="234"/>
      <c r="H58" s="234"/>
      <c r="I58" s="234"/>
      <c r="J58" s="234"/>
      <c r="K58" s="234"/>
      <c r="L58" s="234"/>
      <c r="M58" s="234"/>
      <c r="N58" s="234"/>
      <c r="O58" s="234"/>
      <c r="P58" s="234"/>
      <c r="Q58" s="234"/>
      <c r="R58" s="234"/>
      <c r="S58" s="235"/>
      <c r="T58" s="236"/>
      <c r="U58" s="237" t="s">
        <v>160</v>
      </c>
      <c r="V58" s="237"/>
      <c r="W58" s="237"/>
      <c r="X58" s="237"/>
      <c r="Y58" s="237"/>
      <c r="Z58" s="237"/>
      <c r="AA58" s="237"/>
      <c r="AB58" s="237"/>
      <c r="AC58" s="237"/>
      <c r="AD58" s="237"/>
      <c r="AE58" s="237"/>
      <c r="AF58" s="237"/>
      <c r="AG58" s="237"/>
      <c r="AH58" s="238"/>
    </row>
    <row r="59" spans="2:34" ht="20.25">
      <c r="B59" s="1027" t="s">
        <v>274</v>
      </c>
      <c r="C59" s="239" t="s">
        <v>161</v>
      </c>
      <c r="D59" s="240"/>
      <c r="E59" s="240"/>
      <c r="F59" s="240"/>
      <c r="G59" s="241"/>
      <c r="H59" s="1017" t="s">
        <v>162</v>
      </c>
      <c r="I59" s="242" t="s">
        <v>163</v>
      </c>
      <c r="J59" s="243"/>
      <c r="K59" s="243"/>
      <c r="L59" s="243"/>
      <c r="M59" s="243"/>
      <c r="N59" s="244"/>
      <c r="O59" s="1029" t="s">
        <v>164</v>
      </c>
      <c r="P59" s="1029" t="s">
        <v>165</v>
      </c>
      <c r="Q59" s="1019" t="s">
        <v>166</v>
      </c>
      <c r="R59" s="1022" t="s">
        <v>167</v>
      </c>
      <c r="S59" s="1023" t="s">
        <v>168</v>
      </c>
      <c r="T59" s="1027" t="s">
        <v>274</v>
      </c>
      <c r="U59" s="245" t="s">
        <v>169</v>
      </c>
      <c r="V59" s="246"/>
      <c r="W59" s="246"/>
      <c r="X59" s="247"/>
      <c r="Y59" s="248" t="s">
        <v>163</v>
      </c>
      <c r="Z59" s="246"/>
      <c r="AA59" s="246"/>
      <c r="AB59" s="246"/>
      <c r="AC59" s="246"/>
      <c r="AD59" s="247"/>
      <c r="AE59" s="1022" t="s">
        <v>166</v>
      </c>
      <c r="AF59" s="1025" t="s">
        <v>167</v>
      </c>
      <c r="AG59" s="311"/>
      <c r="AH59" s="1012" t="s">
        <v>168</v>
      </c>
    </row>
    <row r="60" spans="2:34" ht="60.75">
      <c r="B60" s="1028"/>
      <c r="C60" s="249" t="s">
        <v>170</v>
      </c>
      <c r="D60" s="300" t="s">
        <v>171</v>
      </c>
      <c r="E60" s="250" t="s">
        <v>172</v>
      </c>
      <c r="F60" s="250" t="s">
        <v>173</v>
      </c>
      <c r="G60" s="251" t="s">
        <v>174</v>
      </c>
      <c r="H60" s="1018"/>
      <c r="I60" s="250" t="s">
        <v>175</v>
      </c>
      <c r="J60" s="250" t="s">
        <v>176</v>
      </c>
      <c r="K60" s="250" t="s">
        <v>201</v>
      </c>
      <c r="L60" s="250" t="s">
        <v>178</v>
      </c>
      <c r="M60" s="250" t="s">
        <v>168</v>
      </c>
      <c r="N60" s="250" t="s">
        <v>179</v>
      </c>
      <c r="O60" s="1030"/>
      <c r="P60" s="1031"/>
      <c r="Q60" s="1021"/>
      <c r="R60" s="1021"/>
      <c r="S60" s="1024"/>
      <c r="T60" s="1028"/>
      <c r="U60" s="307" t="s">
        <v>203</v>
      </c>
      <c r="V60" s="308" t="s">
        <v>180</v>
      </c>
      <c r="W60" s="309" t="s">
        <v>181</v>
      </c>
      <c r="X60" s="310" t="s">
        <v>33</v>
      </c>
      <c r="Y60" s="305" t="s">
        <v>25</v>
      </c>
      <c r="Z60" s="306" t="s">
        <v>183</v>
      </c>
      <c r="AA60" s="306" t="s">
        <v>204</v>
      </c>
      <c r="AB60" s="306" t="s">
        <v>205</v>
      </c>
      <c r="AC60" s="306" t="s">
        <v>184</v>
      </c>
      <c r="AD60" s="306" t="s">
        <v>30</v>
      </c>
      <c r="AE60" s="1021"/>
      <c r="AF60" s="1026"/>
      <c r="AG60" s="312" t="s">
        <v>37</v>
      </c>
      <c r="AH60" s="1013"/>
    </row>
    <row r="61" spans="2:34" ht="21" thickBot="1">
      <c r="B61" s="252" t="e">
        <f>M52</f>
        <v>#REF!</v>
      </c>
      <c r="C61" s="253" t="e">
        <f>SUM(#REF!)</f>
        <v>#REF!</v>
      </c>
      <c r="D61" s="302"/>
      <c r="E61" s="254" t="e">
        <f>#REF!</f>
        <v>#REF!</v>
      </c>
      <c r="F61" s="254" t="e">
        <f>#REF!+#REF!</f>
        <v>#REF!</v>
      </c>
      <c r="G61" s="254"/>
      <c r="H61" s="254"/>
      <c r="I61" s="254">
        <v>5.7019311818052358</v>
      </c>
      <c r="J61" s="254">
        <v>1.4855263852785687</v>
      </c>
      <c r="K61" s="254">
        <v>-7.4543777387711811</v>
      </c>
      <c r="L61" s="254">
        <v>1</v>
      </c>
      <c r="M61" s="254">
        <v>17.440121785955952</v>
      </c>
      <c r="N61" s="303"/>
      <c r="O61" s="302"/>
      <c r="P61" s="302"/>
      <c r="Q61" s="256"/>
      <c r="R61" s="254" t="e">
        <f>#REF!</f>
        <v>#REF!</v>
      </c>
      <c r="S61" s="257" t="e">
        <f>F54-SUM(C61:R61)</f>
        <v>#VALUE!</v>
      </c>
      <c r="T61" s="253" t="e">
        <f>M53</f>
        <v>#REF!</v>
      </c>
      <c r="U61" s="253" t="e">
        <f>'Summary month'!AA36-U62</f>
        <v>#REF!</v>
      </c>
      <c r="V61" s="258">
        <f>'Summary month'!AA37-V62</f>
        <v>0</v>
      </c>
      <c r="W61" s="258"/>
      <c r="X61" s="258" t="e">
        <f>'Summary month'!AA38-X62</f>
        <v>#REF!</v>
      </c>
      <c r="Y61" s="258" t="e">
        <f>'Summary month'!AA29-Y62</f>
        <v>#REF!</v>
      </c>
      <c r="Z61" s="258" t="e">
        <f>'Summary month'!AA30-Z62</f>
        <v>#REF!</v>
      </c>
      <c r="AA61" s="258">
        <f>'Summary month'!AA31-AA62</f>
        <v>0</v>
      </c>
      <c r="AB61" s="301"/>
      <c r="AC61" s="258" t="e">
        <f>'Summary month'!AA32-AC62</f>
        <v>#REF!</v>
      </c>
      <c r="AD61" s="258">
        <f>'Summary month'!AA34</f>
        <v>0</v>
      </c>
      <c r="AE61" s="256"/>
      <c r="AF61" s="259"/>
      <c r="AG61" s="254" t="e">
        <f>'Summary month'!AA42-AG62</f>
        <v>#REF!</v>
      </c>
      <c r="AH61" s="260" t="e">
        <f>G54-SUM(U61:AG61)</f>
        <v>#REF!</v>
      </c>
    </row>
    <row r="62" spans="2:34" ht="18">
      <c r="B62" s="216"/>
      <c r="C62" s="272"/>
      <c r="D62" s="216"/>
      <c r="E62" s="216"/>
      <c r="F62" s="216"/>
      <c r="G62" s="216"/>
      <c r="H62" s="216"/>
      <c r="I62" s="216"/>
      <c r="J62" s="216"/>
      <c r="K62" s="216"/>
      <c r="L62" s="216"/>
      <c r="M62" s="216"/>
      <c r="N62" s="216"/>
      <c r="O62" s="216"/>
      <c r="P62" s="216"/>
      <c r="Q62" s="216"/>
      <c r="R62" s="216"/>
      <c r="S62" s="216"/>
      <c r="T62" s="216"/>
      <c r="U62" s="216" t="e">
        <f>#REF!</f>
        <v>#REF!</v>
      </c>
      <c r="V62" s="216"/>
      <c r="W62" s="216"/>
      <c r="X62" s="216" t="e">
        <f>SUM(Y55:Y56)</f>
        <v>#REF!</v>
      </c>
      <c r="Y62" s="514" t="e">
        <f>#REF!-Z62</f>
        <v>#REF!</v>
      </c>
      <c r="Z62" s="514" t="e">
        <f>#REF!</f>
        <v>#REF!</v>
      </c>
      <c r="AA62" s="216"/>
      <c r="AB62" s="216"/>
      <c r="AC62" s="216" t="e">
        <f>#REF!</f>
        <v>#REF!</v>
      </c>
      <c r="AD62" s="216"/>
      <c r="AE62" s="216"/>
      <c r="AF62" s="216"/>
      <c r="AG62" s="334" t="e">
        <f>#REF!-AJ66-AK66</f>
        <v>#REF!</v>
      </c>
      <c r="AH62" s="216"/>
    </row>
    <row r="63" spans="2:34" ht="18">
      <c r="B63" s="221"/>
      <c r="C63" s="319"/>
      <c r="D63" s="221"/>
      <c r="E63" s="221"/>
      <c r="F63" s="221"/>
      <c r="G63" s="221"/>
      <c r="H63" s="221"/>
      <c r="I63" s="221"/>
      <c r="J63" s="221"/>
      <c r="K63" s="221"/>
      <c r="L63" s="221"/>
      <c r="M63" s="221"/>
      <c r="N63" s="221"/>
      <c r="O63" s="221"/>
      <c r="P63" s="221"/>
      <c r="Q63" s="221"/>
      <c r="R63" s="221"/>
      <c r="S63" s="221"/>
      <c r="T63" s="221"/>
      <c r="U63" s="221"/>
      <c r="V63" s="221"/>
      <c r="W63" s="221"/>
    </row>
    <row r="64" spans="2:34" ht="18">
      <c r="B64" s="216"/>
      <c r="C64" s="272"/>
      <c r="D64" s="216"/>
      <c r="E64" s="216"/>
      <c r="F64" s="216"/>
      <c r="G64" t="s">
        <v>288</v>
      </c>
      <c r="H64" s="334">
        <f>-2.385017617-AD54</f>
        <v>-2.3890176169999999</v>
      </c>
      <c r="I64" s="216"/>
      <c r="J64" s="216"/>
      <c r="K64" s="216"/>
      <c r="L64" s="216"/>
      <c r="M64" s="216"/>
      <c r="N64" s="216"/>
      <c r="O64" s="216"/>
      <c r="P64" s="216"/>
      <c r="Q64" s="216"/>
      <c r="R64" s="216"/>
      <c r="S64" s="216"/>
      <c r="T64" s="216"/>
      <c r="U64" s="216"/>
      <c r="V64" s="216"/>
      <c r="W64" s="216"/>
    </row>
    <row r="65" spans="2:37" ht="20.25">
      <c r="B65" s="216"/>
      <c r="C65" s="272"/>
      <c r="D65" s="216"/>
      <c r="E65" s="216"/>
      <c r="F65" s="216"/>
      <c r="G65" t="s">
        <v>290</v>
      </c>
      <c r="H65" s="216">
        <v>-0.44323456299999997</v>
      </c>
      <c r="I65" s="273" t="s">
        <v>188</v>
      </c>
      <c r="J65" s="274"/>
      <c r="K65" s="274"/>
      <c r="L65" s="274"/>
      <c r="M65" s="275">
        <f>M61</f>
        <v>17.440121785955952</v>
      </c>
      <c r="N65" s="216"/>
      <c r="P65" s="273" t="s">
        <v>191</v>
      </c>
      <c r="Q65" s="274"/>
      <c r="R65" s="274"/>
      <c r="S65" s="294" t="e">
        <f>S61</f>
        <v>#VALUE!</v>
      </c>
      <c r="T65" s="216"/>
      <c r="U65" s="216"/>
      <c r="V65" s="216"/>
      <c r="W65" s="216"/>
      <c r="X65" s="263" t="s">
        <v>185</v>
      </c>
      <c r="Y65" s="264"/>
      <c r="Z65" s="264"/>
      <c r="AA65" s="265">
        <f>AD61</f>
        <v>0</v>
      </c>
      <c r="AC65" s="221"/>
      <c r="AE65" s="263" t="s">
        <v>186</v>
      </c>
      <c r="AF65" s="264"/>
      <c r="AG65" s="264"/>
      <c r="AH65" s="265" t="e">
        <f>AH61</f>
        <v>#REF!</v>
      </c>
    </row>
    <row r="66" spans="2:37" ht="18">
      <c r="B66" s="216"/>
      <c r="C66" s="272"/>
      <c r="D66" s="216"/>
      <c r="E66" s="216"/>
      <c r="F66" s="216"/>
      <c r="G66" s="221" t="s">
        <v>282</v>
      </c>
      <c r="H66" s="216">
        <v>1.0747578370000004</v>
      </c>
      <c r="I66" s="279">
        <v>1</v>
      </c>
      <c r="J66" s="269" t="s">
        <v>397</v>
      </c>
      <c r="K66" s="270"/>
      <c r="L66" s="270"/>
      <c r="M66" s="280">
        <v>3.5</v>
      </c>
      <c r="N66" s="216"/>
      <c r="P66" s="279">
        <v>1</v>
      </c>
      <c r="Q66" s="269" t="s">
        <v>193</v>
      </c>
      <c r="R66" s="270"/>
      <c r="S66" s="280" t="e">
        <f>#REF!</f>
        <v>#REF!</v>
      </c>
      <c r="T66" s="216"/>
      <c r="U66" s="216"/>
      <c r="V66" s="216"/>
      <c r="W66" s="216"/>
      <c r="X66" s="268">
        <v>1</v>
      </c>
      <c r="Y66" s="269" t="s">
        <v>319</v>
      </c>
      <c r="Z66" s="270"/>
      <c r="AA66" s="271">
        <f>AD53</f>
        <v>0.9633100537543996</v>
      </c>
      <c r="AC66" s="216"/>
      <c r="AE66" s="268">
        <v>1</v>
      </c>
      <c r="AF66" s="269" t="s">
        <v>39</v>
      </c>
      <c r="AG66" s="270"/>
      <c r="AH66" s="271">
        <f>'Summary month'!AA44-AJ66-AK66</f>
        <v>0.37603900000004264</v>
      </c>
      <c r="AI66" t="s">
        <v>262</v>
      </c>
      <c r="AJ66" s="327">
        <f>'Summary month'!AA74</f>
        <v>0</v>
      </c>
      <c r="AK66">
        <v>-0.37603900000000001</v>
      </c>
    </row>
    <row r="67" spans="2:37" ht="18">
      <c r="B67" s="216"/>
      <c r="C67" s="272"/>
      <c r="D67" s="216"/>
      <c r="E67" s="216"/>
      <c r="F67" s="216"/>
      <c r="G67" t="s">
        <v>294</v>
      </c>
      <c r="H67" s="216">
        <v>0.69599999999999995</v>
      </c>
      <c r="I67" s="279">
        <v>2</v>
      </c>
      <c r="J67" s="276" t="s">
        <v>361</v>
      </c>
      <c r="K67" s="277"/>
      <c r="L67" s="277"/>
      <c r="M67" s="281">
        <v>10</v>
      </c>
      <c r="N67" s="216"/>
      <c r="P67" s="279">
        <v>2</v>
      </c>
      <c r="Q67" s="276" t="s">
        <v>143</v>
      </c>
      <c r="R67" s="277"/>
      <c r="S67" s="281">
        <f>'[9]New KPI vs BP'!$AM$449</f>
        <v>2.1941028231747675</v>
      </c>
      <c r="T67" s="216"/>
      <c r="U67" s="216"/>
      <c r="V67" s="216"/>
      <c r="W67" s="216"/>
      <c r="X67" s="268">
        <v>2</v>
      </c>
      <c r="Y67" s="276" t="s">
        <v>345</v>
      </c>
      <c r="Z67" s="277"/>
      <c r="AA67" s="278">
        <f>AD55</f>
        <v>1.3802265889999998</v>
      </c>
      <c r="AC67" s="216"/>
      <c r="AE67" s="268">
        <v>2</v>
      </c>
      <c r="AF67" s="276"/>
      <c r="AG67" s="277"/>
      <c r="AH67" s="278"/>
      <c r="AI67" t="s">
        <v>144</v>
      </c>
      <c r="AJ67" s="517">
        <f>AH66</f>
        <v>0.37603900000004264</v>
      </c>
    </row>
    <row r="68" spans="2:37" ht="18">
      <c r="B68" s="216"/>
      <c r="C68" s="272"/>
      <c r="D68" s="216"/>
      <c r="E68" s="216"/>
      <c r="F68" s="216"/>
      <c r="G68" s="216"/>
      <c r="H68" s="216"/>
      <c r="I68" s="279">
        <v>3</v>
      </c>
      <c r="J68" s="276" t="s">
        <v>396</v>
      </c>
      <c r="K68" s="277"/>
      <c r="L68" s="277"/>
      <c r="M68" s="281">
        <v>5</v>
      </c>
      <c r="N68" s="216"/>
      <c r="P68" s="279">
        <v>3</v>
      </c>
      <c r="Q68" s="276" t="s">
        <v>195</v>
      </c>
      <c r="R68" s="277"/>
      <c r="S68" s="281">
        <v>-27.343977988545884</v>
      </c>
      <c r="T68" s="216"/>
      <c r="U68" s="216"/>
      <c r="V68" s="216"/>
      <c r="W68" s="216"/>
      <c r="X68" s="268">
        <v>3</v>
      </c>
      <c r="Y68" s="276"/>
      <c r="Z68" s="277"/>
      <c r="AA68" s="278"/>
      <c r="AC68" s="216"/>
      <c r="AE68" s="268">
        <v>3</v>
      </c>
      <c r="AF68" s="276"/>
      <c r="AG68" s="277"/>
      <c r="AH68" s="278"/>
    </row>
    <row r="69" spans="2:37" ht="18">
      <c r="B69" s="216"/>
      <c r="C69" s="216"/>
      <c r="D69" s="272"/>
      <c r="E69" s="272"/>
      <c r="F69" s="272"/>
      <c r="G69" s="272"/>
      <c r="H69" s="272"/>
      <c r="I69" s="279">
        <v>4</v>
      </c>
      <c r="J69" s="276" t="s">
        <v>288</v>
      </c>
      <c r="K69" s="277"/>
      <c r="L69" s="277"/>
      <c r="M69" s="281">
        <v>-2.3890176169999999</v>
      </c>
      <c r="N69" s="216"/>
      <c r="P69" s="279">
        <v>4</v>
      </c>
      <c r="Q69" s="276"/>
      <c r="R69" s="277"/>
      <c r="S69" s="281"/>
      <c r="T69" s="216"/>
      <c r="U69" s="216"/>
      <c r="V69" s="216"/>
      <c r="W69" s="216"/>
      <c r="X69" s="268">
        <v>4</v>
      </c>
      <c r="Y69" s="276"/>
      <c r="Z69" s="277"/>
      <c r="AA69" s="278"/>
      <c r="AC69" s="216"/>
      <c r="AE69" s="268">
        <v>4</v>
      </c>
      <c r="AF69" s="276"/>
      <c r="AG69" s="277"/>
      <c r="AH69" s="278"/>
    </row>
    <row r="70" spans="2:37" ht="18">
      <c r="B70" s="216"/>
      <c r="C70" s="272"/>
      <c r="D70" s="216"/>
      <c r="E70" s="216"/>
      <c r="F70" s="216"/>
      <c r="G70" s="216"/>
      <c r="H70" s="334">
        <f>SUM(H64:H69)</f>
        <v>-1.0614943429999995</v>
      </c>
      <c r="I70" s="279">
        <v>5</v>
      </c>
      <c r="J70" s="276" t="s">
        <v>290</v>
      </c>
      <c r="K70" s="277"/>
      <c r="L70" s="277"/>
      <c r="M70" s="281">
        <v>-0.44323456299999997</v>
      </c>
      <c r="N70" s="216"/>
      <c r="P70" s="279">
        <v>5</v>
      </c>
      <c r="Q70" s="276"/>
      <c r="R70" s="277"/>
      <c r="S70" s="278"/>
      <c r="W70" s="216"/>
      <c r="X70" s="282">
        <v>5</v>
      </c>
      <c r="Y70" s="283" t="s">
        <v>182</v>
      </c>
      <c r="Z70" s="284"/>
      <c r="AA70" s="285">
        <f>AA65-SUM(AA66:AA69)</f>
        <v>-2.3435366427543993</v>
      </c>
      <c r="AC70" s="216"/>
      <c r="AE70" s="282">
        <v>5</v>
      </c>
      <c r="AF70" s="283" t="s">
        <v>182</v>
      </c>
      <c r="AG70" s="284"/>
      <c r="AH70" s="285" t="e">
        <f>AH65-SUM(AH66:AH69)</f>
        <v>#REF!</v>
      </c>
    </row>
    <row r="71" spans="2:37" ht="18">
      <c r="B71" s="216"/>
      <c r="C71" s="272"/>
      <c r="D71" s="216"/>
      <c r="E71" s="216"/>
      <c r="F71" s="216"/>
      <c r="G71" s="216"/>
      <c r="H71" s="216"/>
      <c r="I71" s="279">
        <v>6</v>
      </c>
      <c r="J71" s="276" t="s">
        <v>282</v>
      </c>
      <c r="K71" s="277"/>
      <c r="L71" s="277"/>
      <c r="M71" s="281">
        <v>1.0747578370000004</v>
      </c>
      <c r="N71" s="216"/>
      <c r="P71" s="279">
        <v>6</v>
      </c>
      <c r="Q71" s="276"/>
      <c r="R71" s="277"/>
      <c r="S71" s="281"/>
      <c r="W71" s="216"/>
      <c r="X71" s="216"/>
      <c r="Y71" s="216"/>
      <c r="Z71" s="216"/>
      <c r="AA71" s="216"/>
      <c r="AB71" s="216"/>
      <c r="AC71" s="216"/>
      <c r="AD71" s="216"/>
      <c r="AE71" s="216"/>
      <c r="AF71" s="216"/>
      <c r="AG71" s="216"/>
      <c r="AH71" s="216"/>
    </row>
    <row r="72" spans="2:37" ht="18">
      <c r="B72" s="216"/>
      <c r="C72" s="272"/>
      <c r="D72" s="272"/>
      <c r="E72" s="216"/>
      <c r="F72" s="216"/>
      <c r="G72" s="216"/>
      <c r="H72" s="216"/>
      <c r="I72" s="279">
        <v>7</v>
      </c>
      <c r="J72" s="276" t="s">
        <v>294</v>
      </c>
      <c r="K72" s="277"/>
      <c r="L72" s="277"/>
      <c r="M72" s="281">
        <v>0.69599999999999995</v>
      </c>
      <c r="N72" s="216"/>
      <c r="P72" s="279">
        <v>7</v>
      </c>
      <c r="Q72" s="276"/>
      <c r="R72" s="277"/>
      <c r="S72" s="281"/>
      <c r="W72" s="216"/>
      <c r="X72" s="216"/>
      <c r="Y72" s="216"/>
      <c r="Z72" s="216"/>
      <c r="AA72" s="216"/>
      <c r="AB72" s="216"/>
      <c r="AC72" s="216"/>
      <c r="AD72" s="216"/>
      <c r="AE72" s="216"/>
      <c r="AF72" s="216"/>
      <c r="AG72" s="216"/>
      <c r="AH72" s="216"/>
    </row>
    <row r="73" spans="2:37" ht="18">
      <c r="B73" s="216"/>
      <c r="C73" s="216"/>
      <c r="D73" s="216"/>
      <c r="E73" s="216"/>
      <c r="F73" s="216"/>
      <c r="G73" s="216"/>
      <c r="H73" s="216"/>
      <c r="I73" s="279">
        <v>8</v>
      </c>
      <c r="J73" s="276"/>
      <c r="K73" s="277"/>
      <c r="L73" s="277"/>
      <c r="M73" s="281"/>
      <c r="N73" s="216"/>
      <c r="P73" s="279">
        <v>8</v>
      </c>
      <c r="Q73" s="276"/>
      <c r="R73" s="277"/>
      <c r="S73" s="278"/>
      <c r="W73" s="216"/>
      <c r="X73" s="216"/>
      <c r="Y73" s="216"/>
      <c r="Z73" s="216"/>
      <c r="AA73" s="216"/>
      <c r="AB73" s="216"/>
      <c r="AC73" s="216"/>
      <c r="AD73" s="216"/>
      <c r="AE73" s="216"/>
      <c r="AF73" s="216"/>
      <c r="AG73" s="216"/>
      <c r="AH73" s="216"/>
    </row>
    <row r="74" spans="2:37" ht="18">
      <c r="B74" s="216"/>
      <c r="C74" s="216"/>
      <c r="D74" s="216"/>
      <c r="E74" s="216"/>
      <c r="F74" s="216"/>
      <c r="G74" s="216"/>
      <c r="H74" s="216"/>
      <c r="I74" s="288">
        <v>9</v>
      </c>
      <c r="J74" s="289" t="s">
        <v>182</v>
      </c>
      <c r="K74" s="284"/>
      <c r="L74" s="284"/>
      <c r="M74" s="290">
        <f>M65-SUM(M66:M72)</f>
        <v>1.6161289559519787E-3</v>
      </c>
      <c r="N74" s="216"/>
      <c r="P74" s="279">
        <v>9</v>
      </c>
      <c r="Q74" s="276"/>
      <c r="R74" s="277"/>
      <c r="S74" s="278"/>
      <c r="W74" s="272"/>
      <c r="X74" s="216"/>
      <c r="Y74" s="216"/>
      <c r="Z74" s="216"/>
      <c r="AA74" s="216"/>
      <c r="AB74" s="216"/>
      <c r="AC74" s="216"/>
      <c r="AD74" s="216"/>
      <c r="AE74" s="216"/>
      <c r="AF74" s="216"/>
      <c r="AG74" s="216"/>
      <c r="AH74" s="216"/>
    </row>
    <row r="75" spans="2:37" ht="18">
      <c r="B75" s="216"/>
      <c r="C75" s="216"/>
      <c r="D75" s="216"/>
      <c r="E75" s="216"/>
      <c r="F75" s="216"/>
      <c r="G75" s="216"/>
      <c r="H75" s="216"/>
      <c r="I75" s="216"/>
      <c r="J75" s="216"/>
      <c r="K75" s="216"/>
      <c r="L75" s="216"/>
      <c r="M75" s="216"/>
      <c r="N75" s="216"/>
      <c r="P75" s="288">
        <v>10</v>
      </c>
      <c r="Q75" s="283" t="s">
        <v>182</v>
      </c>
      <c r="R75" s="284"/>
      <c r="S75" s="285" t="e">
        <f>S65-SUM(S66:S74)</f>
        <v>#VALUE!</v>
      </c>
      <c r="T75" s="216" t="s">
        <v>223</v>
      </c>
      <c r="U75" s="518">
        <v>-18.011643420665003</v>
      </c>
      <c r="V75" s="216"/>
      <c r="W75" s="216"/>
      <c r="X75" s="297"/>
      <c r="Y75" s="216"/>
      <c r="Z75" s="216"/>
      <c r="AA75" s="216"/>
      <c r="AB75" s="216"/>
      <c r="AC75" s="216"/>
      <c r="AD75" s="216"/>
      <c r="AE75" s="216"/>
      <c r="AF75" s="216"/>
      <c r="AG75" s="216"/>
      <c r="AH75" s="216"/>
    </row>
    <row r="76" spans="2:37">
      <c r="B76" s="216"/>
      <c r="C76" s="216"/>
      <c r="D76" s="216"/>
      <c r="E76" s="216"/>
      <c r="F76" s="216"/>
      <c r="G76" s="216"/>
      <c r="H76" s="216"/>
      <c r="I76" s="216"/>
      <c r="J76" s="216"/>
      <c r="K76" s="216"/>
      <c r="L76" s="216"/>
      <c r="M76" s="216"/>
      <c r="N76" s="216"/>
      <c r="S76">
        <v>-12.599732715262103</v>
      </c>
      <c r="T76" s="216" t="s">
        <v>246</v>
      </c>
      <c r="U76" s="519">
        <v>8.3764110390134157</v>
      </c>
      <c r="W76" s="216"/>
      <c r="X76" s="216"/>
      <c r="Y76" s="216"/>
      <c r="Z76" s="216"/>
      <c r="AA76" s="216"/>
      <c r="AB76" s="216"/>
      <c r="AC76" s="216"/>
      <c r="AD76" s="216"/>
      <c r="AE76" s="216"/>
      <c r="AF76" s="216"/>
      <c r="AG76" s="216"/>
      <c r="AH76" s="216"/>
    </row>
    <row r="77" spans="2:37">
      <c r="B77" s="216"/>
      <c r="C77" s="216"/>
      <c r="D77" s="216"/>
      <c r="E77" s="216"/>
      <c r="F77" s="216"/>
      <c r="G77" s="216"/>
      <c r="H77" s="216"/>
      <c r="I77" s="216"/>
      <c r="J77" s="216"/>
      <c r="K77" s="216"/>
      <c r="L77" s="216"/>
      <c r="M77" s="216"/>
      <c r="N77" s="216"/>
      <c r="Q77" s="333" t="e">
        <f>SUM(S67:S75)+SUM(H64:H67)-H66</f>
        <v>#VALUE!</v>
      </c>
      <c r="S77" s="327" t="e">
        <f>S75-S76</f>
        <v>#VALUE!</v>
      </c>
      <c r="T77" s="216" t="s">
        <v>222</v>
      </c>
      <c r="U77" s="315">
        <v>1.5383914143349562</v>
      </c>
      <c r="V77" s="216"/>
      <c r="W77" s="216"/>
      <c r="X77" s="216"/>
      <c r="Y77" s="216"/>
      <c r="Z77" s="216"/>
      <c r="AA77" s="216"/>
      <c r="AB77" s="216"/>
      <c r="AC77" s="216"/>
      <c r="AD77" s="216"/>
      <c r="AE77" s="216"/>
      <c r="AF77" s="216"/>
      <c r="AG77" s="216"/>
      <c r="AH77" s="216"/>
    </row>
    <row r="78" spans="2:37">
      <c r="B78" s="216"/>
      <c r="C78" s="216"/>
      <c r="D78" s="216"/>
      <c r="E78" s="216"/>
      <c r="F78" s="216"/>
      <c r="G78" s="216"/>
      <c r="H78" s="216"/>
      <c r="I78" s="216"/>
      <c r="J78" s="216"/>
      <c r="K78" s="216"/>
      <c r="L78" s="216"/>
      <c r="M78" s="216"/>
      <c r="N78" s="216"/>
      <c r="P78" t="s">
        <v>195</v>
      </c>
      <c r="Q78">
        <v>-27</v>
      </c>
      <c r="T78" s="216" t="s">
        <v>217</v>
      </c>
      <c r="U78" s="216">
        <f>'[9]New KPI vs BP'!$AM$453+'[9]New KPI vs BP'!$AM$464</f>
        <v>-4.1591004750428473</v>
      </c>
      <c r="V78" s="216"/>
      <c r="W78" s="216"/>
      <c r="X78" s="216"/>
      <c r="Y78" s="216"/>
      <c r="Z78" s="216"/>
      <c r="AA78" s="216"/>
      <c r="AB78" s="216"/>
      <c r="AC78" s="216"/>
      <c r="AD78" s="216"/>
      <c r="AE78" s="216"/>
      <c r="AF78" s="216"/>
      <c r="AG78" s="216"/>
      <c r="AH78" s="216"/>
    </row>
    <row r="79" spans="2:37">
      <c r="B79" s="216"/>
      <c r="C79" s="216"/>
      <c r="D79" s="216"/>
      <c r="E79" s="216"/>
      <c r="F79" s="216"/>
      <c r="G79" s="216"/>
      <c r="H79" s="216"/>
      <c r="I79" s="216"/>
      <c r="J79" s="216"/>
      <c r="K79" s="216"/>
      <c r="L79" s="216"/>
      <c r="M79" s="216"/>
      <c r="N79" s="216"/>
      <c r="P79" t="s">
        <v>332</v>
      </c>
      <c r="Q79">
        <v>-2</v>
      </c>
      <c r="T79" s="216" t="s">
        <v>336</v>
      </c>
      <c r="U79" s="315">
        <v>-0.66895187469119222</v>
      </c>
      <c r="V79" s="216"/>
      <c r="W79" s="216"/>
      <c r="X79" s="216"/>
      <c r="Y79" s="216"/>
      <c r="Z79" s="216"/>
      <c r="AA79" s="216"/>
      <c r="AB79" s="216"/>
      <c r="AC79" s="216"/>
      <c r="AD79" s="216"/>
      <c r="AE79" s="216"/>
      <c r="AF79" s="216"/>
      <c r="AG79" s="216"/>
      <c r="AH79" s="216"/>
    </row>
    <row r="80" spans="2:37" ht="18">
      <c r="B80" s="216"/>
      <c r="C80" s="216"/>
      <c r="D80" s="216"/>
      <c r="E80" s="216"/>
      <c r="F80" s="216"/>
      <c r="G80" s="216"/>
      <c r="H80" s="216"/>
      <c r="I80" s="216"/>
      <c r="J80" s="216"/>
      <c r="K80" s="216"/>
      <c r="L80" s="216"/>
      <c r="M80" s="216"/>
      <c r="N80" s="216"/>
      <c r="T80" s="216" t="s">
        <v>292</v>
      </c>
      <c r="U80" s="478">
        <v>-1.3246742791967492</v>
      </c>
      <c r="V80" s="272" t="s">
        <v>346</v>
      </c>
      <c r="W80" s="216"/>
      <c r="X80" s="216"/>
      <c r="Y80" s="216"/>
      <c r="Z80" s="216"/>
      <c r="AA80" s="216"/>
      <c r="AB80" s="216"/>
      <c r="AC80" s="216"/>
      <c r="AD80" s="216"/>
      <c r="AE80" s="216"/>
      <c r="AF80" s="216"/>
      <c r="AG80" s="216"/>
      <c r="AH80" s="216"/>
    </row>
    <row r="81" spans="2:34">
      <c r="B81" s="216"/>
      <c r="C81" s="216"/>
      <c r="D81" s="216"/>
      <c r="E81" s="216"/>
      <c r="F81" s="216"/>
      <c r="G81" s="216"/>
      <c r="H81" s="216"/>
      <c r="I81" s="216"/>
      <c r="J81" s="216"/>
      <c r="K81" s="216"/>
      <c r="L81" s="216"/>
      <c r="M81" s="216"/>
      <c r="N81" s="216"/>
      <c r="T81" s="216"/>
      <c r="U81" s="216"/>
      <c r="V81" s="216"/>
      <c r="W81" s="216"/>
      <c r="X81" s="216"/>
      <c r="Y81" s="216"/>
      <c r="Z81" s="216"/>
      <c r="AA81" s="216"/>
      <c r="AB81" s="216"/>
      <c r="AC81" s="216"/>
      <c r="AD81" s="216"/>
      <c r="AE81" s="216"/>
      <c r="AF81" s="216"/>
      <c r="AG81" s="216"/>
      <c r="AH81" s="216"/>
    </row>
    <row r="82" spans="2:34">
      <c r="B82" s="216"/>
      <c r="C82" s="216"/>
      <c r="D82" s="216"/>
      <c r="E82" s="216"/>
      <c r="F82" s="216"/>
      <c r="G82" s="216"/>
      <c r="H82" s="216"/>
      <c r="I82" s="216"/>
      <c r="J82" s="216"/>
      <c r="K82" s="216"/>
      <c r="L82" s="216"/>
      <c r="M82" s="216"/>
      <c r="N82" s="216"/>
      <c r="T82" s="216"/>
      <c r="U82" s="216"/>
      <c r="V82" s="216"/>
      <c r="W82" s="216"/>
      <c r="X82" s="216"/>
      <c r="Y82" s="216"/>
      <c r="Z82" s="216"/>
      <c r="AA82" s="216"/>
      <c r="AB82" s="216"/>
      <c r="AC82" s="216"/>
      <c r="AD82" s="216"/>
      <c r="AE82" s="216"/>
      <c r="AF82" s="216"/>
      <c r="AG82" s="216"/>
      <c r="AH82" s="216"/>
    </row>
    <row r="83" spans="2:34">
      <c r="B83" s="216"/>
      <c r="C83" s="216"/>
      <c r="D83" s="216"/>
      <c r="E83" s="216"/>
      <c r="F83" s="216"/>
      <c r="G83" s="216"/>
      <c r="H83" s="216"/>
      <c r="I83" s="216"/>
      <c r="J83" s="216"/>
      <c r="K83" s="216"/>
      <c r="L83" s="216"/>
      <c r="M83" s="216"/>
      <c r="N83" s="216"/>
      <c r="T83" s="216"/>
      <c r="U83" s="216"/>
      <c r="V83" s="216"/>
      <c r="W83" s="216"/>
      <c r="X83" s="216"/>
      <c r="Y83" s="216"/>
      <c r="Z83" s="216"/>
      <c r="AA83" s="216"/>
      <c r="AB83" s="216"/>
      <c r="AC83" s="216"/>
      <c r="AD83" s="216"/>
      <c r="AE83" s="216"/>
      <c r="AF83" s="216"/>
      <c r="AG83" s="216"/>
      <c r="AH83" s="216"/>
    </row>
    <row r="84" spans="2:34">
      <c r="B84" s="216"/>
      <c r="C84" s="216"/>
      <c r="D84" s="216"/>
      <c r="E84" s="216"/>
      <c r="F84" s="216"/>
      <c r="G84" s="216"/>
      <c r="H84" s="216"/>
      <c r="I84" s="216"/>
      <c r="J84" s="216"/>
      <c r="K84" s="216"/>
      <c r="L84" s="216"/>
      <c r="M84" s="216"/>
      <c r="N84" s="216"/>
      <c r="Q84" s="317" t="e">
        <f>Q77-SUM(Q78:Q83)</f>
        <v>#VALUE!</v>
      </c>
      <c r="T84" t="s">
        <v>283</v>
      </c>
      <c r="U84" s="369" t="e">
        <f>SUM(U85:U87)</f>
        <v>#REF!</v>
      </c>
      <c r="V84" s="216"/>
      <c r="W84" s="216"/>
      <c r="X84" s="216"/>
      <c r="Y84" s="216"/>
      <c r="Z84" s="216"/>
      <c r="AA84" s="216"/>
      <c r="AB84" s="216"/>
      <c r="AC84" s="216"/>
      <c r="AD84" s="216"/>
      <c r="AE84" s="216"/>
      <c r="AF84" s="216"/>
      <c r="AG84" s="216"/>
      <c r="AH84" s="216"/>
    </row>
    <row r="85" spans="2:34">
      <c r="T85" s="372" t="s">
        <v>28</v>
      </c>
      <c r="U85" s="373" t="e">
        <f>'[9]P&amp;L vs BP'!$AD$238-'[9]New KPI vs BP'!$AO$437-AC61</f>
        <v>#REF!</v>
      </c>
    </row>
    <row r="86" spans="2:34">
      <c r="T86" s="372" t="s">
        <v>200</v>
      </c>
      <c r="U86" s="373">
        <v>1.8336097389807999</v>
      </c>
    </row>
    <row r="87" spans="2:34">
      <c r="T87" s="135" t="s">
        <v>144</v>
      </c>
      <c r="U87" s="373" t="e">
        <f>-(X57+AD56+AJ67+AK66)</f>
        <v>#REF!</v>
      </c>
    </row>
  </sheetData>
  <mergeCells count="26">
    <mergeCell ref="B10:B11"/>
    <mergeCell ref="C10:C11"/>
    <mergeCell ref="B17:B18"/>
    <mergeCell ref="H17:H18"/>
    <mergeCell ref="O17:O18"/>
    <mergeCell ref="P59:P60"/>
    <mergeCell ref="Q59:Q60"/>
    <mergeCell ref="R59:R60"/>
    <mergeCell ref="S59:S60"/>
    <mergeCell ref="Q17:Q18"/>
    <mergeCell ref="R17:R18"/>
    <mergeCell ref="S17:S18"/>
    <mergeCell ref="P17:P18"/>
    <mergeCell ref="B52:B53"/>
    <mergeCell ref="C52:C53"/>
    <mergeCell ref="B59:B60"/>
    <mergeCell ref="H59:H60"/>
    <mergeCell ref="O59:O60"/>
    <mergeCell ref="T59:T60"/>
    <mergeCell ref="AE59:AE60"/>
    <mergeCell ref="AF59:AF60"/>
    <mergeCell ref="AH59:AH60"/>
    <mergeCell ref="AH17:AH18"/>
    <mergeCell ref="T17:T18"/>
    <mergeCell ref="AE17:AE18"/>
    <mergeCell ref="AF17:AF18"/>
  </mergeCells>
  <pageMargins left="0.7" right="0.7" top="0.75" bottom="0.75" header="0.3" footer="0.3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37913-3F5A-4A98-9B9A-C661E02F28CD}">
  <sheetPr>
    <tabColor theme="7" tint="-0.249977111117893"/>
  </sheetPr>
  <dimension ref="B1:AJ97"/>
  <sheetViews>
    <sheetView showGridLines="0" topLeftCell="A45" zoomScale="60" zoomScaleNormal="60" workbookViewId="0">
      <selection activeCell="O68" sqref="O68"/>
    </sheetView>
  </sheetViews>
  <sheetFormatPr defaultRowHeight="15"/>
  <cols>
    <col min="2" max="2" width="24.42578125" customWidth="1"/>
    <col min="3" max="4" width="18.42578125" customWidth="1"/>
    <col min="5" max="5" width="13.5703125" bestFit="1" customWidth="1"/>
    <col min="6" max="6" width="14.5703125" bestFit="1" customWidth="1"/>
    <col min="7" max="7" width="13" bestFit="1" customWidth="1"/>
    <col min="9" max="9" width="18.42578125" bestFit="1" customWidth="1"/>
    <col min="12" max="12" width="12.5703125" bestFit="1" customWidth="1"/>
    <col min="13" max="13" width="12.5703125" customWidth="1"/>
    <col min="15" max="15" width="23" bestFit="1" customWidth="1"/>
    <col min="17" max="17" width="20.42578125" bestFit="1" customWidth="1"/>
    <col min="19" max="19" width="20.42578125" bestFit="1" customWidth="1"/>
    <col min="20" max="20" width="10.5703125" customWidth="1"/>
    <col min="21" max="21" width="22.140625" bestFit="1" customWidth="1"/>
    <col min="22" max="22" width="11.140625" customWidth="1"/>
    <col min="24" max="24" width="19.5703125" bestFit="1" customWidth="1"/>
    <col min="26" max="26" width="12.42578125" customWidth="1"/>
    <col min="27" max="27" width="15.42578125" customWidth="1"/>
    <col min="30" max="30" width="10.140625" bestFit="1" customWidth="1"/>
    <col min="31" max="31" width="11.5703125" bestFit="1" customWidth="1"/>
    <col min="33" max="33" width="12.5703125" bestFit="1" customWidth="1"/>
    <col min="34" max="34" width="11.42578125" bestFit="1" customWidth="1"/>
  </cols>
  <sheetData>
    <row r="1" spans="2:34" ht="28.5">
      <c r="B1" s="304" t="str">
        <f>'Summary month'!E2</f>
        <v>Apr</v>
      </c>
      <c r="C1" t="s">
        <v>67</v>
      </c>
      <c r="D1" t="s">
        <v>76</v>
      </c>
    </row>
    <row r="3" spans="2:34" ht="28.5">
      <c r="B3" s="299" t="s">
        <v>202</v>
      </c>
      <c r="I3" s="216"/>
      <c r="J3" s="334"/>
      <c r="K3" s="639">
        <f>'[7]New KPI vs BP'!$DK$450</f>
        <v>0</v>
      </c>
      <c r="L3" s="216"/>
      <c r="M3" s="216"/>
      <c r="N3" s="334"/>
      <c r="O3" s="216"/>
      <c r="P3" s="216"/>
      <c r="Q3" s="216"/>
    </row>
    <row r="4" spans="2:34" ht="28.5">
      <c r="B4" s="299"/>
      <c r="I4" s="530" t="s">
        <v>355</v>
      </c>
      <c r="J4" s="334"/>
      <c r="K4" s="216"/>
      <c r="L4" s="216"/>
      <c r="M4" s="216"/>
      <c r="N4" s="334"/>
      <c r="O4" s="216"/>
      <c r="P4" s="216"/>
      <c r="Q4" s="216"/>
    </row>
    <row r="5" spans="2:34" ht="20.25">
      <c r="B5" s="216"/>
      <c r="C5" s="226" t="str">
        <f>B10</f>
        <v>Q2 2+10</v>
      </c>
      <c r="D5" s="226" t="str">
        <f>C10</f>
        <v>FY25 ACT Q1</v>
      </c>
      <c r="E5" s="226" t="s">
        <v>320</v>
      </c>
      <c r="F5" s="226" t="s">
        <v>321</v>
      </c>
      <c r="G5" s="226" t="s">
        <v>358</v>
      </c>
      <c r="H5" s="292" t="s">
        <v>323</v>
      </c>
      <c r="I5" s="216"/>
    </row>
    <row r="6" spans="2:34" ht="20.25">
      <c r="B6" s="226" t="s">
        <v>327</v>
      </c>
      <c r="C6" s="229">
        <f>'Summary month'!CA82</f>
        <v>0</v>
      </c>
      <c r="D6" s="229">
        <f>'Summary month'!I82</f>
        <v>63.237619418000122</v>
      </c>
      <c r="E6" s="226">
        <f>+D6-C6</f>
        <v>63.237619418000122</v>
      </c>
      <c r="F6" s="226" t="e">
        <f>B19</f>
        <v>#VALUE!</v>
      </c>
      <c r="G6" s="226" t="e">
        <f>SUM(C19:S19)</f>
        <v>#VALUE!</v>
      </c>
      <c r="H6" s="502" t="e">
        <f>E6-F6-G6</f>
        <v>#VALUE!</v>
      </c>
      <c r="I6" s="216"/>
      <c r="J6" s="334"/>
      <c r="K6" s="216"/>
      <c r="L6" s="216"/>
      <c r="M6" s="216"/>
      <c r="N6" s="334"/>
      <c r="O6" s="216"/>
      <c r="P6" s="216"/>
      <c r="Q6" s="216"/>
    </row>
    <row r="7" spans="2:34" ht="20.25">
      <c r="B7" s="226" t="s">
        <v>325</v>
      </c>
      <c r="C7" s="229">
        <f>'Summary month'!CA83</f>
        <v>-346.0916622089257</v>
      </c>
      <c r="D7" s="229">
        <f>'Summary month'!I83</f>
        <v>-134.40743371799999</v>
      </c>
      <c r="E7" s="226">
        <f>+D7-C7</f>
        <v>211.6842284909257</v>
      </c>
      <c r="F7" s="226" t="e">
        <f>T19</f>
        <v>#VALUE!</v>
      </c>
      <c r="G7" s="226" t="e">
        <f>SUM(U19:AH19)</f>
        <v>#VALUE!</v>
      </c>
      <c r="H7" s="502" t="e">
        <f>E7-F7-G7</f>
        <v>#VALUE!</v>
      </c>
      <c r="I7" s="216"/>
      <c r="J7" s="334"/>
      <c r="K7" s="216"/>
      <c r="L7" s="216"/>
      <c r="M7" s="216"/>
      <c r="N7" s="334"/>
      <c r="O7" s="216"/>
      <c r="P7" s="216"/>
      <c r="Q7" s="216"/>
    </row>
    <row r="8" spans="2:34" ht="20.25">
      <c r="B8" s="226" t="s">
        <v>326</v>
      </c>
      <c r="C8" s="226">
        <f>+C6+C7</f>
        <v>-346.0916622089257</v>
      </c>
      <c r="D8" s="226">
        <f>+D6+D7</f>
        <v>-71.169814299999871</v>
      </c>
      <c r="E8" s="226">
        <f>+D8-C8</f>
        <v>274.92184790892583</v>
      </c>
      <c r="F8" s="226" t="e">
        <f>+E8-G8</f>
        <v>#VALUE!</v>
      </c>
      <c r="G8" s="226" t="e">
        <f>+G6+G7</f>
        <v>#VALUE!</v>
      </c>
      <c r="H8" s="502" t="e">
        <f>E8-F8-G8</f>
        <v>#VALUE!</v>
      </c>
      <c r="I8" s="216"/>
      <c r="J8" s="334" t="s">
        <v>303</v>
      </c>
      <c r="K8" s="216" t="s">
        <v>143</v>
      </c>
      <c r="L8" s="216" t="s">
        <v>304</v>
      </c>
      <c r="M8" s="216"/>
      <c r="N8" s="334" t="s">
        <v>303</v>
      </c>
      <c r="O8" s="216" t="s">
        <v>143</v>
      </c>
      <c r="P8" s="216" t="s">
        <v>305</v>
      </c>
      <c r="Q8" s="216" t="s">
        <v>306</v>
      </c>
    </row>
    <row r="9" spans="2:34" ht="18">
      <c r="B9" s="215"/>
      <c r="C9" s="216"/>
      <c r="D9" s="318">
        <f>D12-D58</f>
        <v>-35.185142368891441</v>
      </c>
      <c r="E9" s="318">
        <f>E12-E58</f>
        <v>0</v>
      </c>
      <c r="F9" s="318" t="e">
        <f>F12-F58</f>
        <v>#VALUE!</v>
      </c>
      <c r="G9" s="318" t="e">
        <f>G12-G58</f>
        <v>#VALUE!</v>
      </c>
      <c r="H9" s="216"/>
      <c r="I9" s="216" t="s">
        <v>307</v>
      </c>
      <c r="J9" s="334">
        <f>'[7]New KPI vs BP'!$I$34-K9-L9</f>
        <v>0</v>
      </c>
      <c r="K9" s="216">
        <f>'[7]New KPI vs BP'!$I$15</f>
        <v>0</v>
      </c>
      <c r="L9" s="334">
        <f>'[7]New KPI vs BP'!$I$507+'[7]New KPI vs BP'!$I$523</f>
        <v>0</v>
      </c>
      <c r="M9" s="216"/>
      <c r="N9" s="334" t="e">
        <f>'[7]New KPI vs BP'!$I$34-O9-P9</f>
        <v>#VALUE!</v>
      </c>
      <c r="O9" s="636">
        <f>K9</f>
        <v>0</v>
      </c>
      <c r="P9" s="406" t="e">
        <f>L10-AJ66</f>
        <v>#VALUE!</v>
      </c>
      <c r="Q9" s="334" t="e">
        <f>L9-(P9)</f>
        <v>#VALUE!</v>
      </c>
      <c r="R9" s="216"/>
      <c r="S9" s="216"/>
      <c r="T9" s="216"/>
      <c r="U9" s="216"/>
      <c r="V9" s="216"/>
      <c r="W9" s="216"/>
      <c r="X9" s="216"/>
      <c r="Y9" s="216"/>
      <c r="Z9" s="216"/>
      <c r="AA9" s="216"/>
      <c r="AB9" s="216"/>
      <c r="AC9" s="216"/>
      <c r="AD9" s="216"/>
      <c r="AE9" s="216"/>
      <c r="AF9" s="216"/>
      <c r="AG9" s="216"/>
      <c r="AH9" s="216"/>
    </row>
    <row r="10" spans="2:34" ht="20.100000000000001" customHeight="1">
      <c r="B10" s="1014" t="str">
        <f>B52</f>
        <v>Q2 2+10</v>
      </c>
      <c r="C10" s="1014" t="str">
        <f>C52</f>
        <v>FY25 ACT Q1</v>
      </c>
      <c r="D10" s="218"/>
      <c r="E10" s="219"/>
      <c r="F10" s="219"/>
      <c r="G10" s="220"/>
      <c r="H10" s="216"/>
      <c r="I10" s="216" t="s">
        <v>62</v>
      </c>
      <c r="J10" s="334">
        <f>M52</f>
        <v>0.31233364655836482</v>
      </c>
      <c r="K10" s="216">
        <v>0</v>
      </c>
      <c r="L10" s="334" t="e">
        <f>M53</f>
        <v>#VALUE!</v>
      </c>
      <c r="M10" s="216"/>
      <c r="N10" s="216"/>
      <c r="O10" s="216"/>
      <c r="P10" s="216"/>
      <c r="Q10" s="216"/>
      <c r="R10" s="216"/>
      <c r="S10" s="216"/>
      <c r="T10" s="216"/>
      <c r="U10" s="216"/>
      <c r="V10" s="216"/>
      <c r="W10" s="221"/>
      <c r="X10" s="221"/>
      <c r="Y10" s="221"/>
      <c r="Z10" s="221"/>
      <c r="AA10" s="221"/>
      <c r="AB10" s="221"/>
      <c r="AC10" s="221"/>
      <c r="AD10" s="221"/>
      <c r="AE10" s="221"/>
      <c r="AF10" s="221"/>
      <c r="AG10" s="221"/>
      <c r="AH10" s="221"/>
    </row>
    <row r="11" spans="2:34" ht="40.5">
      <c r="B11" s="1015"/>
      <c r="C11" s="1015"/>
      <c r="D11" s="222"/>
      <c r="E11" s="223" t="s">
        <v>154</v>
      </c>
      <c r="F11" s="224" t="s">
        <v>155</v>
      </c>
      <c r="G11" s="225" t="s">
        <v>156</v>
      </c>
      <c r="H11" s="216"/>
      <c r="I11" s="216" t="s">
        <v>208</v>
      </c>
      <c r="J11" s="216"/>
      <c r="K11" s="216"/>
      <c r="L11" s="216"/>
      <c r="M11" s="216"/>
      <c r="N11" s="216"/>
      <c r="O11" s="216"/>
      <c r="P11" s="216"/>
      <c r="Q11" s="216"/>
      <c r="R11" s="216"/>
      <c r="AH11" s="216"/>
    </row>
    <row r="12" spans="2:34" ht="20.25">
      <c r="B12" s="226">
        <f>'Summary month'!CA55</f>
        <v>-35.984671931108444</v>
      </c>
      <c r="C12" s="226">
        <f>'Summary month'!I55</f>
        <v>-71.169814299999885</v>
      </c>
      <c r="D12" s="227">
        <f>C12-B12</f>
        <v>-35.185142368891441</v>
      </c>
      <c r="E12" s="228">
        <f>'[7]New KPI vs BP'!$I$34</f>
        <v>0</v>
      </c>
      <c r="F12" s="228" t="e">
        <f>'Summary month'!CC82-E13</f>
        <v>#VALUE!</v>
      </c>
      <c r="G12" s="229" t="e">
        <f>'Summary month'!C83-E14</f>
        <v>#VALUE!</v>
      </c>
      <c r="H12" s="216"/>
      <c r="I12" s="286" t="e">
        <f>SUM(E12:G12)-D12</f>
        <v>#VALUE!</v>
      </c>
      <c r="J12" s="216"/>
      <c r="K12" s="216"/>
      <c r="L12" s="216"/>
      <c r="M12" s="216"/>
      <c r="N12" s="216"/>
      <c r="O12" s="230"/>
      <c r="P12" s="216"/>
      <c r="Q12" s="216"/>
      <c r="R12" s="216"/>
      <c r="AH12" s="230"/>
    </row>
    <row r="13" spans="2:34">
      <c r="B13" s="216"/>
      <c r="C13" s="216"/>
      <c r="D13" s="216"/>
      <c r="E13" s="315" t="e">
        <f>SUM(N9:O9)</f>
        <v>#VALUE!</v>
      </c>
      <c r="F13" s="216" t="s">
        <v>308</v>
      </c>
      <c r="G13" s="216"/>
      <c r="H13" s="216"/>
      <c r="I13" s="216"/>
      <c r="J13" s="216"/>
      <c r="K13" s="216"/>
      <c r="L13" s="216"/>
      <c r="M13" s="216"/>
      <c r="N13" s="216"/>
      <c r="O13" s="216" t="s">
        <v>53</v>
      </c>
      <c r="P13" s="315" t="e">
        <f>-'Summary month'!BY66</f>
        <v>#VALUE!</v>
      </c>
      <c r="Q13" s="216"/>
      <c r="R13" s="216"/>
      <c r="AH13" s="216"/>
    </row>
    <row r="14" spans="2:34">
      <c r="B14" s="216"/>
      <c r="C14" s="216" t="s">
        <v>51</v>
      </c>
      <c r="D14" s="216" t="s">
        <v>50</v>
      </c>
      <c r="E14" s="315" t="e">
        <f>P9</f>
        <v>#VALUE!</v>
      </c>
      <c r="F14" s="216" t="s">
        <v>309</v>
      </c>
      <c r="G14" s="216"/>
      <c r="H14" s="216"/>
      <c r="I14" s="216"/>
      <c r="J14" s="216"/>
      <c r="K14" s="216"/>
      <c r="L14" s="216"/>
      <c r="M14" s="216"/>
      <c r="N14" s="216"/>
      <c r="O14" s="216" t="s">
        <v>54</v>
      </c>
      <c r="P14" s="315" t="e">
        <f>-'Summary month'!BY67</f>
        <v>#VALUE!</v>
      </c>
      <c r="Q14" s="216"/>
      <c r="R14" s="216"/>
      <c r="AH14" s="216"/>
    </row>
    <row r="15" spans="2:34" ht="21" thickBot="1">
      <c r="B15" s="231" t="s">
        <v>157</v>
      </c>
      <c r="C15" s="232" t="s">
        <v>56</v>
      </c>
      <c r="D15" s="232" t="s">
        <v>57</v>
      </c>
      <c r="E15" s="232"/>
      <c r="F15" s="232"/>
      <c r="G15" s="232"/>
      <c r="H15" s="232"/>
      <c r="I15" s="232"/>
      <c r="J15" s="232"/>
      <c r="K15" s="232"/>
      <c r="L15" s="232"/>
      <c r="M15" s="232"/>
      <c r="N15" s="232"/>
      <c r="O15" s="232" t="s">
        <v>55</v>
      </c>
      <c r="P15" s="316" t="e">
        <f>-'Summary month'!BY68</f>
        <v>#VALUE!</v>
      </c>
      <c r="Q15" s="232"/>
      <c r="R15" s="232" t="s">
        <v>60</v>
      </c>
      <c r="AA15" t="s">
        <v>52</v>
      </c>
      <c r="AB15" t="s">
        <v>59</v>
      </c>
      <c r="AH15" s="217" t="s">
        <v>138</v>
      </c>
    </row>
    <row r="16" spans="2:34" ht="21" thickBot="1">
      <c r="B16" s="233"/>
      <c r="C16" s="234" t="s">
        <v>159</v>
      </c>
      <c r="D16" s="234"/>
      <c r="E16" s="234"/>
      <c r="F16" s="234"/>
      <c r="G16" s="234"/>
      <c r="H16" s="234"/>
      <c r="I16" s="234"/>
      <c r="J16" s="234"/>
      <c r="K16" s="234"/>
      <c r="L16" s="234"/>
      <c r="M16" s="234"/>
      <c r="N16" s="234"/>
      <c r="O16" s="234"/>
      <c r="P16" s="234"/>
      <c r="Q16" s="234"/>
      <c r="R16" s="234"/>
      <c r="S16" s="235"/>
      <c r="T16" s="236"/>
      <c r="U16" s="237" t="s">
        <v>160</v>
      </c>
      <c r="V16" s="237"/>
      <c r="W16" s="237"/>
      <c r="X16" s="237"/>
      <c r="Y16" s="237"/>
      <c r="Z16" s="237"/>
      <c r="AA16" s="237"/>
      <c r="AB16" s="237"/>
      <c r="AC16" s="237"/>
      <c r="AD16" s="237"/>
      <c r="AE16" s="237"/>
      <c r="AF16" s="237"/>
      <c r="AG16" s="237"/>
      <c r="AH16" s="238"/>
    </row>
    <row r="17" spans="2:34" ht="20.100000000000001" customHeight="1">
      <c r="B17" s="1027" t="s">
        <v>274</v>
      </c>
      <c r="C17" s="239" t="s">
        <v>161</v>
      </c>
      <c r="D17" s="240"/>
      <c r="E17" s="240"/>
      <c r="F17" s="240"/>
      <c r="G17" s="241"/>
      <c r="H17" s="1017" t="s">
        <v>162</v>
      </c>
      <c r="I17" s="242" t="s">
        <v>163</v>
      </c>
      <c r="J17" s="243"/>
      <c r="K17" s="243"/>
      <c r="L17" s="243"/>
      <c r="M17" s="243"/>
      <c r="N17" s="244"/>
      <c r="O17" s="1019" t="s">
        <v>164</v>
      </c>
      <c r="P17" s="1019" t="s">
        <v>165</v>
      </c>
      <c r="Q17" s="1019" t="s">
        <v>166</v>
      </c>
      <c r="R17" s="1022" t="s">
        <v>167</v>
      </c>
      <c r="S17" s="1023" t="s">
        <v>168</v>
      </c>
      <c r="T17" s="1027" t="s">
        <v>274</v>
      </c>
      <c r="U17" s="245" t="s">
        <v>169</v>
      </c>
      <c r="V17" s="246"/>
      <c r="W17" s="246"/>
      <c r="X17" s="247"/>
      <c r="Y17" s="248" t="s">
        <v>163</v>
      </c>
      <c r="Z17" s="246"/>
      <c r="AA17" s="246"/>
      <c r="AB17" s="246"/>
      <c r="AC17" s="246"/>
      <c r="AD17" s="247"/>
      <c r="AE17" s="1022" t="s">
        <v>166</v>
      </c>
      <c r="AF17" s="1025" t="s">
        <v>167</v>
      </c>
      <c r="AG17" s="311"/>
      <c r="AH17" s="1012" t="s">
        <v>168</v>
      </c>
    </row>
    <row r="18" spans="2:34" ht="77.45" customHeight="1">
      <c r="B18" s="1028"/>
      <c r="C18" s="249" t="s">
        <v>170</v>
      </c>
      <c r="D18" s="250" t="s">
        <v>171</v>
      </c>
      <c r="E18" s="250" t="s">
        <v>172</v>
      </c>
      <c r="F18" s="250" t="s">
        <v>173</v>
      </c>
      <c r="G18" s="251" t="s">
        <v>174</v>
      </c>
      <c r="H18" s="1018"/>
      <c r="I18" s="250" t="s">
        <v>175</v>
      </c>
      <c r="J18" s="250" t="s">
        <v>176</v>
      </c>
      <c r="K18" s="250" t="s">
        <v>177</v>
      </c>
      <c r="L18" s="250" t="s">
        <v>178</v>
      </c>
      <c r="M18" s="250" t="s">
        <v>168</v>
      </c>
      <c r="N18" s="250" t="s">
        <v>179</v>
      </c>
      <c r="O18" s="1020"/>
      <c r="P18" s="1021"/>
      <c r="Q18" s="1021"/>
      <c r="R18" s="1021"/>
      <c r="S18" s="1024"/>
      <c r="T18" s="1028"/>
      <c r="U18" s="307" t="s">
        <v>203</v>
      </c>
      <c r="V18" s="308" t="s">
        <v>180</v>
      </c>
      <c r="W18" s="309" t="s">
        <v>181</v>
      </c>
      <c r="X18" s="310" t="s">
        <v>33</v>
      </c>
      <c r="Y18" s="305" t="s">
        <v>25</v>
      </c>
      <c r="Z18" s="306" t="s">
        <v>183</v>
      </c>
      <c r="AA18" s="306" t="s">
        <v>204</v>
      </c>
      <c r="AB18" s="306" t="s">
        <v>205</v>
      </c>
      <c r="AC18" s="306" t="s">
        <v>184</v>
      </c>
      <c r="AD18" s="306" t="s">
        <v>30</v>
      </c>
      <c r="AE18" s="1021"/>
      <c r="AF18" s="1026"/>
      <c r="AG18" s="312" t="s">
        <v>37</v>
      </c>
      <c r="AH18" s="1013"/>
    </row>
    <row r="19" spans="2:34" ht="21" thickBot="1">
      <c r="B19" s="252" t="e">
        <f>E13</f>
        <v>#VALUE!</v>
      </c>
      <c r="C19" s="253" t="e">
        <f>C61-'Summary month'!CC63-'Summary month'!CC69+M52-N9</f>
        <v>#VALUE!</v>
      </c>
      <c r="D19" s="547">
        <f>S67-'Summary month'!CC63-'Summary month'!CC70-O9</f>
        <v>4.8985993572726576</v>
      </c>
      <c r="E19" s="254">
        <f>E61</f>
        <v>-9.8238263245770554</v>
      </c>
      <c r="F19" s="254">
        <f>F61</f>
        <v>0.22673863190312549</v>
      </c>
      <c r="G19" s="254"/>
      <c r="H19" s="254"/>
      <c r="I19" s="254">
        <f>I61</f>
        <v>4.7155945304368405</v>
      </c>
      <c r="J19" s="255">
        <f>J61</f>
        <v>3.4157950578599894</v>
      </c>
      <c r="K19" s="255">
        <f>K61</f>
        <v>6.9407195975284557</v>
      </c>
      <c r="L19" s="255">
        <f>L61</f>
        <v>0</v>
      </c>
      <c r="M19" s="255">
        <f>M61</f>
        <v>6.528826101417998</v>
      </c>
      <c r="N19" s="255"/>
      <c r="O19" s="254" t="e">
        <f>SUM(P13:P15)</f>
        <v>#VALUE!</v>
      </c>
      <c r="P19" s="254"/>
      <c r="Q19" s="256"/>
      <c r="R19" s="254">
        <f>R61-'Summary month'!CC73</f>
        <v>13.628925184000005</v>
      </c>
      <c r="S19" s="257" t="e">
        <f>F12-SUM(C19:R19)</f>
        <v>#VALUE!</v>
      </c>
      <c r="T19" s="253" t="e">
        <f>E14</f>
        <v>#VALUE!</v>
      </c>
      <c r="U19" s="253">
        <f>U61</f>
        <v>-64.333446299890113</v>
      </c>
      <c r="V19" s="258">
        <f>V61</f>
        <v>-2.6289441545971108</v>
      </c>
      <c r="W19" s="258"/>
      <c r="X19" s="258">
        <f>X61</f>
        <v>-15.627798495512664</v>
      </c>
      <c r="Y19" s="258">
        <v>0</v>
      </c>
      <c r="Z19" s="258">
        <f>Z61</f>
        <v>4.8257253519818262</v>
      </c>
      <c r="AA19" s="258">
        <f>AA61-'Summary month'!CC65-AA20</f>
        <v>-2.2131282339999956</v>
      </c>
      <c r="AB19" s="258">
        <f>-'Summary month'!CC72</f>
        <v>-1.9535469999999999</v>
      </c>
      <c r="AC19" s="258">
        <f>AC61</f>
        <v>-3.6856781657190822</v>
      </c>
      <c r="AD19" s="258">
        <f>AD61</f>
        <v>-22.346955636258166</v>
      </c>
      <c r="AE19" s="256"/>
      <c r="AF19" s="259"/>
      <c r="AG19" s="254" t="e">
        <f>AG61</f>
        <v>#VALUE!</v>
      </c>
      <c r="AH19" s="260" t="e">
        <f>G12-SUM(U19:AG19)</f>
        <v>#VALUE!</v>
      </c>
    </row>
    <row r="20" spans="2:34">
      <c r="B20" s="286" t="e">
        <f>B19-B61</f>
        <v>#VALUE!</v>
      </c>
      <c r="C20" s="286" t="e">
        <f>C19-C61</f>
        <v>#VALUE!</v>
      </c>
      <c r="D20" s="286">
        <f t="shared" ref="D20:S20" si="0">D19-D61</f>
        <v>4.8985993572726576</v>
      </c>
      <c r="E20" s="286">
        <f t="shared" si="0"/>
        <v>0</v>
      </c>
      <c r="F20" s="286">
        <f t="shared" si="0"/>
        <v>0</v>
      </c>
      <c r="G20" s="286">
        <f t="shared" si="0"/>
        <v>0</v>
      </c>
      <c r="H20" s="286">
        <f t="shared" si="0"/>
        <v>0</v>
      </c>
      <c r="I20" s="286">
        <f t="shared" si="0"/>
        <v>0</v>
      </c>
      <c r="J20" s="286">
        <f t="shared" si="0"/>
        <v>0</v>
      </c>
      <c r="K20" s="286">
        <f t="shared" si="0"/>
        <v>0</v>
      </c>
      <c r="L20" s="286">
        <f t="shared" si="0"/>
        <v>0</v>
      </c>
      <c r="M20" s="286">
        <f t="shared" si="0"/>
        <v>0</v>
      </c>
      <c r="N20" s="286">
        <f t="shared" si="0"/>
        <v>0</v>
      </c>
      <c r="O20" s="286" t="e">
        <f t="shared" si="0"/>
        <v>#VALUE!</v>
      </c>
      <c r="P20" s="286">
        <f t="shared" si="0"/>
        <v>0</v>
      </c>
      <c r="Q20" s="286">
        <f t="shared" si="0"/>
        <v>0</v>
      </c>
      <c r="R20" s="286">
        <f t="shared" si="0"/>
        <v>-1.5404800000000005</v>
      </c>
      <c r="S20" s="286" t="e">
        <f t="shared" si="0"/>
        <v>#VALUE!</v>
      </c>
      <c r="T20" s="286"/>
      <c r="U20" s="216"/>
      <c r="V20" s="216"/>
      <c r="W20" s="216"/>
      <c r="X20" s="216"/>
      <c r="Y20" s="216"/>
      <c r="Z20" s="216"/>
      <c r="AA20" s="216"/>
      <c r="AB20" s="216"/>
      <c r="AC20" s="216"/>
      <c r="AD20" s="216"/>
      <c r="AE20" t="s">
        <v>262</v>
      </c>
      <c r="AF20" s="216"/>
      <c r="AG20" s="216"/>
      <c r="AH20" s="216"/>
    </row>
    <row r="21" spans="2:34" ht="20.25">
      <c r="B21" s="221"/>
      <c r="C21" s="261"/>
      <c r="D21" s="262"/>
      <c r="E21" s="262"/>
      <c r="F21" s="262"/>
      <c r="G21" s="262"/>
      <c r="H21" s="262"/>
      <c r="I21" s="262"/>
      <c r="J21" s="262"/>
      <c r="K21" s="262"/>
      <c r="L21" s="262"/>
      <c r="M21" s="262"/>
      <c r="N21" s="262"/>
      <c r="O21" s="262"/>
      <c r="P21" s="262"/>
      <c r="Q21" s="262"/>
      <c r="R21" s="262"/>
      <c r="S21" s="221"/>
      <c r="T21" s="221"/>
      <c r="U21" s="221"/>
      <c r="V21" s="221"/>
      <c r="W21" s="221"/>
      <c r="X21" s="263" t="s">
        <v>185</v>
      </c>
      <c r="Y21" s="264"/>
      <c r="Z21" s="264"/>
      <c r="AA21" s="264"/>
      <c r="AB21" s="265">
        <f>AD19</f>
        <v>-22.346955636258166</v>
      </c>
      <c r="AC21" s="221"/>
      <c r="AD21" s="263" t="s">
        <v>186</v>
      </c>
      <c r="AE21" s="264"/>
      <c r="AF21" s="264"/>
      <c r="AG21" s="264"/>
      <c r="AH21" s="265" t="e">
        <f>AH19</f>
        <v>#VALUE!</v>
      </c>
    </row>
    <row r="22" spans="2:34" ht="18">
      <c r="B22" s="216"/>
      <c r="C22" s="266"/>
      <c r="D22" s="267"/>
      <c r="E22" s="267"/>
      <c r="F22" s="267"/>
      <c r="G22" s="267"/>
      <c r="H22" s="267"/>
      <c r="I22" s="267">
        <f>E6-D6</f>
        <v>0</v>
      </c>
      <c r="J22" s="267"/>
      <c r="K22" s="267"/>
      <c r="L22" s="267"/>
      <c r="M22" s="267"/>
      <c r="N22" s="267"/>
      <c r="O22" s="267"/>
      <c r="P22" s="267"/>
      <c r="Q22" s="267"/>
      <c r="R22" s="267"/>
      <c r="S22" s="216"/>
      <c r="T22" s="216"/>
      <c r="U22" s="431"/>
      <c r="V22" s="216"/>
      <c r="W22" s="216"/>
      <c r="X22" s="268">
        <v>1</v>
      </c>
      <c r="Y22" s="269"/>
      <c r="Z22" s="270"/>
      <c r="AA22" s="270"/>
      <c r="AB22" s="271"/>
      <c r="AC22" s="216"/>
      <c r="AD22" s="268">
        <v>1</v>
      </c>
      <c r="AE22" s="276" t="s">
        <v>430</v>
      </c>
      <c r="AF22" s="277"/>
      <c r="AG22" s="277"/>
      <c r="AH22" s="278">
        <v>8.1798648663039693</v>
      </c>
    </row>
    <row r="23" spans="2:34" ht="20.25">
      <c r="B23" s="221" t="s">
        <v>277</v>
      </c>
      <c r="C23" s="426">
        <f>C61</f>
        <v>83.76872166716123</v>
      </c>
      <c r="D23" s="216"/>
      <c r="E23" s="216" t="s">
        <v>281</v>
      </c>
      <c r="F23" s="216" t="s">
        <v>274</v>
      </c>
      <c r="G23" s="216"/>
      <c r="H23" s="216"/>
      <c r="I23" s="634" t="s">
        <v>188</v>
      </c>
      <c r="J23" s="274"/>
      <c r="K23" s="274"/>
      <c r="L23" s="274"/>
      <c r="M23" s="275">
        <f>M19</f>
        <v>6.528826101417998</v>
      </c>
      <c r="N23" s="216"/>
      <c r="O23" s="216"/>
      <c r="P23" s="216"/>
      <c r="Q23" s="216"/>
      <c r="R23" s="216"/>
      <c r="S23" s="216"/>
      <c r="T23" s="216"/>
      <c r="U23" s="216"/>
      <c r="V23" s="216"/>
      <c r="W23" s="216"/>
      <c r="X23" s="268">
        <v>2</v>
      </c>
      <c r="Y23" s="276"/>
      <c r="Z23" s="277"/>
      <c r="AA23" s="277"/>
      <c r="AB23" s="278"/>
      <c r="AC23" s="216"/>
      <c r="AD23" s="268">
        <v>2</v>
      </c>
      <c r="AE23" s="276" t="s">
        <v>435</v>
      </c>
      <c r="AF23" s="277"/>
      <c r="AG23" s="277"/>
      <c r="AH23" s="278">
        <v>0.29073813172910101</v>
      </c>
    </row>
    <row r="24" spans="2:34" ht="18">
      <c r="B24" s="216" t="s">
        <v>278</v>
      </c>
      <c r="C24" s="579" t="e">
        <f>-INDEX('Summary month'!$BT$17:$BW$74,MATCH(C14,'Summary month'!$D$17:$D$74,0),MATCH($C$1,'Summary month'!$BT$6:$BW$6,0))</f>
        <v>#REF!</v>
      </c>
      <c r="D24" s="216"/>
      <c r="E24" s="435" t="e">
        <f>C24-F24</f>
        <v>#REF!</v>
      </c>
      <c r="F24" s="436">
        <v>-5.36302873092722</v>
      </c>
      <c r="G24" s="216"/>
      <c r="H24" s="216"/>
      <c r="I24" s="279">
        <v>1</v>
      </c>
      <c r="J24" s="635" t="str">
        <f>J66</f>
        <v>ITP relief timing (outside PER)</v>
      </c>
      <c r="K24" s="270"/>
      <c r="L24" s="270"/>
      <c r="M24" s="280">
        <f>M66</f>
        <v>10</v>
      </c>
      <c r="N24" s="216"/>
      <c r="O24" s="216"/>
      <c r="P24" s="216"/>
      <c r="Q24" s="216"/>
      <c r="R24" s="216"/>
      <c r="S24" s="216"/>
      <c r="T24" s="216"/>
      <c r="U24" s="216"/>
      <c r="V24" s="216"/>
      <c r="W24" s="216"/>
      <c r="X24" s="268">
        <v>3</v>
      </c>
      <c r="Y24" s="276"/>
      <c r="Z24" s="277"/>
      <c r="AA24" s="277"/>
      <c r="AB24" s="278"/>
      <c r="AC24" s="216"/>
      <c r="AD24" s="268">
        <v>3</v>
      </c>
      <c r="AE24" s="276"/>
      <c r="AF24" s="277"/>
      <c r="AG24" s="277"/>
      <c r="AH24" s="278"/>
    </row>
    <row r="25" spans="2:34" ht="18">
      <c r="B25" s="216" t="s">
        <v>279</v>
      </c>
      <c r="C25" s="427" t="e">
        <f>-INDEX('Summary month'!$BT$17:$BW$74,MATCH(C15,'Summary month'!$D$17:$D$74,0),MATCH($C$1,'Summary month'!$BT$6:$BW$6,0))</f>
        <v>#REF!</v>
      </c>
      <c r="D25" s="216"/>
      <c r="E25" s="216"/>
      <c r="F25" s="216"/>
      <c r="G25" s="216"/>
      <c r="H25" s="216"/>
      <c r="I25" s="279">
        <v>2</v>
      </c>
      <c r="J25" s="276" t="str">
        <f t="shared" ref="J25:J31" si="1">J67</f>
        <v>Supplier claims (timing)</v>
      </c>
      <c r="K25" s="277"/>
      <c r="L25" s="277"/>
      <c r="M25" s="281">
        <f t="shared" ref="M25:M31" si="2">M67</f>
        <v>-15</v>
      </c>
      <c r="N25" s="216"/>
      <c r="O25" s="216"/>
      <c r="P25" s="216"/>
      <c r="Q25" s="216"/>
      <c r="R25" s="216"/>
      <c r="S25" s="216"/>
      <c r="T25" s="216"/>
      <c r="U25" s="216"/>
      <c r="V25" s="216"/>
      <c r="W25" s="216"/>
      <c r="X25" s="268">
        <v>4</v>
      </c>
      <c r="Y25" s="276"/>
      <c r="Z25" s="277"/>
      <c r="AA25" s="277"/>
      <c r="AB25" s="278"/>
      <c r="AC25" s="216"/>
      <c r="AD25" s="268">
        <v>4</v>
      </c>
      <c r="AE25" s="276"/>
      <c r="AF25" s="277"/>
      <c r="AG25" s="277"/>
      <c r="AH25" s="278"/>
    </row>
    <row r="26" spans="2:34" ht="18">
      <c r="B26" s="216" t="s">
        <v>280</v>
      </c>
      <c r="C26" s="438" t="e">
        <f>(M52-N9)</f>
        <v>#VALUE!</v>
      </c>
      <c r="D26" s="216"/>
      <c r="E26" s="216"/>
      <c r="F26" s="216"/>
      <c r="G26" s="216"/>
      <c r="H26" s="216"/>
      <c r="I26" s="279">
        <v>3</v>
      </c>
      <c r="J26" s="276" t="str">
        <f t="shared" si="1"/>
        <v>ILN Parts business/Other OMP</v>
      </c>
      <c r="K26" s="277"/>
      <c r="L26" s="277"/>
      <c r="M26" s="281">
        <f t="shared" si="2"/>
        <v>7</v>
      </c>
      <c r="N26" s="216"/>
      <c r="O26" s="216"/>
      <c r="P26" s="216"/>
      <c r="Q26" s="216"/>
      <c r="R26" s="216"/>
      <c r="S26" s="216"/>
      <c r="T26" s="216"/>
      <c r="U26" s="216"/>
      <c r="V26" s="216"/>
      <c r="W26" s="216"/>
      <c r="X26" s="282">
        <v>5</v>
      </c>
      <c r="Y26" s="283" t="s">
        <v>182</v>
      </c>
      <c r="Z26" s="284"/>
      <c r="AA26" s="284"/>
      <c r="AB26" s="285">
        <f>AB21-SUM(AB22:AB25)</f>
        <v>-22.346955636258166</v>
      </c>
      <c r="AC26" s="216"/>
      <c r="AD26" s="282">
        <v>5</v>
      </c>
      <c r="AE26" s="283" t="s">
        <v>182</v>
      </c>
      <c r="AF26" s="284"/>
      <c r="AG26" s="284"/>
      <c r="AH26" s="285" t="e">
        <f>AH21-SUM(AH22:AH25)</f>
        <v>#VALUE!</v>
      </c>
    </row>
    <row r="27" spans="2:34" ht="18">
      <c r="B27" s="216"/>
      <c r="C27" s="216"/>
      <c r="D27" s="272"/>
      <c r="E27" s="272"/>
      <c r="F27" s="272"/>
      <c r="G27" s="272"/>
      <c r="H27" s="272"/>
      <c r="I27" s="279">
        <v>4</v>
      </c>
      <c r="J27" s="276" t="str">
        <f t="shared" si="1"/>
        <v>Holiday pay (timing)</v>
      </c>
      <c r="K27" s="277"/>
      <c r="L27" s="277"/>
      <c r="M27" s="281">
        <f t="shared" si="2"/>
        <v>7</v>
      </c>
      <c r="N27" s="216"/>
      <c r="O27" s="216"/>
      <c r="P27" s="272"/>
      <c r="Q27" s="272"/>
      <c r="R27" s="216"/>
      <c r="S27" s="216"/>
      <c r="T27" s="216"/>
      <c r="U27" s="216"/>
      <c r="V27" s="216"/>
      <c r="W27" s="216"/>
      <c r="X27" s="216"/>
      <c r="Y27" s="216"/>
      <c r="Z27" s="216"/>
      <c r="AA27" s="216"/>
      <c r="AB27" s="286">
        <f>AB26-AA70</f>
        <v>0</v>
      </c>
      <c r="AC27" s="216"/>
      <c r="AD27" s="216"/>
      <c r="AE27" s="216"/>
      <c r="AF27" s="216"/>
      <c r="AG27" s="287"/>
      <c r="AH27" s="286" t="e">
        <f>AH26-AH70</f>
        <v>#VALUE!</v>
      </c>
    </row>
    <row r="28" spans="2:34" ht="18">
      <c r="B28" s="216"/>
      <c r="C28" s="272"/>
      <c r="D28" s="216"/>
      <c r="E28" s="216"/>
      <c r="F28" s="529"/>
      <c r="G28" s="216"/>
      <c r="H28" s="216"/>
      <c r="I28" s="279">
        <v>5</v>
      </c>
      <c r="J28" s="276" t="str">
        <f t="shared" si="1"/>
        <v>Inv movement</v>
      </c>
      <c r="K28" s="277"/>
      <c r="L28" s="277"/>
      <c r="M28" s="281">
        <f t="shared" si="2"/>
        <v>7</v>
      </c>
      <c r="N28" s="216"/>
      <c r="O28" s="216"/>
      <c r="P28" s="216"/>
      <c r="Q28" s="216"/>
      <c r="R28" s="216"/>
      <c r="S28" s="216"/>
      <c r="T28" s="216"/>
      <c r="U28" s="216"/>
      <c r="V28" s="216"/>
      <c r="W28" s="216"/>
      <c r="X28" s="216"/>
      <c r="Y28" s="216"/>
      <c r="Z28" s="216"/>
      <c r="AA28" s="216"/>
      <c r="AB28" s="216"/>
      <c r="AC28" s="216"/>
      <c r="AD28" s="216"/>
      <c r="AE28" s="216"/>
      <c r="AF28" s="216"/>
      <c r="AG28" s="216"/>
      <c r="AH28" s="216"/>
    </row>
    <row r="29" spans="2:34" ht="18">
      <c r="B29" s="216"/>
      <c r="C29" s="272"/>
      <c r="D29" s="216"/>
      <c r="E29" s="216"/>
      <c r="F29" s="216"/>
      <c r="G29" s="216"/>
      <c r="H29" s="216"/>
      <c r="I29" s="279">
        <v>6</v>
      </c>
      <c r="J29" s="276" t="str">
        <f t="shared" si="1"/>
        <v>X-vbadge</v>
      </c>
      <c r="K29" s="277"/>
      <c r="L29" s="277"/>
      <c r="M29" s="281">
        <f t="shared" si="2"/>
        <v>-3.4155338640000004</v>
      </c>
      <c r="N29" s="216"/>
      <c r="O29" s="216"/>
      <c r="P29" s="216"/>
      <c r="Q29" s="216"/>
      <c r="R29" s="216"/>
      <c r="S29" s="216"/>
      <c r="T29" s="216"/>
      <c r="U29" s="216"/>
      <c r="V29" s="216"/>
      <c r="W29" s="216"/>
      <c r="X29" s="216"/>
      <c r="Y29" s="216"/>
      <c r="Z29" s="216"/>
      <c r="AA29" s="216"/>
      <c r="AB29" s="216"/>
      <c r="AC29" s="216"/>
      <c r="AD29" s="216"/>
      <c r="AE29" s="216"/>
      <c r="AF29" s="216"/>
      <c r="AG29" s="216"/>
      <c r="AH29" s="216"/>
    </row>
    <row r="30" spans="2:34" ht="18">
      <c r="B30" s="216"/>
      <c r="C30" s="272"/>
      <c r="D30" s="272"/>
      <c r="E30" s="216"/>
      <c r="F30" s="216"/>
      <c r="G30" s="216"/>
      <c r="H30" s="216"/>
      <c r="I30" s="279">
        <v>7</v>
      </c>
      <c r="J30" s="276" t="str">
        <f t="shared" si="1"/>
        <v>Duties</v>
      </c>
      <c r="K30" s="277"/>
      <c r="L30" s="277"/>
      <c r="M30" s="281">
        <f t="shared" si="2"/>
        <v>7.6537420000000189E-3</v>
      </c>
      <c r="N30" s="216"/>
      <c r="O30" s="216"/>
      <c r="P30" s="216"/>
      <c r="Q30" s="216"/>
      <c r="R30" s="216"/>
      <c r="S30" s="216"/>
      <c r="T30" s="216"/>
      <c r="U30" s="216"/>
      <c r="V30" s="216"/>
      <c r="W30" s="216"/>
      <c r="X30" s="216"/>
      <c r="Y30" s="216"/>
      <c r="Z30" s="216"/>
      <c r="AA30" s="216"/>
      <c r="AB30" s="216"/>
      <c r="AC30" s="216"/>
      <c r="AD30" s="216"/>
      <c r="AE30" s="216"/>
      <c r="AF30" s="216"/>
      <c r="AG30" s="216"/>
      <c r="AH30" s="216"/>
    </row>
    <row r="31" spans="2:34" ht="18">
      <c r="B31" s="216"/>
      <c r="C31" s="291"/>
      <c r="D31" s="216"/>
      <c r="E31" s="216"/>
      <c r="F31" s="292" t="s">
        <v>189</v>
      </c>
      <c r="G31" s="216"/>
      <c r="H31" s="216"/>
      <c r="I31" s="279">
        <v>8</v>
      </c>
      <c r="J31" s="276" t="str">
        <f t="shared" si="1"/>
        <v>Logistics</v>
      </c>
      <c r="K31" s="277"/>
      <c r="L31" s="277"/>
      <c r="M31" s="281">
        <f t="shared" si="2"/>
        <v>-6.7358609110000014</v>
      </c>
      <c r="N31" s="216"/>
      <c r="O31" s="216"/>
      <c r="P31" s="216"/>
      <c r="Q31" s="216"/>
      <c r="R31" s="216"/>
      <c r="S31" s="216"/>
      <c r="T31" s="216"/>
      <c r="U31" s="216"/>
      <c r="V31" s="216"/>
      <c r="W31" s="216"/>
      <c r="X31" s="216"/>
      <c r="Y31" s="216"/>
      <c r="Z31" s="216"/>
      <c r="AA31" s="216"/>
      <c r="AB31" s="216"/>
      <c r="AC31" s="216"/>
      <c r="AD31" s="216"/>
      <c r="AE31" s="216"/>
      <c r="AF31" s="216"/>
      <c r="AG31" s="216"/>
      <c r="AH31" s="216"/>
    </row>
    <row r="32" spans="2:34" ht="20.25">
      <c r="B32" s="216"/>
      <c r="C32" s="216"/>
      <c r="D32" s="293" t="s">
        <v>420</v>
      </c>
      <c r="E32" s="293" t="s">
        <v>431</v>
      </c>
      <c r="F32" s="293" t="s">
        <v>190</v>
      </c>
      <c r="G32" s="216"/>
      <c r="H32" s="216"/>
      <c r="I32" s="279">
        <v>9</v>
      </c>
      <c r="J32" s="276"/>
      <c r="K32" s="277"/>
      <c r="L32" s="277"/>
      <c r="M32" s="281"/>
      <c r="N32" s="216"/>
      <c r="O32" s="273" t="s">
        <v>191</v>
      </c>
      <c r="P32" s="274"/>
      <c r="Q32" s="274"/>
      <c r="R32" s="274"/>
      <c r="S32" s="294" t="e">
        <f>S19</f>
        <v>#VALUE!</v>
      </c>
      <c r="T32" s="216"/>
      <c r="U32" s="272"/>
      <c r="V32" s="272"/>
      <c r="W32" s="272"/>
      <c r="X32" s="216"/>
      <c r="Y32" s="216"/>
      <c r="Z32" s="216"/>
      <c r="AA32" s="216"/>
      <c r="AB32" s="216"/>
      <c r="AC32" s="216"/>
      <c r="AD32" s="216"/>
      <c r="AE32" s="216"/>
      <c r="AF32" s="216"/>
      <c r="AG32" s="216"/>
      <c r="AH32" s="216"/>
    </row>
    <row r="33" spans="2:34" ht="20.25">
      <c r="B33" s="216"/>
      <c r="C33" s="295" t="s">
        <v>192</v>
      </c>
      <c r="D33" s="368" t="e">
        <f>SUM('Summary month'!BR11:BR13)*1000</f>
        <v>#REF!</v>
      </c>
      <c r="E33" s="368">
        <f>SUM('Summary month'!H11:H13)*1000</f>
        <v>0</v>
      </c>
      <c r="F33" s="296" t="e">
        <f>E33-D33</f>
        <v>#REF!</v>
      </c>
      <c r="G33" s="216"/>
      <c r="H33" s="216"/>
      <c r="I33" s="288">
        <v>10</v>
      </c>
      <c r="J33" s="289" t="str">
        <f>J76</f>
        <v>Others</v>
      </c>
      <c r="K33" s="284"/>
      <c r="L33" s="284"/>
      <c r="M33" s="290">
        <f>M23-SUM(M24:M31)</f>
        <v>0.67256713441799931</v>
      </c>
      <c r="N33" s="216"/>
      <c r="O33" s="279">
        <v>1</v>
      </c>
      <c r="P33" s="269" t="str">
        <f>Q66</f>
        <v>UC</v>
      </c>
      <c r="Q33" s="270"/>
      <c r="R33" s="270"/>
      <c r="S33" s="280">
        <f>S66</f>
        <v>-0.63975337400000021</v>
      </c>
      <c r="T33" s="216"/>
      <c r="U33" s="216"/>
      <c r="V33" s="216"/>
      <c r="W33" s="216"/>
      <c r="X33" s="297"/>
      <c r="Y33" s="216"/>
      <c r="Z33" s="216"/>
      <c r="AA33" s="216"/>
      <c r="AB33" s="216"/>
      <c r="AC33" s="216"/>
      <c r="AD33" s="216"/>
      <c r="AE33" s="216"/>
      <c r="AF33" s="216"/>
      <c r="AG33" s="216"/>
      <c r="AH33" s="216"/>
    </row>
    <row r="34" spans="2:34" ht="20.25">
      <c r="B34" s="216"/>
      <c r="C34" s="295" t="s">
        <v>194</v>
      </c>
      <c r="D34" s="368" t="e">
        <f>'Summary month'!BR14*1000</f>
        <v>#REF!</v>
      </c>
      <c r="E34" s="368" t="e">
        <f>'Summary month'!H14*1000</f>
        <v>#VALUE!</v>
      </c>
      <c r="F34" s="296" t="e">
        <f>E34-D34</f>
        <v>#VALUE!</v>
      </c>
      <c r="G34" s="216"/>
      <c r="H34" s="216"/>
      <c r="I34" s="216"/>
      <c r="J34" s="216"/>
      <c r="K34" s="216"/>
      <c r="L34" s="216"/>
      <c r="M34" s="216"/>
      <c r="N34" s="216"/>
      <c r="O34" s="279">
        <v>2</v>
      </c>
      <c r="P34" s="276" t="str">
        <f>Q68</f>
        <v>NRV</v>
      </c>
      <c r="Q34" s="277"/>
      <c r="R34" s="277"/>
      <c r="S34" s="281">
        <f>S68</f>
        <v>5.6528019911363216</v>
      </c>
      <c r="T34" s="216"/>
      <c r="U34" s="552" t="e">
        <f>-S67+S35</f>
        <v>#VALUE!</v>
      </c>
      <c r="V34" s="216"/>
      <c r="W34" s="216"/>
      <c r="X34" s="216"/>
      <c r="Y34" s="216"/>
      <c r="Z34" s="216"/>
      <c r="AA34" s="216"/>
      <c r="AB34" s="216"/>
      <c r="AC34" s="216"/>
      <c r="AD34" s="216"/>
      <c r="AE34" s="216"/>
      <c r="AF34" s="216"/>
      <c r="AG34" s="216"/>
      <c r="AH34" s="216"/>
    </row>
    <row r="35" spans="2:34" ht="18">
      <c r="B35" s="216"/>
      <c r="C35" s="216"/>
      <c r="D35" s="298"/>
      <c r="E35" s="298"/>
      <c r="F35" s="298"/>
      <c r="G35" s="216"/>
      <c r="H35" s="216"/>
      <c r="I35" s="216"/>
      <c r="J35" s="216"/>
      <c r="K35" s="216"/>
      <c r="L35" s="216"/>
      <c r="M35" s="216"/>
      <c r="N35" s="216"/>
      <c r="O35" s="279">
        <v>3</v>
      </c>
      <c r="P35" s="276" t="s">
        <v>58</v>
      </c>
      <c r="Q35" s="277"/>
      <c r="R35" s="277"/>
      <c r="S35" s="281" t="e">
        <f>'Summary month'!BY71</f>
        <v>#VALUE!</v>
      </c>
      <c r="T35" s="216"/>
      <c r="U35" s="216"/>
      <c r="V35" s="216"/>
      <c r="W35" s="216"/>
      <c r="X35" s="216"/>
      <c r="Y35" s="216"/>
      <c r="Z35" s="216"/>
      <c r="AA35" s="216"/>
      <c r="AB35" s="216"/>
      <c r="AC35" s="216"/>
      <c r="AD35" s="216"/>
      <c r="AE35" s="216"/>
      <c r="AF35" s="216"/>
      <c r="AG35" s="216"/>
      <c r="AH35" s="216"/>
    </row>
    <row r="36" spans="2:34" ht="20.25">
      <c r="B36" s="216"/>
      <c r="C36" s="295" t="s">
        <v>196</v>
      </c>
      <c r="D36" s="368">
        <f>[12]MZ!$G$12</f>
        <v>25173.8</v>
      </c>
      <c r="E36" s="296">
        <f>'[7]P&amp;L vs BP'!U18</f>
        <v>28843.4</v>
      </c>
      <c r="F36" s="296">
        <f>E36-D36</f>
        <v>3669.6000000000022</v>
      </c>
      <c r="G36" s="216"/>
      <c r="H36" s="216"/>
      <c r="I36" s="216"/>
      <c r="J36" s="216"/>
      <c r="K36" s="216"/>
      <c r="L36" s="216"/>
      <c r="M36" s="216"/>
      <c r="N36" s="216"/>
      <c r="O36" s="279">
        <v>4</v>
      </c>
      <c r="P36" s="276" t="str">
        <f>Q69</f>
        <v>CAFÉ</v>
      </c>
      <c r="Q36" s="277"/>
      <c r="R36" s="277"/>
      <c r="S36" s="281">
        <f>S69</f>
        <v>-17.463388982999991</v>
      </c>
      <c r="T36" s="216"/>
      <c r="U36" s="216"/>
      <c r="V36" s="216"/>
      <c r="W36" s="216"/>
      <c r="X36" s="216"/>
      <c r="Y36" s="216"/>
      <c r="Z36" s="216"/>
      <c r="AA36" s="216"/>
      <c r="AB36" s="216"/>
      <c r="AC36" s="216"/>
      <c r="AD36" s="216"/>
      <c r="AE36" s="216"/>
      <c r="AF36" s="216"/>
      <c r="AG36" s="216"/>
      <c r="AH36" s="216"/>
    </row>
    <row r="37" spans="2:34" ht="18">
      <c r="B37" s="216"/>
      <c r="C37" s="216"/>
      <c r="D37" s="216"/>
      <c r="E37" s="216"/>
      <c r="F37" s="216"/>
      <c r="G37" s="216"/>
      <c r="H37" s="216"/>
      <c r="I37" s="216"/>
      <c r="J37" s="216"/>
      <c r="K37" s="216"/>
      <c r="L37" s="216"/>
      <c r="M37" s="216"/>
      <c r="N37" s="216"/>
      <c r="O37" s="279">
        <v>5</v>
      </c>
      <c r="P37" s="276" t="s">
        <v>247</v>
      </c>
      <c r="Q37" s="277"/>
      <c r="R37" s="550"/>
      <c r="S37" s="281">
        <f>S70</f>
        <v>42.533471348662196</v>
      </c>
      <c r="T37" s="216"/>
      <c r="U37" s="216"/>
      <c r="V37" s="216"/>
      <c r="W37" s="216"/>
      <c r="X37" s="216"/>
      <c r="Y37" s="216"/>
      <c r="Z37" s="216"/>
      <c r="AA37" s="216"/>
      <c r="AB37" s="216"/>
      <c r="AC37" s="216"/>
      <c r="AD37" s="216"/>
      <c r="AE37" s="216"/>
      <c r="AF37" s="216"/>
      <c r="AG37" s="216"/>
      <c r="AH37" s="216"/>
    </row>
    <row r="38" spans="2:34" ht="18">
      <c r="B38" s="216"/>
      <c r="C38" s="216"/>
      <c r="D38" s="216"/>
      <c r="E38" s="216"/>
      <c r="F38" s="216"/>
      <c r="G38" s="216"/>
      <c r="H38" s="216"/>
      <c r="I38" s="216"/>
      <c r="J38" s="216"/>
      <c r="K38" s="216"/>
      <c r="L38" s="216"/>
      <c r="M38" s="216"/>
      <c r="N38" s="216"/>
      <c r="O38" s="279">
        <v>6</v>
      </c>
      <c r="P38" s="276" t="str">
        <f>Q71</f>
        <v>OCS no TdC</v>
      </c>
      <c r="Q38" s="277"/>
      <c r="R38" s="277"/>
      <c r="S38" s="281">
        <f>S71</f>
        <v>13.093572144333853</v>
      </c>
      <c r="T38" s="216"/>
      <c r="U38" s="216"/>
      <c r="V38" s="216"/>
      <c r="W38" s="216"/>
      <c r="X38" s="216"/>
      <c r="Y38" s="216"/>
      <c r="Z38" s="216"/>
      <c r="AA38" s="216"/>
      <c r="AB38" s="216"/>
      <c r="AC38" s="216"/>
      <c r="AD38" s="216"/>
      <c r="AE38" s="216"/>
      <c r="AF38" s="216"/>
      <c r="AG38" s="216"/>
      <c r="AH38" s="216"/>
    </row>
    <row r="39" spans="2:34" ht="18">
      <c r="B39" s="216"/>
      <c r="C39" s="216"/>
      <c r="D39" s="216"/>
      <c r="E39" s="216"/>
      <c r="F39" s="216"/>
      <c r="G39" s="216"/>
      <c r="H39" s="216"/>
      <c r="I39" s="216"/>
      <c r="J39" s="216"/>
      <c r="K39" s="216"/>
      <c r="L39" s="216"/>
      <c r="M39" s="216"/>
      <c r="N39" s="216"/>
      <c r="O39" s="279">
        <v>7</v>
      </c>
      <c r="P39" s="276"/>
      <c r="Q39" s="277"/>
      <c r="R39" s="277"/>
      <c r="S39" s="281"/>
      <c r="T39" s="216"/>
      <c r="U39" s="216"/>
      <c r="V39" s="216"/>
      <c r="W39" s="216"/>
      <c r="X39" s="216"/>
      <c r="Y39" s="216"/>
      <c r="Z39" s="216"/>
      <c r="AA39" s="216"/>
      <c r="AB39" s="216"/>
      <c r="AC39" s="216"/>
      <c r="AD39" s="216"/>
      <c r="AE39" s="216"/>
      <c r="AF39" s="216"/>
      <c r="AG39" s="216"/>
      <c r="AH39" s="216"/>
    </row>
    <row r="40" spans="2:34" ht="18">
      <c r="B40" s="216"/>
      <c r="C40" s="216"/>
      <c r="D40" s="216"/>
      <c r="E40" s="216"/>
      <c r="F40" s="216"/>
      <c r="G40" s="216"/>
      <c r="H40" s="216"/>
      <c r="I40" s="216"/>
      <c r="J40" s="216"/>
      <c r="K40" s="216"/>
      <c r="L40" s="216"/>
      <c r="M40" s="216"/>
      <c r="N40" s="216"/>
      <c r="O40" s="279">
        <v>8</v>
      </c>
      <c r="P40" s="276"/>
      <c r="Q40" s="277"/>
      <c r="R40" s="277"/>
      <c r="S40" s="278"/>
      <c r="T40" s="216"/>
      <c r="U40" s="216"/>
      <c r="V40" s="216"/>
      <c r="W40" s="216"/>
      <c r="X40" s="216"/>
      <c r="Y40" s="216"/>
      <c r="Z40" s="216"/>
      <c r="AA40" s="216"/>
      <c r="AB40" s="216"/>
      <c r="AC40" s="216"/>
      <c r="AD40" s="216"/>
      <c r="AE40" s="216"/>
      <c r="AF40" s="216"/>
      <c r="AG40" s="216"/>
      <c r="AH40" s="216"/>
    </row>
    <row r="41" spans="2:34" ht="18">
      <c r="B41" s="216"/>
      <c r="C41" s="216"/>
      <c r="D41" s="216"/>
      <c r="E41" s="216"/>
      <c r="F41" s="216"/>
      <c r="G41" s="216"/>
      <c r="H41" s="216"/>
      <c r="I41" s="216"/>
      <c r="J41" s="216"/>
      <c r="K41" s="216"/>
      <c r="L41" s="216"/>
      <c r="M41" s="216"/>
      <c r="N41" s="216"/>
      <c r="O41" s="279">
        <v>9</v>
      </c>
      <c r="P41" s="276"/>
      <c r="Q41" s="277"/>
      <c r="R41" s="277"/>
      <c r="S41" s="278"/>
      <c r="T41" s="216"/>
      <c r="U41" s="216"/>
      <c r="V41" s="216"/>
      <c r="W41" s="216"/>
      <c r="X41" s="216"/>
      <c r="Y41" s="216"/>
      <c r="Z41" s="216"/>
      <c r="AA41" s="216"/>
      <c r="AB41" s="216"/>
      <c r="AC41" s="216"/>
      <c r="AD41" s="216"/>
      <c r="AE41" s="216"/>
      <c r="AF41" s="216"/>
      <c r="AG41" s="216"/>
      <c r="AH41" s="216"/>
    </row>
    <row r="42" spans="2:34" ht="18">
      <c r="B42" s="216"/>
      <c r="C42" s="216"/>
      <c r="D42" s="216"/>
      <c r="E42" s="216"/>
      <c r="F42" s="216"/>
      <c r="G42" s="216"/>
      <c r="H42" s="216"/>
      <c r="I42" s="216"/>
      <c r="J42" s="216"/>
      <c r="K42" s="216"/>
      <c r="L42" s="216"/>
      <c r="M42" s="216"/>
      <c r="N42" s="216"/>
      <c r="O42" s="288">
        <v>10</v>
      </c>
      <c r="P42" s="283" t="s">
        <v>182</v>
      </c>
      <c r="Q42" s="284"/>
      <c r="R42" s="284"/>
      <c r="S42" s="285" t="e">
        <f>S32-SUM(S33:S41)</f>
        <v>#VALUE!</v>
      </c>
      <c r="T42" s="216"/>
      <c r="U42" s="216"/>
      <c r="V42" s="216"/>
      <c r="W42" s="216"/>
      <c r="X42" s="216"/>
      <c r="Y42" s="216"/>
      <c r="Z42" s="216"/>
      <c r="AA42" s="216"/>
      <c r="AB42" s="216"/>
      <c r="AC42" s="216"/>
      <c r="AD42" s="216"/>
      <c r="AE42" s="216"/>
      <c r="AF42" s="216"/>
      <c r="AG42" s="216"/>
      <c r="AH42" s="216"/>
    </row>
    <row r="43" spans="2:34">
      <c r="B43" s="216"/>
      <c r="C43" s="216"/>
      <c r="D43" s="216"/>
      <c r="E43" s="216"/>
      <c r="F43" s="216"/>
      <c r="G43" s="216"/>
      <c r="H43" s="216"/>
      <c r="I43" s="216"/>
      <c r="J43" s="216"/>
      <c r="K43" s="216"/>
      <c r="L43" s="216"/>
      <c r="M43" s="216"/>
      <c r="N43" s="216"/>
      <c r="O43" s="216"/>
      <c r="P43" s="216"/>
      <c r="Q43" s="216"/>
      <c r="R43" s="216"/>
      <c r="S43" s="286" t="e">
        <f>S42-S75</f>
        <v>#VALUE!</v>
      </c>
      <c r="T43" s="286"/>
      <c r="U43" s="216"/>
      <c r="V43" s="216"/>
      <c r="W43" s="216"/>
      <c r="X43" s="216"/>
      <c r="Y43" s="216"/>
      <c r="Z43" s="216"/>
      <c r="AA43" s="216"/>
      <c r="AB43" s="216"/>
      <c r="AC43" s="216"/>
      <c r="AD43" s="216"/>
      <c r="AE43" s="216"/>
      <c r="AF43" s="216"/>
      <c r="AG43" s="216"/>
      <c r="AH43" s="216"/>
    </row>
    <row r="44" spans="2:34" ht="28.5">
      <c r="B44" s="299" t="s">
        <v>197</v>
      </c>
      <c r="C44" s="216"/>
      <c r="D44" s="216"/>
      <c r="E44" s="216"/>
      <c r="F44" s="216"/>
      <c r="G44" s="216"/>
      <c r="H44" s="216"/>
      <c r="I44" s="216"/>
      <c r="J44" s="216"/>
      <c r="K44" s="1037"/>
      <c r="L44" s="216"/>
      <c r="M44" s="216"/>
      <c r="N44" s="216"/>
      <c r="O44" s="216"/>
      <c r="P44" s="216"/>
      <c r="Q44" s="216"/>
      <c r="R44" s="216"/>
      <c r="S44" s="216"/>
      <c r="T44" s="216"/>
      <c r="U44" s="216"/>
      <c r="V44" s="216"/>
      <c r="W44" s="216"/>
      <c r="X44" s="216"/>
      <c r="Y44" s="216"/>
      <c r="Z44" s="216"/>
      <c r="AA44" s="216"/>
      <c r="AB44" s="216"/>
      <c r="AC44" s="216"/>
      <c r="AD44" s="216"/>
      <c r="AE44" s="216"/>
      <c r="AF44" s="216"/>
      <c r="AG44" s="216"/>
      <c r="AH44" s="216"/>
    </row>
    <row r="45" spans="2:34">
      <c r="B45" s="216"/>
      <c r="C45" s="216" t="e">
        <f>INDEX('Summary month'!$BP$46:$BS$46,1,MATCH($C$1,'Summary month'!$BT$6:$BW$6,0))</f>
        <v>#REF!</v>
      </c>
      <c r="D45" s="216" t="e">
        <f>INDEX('Summary month'!$BR$46,1,MATCH($D$1,'Summary month'!$BR$6,0))</f>
        <v>#N/A</v>
      </c>
      <c r="E45" s="216"/>
      <c r="F45" s="216"/>
      <c r="G45" s="216"/>
      <c r="H45" s="216"/>
      <c r="I45" s="216"/>
      <c r="J45" s="216"/>
      <c r="K45" s="1016"/>
      <c r="L45" s="216"/>
      <c r="M45" s="216"/>
      <c r="N45" s="216"/>
      <c r="O45" s="216"/>
      <c r="P45" s="216"/>
      <c r="Q45" s="216"/>
      <c r="R45" s="216"/>
      <c r="S45" s="216"/>
      <c r="T45" s="216"/>
      <c r="U45" s="216"/>
      <c r="V45" s="216"/>
      <c r="W45" s="216"/>
      <c r="X45" s="216"/>
      <c r="Y45" s="216"/>
      <c r="Z45" s="216"/>
      <c r="AA45" s="216"/>
      <c r="AB45" s="216"/>
      <c r="AC45" s="216"/>
      <c r="AD45" s="216"/>
      <c r="AE45" s="216"/>
      <c r="AF45" s="216"/>
      <c r="AG45" s="216"/>
      <c r="AH45" s="216"/>
    </row>
    <row r="46" spans="2:34">
      <c r="B46" s="216"/>
      <c r="C46" s="216"/>
      <c r="D46" s="216"/>
      <c r="E46" s="216"/>
      <c r="F46" s="216"/>
      <c r="G46" s="216"/>
      <c r="H46" s="216"/>
      <c r="I46" s="216"/>
      <c r="J46" s="216"/>
      <c r="K46" s="216"/>
      <c r="L46" s="216"/>
      <c r="M46" s="216"/>
      <c r="N46" s="216"/>
      <c r="O46" s="216"/>
      <c r="P46" s="216"/>
      <c r="Q46" s="216"/>
      <c r="R46" s="216"/>
      <c r="S46" s="216"/>
      <c r="T46" s="216"/>
      <c r="U46" s="216"/>
      <c r="V46" s="216"/>
      <c r="W46" s="216"/>
      <c r="X46" s="216"/>
      <c r="Y46" s="216"/>
      <c r="Z46" s="216"/>
      <c r="AA46" s="216"/>
      <c r="AB46" s="216"/>
      <c r="AC46" s="216"/>
      <c r="AD46" s="216"/>
      <c r="AE46" s="216"/>
      <c r="AF46" s="216"/>
      <c r="AG46" s="216"/>
      <c r="AH46" s="216"/>
    </row>
    <row r="47" spans="2:34" ht="20.25">
      <c r="B47" s="216"/>
      <c r="C47" s="226" t="str">
        <f>B52</f>
        <v>Q2 2+10</v>
      </c>
      <c r="D47" s="226" t="str">
        <f>C52</f>
        <v>FY25 ACT Q1</v>
      </c>
      <c r="E47" s="226" t="s">
        <v>320</v>
      </c>
      <c r="F47" s="226" t="s">
        <v>321</v>
      </c>
      <c r="G47" s="226" t="s">
        <v>322</v>
      </c>
      <c r="H47" s="292" t="s">
        <v>323</v>
      </c>
      <c r="I47" s="216"/>
      <c r="J47" s="216"/>
      <c r="K47" s="216"/>
      <c r="L47" s="216"/>
      <c r="M47" s="216"/>
      <c r="N47" s="216"/>
      <c r="O47" s="216"/>
      <c r="P47" s="216"/>
      <c r="Q47" s="216"/>
      <c r="R47" s="216"/>
      <c r="S47" s="216"/>
      <c r="T47" s="216"/>
      <c r="U47" s="216"/>
      <c r="V47" s="216"/>
      <c r="W47" s="216"/>
      <c r="X47" s="216"/>
      <c r="Y47" s="216"/>
      <c r="Z47" s="216"/>
      <c r="AA47" s="216"/>
      <c r="AB47" s="216"/>
      <c r="AC47" s="216"/>
      <c r="AD47" s="216"/>
      <c r="AE47" s="216"/>
      <c r="AF47" s="216"/>
      <c r="AG47" s="216"/>
      <c r="AH47" s="216"/>
    </row>
    <row r="48" spans="2:34" ht="20.25">
      <c r="B48" s="226" t="s">
        <v>324</v>
      </c>
      <c r="C48" s="229" t="e">
        <f>'Summary month'!CA27</f>
        <v>#VALUE!</v>
      </c>
      <c r="D48" s="229">
        <f>'Summary month'!I27</f>
        <v>86.083619587646751</v>
      </c>
      <c r="E48" s="226" t="e">
        <f>C48-D48</f>
        <v>#VALUE!</v>
      </c>
      <c r="F48" s="226">
        <f>B61</f>
        <v>0.31233364655836482</v>
      </c>
      <c r="G48" s="226" t="e">
        <f>SUM(C61:S61)</f>
        <v>#VALUE!</v>
      </c>
      <c r="H48" s="502" t="e">
        <f>E48-F48-G48</f>
        <v>#VALUE!</v>
      </c>
      <c r="I48" s="216"/>
      <c r="J48" s="216"/>
      <c r="K48" s="216"/>
      <c r="L48" s="216"/>
      <c r="M48" s="216"/>
      <c r="N48" s="216"/>
      <c r="O48" s="216"/>
      <c r="P48" s="216"/>
      <c r="Q48" s="216"/>
      <c r="R48" s="216"/>
      <c r="S48" s="216"/>
      <c r="T48" s="216"/>
      <c r="U48" s="216"/>
      <c r="V48" s="216"/>
      <c r="W48" s="216"/>
      <c r="X48" s="216"/>
      <c r="Y48" s="216"/>
      <c r="Z48" s="216"/>
      <c r="AA48" s="216"/>
      <c r="AB48" s="216"/>
      <c r="AC48" s="216"/>
      <c r="AD48" s="216"/>
      <c r="AE48" s="216"/>
      <c r="AF48" s="216"/>
      <c r="AG48" s="216"/>
      <c r="AH48" s="216"/>
    </row>
    <row r="49" spans="2:34" ht="20.25">
      <c r="B49" s="226" t="s">
        <v>325</v>
      </c>
      <c r="C49" s="229">
        <f>'Summary month'!CA46</f>
        <v>-333.28427887802638</v>
      </c>
      <c r="D49" s="229">
        <f>'Summary month'!I46</f>
        <v>-128.47130442265509</v>
      </c>
      <c r="E49" s="226">
        <f>C49-D49</f>
        <v>-204.81297445537129</v>
      </c>
      <c r="F49" s="226" t="e">
        <f>T61</f>
        <v>#VALUE!</v>
      </c>
      <c r="G49" s="226" t="e">
        <f>SUM(U61:AH61)</f>
        <v>#VALUE!</v>
      </c>
      <c r="H49" s="502" t="e">
        <f>E49-F49-G49</f>
        <v>#VALUE!</v>
      </c>
      <c r="I49" s="216"/>
      <c r="J49" s="216"/>
      <c r="K49" s="216"/>
      <c r="L49" s="216"/>
      <c r="M49" s="216"/>
      <c r="N49" s="216"/>
      <c r="O49" s="216"/>
      <c r="P49" s="216"/>
      <c r="Q49" s="216"/>
      <c r="R49" s="216"/>
      <c r="S49" s="216"/>
      <c r="T49" s="216"/>
      <c r="U49" s="216"/>
      <c r="V49" s="216"/>
      <c r="W49" s="216"/>
      <c r="X49" s="216"/>
      <c r="Y49" s="216"/>
      <c r="Z49" s="216"/>
      <c r="AA49" s="216"/>
      <c r="AB49" s="216"/>
      <c r="AC49" s="216"/>
      <c r="AD49" s="216"/>
      <c r="AE49" s="216"/>
      <c r="AF49" s="216"/>
      <c r="AG49" s="216"/>
      <c r="AH49" s="216"/>
    </row>
    <row r="50" spans="2:34" ht="20.25">
      <c r="B50" s="226" t="s">
        <v>326</v>
      </c>
      <c r="C50" s="226" t="e">
        <f>+C48+C49</f>
        <v>#VALUE!</v>
      </c>
      <c r="D50" s="226">
        <f>+D48+D49</f>
        <v>-42.387684835008343</v>
      </c>
      <c r="E50" s="226" t="e">
        <f>C50-D50</f>
        <v>#VALUE!</v>
      </c>
      <c r="F50" s="226" t="e">
        <f>+E50-G50</f>
        <v>#VALUE!</v>
      </c>
      <c r="G50" s="226" t="e">
        <f>+G48+G49</f>
        <v>#VALUE!</v>
      </c>
      <c r="H50" s="502" t="e">
        <f>E50-F50-G50</f>
        <v>#VALUE!</v>
      </c>
      <c r="I50" s="216"/>
      <c r="J50" s="216"/>
      <c r="K50" s="216"/>
      <c r="L50" s="216"/>
      <c r="M50" s="216"/>
      <c r="N50" s="216"/>
      <c r="O50" s="216"/>
      <c r="P50" s="216"/>
      <c r="Q50" s="216"/>
      <c r="R50" s="216"/>
      <c r="S50" s="216"/>
      <c r="T50" s="216"/>
      <c r="U50" s="216"/>
      <c r="V50" s="216"/>
      <c r="W50" s="216"/>
      <c r="X50" s="216"/>
      <c r="Y50" s="216"/>
      <c r="Z50" s="216"/>
      <c r="AA50" s="216"/>
      <c r="AB50" s="216"/>
      <c r="AC50" s="216"/>
      <c r="AD50" s="216"/>
      <c r="AE50" s="216"/>
      <c r="AF50" s="216"/>
      <c r="AG50" s="216"/>
      <c r="AH50" s="216"/>
    </row>
    <row r="51" spans="2:34" ht="18">
      <c r="B51" s="215"/>
      <c r="C51" s="216"/>
      <c r="D51" s="215"/>
      <c r="E51" s="216"/>
      <c r="F51" s="215"/>
      <c r="G51" s="217" t="s">
        <v>138</v>
      </c>
      <c r="H51" s="216"/>
      <c r="I51" s="216"/>
      <c r="J51" s="216"/>
      <c r="K51" s="216"/>
      <c r="L51" s="216"/>
      <c r="M51" s="216"/>
      <c r="N51" s="216"/>
      <c r="O51" s="216"/>
      <c r="P51" s="216"/>
      <c r="Q51" s="216"/>
      <c r="R51" s="216"/>
      <c r="S51" s="216"/>
      <c r="T51" s="216"/>
      <c r="U51" s="216"/>
      <c r="V51" s="216"/>
      <c r="W51" s="216"/>
      <c r="X51" s="216"/>
      <c r="Y51" s="216"/>
      <c r="Z51" s="216"/>
      <c r="AA51" s="216"/>
      <c r="AB51" s="216"/>
      <c r="AC51" s="216"/>
      <c r="AD51" s="216"/>
      <c r="AE51" s="216"/>
      <c r="AF51" s="216"/>
      <c r="AG51" s="216"/>
      <c r="AH51" s="216"/>
    </row>
    <row r="52" spans="2:34" ht="20.100000000000001" customHeight="1">
      <c r="B52" s="1037" t="s">
        <v>442</v>
      </c>
      <c r="C52" s="1037" t="s">
        <v>443</v>
      </c>
      <c r="D52" s="218"/>
      <c r="E52" s="219"/>
      <c r="F52" s="219"/>
      <c r="G52" s="220"/>
      <c r="H52" s="216"/>
      <c r="I52" s="216"/>
      <c r="J52" s="216"/>
      <c r="K52" s="216"/>
      <c r="L52" s="216" t="s">
        <v>357</v>
      </c>
      <c r="M52" s="478">
        <f>SUM(E55:E57,G55)</f>
        <v>0.31233364655836482</v>
      </c>
      <c r="N52" s="216"/>
      <c r="O52" s="221"/>
      <c r="P52" s="221"/>
      <c r="Q52" s="221"/>
      <c r="R52" s="216">
        <v>1.8928358743898328</v>
      </c>
      <c r="S52" s="216"/>
      <c r="T52" s="216"/>
      <c r="U52" s="216"/>
      <c r="V52" s="216"/>
      <c r="W52" s="221"/>
      <c r="X52" s="221"/>
      <c r="Y52" s="221"/>
      <c r="Z52" s="221"/>
      <c r="AA52" s="221"/>
      <c r="AB52" s="221"/>
      <c r="AC52" s="221"/>
      <c r="AD52" s="221"/>
      <c r="AE52" s="221"/>
      <c r="AF52" s="221"/>
      <c r="AG52" s="221"/>
      <c r="AH52" s="221"/>
    </row>
    <row r="53" spans="2:34" ht="40.5">
      <c r="B53" s="1016"/>
      <c r="C53" s="1016"/>
      <c r="D53" s="222"/>
      <c r="E53" s="223" t="s">
        <v>154</v>
      </c>
      <c r="F53" s="224" t="s">
        <v>198</v>
      </c>
      <c r="G53" s="225" t="s">
        <v>156</v>
      </c>
      <c r="H53" s="216"/>
      <c r="I53" s="216" t="s">
        <v>208</v>
      </c>
      <c r="J53" s="216"/>
      <c r="K53" s="216"/>
      <c r="L53" s="216" t="s">
        <v>302</v>
      </c>
      <c r="M53" s="334" t="e">
        <f>SUM(U62:AH62,AJ66:AK66)</f>
        <v>#VALUE!</v>
      </c>
      <c r="N53" s="216"/>
      <c r="O53" s="216"/>
      <c r="P53" s="216"/>
      <c r="Q53" s="216"/>
      <c r="R53" s="216"/>
      <c r="S53" s="216"/>
      <c r="T53" s="216"/>
      <c r="V53" s="216"/>
      <c r="W53" s="216"/>
      <c r="X53" s="216"/>
      <c r="Y53" s="216"/>
      <c r="Z53" s="216"/>
      <c r="AA53" s="216"/>
      <c r="AB53" s="216"/>
      <c r="AC53" s="407" t="s">
        <v>266</v>
      </c>
      <c r="AD53" s="531">
        <v>-8.5064178705006164</v>
      </c>
      <c r="AE53" s="216"/>
      <c r="AF53" s="216"/>
      <c r="AG53" s="216"/>
      <c r="AH53" s="216"/>
    </row>
    <row r="54" spans="2:34" ht="20.25">
      <c r="B54" s="226" t="e">
        <f>'Summary month'!CA47</f>
        <v>#VALUE!</v>
      </c>
      <c r="C54" s="226">
        <f>'Summary month'!I47</f>
        <v>-42.387684835008343</v>
      </c>
      <c r="D54" s="227" t="e">
        <f>B54-C54</f>
        <v>#VALUE!</v>
      </c>
      <c r="E54" s="228" t="e">
        <f>SUM(M52:M53)</f>
        <v>#VALUE!</v>
      </c>
      <c r="F54" s="228" t="e">
        <f>'Summary month'!CC27-M52</f>
        <v>#VALUE!</v>
      </c>
      <c r="G54" s="229" t="e">
        <f>'Summary month'!CC46-M53</f>
        <v>#VALUE!</v>
      </c>
      <c r="H54" s="216"/>
      <c r="I54" s="286" t="e">
        <f>SUM(E54:G54)-D54</f>
        <v>#VALUE!</v>
      </c>
      <c r="J54" s="216"/>
      <c r="K54" s="216"/>
      <c r="L54" s="216"/>
      <c r="M54" s="216"/>
      <c r="N54" s="216"/>
      <c r="O54" s="230"/>
      <c r="P54" s="216"/>
      <c r="Q54" s="216"/>
      <c r="R54" s="216"/>
      <c r="S54" s="216"/>
      <c r="T54" s="216"/>
      <c r="U54" s="216"/>
      <c r="V54" s="216"/>
      <c r="W54" s="230"/>
      <c r="X54" s="216"/>
      <c r="Y54" s="230"/>
      <c r="Z54" s="230"/>
      <c r="AA54" s="230"/>
      <c r="AB54" s="230"/>
      <c r="AC54" s="409" t="s">
        <v>269</v>
      </c>
      <c r="AD54" s="425">
        <v>12.933</v>
      </c>
      <c r="AE54" s="531"/>
      <c r="AF54" s="230"/>
      <c r="AG54" s="230"/>
      <c r="AH54" s="230"/>
    </row>
    <row r="55" spans="2:34" ht="15" customHeight="1">
      <c r="B55" s="216"/>
      <c r="C55" s="1037"/>
      <c r="D55" s="216" t="s">
        <v>139</v>
      </c>
      <c r="E55" s="411">
        <v>0</v>
      </c>
      <c r="F55" s="216" t="s">
        <v>193</v>
      </c>
      <c r="G55" s="320">
        <v>0</v>
      </c>
      <c r="H55" s="216"/>
      <c r="I55" s="216"/>
      <c r="J55" s="216"/>
      <c r="K55" s="216"/>
      <c r="L55" s="216"/>
      <c r="M55" s="216"/>
      <c r="N55" s="216"/>
      <c r="O55" s="216"/>
      <c r="P55" s="216"/>
      <c r="Q55" s="216"/>
      <c r="R55" s="216"/>
      <c r="S55" s="216"/>
      <c r="T55" s="216"/>
      <c r="U55" s="216"/>
      <c r="V55" s="216"/>
      <c r="W55" s="216" t="s">
        <v>145</v>
      </c>
      <c r="X55" s="320">
        <v>0.2658056941903138</v>
      </c>
      <c r="Y55" s="216">
        <v>0.3</v>
      </c>
      <c r="Z55" s="216"/>
      <c r="AA55" s="216"/>
      <c r="AB55" s="216"/>
      <c r="AC55" s="407" t="s">
        <v>141</v>
      </c>
      <c r="AD55" s="531">
        <v>17.63883476415775</v>
      </c>
      <c r="AE55" s="216"/>
      <c r="AF55" s="216"/>
      <c r="AG55" s="216"/>
      <c r="AH55" s="216"/>
    </row>
    <row r="56" spans="2:34" ht="15" customHeight="1">
      <c r="B56" s="216"/>
      <c r="C56" s="1015"/>
      <c r="D56" s="216" t="s">
        <v>200</v>
      </c>
      <c r="E56" s="411">
        <v>0.31233364655836482</v>
      </c>
      <c r="F56" s="216"/>
      <c r="G56" s="216"/>
      <c r="H56" s="216"/>
      <c r="I56" s="216"/>
      <c r="J56" s="216"/>
      <c r="K56" s="216"/>
      <c r="L56" s="216"/>
      <c r="M56" s="216"/>
      <c r="N56" s="216"/>
      <c r="O56" s="216"/>
      <c r="P56" s="216"/>
      <c r="Q56" s="216"/>
      <c r="R56" s="216"/>
      <c r="S56" s="216"/>
      <c r="T56" s="216"/>
      <c r="W56" t="s">
        <v>193</v>
      </c>
      <c r="X56" s="441">
        <v>1.09467300291335</v>
      </c>
      <c r="Y56">
        <v>0</v>
      </c>
      <c r="AC56" s="407" t="s">
        <v>144</v>
      </c>
      <c r="AD56" s="511">
        <f>AD61-SUM(AD53:AD55)</f>
        <v>-44.412372529915302</v>
      </c>
      <c r="AH56" s="216"/>
    </row>
    <row r="57" spans="2:34" ht="21" thickBot="1">
      <c r="B57" s="231" t="s">
        <v>157</v>
      </c>
      <c r="C57" s="232"/>
      <c r="D57" s="232" t="s">
        <v>145</v>
      </c>
      <c r="E57" s="440">
        <v>0</v>
      </c>
      <c r="F57" s="232"/>
      <c r="G57" s="232"/>
      <c r="H57" s="232"/>
      <c r="I57" s="232"/>
      <c r="J57" s="232"/>
      <c r="K57" s="232"/>
      <c r="L57" s="232"/>
      <c r="M57" s="232"/>
      <c r="N57" s="232"/>
      <c r="O57" s="232"/>
      <c r="P57" s="232"/>
      <c r="Q57" s="232"/>
      <c r="R57" s="232"/>
      <c r="S57" s="232"/>
      <c r="T57" s="232"/>
      <c r="U57" s="232"/>
      <c r="V57" s="232"/>
      <c r="W57" s="232" t="s">
        <v>144</v>
      </c>
      <c r="X57" s="313">
        <f>X61-SUM(X55:X56)</f>
        <v>-16.988277192616327</v>
      </c>
      <c r="Y57" s="232"/>
      <c r="Z57" s="232"/>
      <c r="AA57" s="232"/>
      <c r="AB57" s="232"/>
      <c r="AC57" s="232"/>
      <c r="AD57" s="232"/>
      <c r="AE57" s="232"/>
      <c r="AF57" s="232"/>
      <c r="AG57" s="232"/>
      <c r="AH57" s="217" t="s">
        <v>138</v>
      </c>
    </row>
    <row r="58" spans="2:34" ht="21" thickBot="1">
      <c r="B58" s="233"/>
      <c r="C58" s="234" t="s">
        <v>199</v>
      </c>
      <c r="D58" s="234"/>
      <c r="E58" s="234"/>
      <c r="F58" s="234"/>
      <c r="G58" s="234"/>
      <c r="H58" s="234"/>
      <c r="I58" s="234"/>
      <c r="J58" s="234"/>
      <c r="K58" s="234"/>
      <c r="L58" s="234"/>
      <c r="M58" s="234"/>
      <c r="N58" s="234"/>
      <c r="O58" s="234"/>
      <c r="P58" s="234"/>
      <c r="Q58" s="234"/>
      <c r="R58" s="234"/>
      <c r="S58" s="235"/>
      <c r="T58" s="236"/>
      <c r="U58" s="237" t="s">
        <v>160</v>
      </c>
      <c r="V58" s="237"/>
      <c r="W58" s="237"/>
      <c r="X58" s="237"/>
      <c r="Y58" s="237"/>
      <c r="Z58" s="237"/>
      <c r="AA58" s="237"/>
      <c r="AB58" s="237"/>
      <c r="AC58" s="237"/>
      <c r="AD58" s="237"/>
      <c r="AE58" s="237"/>
      <c r="AF58" s="237"/>
      <c r="AG58" s="237"/>
      <c r="AH58" s="238"/>
    </row>
    <row r="59" spans="2:34" ht="20.25">
      <c r="B59" s="1027" t="s">
        <v>274</v>
      </c>
      <c r="C59" s="239" t="s">
        <v>161</v>
      </c>
      <c r="D59" s="240"/>
      <c r="E59" s="240"/>
      <c r="F59" s="240"/>
      <c r="G59" s="241"/>
      <c r="H59" s="1017" t="s">
        <v>162</v>
      </c>
      <c r="I59" s="242" t="s">
        <v>163</v>
      </c>
      <c r="J59" s="243"/>
      <c r="K59" s="243"/>
      <c r="L59" s="243"/>
      <c r="M59" s="243"/>
      <c r="N59" s="244"/>
      <c r="O59" s="1029" t="s">
        <v>164</v>
      </c>
      <c r="P59" s="1029" t="s">
        <v>165</v>
      </c>
      <c r="Q59" s="1019" t="s">
        <v>166</v>
      </c>
      <c r="R59" s="1022" t="s">
        <v>167</v>
      </c>
      <c r="S59" s="1023" t="s">
        <v>168</v>
      </c>
      <c r="T59" s="1027" t="s">
        <v>274</v>
      </c>
      <c r="U59" s="245" t="s">
        <v>169</v>
      </c>
      <c r="V59" s="246"/>
      <c r="W59" s="246"/>
      <c r="X59" s="247"/>
      <c r="Y59" s="248" t="s">
        <v>163</v>
      </c>
      <c r="Z59" s="246"/>
      <c r="AA59" s="246"/>
      <c r="AB59" s="246"/>
      <c r="AC59" s="246"/>
      <c r="AD59" s="247"/>
      <c r="AE59" s="1022" t="s">
        <v>166</v>
      </c>
      <c r="AF59" s="1025" t="s">
        <v>167</v>
      </c>
      <c r="AG59" s="311"/>
      <c r="AH59" s="1012" t="s">
        <v>168</v>
      </c>
    </row>
    <row r="60" spans="2:34" ht="57">
      <c r="B60" s="1028"/>
      <c r="C60" s="249" t="s">
        <v>170</v>
      </c>
      <c r="D60" s="300" t="s">
        <v>171</v>
      </c>
      <c r="E60" s="250" t="s">
        <v>172</v>
      </c>
      <c r="F60" s="250" t="s">
        <v>173</v>
      </c>
      <c r="G60" s="251" t="s">
        <v>174</v>
      </c>
      <c r="H60" s="1018"/>
      <c r="I60" s="250" t="s">
        <v>175</v>
      </c>
      <c r="J60" s="250" t="s">
        <v>176</v>
      </c>
      <c r="K60" s="250" t="s">
        <v>201</v>
      </c>
      <c r="L60" s="250" t="s">
        <v>178</v>
      </c>
      <c r="M60" s="250" t="s">
        <v>168</v>
      </c>
      <c r="N60" s="250" t="s">
        <v>179</v>
      </c>
      <c r="O60" s="1030"/>
      <c r="P60" s="1031"/>
      <c r="Q60" s="1021"/>
      <c r="R60" s="1021"/>
      <c r="S60" s="1024"/>
      <c r="T60" s="1028"/>
      <c r="U60" s="307" t="s">
        <v>203</v>
      </c>
      <c r="V60" s="308" t="s">
        <v>180</v>
      </c>
      <c r="W60" s="309" t="s">
        <v>181</v>
      </c>
      <c r="X60" s="310" t="s">
        <v>33</v>
      </c>
      <c r="Y60" s="305" t="s">
        <v>25</v>
      </c>
      <c r="Z60" s="306" t="s">
        <v>183</v>
      </c>
      <c r="AA60" s="306" t="s">
        <v>204</v>
      </c>
      <c r="AB60" s="306" t="s">
        <v>205</v>
      </c>
      <c r="AC60" s="306" t="s">
        <v>184</v>
      </c>
      <c r="AD60" s="306" t="s">
        <v>30</v>
      </c>
      <c r="AE60" s="1021"/>
      <c r="AF60" s="1026"/>
      <c r="AG60" s="312" t="s">
        <v>37</v>
      </c>
      <c r="AH60" s="1013"/>
    </row>
    <row r="61" spans="2:34" ht="21" thickBot="1">
      <c r="B61" s="252">
        <f>M52</f>
        <v>0.31233364655836482</v>
      </c>
      <c r="C61" s="253">
        <f>SUM('[7]New KPI vs BP'!$DI$439+'[7]New KPI vs BP'!$DI$440+'[7]New KPI vs BP'!$DI$460)-SUM(U61:V61)-SUM(E61:F61)-E55</f>
        <v>83.76872166716123</v>
      </c>
      <c r="D61" s="302"/>
      <c r="E61" s="254">
        <v>-9.8238263245770554</v>
      </c>
      <c r="F61" s="254">
        <v>0.22673863190312549</v>
      </c>
      <c r="G61" s="254"/>
      <c r="H61" s="254"/>
      <c r="I61" s="254">
        <v>4.7155945304368405</v>
      </c>
      <c r="J61" s="254">
        <v>3.4157950578599894</v>
      </c>
      <c r="K61" s="254">
        <v>6.9407195975284557</v>
      </c>
      <c r="L61" s="254">
        <v>0</v>
      </c>
      <c r="M61" s="254">
        <f>16.672567134418+SUM(M71:M73)</f>
        <v>6.528826101417998</v>
      </c>
      <c r="N61" s="254"/>
      <c r="O61" s="302"/>
      <c r="P61" s="302"/>
      <c r="Q61" s="256"/>
      <c r="R61" s="254">
        <v>15.169405184000006</v>
      </c>
      <c r="S61" s="257" t="e">
        <f>F54-SUM(C61:R61)</f>
        <v>#VALUE!</v>
      </c>
      <c r="T61" s="253" t="e">
        <f>M53</f>
        <v>#VALUE!</v>
      </c>
      <c r="U61" s="253">
        <f>'Summary month'!CC36-U62</f>
        <v>-64.333446299890113</v>
      </c>
      <c r="V61" s="258">
        <f>'Summary month'!CC59-V62</f>
        <v>-2.6289441545971108</v>
      </c>
      <c r="W61" s="258"/>
      <c r="X61" s="258">
        <f>'Summary month'!CC60-X62</f>
        <v>-15.627798495512664</v>
      </c>
      <c r="Y61" s="258">
        <f>'Summary month'!CC29-Y62</f>
        <v>-47.700219430946419</v>
      </c>
      <c r="Z61" s="258">
        <f>'Summary month'!CC30-Z62</f>
        <v>4.8257253519818262</v>
      </c>
      <c r="AA61" s="258">
        <f>'Summary month'!CC31</f>
        <v>0</v>
      </c>
      <c r="AB61" s="301"/>
      <c r="AC61" s="258">
        <f>'Summary month'!CC32-AC62</f>
        <v>-3.6856781657190822</v>
      </c>
      <c r="AD61" s="258">
        <f>'Summary month'!CC34</f>
        <v>-22.346955636258166</v>
      </c>
      <c r="AE61" s="256"/>
      <c r="AF61" s="259"/>
      <c r="AG61" s="254" t="e">
        <f>'Summary month'!CC42-AG62</f>
        <v>#VALUE!</v>
      </c>
      <c r="AH61" s="260" t="e">
        <f>G54-SUM(U61:AG61)</f>
        <v>#VALUE!</v>
      </c>
    </row>
    <row r="62" spans="2:34" ht="18">
      <c r="B62" s="216"/>
      <c r="C62" s="272">
        <v>0</v>
      </c>
      <c r="D62" s="216"/>
      <c r="E62" s="216">
        <v>0</v>
      </c>
      <c r="F62" s="216">
        <v>0</v>
      </c>
      <c r="G62" s="216"/>
      <c r="H62" s="216"/>
      <c r="I62" s="479"/>
      <c r="J62" s="479"/>
      <c r="K62" s="479"/>
      <c r="L62" s="479"/>
      <c r="M62" s="216"/>
      <c r="N62" s="216"/>
      <c r="O62" s="216"/>
      <c r="P62" s="216"/>
      <c r="Q62" s="216"/>
      <c r="R62" s="286">
        <v>-15.169405184000006</v>
      </c>
      <c r="S62" s="286"/>
      <c r="T62" s="286"/>
      <c r="U62" s="286">
        <v>0</v>
      </c>
      <c r="V62" s="286"/>
      <c r="W62" s="286"/>
      <c r="X62" s="286">
        <f>SUM(Y55:Y56)</f>
        <v>0.3</v>
      </c>
      <c r="Y62" s="286">
        <v>-1.0146837389575754</v>
      </c>
      <c r="Z62" s="286">
        <v>-6.0528115153737905E-4</v>
      </c>
      <c r="AA62" s="216"/>
      <c r="AB62" s="216"/>
      <c r="AC62" s="216">
        <v>0</v>
      </c>
      <c r="AD62" s="216"/>
      <c r="AE62" s="216"/>
      <c r="AF62" s="216"/>
      <c r="AG62" s="334" t="e">
        <v>#VALUE!</v>
      </c>
      <c r="AH62" s="216"/>
    </row>
    <row r="63" spans="2:34" ht="18">
      <c r="B63" s="221"/>
      <c r="C63" s="319"/>
      <c r="D63" s="221"/>
      <c r="E63" s="221"/>
      <c r="F63" s="221"/>
      <c r="G63" s="221"/>
      <c r="H63" s="221"/>
      <c r="I63" s="221"/>
      <c r="J63" s="221"/>
      <c r="K63" s="221"/>
      <c r="L63" s="221"/>
      <c r="M63" s="221"/>
      <c r="N63" s="221"/>
      <c r="O63" s="221"/>
      <c r="P63" s="221"/>
      <c r="Q63" s="221"/>
      <c r="R63" s="491"/>
      <c r="S63" s="491"/>
      <c r="T63" s="491"/>
      <c r="U63" s="491"/>
      <c r="V63" s="491"/>
      <c r="W63" s="491"/>
      <c r="X63" s="318"/>
      <c r="Y63" s="318"/>
      <c r="Z63" s="318"/>
    </row>
    <row r="64" spans="2:34" ht="18">
      <c r="B64" s="216"/>
      <c r="C64" s="319">
        <f>SUM('[7]New KPI vs BP'!$DT$439+'[7]New KPI vs BP'!$DT$440+'[7]New KPI vs BP'!$DT$460)-SUM(U61:V61)-SUM(E61:F61)-E55</f>
        <v>361.69200659016127</v>
      </c>
      <c r="D64" s="216"/>
      <c r="E64" s="216"/>
      <c r="F64" s="216"/>
      <c r="G64" s="216" t="s">
        <v>353</v>
      </c>
      <c r="H64" s="594">
        <f>9.517466136-AD54</f>
        <v>-3.4155338640000004</v>
      </c>
      <c r="I64" s="216"/>
      <c r="J64" s="216"/>
      <c r="K64" s="216"/>
      <c r="L64" s="216"/>
      <c r="M64" s="216"/>
      <c r="N64" s="216"/>
      <c r="O64" s="216"/>
      <c r="P64" s="216"/>
      <c r="Q64" s="216"/>
      <c r="R64" s="216"/>
      <c r="S64" s="216"/>
      <c r="T64" s="216"/>
      <c r="U64" s="216"/>
      <c r="V64" s="216"/>
      <c r="W64" s="216"/>
    </row>
    <row r="65" spans="2:36" ht="20.25">
      <c r="B65" s="216"/>
      <c r="C65" s="329"/>
      <c r="D65" s="216"/>
      <c r="E65" s="216"/>
      <c r="F65" s="216"/>
      <c r="G65" s="216" t="s">
        <v>295</v>
      </c>
      <c r="H65" s="594">
        <v>-7.6537420000000189E-3</v>
      </c>
      <c r="I65" s="634" t="s">
        <v>188</v>
      </c>
      <c r="J65" s="637"/>
      <c r="K65" s="274"/>
      <c r="L65" s="274"/>
      <c r="M65" s="275">
        <f>M61</f>
        <v>6.528826101417998</v>
      </c>
      <c r="N65" s="216"/>
      <c r="P65" s="273" t="s">
        <v>191</v>
      </c>
      <c r="Q65" s="274"/>
      <c r="R65" s="274"/>
      <c r="S65" s="294" t="e">
        <f>S61</f>
        <v>#VALUE!</v>
      </c>
      <c r="T65" s="216"/>
      <c r="U65" s="272"/>
      <c r="V65" s="272"/>
      <c r="W65" s="216"/>
      <c r="X65" s="263" t="s">
        <v>185</v>
      </c>
      <c r="Y65" s="264"/>
      <c r="Z65" s="264"/>
      <c r="AA65" s="265">
        <f>AD61</f>
        <v>-22.346955636258166</v>
      </c>
      <c r="AC65" s="263" t="s">
        <v>186</v>
      </c>
      <c r="AD65" s="264"/>
      <c r="AE65" s="264"/>
      <c r="AF65" s="264"/>
      <c r="AG65" s="264"/>
      <c r="AH65" s="265" t="e">
        <f>AH61</f>
        <v>#VALUE!</v>
      </c>
    </row>
    <row r="66" spans="2:36" ht="18">
      <c r="B66" s="216"/>
      <c r="C66" s="329"/>
      <c r="D66" s="216"/>
      <c r="E66" s="216"/>
      <c r="F66" s="216"/>
      <c r="G66" s="216" t="s">
        <v>239</v>
      </c>
      <c r="H66" s="594">
        <v>-6.7358609110000014</v>
      </c>
      <c r="I66" s="279">
        <v>1</v>
      </c>
      <c r="J66" s="276" t="s">
        <v>437</v>
      </c>
      <c r="K66" s="270"/>
      <c r="L66" s="270"/>
      <c r="M66" s="281">
        <v>10</v>
      </c>
      <c r="N66" s="216"/>
      <c r="P66" s="279">
        <v>1</v>
      </c>
      <c r="Q66" s="269" t="s">
        <v>193</v>
      </c>
      <c r="R66" s="270"/>
      <c r="S66" s="280">
        <v>-0.63975337400000021</v>
      </c>
      <c r="T66" s="216">
        <v>-0.63975337400000021</v>
      </c>
      <c r="U66" s="537"/>
      <c r="V66" s="286"/>
      <c r="W66" s="216"/>
      <c r="X66" s="268">
        <v>1</v>
      </c>
      <c r="Y66" s="269"/>
      <c r="Z66" s="270"/>
      <c r="AA66" s="271"/>
      <c r="AC66" s="268">
        <v>1</v>
      </c>
      <c r="AD66" s="269" t="s">
        <v>39</v>
      </c>
      <c r="AE66" s="270"/>
      <c r="AF66" s="270"/>
      <c r="AG66" s="270"/>
      <c r="AH66" s="271" t="e">
        <f>'Summary month'!CC44-AJ66-AK66</f>
        <v>#VALUE!</v>
      </c>
      <c r="AI66" t="s">
        <v>262</v>
      </c>
      <c r="AJ66" t="e">
        <f>'Summary month'!BY74</f>
        <v>#VALUE!</v>
      </c>
    </row>
    <row r="67" spans="2:36" ht="18">
      <c r="E67" s="216"/>
      <c r="F67" s="216"/>
      <c r="G67" s="216" t="s">
        <v>28</v>
      </c>
      <c r="H67" s="594"/>
      <c r="I67" s="279">
        <v>2</v>
      </c>
      <c r="J67" s="276" t="s">
        <v>439</v>
      </c>
      <c r="K67" s="277"/>
      <c r="L67" s="277"/>
      <c r="M67" s="281">
        <v>-15</v>
      </c>
      <c r="P67" s="279">
        <v>2</v>
      </c>
      <c r="Q67" s="276" t="s">
        <v>143</v>
      </c>
      <c r="R67" s="277"/>
      <c r="S67" s="281">
        <f>'[7]New KPI vs BP'!$DI$449+'[7]New KPI vs BP'!$DI$460</f>
        <v>-0.83413190720634212</v>
      </c>
      <c r="T67" s="216"/>
      <c r="U67" s="216"/>
      <c r="V67" s="216"/>
      <c r="W67" s="216"/>
      <c r="X67" s="268">
        <v>2</v>
      </c>
      <c r="Y67" s="276"/>
      <c r="Z67" s="277"/>
      <c r="AA67" s="278"/>
      <c r="AC67" s="268">
        <v>2</v>
      </c>
      <c r="AD67" s="276"/>
      <c r="AE67" s="277"/>
      <c r="AF67" s="277"/>
      <c r="AG67" s="277"/>
      <c r="AH67" s="278"/>
      <c r="AI67" t="s">
        <v>144</v>
      </c>
      <c r="AJ67" s="441" t="e">
        <f>AH66</f>
        <v>#VALUE!</v>
      </c>
    </row>
    <row r="68" spans="2:36" ht="18">
      <c r="B68" s="216"/>
      <c r="C68" s="319"/>
      <c r="D68" s="216"/>
      <c r="E68" s="216"/>
      <c r="F68" s="216"/>
      <c r="G68" s="216" t="s">
        <v>354</v>
      </c>
      <c r="H68" s="216"/>
      <c r="I68" s="279">
        <v>3</v>
      </c>
      <c r="J68" s="276" t="s">
        <v>440</v>
      </c>
      <c r="K68" s="277"/>
      <c r="L68" s="277"/>
      <c r="M68" s="281">
        <v>7</v>
      </c>
      <c r="N68" s="216"/>
      <c r="P68" s="279">
        <v>3</v>
      </c>
      <c r="Q68" s="276" t="s">
        <v>195</v>
      </c>
      <c r="R68" s="277"/>
      <c r="S68" s="281">
        <v>5.6528019911363216</v>
      </c>
      <c r="V68" s="216"/>
      <c r="W68" s="216"/>
      <c r="X68" s="268">
        <v>3</v>
      </c>
      <c r="Y68" s="276"/>
      <c r="Z68" s="277"/>
      <c r="AA68" s="278"/>
      <c r="AC68" s="268">
        <v>3</v>
      </c>
      <c r="AD68" s="276"/>
      <c r="AE68" s="277"/>
      <c r="AF68" s="277"/>
      <c r="AG68" s="277"/>
      <c r="AH68" s="278"/>
    </row>
    <row r="69" spans="2:36" ht="18">
      <c r="B69" s="216"/>
      <c r="C69" s="319"/>
      <c r="D69" s="216"/>
      <c r="E69" s="272"/>
      <c r="F69" s="272"/>
      <c r="G69" s="272"/>
      <c r="H69" s="272"/>
      <c r="I69" s="279">
        <v>4</v>
      </c>
      <c r="J69" s="276" t="s">
        <v>433</v>
      </c>
      <c r="K69" s="277"/>
      <c r="L69" s="277"/>
      <c r="M69" s="281">
        <v>7</v>
      </c>
      <c r="N69" s="216"/>
      <c r="P69" s="279">
        <v>4</v>
      </c>
      <c r="Q69" s="276" t="s">
        <v>247</v>
      </c>
      <c r="R69" s="277"/>
      <c r="S69" s="281">
        <v>-17.463388982999991</v>
      </c>
      <c r="V69" s="216"/>
      <c r="W69" s="216"/>
      <c r="X69" s="268">
        <v>4</v>
      </c>
      <c r="Y69" s="276"/>
      <c r="Z69" s="277"/>
      <c r="AA69" s="278"/>
      <c r="AC69" s="268">
        <v>4</v>
      </c>
      <c r="AD69" s="276"/>
      <c r="AE69" s="277"/>
      <c r="AF69" s="277"/>
      <c r="AG69" s="277"/>
      <c r="AH69" s="278"/>
    </row>
    <row r="70" spans="2:36" ht="18">
      <c r="B70" s="216"/>
      <c r="C70" s="319"/>
      <c r="D70" s="216"/>
      <c r="E70" s="216"/>
      <c r="F70" s="216"/>
      <c r="G70" s="216"/>
      <c r="H70" s="216"/>
      <c r="I70" s="279">
        <v>5</v>
      </c>
      <c r="J70" s="276" t="s">
        <v>369</v>
      </c>
      <c r="K70" s="277"/>
      <c r="L70" s="277"/>
      <c r="M70" s="281">
        <v>7</v>
      </c>
      <c r="N70" s="323"/>
      <c r="P70" s="279">
        <v>5</v>
      </c>
      <c r="Q70" s="276" t="s">
        <v>441</v>
      </c>
      <c r="R70" s="277"/>
      <c r="S70" s="281">
        <v>42.533471348662196</v>
      </c>
      <c r="W70" s="216"/>
      <c r="X70" s="282">
        <v>5</v>
      </c>
      <c r="Y70" s="283" t="s">
        <v>182</v>
      </c>
      <c r="Z70" s="284"/>
      <c r="AA70" s="285">
        <f>AA65-SUM(AA66:AA69)</f>
        <v>-22.346955636258166</v>
      </c>
      <c r="AC70" s="282">
        <v>5</v>
      </c>
      <c r="AD70" s="283" t="s">
        <v>182</v>
      </c>
      <c r="AE70" s="284"/>
      <c r="AF70" s="284"/>
      <c r="AG70" s="284"/>
      <c r="AH70" s="285" t="e">
        <f>AH65-SUM(AH66:AH69)</f>
        <v>#VALUE!</v>
      </c>
    </row>
    <row r="71" spans="2:36" ht="18">
      <c r="B71" s="216"/>
      <c r="C71" s="319"/>
      <c r="D71" s="216"/>
      <c r="E71" s="216"/>
      <c r="F71" s="216"/>
      <c r="G71" s="216"/>
      <c r="H71" s="216"/>
      <c r="I71" s="279">
        <v>6</v>
      </c>
      <c r="J71" s="276" t="s">
        <v>353</v>
      </c>
      <c r="K71" s="277"/>
      <c r="L71" s="277"/>
      <c r="M71" s="281">
        <v>-3.4155338640000004</v>
      </c>
      <c r="P71" s="279">
        <v>6</v>
      </c>
      <c r="Q71" s="276" t="s">
        <v>217</v>
      </c>
      <c r="R71" s="277"/>
      <c r="S71" s="281">
        <v>13.093572144333853</v>
      </c>
      <c r="W71" s="216"/>
      <c r="X71" s="216"/>
      <c r="Y71" s="216"/>
      <c r="Z71" s="216"/>
      <c r="AA71" s="216"/>
      <c r="AB71" s="216"/>
      <c r="AC71" s="216"/>
      <c r="AD71" s="216"/>
      <c r="AE71" s="216"/>
      <c r="AF71" s="216"/>
      <c r="AG71" s="216"/>
      <c r="AH71" s="216"/>
    </row>
    <row r="72" spans="2:36" ht="18">
      <c r="B72" s="216"/>
      <c r="C72" s="319"/>
      <c r="D72" s="216"/>
      <c r="E72" s="216"/>
      <c r="F72" s="216"/>
      <c r="G72" s="216"/>
      <c r="H72" s="216"/>
      <c r="I72" s="279">
        <v>7</v>
      </c>
      <c r="J72" s="276" t="s">
        <v>295</v>
      </c>
      <c r="K72" s="277"/>
      <c r="L72" s="277"/>
      <c r="M72" s="281">
        <v>7.6537420000000189E-3</v>
      </c>
      <c r="N72" s="216"/>
      <c r="P72" s="279">
        <v>7</v>
      </c>
      <c r="Q72" s="276"/>
      <c r="R72" s="277"/>
      <c r="S72" s="281"/>
      <c r="W72" s="216"/>
      <c r="X72" s="216"/>
      <c r="Y72" s="216"/>
      <c r="Z72" s="216"/>
      <c r="AA72" s="216"/>
      <c r="AB72" s="216"/>
      <c r="AC72" s="216"/>
      <c r="AD72" s="216"/>
      <c r="AE72" s="216"/>
      <c r="AF72" s="216"/>
      <c r="AG72" s="216"/>
      <c r="AH72" s="216"/>
    </row>
    <row r="73" spans="2:36" ht="18">
      <c r="B73" s="216"/>
      <c r="C73" s="319"/>
      <c r="D73" s="216"/>
      <c r="E73" s="216"/>
      <c r="F73" s="216"/>
      <c r="G73" s="216"/>
      <c r="I73" s="279">
        <v>8</v>
      </c>
      <c r="J73" s="276" t="s">
        <v>239</v>
      </c>
      <c r="K73" s="277"/>
      <c r="L73" s="277"/>
      <c r="M73" s="281">
        <v>-6.7358609110000014</v>
      </c>
      <c r="N73" s="216"/>
      <c r="P73" s="279">
        <v>8</v>
      </c>
      <c r="Q73" s="276"/>
      <c r="R73" s="277"/>
      <c r="S73" s="278"/>
      <c r="T73" s="216" t="s">
        <v>223</v>
      </c>
      <c r="U73" s="216"/>
      <c r="W73" s="216"/>
      <c r="X73" s="216"/>
      <c r="Y73" s="216"/>
      <c r="Z73" s="216"/>
      <c r="AA73" s="216"/>
      <c r="AB73" s="216"/>
      <c r="AC73" s="216"/>
      <c r="AD73" s="216"/>
      <c r="AE73" s="216"/>
      <c r="AF73" s="216"/>
      <c r="AG73" s="216"/>
      <c r="AH73" s="216"/>
    </row>
    <row r="74" spans="2:36" ht="18">
      <c r="B74" s="216"/>
      <c r="C74" s="319"/>
      <c r="D74" s="216"/>
      <c r="E74" s="216"/>
      <c r="F74" s="216"/>
      <c r="G74" s="216"/>
      <c r="H74" s="216"/>
      <c r="I74" s="279">
        <v>9</v>
      </c>
      <c r="J74" s="276"/>
      <c r="K74" s="277"/>
      <c r="L74" s="277"/>
      <c r="M74" s="281"/>
      <c r="N74" s="216"/>
      <c r="P74" s="279">
        <v>9</v>
      </c>
      <c r="Q74" s="276"/>
      <c r="R74" s="277"/>
      <c r="S74" s="278"/>
      <c r="T74" s="216" t="s">
        <v>359</v>
      </c>
      <c r="U74" s="330"/>
      <c r="W74" s="272"/>
      <c r="X74" s="216"/>
      <c r="Y74" s="216"/>
      <c r="Z74" s="216"/>
      <c r="AA74" s="216"/>
      <c r="AB74" s="216"/>
      <c r="AC74" s="216"/>
      <c r="AD74" s="216"/>
      <c r="AE74" s="216"/>
      <c r="AF74" s="216"/>
      <c r="AG74" s="216"/>
      <c r="AH74" s="216"/>
    </row>
    <row r="75" spans="2:36" ht="18">
      <c r="B75" s="216"/>
      <c r="C75" s="319"/>
      <c r="D75" s="216"/>
      <c r="E75" s="216"/>
      <c r="F75" s="216"/>
      <c r="G75" s="216"/>
      <c r="H75" s="216"/>
      <c r="I75" s="279"/>
      <c r="J75" s="276"/>
      <c r="K75" s="277"/>
      <c r="L75" s="277"/>
      <c r="M75" s="281"/>
      <c r="N75" s="216"/>
      <c r="P75" s="288">
        <v>10</v>
      </c>
      <c r="Q75" s="283" t="s">
        <v>182</v>
      </c>
      <c r="R75" s="284"/>
      <c r="S75" s="285" t="e">
        <f>S65-SUM(S66:S74)</f>
        <v>#VALUE!</v>
      </c>
      <c r="T75" s="216" t="s">
        <v>195</v>
      </c>
      <c r="U75" s="315">
        <v>5.6528019911363216</v>
      </c>
      <c r="W75" s="216"/>
      <c r="X75" s="297"/>
      <c r="Y75" s="216"/>
      <c r="Z75" s="216"/>
      <c r="AA75" s="216"/>
      <c r="AB75" s="216"/>
      <c r="AC75" s="216"/>
      <c r="AD75" s="216"/>
      <c r="AE75" s="216"/>
      <c r="AF75" s="216"/>
      <c r="AG75" s="216"/>
      <c r="AH75" s="216"/>
    </row>
    <row r="76" spans="2:36" ht="18">
      <c r="B76" s="216"/>
      <c r="C76" s="319"/>
      <c r="D76" s="216"/>
      <c r="E76" s="216"/>
      <c r="F76" s="216"/>
      <c r="G76" s="216"/>
      <c r="H76" s="216"/>
      <c r="I76" s="288">
        <v>10</v>
      </c>
      <c r="J76" s="289" t="s">
        <v>182</v>
      </c>
      <c r="K76" s="284"/>
      <c r="L76" s="284"/>
      <c r="M76" s="290">
        <f>M65-SUM(M66:M74)</f>
        <v>0.67256713441799931</v>
      </c>
      <c r="N76" s="216"/>
      <c r="T76" s="216" t="s">
        <v>246</v>
      </c>
      <c r="U76" s="315">
        <v>8.8004774419728928</v>
      </c>
      <c r="W76" s="216"/>
      <c r="X76" s="216"/>
      <c r="Y76" s="216"/>
      <c r="Z76" s="216"/>
      <c r="AA76" s="216"/>
      <c r="AB76" s="216"/>
      <c r="AC76" s="216"/>
      <c r="AD76" s="216"/>
      <c r="AE76" s="216"/>
      <c r="AF76" s="216"/>
      <c r="AG76" s="216"/>
      <c r="AH76" s="216"/>
    </row>
    <row r="77" spans="2:36" ht="18">
      <c r="B77" s="216"/>
      <c r="C77" s="319"/>
      <c r="D77" s="216"/>
      <c r="E77" s="216"/>
      <c r="F77" s="216"/>
      <c r="G77" s="216"/>
      <c r="H77" s="216"/>
      <c r="I77" s="216"/>
      <c r="J77" s="216"/>
      <c r="K77" s="216"/>
      <c r="L77" s="216"/>
      <c r="M77" s="216"/>
      <c r="N77" s="216"/>
      <c r="Q77" s="565" t="e">
        <f>SUM(S67:S75)+SUM(H64:H67)-H66</f>
        <v>#VALUE!</v>
      </c>
      <c r="T77" s="216" t="s">
        <v>247</v>
      </c>
      <c r="U77" s="315">
        <v>-17.463388982999991</v>
      </c>
      <c r="W77" s="216"/>
      <c r="X77" s="216"/>
      <c r="Y77" s="216"/>
      <c r="Z77" s="216"/>
      <c r="AA77" s="216"/>
      <c r="AB77" s="216"/>
      <c r="AC77" s="216"/>
      <c r="AD77" s="216"/>
      <c r="AE77" s="216"/>
      <c r="AF77" s="216"/>
      <c r="AG77" s="216"/>
      <c r="AH77" s="216"/>
    </row>
    <row r="78" spans="2:36">
      <c r="B78" s="216"/>
      <c r="C78" s="216"/>
      <c r="D78" s="216"/>
      <c r="E78" s="216"/>
      <c r="F78" s="216"/>
      <c r="G78" s="216"/>
      <c r="H78" s="216"/>
      <c r="I78" s="216"/>
      <c r="J78" s="216"/>
      <c r="K78" s="216"/>
      <c r="L78" s="216"/>
      <c r="M78" s="216"/>
      <c r="N78" s="216"/>
      <c r="Q78" s="560"/>
      <c r="T78" s="216" t="s">
        <v>400</v>
      </c>
      <c r="U78" s="315">
        <v>42.533471348662196</v>
      </c>
      <c r="W78" s="216"/>
      <c r="X78" s="216"/>
      <c r="Y78" s="216"/>
      <c r="Z78" s="216"/>
      <c r="AA78" s="216"/>
      <c r="AB78" s="216"/>
      <c r="AC78" s="216"/>
      <c r="AD78" s="216"/>
      <c r="AE78" s="216"/>
      <c r="AF78" s="216"/>
      <c r="AG78" s="216"/>
      <c r="AH78" s="216"/>
    </row>
    <row r="79" spans="2:36">
      <c r="B79" s="216"/>
      <c r="C79" s="216"/>
      <c r="D79" s="216"/>
      <c r="E79" s="216"/>
      <c r="F79" s="216"/>
      <c r="G79" s="216"/>
      <c r="H79" s="216"/>
      <c r="I79" s="216"/>
      <c r="J79" s="411"/>
      <c r="K79" s="216"/>
      <c r="M79" s="216"/>
      <c r="N79" s="216"/>
      <c r="Q79" s="560"/>
      <c r="T79" s="216" t="s">
        <v>222</v>
      </c>
      <c r="U79" s="315"/>
      <c r="X79" s="216"/>
      <c r="Y79" s="216"/>
      <c r="AB79" s="216"/>
      <c r="AC79" s="216"/>
      <c r="AD79" s="216"/>
      <c r="AE79" s="216"/>
      <c r="AF79" s="216"/>
      <c r="AG79" s="216"/>
      <c r="AH79" s="216"/>
    </row>
    <row r="80" spans="2:36">
      <c r="B80" s="216"/>
      <c r="C80" s="216"/>
      <c r="D80" s="216"/>
      <c r="E80" s="216"/>
      <c r="F80" s="216"/>
      <c r="G80" s="216"/>
      <c r="H80" s="216"/>
      <c r="I80" s="216"/>
      <c r="J80" s="411"/>
      <c r="K80" s="216"/>
      <c r="M80" s="216"/>
      <c r="N80" s="216"/>
      <c r="Q80" s="561"/>
      <c r="T80" s="216" t="s">
        <v>395</v>
      </c>
      <c r="U80" s="315">
        <v>0.80611303477201801</v>
      </c>
      <c r="X80" s="216"/>
      <c r="Y80" s="216"/>
      <c r="Z80" s="216"/>
      <c r="AA80" s="216"/>
      <c r="AB80" s="216"/>
      <c r="AC80" s="216"/>
      <c r="AD80" s="216"/>
      <c r="AE80" s="216"/>
      <c r="AF80" s="216"/>
      <c r="AG80" s="216"/>
      <c r="AH80" s="216"/>
    </row>
    <row r="81" spans="2:34">
      <c r="B81" s="216"/>
      <c r="C81" s="216"/>
      <c r="D81" s="216"/>
      <c r="E81" s="216"/>
      <c r="F81" s="216"/>
      <c r="G81" s="216"/>
      <c r="H81" s="216"/>
      <c r="I81" s="216"/>
      <c r="J81" s="411"/>
      <c r="K81" s="216"/>
      <c r="M81" s="216"/>
      <c r="N81" s="216"/>
      <c r="Q81" s="562"/>
      <c r="T81" s="216" t="s">
        <v>217</v>
      </c>
      <c r="U81" s="315">
        <f>'[7]New KPI vs BP'!$DI$453+'[7]New KPI vs BP'!$DI$464</f>
        <v>-13.093572144333853</v>
      </c>
      <c r="W81" s="369"/>
      <c r="Y81" s="216"/>
      <c r="Z81" s="216"/>
      <c r="AA81" s="216"/>
      <c r="AB81" s="216"/>
      <c r="AC81" s="216"/>
      <c r="AD81" s="216"/>
      <c r="AE81" s="216"/>
      <c r="AF81" s="216"/>
      <c r="AG81" s="216"/>
      <c r="AH81" s="216"/>
    </row>
    <row r="82" spans="2:34">
      <c r="B82" s="216"/>
      <c r="C82" s="216"/>
      <c r="D82" s="216"/>
      <c r="E82" s="216"/>
      <c r="F82" s="216"/>
      <c r="G82" s="216"/>
      <c r="H82" s="216"/>
      <c r="I82" s="216"/>
      <c r="J82" s="411"/>
      <c r="K82" s="216"/>
      <c r="M82" s="216"/>
      <c r="N82" s="216"/>
      <c r="Q82" s="562"/>
      <c r="T82" s="216" t="s">
        <v>223</v>
      </c>
      <c r="U82" s="577">
        <v>3.2896139340091461</v>
      </c>
      <c r="X82" s="216"/>
      <c r="Y82" s="216"/>
      <c r="Z82" s="216"/>
      <c r="AA82" s="216"/>
      <c r="AB82" s="216"/>
      <c r="AC82" s="216"/>
      <c r="AD82" s="216"/>
      <c r="AE82" s="216"/>
      <c r="AF82" s="216"/>
      <c r="AG82" s="216"/>
      <c r="AH82" s="216"/>
    </row>
    <row r="83" spans="2:34">
      <c r="B83" s="216"/>
      <c r="C83" s="216"/>
      <c r="D83" s="216"/>
      <c r="E83" s="216"/>
      <c r="F83" s="216"/>
      <c r="G83" s="216"/>
      <c r="H83" s="216"/>
      <c r="I83" s="216"/>
      <c r="J83" s="411"/>
      <c r="K83" s="216"/>
      <c r="M83" s="216"/>
      <c r="N83" s="216"/>
      <c r="Q83" s="563"/>
      <c r="T83" s="216" t="s">
        <v>283</v>
      </c>
      <c r="U83" s="317" t="e">
        <f>SUM(V95:V97)</f>
        <v>#VALUE!</v>
      </c>
      <c r="X83" s="216"/>
      <c r="Y83" s="216"/>
      <c r="Z83" s="216"/>
      <c r="AA83" s="216"/>
      <c r="AB83" s="216"/>
      <c r="AC83" s="216"/>
      <c r="AD83" s="216"/>
      <c r="AE83" s="216"/>
      <c r="AF83" s="216"/>
      <c r="AG83" s="216"/>
      <c r="AH83" s="216"/>
    </row>
    <row r="84" spans="2:34">
      <c r="B84" s="216"/>
      <c r="C84" s="216"/>
      <c r="D84" s="216"/>
      <c r="E84" s="216"/>
      <c r="F84" s="216"/>
      <c r="G84" s="216"/>
      <c r="H84" s="216"/>
      <c r="I84" s="216"/>
      <c r="J84" s="411"/>
      <c r="K84" s="216"/>
      <c r="M84" s="216"/>
      <c r="N84" s="216"/>
      <c r="Q84" s="564" t="e">
        <f>Q77-SUM(Q78:Q83)</f>
        <v>#VALUE!</v>
      </c>
      <c r="W84" s="216"/>
      <c r="X84" s="216"/>
      <c r="Y84" s="216"/>
      <c r="Z84" s="216"/>
      <c r="AA84" s="216"/>
      <c r="AB84" s="216"/>
      <c r="AC84" s="216"/>
      <c r="AD84" s="216"/>
      <c r="AE84" s="216"/>
      <c r="AF84" s="216"/>
      <c r="AG84" s="216"/>
      <c r="AH84" s="216"/>
    </row>
    <row r="85" spans="2:34">
      <c r="J85" s="412"/>
      <c r="Q85" s="529"/>
      <c r="X85" s="314"/>
    </row>
    <row r="86" spans="2:34">
      <c r="J86" s="412"/>
      <c r="X86" s="314"/>
    </row>
    <row r="87" spans="2:34">
      <c r="J87" s="412"/>
      <c r="W87" s="216"/>
      <c r="X87" s="314"/>
    </row>
    <row r="88" spans="2:34">
      <c r="J88" s="412"/>
    </row>
    <row r="89" spans="2:34">
      <c r="J89" s="412"/>
      <c r="U89" s="317"/>
      <c r="W89" s="216"/>
    </row>
    <row r="90" spans="2:34">
      <c r="J90" s="412"/>
    </row>
    <row r="91" spans="2:34">
      <c r="J91" s="412"/>
    </row>
    <row r="92" spans="2:34">
      <c r="J92" s="412"/>
    </row>
    <row r="93" spans="2:34">
      <c r="J93" s="412"/>
    </row>
    <row r="94" spans="2:34">
      <c r="J94" s="412"/>
    </row>
    <row r="95" spans="2:34">
      <c r="U95" s="372" t="s">
        <v>252</v>
      </c>
      <c r="V95" s="373">
        <v>6.9</v>
      </c>
      <c r="X95" s="317"/>
      <c r="Z95" s="488"/>
    </row>
    <row r="96" spans="2:34">
      <c r="U96" t="s">
        <v>293</v>
      </c>
      <c r="V96" s="317">
        <v>21.2</v>
      </c>
    </row>
    <row r="97" spans="21:22">
      <c r="U97" s="135" t="s">
        <v>144</v>
      </c>
      <c r="V97" s="373" t="e">
        <f>-AJ67-AD56-X57-AK66</f>
        <v>#VALUE!</v>
      </c>
    </row>
  </sheetData>
  <mergeCells count="28">
    <mergeCell ref="K44:K45"/>
    <mergeCell ref="S59:S60"/>
    <mergeCell ref="T59:T60"/>
    <mergeCell ref="AE59:AE60"/>
    <mergeCell ref="AF59:AF60"/>
    <mergeCell ref="AH59:AH60"/>
    <mergeCell ref="AH17:AH18"/>
    <mergeCell ref="B52:B53"/>
    <mergeCell ref="C52:C53"/>
    <mergeCell ref="C55:C56"/>
    <mergeCell ref="B59:B60"/>
    <mergeCell ref="H59:H60"/>
    <mergeCell ref="O59:O60"/>
    <mergeCell ref="P59:P60"/>
    <mergeCell ref="Q59:Q60"/>
    <mergeCell ref="R59:R60"/>
    <mergeCell ref="Q17:Q18"/>
    <mergeCell ref="R17:R18"/>
    <mergeCell ref="S17:S18"/>
    <mergeCell ref="T17:T18"/>
    <mergeCell ref="AE17:AE18"/>
    <mergeCell ref="AF17:AF18"/>
    <mergeCell ref="P17:P18"/>
    <mergeCell ref="B10:B11"/>
    <mergeCell ref="C10:C11"/>
    <mergeCell ref="B17:B18"/>
    <mergeCell ref="H17:H18"/>
    <mergeCell ref="O17:O18"/>
  </mergeCells>
  <pageMargins left="0.7" right="0.7" top="0.75" bottom="0.75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60B06-5A6A-44EC-A742-2EF9D3222B57}">
  <sheetPr>
    <tabColor theme="7" tint="-0.249977111117893"/>
  </sheetPr>
  <dimension ref="B1:AJ97"/>
  <sheetViews>
    <sheetView showGridLines="0" topLeftCell="A5" zoomScale="60" zoomScaleNormal="60" workbookViewId="0">
      <selection activeCell="O68" sqref="O68"/>
    </sheetView>
  </sheetViews>
  <sheetFormatPr defaultRowHeight="15"/>
  <cols>
    <col min="2" max="2" width="24.42578125" customWidth="1"/>
    <col min="3" max="3" width="34.85546875" bestFit="1" customWidth="1"/>
    <col min="4" max="4" width="26.140625" customWidth="1"/>
    <col min="5" max="5" width="13.5703125" bestFit="1" customWidth="1"/>
    <col min="6" max="6" width="14.5703125" bestFit="1" customWidth="1"/>
    <col min="7" max="7" width="13" bestFit="1" customWidth="1"/>
    <col min="9" max="9" width="18.42578125" bestFit="1" customWidth="1"/>
    <col min="12" max="12" width="12.5703125" bestFit="1" customWidth="1"/>
    <col min="13" max="13" width="9.85546875" bestFit="1" customWidth="1"/>
    <col min="15" max="15" width="23" bestFit="1" customWidth="1"/>
    <col min="17" max="17" width="20.42578125" bestFit="1" customWidth="1"/>
    <col min="19" max="19" width="10.5703125" bestFit="1" customWidth="1"/>
    <col min="20" max="20" width="10.5703125" customWidth="1"/>
    <col min="21" max="21" width="22.140625" bestFit="1" customWidth="1"/>
    <col min="22" max="22" width="11.140625" customWidth="1"/>
    <col min="24" max="24" width="19.5703125" bestFit="1" customWidth="1"/>
    <col min="26" max="26" width="12.42578125" customWidth="1"/>
    <col min="27" max="27" width="15.42578125" customWidth="1"/>
    <col min="30" max="30" width="10.140625" bestFit="1" customWidth="1"/>
    <col min="33" max="33" width="12.5703125" bestFit="1" customWidth="1"/>
    <col min="34" max="34" width="11.42578125" bestFit="1" customWidth="1"/>
  </cols>
  <sheetData>
    <row r="1" spans="2:34" ht="28.5">
      <c r="B1" s="304" t="str">
        <f>'Summary month'!E2</f>
        <v>Apr</v>
      </c>
      <c r="C1" t="s">
        <v>67</v>
      </c>
    </row>
    <row r="3" spans="2:34" ht="28.5">
      <c r="B3" s="299" t="s">
        <v>202</v>
      </c>
      <c r="I3" s="216"/>
      <c r="J3" s="334"/>
      <c r="K3" s="639">
        <f>'[7]New KPI vs BP'!$DK$450</f>
        <v>0</v>
      </c>
      <c r="L3" s="216"/>
      <c r="M3" s="216"/>
      <c r="N3" s="334"/>
      <c r="O3" s="216"/>
      <c r="P3" s="216"/>
      <c r="Q3" s="216"/>
    </row>
    <row r="4" spans="2:34" ht="28.5">
      <c r="B4" s="299"/>
      <c r="I4" s="530" t="s">
        <v>355</v>
      </c>
      <c r="J4" s="334"/>
      <c r="K4" s="216"/>
      <c r="L4" s="216"/>
      <c r="M4" s="216"/>
      <c r="N4" s="334"/>
      <c r="O4" s="216"/>
      <c r="P4" s="216"/>
      <c r="Q4" s="216"/>
    </row>
    <row r="5" spans="2:34" ht="20.25">
      <c r="B5" s="216"/>
      <c r="C5" s="226" t="str">
        <f>B10</f>
        <v>Q1 OL(2+1) June MTD</v>
      </c>
      <c r="D5" s="226" t="str">
        <f>C10</f>
        <v>FY25 ACT Jun MTD</v>
      </c>
      <c r="E5" s="226" t="s">
        <v>320</v>
      </c>
      <c r="F5" s="226" t="s">
        <v>321</v>
      </c>
      <c r="G5" s="226" t="s">
        <v>358</v>
      </c>
      <c r="H5" s="292" t="s">
        <v>323</v>
      </c>
      <c r="I5" s="216"/>
    </row>
    <row r="6" spans="2:34" ht="20.25">
      <c r="B6" s="226" t="s">
        <v>327</v>
      </c>
      <c r="C6" s="229">
        <f>INDEX('Summary month'!$BP$82:$BS$82,1,MATCH($C$1,'Summary month'!$BT$6:$BW$6,0))</f>
        <v>0</v>
      </c>
      <c r="D6" s="229">
        <f>INDEX('Summary month'!$F$82:$H$82,1,MATCH($C$1,'Summary month'!$F$6:$H$6,0))</f>
        <v>0</v>
      </c>
      <c r="E6" s="226">
        <f>+D6-C6</f>
        <v>0</v>
      </c>
      <c r="F6" s="226" t="e">
        <f>B19</f>
        <v>#VALUE!</v>
      </c>
      <c r="G6" s="226" t="e">
        <f>SUM(C19:S19)</f>
        <v>#VALUE!</v>
      </c>
      <c r="H6" s="502" t="e">
        <f>E6-F6-G6</f>
        <v>#VALUE!</v>
      </c>
      <c r="I6" s="216"/>
      <c r="J6" s="334"/>
      <c r="K6" s="216"/>
      <c r="L6" s="216"/>
      <c r="M6" s="216"/>
      <c r="N6" s="334"/>
      <c r="O6" s="216"/>
      <c r="P6" s="216"/>
      <c r="Q6" s="216"/>
    </row>
    <row r="7" spans="2:34" ht="20.25">
      <c r="B7" s="226" t="s">
        <v>325</v>
      </c>
      <c r="C7" s="229">
        <f>INDEX('Summary month'!$BP$83:$BS$83,1,MATCH($C$1,'Summary month'!$BT$6:$BW$6,0))</f>
        <v>0</v>
      </c>
      <c r="D7" s="229">
        <f>INDEX('Summary month'!$F$83:$H$83,1,MATCH($C$1,'Summary month'!$F$6:$H$6,0))</f>
        <v>0</v>
      </c>
      <c r="E7" s="226">
        <f>+D7-C7</f>
        <v>0</v>
      </c>
      <c r="F7" s="226" t="e">
        <f>T19</f>
        <v>#VALUE!</v>
      </c>
      <c r="G7" s="226" t="e">
        <f>SUM(U19:AH19)</f>
        <v>#VALUE!</v>
      </c>
      <c r="H7" s="502" t="e">
        <f>E7-F7-G7</f>
        <v>#VALUE!</v>
      </c>
      <c r="I7" s="216"/>
      <c r="J7" s="334"/>
      <c r="K7" s="216"/>
      <c r="L7" s="216"/>
      <c r="M7" s="216"/>
      <c r="N7" s="334"/>
      <c r="O7" s="216"/>
      <c r="P7" s="216"/>
      <c r="Q7" s="216"/>
    </row>
    <row r="8" spans="2:34" ht="20.25">
      <c r="B8" s="226" t="s">
        <v>326</v>
      </c>
      <c r="C8" s="226">
        <f>+C6+C7</f>
        <v>0</v>
      </c>
      <c r="D8" s="226">
        <f>+D6+D7</f>
        <v>0</v>
      </c>
      <c r="E8" s="226">
        <f>+D8-C8</f>
        <v>0</v>
      </c>
      <c r="F8" s="226" t="e">
        <f>+E8-G8</f>
        <v>#VALUE!</v>
      </c>
      <c r="G8" s="226" t="e">
        <f>+G6+G7</f>
        <v>#VALUE!</v>
      </c>
      <c r="H8" s="502" t="e">
        <f>E8-F8-G8</f>
        <v>#VALUE!</v>
      </c>
      <c r="I8" s="216"/>
      <c r="J8" s="334" t="s">
        <v>303</v>
      </c>
      <c r="K8" s="216" t="s">
        <v>143</v>
      </c>
      <c r="L8" s="216" t="s">
        <v>304</v>
      </c>
      <c r="M8" s="216"/>
      <c r="N8" s="334" t="s">
        <v>303</v>
      </c>
      <c r="O8" s="216" t="s">
        <v>143</v>
      </c>
      <c r="P8" s="216" t="s">
        <v>305</v>
      </c>
      <c r="Q8" s="216" t="s">
        <v>306</v>
      </c>
    </row>
    <row r="9" spans="2:34" ht="18">
      <c r="B9" s="215"/>
      <c r="C9" s="216"/>
      <c r="D9" s="318" t="e">
        <f>D12-D58</f>
        <v>#VALUE!</v>
      </c>
      <c r="E9" s="318">
        <f>E12-E58</f>
        <v>0</v>
      </c>
      <c r="F9" s="318" t="e">
        <f>F12-F58</f>
        <v>#VALUE!</v>
      </c>
      <c r="G9" s="318" t="e">
        <f>G12-G58</f>
        <v>#VALUE!</v>
      </c>
      <c r="H9" s="216"/>
      <c r="I9" s="216" t="s">
        <v>307</v>
      </c>
      <c r="J9" s="334">
        <f>'[7]New KPI vs BP'!$I$34-K9-L9</f>
        <v>0</v>
      </c>
      <c r="K9" s="216">
        <f>'[7]New KPI vs BP'!$I$15</f>
        <v>0</v>
      </c>
      <c r="L9" s="334">
        <f>'[7]New KPI vs BP'!$I$507+'[7]New KPI vs BP'!$I$523</f>
        <v>0</v>
      </c>
      <c r="M9" s="216"/>
      <c r="N9" s="334" t="e">
        <f>'[7]New KPI vs BP'!$I$34-O9-P9</f>
        <v>#VALUE!</v>
      </c>
      <c r="O9" s="636">
        <f>K9</f>
        <v>0</v>
      </c>
      <c r="P9" s="406" t="e">
        <f>L10-AJ66</f>
        <v>#VALUE!</v>
      </c>
      <c r="Q9" s="334" t="e">
        <f>L9-(P9)</f>
        <v>#VALUE!</v>
      </c>
      <c r="R9" s="216"/>
      <c r="S9" s="216"/>
      <c r="T9" s="216"/>
      <c r="U9" s="216"/>
      <c r="V9" s="216"/>
      <c r="W9" s="216"/>
      <c r="X9" s="216"/>
      <c r="Y9" s="216"/>
      <c r="Z9" s="216"/>
      <c r="AA9" s="216"/>
      <c r="AB9" s="216"/>
      <c r="AC9" s="216"/>
      <c r="AD9" s="216"/>
      <c r="AE9" s="216"/>
      <c r="AF9" s="216"/>
      <c r="AG9" s="216"/>
      <c r="AH9" s="216"/>
    </row>
    <row r="10" spans="2:34" ht="20.100000000000001" customHeight="1">
      <c r="B10" s="1014" t="str">
        <f>B52</f>
        <v>Q1 OL(2+1) June MTD</v>
      </c>
      <c r="C10" s="1014" t="str">
        <f>C52</f>
        <v>FY25 ACT Jun MTD</v>
      </c>
      <c r="D10" s="218"/>
      <c r="E10" s="219"/>
      <c r="F10" s="219"/>
      <c r="G10" s="220"/>
      <c r="H10" s="216"/>
      <c r="I10" s="216" t="s">
        <v>62</v>
      </c>
      <c r="J10" s="334">
        <f>M52</f>
        <v>6.3744855012013657E-2</v>
      </c>
      <c r="K10" s="216">
        <v>0</v>
      </c>
      <c r="L10" s="334" t="e">
        <f>M53</f>
        <v>#VALUE!</v>
      </c>
      <c r="M10" s="216"/>
      <c r="N10" s="216"/>
      <c r="O10" s="216"/>
      <c r="P10" s="216"/>
      <c r="Q10" s="216"/>
      <c r="R10" s="216"/>
      <c r="S10" s="216"/>
      <c r="T10" s="216"/>
      <c r="U10" s="216"/>
      <c r="V10" s="216"/>
      <c r="W10" s="221"/>
      <c r="X10" s="221"/>
      <c r="Y10" s="221"/>
      <c r="Z10" s="221"/>
      <c r="AA10" s="221"/>
      <c r="AB10" s="221"/>
      <c r="AC10" s="221"/>
      <c r="AD10" s="221"/>
      <c r="AE10" s="221"/>
      <c r="AF10" s="221"/>
      <c r="AG10" s="221"/>
      <c r="AH10" s="221"/>
    </row>
    <row r="11" spans="2:34" ht="40.5">
      <c r="B11" s="1015"/>
      <c r="C11" s="1015"/>
      <c r="D11" s="222"/>
      <c r="E11" s="223" t="s">
        <v>154</v>
      </c>
      <c r="F11" s="224" t="s">
        <v>155</v>
      </c>
      <c r="G11" s="225" t="s">
        <v>156</v>
      </c>
      <c r="H11" s="216"/>
      <c r="I11" s="216" t="s">
        <v>208</v>
      </c>
      <c r="J11" s="216"/>
      <c r="K11" s="216"/>
      <c r="L11" s="216"/>
      <c r="M11" s="216"/>
      <c r="N11" s="216"/>
      <c r="O11" s="216"/>
      <c r="P11" s="216"/>
      <c r="Q11" s="216"/>
      <c r="R11" s="216"/>
      <c r="AH11" s="216"/>
    </row>
    <row r="12" spans="2:34" ht="20.25">
      <c r="B12" s="226">
        <f>INDEX('Summary month'!$BP$55:$BR$55,1,MATCH($C$1,'Summary month'!$BT6:$BW$6,0))</f>
        <v>-69.825243156095723</v>
      </c>
      <c r="C12" s="226" t="str">
        <f>INDEX('Summary month'!$F$55:$H$55,1,MATCH($C$1,'Summary month'!$F$6:$H$6,0))</f>
        <v/>
      </c>
      <c r="D12" s="227" t="e">
        <f>C12-B12</f>
        <v>#VALUE!</v>
      </c>
      <c r="E12" s="228">
        <f>'[7]New KPI vs BP'!$I$34</f>
        <v>0</v>
      </c>
      <c r="F12" s="228" t="e">
        <f>'Summary month'!BY82-E13</f>
        <v>#VALUE!</v>
      </c>
      <c r="G12" s="229" t="e">
        <f>'Summary month'!BY83-E14</f>
        <v>#VALUE!</v>
      </c>
      <c r="H12" s="216"/>
      <c r="I12" s="286" t="e">
        <f>SUM(E12:G12)-D12</f>
        <v>#VALUE!</v>
      </c>
      <c r="J12" s="216"/>
      <c r="K12" s="216"/>
      <c r="L12" s="216"/>
      <c r="M12" s="216"/>
      <c r="N12" s="216"/>
      <c r="O12" s="230"/>
      <c r="P12" s="216"/>
      <c r="Q12" s="216"/>
      <c r="R12" s="216"/>
      <c r="AH12" s="230"/>
    </row>
    <row r="13" spans="2:34">
      <c r="B13" s="216"/>
      <c r="C13" s="216"/>
      <c r="D13" s="216"/>
      <c r="E13" s="315" t="e">
        <f>SUM(N9:O9)</f>
        <v>#VALUE!</v>
      </c>
      <c r="F13" s="216" t="s">
        <v>308</v>
      </c>
      <c r="G13" s="216"/>
      <c r="H13" s="216"/>
      <c r="I13" s="216"/>
      <c r="J13" s="216"/>
      <c r="K13" s="216"/>
      <c r="L13" s="216"/>
      <c r="M13" s="216"/>
      <c r="N13" s="216"/>
      <c r="O13" s="216" t="s">
        <v>53</v>
      </c>
      <c r="P13" s="315" t="e">
        <f>-'Summary month'!BY66</f>
        <v>#VALUE!</v>
      </c>
      <c r="Q13" s="216"/>
      <c r="R13" s="216"/>
      <c r="AH13" s="216"/>
    </row>
    <row r="14" spans="2:34">
      <c r="B14" s="216"/>
      <c r="C14" s="216" t="s">
        <v>51</v>
      </c>
      <c r="D14" s="216" t="s">
        <v>50</v>
      </c>
      <c r="E14" s="315" t="e">
        <f>P9</f>
        <v>#VALUE!</v>
      </c>
      <c r="F14" s="216" t="s">
        <v>309</v>
      </c>
      <c r="G14" s="216"/>
      <c r="H14" s="216"/>
      <c r="I14" s="216"/>
      <c r="J14" s="216"/>
      <c r="K14" s="216"/>
      <c r="L14" s="216"/>
      <c r="M14" s="216"/>
      <c r="N14" s="216"/>
      <c r="O14" s="216" t="s">
        <v>54</v>
      </c>
      <c r="P14" s="315" t="e">
        <f>-'Summary month'!BY67</f>
        <v>#VALUE!</v>
      </c>
      <c r="Q14" s="216"/>
      <c r="R14" s="216"/>
      <c r="AH14" s="216"/>
    </row>
    <row r="15" spans="2:34" ht="21" thickBot="1">
      <c r="B15" s="231" t="s">
        <v>157</v>
      </c>
      <c r="C15" s="232" t="s">
        <v>56</v>
      </c>
      <c r="D15" s="232" t="s">
        <v>57</v>
      </c>
      <c r="E15" s="232"/>
      <c r="F15" s="232"/>
      <c r="G15" s="232"/>
      <c r="H15" s="232"/>
      <c r="I15" s="232"/>
      <c r="J15" s="232"/>
      <c r="K15" s="232"/>
      <c r="L15" s="232"/>
      <c r="M15" s="232"/>
      <c r="N15" s="232"/>
      <c r="O15" s="232" t="s">
        <v>55</v>
      </c>
      <c r="P15" s="316" t="e">
        <f>-'Summary month'!BY68</f>
        <v>#VALUE!</v>
      </c>
      <c r="Q15" s="232"/>
      <c r="R15" s="232" t="s">
        <v>60</v>
      </c>
      <c r="AA15" t="s">
        <v>52</v>
      </c>
      <c r="AB15" t="s">
        <v>59</v>
      </c>
      <c r="AH15" s="217" t="s">
        <v>138</v>
      </c>
    </row>
    <row r="16" spans="2:34" ht="21" thickBot="1">
      <c r="B16" s="233"/>
      <c r="C16" s="234" t="s">
        <v>159</v>
      </c>
      <c r="D16" s="234"/>
      <c r="E16" s="234"/>
      <c r="F16" s="234"/>
      <c r="G16" s="234"/>
      <c r="H16" s="234"/>
      <c r="I16" s="234"/>
      <c r="J16" s="234"/>
      <c r="K16" s="234"/>
      <c r="L16" s="234"/>
      <c r="M16" s="234"/>
      <c r="N16" s="234"/>
      <c r="O16" s="234"/>
      <c r="P16" s="234"/>
      <c r="Q16" s="234"/>
      <c r="R16" s="234"/>
      <c r="S16" s="235"/>
      <c r="T16" s="236"/>
      <c r="U16" s="237" t="s">
        <v>160</v>
      </c>
      <c r="V16" s="237"/>
      <c r="W16" s="237"/>
      <c r="X16" s="237"/>
      <c r="Y16" s="237"/>
      <c r="Z16" s="237"/>
      <c r="AA16" s="237"/>
      <c r="AB16" s="237"/>
      <c r="AC16" s="237"/>
      <c r="AD16" s="237"/>
      <c r="AE16" s="237"/>
      <c r="AF16" s="237"/>
      <c r="AG16" s="237"/>
      <c r="AH16" s="238"/>
    </row>
    <row r="17" spans="2:34" ht="20.100000000000001" customHeight="1">
      <c r="B17" s="1027" t="s">
        <v>274</v>
      </c>
      <c r="C17" s="239" t="s">
        <v>161</v>
      </c>
      <c r="D17" s="240"/>
      <c r="E17" s="240"/>
      <c r="F17" s="240"/>
      <c r="G17" s="241"/>
      <c r="H17" s="1017" t="s">
        <v>162</v>
      </c>
      <c r="I17" s="242" t="s">
        <v>163</v>
      </c>
      <c r="J17" s="243"/>
      <c r="K17" s="243"/>
      <c r="L17" s="243"/>
      <c r="M17" s="243"/>
      <c r="N17" s="244"/>
      <c r="O17" s="1019" t="s">
        <v>164</v>
      </c>
      <c r="P17" s="1019" t="s">
        <v>165</v>
      </c>
      <c r="Q17" s="1019" t="s">
        <v>166</v>
      </c>
      <c r="R17" s="1022" t="s">
        <v>167</v>
      </c>
      <c r="S17" s="1023" t="s">
        <v>168</v>
      </c>
      <c r="T17" s="1027" t="s">
        <v>274</v>
      </c>
      <c r="U17" s="245" t="s">
        <v>169</v>
      </c>
      <c r="V17" s="246"/>
      <c r="W17" s="246"/>
      <c r="X17" s="247"/>
      <c r="Y17" s="248" t="s">
        <v>163</v>
      </c>
      <c r="Z17" s="246"/>
      <c r="AA17" s="246"/>
      <c r="AB17" s="246"/>
      <c r="AC17" s="246"/>
      <c r="AD17" s="247"/>
      <c r="AE17" s="1022" t="s">
        <v>166</v>
      </c>
      <c r="AF17" s="1025" t="s">
        <v>167</v>
      </c>
      <c r="AG17" s="311"/>
      <c r="AH17" s="1012" t="s">
        <v>168</v>
      </c>
    </row>
    <row r="18" spans="2:34" ht="77.45" customHeight="1">
      <c r="B18" s="1028"/>
      <c r="C18" s="249" t="s">
        <v>170</v>
      </c>
      <c r="D18" s="250" t="s">
        <v>171</v>
      </c>
      <c r="E18" s="250" t="s">
        <v>172</v>
      </c>
      <c r="F18" s="250" t="s">
        <v>173</v>
      </c>
      <c r="G18" s="251" t="s">
        <v>174</v>
      </c>
      <c r="H18" s="1018"/>
      <c r="I18" s="250" t="s">
        <v>175</v>
      </c>
      <c r="J18" s="250" t="s">
        <v>176</v>
      </c>
      <c r="K18" s="250" t="s">
        <v>177</v>
      </c>
      <c r="L18" s="250" t="s">
        <v>178</v>
      </c>
      <c r="M18" s="250" t="s">
        <v>168</v>
      </c>
      <c r="N18" s="250" t="s">
        <v>179</v>
      </c>
      <c r="O18" s="1020"/>
      <c r="P18" s="1021"/>
      <c r="Q18" s="1021"/>
      <c r="R18" s="1021"/>
      <c r="S18" s="1024"/>
      <c r="T18" s="1028"/>
      <c r="U18" s="307" t="s">
        <v>203</v>
      </c>
      <c r="V18" s="308" t="s">
        <v>180</v>
      </c>
      <c r="W18" s="309" t="s">
        <v>181</v>
      </c>
      <c r="X18" s="310" t="s">
        <v>33</v>
      </c>
      <c r="Y18" s="305" t="s">
        <v>25</v>
      </c>
      <c r="Z18" s="306" t="s">
        <v>183</v>
      </c>
      <c r="AA18" s="306" t="s">
        <v>204</v>
      </c>
      <c r="AB18" s="306" t="s">
        <v>205</v>
      </c>
      <c r="AC18" s="306" t="s">
        <v>184</v>
      </c>
      <c r="AD18" s="306" t="s">
        <v>30</v>
      </c>
      <c r="AE18" s="1021"/>
      <c r="AF18" s="1026"/>
      <c r="AG18" s="312" t="s">
        <v>37</v>
      </c>
      <c r="AH18" s="1013"/>
    </row>
    <row r="19" spans="2:34" ht="21" thickBot="1">
      <c r="B19" s="252" t="e">
        <f>E13</f>
        <v>#VALUE!</v>
      </c>
      <c r="C19" s="253" t="e">
        <f>C61-INDEX('Summary month'!$BY$17:$BY$74,MATCH(C14,'Summary month'!$D$17:$D$74,0),MATCH($C$1,'Summary month'!$BY$6:$BY$6,0))-INDEX('Summary month'!$BY$17:$BY$74,MATCH(C15,'Summary month'!$D$17:$D$74,0),MATCH($C$1,'Summary month'!$BY$6:$BY$6,0))+M52-N9</f>
        <v>#VALUE!</v>
      </c>
      <c r="D19" s="547" t="e">
        <f>S67-INDEX('Summary month'!$BY$17:$BY$74,MATCH(D14,'Summary month'!$D$17:$D$74,0),MATCH($C$1,'Summary month'!$BY$6:$BY$6,0))-INDEX('Summary month'!$BY$17:$BY$74,MATCH(D15,'Summary month'!$D$17:$D$74,0),MATCH($C$1,'Summary month'!$BY$6:$BY$6,0))-O9</f>
        <v>#VALUE!</v>
      </c>
      <c r="E19" s="254">
        <f>E61</f>
        <v>0</v>
      </c>
      <c r="F19" s="254">
        <f>F61</f>
        <v>0</v>
      </c>
      <c r="G19" s="254"/>
      <c r="H19" s="254"/>
      <c r="I19" s="254">
        <f>I61</f>
        <v>0.13977485649137922</v>
      </c>
      <c r="J19" s="255">
        <f>J61</f>
        <v>2.2787507887343312</v>
      </c>
      <c r="K19" s="255">
        <f>K61</f>
        <v>-0.37543503603665318</v>
      </c>
      <c r="L19" s="255">
        <f>L61</f>
        <v>0</v>
      </c>
      <c r="M19" s="255">
        <f>M61</f>
        <v>1.8592568013406741</v>
      </c>
      <c r="N19" s="255"/>
      <c r="O19" s="254" t="e">
        <f>SUM(P13:P15)</f>
        <v>#VALUE!</v>
      </c>
      <c r="P19" s="254"/>
      <c r="Q19" s="256"/>
      <c r="R19" s="254" t="e">
        <f>R61-INDEX('Summary month'!$BT$17:$BY$74,MATCH(R15,'Summary month'!$D$17:$D$74,0),MATCH($C$1,'Summary month'!$BT$6:$BY$6,0))</f>
        <v>#REF!</v>
      </c>
      <c r="S19" s="257" t="e">
        <f>F12-SUM(C19:R19)</f>
        <v>#VALUE!</v>
      </c>
      <c r="T19" s="253" t="e">
        <f>E14</f>
        <v>#VALUE!</v>
      </c>
      <c r="U19" s="253" t="e">
        <f>U61</f>
        <v>#VALUE!</v>
      </c>
      <c r="V19" s="258" t="e">
        <f>V61</f>
        <v>#VALUE!</v>
      </c>
      <c r="W19" s="258"/>
      <c r="X19" s="258" t="e">
        <f>X61</f>
        <v>#VALUE!</v>
      </c>
      <c r="Y19" s="258" t="e">
        <f>Y61</f>
        <v>#VALUE!</v>
      </c>
      <c r="Z19" s="258" t="e">
        <f>Z61</f>
        <v>#VALUE!</v>
      </c>
      <c r="AA19" s="258" t="e">
        <f>AA61-INDEX('Summary month'!$BT$17:$BY$74,MATCH(AA15,'Summary month'!$D$17:$D$74,0),MATCH($C$1,'Summary month'!$BT$6:$BY$6,0))</f>
        <v>#VALUE!</v>
      </c>
      <c r="AB19" s="258" t="e">
        <f>-INDEX('Summary month'!$BT$17:$BY$74,MATCH(AB15,'Summary month'!$D$17:$D$74,0),MATCH($C$1,'Summary month'!$BT$6:$BY$6,0))</f>
        <v>#REF!</v>
      </c>
      <c r="AC19" s="258" t="e">
        <f>AC61</f>
        <v>#VALUE!</v>
      </c>
      <c r="AD19" s="258" t="e">
        <f>AD61</f>
        <v>#VALUE!</v>
      </c>
      <c r="AE19" s="256"/>
      <c r="AF19" s="259"/>
      <c r="AG19" s="254" t="e">
        <f>AG61</f>
        <v>#VALUE!</v>
      </c>
      <c r="AH19" s="260" t="e">
        <f>G12-SUM(U19:AG19)</f>
        <v>#VALUE!</v>
      </c>
    </row>
    <row r="20" spans="2:34">
      <c r="B20" s="286" t="e">
        <f>B19-B61</f>
        <v>#VALUE!</v>
      </c>
      <c r="C20" s="286" t="e">
        <f>C19-C61</f>
        <v>#VALUE!</v>
      </c>
      <c r="D20" s="286" t="e">
        <f t="shared" ref="D20:S20" si="0">D19-D61</f>
        <v>#VALUE!</v>
      </c>
      <c r="E20" s="286">
        <f t="shared" si="0"/>
        <v>0</v>
      </c>
      <c r="F20" s="286">
        <f t="shared" si="0"/>
        <v>0</v>
      </c>
      <c r="G20" s="286">
        <f t="shared" si="0"/>
        <v>0</v>
      </c>
      <c r="H20" s="286">
        <f t="shared" si="0"/>
        <v>0</v>
      </c>
      <c r="I20" s="286">
        <f t="shared" si="0"/>
        <v>0</v>
      </c>
      <c r="J20" s="286">
        <f t="shared" si="0"/>
        <v>0</v>
      </c>
      <c r="K20" s="286">
        <f t="shared" si="0"/>
        <v>0</v>
      </c>
      <c r="L20" s="286">
        <f t="shared" si="0"/>
        <v>0</v>
      </c>
      <c r="M20" s="286">
        <f t="shared" si="0"/>
        <v>0</v>
      </c>
      <c r="N20" s="286">
        <f t="shared" si="0"/>
        <v>0</v>
      </c>
      <c r="O20" s="286" t="e">
        <f t="shared" si="0"/>
        <v>#VALUE!</v>
      </c>
      <c r="P20" s="286">
        <f t="shared" si="0"/>
        <v>0</v>
      </c>
      <c r="Q20" s="286">
        <f t="shared" si="0"/>
        <v>0</v>
      </c>
      <c r="R20" s="286" t="e">
        <f t="shared" si="0"/>
        <v>#REF!</v>
      </c>
      <c r="S20" s="286" t="e">
        <f t="shared" si="0"/>
        <v>#VALUE!</v>
      </c>
      <c r="T20" s="286"/>
      <c r="U20" s="216"/>
      <c r="V20" s="216"/>
      <c r="W20" s="216"/>
      <c r="X20" s="216"/>
      <c r="Y20" s="216"/>
      <c r="Z20" s="216"/>
      <c r="AA20" s="216"/>
      <c r="AB20" s="216"/>
      <c r="AC20" s="216"/>
      <c r="AD20" s="216"/>
      <c r="AE20" t="s">
        <v>262</v>
      </c>
      <c r="AF20" s="216"/>
      <c r="AG20" s="216"/>
      <c r="AH20" s="216"/>
    </row>
    <row r="21" spans="2:34" ht="20.25">
      <c r="B21" s="221"/>
      <c r="C21" s="261"/>
      <c r="D21" s="262"/>
      <c r="E21" s="262"/>
      <c r="F21" s="262"/>
      <c r="G21" s="262"/>
      <c r="H21" s="262"/>
      <c r="I21" s="262"/>
      <c r="J21" s="262"/>
      <c r="K21" s="262"/>
      <c r="L21" s="262"/>
      <c r="M21" s="262"/>
      <c r="N21" s="262"/>
      <c r="O21" s="262"/>
      <c r="P21" s="262"/>
      <c r="Q21" s="262"/>
      <c r="R21" s="262"/>
      <c r="S21" s="221"/>
      <c r="T21" s="221"/>
      <c r="U21" s="221"/>
      <c r="V21" s="221"/>
      <c r="W21" s="221"/>
      <c r="X21" s="263" t="s">
        <v>185</v>
      </c>
      <c r="Y21" s="264"/>
      <c r="Z21" s="264"/>
      <c r="AA21" s="264"/>
      <c r="AB21" s="265" t="e">
        <f>AD19</f>
        <v>#VALUE!</v>
      </c>
      <c r="AC21" s="221"/>
      <c r="AD21" s="263" t="s">
        <v>186</v>
      </c>
      <c r="AE21" s="264"/>
      <c r="AF21" s="264"/>
      <c r="AG21" s="264"/>
      <c r="AH21" s="265" t="e">
        <f>AH19</f>
        <v>#VALUE!</v>
      </c>
    </row>
    <row r="22" spans="2:34" ht="18">
      <c r="B22" s="216"/>
      <c r="C22" s="266"/>
      <c r="D22" s="267"/>
      <c r="E22" s="267"/>
      <c r="F22" s="267"/>
      <c r="G22" s="267"/>
      <c r="H22" s="267"/>
      <c r="I22" s="267"/>
      <c r="J22" s="267"/>
      <c r="K22" s="267"/>
      <c r="L22" s="267"/>
      <c r="M22" s="267"/>
      <c r="N22" s="267"/>
      <c r="O22" s="267"/>
      <c r="P22" s="267"/>
      <c r="Q22" s="267"/>
      <c r="R22" s="267"/>
      <c r="S22" s="216"/>
      <c r="T22" s="216"/>
      <c r="U22" s="431"/>
      <c r="V22" s="216"/>
      <c r="W22" s="216"/>
      <c r="X22" s="268">
        <v>1</v>
      </c>
      <c r="Y22" s="269"/>
      <c r="Z22" s="270"/>
      <c r="AA22" s="270"/>
      <c r="AB22" s="271"/>
      <c r="AC22" s="216"/>
      <c r="AD22" s="268">
        <v>1</v>
      </c>
      <c r="AE22" s="276" t="s">
        <v>430</v>
      </c>
      <c r="AF22" s="277"/>
      <c r="AG22" s="277"/>
      <c r="AH22" s="278">
        <v>8.1798648663039693</v>
      </c>
    </row>
    <row r="23" spans="2:34" ht="20.25">
      <c r="B23" s="221" t="s">
        <v>277</v>
      </c>
      <c r="C23" s="426">
        <f>C61</f>
        <v>0</v>
      </c>
      <c r="D23" s="216"/>
      <c r="E23" s="216" t="s">
        <v>281</v>
      </c>
      <c r="F23" s="216" t="s">
        <v>274</v>
      </c>
      <c r="G23" s="216"/>
      <c r="H23" s="216"/>
      <c r="I23" s="634" t="s">
        <v>188</v>
      </c>
      <c r="J23" s="274"/>
      <c r="K23" s="274"/>
      <c r="L23" s="274"/>
      <c r="M23" s="275">
        <f>M19</f>
        <v>1.8592568013406741</v>
      </c>
      <c r="N23" s="216"/>
      <c r="O23" s="216"/>
      <c r="P23" s="216"/>
      <c r="Q23" s="216"/>
      <c r="R23" s="216"/>
      <c r="S23" s="216"/>
      <c r="T23" s="216"/>
      <c r="U23" s="216"/>
      <c r="V23" s="216"/>
      <c r="W23" s="216"/>
      <c r="X23" s="268">
        <v>2</v>
      </c>
      <c r="Y23" s="276"/>
      <c r="Z23" s="277"/>
      <c r="AA23" s="277"/>
      <c r="AB23" s="278"/>
      <c r="AC23" s="216"/>
      <c r="AD23" s="268">
        <v>2</v>
      </c>
      <c r="AE23" s="276" t="s">
        <v>435</v>
      </c>
      <c r="AF23" s="277"/>
      <c r="AG23" s="277"/>
      <c r="AH23" s="278">
        <v>0.29073813172910101</v>
      </c>
    </row>
    <row r="24" spans="2:34" ht="18">
      <c r="B24" s="216" t="s">
        <v>278</v>
      </c>
      <c r="C24" s="579" t="e">
        <f>-INDEX('Summary month'!$BT$17:$BW$74,MATCH(C14,'Summary month'!$D$17:$D$74,0),MATCH($C$1,'Summary month'!$BT$6:$BW$6,0))</f>
        <v>#REF!</v>
      </c>
      <c r="D24" s="216"/>
      <c r="E24" s="435" t="e">
        <f>C24-F24</f>
        <v>#REF!</v>
      </c>
      <c r="F24" s="436">
        <v>-5.36302873092722</v>
      </c>
      <c r="G24" s="216"/>
      <c r="H24" s="216"/>
      <c r="I24" s="279">
        <v>1</v>
      </c>
      <c r="J24" s="635" t="str">
        <f>J66</f>
        <v>Supplier claims</v>
      </c>
      <c r="K24" s="270"/>
      <c r="L24" s="270"/>
      <c r="M24" s="280">
        <f>M66</f>
        <v>5</v>
      </c>
      <c r="N24" s="216"/>
      <c r="O24" s="216"/>
      <c r="P24" s="216"/>
      <c r="Q24" s="216"/>
      <c r="R24" s="216"/>
      <c r="S24" s="216"/>
      <c r="T24" s="216"/>
      <c r="U24" s="216"/>
      <c r="V24" s="216"/>
      <c r="W24" s="216"/>
      <c r="X24" s="268">
        <v>3</v>
      </c>
      <c r="Y24" s="276"/>
      <c r="Z24" s="277"/>
      <c r="AA24" s="277"/>
      <c r="AB24" s="278"/>
      <c r="AC24" s="216"/>
      <c r="AD24" s="268">
        <v>3</v>
      </c>
      <c r="AE24" s="276"/>
      <c r="AF24" s="277"/>
      <c r="AG24" s="277"/>
      <c r="AH24" s="278"/>
    </row>
    <row r="25" spans="2:34" ht="18">
      <c r="B25" s="216" t="s">
        <v>279</v>
      </c>
      <c r="C25" s="427" t="e">
        <f>-INDEX('Summary month'!$BT$17:$BW$74,MATCH(C15,'Summary month'!$D$17:$D$74,0),MATCH($C$1,'Summary month'!$BT$6:$BW$6,0))</f>
        <v>#REF!</v>
      </c>
      <c r="D25" s="216"/>
      <c r="E25" s="216"/>
      <c r="F25" s="216"/>
      <c r="G25" s="216"/>
      <c r="H25" s="216"/>
      <c r="I25" s="279">
        <v>2</v>
      </c>
      <c r="J25" s="276" t="str">
        <f t="shared" ref="J25:J31" si="1">J67</f>
        <v>Inv movement</v>
      </c>
      <c r="K25" s="277"/>
      <c r="L25" s="277"/>
      <c r="M25" s="281">
        <f t="shared" ref="M25:M31" si="2">M67</f>
        <v>-2</v>
      </c>
      <c r="N25" s="216"/>
      <c r="O25" s="216"/>
      <c r="P25" s="216"/>
      <c r="Q25" s="216"/>
      <c r="R25" s="216"/>
      <c r="S25" s="216"/>
      <c r="T25" s="216"/>
      <c r="U25" s="216"/>
      <c r="V25" s="216"/>
      <c r="W25" s="216"/>
      <c r="X25" s="268">
        <v>4</v>
      </c>
      <c r="Y25" s="276"/>
      <c r="Z25" s="277"/>
      <c r="AA25" s="277"/>
      <c r="AB25" s="278"/>
      <c r="AC25" s="216"/>
      <c r="AD25" s="268">
        <v>4</v>
      </c>
      <c r="AE25" s="276"/>
      <c r="AF25" s="277"/>
      <c r="AG25" s="277"/>
      <c r="AH25" s="278"/>
    </row>
    <row r="26" spans="2:34" ht="18">
      <c r="B26" s="216" t="s">
        <v>280</v>
      </c>
      <c r="C26" s="438" t="e">
        <f>(M52-N9)</f>
        <v>#VALUE!</v>
      </c>
      <c r="D26" s="216"/>
      <c r="E26" s="216"/>
      <c r="F26" s="216"/>
      <c r="G26" s="216"/>
      <c r="H26" s="216"/>
      <c r="I26" s="279">
        <v>3</v>
      </c>
      <c r="J26" s="276" t="str">
        <f t="shared" si="1"/>
        <v>NCIC ITPs (timing)</v>
      </c>
      <c r="K26" s="277"/>
      <c r="L26" s="277"/>
      <c r="M26" s="281">
        <f t="shared" si="2"/>
        <v>-4</v>
      </c>
      <c r="N26" s="216"/>
      <c r="O26" s="216"/>
      <c r="P26" s="216"/>
      <c r="Q26" s="216"/>
      <c r="R26" s="216"/>
      <c r="S26" s="216"/>
      <c r="T26" s="216"/>
      <c r="U26" s="216"/>
      <c r="V26" s="216"/>
      <c r="W26" s="216"/>
      <c r="X26" s="282">
        <v>5</v>
      </c>
      <c r="Y26" s="283" t="s">
        <v>182</v>
      </c>
      <c r="Z26" s="284"/>
      <c r="AA26" s="284"/>
      <c r="AB26" s="285" t="e">
        <f>AB21-SUM(AB22:AB25)</f>
        <v>#VALUE!</v>
      </c>
      <c r="AC26" s="216"/>
      <c r="AD26" s="282">
        <v>5</v>
      </c>
      <c r="AE26" s="283" t="s">
        <v>182</v>
      </c>
      <c r="AF26" s="284"/>
      <c r="AG26" s="284"/>
      <c r="AH26" s="285" t="e">
        <f>AH21-SUM(AH22:AH25)</f>
        <v>#VALUE!</v>
      </c>
    </row>
    <row r="27" spans="2:34" ht="18">
      <c r="B27" s="216"/>
      <c r="C27" s="216"/>
      <c r="D27" s="272"/>
      <c r="E27" s="272"/>
      <c r="F27" s="272"/>
      <c r="G27" s="272"/>
      <c r="H27" s="272"/>
      <c r="I27" s="279">
        <v>4</v>
      </c>
      <c r="J27" s="276" t="str">
        <f t="shared" si="1"/>
        <v>Holiday pay (timing)</v>
      </c>
      <c r="K27" s="277"/>
      <c r="L27" s="277"/>
      <c r="M27" s="281">
        <f t="shared" si="2"/>
        <v>-1</v>
      </c>
      <c r="N27" s="216"/>
      <c r="O27" s="216"/>
      <c r="P27" s="272"/>
      <c r="Q27" s="272"/>
      <c r="R27" s="216"/>
      <c r="S27" s="216"/>
      <c r="T27" s="216"/>
      <c r="U27" s="216"/>
      <c r="V27" s="216"/>
      <c r="W27" s="216"/>
      <c r="X27" s="216"/>
      <c r="Y27" s="216"/>
      <c r="Z27" s="216"/>
      <c r="AA27" s="216"/>
      <c r="AB27" s="286" t="e">
        <f>AB26-AA70</f>
        <v>#VALUE!</v>
      </c>
      <c r="AC27" s="216"/>
      <c r="AD27" s="216"/>
      <c r="AE27" s="216"/>
      <c r="AF27" s="216"/>
      <c r="AG27" s="287"/>
      <c r="AH27" s="286" t="e">
        <f>AH26-AH70</f>
        <v>#VALUE!</v>
      </c>
    </row>
    <row r="28" spans="2:34" ht="18">
      <c r="B28" s="216"/>
      <c r="C28" s="272"/>
      <c r="D28" s="216"/>
      <c r="E28" s="216"/>
      <c r="F28" s="529"/>
      <c r="G28" s="216"/>
      <c r="H28" s="216"/>
      <c r="I28" s="279">
        <v>5</v>
      </c>
      <c r="J28" s="276" t="str">
        <f t="shared" si="1"/>
        <v>MZ Others</v>
      </c>
      <c r="K28" s="277"/>
      <c r="L28" s="277"/>
      <c r="M28" s="281">
        <f t="shared" si="2"/>
        <v>-9.2195935381147009E-2</v>
      </c>
      <c r="N28" s="216"/>
      <c r="O28" s="216"/>
      <c r="P28" s="216"/>
      <c r="Q28" s="216"/>
      <c r="R28" s="216"/>
      <c r="S28" s="216"/>
      <c r="T28" s="216"/>
      <c r="U28" s="216"/>
      <c r="V28" s="216"/>
      <c r="W28" s="216"/>
      <c r="X28" s="216"/>
      <c r="Y28" s="216"/>
      <c r="Z28" s="216"/>
      <c r="AA28" s="216"/>
      <c r="AB28" s="216"/>
      <c r="AC28" s="216"/>
      <c r="AD28" s="216"/>
      <c r="AE28" s="216"/>
      <c r="AF28" s="216"/>
      <c r="AG28" s="216"/>
      <c r="AH28" s="216"/>
    </row>
    <row r="29" spans="2:34" ht="18">
      <c r="B29" s="216"/>
      <c r="C29" s="272"/>
      <c r="D29" s="216"/>
      <c r="E29" s="216"/>
      <c r="F29" s="216"/>
      <c r="G29" s="216"/>
      <c r="H29" s="216"/>
      <c r="I29" s="279">
        <v>6</v>
      </c>
      <c r="J29" s="276" t="str">
        <f t="shared" si="1"/>
        <v>X-vbadge</v>
      </c>
      <c r="K29" s="277"/>
      <c r="L29" s="277"/>
      <c r="M29" s="281">
        <f t="shared" si="2"/>
        <v>-9.7800717278175658E-2</v>
      </c>
      <c r="N29" s="216"/>
      <c r="O29" s="216"/>
      <c r="P29" s="216"/>
      <c r="Q29" s="216"/>
      <c r="R29" s="216"/>
      <c r="S29" s="216"/>
      <c r="T29" s="216"/>
      <c r="U29" s="216"/>
      <c r="V29" s="216"/>
      <c r="W29" s="216"/>
      <c r="X29" s="216"/>
      <c r="Y29" s="216"/>
      <c r="Z29" s="216"/>
      <c r="AA29" s="216"/>
      <c r="AB29" s="216"/>
      <c r="AC29" s="216"/>
      <c r="AD29" s="216"/>
      <c r="AE29" s="216"/>
      <c r="AF29" s="216"/>
      <c r="AG29" s="216"/>
      <c r="AH29" s="216"/>
    </row>
    <row r="30" spans="2:34" ht="18">
      <c r="B30" s="216"/>
      <c r="C30" s="272"/>
      <c r="D30" s="272"/>
      <c r="E30" s="216"/>
      <c r="F30" s="216"/>
      <c r="G30" s="216"/>
      <c r="H30" s="216"/>
      <c r="I30" s="279">
        <v>7</v>
      </c>
      <c r="J30" s="276" t="str">
        <f t="shared" si="1"/>
        <v>Duties</v>
      </c>
      <c r="K30" s="277"/>
      <c r="L30" s="277"/>
      <c r="M30" s="281">
        <f t="shared" si="2"/>
        <v>-3.758562E-2</v>
      </c>
      <c r="N30" s="216"/>
      <c r="O30" s="216"/>
      <c r="P30" s="216"/>
      <c r="Q30" s="216"/>
      <c r="R30" s="216"/>
      <c r="S30" s="216"/>
      <c r="T30" s="216"/>
      <c r="U30" s="216"/>
      <c r="V30" s="216"/>
      <c r="W30" s="216"/>
      <c r="X30" s="216"/>
      <c r="Y30" s="216"/>
      <c r="Z30" s="216"/>
      <c r="AA30" s="216"/>
      <c r="AB30" s="216"/>
      <c r="AC30" s="216"/>
      <c r="AD30" s="216"/>
      <c r="AE30" s="216"/>
      <c r="AF30" s="216"/>
      <c r="AG30" s="216"/>
      <c r="AH30" s="216"/>
    </row>
    <row r="31" spans="2:34" ht="18">
      <c r="B31" s="216"/>
      <c r="C31" s="291"/>
      <c r="D31" s="216"/>
      <c r="E31" s="216"/>
      <c r="F31" s="292" t="s">
        <v>189</v>
      </c>
      <c r="G31" s="216"/>
      <c r="H31" s="216"/>
      <c r="I31" s="279">
        <v>8</v>
      </c>
      <c r="J31" s="276" t="str">
        <f t="shared" si="1"/>
        <v>Logistics</v>
      </c>
      <c r="K31" s="277"/>
      <c r="L31" s="277"/>
      <c r="M31" s="281">
        <f t="shared" si="2"/>
        <v>-0.31316092600000001</v>
      </c>
      <c r="N31" s="216"/>
      <c r="O31" s="216"/>
      <c r="P31" s="216"/>
      <c r="Q31" s="216"/>
      <c r="R31" s="216"/>
      <c r="S31" s="216"/>
      <c r="T31" s="216"/>
      <c r="U31" s="216"/>
      <c r="V31" s="216"/>
      <c r="W31" s="216"/>
      <c r="X31" s="216"/>
      <c r="Y31" s="216"/>
      <c r="Z31" s="216"/>
      <c r="AA31" s="216"/>
      <c r="AB31" s="216"/>
      <c r="AC31" s="216"/>
      <c r="AD31" s="216"/>
      <c r="AE31" s="216"/>
      <c r="AF31" s="216"/>
      <c r="AG31" s="216"/>
      <c r="AH31" s="216"/>
    </row>
    <row r="32" spans="2:34" ht="20.25">
      <c r="B32" s="216"/>
      <c r="C32" s="216"/>
      <c r="D32" s="293" t="s">
        <v>420</v>
      </c>
      <c r="E32" s="293" t="s">
        <v>431</v>
      </c>
      <c r="F32" s="293" t="s">
        <v>190</v>
      </c>
      <c r="G32" s="216"/>
      <c r="H32" s="216"/>
      <c r="I32" s="279">
        <v>9</v>
      </c>
      <c r="J32" s="276"/>
      <c r="K32" s="277"/>
      <c r="L32" s="277"/>
      <c r="M32" s="281"/>
      <c r="N32" s="216"/>
      <c r="O32" s="273" t="s">
        <v>191</v>
      </c>
      <c r="P32" s="274"/>
      <c r="Q32" s="274"/>
      <c r="R32" s="274"/>
      <c r="S32" s="294" t="e">
        <f>S19</f>
        <v>#VALUE!</v>
      </c>
      <c r="T32" s="216"/>
      <c r="U32" s="272"/>
      <c r="V32" s="272"/>
      <c r="W32" s="272"/>
      <c r="X32" s="216"/>
      <c r="Y32" s="216"/>
      <c r="Z32" s="216"/>
      <c r="AA32" s="216"/>
      <c r="AB32" s="216"/>
      <c r="AC32" s="216"/>
      <c r="AD32" s="216"/>
      <c r="AE32" s="216"/>
      <c r="AF32" s="216"/>
      <c r="AG32" s="216"/>
      <c r="AH32" s="216"/>
    </row>
    <row r="33" spans="2:34" ht="20.25">
      <c r="B33" s="216"/>
      <c r="C33" s="295" t="s">
        <v>192</v>
      </c>
      <c r="D33" s="368" t="e">
        <f>SUM('Summary month'!BR11:BR13)*1000</f>
        <v>#REF!</v>
      </c>
      <c r="E33" s="368">
        <f>SUM('Summary month'!H11:H13)*1000</f>
        <v>0</v>
      </c>
      <c r="F33" s="296" t="e">
        <f>E33-D33</f>
        <v>#REF!</v>
      </c>
      <c r="G33" s="216"/>
      <c r="H33" s="216"/>
      <c r="I33" s="288">
        <v>10</v>
      </c>
      <c r="J33" s="289" t="str">
        <f>J76</f>
        <v>Others</v>
      </c>
      <c r="K33" s="284"/>
      <c r="L33" s="284"/>
      <c r="M33" s="290">
        <f>M23-SUM(M24:M31)</f>
        <v>4.3999999999999968</v>
      </c>
      <c r="N33" s="216"/>
      <c r="O33" s="279">
        <v>1</v>
      </c>
      <c r="P33" s="269" t="str">
        <f>Q66</f>
        <v>UC</v>
      </c>
      <c r="Q33" s="270"/>
      <c r="R33" s="270"/>
      <c r="S33" s="280">
        <f>S66</f>
        <v>0</v>
      </c>
      <c r="T33" s="216"/>
      <c r="U33" s="216"/>
      <c r="V33" s="216"/>
      <c r="W33" s="216"/>
      <c r="X33" s="297"/>
      <c r="Y33" s="216"/>
      <c r="Z33" s="216"/>
      <c r="AA33" s="216"/>
      <c r="AB33" s="216"/>
      <c r="AC33" s="216"/>
      <c r="AD33" s="216"/>
      <c r="AE33" s="216"/>
      <c r="AF33" s="216"/>
      <c r="AG33" s="216"/>
      <c r="AH33" s="216"/>
    </row>
    <row r="34" spans="2:34" ht="20.25">
      <c r="B34" s="216"/>
      <c r="C34" s="295" t="s">
        <v>194</v>
      </c>
      <c r="D34" s="368" t="e">
        <f>'Summary month'!BR14*1000</f>
        <v>#REF!</v>
      </c>
      <c r="E34" s="368" t="e">
        <f>'Summary month'!H14*1000</f>
        <v>#VALUE!</v>
      </c>
      <c r="F34" s="296" t="e">
        <f>E34-D34</f>
        <v>#VALUE!</v>
      </c>
      <c r="G34" s="216"/>
      <c r="H34" s="216"/>
      <c r="I34" s="216"/>
      <c r="J34" s="216"/>
      <c r="K34" s="216"/>
      <c r="L34" s="216"/>
      <c r="M34" s="216"/>
      <c r="N34" s="216"/>
      <c r="O34" s="279">
        <v>2</v>
      </c>
      <c r="P34" s="276" t="str">
        <f>Q68</f>
        <v>OCS no TdC</v>
      </c>
      <c r="Q34" s="277"/>
      <c r="R34" s="277"/>
      <c r="S34" s="281">
        <f>S68</f>
        <v>-3.8701158311542523</v>
      </c>
      <c r="T34" s="216"/>
      <c r="U34" s="552" t="e">
        <f>-S67+S35</f>
        <v>#VALUE!</v>
      </c>
      <c r="V34" s="216"/>
      <c r="W34" s="216"/>
      <c r="X34" s="216"/>
      <c r="Y34" s="216"/>
      <c r="Z34" s="216"/>
      <c r="AA34" s="216"/>
      <c r="AB34" s="216"/>
      <c r="AC34" s="216"/>
      <c r="AD34" s="216"/>
      <c r="AE34" s="216"/>
      <c r="AF34" s="216"/>
      <c r="AG34" s="216"/>
      <c r="AH34" s="216"/>
    </row>
    <row r="35" spans="2:34" ht="18">
      <c r="B35" s="216"/>
      <c r="C35" s="216"/>
      <c r="D35" s="298"/>
      <c r="E35" s="298"/>
      <c r="F35" s="298"/>
      <c r="G35" s="216"/>
      <c r="H35" s="216"/>
      <c r="I35" s="216"/>
      <c r="J35" s="216"/>
      <c r="K35" s="216"/>
      <c r="L35" s="216"/>
      <c r="M35" s="216"/>
      <c r="N35" s="216"/>
      <c r="O35" s="279">
        <v>3</v>
      </c>
      <c r="P35" s="276" t="s">
        <v>58</v>
      </c>
      <c r="Q35" s="277"/>
      <c r="R35" s="277"/>
      <c r="S35" s="281" t="e">
        <f>'Summary month'!BY71</f>
        <v>#VALUE!</v>
      </c>
      <c r="T35" s="216"/>
      <c r="U35" s="216"/>
      <c r="V35" s="216"/>
      <c r="W35" s="216"/>
      <c r="X35" s="216"/>
      <c r="Y35" s="216"/>
      <c r="Z35" s="216"/>
      <c r="AA35" s="216"/>
      <c r="AB35" s="216"/>
      <c r="AC35" s="216"/>
      <c r="AD35" s="216"/>
      <c r="AE35" s="216"/>
      <c r="AF35" s="216"/>
      <c r="AG35" s="216"/>
      <c r="AH35" s="216"/>
    </row>
    <row r="36" spans="2:34" ht="20.25">
      <c r="B36" s="216"/>
      <c r="C36" s="295" t="s">
        <v>196</v>
      </c>
      <c r="D36" s="368">
        <f>[12]MZ!$G$12</f>
        <v>25173.8</v>
      </c>
      <c r="E36" s="296">
        <f>'[7]P&amp;L vs BP'!U18</f>
        <v>28843.4</v>
      </c>
      <c r="F36" s="296">
        <f>E36-D36</f>
        <v>3669.6000000000022</v>
      </c>
      <c r="G36" s="216"/>
      <c r="H36" s="216"/>
      <c r="I36" s="216"/>
      <c r="J36" s="216"/>
      <c r="K36" s="216"/>
      <c r="L36" s="216"/>
      <c r="M36" s="216"/>
      <c r="N36" s="216"/>
      <c r="O36" s="279">
        <v>4</v>
      </c>
      <c r="P36" s="276" t="str">
        <f>Q69</f>
        <v>NRV</v>
      </c>
      <c r="Q36" s="277"/>
      <c r="R36" s="277"/>
      <c r="S36" s="281">
        <f>S69</f>
        <v>-14.363520740377314</v>
      </c>
      <c r="T36" s="216"/>
      <c r="U36" s="216"/>
      <c r="V36" s="216"/>
      <c r="W36" s="216"/>
      <c r="X36" s="216"/>
      <c r="Y36" s="216"/>
      <c r="Z36" s="216"/>
      <c r="AA36" s="216"/>
      <c r="AB36" s="216"/>
      <c r="AC36" s="216"/>
      <c r="AD36" s="216"/>
      <c r="AE36" s="216"/>
      <c r="AF36" s="216"/>
      <c r="AG36" s="216"/>
      <c r="AH36" s="216"/>
    </row>
    <row r="37" spans="2:34" ht="18">
      <c r="B37" s="216"/>
      <c r="C37" s="216"/>
      <c r="D37" s="216"/>
      <c r="E37" s="216"/>
      <c r="F37" s="216"/>
      <c r="G37" s="216"/>
      <c r="H37" s="216"/>
      <c r="I37" s="216"/>
      <c r="J37" s="216"/>
      <c r="K37" s="216"/>
      <c r="L37" s="216"/>
      <c r="M37" s="216"/>
      <c r="N37" s="216"/>
      <c r="O37" s="279">
        <v>5</v>
      </c>
      <c r="P37" s="276" t="s">
        <v>247</v>
      </c>
      <c r="Q37" s="277"/>
      <c r="R37" s="550"/>
      <c r="S37" s="281">
        <f>S70</f>
        <v>-7.9887080243500241</v>
      </c>
      <c r="T37" s="216"/>
      <c r="U37" s="216"/>
      <c r="V37" s="216"/>
      <c r="W37" s="216"/>
      <c r="X37" s="216"/>
      <c r="Y37" s="216"/>
      <c r="Z37" s="216"/>
      <c r="AA37" s="216"/>
      <c r="AB37" s="216"/>
      <c r="AC37" s="216"/>
      <c r="AD37" s="216"/>
      <c r="AE37" s="216"/>
      <c r="AF37" s="216"/>
      <c r="AG37" s="216"/>
      <c r="AH37" s="216"/>
    </row>
    <row r="38" spans="2:34" ht="18">
      <c r="B38" s="216"/>
      <c r="C38" s="216"/>
      <c r="D38" s="216"/>
      <c r="E38" s="216"/>
      <c r="F38" s="216"/>
      <c r="G38" s="216"/>
      <c r="H38" s="216"/>
      <c r="I38" s="216"/>
      <c r="J38" s="216"/>
      <c r="K38" s="216"/>
      <c r="L38" s="216"/>
      <c r="M38" s="216"/>
      <c r="N38" s="216"/>
      <c r="O38" s="279">
        <v>6</v>
      </c>
      <c r="P38" s="276"/>
      <c r="Q38" s="277"/>
      <c r="R38" s="277"/>
      <c r="S38" s="281"/>
      <c r="T38" s="216"/>
      <c r="U38" s="216"/>
      <c r="V38" s="216"/>
      <c r="W38" s="216"/>
      <c r="X38" s="216"/>
      <c r="Y38" s="216"/>
      <c r="Z38" s="216"/>
      <c r="AA38" s="216"/>
      <c r="AB38" s="216"/>
      <c r="AC38" s="216"/>
      <c r="AD38" s="216"/>
      <c r="AE38" s="216"/>
      <c r="AF38" s="216"/>
      <c r="AG38" s="216"/>
      <c r="AH38" s="216"/>
    </row>
    <row r="39" spans="2:34" ht="18">
      <c r="B39" s="216"/>
      <c r="C39" s="216"/>
      <c r="D39" s="216"/>
      <c r="E39" s="216"/>
      <c r="F39" s="216"/>
      <c r="G39" s="216"/>
      <c r="H39" s="216"/>
      <c r="I39" s="216"/>
      <c r="J39" s="216"/>
      <c r="K39" s="216"/>
      <c r="L39" s="216"/>
      <c r="M39" s="216"/>
      <c r="N39" s="216"/>
      <c r="O39" s="279">
        <v>7</v>
      </c>
      <c r="P39" s="276"/>
      <c r="Q39" s="277"/>
      <c r="R39" s="277"/>
      <c r="S39" s="281"/>
      <c r="T39" s="216"/>
      <c r="U39" s="216"/>
      <c r="V39" s="216"/>
      <c r="W39" s="216"/>
      <c r="X39" s="216"/>
      <c r="Y39" s="216"/>
      <c r="Z39" s="216"/>
      <c r="AA39" s="216"/>
      <c r="AB39" s="216"/>
      <c r="AC39" s="216"/>
      <c r="AD39" s="216"/>
      <c r="AE39" s="216"/>
      <c r="AF39" s="216"/>
      <c r="AG39" s="216"/>
      <c r="AH39" s="216"/>
    </row>
    <row r="40" spans="2:34" ht="18">
      <c r="B40" s="216"/>
      <c r="C40" s="216"/>
      <c r="D40" s="216"/>
      <c r="E40" s="216"/>
      <c r="F40" s="216"/>
      <c r="G40" s="216"/>
      <c r="H40" s="216"/>
      <c r="I40" s="216"/>
      <c r="J40" s="216"/>
      <c r="K40" s="216"/>
      <c r="L40" s="216"/>
      <c r="M40" s="216"/>
      <c r="N40" s="216"/>
      <c r="O40" s="279">
        <v>8</v>
      </c>
      <c r="P40" s="276"/>
      <c r="Q40" s="277"/>
      <c r="R40" s="277"/>
      <c r="S40" s="278"/>
      <c r="T40" s="216"/>
      <c r="U40" s="216"/>
      <c r="V40" s="216"/>
      <c r="W40" s="216"/>
      <c r="X40" s="216"/>
      <c r="Y40" s="216"/>
      <c r="Z40" s="216"/>
      <c r="AA40" s="216"/>
      <c r="AB40" s="216"/>
      <c r="AC40" s="216"/>
      <c r="AD40" s="216"/>
      <c r="AE40" s="216"/>
      <c r="AF40" s="216"/>
      <c r="AG40" s="216"/>
      <c r="AH40" s="216"/>
    </row>
    <row r="41" spans="2:34" ht="18">
      <c r="B41" s="216"/>
      <c r="C41" s="216"/>
      <c r="D41" s="216"/>
      <c r="E41" s="216"/>
      <c r="F41" s="216"/>
      <c r="G41" s="216"/>
      <c r="H41" s="216"/>
      <c r="I41" s="216"/>
      <c r="J41" s="216"/>
      <c r="K41" s="216"/>
      <c r="L41" s="216"/>
      <c r="M41" s="216"/>
      <c r="N41" s="216"/>
      <c r="O41" s="279">
        <v>9</v>
      </c>
      <c r="P41" s="276"/>
      <c r="Q41" s="277"/>
      <c r="R41" s="277"/>
      <c r="S41" s="278"/>
      <c r="T41" s="216"/>
      <c r="U41" s="216"/>
      <c r="V41" s="216"/>
      <c r="W41" s="216"/>
      <c r="X41" s="216"/>
      <c r="Y41" s="216"/>
      <c r="Z41" s="216"/>
      <c r="AA41" s="216"/>
      <c r="AB41" s="216"/>
      <c r="AC41" s="216"/>
      <c r="AD41" s="216"/>
      <c r="AE41" s="216"/>
      <c r="AF41" s="216"/>
      <c r="AG41" s="216"/>
      <c r="AH41" s="216"/>
    </row>
    <row r="42" spans="2:34" ht="18">
      <c r="B42" s="216"/>
      <c r="C42" s="216"/>
      <c r="D42" s="216"/>
      <c r="E42" s="216"/>
      <c r="F42" s="216"/>
      <c r="G42" s="216"/>
      <c r="H42" s="216"/>
      <c r="I42" s="216"/>
      <c r="J42" s="216"/>
      <c r="K42" s="216"/>
      <c r="L42" s="216"/>
      <c r="M42" s="216"/>
      <c r="N42" s="216"/>
      <c r="O42" s="288">
        <v>10</v>
      </c>
      <c r="P42" s="283" t="s">
        <v>182</v>
      </c>
      <c r="Q42" s="284"/>
      <c r="R42" s="284"/>
      <c r="S42" s="285" t="e">
        <f>S32-SUM(S33:S41)</f>
        <v>#VALUE!</v>
      </c>
      <c r="T42" s="216"/>
      <c r="U42" s="216"/>
      <c r="V42" s="216"/>
      <c r="W42" s="216"/>
      <c r="X42" s="216"/>
      <c r="Y42" s="216"/>
      <c r="Z42" s="216"/>
      <c r="AA42" s="216"/>
      <c r="AB42" s="216"/>
      <c r="AC42" s="216"/>
      <c r="AD42" s="216"/>
      <c r="AE42" s="216"/>
      <c r="AF42" s="216"/>
      <c r="AG42" s="216"/>
      <c r="AH42" s="216"/>
    </row>
    <row r="43" spans="2:34">
      <c r="B43" s="216"/>
      <c r="C43" s="216"/>
      <c r="D43" s="216"/>
      <c r="E43" s="216"/>
      <c r="F43" s="216"/>
      <c r="G43" s="216"/>
      <c r="H43" s="216"/>
      <c r="I43" s="216"/>
      <c r="J43" s="216"/>
      <c r="K43" s="216"/>
      <c r="L43" s="216"/>
      <c r="M43" s="216"/>
      <c r="N43" s="216"/>
      <c r="O43" s="216"/>
      <c r="P43" s="216"/>
      <c r="Q43" s="216"/>
      <c r="R43" s="216"/>
      <c r="S43" s="286" t="e">
        <f>S42-S75</f>
        <v>#VALUE!</v>
      </c>
      <c r="T43" s="286"/>
      <c r="U43" s="216"/>
      <c r="V43" s="216"/>
      <c r="W43" s="216"/>
      <c r="X43" s="216"/>
      <c r="Y43" s="216"/>
      <c r="Z43" s="216"/>
      <c r="AA43" s="216"/>
      <c r="AB43" s="216"/>
      <c r="AC43" s="216"/>
      <c r="AD43" s="216"/>
      <c r="AE43" s="216"/>
      <c r="AF43" s="216"/>
      <c r="AG43" s="216"/>
      <c r="AH43" s="216"/>
    </row>
    <row r="44" spans="2:34" ht="28.5">
      <c r="B44" s="299" t="s">
        <v>197</v>
      </c>
      <c r="C44" s="216"/>
      <c r="D44" s="216"/>
      <c r="E44" s="216"/>
      <c r="F44" s="216"/>
      <c r="G44" s="216"/>
      <c r="H44" s="216"/>
      <c r="I44" s="216"/>
      <c r="J44" s="216"/>
      <c r="K44" s="216"/>
      <c r="L44" s="216"/>
      <c r="M44" s="216"/>
      <c r="N44" s="216"/>
      <c r="O44" s="216"/>
      <c r="P44" s="216"/>
      <c r="Q44" s="216"/>
      <c r="R44" s="216"/>
      <c r="S44" s="216"/>
      <c r="T44" s="216"/>
      <c r="U44" s="216"/>
      <c r="V44" s="216"/>
      <c r="W44" s="216"/>
      <c r="X44" s="216"/>
      <c r="Y44" s="216"/>
      <c r="Z44" s="216"/>
      <c r="AA44" s="216"/>
      <c r="AB44" s="216"/>
      <c r="AC44" s="216"/>
      <c r="AD44" s="216"/>
      <c r="AE44" s="216"/>
      <c r="AF44" s="216"/>
      <c r="AG44" s="216"/>
      <c r="AH44" s="216"/>
    </row>
    <row r="45" spans="2:34">
      <c r="B45" s="216"/>
      <c r="C45" s="216" t="e">
        <f>INDEX('Summary month'!$BP$46:$BS$46,1,MATCH($C$1,'Summary month'!$BT$6:$BW$6,0))</f>
        <v>#REF!</v>
      </c>
      <c r="D45" s="216" t="e">
        <f>INDEX('Summary month'!$BR$46,1,MATCH($D$1,'Summary month'!$BR$6,0))</f>
        <v>#N/A</v>
      </c>
      <c r="E45" s="216"/>
      <c r="F45" s="216"/>
      <c r="G45" s="216"/>
      <c r="H45" s="216"/>
      <c r="I45" s="216"/>
      <c r="J45" s="216"/>
      <c r="K45" s="216"/>
      <c r="L45" s="216"/>
      <c r="M45" s="216"/>
      <c r="N45" s="216"/>
      <c r="O45" s="216"/>
      <c r="P45" s="216"/>
      <c r="Q45" s="216"/>
      <c r="R45" s="216"/>
      <c r="S45" s="216"/>
      <c r="T45" s="216"/>
      <c r="U45" s="216"/>
      <c r="V45" s="216"/>
      <c r="W45" s="216"/>
      <c r="X45" s="216"/>
      <c r="Y45" s="216"/>
      <c r="Z45" s="216"/>
      <c r="AA45" s="216"/>
      <c r="AB45" s="216"/>
      <c r="AC45" s="216"/>
      <c r="AD45" s="216"/>
      <c r="AE45" s="216"/>
      <c r="AF45" s="216"/>
      <c r="AG45" s="216"/>
      <c r="AH45" s="216"/>
    </row>
    <row r="46" spans="2:34">
      <c r="B46" s="216"/>
      <c r="C46" s="216"/>
      <c r="D46" s="216"/>
      <c r="E46" s="216"/>
      <c r="F46" s="216"/>
      <c r="G46" s="216"/>
      <c r="H46" s="216"/>
      <c r="I46" s="216"/>
      <c r="J46" s="216"/>
      <c r="K46" s="216"/>
      <c r="L46" s="216"/>
      <c r="M46" s="216"/>
      <c r="N46" s="216"/>
      <c r="O46" s="216"/>
      <c r="P46" s="216"/>
      <c r="Q46" s="216"/>
      <c r="R46" s="216"/>
      <c r="S46" s="216"/>
      <c r="T46" s="216"/>
      <c r="U46" s="216"/>
      <c r="V46" s="216"/>
      <c r="W46" s="216"/>
      <c r="X46" s="216"/>
      <c r="Y46" s="216"/>
      <c r="Z46" s="216"/>
      <c r="AA46" s="216"/>
      <c r="AB46" s="216"/>
      <c r="AC46" s="216"/>
      <c r="AD46" s="216"/>
      <c r="AE46" s="216"/>
      <c r="AF46" s="216"/>
      <c r="AG46" s="216"/>
      <c r="AH46" s="216"/>
    </row>
    <row r="47" spans="2:34" ht="20.25">
      <c r="B47" s="216"/>
      <c r="C47" s="226" t="str">
        <f>B52</f>
        <v>Q1 OL(2+1) June MTD</v>
      </c>
      <c r="D47" s="226" t="str">
        <f>C52</f>
        <v>FY25 ACT Jun MTD</v>
      </c>
      <c r="E47" s="226" t="s">
        <v>320</v>
      </c>
      <c r="F47" s="226" t="s">
        <v>321</v>
      </c>
      <c r="G47" s="226" t="s">
        <v>322</v>
      </c>
      <c r="H47" s="292" t="s">
        <v>323</v>
      </c>
      <c r="I47" s="216"/>
      <c r="J47" s="216"/>
      <c r="K47" s="216"/>
      <c r="L47" s="216"/>
      <c r="M47" s="216"/>
      <c r="N47" s="216"/>
      <c r="O47" s="216"/>
      <c r="P47" s="216"/>
      <c r="Q47" s="216"/>
      <c r="R47" s="216"/>
      <c r="S47" s="216"/>
      <c r="T47" s="216"/>
      <c r="U47" s="216"/>
      <c r="V47" s="216"/>
      <c r="W47" s="216"/>
      <c r="X47" s="216"/>
      <c r="Y47" s="216"/>
      <c r="Z47" s="216"/>
      <c r="AA47" s="216"/>
      <c r="AB47" s="216"/>
      <c r="AC47" s="216"/>
      <c r="AD47" s="216"/>
      <c r="AE47" s="216"/>
      <c r="AF47" s="216"/>
      <c r="AG47" s="216"/>
      <c r="AH47" s="216"/>
    </row>
    <row r="48" spans="2:34" ht="20.25">
      <c r="B48" s="226" t="s">
        <v>324</v>
      </c>
      <c r="C48" s="229" t="e">
        <f>INDEX('Summary month'!$BP$27:$BR$27,1,MATCH($C$1,'Summary month'!$BT$6:$BV$6,0))</f>
        <v>#REF!</v>
      </c>
      <c r="D48" s="229">
        <f>INDEX('Summary month'!$F$27:$H$27,1,MATCH($C$1,'Summary month'!$BT$6:$BV$6,0))</f>
        <v>0</v>
      </c>
      <c r="E48" s="226" t="e">
        <f>+D48-C48</f>
        <v>#REF!</v>
      </c>
      <c r="F48" s="226">
        <f>B61</f>
        <v>6.3744855012013657E-2</v>
      </c>
      <c r="G48" s="226" t="e">
        <f>SUM(C61:S61)</f>
        <v>#REF!</v>
      </c>
      <c r="H48" s="502" t="e">
        <f>E48-F48-G48</f>
        <v>#REF!</v>
      </c>
      <c r="I48" s="216"/>
      <c r="J48" s="216"/>
      <c r="K48" s="216"/>
      <c r="L48" s="216"/>
      <c r="M48" s="216"/>
      <c r="N48" s="216"/>
      <c r="O48" s="216"/>
      <c r="P48" s="216"/>
      <c r="Q48" s="216">
        <v>0</v>
      </c>
      <c r="R48" s="216"/>
      <c r="S48" s="216"/>
      <c r="T48" s="216"/>
      <c r="U48" s="216"/>
      <c r="V48" s="216"/>
      <c r="W48" s="216"/>
      <c r="X48" s="216"/>
      <c r="Y48" s="216"/>
      <c r="Z48" s="216"/>
      <c r="AA48" s="216"/>
      <c r="AB48" s="216"/>
      <c r="AC48" s="216"/>
      <c r="AD48" s="216"/>
      <c r="AE48" s="216"/>
      <c r="AF48" s="216"/>
      <c r="AG48" s="216"/>
      <c r="AH48" s="216"/>
    </row>
    <row r="49" spans="2:34" ht="20.25">
      <c r="B49" s="226" t="s">
        <v>325</v>
      </c>
      <c r="C49" s="229" t="e">
        <f>INDEX('Summary month'!$BP$46:$BR$46,1,MATCH($C$1,'Summary month'!$BT$6:$BV$6,0))</f>
        <v>#REF!</v>
      </c>
      <c r="D49" s="229">
        <f>INDEX('Summary month'!$F$46:$H$46,1,MATCH($C$1,'Summary month'!$BT$6:$BV$6,0))</f>
        <v>0</v>
      </c>
      <c r="E49" s="226" t="e">
        <f>+D49-C49</f>
        <v>#REF!</v>
      </c>
      <c r="F49" s="226" t="e">
        <f>T61</f>
        <v>#VALUE!</v>
      </c>
      <c r="G49" s="226" t="e">
        <f>SUM(U61:AH61)</f>
        <v>#VALUE!</v>
      </c>
      <c r="H49" s="502" t="e">
        <f>E49-F49-G49</f>
        <v>#REF!</v>
      </c>
      <c r="I49" s="216"/>
      <c r="J49" s="216"/>
      <c r="K49" s="216"/>
      <c r="L49" s="216"/>
      <c r="M49" s="216"/>
      <c r="N49" s="216"/>
      <c r="O49" s="216"/>
      <c r="P49" s="216"/>
      <c r="Q49" s="216"/>
      <c r="R49" s="216"/>
      <c r="S49" s="216"/>
      <c r="T49" s="216"/>
      <c r="U49" s="216"/>
      <c r="V49" s="216"/>
      <c r="W49" s="216"/>
      <c r="X49" s="216"/>
      <c r="Y49" s="216"/>
      <c r="Z49" s="216"/>
      <c r="AA49" s="216"/>
      <c r="AB49" s="216"/>
      <c r="AC49" s="216"/>
      <c r="AD49" s="216"/>
      <c r="AE49" s="216"/>
      <c r="AF49" s="216"/>
      <c r="AG49" s="216"/>
      <c r="AH49" s="216"/>
    </row>
    <row r="50" spans="2:34" ht="20.25">
      <c r="B50" s="226" t="s">
        <v>326</v>
      </c>
      <c r="C50" s="226" t="e">
        <f>+C48+C49</f>
        <v>#REF!</v>
      </c>
      <c r="D50" s="226">
        <f>+D48+D49</f>
        <v>0</v>
      </c>
      <c r="E50" s="226" t="e">
        <f>+D50-C50</f>
        <v>#REF!</v>
      </c>
      <c r="F50" s="226" t="e">
        <f>+E50-G50</f>
        <v>#REF!</v>
      </c>
      <c r="G50" s="226" t="e">
        <f>+G48+G49</f>
        <v>#REF!</v>
      </c>
      <c r="H50" s="502" t="e">
        <f>E50-F50-G50</f>
        <v>#REF!</v>
      </c>
      <c r="I50" s="216"/>
      <c r="J50" s="216"/>
      <c r="K50" s="216"/>
      <c r="L50" s="216"/>
      <c r="M50" s="216"/>
      <c r="N50" s="216"/>
      <c r="O50" s="216"/>
      <c r="P50" s="216"/>
      <c r="Q50" s="216"/>
      <c r="R50" s="216"/>
      <c r="S50" s="216"/>
      <c r="T50" s="216"/>
      <c r="U50" s="216"/>
      <c r="V50" s="216"/>
      <c r="W50" s="216"/>
      <c r="X50" s="216"/>
      <c r="Y50" s="216"/>
      <c r="Z50" s="216"/>
      <c r="AA50" s="216"/>
      <c r="AB50" s="216"/>
      <c r="AC50" s="216"/>
      <c r="AD50" s="216"/>
      <c r="AE50" s="216"/>
      <c r="AF50" s="216"/>
      <c r="AG50" s="216"/>
      <c r="AH50" s="216"/>
    </row>
    <row r="51" spans="2:34" ht="18">
      <c r="B51" s="215"/>
      <c r="C51" s="216"/>
      <c r="D51" s="215"/>
      <c r="E51" s="216"/>
      <c r="F51" s="215"/>
      <c r="G51" s="217" t="s">
        <v>138</v>
      </c>
      <c r="H51" s="216"/>
      <c r="I51" s="216"/>
      <c r="J51" s="216"/>
      <c r="K51" s="216"/>
      <c r="L51" s="216"/>
      <c r="M51" s="216"/>
      <c r="N51" s="216"/>
      <c r="O51" s="216"/>
      <c r="P51" s="216"/>
      <c r="Q51" s="216"/>
      <c r="R51" s="216"/>
      <c r="S51" s="216"/>
      <c r="T51" s="216"/>
      <c r="U51" s="216"/>
      <c r="V51" s="216"/>
      <c r="W51" s="216"/>
      <c r="X51" s="216"/>
      <c r="Y51" s="216"/>
      <c r="Z51" s="216"/>
      <c r="AA51" s="216"/>
      <c r="AB51" s="216"/>
      <c r="AC51" s="216"/>
      <c r="AD51" s="216"/>
      <c r="AE51" s="216"/>
      <c r="AF51" s="216"/>
      <c r="AG51" s="216"/>
      <c r="AH51" s="216"/>
    </row>
    <row r="52" spans="2:34" ht="20.100000000000001" customHeight="1">
      <c r="B52" s="1037" t="s">
        <v>419</v>
      </c>
      <c r="C52" s="1037" t="s">
        <v>432</v>
      </c>
      <c r="D52" s="218"/>
      <c r="E52" s="219"/>
      <c r="F52" s="219"/>
      <c r="G52" s="220"/>
      <c r="H52" s="216"/>
      <c r="I52" s="216"/>
      <c r="J52" s="216"/>
      <c r="K52" s="216"/>
      <c r="L52" s="216" t="s">
        <v>357</v>
      </c>
      <c r="M52" s="478">
        <f>SUM(E55:E57,G55)</f>
        <v>6.3744855012013657E-2</v>
      </c>
      <c r="N52" s="216"/>
      <c r="O52" s="221"/>
      <c r="P52" s="221"/>
      <c r="Q52" s="221"/>
      <c r="R52" s="216">
        <v>1.8928358743898328</v>
      </c>
      <c r="S52" s="216"/>
      <c r="T52" s="216"/>
      <c r="U52" s="216"/>
      <c r="V52" s="216"/>
      <c r="W52" s="221"/>
      <c r="X52" s="221"/>
      <c r="Y52" s="221"/>
      <c r="Z52" s="221"/>
      <c r="AA52" s="221"/>
      <c r="AB52" s="221"/>
      <c r="AC52" s="221"/>
      <c r="AD52" s="221"/>
      <c r="AE52" s="221"/>
      <c r="AF52" s="221"/>
      <c r="AG52" s="221"/>
      <c r="AH52" s="221"/>
    </row>
    <row r="53" spans="2:34" ht="40.5">
      <c r="B53" s="1016"/>
      <c r="C53" s="1016"/>
      <c r="D53" s="222"/>
      <c r="E53" s="223" t="s">
        <v>154</v>
      </c>
      <c r="F53" s="224" t="s">
        <v>198</v>
      </c>
      <c r="G53" s="225" t="s">
        <v>156</v>
      </c>
      <c r="H53" s="216"/>
      <c r="I53" s="216" t="s">
        <v>208</v>
      </c>
      <c r="J53" s="216"/>
      <c r="K53" s="216"/>
      <c r="L53" s="216" t="s">
        <v>302</v>
      </c>
      <c r="M53" s="334" t="e">
        <f>SUM(U62:AH62,AJ66:AK66)</f>
        <v>#VALUE!</v>
      </c>
      <c r="N53" s="216"/>
      <c r="O53" s="216"/>
      <c r="P53" s="216"/>
      <c r="Q53" s="216"/>
      <c r="R53" s="216"/>
      <c r="S53" s="216"/>
      <c r="T53" s="216"/>
      <c r="V53" s="216"/>
      <c r="W53" s="216"/>
      <c r="X53" s="216"/>
      <c r="Y53" s="216"/>
      <c r="Z53" s="216"/>
      <c r="AA53" s="216"/>
      <c r="AB53" s="216"/>
      <c r="AC53" s="407" t="s">
        <v>266</v>
      </c>
      <c r="AD53" s="531">
        <v>6.5000000000000002E-2</v>
      </c>
      <c r="AE53" s="216"/>
      <c r="AF53" s="216"/>
      <c r="AG53" s="216"/>
      <c r="AH53" s="216"/>
    </row>
    <row r="54" spans="2:34" ht="20.25">
      <c r="B54" s="226" t="e">
        <f>INDEX('Summary month'!$BP$47:$BR$47,1,MATCH($C$1,'Summary month'!$BT$6:$BV$6,0))</f>
        <v>#REF!</v>
      </c>
      <c r="C54" s="226">
        <f>INDEX('Summary month'!$F$47:$H$47,1,MATCH($C$1,'Summary month'!$BT$6:$BV$6,0))</f>
        <v>0</v>
      </c>
      <c r="D54" s="227" t="e">
        <f>C54-B54</f>
        <v>#REF!</v>
      </c>
      <c r="E54" s="228" t="e">
        <f>SUM(M52:M53)</f>
        <v>#VALUE!</v>
      </c>
      <c r="F54" s="228" t="e">
        <f>INDEX('Summary month'!$BY$27,1,MATCH($C$1,'Summary month'!$BY$6,0))-M52</f>
        <v>#REF!</v>
      </c>
      <c r="G54" s="229" t="e">
        <f>INDEX('Summary month'!$BY$46,1,MATCH($C$1,'Summary month'!$BY$6,0))-M53</f>
        <v>#REF!</v>
      </c>
      <c r="H54" s="216"/>
      <c r="I54" s="286" t="e">
        <f>SUM(E54:G54)-D54</f>
        <v>#VALUE!</v>
      </c>
      <c r="J54" s="216"/>
      <c r="K54" s="216"/>
      <c r="L54" s="216"/>
      <c r="M54" s="216"/>
      <c r="N54" s="216"/>
      <c r="O54" s="230"/>
      <c r="P54" s="216"/>
      <c r="Q54" s="216"/>
      <c r="R54" s="216"/>
      <c r="S54" s="216"/>
      <c r="T54" s="216"/>
      <c r="U54" s="216"/>
      <c r="V54" s="216"/>
      <c r="W54" s="230"/>
      <c r="X54" s="216"/>
      <c r="Y54" s="230"/>
      <c r="Z54" s="230"/>
      <c r="AA54" s="230"/>
      <c r="AB54" s="230"/>
      <c r="AC54" s="409" t="s">
        <v>269</v>
      </c>
      <c r="AD54" s="425">
        <f>99/1000</f>
        <v>9.9000000000000005E-2</v>
      </c>
      <c r="AE54" s="230"/>
      <c r="AF54" s="230"/>
      <c r="AG54" s="230"/>
      <c r="AH54" s="230"/>
    </row>
    <row r="55" spans="2:34" ht="15" customHeight="1">
      <c r="B55" s="216"/>
      <c r="C55" s="1037"/>
      <c r="D55" s="216" t="s">
        <v>139</v>
      </c>
      <c r="E55" s="411">
        <v>0</v>
      </c>
      <c r="F55" s="216" t="s">
        <v>193</v>
      </c>
      <c r="G55" s="320">
        <v>0</v>
      </c>
      <c r="H55" s="216"/>
      <c r="I55" s="216"/>
      <c r="J55" s="216"/>
      <c r="K55" s="216"/>
      <c r="L55" s="216"/>
      <c r="M55" s="216"/>
      <c r="N55" s="216"/>
      <c r="O55" s="216"/>
      <c r="P55" s="216"/>
      <c r="Q55" s="216"/>
      <c r="R55" s="216"/>
      <c r="S55" s="216"/>
      <c r="T55" s="216"/>
      <c r="U55" s="216"/>
      <c r="V55" s="216"/>
      <c r="W55" s="216" t="s">
        <v>145</v>
      </c>
      <c r="X55" s="320">
        <v>0.56580569419031379</v>
      </c>
      <c r="Y55" s="216">
        <v>0</v>
      </c>
      <c r="Z55" s="216"/>
      <c r="AA55" s="216"/>
      <c r="AB55" s="216"/>
      <c r="AC55" s="407" t="s">
        <v>141</v>
      </c>
      <c r="AD55" s="531">
        <v>0.47368202315774965</v>
      </c>
      <c r="AE55" s="216"/>
      <c r="AF55" s="216"/>
      <c r="AG55" s="216"/>
      <c r="AH55" s="216"/>
    </row>
    <row r="56" spans="2:34" ht="15" customHeight="1">
      <c r="B56" s="216"/>
      <c r="C56" s="1015"/>
      <c r="D56" s="216" t="s">
        <v>200</v>
      </c>
      <c r="E56" s="411">
        <v>6.3744855012013657E-2</v>
      </c>
      <c r="F56" s="216"/>
      <c r="G56" s="216"/>
      <c r="H56" s="216"/>
      <c r="I56" s="216"/>
      <c r="J56" s="216"/>
      <c r="K56" s="216"/>
      <c r="L56" s="216"/>
      <c r="M56" s="216"/>
      <c r="N56" s="216"/>
      <c r="O56" s="216"/>
      <c r="P56" s="216"/>
      <c r="Q56" s="216"/>
      <c r="R56" s="216"/>
      <c r="S56" s="216"/>
      <c r="T56" s="216"/>
      <c r="W56" t="s">
        <v>193</v>
      </c>
      <c r="X56" s="441">
        <v>1.09467300291335</v>
      </c>
      <c r="Y56">
        <v>0</v>
      </c>
      <c r="AC56" s="407" t="s">
        <v>144</v>
      </c>
      <c r="AD56" s="511" t="e">
        <f>AD61-SUM(AD53:AD55)</f>
        <v>#VALUE!</v>
      </c>
      <c r="AH56" s="216"/>
    </row>
    <row r="57" spans="2:34" ht="21" thickBot="1">
      <c r="B57" s="231" t="s">
        <v>157</v>
      </c>
      <c r="C57" s="232"/>
      <c r="D57" s="232" t="s">
        <v>145</v>
      </c>
      <c r="E57" s="440">
        <v>0</v>
      </c>
      <c r="F57" s="232"/>
      <c r="G57" s="232"/>
      <c r="H57" s="232"/>
      <c r="I57" s="232"/>
      <c r="J57" s="232"/>
      <c r="K57" s="232"/>
      <c r="L57" s="232"/>
      <c r="M57" s="232"/>
      <c r="N57" s="232"/>
      <c r="O57" s="232"/>
      <c r="P57" s="232"/>
      <c r="Q57" s="232"/>
      <c r="R57" s="232"/>
      <c r="S57" s="232"/>
      <c r="T57" s="232"/>
      <c r="U57" s="232"/>
      <c r="V57" s="232"/>
      <c r="W57" s="232" t="s">
        <v>144</v>
      </c>
      <c r="X57" s="313" t="e">
        <f>X61-SUM(X55:X56)</f>
        <v>#VALUE!</v>
      </c>
      <c r="Y57" s="232"/>
      <c r="Z57" s="232"/>
      <c r="AA57" s="232"/>
      <c r="AB57" s="232"/>
      <c r="AC57" s="232"/>
      <c r="AD57" s="232"/>
      <c r="AE57" s="232"/>
      <c r="AF57" s="232"/>
      <c r="AG57" s="232"/>
      <c r="AH57" s="217" t="s">
        <v>138</v>
      </c>
    </row>
    <row r="58" spans="2:34" ht="21" thickBot="1">
      <c r="B58" s="233"/>
      <c r="C58" s="234" t="s">
        <v>199</v>
      </c>
      <c r="D58" s="234"/>
      <c r="E58" s="234"/>
      <c r="F58" s="234"/>
      <c r="G58" s="234"/>
      <c r="H58" s="234"/>
      <c r="I58" s="234"/>
      <c r="J58" s="234"/>
      <c r="K58" s="234"/>
      <c r="L58" s="234"/>
      <c r="M58" s="234"/>
      <c r="N58" s="234"/>
      <c r="O58" s="234"/>
      <c r="P58" s="234"/>
      <c r="Q58" s="234"/>
      <c r="R58" s="234"/>
      <c r="S58" s="235"/>
      <c r="T58" s="236"/>
      <c r="U58" s="237" t="s">
        <v>160</v>
      </c>
      <c r="V58" s="237"/>
      <c r="W58" s="237"/>
      <c r="X58" s="237"/>
      <c r="Y58" s="237"/>
      <c r="Z58" s="237"/>
      <c r="AA58" s="237"/>
      <c r="AB58" s="237"/>
      <c r="AC58" s="237"/>
      <c r="AD58" s="237"/>
      <c r="AE58" s="237"/>
      <c r="AF58" s="237"/>
      <c r="AG58" s="237"/>
      <c r="AH58" s="238"/>
    </row>
    <row r="59" spans="2:34" ht="20.25">
      <c r="B59" s="1027" t="s">
        <v>274</v>
      </c>
      <c r="C59" s="239" t="s">
        <v>161</v>
      </c>
      <c r="D59" s="240"/>
      <c r="E59" s="240"/>
      <c r="F59" s="240"/>
      <c r="G59" s="241"/>
      <c r="H59" s="1017" t="s">
        <v>162</v>
      </c>
      <c r="I59" s="242" t="s">
        <v>163</v>
      </c>
      <c r="J59" s="243"/>
      <c r="K59" s="243"/>
      <c r="L59" s="243"/>
      <c r="M59" s="243"/>
      <c r="N59" s="244"/>
      <c r="O59" s="1029" t="s">
        <v>164</v>
      </c>
      <c r="P59" s="1029" t="s">
        <v>165</v>
      </c>
      <c r="Q59" s="1019" t="s">
        <v>166</v>
      </c>
      <c r="R59" s="1022" t="s">
        <v>167</v>
      </c>
      <c r="S59" s="1023" t="s">
        <v>168</v>
      </c>
      <c r="T59" s="1027" t="s">
        <v>274</v>
      </c>
      <c r="U59" s="245" t="s">
        <v>169</v>
      </c>
      <c r="V59" s="246"/>
      <c r="W59" s="246"/>
      <c r="X59" s="247"/>
      <c r="Y59" s="248" t="s">
        <v>163</v>
      </c>
      <c r="Z59" s="246"/>
      <c r="AA59" s="246"/>
      <c r="AB59" s="246"/>
      <c r="AC59" s="246"/>
      <c r="AD59" s="247"/>
      <c r="AE59" s="1022" t="s">
        <v>166</v>
      </c>
      <c r="AF59" s="1025" t="s">
        <v>167</v>
      </c>
      <c r="AG59" s="311"/>
      <c r="AH59" s="1012" t="s">
        <v>168</v>
      </c>
    </row>
    <row r="60" spans="2:34" ht="57">
      <c r="B60" s="1028"/>
      <c r="C60" s="249" t="s">
        <v>170</v>
      </c>
      <c r="D60" s="300" t="s">
        <v>171</v>
      </c>
      <c r="E60" s="250" t="s">
        <v>172</v>
      </c>
      <c r="F60" s="250" t="s">
        <v>173</v>
      </c>
      <c r="G60" s="251" t="s">
        <v>174</v>
      </c>
      <c r="H60" s="1018"/>
      <c r="I60" s="250" t="s">
        <v>175</v>
      </c>
      <c r="J60" s="250" t="s">
        <v>176</v>
      </c>
      <c r="K60" s="250" t="s">
        <v>201</v>
      </c>
      <c r="L60" s="250" t="s">
        <v>178</v>
      </c>
      <c r="M60" s="250" t="s">
        <v>168</v>
      </c>
      <c r="N60" s="250" t="s">
        <v>179</v>
      </c>
      <c r="O60" s="1030"/>
      <c r="P60" s="1031"/>
      <c r="Q60" s="1021"/>
      <c r="R60" s="1021"/>
      <c r="S60" s="1024"/>
      <c r="T60" s="1028"/>
      <c r="U60" s="307" t="s">
        <v>203</v>
      </c>
      <c r="V60" s="308" t="s">
        <v>180</v>
      </c>
      <c r="W60" s="309" t="s">
        <v>181</v>
      </c>
      <c r="X60" s="310" t="s">
        <v>33</v>
      </c>
      <c r="Y60" s="305" t="s">
        <v>25</v>
      </c>
      <c r="Z60" s="306" t="s">
        <v>183</v>
      </c>
      <c r="AA60" s="306" t="s">
        <v>204</v>
      </c>
      <c r="AB60" s="306" t="s">
        <v>205</v>
      </c>
      <c r="AC60" s="306" t="s">
        <v>184</v>
      </c>
      <c r="AD60" s="306" t="s">
        <v>30</v>
      </c>
      <c r="AE60" s="1021"/>
      <c r="AF60" s="1026"/>
      <c r="AG60" s="312" t="s">
        <v>37</v>
      </c>
      <c r="AH60" s="1013"/>
    </row>
    <row r="61" spans="2:34" ht="21" thickBot="1">
      <c r="B61" s="252">
        <f>M52</f>
        <v>6.3744855012013657E-2</v>
      </c>
      <c r="C61" s="253">
        <v>0</v>
      </c>
      <c r="D61" s="302"/>
      <c r="E61" s="254">
        <v>0</v>
      </c>
      <c r="F61" s="254">
        <v>0</v>
      </c>
      <c r="G61" s="254"/>
      <c r="H61" s="254"/>
      <c r="I61" s="254">
        <v>0.13977485649137922</v>
      </c>
      <c r="J61" s="254">
        <v>2.2787507887343312</v>
      </c>
      <c r="K61" s="254">
        <v>-0.37543503603665318</v>
      </c>
      <c r="L61" s="254">
        <v>0</v>
      </c>
      <c r="M61" s="254">
        <f>2.30780406461885+SUM(M71:M73)</f>
        <v>1.8592568013406741</v>
      </c>
      <c r="N61" s="254"/>
      <c r="O61" s="302"/>
      <c r="P61" s="302"/>
      <c r="Q61" s="256"/>
      <c r="R61" s="254">
        <v>-8.0651649090489208</v>
      </c>
      <c r="S61" s="257" t="e">
        <f>F54-SUM(C61:R61)</f>
        <v>#REF!</v>
      </c>
      <c r="T61" s="253" t="e">
        <f>M53</f>
        <v>#VALUE!</v>
      </c>
      <c r="U61" s="253" t="e">
        <f>'Summary month'!BY36-U62</f>
        <v>#VALUE!</v>
      </c>
      <c r="V61" s="258" t="e">
        <f>'Summary month'!BY59-V62</f>
        <v>#VALUE!</v>
      </c>
      <c r="W61" s="258"/>
      <c r="X61" s="258" t="e">
        <f>'Summary month'!BY60-X62</f>
        <v>#VALUE!</v>
      </c>
      <c r="Y61" s="258" t="e">
        <f>'Summary month'!BY29-Y62</f>
        <v>#VALUE!</v>
      </c>
      <c r="Z61" s="258" t="e">
        <f>'Summary month'!BY30-Z62</f>
        <v>#VALUE!</v>
      </c>
      <c r="AA61" s="258" t="e">
        <f>'Summary month'!BY31</f>
        <v>#VALUE!</v>
      </c>
      <c r="AB61" s="301"/>
      <c r="AC61" s="258" t="e">
        <f>'Summary month'!BY32-AC62</f>
        <v>#VALUE!</v>
      </c>
      <c r="AD61" s="258" t="e">
        <f>'Summary month'!BY34</f>
        <v>#VALUE!</v>
      </c>
      <c r="AE61" s="256"/>
      <c r="AF61" s="259"/>
      <c r="AG61" s="254" t="e">
        <f>'Summary month'!BY42-AG62</f>
        <v>#VALUE!</v>
      </c>
      <c r="AH61" s="260" t="e">
        <f>G54-SUM(U61:AG61)</f>
        <v>#REF!</v>
      </c>
    </row>
    <row r="62" spans="2:34" ht="18">
      <c r="B62" s="216"/>
      <c r="C62" s="272">
        <v>0</v>
      </c>
      <c r="D62" s="216"/>
      <c r="E62" s="216">
        <v>0</v>
      </c>
      <c r="F62" s="216">
        <v>0</v>
      </c>
      <c r="G62" s="216"/>
      <c r="H62" s="216"/>
      <c r="I62" s="479"/>
      <c r="J62" s="479"/>
      <c r="K62" s="479"/>
      <c r="L62" s="479"/>
      <c r="M62" s="216"/>
      <c r="N62" s="216"/>
      <c r="O62" s="216"/>
      <c r="P62" s="216"/>
      <c r="Q62" s="216"/>
      <c r="R62" s="216">
        <v>-8.0651649090489208</v>
      </c>
      <c r="S62" s="216"/>
      <c r="T62" s="216"/>
      <c r="U62" s="431">
        <v>0</v>
      </c>
      <c r="V62" s="431"/>
      <c r="W62" s="216"/>
      <c r="X62" s="216">
        <f>SUM(Y55:Y56)</f>
        <v>0</v>
      </c>
      <c r="Y62" s="216">
        <v>-0.35746686030962094</v>
      </c>
      <c r="Z62" s="216">
        <v>-6.0528115153737905E-4</v>
      </c>
      <c r="AA62" s="216"/>
      <c r="AB62" s="216"/>
      <c r="AC62" s="216">
        <v>0</v>
      </c>
      <c r="AD62" s="216"/>
      <c r="AE62" s="216"/>
      <c r="AF62" s="216"/>
      <c r="AG62" s="334" t="e">
        <v>#VALUE!</v>
      </c>
      <c r="AH62" s="216"/>
    </row>
    <row r="63" spans="2:34" ht="18">
      <c r="B63" s="221"/>
      <c r="C63" s="319"/>
      <c r="D63" s="221"/>
      <c r="E63" s="221"/>
      <c r="F63" s="221"/>
      <c r="G63" s="221"/>
      <c r="H63" s="221"/>
      <c r="I63" s="221"/>
      <c r="J63" s="221"/>
      <c r="K63" s="221"/>
      <c r="L63" s="221"/>
      <c r="M63" s="221"/>
      <c r="N63" s="221"/>
      <c r="O63" s="221"/>
      <c r="P63" s="221"/>
      <c r="Q63" s="221"/>
      <c r="R63" s="491"/>
      <c r="S63" s="221"/>
      <c r="T63" s="221"/>
      <c r="U63" s="221"/>
      <c r="V63" s="221"/>
      <c r="W63" s="221"/>
    </row>
    <row r="64" spans="2:34" ht="18">
      <c r="B64" s="216"/>
      <c r="C64" s="319" t="e">
        <f>SUM('[7]New KPI vs BP'!$DT$439+'[7]New KPI vs BP'!$DT$440+'[7]New KPI vs BP'!$DT$460)-SUM(U61:V61)-SUM(E61:F61)-E55</f>
        <v>#VALUE!</v>
      </c>
      <c r="D64" s="216"/>
      <c r="E64" s="216"/>
      <c r="F64" s="216"/>
      <c r="G64" s="216" t="s">
        <v>353</v>
      </c>
      <c r="H64" s="594">
        <f>0.00119928272182435-AD54</f>
        <v>-9.7800717278175658E-2</v>
      </c>
      <c r="I64" s="216"/>
      <c r="J64" s="216"/>
      <c r="K64" s="216"/>
      <c r="L64" s="216"/>
      <c r="M64" s="216"/>
      <c r="N64" s="216"/>
      <c r="O64" s="216"/>
      <c r="P64" s="216"/>
      <c r="Q64" s="216"/>
      <c r="R64" s="216"/>
      <c r="S64" s="216"/>
      <c r="T64" s="216"/>
      <c r="U64" s="216"/>
      <c r="V64" s="216"/>
      <c r="W64" s="216"/>
    </row>
    <row r="65" spans="2:36" ht="20.25">
      <c r="B65" s="216"/>
      <c r="C65" s="329"/>
      <c r="D65" s="216"/>
      <c r="E65" s="216"/>
      <c r="F65" s="216"/>
      <c r="G65" s="216" t="s">
        <v>295</v>
      </c>
      <c r="H65" s="594">
        <v>-3.758562E-2</v>
      </c>
      <c r="I65" s="634" t="s">
        <v>188</v>
      </c>
      <c r="J65" s="637"/>
      <c r="K65" s="274"/>
      <c r="L65" s="274"/>
      <c r="M65" s="275">
        <f>M61</f>
        <v>1.8592568013406741</v>
      </c>
      <c r="N65" s="216"/>
      <c r="P65" s="273" t="s">
        <v>191</v>
      </c>
      <c r="Q65" s="274"/>
      <c r="R65" s="274"/>
      <c r="S65" s="294" t="e">
        <f>S61</f>
        <v>#REF!</v>
      </c>
      <c r="T65" s="216"/>
      <c r="U65" s="272"/>
      <c r="V65" s="272"/>
      <c r="W65" s="216"/>
      <c r="X65" s="263" t="s">
        <v>185</v>
      </c>
      <c r="Y65" s="264"/>
      <c r="Z65" s="264"/>
      <c r="AA65" s="265" t="e">
        <f>AD61</f>
        <v>#VALUE!</v>
      </c>
      <c r="AC65" s="263" t="s">
        <v>186</v>
      </c>
      <c r="AD65" s="264"/>
      <c r="AE65" s="264"/>
      <c r="AF65" s="264"/>
      <c r="AG65" s="264"/>
      <c r="AH65" s="265" t="e">
        <f>AH61</f>
        <v>#REF!</v>
      </c>
    </row>
    <row r="66" spans="2:36" ht="18">
      <c r="B66" s="216"/>
      <c r="C66" s="329"/>
      <c r="D66" s="216"/>
      <c r="E66" s="216"/>
      <c r="F66" s="216"/>
      <c r="G66" s="216" t="s">
        <v>239</v>
      </c>
      <c r="H66" s="594">
        <v>-0.31316092600000001</v>
      </c>
      <c r="I66" s="279">
        <v>1</v>
      </c>
      <c r="J66" s="276" t="s">
        <v>361</v>
      </c>
      <c r="K66" s="270"/>
      <c r="L66" s="270"/>
      <c r="M66" s="280">
        <v>5</v>
      </c>
      <c r="N66" s="216"/>
      <c r="P66" s="279">
        <v>1</v>
      </c>
      <c r="Q66" s="269" t="s">
        <v>193</v>
      </c>
      <c r="R66" s="270"/>
      <c r="S66" s="280">
        <v>0</v>
      </c>
      <c r="T66" s="216">
        <v>0</v>
      </c>
      <c r="U66" s="537"/>
      <c r="V66" s="286"/>
      <c r="W66" s="216"/>
      <c r="X66" s="268">
        <v>1</v>
      </c>
      <c r="Y66" s="269"/>
      <c r="Z66" s="270"/>
      <c r="AA66" s="271"/>
      <c r="AC66" s="268">
        <v>1</v>
      </c>
      <c r="AD66" s="269" t="s">
        <v>39</v>
      </c>
      <c r="AE66" s="270"/>
      <c r="AF66" s="270"/>
      <c r="AG66" s="270"/>
      <c r="AH66" s="271" t="e">
        <f>'Summary month'!BY44-AJ66-AK66</f>
        <v>#VALUE!</v>
      </c>
      <c r="AI66" t="s">
        <v>262</v>
      </c>
      <c r="AJ66" t="e">
        <f>'Summary month'!BY74</f>
        <v>#VALUE!</v>
      </c>
    </row>
    <row r="67" spans="2:36" ht="18">
      <c r="E67" s="216"/>
      <c r="F67" s="216"/>
      <c r="G67" s="216" t="s">
        <v>28</v>
      </c>
      <c r="H67" s="594"/>
      <c r="I67" s="279">
        <v>2</v>
      </c>
      <c r="J67" s="276" t="s">
        <v>369</v>
      </c>
      <c r="K67" s="277"/>
      <c r="L67" s="277"/>
      <c r="M67" s="281">
        <v>-2</v>
      </c>
      <c r="P67" s="279">
        <v>2</v>
      </c>
      <c r="Q67" s="276" t="s">
        <v>143</v>
      </c>
      <c r="R67" s="277"/>
      <c r="S67" s="281">
        <f>SUM('[7]New KPI vs BP'!$H$449+'[7]New KPI vs BP'!$H$460)</f>
        <v>-0.74879225987393394</v>
      </c>
      <c r="T67" s="216"/>
      <c r="U67" s="216"/>
      <c r="V67" s="216"/>
      <c r="W67" s="216"/>
      <c r="X67" s="268">
        <v>2</v>
      </c>
      <c r="Y67" s="276"/>
      <c r="Z67" s="277"/>
      <c r="AA67" s="278"/>
      <c r="AC67" s="268">
        <v>2</v>
      </c>
      <c r="AD67" s="276"/>
      <c r="AE67" s="277"/>
      <c r="AF67" s="277"/>
      <c r="AG67" s="277"/>
      <c r="AH67" s="278"/>
      <c r="AI67" t="s">
        <v>144</v>
      </c>
      <c r="AJ67" s="441" t="e">
        <f>AH66</f>
        <v>#VALUE!</v>
      </c>
    </row>
    <row r="68" spans="2:36" ht="18">
      <c r="B68" s="216"/>
      <c r="C68" s="319"/>
      <c r="D68" s="216"/>
      <c r="E68" s="216"/>
      <c r="F68" s="216"/>
      <c r="G68" s="216" t="s">
        <v>354</v>
      </c>
      <c r="H68" s="216"/>
      <c r="I68" s="279">
        <v>3</v>
      </c>
      <c r="J68" s="276" t="s">
        <v>427</v>
      </c>
      <c r="K68" s="277"/>
      <c r="L68" s="277"/>
      <c r="M68" s="281">
        <v>-4</v>
      </c>
      <c r="N68" s="216"/>
      <c r="P68" s="279">
        <v>3</v>
      </c>
      <c r="Q68" s="276" t="s">
        <v>217</v>
      </c>
      <c r="R68" s="277"/>
      <c r="S68" s="281">
        <v>-3.8701158311542523</v>
      </c>
      <c r="V68" s="216"/>
      <c r="W68" s="216"/>
      <c r="X68" s="268">
        <v>3</v>
      </c>
      <c r="Y68" s="276"/>
      <c r="Z68" s="277"/>
      <c r="AA68" s="278"/>
      <c r="AC68" s="268">
        <v>3</v>
      </c>
      <c r="AD68" s="276"/>
      <c r="AE68" s="277"/>
      <c r="AF68" s="277"/>
      <c r="AG68" s="277"/>
      <c r="AH68" s="278"/>
    </row>
    <row r="69" spans="2:36" ht="18">
      <c r="B69" s="216"/>
      <c r="C69" s="319"/>
      <c r="D69" s="216"/>
      <c r="E69" s="272"/>
      <c r="F69" s="272"/>
      <c r="G69" s="272"/>
      <c r="H69" s="272"/>
      <c r="I69" s="279">
        <v>4</v>
      </c>
      <c r="J69" s="276" t="s">
        <v>433</v>
      </c>
      <c r="K69" s="277"/>
      <c r="L69" s="277"/>
      <c r="M69" s="281">
        <v>-1</v>
      </c>
      <c r="N69" s="216"/>
      <c r="P69" s="279">
        <v>4</v>
      </c>
      <c r="Q69" s="276" t="s">
        <v>195</v>
      </c>
      <c r="R69" s="277"/>
      <c r="S69" s="281">
        <v>-14.363520740377314</v>
      </c>
      <c r="V69" s="216"/>
      <c r="W69" s="216"/>
      <c r="X69" s="268">
        <v>4</v>
      </c>
      <c r="Y69" s="276"/>
      <c r="Z69" s="277"/>
      <c r="AA69" s="278"/>
      <c r="AC69" s="268">
        <v>4</v>
      </c>
      <c r="AD69" s="276"/>
      <c r="AE69" s="277"/>
      <c r="AF69" s="277"/>
      <c r="AG69" s="277"/>
      <c r="AH69" s="278"/>
    </row>
    <row r="70" spans="2:36" ht="18">
      <c r="B70" s="216"/>
      <c r="C70" s="319"/>
      <c r="D70" s="216"/>
      <c r="E70" s="216"/>
      <c r="F70" s="216"/>
      <c r="G70" s="216"/>
      <c r="H70" s="216"/>
      <c r="I70" s="279">
        <v>5</v>
      </c>
      <c r="J70" s="276" t="s">
        <v>401</v>
      </c>
      <c r="K70" s="277"/>
      <c r="L70" s="277"/>
      <c r="M70" s="281">
        <v>-9.2195935381147009E-2</v>
      </c>
      <c r="N70" s="323"/>
      <c r="P70" s="279">
        <v>5</v>
      </c>
      <c r="Q70" s="276" t="s">
        <v>247</v>
      </c>
      <c r="R70" s="277"/>
      <c r="S70" s="281">
        <v>-7.9887080243500241</v>
      </c>
      <c r="W70" s="216"/>
      <c r="X70" s="282">
        <v>5</v>
      </c>
      <c r="Y70" s="283" t="s">
        <v>182</v>
      </c>
      <c r="Z70" s="284"/>
      <c r="AA70" s="285" t="e">
        <f>AA65-SUM(AA66:AA69)</f>
        <v>#VALUE!</v>
      </c>
      <c r="AC70" s="282">
        <v>5</v>
      </c>
      <c r="AD70" s="283" t="s">
        <v>182</v>
      </c>
      <c r="AE70" s="284"/>
      <c r="AF70" s="284"/>
      <c r="AG70" s="284"/>
      <c r="AH70" s="285" t="e">
        <f>AH65-SUM(AH66:AH69)</f>
        <v>#REF!</v>
      </c>
    </row>
    <row r="71" spans="2:36" ht="18">
      <c r="B71" s="216"/>
      <c r="C71" s="319"/>
      <c r="D71" s="216"/>
      <c r="E71" s="216"/>
      <c r="F71" s="216"/>
      <c r="G71" s="216"/>
      <c r="H71" s="216"/>
      <c r="I71" s="279">
        <v>6</v>
      </c>
      <c r="J71" s="276" t="s">
        <v>353</v>
      </c>
      <c r="K71" s="277"/>
      <c r="L71" s="277"/>
      <c r="M71" s="281">
        <v>-9.7800717278175658E-2</v>
      </c>
      <c r="P71" s="279">
        <v>6</v>
      </c>
      <c r="Q71" s="276"/>
      <c r="R71" s="277"/>
      <c r="S71" s="281"/>
      <c r="W71" s="216"/>
      <c r="X71" s="216"/>
      <c r="Y71" s="216"/>
      <c r="Z71" s="216"/>
      <c r="AA71" s="216"/>
      <c r="AB71" s="216"/>
      <c r="AC71" s="216"/>
      <c r="AD71" s="216"/>
      <c r="AE71" s="216"/>
      <c r="AF71" s="216"/>
      <c r="AG71" s="216"/>
      <c r="AH71" s="216"/>
    </row>
    <row r="72" spans="2:36" ht="18">
      <c r="B72" s="216"/>
      <c r="C72" s="319"/>
      <c r="D72" s="216"/>
      <c r="E72" s="216"/>
      <c r="F72" s="216"/>
      <c r="G72" s="216"/>
      <c r="H72" s="216"/>
      <c r="I72" s="279">
        <v>7</v>
      </c>
      <c r="J72" s="276" t="s">
        <v>295</v>
      </c>
      <c r="K72" s="277"/>
      <c r="L72" s="277"/>
      <c r="M72" s="281">
        <v>-3.758562E-2</v>
      </c>
      <c r="N72" s="216"/>
      <c r="P72" s="279">
        <v>7</v>
      </c>
      <c r="Q72" s="276"/>
      <c r="R72" s="277"/>
      <c r="S72" s="281"/>
      <c r="W72" s="216"/>
      <c r="X72" s="216"/>
      <c r="Y72" s="216"/>
      <c r="Z72" s="216"/>
      <c r="AA72" s="216"/>
      <c r="AB72" s="216"/>
      <c r="AC72" s="216"/>
      <c r="AD72" s="216"/>
      <c r="AE72" s="216"/>
      <c r="AF72" s="216"/>
      <c r="AG72" s="216"/>
      <c r="AH72" s="216"/>
    </row>
    <row r="73" spans="2:36" ht="18">
      <c r="B73" s="216"/>
      <c r="C73" s="319"/>
      <c r="D73" s="216"/>
      <c r="E73" s="216"/>
      <c r="F73" s="216"/>
      <c r="G73" s="216"/>
      <c r="I73" s="279">
        <v>8</v>
      </c>
      <c r="J73" s="276" t="s">
        <v>239</v>
      </c>
      <c r="K73" s="277"/>
      <c r="L73" s="277"/>
      <c r="M73" s="281">
        <v>-0.31316092600000001</v>
      </c>
      <c r="N73" s="216"/>
      <c r="P73" s="279">
        <v>8</v>
      </c>
      <c r="Q73" s="276"/>
      <c r="R73" s="277"/>
      <c r="S73" s="278"/>
      <c r="T73" s="216" t="s">
        <v>223</v>
      </c>
      <c r="U73" s="216">
        <v>1.4</v>
      </c>
      <c r="W73" s="216"/>
      <c r="X73" s="216"/>
      <c r="Y73" s="216"/>
      <c r="Z73" s="216"/>
      <c r="AA73" s="216"/>
      <c r="AB73" s="216"/>
      <c r="AC73" s="216"/>
      <c r="AD73" s="216"/>
      <c r="AE73" s="216"/>
      <c r="AF73" s="216"/>
      <c r="AG73" s="216"/>
      <c r="AH73" s="216"/>
    </row>
    <row r="74" spans="2:36" ht="18">
      <c r="B74" s="216"/>
      <c r="C74" s="319"/>
      <c r="D74" s="216"/>
      <c r="E74" s="216"/>
      <c r="F74" s="216"/>
      <c r="G74" s="216"/>
      <c r="H74" s="216"/>
      <c r="I74" s="279"/>
      <c r="J74" s="276"/>
      <c r="K74" s="277"/>
      <c r="L74" s="277"/>
      <c r="M74" s="281"/>
      <c r="N74" s="216"/>
      <c r="P74" s="279">
        <v>9</v>
      </c>
      <c r="Q74" s="276"/>
      <c r="R74" s="277"/>
      <c r="S74" s="278"/>
      <c r="T74" s="216" t="s">
        <v>359</v>
      </c>
      <c r="U74" s="330"/>
      <c r="W74" s="272"/>
      <c r="X74" s="216"/>
      <c r="Y74" s="216"/>
      <c r="Z74" s="216"/>
      <c r="AA74" s="216"/>
      <c r="AB74" s="216"/>
      <c r="AC74" s="216"/>
      <c r="AD74" s="216"/>
      <c r="AE74" s="216"/>
      <c r="AF74" s="216"/>
      <c r="AG74" s="216"/>
      <c r="AH74" s="216"/>
    </row>
    <row r="75" spans="2:36" ht="18">
      <c r="B75" s="216"/>
      <c r="C75" s="319"/>
      <c r="D75" s="216"/>
      <c r="E75" s="216"/>
      <c r="F75" s="216"/>
      <c r="G75" s="216"/>
      <c r="H75" s="216"/>
      <c r="I75" s="279"/>
      <c r="J75" s="276"/>
      <c r="K75" s="277"/>
      <c r="L75" s="277"/>
      <c r="M75" s="281"/>
      <c r="N75" s="216"/>
      <c r="P75" s="288">
        <v>10</v>
      </c>
      <c r="Q75" s="283" t="s">
        <v>182</v>
      </c>
      <c r="R75" s="284"/>
      <c r="S75" s="285" t="e">
        <f>S65-SUM(S66:S74)</f>
        <v>#REF!</v>
      </c>
      <c r="T75" s="216" t="s">
        <v>195</v>
      </c>
      <c r="U75" s="315">
        <v>-14.363520740377314</v>
      </c>
      <c r="W75" s="216"/>
      <c r="X75" s="297"/>
      <c r="Y75" s="216"/>
      <c r="Z75" s="216"/>
      <c r="AA75" s="216"/>
      <c r="AB75" s="216"/>
      <c r="AC75" s="216"/>
      <c r="AD75" s="216"/>
      <c r="AE75" s="216"/>
      <c r="AF75" s="216"/>
      <c r="AG75" s="216"/>
      <c r="AH75" s="216"/>
    </row>
    <row r="76" spans="2:36" ht="18">
      <c r="B76" s="216"/>
      <c r="C76" s="319"/>
      <c r="D76" s="216"/>
      <c r="E76" s="216"/>
      <c r="F76" s="216"/>
      <c r="G76" s="216"/>
      <c r="H76" s="216"/>
      <c r="I76" s="288">
        <v>9</v>
      </c>
      <c r="J76" s="289" t="s">
        <v>182</v>
      </c>
      <c r="K76" s="284"/>
      <c r="L76" s="284"/>
      <c r="M76" s="290">
        <f>M65-SUM(M66:M73)</f>
        <v>4.3999999999999968</v>
      </c>
      <c r="N76" s="216"/>
      <c r="T76" s="216" t="s">
        <v>246</v>
      </c>
      <c r="U76" s="315">
        <v>-4.1247248755592025</v>
      </c>
      <c r="W76" s="216"/>
      <c r="X76" s="216"/>
      <c r="Y76" s="216"/>
      <c r="Z76" s="216"/>
      <c r="AA76" s="216"/>
      <c r="AB76" s="216"/>
      <c r="AC76" s="216"/>
      <c r="AD76" s="216"/>
      <c r="AE76" s="216"/>
      <c r="AF76" s="216"/>
      <c r="AG76" s="216"/>
      <c r="AH76" s="216"/>
    </row>
    <row r="77" spans="2:36" ht="18">
      <c r="B77" s="216"/>
      <c r="C77" s="319"/>
      <c r="D77" s="216"/>
      <c r="E77" s="216"/>
      <c r="F77" s="216"/>
      <c r="G77" s="216"/>
      <c r="H77" s="216"/>
      <c r="I77" s="216"/>
      <c r="J77" s="216"/>
      <c r="K77" s="216"/>
      <c r="L77" s="216"/>
      <c r="M77" s="216"/>
      <c r="N77" s="216"/>
      <c r="Q77" s="565" t="e">
        <f>SUM(S67:S75)+SUM(H64:H67)-H66</f>
        <v>#REF!</v>
      </c>
      <c r="T77" s="216" t="s">
        <v>247</v>
      </c>
      <c r="U77" s="315">
        <v>-7.9887080243500241</v>
      </c>
      <c r="W77" s="216"/>
      <c r="X77" s="216"/>
      <c r="Y77" s="216"/>
      <c r="Z77" s="216"/>
      <c r="AA77" s="216"/>
      <c r="AB77" s="216"/>
      <c r="AC77" s="216"/>
      <c r="AD77" s="216"/>
      <c r="AE77" s="216"/>
      <c r="AF77" s="216"/>
      <c r="AG77" s="216"/>
      <c r="AH77" s="216"/>
    </row>
    <row r="78" spans="2:36">
      <c r="B78" s="216"/>
      <c r="C78" s="216"/>
      <c r="D78" s="216"/>
      <c r="E78" s="216"/>
      <c r="F78" s="216"/>
      <c r="G78" s="216"/>
      <c r="H78" s="216"/>
      <c r="I78" s="216"/>
      <c r="J78" s="216"/>
      <c r="K78" s="216"/>
      <c r="L78" s="216"/>
      <c r="M78" s="216"/>
      <c r="N78" s="216"/>
      <c r="Q78" s="560"/>
      <c r="T78" s="216" t="s">
        <v>400</v>
      </c>
      <c r="U78" s="315"/>
      <c r="W78" s="216"/>
      <c r="X78" s="216"/>
      <c r="Y78" s="216"/>
      <c r="Z78" s="216"/>
      <c r="AA78" s="216"/>
      <c r="AB78" s="216"/>
      <c r="AC78" s="216"/>
      <c r="AD78" s="216"/>
      <c r="AE78" s="216"/>
      <c r="AF78" s="216"/>
      <c r="AG78" s="216"/>
      <c r="AH78" s="216"/>
    </row>
    <row r="79" spans="2:36">
      <c r="B79" s="216"/>
      <c r="C79" s="216"/>
      <c r="D79" s="216"/>
      <c r="E79" s="216"/>
      <c r="F79" s="216"/>
      <c r="G79" s="216"/>
      <c r="H79" s="216"/>
      <c r="I79" s="216"/>
      <c r="J79" s="216"/>
      <c r="K79" s="216"/>
      <c r="L79" s="216"/>
      <c r="M79" s="216"/>
      <c r="N79" s="216"/>
      <c r="Q79" s="560"/>
      <c r="T79" s="216" t="s">
        <v>222</v>
      </c>
      <c r="U79" s="315">
        <v>42.402706971727369</v>
      </c>
      <c r="V79" t="s">
        <v>434</v>
      </c>
      <c r="X79" s="216"/>
      <c r="Y79" s="216"/>
      <c r="AB79" s="216"/>
      <c r="AC79" s="216"/>
      <c r="AD79" s="216"/>
      <c r="AE79" s="216"/>
      <c r="AF79" s="216"/>
      <c r="AG79" s="216"/>
      <c r="AH79" s="216"/>
    </row>
    <row r="80" spans="2:36">
      <c r="B80" s="216"/>
      <c r="C80" s="216"/>
      <c r="D80" s="216"/>
      <c r="E80" s="216"/>
      <c r="F80" s="216"/>
      <c r="G80" s="216"/>
      <c r="H80" s="216"/>
      <c r="I80" s="216"/>
      <c r="J80" s="216"/>
      <c r="K80" s="216"/>
      <c r="L80" s="216"/>
      <c r="M80" s="216"/>
      <c r="N80" s="216"/>
      <c r="Q80" s="561"/>
      <c r="T80" s="216" t="s">
        <v>395</v>
      </c>
      <c r="U80" s="315">
        <v>-33.703145002830354</v>
      </c>
      <c r="X80" s="216"/>
      <c r="Y80" s="216"/>
      <c r="Z80" s="216"/>
      <c r="AA80" s="216"/>
      <c r="AB80" s="216"/>
      <c r="AC80" s="216"/>
      <c r="AD80" s="216"/>
      <c r="AE80" s="216"/>
      <c r="AF80" s="216"/>
      <c r="AG80" s="216"/>
      <c r="AH80" s="216"/>
    </row>
    <row r="81" spans="2:34">
      <c r="B81" s="216"/>
      <c r="C81" s="216"/>
      <c r="D81" s="216"/>
      <c r="E81" s="216"/>
      <c r="F81" s="216"/>
      <c r="G81" s="216"/>
      <c r="H81" s="216"/>
      <c r="I81" s="216"/>
      <c r="J81" s="216"/>
      <c r="K81" s="216"/>
      <c r="L81" s="216"/>
      <c r="M81" s="216"/>
      <c r="N81" s="216"/>
      <c r="Q81" s="562"/>
      <c r="T81" s="216" t="s">
        <v>217</v>
      </c>
      <c r="U81" s="315">
        <f>SUM('[7]New KPI vs BP'!$DW$453+'[7]New KPI vs BP'!$DW$464)</f>
        <v>-2.5187662811050413</v>
      </c>
      <c r="W81" s="369"/>
      <c r="Y81" s="216"/>
      <c r="Z81" s="216"/>
      <c r="AA81" s="216"/>
      <c r="AB81" s="216"/>
      <c r="AC81" s="216"/>
      <c r="AD81" s="216"/>
      <c r="AE81" s="216"/>
      <c r="AF81" s="216"/>
      <c r="AG81" s="216"/>
      <c r="AH81" s="216"/>
    </row>
    <row r="82" spans="2:34">
      <c r="B82" s="216"/>
      <c r="C82" s="216"/>
      <c r="D82" s="216"/>
      <c r="E82" s="216"/>
      <c r="F82" s="216"/>
      <c r="G82" s="216"/>
      <c r="H82" s="216"/>
      <c r="I82" s="216"/>
      <c r="J82" s="532"/>
      <c r="K82" s="216"/>
      <c r="L82" s="216"/>
      <c r="M82" s="216"/>
      <c r="N82" s="216"/>
      <c r="Q82" s="562"/>
      <c r="T82" s="216" t="s">
        <v>223</v>
      </c>
      <c r="U82" s="577">
        <v>3.0360303598137253</v>
      </c>
      <c r="X82" s="216"/>
      <c r="Y82" s="216"/>
      <c r="Z82" s="216"/>
      <c r="AA82" s="216"/>
      <c r="AB82" s="216"/>
      <c r="AC82" s="216"/>
      <c r="AD82" s="216"/>
      <c r="AE82" s="216"/>
      <c r="AF82" s="216"/>
      <c r="AG82" s="216"/>
      <c r="AH82" s="216"/>
    </row>
    <row r="83" spans="2:34">
      <c r="B83" s="216"/>
      <c r="C83" s="216"/>
      <c r="D83" s="216"/>
      <c r="E83" s="216"/>
      <c r="F83" s="216"/>
      <c r="G83" s="216"/>
      <c r="H83" s="216"/>
      <c r="I83" s="216"/>
      <c r="J83" s="216"/>
      <c r="K83" s="216"/>
      <c r="L83" s="216"/>
      <c r="M83" s="216"/>
      <c r="N83" s="216"/>
      <c r="Q83" s="563"/>
      <c r="T83" s="216" t="s">
        <v>283</v>
      </c>
      <c r="U83" s="317" t="e">
        <f>SUM(V95:V97)</f>
        <v>#VALUE!</v>
      </c>
      <c r="X83" s="216"/>
      <c r="Y83" s="216"/>
      <c r="Z83" s="216"/>
      <c r="AA83" s="216"/>
      <c r="AB83" s="216"/>
      <c r="AC83" s="216"/>
      <c r="AD83" s="216"/>
      <c r="AE83" s="216"/>
      <c r="AF83" s="216"/>
      <c r="AG83" s="216"/>
      <c r="AH83" s="216"/>
    </row>
    <row r="84" spans="2:34">
      <c r="B84" s="216"/>
      <c r="C84" s="216"/>
      <c r="D84" s="216"/>
      <c r="E84" s="216"/>
      <c r="F84" s="216"/>
      <c r="G84" s="216"/>
      <c r="H84" s="216"/>
      <c r="I84" s="216"/>
      <c r="J84" s="216"/>
      <c r="K84" s="216"/>
      <c r="L84" s="216"/>
      <c r="M84" s="216"/>
      <c r="N84" s="216"/>
      <c r="Q84" s="564" t="e">
        <f>Q77-SUM(Q78:Q83)</f>
        <v>#REF!</v>
      </c>
      <c r="W84" s="216"/>
      <c r="X84" s="216"/>
      <c r="Y84" s="216"/>
      <c r="Z84" s="216"/>
      <c r="AA84" s="216"/>
      <c r="AB84" s="216"/>
      <c r="AC84" s="216"/>
      <c r="AD84" s="216"/>
      <c r="AE84" s="216"/>
      <c r="AF84" s="216"/>
      <c r="AG84" s="216"/>
      <c r="AH84" s="216"/>
    </row>
    <row r="85" spans="2:34">
      <c r="Q85" s="529"/>
      <c r="X85" s="314"/>
    </row>
    <row r="86" spans="2:34">
      <c r="X86" s="314"/>
    </row>
    <row r="87" spans="2:34">
      <c r="W87" s="216"/>
      <c r="X87" s="314"/>
    </row>
    <row r="89" spans="2:34">
      <c r="U89" s="317"/>
      <c r="W89" s="216"/>
    </row>
    <row r="95" spans="2:34">
      <c r="U95" s="372" t="s">
        <v>252</v>
      </c>
      <c r="V95" s="373"/>
      <c r="X95" s="317"/>
      <c r="Z95" s="488"/>
    </row>
    <row r="96" spans="2:34">
      <c r="U96" t="s">
        <v>293</v>
      </c>
      <c r="V96" s="317"/>
    </row>
    <row r="97" spans="21:22">
      <c r="U97" s="135" t="s">
        <v>144</v>
      </c>
      <c r="V97" s="373" t="e">
        <f>-AD56-AJ67-X57</f>
        <v>#VALUE!</v>
      </c>
    </row>
  </sheetData>
  <mergeCells count="27">
    <mergeCell ref="P17:P18"/>
    <mergeCell ref="B10:B11"/>
    <mergeCell ref="C10:C11"/>
    <mergeCell ref="B17:B18"/>
    <mergeCell ref="H17:H18"/>
    <mergeCell ref="O17:O18"/>
    <mergeCell ref="AH17:AH18"/>
    <mergeCell ref="B52:B53"/>
    <mergeCell ref="C52:C53"/>
    <mergeCell ref="B59:B60"/>
    <mergeCell ref="H59:H60"/>
    <mergeCell ref="O59:O60"/>
    <mergeCell ref="P59:P60"/>
    <mergeCell ref="Q59:Q60"/>
    <mergeCell ref="R59:R60"/>
    <mergeCell ref="S59:S60"/>
    <mergeCell ref="Q17:Q18"/>
    <mergeCell ref="R17:R18"/>
    <mergeCell ref="S17:S18"/>
    <mergeCell ref="T17:T18"/>
    <mergeCell ref="AE17:AE18"/>
    <mergeCell ref="AF17:AF18"/>
    <mergeCell ref="T59:T60"/>
    <mergeCell ref="AE59:AE60"/>
    <mergeCell ref="AF59:AF60"/>
    <mergeCell ref="AH59:AH60"/>
    <mergeCell ref="C55:C56"/>
  </mergeCells>
  <pageMargins left="0.7" right="0.7" top="0.75" bottom="0.75" header="0.3" footer="0.3"/>
  <pageSetup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6DA67-5FB4-4EBE-B2A7-D5DDE0C2A2F8}">
  <sheetPr>
    <tabColor theme="7" tint="-0.249977111117893"/>
  </sheetPr>
  <dimension ref="B1:AJ97"/>
  <sheetViews>
    <sheetView showGridLines="0" topLeftCell="D24" zoomScale="60" zoomScaleNormal="60" workbookViewId="0">
      <selection activeCell="M19" sqref="M19"/>
    </sheetView>
  </sheetViews>
  <sheetFormatPr defaultRowHeight="15"/>
  <cols>
    <col min="2" max="2" width="24.42578125" customWidth="1"/>
    <col min="3" max="3" width="19.5703125" bestFit="1" customWidth="1"/>
    <col min="4" max="4" width="17.85546875" bestFit="1" customWidth="1"/>
    <col min="5" max="5" width="13.5703125" bestFit="1" customWidth="1"/>
    <col min="6" max="6" width="14.5703125" bestFit="1" customWidth="1"/>
    <col min="7" max="7" width="13" bestFit="1" customWidth="1"/>
    <col min="9" max="9" width="9.140625" customWidth="1"/>
    <col min="12" max="12" width="12.5703125" bestFit="1" customWidth="1"/>
    <col min="13" max="13" width="9.85546875" bestFit="1" customWidth="1"/>
    <col min="15" max="15" width="23" bestFit="1" customWidth="1"/>
    <col min="17" max="17" width="20.42578125" bestFit="1" customWidth="1"/>
    <col min="19" max="19" width="10.5703125" bestFit="1" customWidth="1"/>
    <col min="20" max="20" width="10.5703125" customWidth="1"/>
    <col min="21" max="21" width="22.140625" bestFit="1" customWidth="1"/>
    <col min="22" max="22" width="11.140625" customWidth="1"/>
    <col min="24" max="24" width="19.5703125" bestFit="1" customWidth="1"/>
    <col min="26" max="26" width="12.42578125" customWidth="1"/>
    <col min="27" max="27" width="15.42578125" customWidth="1"/>
    <col min="30" max="30" width="10.140625" bestFit="1" customWidth="1"/>
    <col min="33" max="33" width="12.5703125" bestFit="1" customWidth="1"/>
    <col min="34" max="34" width="11.42578125" bestFit="1" customWidth="1"/>
  </cols>
  <sheetData>
    <row r="1" spans="2:34" ht="28.5">
      <c r="B1" s="304" t="str">
        <f>'Summary month'!E2</f>
        <v>Apr</v>
      </c>
      <c r="C1" t="s">
        <v>75</v>
      </c>
    </row>
    <row r="3" spans="2:34" ht="28.5">
      <c r="B3" s="299" t="s">
        <v>202</v>
      </c>
      <c r="I3" s="216"/>
      <c r="J3" s="334"/>
      <c r="K3" s="216">
        <f>'[7]New KPI vs BP'!$AQ$2</f>
        <v>0</v>
      </c>
      <c r="L3" s="216"/>
      <c r="M3" s="216"/>
      <c r="N3" s="334"/>
      <c r="O3" s="216"/>
      <c r="P3" s="216"/>
      <c r="Q3" s="216"/>
    </row>
    <row r="4" spans="2:34" ht="28.5">
      <c r="B4" s="299"/>
      <c r="I4" s="530" t="s">
        <v>355</v>
      </c>
      <c r="J4" s="334"/>
      <c r="K4" s="216"/>
      <c r="L4" s="216"/>
      <c r="M4" s="216"/>
      <c r="N4" s="334"/>
      <c r="O4" s="216"/>
      <c r="P4" s="216"/>
      <c r="Q4" s="216"/>
    </row>
    <row r="5" spans="2:34" ht="20.25">
      <c r="B5" s="216"/>
      <c r="C5" s="226" t="str">
        <f>B10</f>
        <v>OL Q1 (0+3)</v>
      </c>
      <c r="D5" s="226" t="str">
        <f>C10</f>
        <v>OL Q1 (2+1)</v>
      </c>
      <c r="E5" s="226" t="s">
        <v>320</v>
      </c>
      <c r="F5" s="226" t="s">
        <v>321</v>
      </c>
      <c r="G5" s="226" t="s">
        <v>358</v>
      </c>
      <c r="H5" s="292" t="s">
        <v>323</v>
      </c>
      <c r="I5" s="216"/>
    </row>
    <row r="6" spans="2:34" ht="20.25">
      <c r="B6" s="226" t="s">
        <v>327</v>
      </c>
      <c r="C6" s="229" t="e">
        <f>INDEX('Summary month'!$AC$82:$AF$82,1,MATCH($C$1,'Summary month'!$BT$6:$BW$6,0))</f>
        <v>#N/A</v>
      </c>
      <c r="D6" s="229" t="e">
        <f>INDEX('Summary month'!$BP$82:$BS$82,1,MATCH($C$1,'Summary month'!$BT$6:$BW$6,0))</f>
        <v>#N/A</v>
      </c>
      <c r="E6" s="226" t="e">
        <f>+D6-C6</f>
        <v>#N/A</v>
      </c>
      <c r="F6" s="226" t="e">
        <f>B19</f>
        <v>#N/A</v>
      </c>
      <c r="G6" s="226" t="e">
        <f>SUM(C19:S19)</f>
        <v>#N/A</v>
      </c>
      <c r="H6" s="502" t="e">
        <f>E6-F6-G6</f>
        <v>#N/A</v>
      </c>
      <c r="I6" s="216"/>
      <c r="J6" s="334"/>
      <c r="K6" s="216"/>
      <c r="L6" s="216"/>
      <c r="M6" s="216"/>
      <c r="N6" s="334"/>
      <c r="O6" s="216"/>
      <c r="P6" s="216"/>
      <c r="Q6" s="216"/>
    </row>
    <row r="7" spans="2:34" ht="20.25">
      <c r="B7" s="226" t="s">
        <v>325</v>
      </c>
      <c r="C7" s="229" t="e">
        <f>INDEX('Summary month'!$AC$83:$AF$83,1,MATCH($C$1,'Summary month'!$BT$6:$BW$6,0))</f>
        <v>#N/A</v>
      </c>
      <c r="D7" s="229" t="e">
        <f>INDEX('Summary month'!$BP$83:$BS$83,1,MATCH($C$1,'Summary month'!$BT$6:$BW$6,0))</f>
        <v>#N/A</v>
      </c>
      <c r="E7" s="226" t="e">
        <f>+D7-C7</f>
        <v>#N/A</v>
      </c>
      <c r="F7" s="226" t="e">
        <f>T19</f>
        <v>#N/A</v>
      </c>
      <c r="G7" s="226" t="e">
        <f>SUM(U19:AH19)</f>
        <v>#N/A</v>
      </c>
      <c r="H7" s="502" t="e">
        <f>E7-F7-G7</f>
        <v>#N/A</v>
      </c>
      <c r="I7" s="216"/>
      <c r="J7" s="334"/>
      <c r="K7" s="216"/>
      <c r="L7" s="216"/>
      <c r="M7" s="216"/>
      <c r="N7" s="334"/>
      <c r="O7" s="216"/>
      <c r="P7" s="216"/>
      <c r="Q7" s="216"/>
    </row>
    <row r="8" spans="2:34" ht="20.25">
      <c r="B8" s="226" t="s">
        <v>326</v>
      </c>
      <c r="C8" s="226" t="e">
        <f>+C6+C7</f>
        <v>#N/A</v>
      </c>
      <c r="D8" s="226" t="e">
        <f>+D6+D7</f>
        <v>#N/A</v>
      </c>
      <c r="E8" s="226" t="e">
        <f>+D8-C8</f>
        <v>#N/A</v>
      </c>
      <c r="F8" s="226" t="e">
        <f>+E8-G8</f>
        <v>#N/A</v>
      </c>
      <c r="G8" s="226" t="e">
        <f>+G6+G7</f>
        <v>#N/A</v>
      </c>
      <c r="H8" s="502" t="e">
        <f>E8-F8-G8</f>
        <v>#N/A</v>
      </c>
      <c r="I8" s="216"/>
      <c r="J8" s="334" t="s">
        <v>303</v>
      </c>
      <c r="K8" s="216" t="s">
        <v>143</v>
      </c>
      <c r="L8" s="216" t="s">
        <v>304</v>
      </c>
      <c r="M8" s="216"/>
      <c r="N8" s="334" t="s">
        <v>303</v>
      </c>
      <c r="O8" s="216" t="s">
        <v>143</v>
      </c>
      <c r="P8" s="216" t="s">
        <v>305</v>
      </c>
      <c r="Q8" s="216" t="s">
        <v>306</v>
      </c>
    </row>
    <row r="9" spans="2:34" ht="18">
      <c r="B9" s="215"/>
      <c r="C9" s="216"/>
      <c r="D9" s="318" t="e">
        <f>D12-D58</f>
        <v>#N/A</v>
      </c>
      <c r="E9" s="318">
        <f>E12-E58</f>
        <v>-31.006949000002702</v>
      </c>
      <c r="F9" s="318" t="e">
        <f>F12-F58</f>
        <v>#N/A</v>
      </c>
      <c r="G9" s="318" t="e">
        <f>G12-G58</f>
        <v>#N/A</v>
      </c>
      <c r="H9" s="216"/>
      <c r="I9" s="216" t="s">
        <v>307</v>
      </c>
      <c r="J9" s="334">
        <f>'[7]New KPI vs BP'!$AT$34-K9-L9</f>
        <v>84.018481206997308</v>
      </c>
      <c r="K9" s="216">
        <f>'[7]New KPI vs BP'!$AT$15</f>
        <v>1.6126676020000001</v>
      </c>
      <c r="L9" s="334">
        <f>'[7]New KPI vs BP'!$AT$507+'[7]New KPI vs BP'!$AT$523</f>
        <v>-116.63809780900002</v>
      </c>
      <c r="M9" s="216"/>
      <c r="N9" s="334" t="e">
        <f>'[7]New KPI vs BP'!$AT$34-O9-P9</f>
        <v>#N/A</v>
      </c>
      <c r="O9" s="636">
        <f>K9</f>
        <v>1.6126676020000001</v>
      </c>
      <c r="P9" s="406" t="e">
        <f>L10-AJ66</f>
        <v>#N/A</v>
      </c>
      <c r="Q9" s="334" t="e">
        <f>L9-(P9)</f>
        <v>#N/A</v>
      </c>
      <c r="R9" s="216"/>
      <c r="S9" s="216"/>
      <c r="T9" s="216"/>
      <c r="U9" s="216"/>
      <c r="V9" s="216"/>
      <c r="W9" s="216"/>
      <c r="X9" s="216"/>
      <c r="Y9" s="216"/>
      <c r="Z9" s="216"/>
      <c r="AA9" s="216"/>
      <c r="AB9" s="216"/>
      <c r="AC9" s="216"/>
      <c r="AD9" s="216"/>
      <c r="AE9" s="216"/>
      <c r="AF9" s="216"/>
      <c r="AG9" s="216"/>
      <c r="AH9" s="216"/>
    </row>
    <row r="10" spans="2:34" ht="20.100000000000001" customHeight="1">
      <c r="B10" s="1014" t="s">
        <v>414</v>
      </c>
      <c r="C10" s="1014" t="s">
        <v>415</v>
      </c>
      <c r="D10" s="218"/>
      <c r="E10" s="219"/>
      <c r="F10" s="219"/>
      <c r="G10" s="220"/>
      <c r="H10" s="216"/>
      <c r="I10" s="216" t="s">
        <v>62</v>
      </c>
      <c r="J10" s="334">
        <f>M52</f>
        <v>6.3744855012013657E-2</v>
      </c>
      <c r="K10" s="216">
        <v>0</v>
      </c>
      <c r="L10" s="334" t="e">
        <f>M53</f>
        <v>#N/A</v>
      </c>
      <c r="M10" s="216"/>
      <c r="N10" s="216"/>
      <c r="O10" s="216"/>
      <c r="P10" s="216"/>
      <c r="Q10" s="216"/>
      <c r="R10" s="216"/>
      <c r="S10" s="216"/>
      <c r="T10" s="216"/>
      <c r="U10" s="216"/>
      <c r="V10" s="216"/>
      <c r="W10" s="221"/>
      <c r="X10" s="221"/>
      <c r="Y10" s="221"/>
      <c r="Z10" s="221"/>
      <c r="AA10" s="221"/>
      <c r="AB10" s="221"/>
      <c r="AC10" s="221"/>
      <c r="AD10" s="221"/>
      <c r="AE10" s="221"/>
      <c r="AF10" s="221"/>
      <c r="AG10" s="221"/>
      <c r="AH10" s="221"/>
    </row>
    <row r="11" spans="2:34" ht="40.5">
      <c r="B11" s="1015"/>
      <c r="C11" s="1015"/>
      <c r="D11" s="222"/>
      <c r="E11" s="223" t="s">
        <v>154</v>
      </c>
      <c r="F11" s="224" t="s">
        <v>155</v>
      </c>
      <c r="G11" s="225" t="s">
        <v>156</v>
      </c>
      <c r="H11" s="216"/>
      <c r="I11" s="216" t="s">
        <v>208</v>
      </c>
      <c r="J11" s="216"/>
      <c r="K11" s="216"/>
      <c r="L11" s="216"/>
      <c r="M11" s="216"/>
      <c r="N11" s="216"/>
      <c r="O11" s="216"/>
      <c r="P11" s="216"/>
      <c r="Q11" s="216"/>
      <c r="R11" s="216"/>
      <c r="AH11" s="216"/>
    </row>
    <row r="12" spans="2:34" ht="20.25">
      <c r="B12" s="226" t="e">
        <f>INDEX('Summary month'!$AC$55:$AF$55,1,MATCH($C$1,'Summary month'!$BT6:$BW$6,0))</f>
        <v>#N/A</v>
      </c>
      <c r="C12" s="226" t="e">
        <f>INDEX('Summary month'!$BP$55:$BS$55,1,MATCH($C$1,'Summary month'!$BT$6:$BW$6,0))</f>
        <v>#N/A</v>
      </c>
      <c r="D12" s="227" t="e">
        <f>C12-B12</f>
        <v>#N/A</v>
      </c>
      <c r="E12" s="228">
        <f>'[7]New KPI vs BP'!$AT$34</f>
        <v>-31.006949000002702</v>
      </c>
      <c r="F12" s="228" t="e">
        <f>INDEX('Summary month'!$BT$82:$BW$82,1,MATCH($C$1,'Summary month'!$BT$6:$BW$6,0))-E13</f>
        <v>#N/A</v>
      </c>
      <c r="G12" s="229" t="e">
        <f>INDEX('Summary month'!$BT$83:$BW$83,1,MATCH($C$1,'Summary month'!$BT$6:$BW$6,0))-E14</f>
        <v>#N/A</v>
      </c>
      <c r="H12" s="216"/>
      <c r="I12" s="286" t="e">
        <f>SUM(E12:G12)-D12</f>
        <v>#N/A</v>
      </c>
      <c r="J12" s="216"/>
      <c r="K12" s="216"/>
      <c r="L12" s="216"/>
      <c r="M12" s="216"/>
      <c r="N12" s="216"/>
      <c r="O12" s="230"/>
      <c r="P12" s="216"/>
      <c r="Q12" s="216"/>
      <c r="R12" s="216"/>
      <c r="AH12" s="230"/>
    </row>
    <row r="13" spans="2:34">
      <c r="B13" s="216"/>
      <c r="C13" s="216"/>
      <c r="D13" s="216"/>
      <c r="E13" s="315" t="e">
        <f>SUM(N9:O9)</f>
        <v>#N/A</v>
      </c>
      <c r="F13" s="216" t="s">
        <v>308</v>
      </c>
      <c r="G13" s="216"/>
      <c r="H13" s="216"/>
      <c r="I13" s="216"/>
      <c r="J13" s="216"/>
      <c r="K13" s="216"/>
      <c r="L13" s="216"/>
      <c r="M13" s="216"/>
      <c r="N13" s="216"/>
      <c r="O13" s="216" t="s">
        <v>53</v>
      </c>
      <c r="P13" s="315" t="e">
        <f>-INDEX('Summary month'!$BT$17:$BW$73,MATCH(O13,'Summary month'!$D$17:$D$73,0),MATCH($C$1,'Summary month'!$BT$6:$BW$6,0))</f>
        <v>#N/A</v>
      </c>
      <c r="Q13" s="216"/>
      <c r="R13" s="216"/>
      <c r="AH13" s="216"/>
    </row>
    <row r="14" spans="2:34">
      <c r="B14" s="216"/>
      <c r="C14" s="216" t="s">
        <v>51</v>
      </c>
      <c r="D14" s="216" t="s">
        <v>50</v>
      </c>
      <c r="E14" s="315" t="e">
        <f>P9</f>
        <v>#N/A</v>
      </c>
      <c r="F14" s="216" t="s">
        <v>309</v>
      </c>
      <c r="G14" s="216"/>
      <c r="H14" s="216"/>
      <c r="I14" s="216"/>
      <c r="J14" s="216"/>
      <c r="K14" s="216"/>
      <c r="L14" s="216"/>
      <c r="M14" s="216"/>
      <c r="N14" s="216"/>
      <c r="O14" s="216" t="s">
        <v>54</v>
      </c>
      <c r="P14" s="315" t="e">
        <f>-INDEX('Summary month'!$BT$17:$BW$73,MATCH(O14,'Summary month'!$D$17:$D$73,0),MATCH($C$1,'Summary month'!$BT$6:$BW$6,0))</f>
        <v>#N/A</v>
      </c>
      <c r="Q14" s="216"/>
      <c r="R14" s="216"/>
      <c r="AH14" s="216"/>
    </row>
    <row r="15" spans="2:34" ht="21" thickBot="1">
      <c r="B15" s="231" t="s">
        <v>157</v>
      </c>
      <c r="C15" s="232" t="s">
        <v>56</v>
      </c>
      <c r="D15" s="232" t="s">
        <v>57</v>
      </c>
      <c r="E15" s="232"/>
      <c r="F15" s="232"/>
      <c r="G15" s="232"/>
      <c r="H15" s="232"/>
      <c r="I15" s="232"/>
      <c r="J15" s="232"/>
      <c r="K15" s="232"/>
      <c r="L15" s="232"/>
      <c r="M15" s="232"/>
      <c r="N15" s="232"/>
      <c r="O15" s="232" t="s">
        <v>55</v>
      </c>
      <c r="P15" s="316" t="e">
        <f>-INDEX('Summary month'!$BT$17:$BW$73,MATCH(O15,'Summary month'!$D$17:$D$73,0),MATCH($C$1,'Summary month'!$BT$6:$BW$6,0))</f>
        <v>#N/A</v>
      </c>
      <c r="Q15" s="232"/>
      <c r="R15" s="232" t="s">
        <v>60</v>
      </c>
      <c r="AA15" t="s">
        <v>52</v>
      </c>
      <c r="AB15" t="s">
        <v>59</v>
      </c>
      <c r="AH15" s="217" t="s">
        <v>138</v>
      </c>
    </row>
    <row r="16" spans="2:34" ht="21" thickBot="1">
      <c r="B16" s="233"/>
      <c r="C16" s="234" t="s">
        <v>159</v>
      </c>
      <c r="D16" s="234"/>
      <c r="E16" s="234"/>
      <c r="F16" s="234"/>
      <c r="G16" s="234"/>
      <c r="H16" s="234"/>
      <c r="I16" s="234"/>
      <c r="J16" s="234"/>
      <c r="K16" s="234"/>
      <c r="L16" s="234"/>
      <c r="M16" s="234"/>
      <c r="N16" s="234"/>
      <c r="O16" s="234"/>
      <c r="P16" s="234"/>
      <c r="Q16" s="234"/>
      <c r="R16" s="234"/>
      <c r="S16" s="235"/>
      <c r="T16" s="236"/>
      <c r="U16" s="237" t="s">
        <v>160</v>
      </c>
      <c r="V16" s="237"/>
      <c r="W16" s="237"/>
      <c r="X16" s="237"/>
      <c r="Y16" s="237"/>
      <c r="Z16" s="237"/>
      <c r="AA16" s="237"/>
      <c r="AB16" s="237"/>
      <c r="AC16" s="237"/>
      <c r="AD16" s="237"/>
      <c r="AE16" s="237"/>
      <c r="AF16" s="237"/>
      <c r="AG16" s="237"/>
      <c r="AH16" s="238"/>
    </row>
    <row r="17" spans="2:34" ht="20.100000000000001" customHeight="1">
      <c r="B17" s="1027" t="s">
        <v>274</v>
      </c>
      <c r="C17" s="239" t="s">
        <v>161</v>
      </c>
      <c r="D17" s="240"/>
      <c r="E17" s="240"/>
      <c r="F17" s="240"/>
      <c r="G17" s="241"/>
      <c r="H17" s="1017" t="s">
        <v>162</v>
      </c>
      <c r="I17" s="242" t="s">
        <v>163</v>
      </c>
      <c r="J17" s="243"/>
      <c r="K17" s="243"/>
      <c r="L17" s="243"/>
      <c r="M17" s="243"/>
      <c r="N17" s="244"/>
      <c r="O17" s="1019" t="s">
        <v>164</v>
      </c>
      <c r="P17" s="1019" t="s">
        <v>165</v>
      </c>
      <c r="Q17" s="1019" t="s">
        <v>166</v>
      </c>
      <c r="R17" s="1022" t="s">
        <v>167</v>
      </c>
      <c r="S17" s="1023" t="s">
        <v>168</v>
      </c>
      <c r="T17" s="1027" t="s">
        <v>274</v>
      </c>
      <c r="U17" s="245" t="s">
        <v>169</v>
      </c>
      <c r="V17" s="246"/>
      <c r="W17" s="246"/>
      <c r="X17" s="247"/>
      <c r="Y17" s="248" t="s">
        <v>163</v>
      </c>
      <c r="Z17" s="246"/>
      <c r="AA17" s="246"/>
      <c r="AB17" s="246"/>
      <c r="AC17" s="246"/>
      <c r="AD17" s="247"/>
      <c r="AE17" s="1022" t="s">
        <v>166</v>
      </c>
      <c r="AF17" s="1025" t="s">
        <v>167</v>
      </c>
      <c r="AG17" s="311"/>
      <c r="AH17" s="1012" t="s">
        <v>168</v>
      </c>
    </row>
    <row r="18" spans="2:34" ht="77.45" customHeight="1">
      <c r="B18" s="1028"/>
      <c r="C18" s="249" t="s">
        <v>170</v>
      </c>
      <c r="D18" s="250" t="s">
        <v>171</v>
      </c>
      <c r="E18" s="250" t="s">
        <v>172</v>
      </c>
      <c r="F18" s="250" t="s">
        <v>173</v>
      </c>
      <c r="G18" s="251" t="s">
        <v>174</v>
      </c>
      <c r="H18" s="1018"/>
      <c r="I18" s="250" t="s">
        <v>175</v>
      </c>
      <c r="J18" s="250" t="s">
        <v>176</v>
      </c>
      <c r="K18" s="250" t="s">
        <v>177</v>
      </c>
      <c r="L18" s="250" t="s">
        <v>178</v>
      </c>
      <c r="M18" s="250" t="s">
        <v>168</v>
      </c>
      <c r="N18" s="250" t="s">
        <v>179</v>
      </c>
      <c r="O18" s="1020"/>
      <c r="P18" s="1021"/>
      <c r="Q18" s="1021"/>
      <c r="R18" s="1021"/>
      <c r="S18" s="1024"/>
      <c r="T18" s="1028"/>
      <c r="U18" s="307" t="s">
        <v>203</v>
      </c>
      <c r="V18" s="308" t="s">
        <v>180</v>
      </c>
      <c r="W18" s="309" t="s">
        <v>181</v>
      </c>
      <c r="X18" s="310" t="s">
        <v>33</v>
      </c>
      <c r="Y18" s="305" t="s">
        <v>25</v>
      </c>
      <c r="Z18" s="306" t="s">
        <v>183</v>
      </c>
      <c r="AA18" s="306" t="s">
        <v>204</v>
      </c>
      <c r="AB18" s="306" t="s">
        <v>205</v>
      </c>
      <c r="AC18" s="306" t="s">
        <v>184</v>
      </c>
      <c r="AD18" s="306" t="s">
        <v>30</v>
      </c>
      <c r="AE18" s="1021"/>
      <c r="AF18" s="1026"/>
      <c r="AG18" s="312" t="s">
        <v>37</v>
      </c>
      <c r="AH18" s="1013"/>
    </row>
    <row r="19" spans="2:34" ht="21" thickBot="1">
      <c r="B19" s="252" t="e">
        <f>E13</f>
        <v>#N/A</v>
      </c>
      <c r="C19" s="253" t="e">
        <f>C61-INDEX('Summary month'!$BW$17:$BW$74,MATCH(C14,'Summary month'!$D$17:$D$74,0),MATCH($C$1,'Summary month'!$BW$6:$BW$6,0))-INDEX('Summary month'!$BW$17:$BW$74,MATCH(C15,'Summary month'!$D$17:$D$74,0),MATCH($C$1,'Summary month'!$BW$6:$BW$6,0))+M52-N9</f>
        <v>#N/A</v>
      </c>
      <c r="D19" s="547" t="e">
        <f>S67-INDEX('Summary month'!$BT$17:$BW$74,MATCH(D14,'Summary month'!$D$17:$D$74,0),MATCH($C$1,'Summary month'!$BT$6:$BW$6,0))-INDEX('Summary month'!$BT$17:$BW$74,MATCH(D15,'Summary month'!$D$17:$D$74,0),MATCH($C$1,'Summary month'!$BT$6:$BW$6,0))-O9</f>
        <v>#N/A</v>
      </c>
      <c r="E19" s="254">
        <f>E61</f>
        <v>7.1</v>
      </c>
      <c r="F19" s="254">
        <f>F61</f>
        <v>0</v>
      </c>
      <c r="G19" s="254"/>
      <c r="H19" s="254"/>
      <c r="I19" s="254">
        <f>I61</f>
        <v>0.25</v>
      </c>
      <c r="J19" s="255">
        <f>J61</f>
        <v>3.0313958781832042E-3</v>
      </c>
      <c r="K19" s="255">
        <f>K61</f>
        <v>0.19199993408742611</v>
      </c>
      <c r="L19" s="255">
        <f>L61</f>
        <v>-1.4057770815754402</v>
      </c>
      <c r="M19" s="255">
        <f>M61</f>
        <v>17.379418633256499</v>
      </c>
      <c r="N19" s="255"/>
      <c r="O19" s="254" t="e">
        <f>-INDEX('Summary month'!$BT$17:$BW$74,MATCH(O13,'Summary month'!$D$17:$D$74,0),MATCH($C$1,'Summary month'!$BT$6:$BW$6,0))-INDEX('Summary month'!$BT$17:$BW$74,MATCH(O14,'Summary month'!$D$17:$D$74,0),MATCH($C$1,'Summary month'!$BT$6:$BW$6,0))-INDEX('Summary month'!$BT$17:$BW$74,MATCH(O15,'Summary month'!$D$17:$D$74,0),MATCH($C$1,'Summary month'!$BT$6:$BW$6,0))</f>
        <v>#N/A</v>
      </c>
      <c r="P19" s="254"/>
      <c r="Q19" s="256"/>
      <c r="R19" s="254" t="e">
        <f>R61-INDEX('Summary month'!$BT$17:$BW$74,MATCH(R15,'Summary month'!$D$17:$D$74,0),MATCH($C$1,'Summary month'!$BT$6:$BW$6,0))</f>
        <v>#N/A</v>
      </c>
      <c r="S19" s="257" t="e">
        <f>F12-SUM(C19:R19)</f>
        <v>#N/A</v>
      </c>
      <c r="T19" s="253" t="e">
        <f>E14</f>
        <v>#N/A</v>
      </c>
      <c r="U19" s="253" t="e">
        <f>U61</f>
        <v>#N/A</v>
      </c>
      <c r="V19" s="258" t="e">
        <f>V61</f>
        <v>#N/A</v>
      </c>
      <c r="W19" s="258"/>
      <c r="X19" s="258" t="e">
        <f>X61</f>
        <v>#N/A</v>
      </c>
      <c r="Y19" s="258" t="e">
        <f>Y61-5.3</f>
        <v>#N/A</v>
      </c>
      <c r="Z19" s="258" t="e">
        <f>Z61-9.1</f>
        <v>#N/A</v>
      </c>
      <c r="AA19" s="258" t="e">
        <f>AA61-INDEX('Summary month'!$BT$17:$BW$74,MATCH(AA15,'Summary month'!$D$17:$D$74,0),MATCH($C$1,'Summary month'!$BT$6:$BW$6,0))</f>
        <v>#N/A</v>
      </c>
      <c r="AB19" s="258" t="e">
        <f>-INDEX('Summary month'!$BT$17:$BW$74,MATCH(AB15,'Summary month'!$D$17:$D$74,0),MATCH($C$1,'Summary month'!$BT$6:$BW$6,0))</f>
        <v>#N/A</v>
      </c>
      <c r="AC19" s="258" t="e">
        <f>AC61</f>
        <v>#N/A</v>
      </c>
      <c r="AD19" s="258" t="e">
        <f>AD61+14.4</f>
        <v>#N/A</v>
      </c>
      <c r="AE19" s="256"/>
      <c r="AF19" s="259"/>
      <c r="AG19" s="254" t="e">
        <f>AG61</f>
        <v>#N/A</v>
      </c>
      <c r="AH19" s="260" t="e">
        <f>G12-SUM(U19:AG19)</f>
        <v>#N/A</v>
      </c>
    </row>
    <row r="20" spans="2:34">
      <c r="B20" s="286" t="e">
        <f>B19-B61</f>
        <v>#N/A</v>
      </c>
      <c r="C20" s="286" t="e">
        <f>C19-C61</f>
        <v>#N/A</v>
      </c>
      <c r="D20" s="286" t="e">
        <f t="shared" ref="D20:S20" si="0">D19-D61</f>
        <v>#N/A</v>
      </c>
      <c r="E20" s="286">
        <f t="shared" si="0"/>
        <v>0</v>
      </c>
      <c r="F20" s="286">
        <f t="shared" si="0"/>
        <v>0</v>
      </c>
      <c r="G20" s="286">
        <f t="shared" si="0"/>
        <v>0</v>
      </c>
      <c r="H20" s="286">
        <f t="shared" si="0"/>
        <v>0</v>
      </c>
      <c r="I20" s="286">
        <f t="shared" si="0"/>
        <v>0</v>
      </c>
      <c r="J20" s="286">
        <f t="shared" si="0"/>
        <v>0</v>
      </c>
      <c r="K20" s="286">
        <f t="shared" si="0"/>
        <v>0</v>
      </c>
      <c r="L20" s="286">
        <f t="shared" si="0"/>
        <v>0</v>
      </c>
      <c r="M20" s="286">
        <f t="shared" si="0"/>
        <v>0</v>
      </c>
      <c r="N20" s="286">
        <f t="shared" si="0"/>
        <v>0</v>
      </c>
      <c r="O20" s="286" t="e">
        <f t="shared" si="0"/>
        <v>#N/A</v>
      </c>
      <c r="P20" s="286">
        <f t="shared" si="0"/>
        <v>0</v>
      </c>
      <c r="Q20" s="286">
        <f t="shared" si="0"/>
        <v>0</v>
      </c>
      <c r="R20" s="286" t="e">
        <f t="shared" si="0"/>
        <v>#N/A</v>
      </c>
      <c r="S20" s="286" t="e">
        <f t="shared" si="0"/>
        <v>#N/A</v>
      </c>
      <c r="T20" s="286"/>
      <c r="U20" s="216"/>
      <c r="V20" s="216"/>
      <c r="W20" s="216"/>
      <c r="X20" s="216"/>
      <c r="Y20" s="216"/>
      <c r="Z20" s="216"/>
      <c r="AA20" s="216"/>
      <c r="AB20" s="216"/>
      <c r="AC20" s="216"/>
      <c r="AD20" s="216"/>
      <c r="AE20" t="s">
        <v>262</v>
      </c>
      <c r="AF20" s="216"/>
      <c r="AG20" s="216"/>
      <c r="AH20" s="216"/>
    </row>
    <row r="21" spans="2:34" ht="20.25">
      <c r="B21" s="221"/>
      <c r="C21" s="261"/>
      <c r="D21" s="262"/>
      <c r="E21" s="262"/>
      <c r="F21" s="262"/>
      <c r="G21" s="262"/>
      <c r="H21" s="262"/>
      <c r="I21" s="262"/>
      <c r="J21" s="262"/>
      <c r="K21" s="262"/>
      <c r="L21" s="262"/>
      <c r="M21" s="262"/>
      <c r="N21" s="262"/>
      <c r="O21" s="262"/>
      <c r="P21" s="262"/>
      <c r="Q21" s="262"/>
      <c r="R21" s="262"/>
      <c r="S21" s="221"/>
      <c r="T21" s="221"/>
      <c r="U21" s="221"/>
      <c r="V21" s="221"/>
      <c r="W21" s="221"/>
      <c r="X21" s="263" t="s">
        <v>185</v>
      </c>
      <c r="Y21" s="264"/>
      <c r="Z21" s="264"/>
      <c r="AA21" s="264"/>
      <c r="AB21" s="265" t="e">
        <f>AD19</f>
        <v>#N/A</v>
      </c>
      <c r="AC21" s="221"/>
      <c r="AD21" s="263" t="s">
        <v>186</v>
      </c>
      <c r="AE21" s="264"/>
      <c r="AF21" s="264"/>
      <c r="AG21" s="264"/>
      <c r="AH21" s="265" t="e">
        <f>AH19</f>
        <v>#N/A</v>
      </c>
    </row>
    <row r="22" spans="2:34" ht="18">
      <c r="B22" s="216"/>
      <c r="C22" s="266"/>
      <c r="D22" s="267"/>
      <c r="E22" s="267"/>
      <c r="F22" s="267"/>
      <c r="G22" s="267"/>
      <c r="H22" s="267"/>
      <c r="I22" s="267"/>
      <c r="J22" s="267"/>
      <c r="K22" s="267"/>
      <c r="L22" s="267"/>
      <c r="M22" s="267"/>
      <c r="N22" s="267"/>
      <c r="O22" s="267"/>
      <c r="P22" s="267"/>
      <c r="Q22" s="267"/>
      <c r="R22" s="267"/>
      <c r="S22" s="216"/>
      <c r="T22" s="216"/>
      <c r="U22" s="431"/>
      <c r="V22" s="216"/>
      <c r="W22" s="216"/>
      <c r="X22" s="268">
        <v>1</v>
      </c>
      <c r="Y22" s="269" t="s">
        <v>417</v>
      </c>
      <c r="Z22" s="270"/>
      <c r="AA22" s="270"/>
      <c r="AB22" s="271">
        <v>5.3</v>
      </c>
      <c r="AC22" s="216"/>
      <c r="AD22" s="268">
        <v>1</v>
      </c>
      <c r="AE22" s="269" t="s">
        <v>187</v>
      </c>
      <c r="AF22" s="270"/>
      <c r="AG22" s="270"/>
      <c r="AH22" s="271" t="e">
        <f>AH66</f>
        <v>#N/A</v>
      </c>
    </row>
    <row r="23" spans="2:34" ht="20.25">
      <c r="B23" s="221" t="s">
        <v>277</v>
      </c>
      <c r="C23" s="426" t="e">
        <f>C61</f>
        <v>#N/A</v>
      </c>
      <c r="D23" s="216"/>
      <c r="E23" s="216" t="s">
        <v>281</v>
      </c>
      <c r="F23" s="216" t="s">
        <v>274</v>
      </c>
      <c r="G23" s="216"/>
      <c r="H23" s="216"/>
      <c r="I23" s="273" t="s">
        <v>188</v>
      </c>
      <c r="J23" s="274"/>
      <c r="K23" s="274"/>
      <c r="L23" s="274"/>
      <c r="M23" s="275">
        <f>M19</f>
        <v>17.379418633256499</v>
      </c>
      <c r="N23" s="216"/>
      <c r="O23" s="216"/>
      <c r="P23" s="216"/>
      <c r="Q23" s="216"/>
      <c r="R23" s="216"/>
      <c r="S23" s="216"/>
      <c r="T23" s="216"/>
      <c r="U23" s="216"/>
      <c r="V23" s="216"/>
      <c r="W23" s="216"/>
      <c r="X23" s="268">
        <v>2</v>
      </c>
      <c r="Y23" s="276" t="s">
        <v>416</v>
      </c>
      <c r="Z23" s="277"/>
      <c r="AA23" s="277"/>
      <c r="AB23" s="278">
        <v>9.1</v>
      </c>
      <c r="AC23" s="216"/>
      <c r="AD23" s="268">
        <v>2</v>
      </c>
      <c r="AE23" s="276"/>
      <c r="AF23" s="277"/>
      <c r="AG23" s="277"/>
      <c r="AH23" s="278"/>
    </row>
    <row r="24" spans="2:34" ht="18">
      <c r="B24" s="216" t="s">
        <v>278</v>
      </c>
      <c r="C24" s="579" t="e">
        <f>-INDEX('Summary month'!$BT$17:$BW$74,MATCH(C14,'Summary month'!$D$17:$D$74,0),MATCH($C$1,'Summary month'!$BT$6:$BW$6,0))</f>
        <v>#N/A</v>
      </c>
      <c r="D24" s="216"/>
      <c r="E24" s="435" t="e">
        <f>C24-F24</f>
        <v>#N/A</v>
      </c>
      <c r="F24" s="436">
        <v>-5.36302873092722</v>
      </c>
      <c r="G24" s="216"/>
      <c r="H24" s="216"/>
      <c r="I24" s="279">
        <v>1</v>
      </c>
      <c r="J24" s="269" t="s">
        <v>361</v>
      </c>
      <c r="K24" s="270"/>
      <c r="L24" s="270"/>
      <c r="M24" s="280">
        <v>5.48</v>
      </c>
      <c r="N24" s="216"/>
      <c r="O24" s="216"/>
      <c r="P24" s="216"/>
      <c r="Q24" s="216"/>
      <c r="R24" s="216"/>
      <c r="S24" s="216"/>
      <c r="T24" s="216"/>
      <c r="U24" s="216"/>
      <c r="V24" s="216"/>
      <c r="W24" s="216"/>
      <c r="X24" s="268">
        <v>3</v>
      </c>
      <c r="Y24" s="276" t="s">
        <v>418</v>
      </c>
      <c r="Z24" s="277"/>
      <c r="AA24" s="277"/>
      <c r="AB24" s="278">
        <v>2.8</v>
      </c>
      <c r="AC24" s="216"/>
      <c r="AD24" s="268">
        <v>3</v>
      </c>
      <c r="AE24" s="276"/>
      <c r="AF24" s="277"/>
      <c r="AG24" s="277"/>
      <c r="AH24" s="278"/>
    </row>
    <row r="25" spans="2:34" ht="18">
      <c r="B25" s="216" t="s">
        <v>279</v>
      </c>
      <c r="C25" s="427" t="e">
        <f>-INDEX('Summary month'!$BT$17:$BW$74,MATCH(C15,'Summary month'!$D$17:$D$74,0),MATCH($C$1,'Summary month'!$BT$6:$BW$6,0))</f>
        <v>#N/A</v>
      </c>
      <c r="D25" s="216"/>
      <c r="E25" s="216"/>
      <c r="F25" s="216"/>
      <c r="G25" s="216"/>
      <c r="H25" s="216"/>
      <c r="I25" s="279">
        <v>2</v>
      </c>
      <c r="J25" s="276" t="s">
        <v>409</v>
      </c>
      <c r="K25" s="277"/>
      <c r="L25" s="277"/>
      <c r="M25" s="281">
        <v>3</v>
      </c>
      <c r="N25" s="216"/>
      <c r="O25" s="216"/>
      <c r="P25" s="216"/>
      <c r="Q25" s="216"/>
      <c r="R25" s="216"/>
      <c r="S25" s="216"/>
      <c r="T25" s="216"/>
      <c r="U25" s="216"/>
      <c r="V25" s="216"/>
      <c r="W25" s="216"/>
      <c r="X25" s="268">
        <v>4</v>
      </c>
      <c r="Y25" s="276"/>
      <c r="Z25" s="277"/>
      <c r="AA25" s="277"/>
      <c r="AB25" s="278"/>
      <c r="AC25" s="216"/>
      <c r="AD25" s="268">
        <v>4</v>
      </c>
      <c r="AE25" s="276"/>
      <c r="AF25" s="277"/>
      <c r="AG25" s="277"/>
      <c r="AH25" s="278"/>
    </row>
    <row r="26" spans="2:34" ht="18">
      <c r="B26" s="216" t="s">
        <v>280</v>
      </c>
      <c r="C26" s="438" t="e">
        <f>(M52-N9)</f>
        <v>#N/A</v>
      </c>
      <c r="D26" s="216"/>
      <c r="E26" s="216"/>
      <c r="F26" s="216"/>
      <c r="G26" s="216"/>
      <c r="H26" s="216"/>
      <c r="I26" s="279">
        <v>3</v>
      </c>
      <c r="J26" s="276" t="s">
        <v>362</v>
      </c>
      <c r="K26" s="277"/>
      <c r="L26" s="277"/>
      <c r="M26" s="281">
        <v>1</v>
      </c>
      <c r="N26" s="216"/>
      <c r="O26" s="216"/>
      <c r="P26" s="216"/>
      <c r="Q26" s="216"/>
      <c r="R26" s="216"/>
      <c r="S26" s="216"/>
      <c r="T26" s="216"/>
      <c r="U26" s="216"/>
      <c r="V26" s="216"/>
      <c r="W26" s="216"/>
      <c r="X26" s="282">
        <v>5</v>
      </c>
      <c r="Y26" s="283" t="s">
        <v>182</v>
      </c>
      <c r="Z26" s="284"/>
      <c r="AA26" s="284"/>
      <c r="AB26" s="285" t="e">
        <f>AB21-SUM(AB22:AB25)</f>
        <v>#N/A</v>
      </c>
      <c r="AC26" s="216"/>
      <c r="AD26" s="282">
        <v>5</v>
      </c>
      <c r="AE26" s="283" t="s">
        <v>182</v>
      </c>
      <c r="AF26" s="284"/>
      <c r="AG26" s="284"/>
      <c r="AH26" s="285" t="e">
        <f>AH21-SUM(AH22:AH25)</f>
        <v>#N/A</v>
      </c>
    </row>
    <row r="27" spans="2:34" ht="18">
      <c r="B27" s="216"/>
      <c r="C27" s="216"/>
      <c r="D27" s="272"/>
      <c r="E27" s="272"/>
      <c r="F27" s="272"/>
      <c r="G27" s="272"/>
      <c r="H27" s="272"/>
      <c r="I27" s="279">
        <v>4</v>
      </c>
      <c r="J27" s="276" t="s">
        <v>410</v>
      </c>
      <c r="K27" s="277"/>
      <c r="L27" s="277"/>
      <c r="M27" s="281">
        <v>1</v>
      </c>
      <c r="N27" s="216"/>
      <c r="O27" s="216"/>
      <c r="P27" s="272"/>
      <c r="Q27" s="272"/>
      <c r="R27" s="216"/>
      <c r="S27" s="216"/>
      <c r="T27" s="216"/>
      <c r="U27" s="216"/>
      <c r="V27" s="216"/>
      <c r="W27" s="216"/>
      <c r="X27" s="216"/>
      <c r="Y27" s="216"/>
      <c r="Z27" s="216"/>
      <c r="AA27" s="216"/>
      <c r="AB27" s="286" t="e">
        <f>AB26-AA70</f>
        <v>#N/A</v>
      </c>
      <c r="AC27" s="216"/>
      <c r="AD27" s="216"/>
      <c r="AE27" s="216"/>
      <c r="AF27" s="216"/>
      <c r="AG27" s="287"/>
      <c r="AH27" s="286" t="e">
        <f>AH26-AH70</f>
        <v>#N/A</v>
      </c>
    </row>
    <row r="28" spans="2:34" ht="18">
      <c r="B28" s="216"/>
      <c r="C28" s="272"/>
      <c r="D28" s="216"/>
      <c r="E28" s="216"/>
      <c r="F28" s="529"/>
      <c r="G28" s="216"/>
      <c r="H28" s="216"/>
      <c r="I28" s="279">
        <v>5</v>
      </c>
      <c r="J28" s="276" t="s">
        <v>406</v>
      </c>
      <c r="K28" s="277"/>
      <c r="L28" s="277"/>
      <c r="M28" s="281">
        <v>1.5</v>
      </c>
      <c r="N28" s="216"/>
      <c r="O28" s="216"/>
      <c r="P28" s="216"/>
      <c r="Q28" s="216"/>
      <c r="R28" s="216"/>
      <c r="S28" s="216"/>
      <c r="T28" s="216"/>
      <c r="U28" s="216"/>
      <c r="V28" s="216"/>
      <c r="W28" s="216"/>
      <c r="X28" s="216"/>
      <c r="Y28" s="216"/>
      <c r="Z28" s="216"/>
      <c r="AA28" s="216"/>
      <c r="AB28" s="216"/>
      <c r="AC28" s="216"/>
      <c r="AD28" s="216"/>
      <c r="AE28" s="216"/>
      <c r="AF28" s="216"/>
      <c r="AG28" s="216"/>
      <c r="AH28" s="216"/>
    </row>
    <row r="29" spans="2:34" ht="18">
      <c r="B29" s="216"/>
      <c r="C29" s="272"/>
      <c r="D29" s="216"/>
      <c r="E29" s="216"/>
      <c r="F29" s="216"/>
      <c r="G29" s="216"/>
      <c r="H29" s="216"/>
      <c r="I29" s="279">
        <v>6</v>
      </c>
      <c r="J29" s="276" t="s">
        <v>401</v>
      </c>
      <c r="K29" s="277"/>
      <c r="L29" s="277"/>
      <c r="M29" s="281">
        <v>0.5</v>
      </c>
      <c r="N29" s="216"/>
      <c r="O29" s="216"/>
      <c r="P29" s="216"/>
      <c r="Q29" s="216"/>
      <c r="R29" s="216"/>
      <c r="S29" s="216"/>
      <c r="T29" s="216"/>
      <c r="U29" s="216"/>
      <c r="V29" s="216"/>
      <c r="W29" s="216"/>
      <c r="X29" s="216"/>
      <c r="Y29" s="216"/>
      <c r="Z29" s="216"/>
      <c r="AA29" s="216"/>
      <c r="AB29" s="216"/>
      <c r="AC29" s="216"/>
      <c r="AD29" s="216"/>
      <c r="AE29" s="216"/>
      <c r="AF29" s="216"/>
      <c r="AG29" s="216"/>
      <c r="AH29" s="216"/>
    </row>
    <row r="30" spans="2:34" ht="18">
      <c r="B30" s="216"/>
      <c r="C30" s="272"/>
      <c r="D30" s="272"/>
      <c r="E30" s="216"/>
      <c r="F30" s="216"/>
      <c r="G30" s="216"/>
      <c r="H30" s="216"/>
      <c r="I30" s="279">
        <v>7</v>
      </c>
      <c r="J30" s="276" t="s">
        <v>373</v>
      </c>
      <c r="K30" s="277"/>
      <c r="L30" s="277"/>
      <c r="M30" s="281">
        <v>4.6440000000000001</v>
      </c>
      <c r="N30" s="216"/>
      <c r="O30" s="216"/>
      <c r="P30" s="216"/>
      <c r="Q30" s="216"/>
      <c r="R30" s="216"/>
      <c r="S30" s="216"/>
      <c r="T30" s="216"/>
      <c r="U30" s="216"/>
      <c r="V30" s="216"/>
      <c r="W30" s="216"/>
      <c r="X30" s="216"/>
      <c r="Y30" s="216"/>
      <c r="Z30" s="216"/>
      <c r="AA30" s="216"/>
      <c r="AB30" s="216"/>
      <c r="AC30" s="216"/>
      <c r="AD30" s="216"/>
      <c r="AE30" s="216"/>
      <c r="AF30" s="216"/>
      <c r="AG30" s="216"/>
      <c r="AH30" s="216"/>
    </row>
    <row r="31" spans="2:34" ht="18">
      <c r="B31" s="216"/>
      <c r="C31" s="291"/>
      <c r="D31" s="216"/>
      <c r="E31" s="216"/>
      <c r="F31" s="292" t="s">
        <v>189</v>
      </c>
      <c r="G31" s="216"/>
      <c r="H31" s="216"/>
      <c r="I31" s="279">
        <v>9</v>
      </c>
      <c r="J31" s="276" t="s">
        <v>275</v>
      </c>
      <c r="K31" s="277"/>
      <c r="L31" s="277"/>
      <c r="M31" s="281">
        <v>0.26200000000000001</v>
      </c>
      <c r="N31" s="216"/>
      <c r="O31" s="216"/>
      <c r="P31" s="216"/>
      <c r="Q31" s="216"/>
      <c r="R31" s="216"/>
      <c r="S31" s="216"/>
      <c r="T31" s="216"/>
      <c r="U31" s="216"/>
      <c r="V31" s="216"/>
      <c r="W31" s="216"/>
      <c r="X31" s="216"/>
      <c r="Y31" s="216"/>
      <c r="Z31" s="216"/>
      <c r="AA31" s="216"/>
      <c r="AB31" s="216"/>
      <c r="AC31" s="216"/>
      <c r="AD31" s="216"/>
      <c r="AE31" s="216"/>
      <c r="AF31" s="216"/>
      <c r="AG31" s="216"/>
      <c r="AH31" s="216"/>
    </row>
    <row r="32" spans="2:34" ht="20.25">
      <c r="B32" s="216"/>
      <c r="C32" s="216"/>
      <c r="D32" s="293" t="s">
        <v>402</v>
      </c>
      <c r="E32" s="293" t="s">
        <v>291</v>
      </c>
      <c r="F32" s="293" t="s">
        <v>190</v>
      </c>
      <c r="G32" s="216"/>
      <c r="H32" s="216"/>
      <c r="I32" s="279">
        <v>9</v>
      </c>
      <c r="J32" s="276"/>
      <c r="K32" s="277"/>
      <c r="L32" s="277"/>
      <c r="M32" s="281"/>
      <c r="N32" s="216"/>
      <c r="O32" s="273" t="s">
        <v>191</v>
      </c>
      <c r="P32" s="274"/>
      <c r="Q32" s="274"/>
      <c r="R32" s="274"/>
      <c r="S32" s="294" t="e">
        <f>S19</f>
        <v>#N/A</v>
      </c>
      <c r="T32" s="216"/>
      <c r="U32" s="272"/>
      <c r="V32" s="272"/>
      <c r="W32" s="272"/>
      <c r="X32" s="216"/>
      <c r="Y32" s="216"/>
      <c r="Z32" s="216"/>
      <c r="AA32" s="216"/>
      <c r="AB32" s="216"/>
      <c r="AC32" s="216"/>
      <c r="AD32" s="216"/>
      <c r="AE32" s="216"/>
      <c r="AF32" s="216"/>
      <c r="AG32" s="216"/>
      <c r="AH32" s="216"/>
    </row>
    <row r="33" spans="2:34" ht="20.25">
      <c r="B33" s="216"/>
      <c r="C33" s="295" t="s">
        <v>192</v>
      </c>
      <c r="D33" s="368">
        <f>SUM('Summary month'!AF11:AF13)*1000</f>
        <v>61610</v>
      </c>
      <c r="E33" s="368" t="e">
        <f>SUM('Summary month'!BS11:BS13)*1000</f>
        <v>#REF!</v>
      </c>
      <c r="F33" s="296" t="e">
        <f>E33-D33</f>
        <v>#REF!</v>
      </c>
      <c r="G33" s="216"/>
      <c r="H33" s="216"/>
      <c r="I33" s="279">
        <v>10</v>
      </c>
      <c r="J33" s="276" t="str">
        <f>J76</f>
        <v>Others</v>
      </c>
      <c r="K33" s="277"/>
      <c r="L33" s="277"/>
      <c r="M33" s="550">
        <f>M23-SUM(M24:M31)</f>
        <v>-6.581366743503736E-3</v>
      </c>
      <c r="N33" s="216"/>
      <c r="O33" s="279">
        <v>1</v>
      </c>
      <c r="P33" s="269" t="str">
        <f>Q66</f>
        <v>UC</v>
      </c>
      <c r="Q33" s="270"/>
      <c r="R33" s="270"/>
      <c r="S33" s="280">
        <f>S66</f>
        <v>-1.09467300291335</v>
      </c>
      <c r="T33" s="216"/>
      <c r="U33" s="216"/>
      <c r="V33" s="216"/>
      <c r="W33" s="216"/>
      <c r="X33" s="297"/>
      <c r="Y33" s="216"/>
      <c r="Z33" s="216"/>
      <c r="AA33" s="216"/>
      <c r="AB33" s="216"/>
      <c r="AC33" s="216"/>
      <c r="AD33" s="216"/>
      <c r="AE33" s="216"/>
      <c r="AF33" s="216"/>
      <c r="AG33" s="216"/>
      <c r="AH33" s="216"/>
    </row>
    <row r="34" spans="2:34" ht="20.25">
      <c r="B34" s="216"/>
      <c r="C34" s="295" t="s">
        <v>194</v>
      </c>
      <c r="D34" s="368">
        <f>'Summary month'!AF14*1000</f>
        <v>1216</v>
      </c>
      <c r="E34" s="368" t="e">
        <f>'Summary month'!BS14*1000</f>
        <v>#REF!</v>
      </c>
      <c r="F34" s="296" t="e">
        <f>E34-D34</f>
        <v>#REF!</v>
      </c>
      <c r="G34" s="216"/>
      <c r="H34" s="216"/>
      <c r="I34" s="216"/>
      <c r="J34" s="216"/>
      <c r="K34" s="216"/>
      <c r="L34" s="216"/>
      <c r="M34" s="216"/>
      <c r="N34" s="216"/>
      <c r="O34" s="279">
        <v>2</v>
      </c>
      <c r="P34" s="276" t="str">
        <f>Q68</f>
        <v>NRV</v>
      </c>
      <c r="Q34" s="277"/>
      <c r="R34" s="277"/>
      <c r="S34" s="281">
        <f>S68</f>
        <v>10.657344947641276</v>
      </c>
      <c r="T34" s="216"/>
      <c r="U34" s="552" t="e">
        <f>-S67+S35</f>
        <v>#N/A</v>
      </c>
      <c r="V34" s="216"/>
      <c r="W34" s="216"/>
      <c r="X34" s="216"/>
      <c r="Y34" s="216"/>
      <c r="Z34" s="216"/>
      <c r="AA34" s="216"/>
      <c r="AB34" s="216"/>
      <c r="AC34" s="216"/>
      <c r="AD34" s="216"/>
      <c r="AE34" s="216"/>
      <c r="AF34" s="216"/>
      <c r="AG34" s="216"/>
      <c r="AH34" s="216"/>
    </row>
    <row r="35" spans="2:34" ht="18">
      <c r="B35" s="216"/>
      <c r="C35" s="216"/>
      <c r="D35" s="298"/>
      <c r="E35" s="298"/>
      <c r="F35" s="298"/>
      <c r="G35" s="216"/>
      <c r="H35" s="216"/>
      <c r="I35" s="216"/>
      <c r="J35" s="216"/>
      <c r="K35" s="216"/>
      <c r="L35" s="216"/>
      <c r="M35" s="216"/>
      <c r="N35" s="216"/>
      <c r="O35" s="279">
        <v>3</v>
      </c>
      <c r="P35" s="276" t="s">
        <v>58</v>
      </c>
      <c r="Q35" s="277"/>
      <c r="R35" s="277"/>
      <c r="S35" s="281" t="e">
        <f>-INDEX('Summary month'!$BT$17:$BW$74,MATCH(P35,'Summary month'!$D$17:$D$74,0),MATCH($C$1,'Summary month'!$BT$6:$BW$6,0))</f>
        <v>#N/A</v>
      </c>
      <c r="T35" s="216"/>
      <c r="U35" s="216"/>
      <c r="V35" s="216"/>
      <c r="W35" s="216"/>
      <c r="X35" s="216"/>
      <c r="Y35" s="216"/>
      <c r="Z35" s="216"/>
      <c r="AA35" s="216"/>
      <c r="AB35" s="216"/>
      <c r="AC35" s="216"/>
      <c r="AD35" s="216"/>
      <c r="AE35" s="216"/>
      <c r="AF35" s="216"/>
      <c r="AG35" s="216"/>
      <c r="AH35" s="216"/>
    </row>
    <row r="36" spans="2:34" ht="20.25">
      <c r="B36" s="216"/>
      <c r="C36" s="295" t="s">
        <v>196</v>
      </c>
      <c r="D36" s="368">
        <v>62924</v>
      </c>
      <c r="E36" s="296">
        <v>60737</v>
      </c>
      <c r="F36" s="296">
        <f>E36-D36</f>
        <v>-2187</v>
      </c>
      <c r="G36" s="216"/>
      <c r="H36" s="216"/>
      <c r="I36" s="216"/>
      <c r="J36" s="216"/>
      <c r="K36" s="216"/>
      <c r="L36" s="216"/>
      <c r="M36" s="216"/>
      <c r="N36" s="216"/>
      <c r="O36" s="279">
        <v>4</v>
      </c>
      <c r="P36" s="276" t="str">
        <f>Q69</f>
        <v>UP/Accouting timing</v>
      </c>
      <c r="Q36" s="277"/>
      <c r="R36" s="277"/>
      <c r="S36" s="281">
        <f>S69</f>
        <v>-4.6757525664136903</v>
      </c>
      <c r="T36" s="216"/>
      <c r="U36" s="216"/>
      <c r="V36" s="216"/>
      <c r="W36" s="216"/>
      <c r="X36" s="216"/>
      <c r="Y36" s="216"/>
      <c r="Z36" s="216"/>
      <c r="AA36" s="216"/>
      <c r="AB36" s="216"/>
      <c r="AC36" s="216"/>
      <c r="AD36" s="216"/>
      <c r="AE36" s="216"/>
      <c r="AF36" s="216"/>
      <c r="AG36" s="216"/>
      <c r="AH36" s="216"/>
    </row>
    <row r="37" spans="2:34" ht="18">
      <c r="B37" s="216"/>
      <c r="C37" s="216"/>
      <c r="D37" s="216"/>
      <c r="E37" s="216"/>
      <c r="F37" s="216"/>
      <c r="G37" s="216"/>
      <c r="H37" s="216"/>
      <c r="I37" s="216"/>
      <c r="J37" s="216"/>
      <c r="K37" s="216"/>
      <c r="L37" s="216"/>
      <c r="M37" s="216"/>
      <c r="N37" s="216"/>
      <c r="O37" s="279">
        <v>5</v>
      </c>
      <c r="P37" s="276" t="s">
        <v>247</v>
      </c>
      <c r="Q37" s="277"/>
      <c r="R37" s="550"/>
      <c r="S37" s="281">
        <v>81.13060328535002</v>
      </c>
      <c r="T37" s="216"/>
      <c r="U37" s="216"/>
      <c r="V37" s="216"/>
      <c r="W37" s="216"/>
      <c r="X37" s="216"/>
      <c r="Y37" s="216"/>
      <c r="Z37" s="216"/>
      <c r="AA37" s="216"/>
      <c r="AB37" s="216"/>
      <c r="AC37" s="216"/>
      <c r="AD37" s="216"/>
      <c r="AE37" s="216"/>
      <c r="AF37" s="216"/>
      <c r="AG37" s="216"/>
      <c r="AH37" s="216"/>
    </row>
    <row r="38" spans="2:34" ht="18">
      <c r="B38" s="216"/>
      <c r="C38" s="216"/>
      <c r="D38" s="216"/>
      <c r="E38" s="216"/>
      <c r="F38" s="216"/>
      <c r="G38" s="216"/>
      <c r="H38" s="216"/>
      <c r="I38" s="216"/>
      <c r="J38" s="216"/>
      <c r="K38" s="216"/>
      <c r="L38" s="216"/>
      <c r="M38" s="216"/>
      <c r="N38" s="216"/>
      <c r="O38" s="279">
        <v>6</v>
      </c>
      <c r="P38" s="276"/>
      <c r="Q38" s="277"/>
      <c r="R38" s="277"/>
      <c r="S38" s="281"/>
      <c r="T38" s="216"/>
      <c r="U38" s="216"/>
      <c r="V38" s="216"/>
      <c r="W38" s="216"/>
      <c r="X38" s="216"/>
      <c r="Y38" s="216"/>
      <c r="Z38" s="216"/>
      <c r="AA38" s="216"/>
      <c r="AB38" s="216"/>
      <c r="AC38" s="216"/>
      <c r="AD38" s="216"/>
      <c r="AE38" s="216"/>
      <c r="AF38" s="216"/>
      <c r="AG38" s="216"/>
      <c r="AH38" s="216"/>
    </row>
    <row r="39" spans="2:34" ht="18">
      <c r="B39" s="216"/>
      <c r="C39" s="216"/>
      <c r="D39" s="216"/>
      <c r="E39" s="216"/>
      <c r="F39" s="216"/>
      <c r="G39" s="216"/>
      <c r="H39" s="216"/>
      <c r="I39" s="216"/>
      <c r="J39" s="216"/>
      <c r="K39" s="216"/>
      <c r="L39" s="216"/>
      <c r="M39" s="216"/>
      <c r="N39" s="216"/>
      <c r="O39" s="279">
        <v>7</v>
      </c>
      <c r="P39" s="276"/>
      <c r="Q39" s="277"/>
      <c r="R39" s="277"/>
      <c r="S39" s="281"/>
      <c r="T39" s="216"/>
      <c r="U39" s="216"/>
      <c r="V39" s="216"/>
      <c r="W39" s="216"/>
      <c r="X39" s="216"/>
      <c r="Y39" s="216"/>
      <c r="Z39" s="216"/>
      <c r="AA39" s="216"/>
      <c r="AB39" s="216"/>
      <c r="AC39" s="216"/>
      <c r="AD39" s="216"/>
      <c r="AE39" s="216"/>
      <c r="AF39" s="216"/>
      <c r="AG39" s="216"/>
      <c r="AH39" s="216"/>
    </row>
    <row r="40" spans="2:34" ht="18">
      <c r="B40" s="216"/>
      <c r="C40" s="216"/>
      <c r="D40" s="216"/>
      <c r="E40" s="216"/>
      <c r="F40" s="216"/>
      <c r="G40" s="216"/>
      <c r="H40" s="216"/>
      <c r="I40" s="216"/>
      <c r="J40" s="216"/>
      <c r="K40" s="216"/>
      <c r="L40" s="216"/>
      <c r="M40" s="216"/>
      <c r="N40" s="216"/>
      <c r="O40" s="279">
        <v>8</v>
      </c>
      <c r="P40" s="276"/>
      <c r="Q40" s="277"/>
      <c r="R40" s="277"/>
      <c r="S40" s="278"/>
      <c r="T40" s="216"/>
      <c r="U40" s="216"/>
      <c r="V40" s="216"/>
      <c r="W40" s="216"/>
      <c r="X40" s="216"/>
      <c r="Y40" s="216"/>
      <c r="Z40" s="216"/>
      <c r="AA40" s="216"/>
      <c r="AB40" s="216"/>
      <c r="AC40" s="216"/>
      <c r="AD40" s="216"/>
      <c r="AE40" s="216"/>
      <c r="AF40" s="216"/>
      <c r="AG40" s="216"/>
      <c r="AH40" s="216"/>
    </row>
    <row r="41" spans="2:34" ht="18">
      <c r="B41" s="216"/>
      <c r="C41" s="216"/>
      <c r="D41" s="216"/>
      <c r="E41" s="216"/>
      <c r="F41" s="216"/>
      <c r="G41" s="216"/>
      <c r="H41" s="216"/>
      <c r="I41" s="216"/>
      <c r="J41" s="216"/>
      <c r="K41" s="216"/>
      <c r="L41" s="216"/>
      <c r="M41" s="216"/>
      <c r="N41" s="216"/>
      <c r="O41" s="279">
        <v>9</v>
      </c>
      <c r="P41" s="276"/>
      <c r="Q41" s="277"/>
      <c r="R41" s="277"/>
      <c r="S41" s="278"/>
      <c r="T41" s="216"/>
      <c r="U41" s="216"/>
      <c r="V41" s="216"/>
      <c r="W41" s="216"/>
      <c r="X41" s="216"/>
      <c r="Y41" s="216"/>
      <c r="Z41" s="216"/>
      <c r="AA41" s="216"/>
      <c r="AB41" s="216"/>
      <c r="AC41" s="216"/>
      <c r="AD41" s="216"/>
      <c r="AE41" s="216"/>
      <c r="AF41" s="216"/>
      <c r="AG41" s="216"/>
      <c r="AH41" s="216"/>
    </row>
    <row r="42" spans="2:34" ht="18">
      <c r="B42" s="216"/>
      <c r="C42" s="216"/>
      <c r="D42" s="216"/>
      <c r="E42" s="216"/>
      <c r="F42" s="216"/>
      <c r="G42" s="216"/>
      <c r="H42" s="216"/>
      <c r="I42" s="216"/>
      <c r="J42" s="216"/>
      <c r="K42" s="216"/>
      <c r="L42" s="216"/>
      <c r="M42" s="216"/>
      <c r="N42" s="216"/>
      <c r="O42" s="288">
        <v>10</v>
      </c>
      <c r="P42" s="283" t="s">
        <v>182</v>
      </c>
      <c r="Q42" s="284"/>
      <c r="R42" s="284"/>
      <c r="S42" s="285" t="e">
        <f>S32-SUM(S33:S41)</f>
        <v>#N/A</v>
      </c>
      <c r="T42" s="216"/>
      <c r="U42" s="216"/>
      <c r="V42" s="216"/>
      <c r="W42" s="216"/>
      <c r="X42" s="216"/>
      <c r="Y42" s="216"/>
      <c r="Z42" s="216"/>
      <c r="AA42" s="216"/>
      <c r="AB42" s="216"/>
      <c r="AC42" s="216"/>
      <c r="AD42" s="216"/>
      <c r="AE42" s="216"/>
      <c r="AF42" s="216"/>
      <c r="AG42" s="216"/>
      <c r="AH42" s="216"/>
    </row>
    <row r="43" spans="2:34">
      <c r="B43" s="216"/>
      <c r="C43" s="216"/>
      <c r="D43" s="216"/>
      <c r="E43" s="216"/>
      <c r="F43" s="216"/>
      <c r="G43" s="216"/>
      <c r="H43" s="216"/>
      <c r="I43" s="216"/>
      <c r="J43" s="216"/>
      <c r="K43" s="216"/>
      <c r="L43" s="216"/>
      <c r="M43" s="216"/>
      <c r="N43" s="216"/>
      <c r="O43" s="216"/>
      <c r="P43" s="216"/>
      <c r="Q43" s="216"/>
      <c r="R43" s="216"/>
      <c r="S43" s="286" t="e">
        <f>S42-S75</f>
        <v>#N/A</v>
      </c>
      <c r="T43" s="286"/>
      <c r="U43" s="216"/>
      <c r="V43" s="216"/>
      <c r="W43" s="216"/>
      <c r="X43" s="216"/>
      <c r="Y43" s="216"/>
      <c r="Z43" s="216"/>
      <c r="AA43" s="216"/>
      <c r="AB43" s="216"/>
      <c r="AC43" s="216"/>
      <c r="AD43" s="216"/>
      <c r="AE43" s="216"/>
      <c r="AF43" s="216"/>
      <c r="AG43" s="216"/>
      <c r="AH43" s="216"/>
    </row>
    <row r="44" spans="2:34" ht="28.5">
      <c r="B44" s="299" t="s">
        <v>197</v>
      </c>
      <c r="C44" s="216"/>
      <c r="D44" s="216"/>
      <c r="E44" s="216"/>
      <c r="F44" s="216"/>
      <c r="G44" s="216"/>
      <c r="H44" s="216"/>
      <c r="I44" s="216"/>
      <c r="J44" s="216"/>
      <c r="K44" s="216"/>
      <c r="L44" s="216"/>
      <c r="M44" s="216"/>
      <c r="N44" s="216"/>
      <c r="O44" s="216"/>
      <c r="P44" s="216"/>
      <c r="Q44" s="216"/>
      <c r="R44" s="216"/>
      <c r="S44" s="216"/>
      <c r="T44" s="216"/>
      <c r="U44" s="216"/>
      <c r="V44" s="216"/>
      <c r="W44" s="216"/>
      <c r="X44" s="216"/>
      <c r="Y44" s="216"/>
      <c r="Z44" s="216"/>
      <c r="AA44" s="216"/>
      <c r="AB44" s="216"/>
      <c r="AC44" s="216"/>
      <c r="AD44" s="216"/>
      <c r="AE44" s="216"/>
      <c r="AF44" s="216"/>
      <c r="AG44" s="216"/>
      <c r="AH44" s="216"/>
    </row>
    <row r="45" spans="2:34">
      <c r="B45" s="216"/>
      <c r="C45" s="216"/>
      <c r="D45" s="216"/>
      <c r="E45" s="216"/>
      <c r="F45" s="216"/>
      <c r="G45" s="216"/>
      <c r="H45" s="216"/>
      <c r="I45" s="216"/>
      <c r="J45" s="216"/>
      <c r="K45" s="216"/>
      <c r="L45" s="216"/>
      <c r="M45" s="216"/>
      <c r="N45" s="216"/>
      <c r="O45" s="216"/>
      <c r="P45" s="216"/>
      <c r="Q45" s="216"/>
      <c r="R45" s="216"/>
      <c r="S45" s="216"/>
      <c r="T45" s="216"/>
      <c r="U45" s="216"/>
      <c r="V45" s="216"/>
      <c r="W45" s="216"/>
      <c r="X45" s="216"/>
      <c r="Y45" s="216"/>
      <c r="Z45" s="216"/>
      <c r="AA45" s="216"/>
      <c r="AB45" s="216"/>
      <c r="AC45" s="216"/>
      <c r="AD45" s="216"/>
      <c r="AE45" s="216"/>
      <c r="AF45" s="216"/>
      <c r="AG45" s="216"/>
      <c r="AH45" s="216"/>
    </row>
    <row r="46" spans="2:34">
      <c r="B46" s="216"/>
      <c r="C46" s="216"/>
      <c r="D46" s="216"/>
      <c r="E46" s="216"/>
      <c r="F46" s="216"/>
      <c r="G46" s="216"/>
      <c r="H46" s="216"/>
      <c r="I46" s="216"/>
      <c r="J46" s="216"/>
      <c r="K46" s="216"/>
      <c r="L46" s="216"/>
      <c r="M46" s="216"/>
      <c r="N46" s="216"/>
      <c r="O46" s="216"/>
      <c r="P46" s="216"/>
      <c r="Q46" s="216"/>
      <c r="R46" s="216"/>
      <c r="S46" s="216"/>
      <c r="T46" s="216"/>
      <c r="U46" s="216"/>
      <c r="V46" s="216"/>
      <c r="W46" s="216"/>
      <c r="X46" s="216"/>
      <c r="Y46" s="216"/>
      <c r="Z46" s="216"/>
      <c r="AA46" s="216"/>
      <c r="AB46" s="216"/>
      <c r="AC46" s="216"/>
      <c r="AD46" s="216"/>
      <c r="AE46" s="216"/>
      <c r="AF46" s="216"/>
      <c r="AG46" s="216"/>
      <c r="AH46" s="216"/>
    </row>
    <row r="47" spans="2:34" ht="20.25">
      <c r="B47" s="216"/>
      <c r="C47" s="226" t="str">
        <f>B52</f>
        <v>OL Q1 (0+3)</v>
      </c>
      <c r="D47" s="226" t="str">
        <f>C52</f>
        <v>OL Q1 (2+1)</v>
      </c>
      <c r="E47" s="226" t="s">
        <v>320</v>
      </c>
      <c r="F47" s="226" t="s">
        <v>321</v>
      </c>
      <c r="G47" s="226" t="s">
        <v>322</v>
      </c>
      <c r="H47" s="292" t="s">
        <v>323</v>
      </c>
      <c r="I47" s="216"/>
      <c r="J47" s="216"/>
      <c r="K47" s="216"/>
      <c r="L47" s="216"/>
      <c r="M47" s="216"/>
      <c r="N47" s="216"/>
      <c r="O47" s="216"/>
      <c r="P47" s="216"/>
      <c r="Q47" s="216"/>
      <c r="R47" s="216"/>
      <c r="S47" s="216"/>
      <c r="T47" s="216"/>
      <c r="U47" s="216"/>
      <c r="V47" s="216"/>
      <c r="W47" s="216"/>
      <c r="X47" s="216"/>
      <c r="Y47" s="216"/>
      <c r="Z47" s="216"/>
      <c r="AA47" s="216"/>
      <c r="AB47" s="216"/>
      <c r="AC47" s="216"/>
      <c r="AD47" s="216"/>
      <c r="AE47" s="216"/>
      <c r="AF47" s="216"/>
      <c r="AG47" s="216"/>
      <c r="AH47" s="216"/>
    </row>
    <row r="48" spans="2:34" ht="20.25">
      <c r="B48" s="226" t="s">
        <v>324</v>
      </c>
      <c r="C48" s="229" t="e">
        <f>INDEX('Summary month'!$AC$27:$AF$27,1,MATCH($C$1,'Summary month'!$BT$6:$BW$6,0))</f>
        <v>#N/A</v>
      </c>
      <c r="D48" s="229" t="e">
        <f>INDEX('Summary month'!$BP$27:$BS$27,1,MATCH($C$1,'Summary month'!$BT$6:$BW$6,0))</f>
        <v>#N/A</v>
      </c>
      <c r="E48" s="226" t="e">
        <f>+D48-C48</f>
        <v>#N/A</v>
      </c>
      <c r="F48" s="226">
        <f>B61</f>
        <v>6.3744855012013657E-2</v>
      </c>
      <c r="G48" s="226" t="e">
        <f>SUM(C61:S61)</f>
        <v>#N/A</v>
      </c>
      <c r="H48" s="502" t="e">
        <f>E48-F48-G48</f>
        <v>#N/A</v>
      </c>
      <c r="I48" s="216"/>
      <c r="J48" s="216"/>
      <c r="K48" s="216"/>
      <c r="L48" s="216"/>
      <c r="M48" s="216"/>
      <c r="N48" s="216"/>
      <c r="O48" s="216"/>
      <c r="P48" s="216"/>
      <c r="Q48" s="216">
        <v>0</v>
      </c>
      <c r="R48" s="216"/>
      <c r="S48" s="216"/>
      <c r="T48" s="216"/>
      <c r="U48" s="216"/>
      <c r="V48" s="216"/>
      <c r="W48" s="216"/>
      <c r="X48" s="216"/>
      <c r="Y48" s="216"/>
      <c r="Z48" s="216"/>
      <c r="AA48" s="216"/>
      <c r="AB48" s="216"/>
      <c r="AC48" s="216"/>
      <c r="AD48" s="216"/>
      <c r="AE48" s="216"/>
      <c r="AF48" s="216"/>
      <c r="AG48" s="216"/>
      <c r="AH48" s="216"/>
    </row>
    <row r="49" spans="2:34" ht="20.25">
      <c r="B49" s="226" t="s">
        <v>325</v>
      </c>
      <c r="C49" s="229" t="e">
        <f>INDEX('Summary month'!$AC$46:$AF$46,1,MATCH($C$1,'Summary month'!$BT$6:$BW$6,0))</f>
        <v>#N/A</v>
      </c>
      <c r="D49" s="229" t="e">
        <f>INDEX('Summary month'!$BP$46:$BS$46,1,MATCH($C$1,'Summary month'!$BT$6:$BW$6,0))</f>
        <v>#N/A</v>
      </c>
      <c r="E49" s="226" t="e">
        <f>+D49-C49</f>
        <v>#N/A</v>
      </c>
      <c r="F49" s="226" t="e">
        <f>T61</f>
        <v>#N/A</v>
      </c>
      <c r="G49" s="226" t="e">
        <f>SUM(U61:AH61)</f>
        <v>#N/A</v>
      </c>
      <c r="H49" s="502" t="e">
        <f>E49-F49-G49</f>
        <v>#N/A</v>
      </c>
      <c r="I49" s="216"/>
      <c r="J49" s="216"/>
      <c r="K49" s="216"/>
      <c r="L49" s="216"/>
      <c r="M49" s="216"/>
      <c r="N49" s="216"/>
      <c r="O49" s="216"/>
      <c r="P49" s="216"/>
      <c r="Q49" s="216"/>
      <c r="R49" s="216"/>
      <c r="S49" s="216"/>
      <c r="T49" s="216"/>
      <c r="U49" s="216"/>
      <c r="V49" s="216"/>
      <c r="W49" s="216"/>
      <c r="X49" s="216"/>
      <c r="Y49" s="216"/>
      <c r="Z49" s="216"/>
      <c r="AA49" s="216"/>
      <c r="AB49" s="216"/>
      <c r="AC49" s="216"/>
      <c r="AD49" s="216"/>
      <c r="AE49" s="216"/>
      <c r="AF49" s="216"/>
      <c r="AG49" s="216"/>
      <c r="AH49" s="216"/>
    </row>
    <row r="50" spans="2:34" ht="20.25">
      <c r="B50" s="226" t="s">
        <v>326</v>
      </c>
      <c r="C50" s="226" t="e">
        <f>+C48+C49</f>
        <v>#N/A</v>
      </c>
      <c r="D50" s="226" t="e">
        <f>+D48+D49</f>
        <v>#N/A</v>
      </c>
      <c r="E50" s="226" t="e">
        <f>+D50-C50</f>
        <v>#N/A</v>
      </c>
      <c r="F50" s="226" t="e">
        <f>+E50-G50</f>
        <v>#N/A</v>
      </c>
      <c r="G50" s="226" t="e">
        <f>+G48+G49</f>
        <v>#N/A</v>
      </c>
      <c r="H50" s="502" t="e">
        <f>E50-F50-G50</f>
        <v>#N/A</v>
      </c>
      <c r="I50" s="216"/>
      <c r="J50" s="216"/>
      <c r="K50" s="216"/>
      <c r="L50" s="216"/>
      <c r="M50" s="216"/>
      <c r="N50" s="216"/>
      <c r="O50" s="216"/>
      <c r="P50" s="216"/>
      <c r="Q50" s="216"/>
      <c r="R50" s="216"/>
      <c r="S50" s="216"/>
      <c r="T50" s="216"/>
      <c r="U50" s="216"/>
      <c r="V50" s="216"/>
      <c r="W50" s="216"/>
      <c r="X50" s="216"/>
      <c r="Y50" s="216"/>
      <c r="Z50" s="216"/>
      <c r="AA50" s="216"/>
      <c r="AB50" s="216"/>
      <c r="AC50" s="216"/>
      <c r="AD50" s="216"/>
      <c r="AE50" s="216"/>
      <c r="AF50" s="216"/>
      <c r="AG50" s="216"/>
      <c r="AH50" s="216"/>
    </row>
    <row r="51" spans="2:34" ht="18">
      <c r="B51" s="215"/>
      <c r="C51" s="216"/>
      <c r="D51" s="215"/>
      <c r="E51" s="216"/>
      <c r="F51" s="215"/>
      <c r="G51" s="217" t="s">
        <v>138</v>
      </c>
      <c r="H51" s="216"/>
      <c r="I51" s="216"/>
      <c r="J51" s="216"/>
      <c r="K51" s="216"/>
      <c r="L51" s="216"/>
      <c r="M51" s="216"/>
      <c r="N51" s="216"/>
      <c r="O51" s="216"/>
      <c r="P51" s="216"/>
      <c r="Q51" s="216"/>
      <c r="R51" s="216"/>
      <c r="S51" s="216"/>
      <c r="T51" s="216"/>
      <c r="U51" s="216"/>
      <c r="V51" s="216"/>
      <c r="W51" s="216"/>
      <c r="X51" s="216"/>
      <c r="Y51" s="216"/>
      <c r="Z51" s="216"/>
      <c r="AA51" s="216"/>
      <c r="AB51" s="216"/>
      <c r="AC51" s="216"/>
      <c r="AD51" s="216"/>
      <c r="AE51" s="216"/>
      <c r="AF51" s="216"/>
      <c r="AG51" s="216"/>
      <c r="AH51" s="216"/>
    </row>
    <row r="52" spans="2:34" ht="20.100000000000001" customHeight="1">
      <c r="B52" s="1014" t="s">
        <v>414</v>
      </c>
      <c r="C52" s="1014" t="s">
        <v>415</v>
      </c>
      <c r="D52" s="218"/>
      <c r="E52" s="219"/>
      <c r="F52" s="219"/>
      <c r="G52" s="220"/>
      <c r="H52" s="216"/>
      <c r="I52" s="216"/>
      <c r="J52" s="216"/>
      <c r="K52" s="216"/>
      <c r="L52" s="216" t="s">
        <v>357</v>
      </c>
      <c r="M52" s="478">
        <f>SUM(E55:E57,G55)</f>
        <v>6.3744855012013657E-2</v>
      </c>
      <c r="N52" s="216"/>
      <c r="O52" s="221"/>
      <c r="P52" s="221"/>
      <c r="Q52" s="221"/>
      <c r="R52" s="216">
        <v>1.8928358743898328</v>
      </c>
      <c r="S52" s="216"/>
      <c r="T52" s="216"/>
      <c r="U52" s="216"/>
      <c r="V52" s="216"/>
      <c r="W52" s="221"/>
      <c r="X52" s="221"/>
      <c r="Y52" s="221"/>
      <c r="Z52" s="221"/>
      <c r="AA52" s="221"/>
      <c r="AB52" s="221"/>
      <c r="AC52" s="221"/>
      <c r="AD52" s="221"/>
      <c r="AE52" s="221"/>
      <c r="AF52" s="221"/>
      <c r="AG52" s="221"/>
      <c r="AH52" s="221"/>
    </row>
    <row r="53" spans="2:34" ht="40.5">
      <c r="B53" s="1015"/>
      <c r="C53" s="1015"/>
      <c r="D53" s="222"/>
      <c r="E53" s="223" t="s">
        <v>154</v>
      </c>
      <c r="F53" s="224" t="s">
        <v>198</v>
      </c>
      <c r="G53" s="225" t="s">
        <v>156</v>
      </c>
      <c r="H53" s="216"/>
      <c r="I53" s="216" t="s">
        <v>208</v>
      </c>
      <c r="J53" s="216"/>
      <c r="K53" s="216"/>
      <c r="L53" s="216" t="s">
        <v>302</v>
      </c>
      <c r="M53" s="334" t="e">
        <f>SUM(U62:AH62,AJ66:AK66)</f>
        <v>#N/A</v>
      </c>
      <c r="N53" s="216"/>
      <c r="O53" s="216"/>
      <c r="P53" s="216"/>
      <c r="Q53" s="216"/>
      <c r="R53" s="216"/>
      <c r="S53" s="216"/>
      <c r="T53" s="216"/>
      <c r="V53" s="216"/>
      <c r="W53" s="216"/>
      <c r="X53" s="216"/>
      <c r="Y53" s="216"/>
      <c r="Z53" s="216"/>
      <c r="AA53" s="216"/>
      <c r="AB53" s="216"/>
      <c r="AC53" s="407" t="s">
        <v>266</v>
      </c>
      <c r="AD53" s="531">
        <v>2.2777392377517507</v>
      </c>
      <c r="AE53" s="216"/>
      <c r="AF53" s="216"/>
      <c r="AG53" s="216"/>
      <c r="AH53" s="216"/>
    </row>
    <row r="54" spans="2:34" ht="20.25">
      <c r="B54" s="226" t="e">
        <f>INDEX('Summary month'!$AC$47:$AF$47,1,MATCH($C$1,'Summary month'!$BT$6:$BW$6,0))</f>
        <v>#N/A</v>
      </c>
      <c r="C54" s="226" t="e">
        <f>INDEX('Summary month'!$BP$47:$BS$47,1,MATCH($C$1,'Summary month'!$BT$6:$BW$6,0))</f>
        <v>#N/A</v>
      </c>
      <c r="D54" s="227" t="e">
        <f>C54-B54</f>
        <v>#N/A</v>
      </c>
      <c r="E54" s="228" t="e">
        <f>SUM(M52:M53)</f>
        <v>#N/A</v>
      </c>
      <c r="F54" s="228" t="e">
        <f>INDEX('Summary month'!$BT$27:$BW$27,1,MATCH($C$1,'Summary month'!$BT$6:$BW$6,0))-M52</f>
        <v>#N/A</v>
      </c>
      <c r="G54" s="229" t="e">
        <f>INDEX('Summary month'!$BT$46:$BW$46,1,MATCH($C$1,'Summary month'!$BT$6:$BW$6,0))-M53</f>
        <v>#N/A</v>
      </c>
      <c r="H54" s="216"/>
      <c r="I54" s="286" t="e">
        <f>SUM(E54:G54)-D54</f>
        <v>#N/A</v>
      </c>
      <c r="J54" s="216"/>
      <c r="K54" s="216"/>
      <c r="L54" s="216"/>
      <c r="M54" s="216"/>
      <c r="N54" s="216"/>
      <c r="O54" s="230"/>
      <c r="P54" s="216"/>
      <c r="Q54" s="216"/>
      <c r="R54" s="216"/>
      <c r="S54" s="216"/>
      <c r="T54" s="216"/>
      <c r="U54" s="216"/>
      <c r="V54" s="216"/>
      <c r="W54" s="230"/>
      <c r="X54" s="216"/>
      <c r="Y54" s="230"/>
      <c r="Z54" s="230"/>
      <c r="AA54" s="230"/>
      <c r="AB54" s="230"/>
      <c r="AC54" s="409" t="s">
        <v>269</v>
      </c>
      <c r="AD54" s="425">
        <v>-0.01</v>
      </c>
      <c r="AE54" s="230"/>
      <c r="AF54" s="230"/>
      <c r="AG54" s="230"/>
      <c r="AH54" s="230"/>
    </row>
    <row r="55" spans="2:34">
      <c r="B55" s="216"/>
      <c r="C55" s="216"/>
      <c r="D55" s="216" t="s">
        <v>139</v>
      </c>
      <c r="E55" s="411">
        <v>0</v>
      </c>
      <c r="F55" s="216" t="s">
        <v>193</v>
      </c>
      <c r="G55" s="320">
        <v>0</v>
      </c>
      <c r="H55" s="216"/>
      <c r="I55" s="216"/>
      <c r="J55" s="216"/>
      <c r="K55" s="216"/>
      <c r="L55" s="216"/>
      <c r="M55" s="216"/>
      <c r="N55" s="216"/>
      <c r="O55" s="216"/>
      <c r="P55" s="216"/>
      <c r="Q55" s="216"/>
      <c r="R55" s="216"/>
      <c r="S55" s="216"/>
      <c r="T55" s="216"/>
      <c r="U55" s="216"/>
      <c r="V55" s="216"/>
      <c r="W55" s="216" t="s">
        <v>145</v>
      </c>
      <c r="X55" s="320">
        <v>0.56580569419031379</v>
      </c>
      <c r="Y55" s="216">
        <v>0</v>
      </c>
      <c r="Z55" s="216"/>
      <c r="AA55" s="216"/>
      <c r="AB55" s="216"/>
      <c r="AC55" s="407" t="s">
        <v>141</v>
      </c>
      <c r="AD55" s="531">
        <v>-17.760115380094657</v>
      </c>
      <c r="AE55" s="216"/>
      <c r="AF55" s="216"/>
      <c r="AG55" s="216"/>
      <c r="AH55" s="216"/>
    </row>
    <row r="56" spans="2:34">
      <c r="B56" s="216"/>
      <c r="C56" s="216"/>
      <c r="D56" s="216" t="s">
        <v>200</v>
      </c>
      <c r="E56" s="411">
        <v>6.3744855012013657E-2</v>
      </c>
      <c r="F56" s="216"/>
      <c r="G56" s="216"/>
      <c r="H56" s="216"/>
      <c r="I56" s="216"/>
      <c r="J56" s="216"/>
      <c r="K56" s="216"/>
      <c r="L56" s="216"/>
      <c r="M56" s="216"/>
      <c r="N56" s="216"/>
      <c r="O56" s="216"/>
      <c r="P56" s="216"/>
      <c r="Q56" s="216"/>
      <c r="R56" s="216"/>
      <c r="S56" s="216"/>
      <c r="T56" s="216"/>
      <c r="W56" t="s">
        <v>193</v>
      </c>
      <c r="X56" s="441">
        <v>1.09467300291335</v>
      </c>
      <c r="Y56">
        <v>0</v>
      </c>
      <c r="AC56" s="407" t="s">
        <v>144</v>
      </c>
      <c r="AD56" s="511" t="e">
        <f>AD61-SUM(AD53:AD55)</f>
        <v>#N/A</v>
      </c>
      <c r="AH56" s="216"/>
    </row>
    <row r="57" spans="2:34" ht="21" thickBot="1">
      <c r="B57" s="231" t="s">
        <v>157</v>
      </c>
      <c r="C57" s="232"/>
      <c r="D57" s="232" t="s">
        <v>145</v>
      </c>
      <c r="E57" s="440">
        <v>0</v>
      </c>
      <c r="F57" s="232"/>
      <c r="G57" s="232"/>
      <c r="H57" s="232"/>
      <c r="I57" s="232"/>
      <c r="J57" s="232"/>
      <c r="K57" s="232"/>
      <c r="L57" s="232"/>
      <c r="M57" s="232"/>
      <c r="N57" s="232"/>
      <c r="O57" s="232"/>
      <c r="P57" s="232"/>
      <c r="Q57" s="232"/>
      <c r="R57" s="232"/>
      <c r="S57" s="232"/>
      <c r="T57" s="232"/>
      <c r="U57" s="232"/>
      <c r="V57" s="232"/>
      <c r="W57" s="232" t="s">
        <v>144</v>
      </c>
      <c r="X57" s="313" t="e">
        <f>X61-SUM(X55:X56)</f>
        <v>#N/A</v>
      </c>
      <c r="Y57" s="232"/>
      <c r="Z57" s="232"/>
      <c r="AA57" s="232"/>
      <c r="AB57" s="232"/>
      <c r="AC57" s="232"/>
      <c r="AD57" s="232"/>
      <c r="AE57" s="232"/>
      <c r="AF57" s="232"/>
      <c r="AG57" s="232"/>
      <c r="AH57" s="217" t="s">
        <v>138</v>
      </c>
    </row>
    <row r="58" spans="2:34" ht="21" thickBot="1">
      <c r="B58" s="233"/>
      <c r="C58" s="234" t="s">
        <v>199</v>
      </c>
      <c r="D58" s="234"/>
      <c r="E58" s="234"/>
      <c r="F58" s="234"/>
      <c r="G58" s="234"/>
      <c r="H58" s="234"/>
      <c r="I58" s="234"/>
      <c r="J58" s="234"/>
      <c r="K58" s="234"/>
      <c r="L58" s="234"/>
      <c r="M58" s="234"/>
      <c r="N58" s="234"/>
      <c r="O58" s="234"/>
      <c r="P58" s="234"/>
      <c r="Q58" s="234"/>
      <c r="R58" s="234"/>
      <c r="S58" s="235"/>
      <c r="T58" s="236"/>
      <c r="U58" s="237" t="s">
        <v>160</v>
      </c>
      <c r="V58" s="237"/>
      <c r="W58" s="237"/>
      <c r="X58" s="237"/>
      <c r="Y58" s="237"/>
      <c r="Z58" s="237"/>
      <c r="AA58" s="237"/>
      <c r="AB58" s="237"/>
      <c r="AC58" s="237"/>
      <c r="AD58" s="237"/>
      <c r="AE58" s="237"/>
      <c r="AF58" s="237"/>
      <c r="AG58" s="237"/>
      <c r="AH58" s="238"/>
    </row>
    <row r="59" spans="2:34" ht="20.25">
      <c r="B59" s="1027" t="s">
        <v>274</v>
      </c>
      <c r="C59" s="239" t="s">
        <v>161</v>
      </c>
      <c r="D59" s="240"/>
      <c r="E59" s="240"/>
      <c r="F59" s="240"/>
      <c r="G59" s="241"/>
      <c r="H59" s="1017" t="s">
        <v>162</v>
      </c>
      <c r="I59" s="242" t="s">
        <v>163</v>
      </c>
      <c r="J59" s="243"/>
      <c r="K59" s="243"/>
      <c r="L59" s="243"/>
      <c r="M59" s="243"/>
      <c r="N59" s="244"/>
      <c r="O59" s="1029" t="s">
        <v>164</v>
      </c>
      <c r="P59" s="1029" t="s">
        <v>165</v>
      </c>
      <c r="Q59" s="1019" t="s">
        <v>166</v>
      </c>
      <c r="R59" s="1022" t="s">
        <v>167</v>
      </c>
      <c r="S59" s="1023" t="s">
        <v>168</v>
      </c>
      <c r="T59" s="1027" t="s">
        <v>274</v>
      </c>
      <c r="U59" s="245" t="s">
        <v>169</v>
      </c>
      <c r="V59" s="246"/>
      <c r="W59" s="246"/>
      <c r="X59" s="247"/>
      <c r="Y59" s="248" t="s">
        <v>163</v>
      </c>
      <c r="Z59" s="246"/>
      <c r="AA59" s="246"/>
      <c r="AB59" s="246"/>
      <c r="AC59" s="246"/>
      <c r="AD59" s="247"/>
      <c r="AE59" s="1022" t="s">
        <v>166</v>
      </c>
      <c r="AF59" s="1025" t="s">
        <v>167</v>
      </c>
      <c r="AG59" s="311"/>
      <c r="AH59" s="1012" t="s">
        <v>168</v>
      </c>
    </row>
    <row r="60" spans="2:34" ht="57">
      <c r="B60" s="1028"/>
      <c r="C60" s="249" t="s">
        <v>170</v>
      </c>
      <c r="D60" s="300" t="s">
        <v>171</v>
      </c>
      <c r="E60" s="250" t="s">
        <v>172</v>
      </c>
      <c r="F60" s="250" t="s">
        <v>173</v>
      </c>
      <c r="G60" s="251" t="s">
        <v>174</v>
      </c>
      <c r="H60" s="1018"/>
      <c r="I60" s="250" t="s">
        <v>175</v>
      </c>
      <c r="J60" s="250" t="s">
        <v>176</v>
      </c>
      <c r="K60" s="250" t="s">
        <v>201</v>
      </c>
      <c r="L60" s="250" t="s">
        <v>178</v>
      </c>
      <c r="M60" s="250" t="s">
        <v>168</v>
      </c>
      <c r="N60" s="250" t="s">
        <v>179</v>
      </c>
      <c r="O60" s="1030"/>
      <c r="P60" s="1031"/>
      <c r="Q60" s="1021"/>
      <c r="R60" s="1021"/>
      <c r="S60" s="1024"/>
      <c r="T60" s="1028"/>
      <c r="U60" s="307" t="s">
        <v>203</v>
      </c>
      <c r="V60" s="308" t="s">
        <v>180</v>
      </c>
      <c r="W60" s="309" t="s">
        <v>181</v>
      </c>
      <c r="X60" s="310" t="s">
        <v>33</v>
      </c>
      <c r="Y60" s="305" t="s">
        <v>25</v>
      </c>
      <c r="Z60" s="306" t="s">
        <v>183</v>
      </c>
      <c r="AA60" s="306" t="s">
        <v>204</v>
      </c>
      <c r="AB60" s="306" t="s">
        <v>205</v>
      </c>
      <c r="AC60" s="306" t="s">
        <v>184</v>
      </c>
      <c r="AD60" s="306" t="s">
        <v>30</v>
      </c>
      <c r="AE60" s="1021"/>
      <c r="AF60" s="1026"/>
      <c r="AG60" s="312" t="s">
        <v>37</v>
      </c>
      <c r="AH60" s="1013"/>
    </row>
    <row r="61" spans="2:34" ht="21" thickBot="1">
      <c r="B61" s="252">
        <f>M52</f>
        <v>6.3744855012013657E-2</v>
      </c>
      <c r="C61" s="253" t="e">
        <f>SUM('[7]New KPI vs BP'!$EB$439+'[7]New KPI vs BP'!$EB$440+'[7]New KPI vs BP'!$EB$460)-SUM(U61:V61)-SUM(E61:F61)-E55</f>
        <v>#N/A</v>
      </c>
      <c r="D61" s="302"/>
      <c r="E61" s="254">
        <v>7.1</v>
      </c>
      <c r="F61" s="254"/>
      <c r="G61" s="254"/>
      <c r="H61" s="254"/>
      <c r="I61" s="254">
        <v>0.25</v>
      </c>
      <c r="J61" s="254">
        <v>3.0313958781832042E-3</v>
      </c>
      <c r="K61" s="254">
        <v>0.19199993408742611</v>
      </c>
      <c r="L61" s="254">
        <v>-1.4057770815754402</v>
      </c>
      <c r="M61" s="254">
        <f>12.4734186332565+SUM(M72:M73)</f>
        <v>17.379418633256499</v>
      </c>
      <c r="N61" s="254"/>
      <c r="O61" s="302"/>
      <c r="P61" s="302"/>
      <c r="Q61" s="256"/>
      <c r="R61" s="254">
        <v>-6.84</v>
      </c>
      <c r="S61" s="257" t="e">
        <f>F54-SUM(C61:R61)</f>
        <v>#N/A</v>
      </c>
      <c r="T61" s="253" t="e">
        <f>M53</f>
        <v>#N/A</v>
      </c>
      <c r="U61" s="253" t="e">
        <f>INDEX('Summary month'!$BT$17:$BW$74,MATCH(U60,'Summary month'!$D$17:$D$74,0),MATCH($C$1,'Summary month'!$BT$6:$BW$6,0))-U62</f>
        <v>#N/A</v>
      </c>
      <c r="V61" s="258" t="e">
        <f>INDEX('Summary month'!$BT$17:$BW$74,MATCH(V60,'Summary month'!$D$17:$D$74,0),MATCH($C$1,'Summary month'!$BT$6:$BW$6,0))-V62</f>
        <v>#N/A</v>
      </c>
      <c r="W61" s="258"/>
      <c r="X61" s="258" t="e">
        <f>INDEX('Summary month'!$BT$17:$BW$74,MATCH(X60,'Summary month'!$D$17:$D$74,0),MATCH($C$1,'Summary month'!$BT$6:$BW$6,0))-X62</f>
        <v>#N/A</v>
      </c>
      <c r="Y61" s="258" t="e">
        <f>INDEX('Summary month'!$BT$17:$BW$74,MATCH(Y60,'Summary month'!$D$17:$D$74,0),MATCH($C$1,'Summary month'!$BT$6:$BW$6,0))-Y62</f>
        <v>#N/A</v>
      </c>
      <c r="Z61" s="258" t="e">
        <f>INDEX('Summary month'!$BT$17:$BW$74,MATCH(Z60,'Summary month'!$D$17:$D$74,0),MATCH($C$1,'Summary month'!$BT$6:$BW$6,0))-Z62</f>
        <v>#N/A</v>
      </c>
      <c r="AA61" s="258" t="e">
        <f>INDEX('Summary month'!$BT$17:$BW$74,MATCH(AA60,'Summary month'!$D$17:$D$74,0),MATCH($C$1,'Summary month'!$BT$6:$BW$6,0))</f>
        <v>#N/A</v>
      </c>
      <c r="AB61" s="301"/>
      <c r="AC61" s="258" t="e">
        <f>INDEX('Summary month'!$BT$17:$BW$74,MATCH(AC60,'Summary month'!$D$17:$D$74,0),MATCH($C$1,'Summary month'!$BT$6:$BW$6,0))-AC62</f>
        <v>#N/A</v>
      </c>
      <c r="AD61" s="258" t="e">
        <f>INDEX('Summary month'!$BT$17:$BW$74,MATCH(AD60,'Summary month'!$D$17:$D$74,0),MATCH($C$1,'Summary month'!$BT$6:$BW$6,0))</f>
        <v>#N/A</v>
      </c>
      <c r="AE61" s="256"/>
      <c r="AF61" s="259"/>
      <c r="AG61" s="254" t="e">
        <f>INDEX('Summary month'!$BT$17:$BW$74,MATCH(AG60,'Summary month'!$D$17:$D$74,0),MATCH($C$1,'Summary month'!$BT$6:$BW$6,0))-AG62</f>
        <v>#N/A</v>
      </c>
      <c r="AH61" s="260" t="e">
        <f>G54-SUM(U61:AG61)</f>
        <v>#N/A</v>
      </c>
    </row>
    <row r="62" spans="2:34" ht="18">
      <c r="B62" s="216"/>
      <c r="C62" s="272">
        <v>0</v>
      </c>
      <c r="D62" s="216"/>
      <c r="E62" s="216">
        <v>0</v>
      </c>
      <c r="F62" s="216">
        <v>0</v>
      </c>
      <c r="G62" s="216"/>
      <c r="H62" s="216"/>
      <c r="I62" s="479"/>
      <c r="J62" s="479"/>
      <c r="K62" s="479"/>
      <c r="L62" s="479"/>
      <c r="M62" s="216"/>
      <c r="N62" s="216"/>
      <c r="O62" s="216"/>
      <c r="P62" s="216"/>
      <c r="Q62" s="216"/>
      <c r="R62" s="216">
        <v>-8.0651649090489208</v>
      </c>
      <c r="S62" s="216"/>
      <c r="T62" s="216"/>
      <c r="U62" s="431">
        <v>0</v>
      </c>
      <c r="V62" s="431"/>
      <c r="W62" s="216"/>
      <c r="X62" s="216">
        <f>SUM(Y55:Y56)</f>
        <v>0</v>
      </c>
      <c r="Y62" s="216">
        <v>-0.35746686030962094</v>
      </c>
      <c r="Z62" s="216">
        <v>-6.0528115153737905E-4</v>
      </c>
      <c r="AA62" s="216"/>
      <c r="AB62" s="216"/>
      <c r="AC62" s="216">
        <v>0</v>
      </c>
      <c r="AD62" s="216"/>
      <c r="AE62" s="216"/>
      <c r="AF62" s="216"/>
      <c r="AG62" s="334" t="e">
        <v>#N/A</v>
      </c>
      <c r="AH62" s="216"/>
    </row>
    <row r="63" spans="2:34" ht="18">
      <c r="B63" s="221"/>
      <c r="C63" s="319"/>
      <c r="D63" s="221"/>
      <c r="E63" s="221"/>
      <c r="F63" s="221"/>
      <c r="G63" s="221"/>
      <c r="H63" s="221"/>
      <c r="I63" s="221"/>
      <c r="J63" s="221"/>
      <c r="K63" s="221"/>
      <c r="L63" s="221"/>
      <c r="M63" s="221"/>
      <c r="N63" s="221"/>
      <c r="O63" s="221"/>
      <c r="P63" s="221"/>
      <c r="Q63" s="221"/>
      <c r="R63" s="491"/>
      <c r="S63" s="221"/>
      <c r="T63" s="221"/>
      <c r="U63" s="221"/>
      <c r="V63" s="221"/>
      <c r="W63" s="221"/>
    </row>
    <row r="64" spans="2:34" ht="18">
      <c r="B64" s="216"/>
      <c r="C64" s="319"/>
      <c r="D64" s="216"/>
      <c r="E64" s="216"/>
      <c r="F64" s="216"/>
      <c r="G64" s="216" t="s">
        <v>353</v>
      </c>
      <c r="H64" s="594">
        <f>-0.00100000000000122-AD54</f>
        <v>8.9999999999987798E-3</v>
      </c>
      <c r="I64" s="216"/>
      <c r="J64" s="216"/>
      <c r="K64" s="216"/>
      <c r="L64" s="216"/>
      <c r="M64" s="216"/>
      <c r="N64" s="216"/>
      <c r="O64" s="216"/>
      <c r="P64" s="216"/>
      <c r="Q64" s="216"/>
      <c r="R64" s="216"/>
      <c r="S64" s="216"/>
      <c r="T64" s="216"/>
      <c r="U64" s="216"/>
      <c r="V64" s="216"/>
      <c r="W64" s="216"/>
    </row>
    <row r="65" spans="2:36" ht="20.25">
      <c r="B65" s="216"/>
      <c r="C65" s="329"/>
      <c r="D65" s="216"/>
      <c r="E65" s="216"/>
      <c r="F65" s="216"/>
      <c r="G65" s="216" t="s">
        <v>295</v>
      </c>
      <c r="H65" s="594">
        <v>4.6440000000000001</v>
      </c>
      <c r="I65" s="634" t="s">
        <v>188</v>
      </c>
      <c r="J65" s="274"/>
      <c r="K65" s="274"/>
      <c r="L65" s="274"/>
      <c r="M65" s="275">
        <f>M61</f>
        <v>17.379418633256499</v>
      </c>
      <c r="N65" s="216"/>
      <c r="P65" s="273" t="s">
        <v>191</v>
      </c>
      <c r="Q65" s="274"/>
      <c r="R65" s="274"/>
      <c r="S65" s="294" t="e">
        <f>S61</f>
        <v>#N/A</v>
      </c>
      <c r="T65" s="216"/>
      <c r="U65" s="272"/>
      <c r="V65" s="272"/>
      <c r="W65" s="216"/>
      <c r="X65" s="263" t="s">
        <v>185</v>
      </c>
      <c r="Y65" s="264"/>
      <c r="Z65" s="264"/>
      <c r="AA65" s="265" t="e">
        <f>AD61</f>
        <v>#N/A</v>
      </c>
      <c r="AC65" s="263" t="s">
        <v>186</v>
      </c>
      <c r="AD65" s="264"/>
      <c r="AE65" s="264"/>
      <c r="AF65" s="264"/>
      <c r="AG65" s="264"/>
      <c r="AH65" s="265" t="e">
        <f>AH61</f>
        <v>#N/A</v>
      </c>
    </row>
    <row r="66" spans="2:36" ht="18">
      <c r="B66" s="216"/>
      <c r="C66" s="329"/>
      <c r="D66" s="216"/>
      <c r="E66" s="216"/>
      <c r="F66" s="216"/>
      <c r="G66" s="216" t="s">
        <v>239</v>
      </c>
      <c r="H66" s="594">
        <v>0.26200000000000001</v>
      </c>
      <c r="I66" s="279">
        <v>1</v>
      </c>
      <c r="J66" s="635" t="s">
        <v>361</v>
      </c>
      <c r="K66" s="270"/>
      <c r="L66" s="270"/>
      <c r="M66" s="280">
        <v>5.48</v>
      </c>
      <c r="N66" s="216"/>
      <c r="P66" s="279">
        <v>1</v>
      </c>
      <c r="Q66" s="269" t="s">
        <v>193</v>
      </c>
      <c r="R66" s="270"/>
      <c r="S66" s="280">
        <f>'[7]New KPI vs BP'!$EB$441-X56-G55</f>
        <v>-1.09467300291335</v>
      </c>
      <c r="T66" s="216">
        <v>0</v>
      </c>
      <c r="U66" s="537"/>
      <c r="V66" s="286"/>
      <c r="W66" s="216"/>
      <c r="X66" s="268">
        <v>1</v>
      </c>
      <c r="Y66" s="269"/>
      <c r="Z66" s="270"/>
      <c r="AA66" s="271"/>
      <c r="AC66" s="268">
        <v>1</v>
      </c>
      <c r="AD66" s="269" t="s">
        <v>39</v>
      </c>
      <c r="AE66" s="270"/>
      <c r="AF66" s="270"/>
      <c r="AG66" s="270"/>
      <c r="AH66" s="271" t="e">
        <f>INDEX('Summary month'!$BT$17:$BW$73,MATCH(AD66,'Summary month'!$D$17:$D$74,0),MATCH($C$1,'Summary month'!$BT$6:$BW$6,0))-AJ66-AK66</f>
        <v>#N/A</v>
      </c>
      <c r="AI66" t="s">
        <v>262</v>
      </c>
      <c r="AJ66" t="e">
        <f>INDEX('Summary month'!$BT$17:$BW$74,MATCH(AI66,'Summary month'!$D$17:$D$74,0),MATCH($C$1,'Summary month'!$BT$6:$BW$6,0))</f>
        <v>#N/A</v>
      </c>
    </row>
    <row r="67" spans="2:36" ht="18">
      <c r="E67" s="216"/>
      <c r="F67" s="216"/>
      <c r="G67" s="216" t="s">
        <v>28</v>
      </c>
      <c r="H67" s="594"/>
      <c r="I67" s="279">
        <v>2</v>
      </c>
      <c r="J67" s="276" t="s">
        <v>409</v>
      </c>
      <c r="K67" s="277"/>
      <c r="L67" s="277"/>
      <c r="M67" s="281">
        <v>3</v>
      </c>
      <c r="P67" s="279">
        <v>2</v>
      </c>
      <c r="Q67" s="276" t="s">
        <v>143</v>
      </c>
      <c r="R67" s="277"/>
      <c r="S67" s="281">
        <f>SUM('[7]New KPI vs BP'!$EB$449+'[7]New KPI vs BP'!$EB$460)</f>
        <v>0</v>
      </c>
      <c r="T67" s="216"/>
      <c r="U67" s="216"/>
      <c r="V67" s="216"/>
      <c r="W67" s="216"/>
      <c r="X67" s="268">
        <v>2</v>
      </c>
      <c r="Y67" s="276"/>
      <c r="Z67" s="277"/>
      <c r="AA67" s="278"/>
      <c r="AC67" s="268">
        <v>2</v>
      </c>
      <c r="AD67" s="276"/>
      <c r="AE67" s="277"/>
      <c r="AF67" s="277"/>
      <c r="AG67" s="277"/>
      <c r="AH67" s="278"/>
      <c r="AI67" t="s">
        <v>144</v>
      </c>
      <c r="AJ67" s="441" t="e">
        <f>AH66</f>
        <v>#N/A</v>
      </c>
    </row>
    <row r="68" spans="2:36" ht="18">
      <c r="B68" s="216"/>
      <c r="C68" s="319"/>
      <c r="D68" s="216"/>
      <c r="E68" s="216"/>
      <c r="F68" s="216"/>
      <c r="G68" s="216" t="s">
        <v>354</v>
      </c>
      <c r="H68" s="216"/>
      <c r="I68" s="279">
        <v>3</v>
      </c>
      <c r="J68" s="276" t="s">
        <v>362</v>
      </c>
      <c r="K68" s="277"/>
      <c r="L68" s="277"/>
      <c r="M68" s="281">
        <v>1</v>
      </c>
      <c r="N68" s="216"/>
      <c r="P68" s="279">
        <v>3</v>
      </c>
      <c r="Q68" s="276" t="s">
        <v>195</v>
      </c>
      <c r="R68" s="277"/>
      <c r="S68" s="281">
        <v>10.657344947641276</v>
      </c>
      <c r="V68" s="216"/>
      <c r="W68" s="216"/>
      <c r="X68" s="268">
        <v>3</v>
      </c>
      <c r="Y68" s="276"/>
      <c r="Z68" s="277"/>
      <c r="AA68" s="278"/>
      <c r="AC68" s="268">
        <v>3</v>
      </c>
      <c r="AD68" s="276"/>
      <c r="AE68" s="277"/>
      <c r="AF68" s="277"/>
      <c r="AG68" s="277"/>
      <c r="AH68" s="278"/>
    </row>
    <row r="69" spans="2:36" ht="18">
      <c r="B69" s="216"/>
      <c r="C69" s="319"/>
      <c r="D69" s="216"/>
      <c r="E69" s="272"/>
      <c r="F69" s="272"/>
      <c r="G69" s="272"/>
      <c r="H69" s="272"/>
      <c r="I69" s="279">
        <v>4</v>
      </c>
      <c r="J69" s="276" t="s">
        <v>410</v>
      </c>
      <c r="K69" s="277"/>
      <c r="L69" s="277"/>
      <c r="M69" s="281">
        <v>1</v>
      </c>
      <c r="N69" s="216"/>
      <c r="P69" s="279">
        <v>4</v>
      </c>
      <c r="Q69" s="276" t="s">
        <v>411</v>
      </c>
      <c r="R69" s="277"/>
      <c r="S69" s="281">
        <v>-4.6757525664136903</v>
      </c>
      <c r="V69" s="216"/>
      <c r="W69" s="216"/>
      <c r="X69" s="268">
        <v>4</v>
      </c>
      <c r="Y69" s="276"/>
      <c r="Z69" s="277"/>
      <c r="AA69" s="278"/>
      <c r="AC69" s="268">
        <v>4</v>
      </c>
      <c r="AD69" s="276"/>
      <c r="AE69" s="277"/>
      <c r="AF69" s="277"/>
      <c r="AG69" s="277"/>
      <c r="AH69" s="278"/>
    </row>
    <row r="70" spans="2:36" ht="18">
      <c r="B70" s="216"/>
      <c r="C70" s="319"/>
      <c r="D70" s="216"/>
      <c r="E70" s="216"/>
      <c r="F70" s="216"/>
      <c r="G70" s="216"/>
      <c r="H70" s="216"/>
      <c r="I70" s="279">
        <v>5</v>
      </c>
      <c r="J70" s="276" t="s">
        <v>406</v>
      </c>
      <c r="K70" s="277"/>
      <c r="L70" s="277"/>
      <c r="M70" s="281">
        <v>1.5</v>
      </c>
      <c r="N70" s="323"/>
      <c r="P70" s="279">
        <v>5</v>
      </c>
      <c r="Q70" s="276" t="s">
        <v>247</v>
      </c>
      <c r="R70" s="277"/>
      <c r="S70" s="281">
        <v>81.13060328535002</v>
      </c>
      <c r="W70" s="216"/>
      <c r="X70" s="282">
        <v>5</v>
      </c>
      <c r="Y70" s="283" t="s">
        <v>182</v>
      </c>
      <c r="Z70" s="284"/>
      <c r="AA70" s="285" t="e">
        <f>AA65-SUM(AA66:AA69)</f>
        <v>#N/A</v>
      </c>
      <c r="AC70" s="282">
        <v>5</v>
      </c>
      <c r="AD70" s="283" t="s">
        <v>182</v>
      </c>
      <c r="AE70" s="284"/>
      <c r="AF70" s="284"/>
      <c r="AG70" s="284"/>
      <c r="AH70" s="285" t="e">
        <f>AH65-SUM(AH66:AH69)</f>
        <v>#N/A</v>
      </c>
    </row>
    <row r="71" spans="2:36" ht="18">
      <c r="B71" s="216"/>
      <c r="C71" s="319"/>
      <c r="D71" s="216"/>
      <c r="E71" s="216"/>
      <c r="F71" s="216"/>
      <c r="G71" s="216"/>
      <c r="H71" s="216"/>
      <c r="I71" s="279">
        <v>6</v>
      </c>
      <c r="J71" s="276" t="s">
        <v>401</v>
      </c>
      <c r="K71" s="277"/>
      <c r="L71" s="277"/>
      <c r="M71" s="281">
        <v>0.5</v>
      </c>
      <c r="P71" s="279">
        <v>6</v>
      </c>
      <c r="Q71" s="276" t="s">
        <v>412</v>
      </c>
      <c r="R71" s="277"/>
      <c r="S71" s="281">
        <v>-37.299999999999997</v>
      </c>
      <c r="W71" s="216"/>
      <c r="X71" s="216"/>
      <c r="Y71" s="216"/>
      <c r="Z71" s="216"/>
      <c r="AA71" s="216"/>
      <c r="AB71" s="216"/>
      <c r="AC71" s="216"/>
      <c r="AD71" s="216"/>
      <c r="AE71" s="216"/>
      <c r="AF71" s="216"/>
      <c r="AG71" s="216"/>
      <c r="AH71" s="216"/>
    </row>
    <row r="72" spans="2:36" ht="18">
      <c r="B72" s="216"/>
      <c r="C72" s="319"/>
      <c r="D72" s="216"/>
      <c r="E72" s="216"/>
      <c r="F72" s="216"/>
      <c r="G72" s="216"/>
      <c r="H72" s="216"/>
      <c r="I72" s="279">
        <v>7</v>
      </c>
      <c r="J72" s="276" t="s">
        <v>373</v>
      </c>
      <c r="K72" s="277"/>
      <c r="L72" s="277"/>
      <c r="M72" s="281">
        <v>4.6440000000000001</v>
      </c>
      <c r="N72" s="216"/>
      <c r="P72" s="279">
        <v>7</v>
      </c>
      <c r="Q72" s="276"/>
      <c r="R72" s="277"/>
      <c r="S72" s="281"/>
      <c r="W72" s="216"/>
      <c r="X72" s="216"/>
      <c r="Y72" s="216"/>
      <c r="Z72" s="216"/>
      <c r="AA72" s="216"/>
      <c r="AB72" s="216"/>
      <c r="AC72" s="216"/>
      <c r="AD72" s="216"/>
      <c r="AE72" s="216"/>
      <c r="AF72" s="216"/>
      <c r="AG72" s="216"/>
      <c r="AH72" s="216"/>
    </row>
    <row r="73" spans="2:36" ht="18">
      <c r="B73" s="216"/>
      <c r="C73" s="319"/>
      <c r="D73" s="216"/>
      <c r="E73" s="216"/>
      <c r="F73" s="216"/>
      <c r="G73" s="216"/>
      <c r="I73" s="279">
        <v>8</v>
      </c>
      <c r="J73" s="276" t="s">
        <v>275</v>
      </c>
      <c r="K73" s="277"/>
      <c r="L73" s="277"/>
      <c r="M73" s="281">
        <v>0.26200000000000001</v>
      </c>
      <c r="N73" s="216"/>
      <c r="P73" s="279">
        <v>8</v>
      </c>
      <c r="Q73" s="276"/>
      <c r="R73" s="277"/>
      <c r="S73" s="278"/>
      <c r="T73" s="216" t="s">
        <v>223</v>
      </c>
      <c r="U73" s="216">
        <v>-1.4</v>
      </c>
      <c r="W73" s="216"/>
      <c r="X73" s="216"/>
      <c r="Y73" s="216"/>
      <c r="Z73" s="216"/>
      <c r="AA73" s="216"/>
      <c r="AB73" s="216"/>
      <c r="AC73" s="216"/>
      <c r="AD73" s="216"/>
      <c r="AE73" s="216"/>
      <c r="AF73" s="216"/>
      <c r="AG73" s="216"/>
      <c r="AH73" s="216"/>
    </row>
    <row r="74" spans="2:36" ht="18">
      <c r="B74" s="216"/>
      <c r="C74" s="319"/>
      <c r="D74" s="216"/>
      <c r="E74" s="216"/>
      <c r="F74" s="216"/>
      <c r="G74" s="216"/>
      <c r="H74" s="216"/>
      <c r="I74" s="279"/>
      <c r="J74" s="276"/>
      <c r="K74" s="277"/>
      <c r="L74" s="277"/>
      <c r="M74" s="281"/>
      <c r="N74" s="216"/>
      <c r="P74" s="279">
        <v>9</v>
      </c>
      <c r="Q74" s="276"/>
      <c r="R74" s="277"/>
      <c r="S74" s="278"/>
      <c r="T74" s="216" t="s">
        <v>359</v>
      </c>
      <c r="U74" s="330">
        <v>0.60934770452960008</v>
      </c>
      <c r="W74" s="272"/>
      <c r="X74" s="216"/>
      <c r="Y74" s="216"/>
      <c r="Z74" s="216"/>
      <c r="AA74" s="216"/>
      <c r="AB74" s="216"/>
      <c r="AC74" s="216"/>
      <c r="AD74" s="216"/>
      <c r="AE74" s="216"/>
      <c r="AF74" s="216"/>
      <c r="AG74" s="216"/>
      <c r="AH74" s="216"/>
    </row>
    <row r="75" spans="2:36" ht="18">
      <c r="B75" s="216"/>
      <c r="C75" s="319"/>
      <c r="D75" s="216"/>
      <c r="E75" s="216"/>
      <c r="F75" s="216"/>
      <c r="G75" s="216"/>
      <c r="H75" s="216"/>
      <c r="I75" s="279"/>
      <c r="J75" s="276"/>
      <c r="K75" s="277"/>
      <c r="L75" s="277"/>
      <c r="M75" s="281"/>
      <c r="N75" s="216"/>
      <c r="P75" s="288">
        <v>10</v>
      </c>
      <c r="Q75" s="283" t="s">
        <v>182</v>
      </c>
      <c r="R75" s="284"/>
      <c r="S75" s="285" t="e">
        <f>S65-SUM(S66:S74)</f>
        <v>#N/A</v>
      </c>
      <c r="T75" s="216" t="s">
        <v>195</v>
      </c>
      <c r="U75" s="315">
        <v>10.657344947641276</v>
      </c>
      <c r="W75" s="216"/>
      <c r="X75" s="297"/>
      <c r="Y75" s="216"/>
      <c r="Z75" s="216"/>
      <c r="AA75" s="216"/>
      <c r="AB75" s="216"/>
      <c r="AC75" s="216"/>
      <c r="AD75" s="216"/>
      <c r="AE75" s="216"/>
      <c r="AF75" s="216"/>
      <c r="AG75" s="216"/>
      <c r="AH75" s="216"/>
    </row>
    <row r="76" spans="2:36" ht="18">
      <c r="B76" s="216"/>
      <c r="C76" s="319"/>
      <c r="D76" s="216"/>
      <c r="E76" s="216"/>
      <c r="F76" s="216"/>
      <c r="G76" s="216"/>
      <c r="H76" s="216"/>
      <c r="I76" s="288">
        <v>9</v>
      </c>
      <c r="J76" s="289" t="s">
        <v>182</v>
      </c>
      <c r="K76" s="284"/>
      <c r="L76" s="284"/>
      <c r="M76" s="290">
        <f>M65-SUM(M66:M73)</f>
        <v>-6.581366743503736E-3</v>
      </c>
      <c r="N76" s="216"/>
      <c r="T76" s="216" t="s">
        <v>246</v>
      </c>
      <c r="U76" s="315">
        <v>-4.6757525664136903</v>
      </c>
      <c r="W76" s="216"/>
      <c r="X76" s="216"/>
      <c r="Y76" s="216"/>
      <c r="Z76" s="216"/>
      <c r="AA76" s="216"/>
      <c r="AB76" s="216"/>
      <c r="AC76" s="216"/>
      <c r="AD76" s="216"/>
      <c r="AE76" s="216"/>
      <c r="AF76" s="216"/>
      <c r="AG76" s="216"/>
      <c r="AH76" s="216"/>
    </row>
    <row r="77" spans="2:36" ht="18">
      <c r="B77" s="216"/>
      <c r="C77" s="319"/>
      <c r="D77" s="216"/>
      <c r="E77" s="216"/>
      <c r="F77" s="216"/>
      <c r="G77" s="216"/>
      <c r="H77" s="216"/>
      <c r="I77" s="216"/>
      <c r="J77" s="216"/>
      <c r="K77" s="216"/>
      <c r="L77" s="216"/>
      <c r="M77" s="216"/>
      <c r="N77" s="216"/>
      <c r="Q77" s="565" t="e">
        <f>SUM(S67:S75)+SUM(H64:H67)-H66</f>
        <v>#N/A</v>
      </c>
      <c r="T77" s="216" t="s">
        <v>247</v>
      </c>
      <c r="U77" s="315">
        <v>81.13060328535002</v>
      </c>
      <c r="W77" s="216"/>
      <c r="X77" s="216"/>
      <c r="Y77" s="216"/>
      <c r="Z77" s="216"/>
      <c r="AA77" s="216"/>
      <c r="AB77" s="216"/>
      <c r="AC77" s="216"/>
      <c r="AD77" s="216"/>
      <c r="AE77" s="216"/>
      <c r="AF77" s="216"/>
      <c r="AG77" s="216"/>
      <c r="AH77" s="216"/>
    </row>
    <row r="78" spans="2:36">
      <c r="B78" s="216"/>
      <c r="C78" s="216"/>
      <c r="D78" s="216"/>
      <c r="E78" s="216"/>
      <c r="F78" s="216"/>
      <c r="G78" s="216"/>
      <c r="H78" s="216"/>
      <c r="I78" s="216"/>
      <c r="J78" s="216"/>
      <c r="K78" s="216"/>
      <c r="L78" s="216"/>
      <c r="M78" s="216"/>
      <c r="N78" s="216"/>
      <c r="Q78" s="560"/>
      <c r="T78" s="216" t="s">
        <v>400</v>
      </c>
      <c r="U78" s="315">
        <v>-37.299999999999997</v>
      </c>
      <c r="V78" t="s">
        <v>387</v>
      </c>
      <c r="W78" s="216"/>
      <c r="X78" s="216"/>
      <c r="Y78" s="216"/>
      <c r="Z78" s="216"/>
      <c r="AA78" s="216"/>
      <c r="AB78" s="216"/>
      <c r="AC78" s="216"/>
      <c r="AD78" s="216"/>
      <c r="AE78" s="216"/>
      <c r="AF78" s="216"/>
      <c r="AG78" s="216"/>
      <c r="AH78" s="216"/>
    </row>
    <row r="79" spans="2:36">
      <c r="B79" s="216"/>
      <c r="C79" s="216"/>
      <c r="D79" s="216"/>
      <c r="E79" s="216"/>
      <c r="F79" s="216"/>
      <c r="G79" s="216"/>
      <c r="H79" s="216"/>
      <c r="I79" s="216"/>
      <c r="J79" s="216"/>
      <c r="K79" s="216"/>
      <c r="L79" s="216"/>
      <c r="M79" s="216"/>
      <c r="N79" s="216"/>
      <c r="Q79" s="560"/>
      <c r="T79" s="216" t="s">
        <v>222</v>
      </c>
      <c r="U79" s="315">
        <v>-4.3</v>
      </c>
      <c r="X79" s="216"/>
      <c r="Y79" s="216"/>
      <c r="AB79" s="216"/>
      <c r="AC79" s="216"/>
      <c r="AD79" s="216"/>
      <c r="AE79" s="216"/>
      <c r="AF79" s="216"/>
      <c r="AG79" s="216"/>
      <c r="AH79" s="216"/>
    </row>
    <row r="80" spans="2:36">
      <c r="B80" s="216"/>
      <c r="C80" s="216"/>
      <c r="D80" s="216"/>
      <c r="E80" s="216"/>
      <c r="F80" s="216"/>
      <c r="G80" s="216"/>
      <c r="H80" s="216"/>
      <c r="I80" s="216"/>
      <c r="J80" s="216"/>
      <c r="K80" s="216"/>
      <c r="L80" s="216"/>
      <c r="M80" s="216"/>
      <c r="N80" s="216"/>
      <c r="Q80" s="561"/>
      <c r="T80" s="216" t="s">
        <v>395</v>
      </c>
      <c r="U80" s="315">
        <v>2.6910902300583714</v>
      </c>
      <c r="X80" s="216"/>
      <c r="Y80" s="216"/>
      <c r="Z80" s="216"/>
      <c r="AA80" s="216"/>
      <c r="AB80" s="216"/>
      <c r="AC80" s="216"/>
      <c r="AD80" s="216"/>
      <c r="AE80" s="216"/>
      <c r="AF80" s="216"/>
      <c r="AG80" s="216"/>
      <c r="AH80" s="216"/>
    </row>
    <row r="81" spans="2:34">
      <c r="B81" s="216"/>
      <c r="C81" s="216"/>
      <c r="D81" s="216"/>
      <c r="E81" s="216"/>
      <c r="F81" s="216"/>
      <c r="G81" s="216"/>
      <c r="H81" s="216"/>
      <c r="I81" s="216"/>
      <c r="J81" s="216"/>
      <c r="K81" s="216"/>
      <c r="L81" s="216"/>
      <c r="M81" s="216"/>
      <c r="N81" s="216"/>
      <c r="Q81" s="562"/>
      <c r="T81" s="216" t="s">
        <v>217</v>
      </c>
      <c r="U81" s="315">
        <v>-1.1044567980228255</v>
      </c>
      <c r="W81" s="369"/>
      <c r="Y81" s="216"/>
      <c r="Z81" s="216"/>
      <c r="AA81" s="216"/>
      <c r="AB81" s="216"/>
      <c r="AC81" s="216"/>
      <c r="AD81" s="216"/>
      <c r="AE81" s="216"/>
      <c r="AF81" s="216"/>
      <c r="AG81" s="216"/>
      <c r="AH81" s="216"/>
    </row>
    <row r="82" spans="2:34">
      <c r="B82" s="216"/>
      <c r="C82" s="216"/>
      <c r="D82" s="216"/>
      <c r="E82" s="216"/>
      <c r="F82" s="216"/>
      <c r="G82" s="216"/>
      <c r="H82" s="216"/>
      <c r="I82" s="216"/>
      <c r="J82" s="532"/>
      <c r="K82" s="216"/>
      <c r="L82" s="216"/>
      <c r="M82" s="216"/>
      <c r="N82" s="216"/>
      <c r="Q82" s="562"/>
      <c r="T82" s="216"/>
      <c r="U82" s="577"/>
      <c r="X82" s="216"/>
      <c r="Y82" s="216"/>
      <c r="Z82" s="216"/>
      <c r="AA82" s="216"/>
      <c r="AB82" s="216"/>
      <c r="AC82" s="216"/>
      <c r="AD82" s="216"/>
      <c r="AE82" s="216"/>
      <c r="AF82" s="216"/>
      <c r="AG82" s="216"/>
      <c r="AH82" s="216"/>
    </row>
    <row r="83" spans="2:34">
      <c r="B83" s="216"/>
      <c r="C83" s="216"/>
      <c r="D83" s="216"/>
      <c r="E83" s="216"/>
      <c r="F83" s="216"/>
      <c r="G83" s="216"/>
      <c r="H83" s="216"/>
      <c r="I83" s="216"/>
      <c r="J83" s="216"/>
      <c r="K83" s="216"/>
      <c r="L83" s="216"/>
      <c r="M83" s="216"/>
      <c r="N83" s="216"/>
      <c r="Q83" s="563"/>
      <c r="T83" s="216" t="s">
        <v>283</v>
      </c>
      <c r="U83" s="317" t="e">
        <f>SUM(V95:V97)</f>
        <v>#N/A</v>
      </c>
      <c r="X83" s="216"/>
      <c r="Y83" s="216"/>
      <c r="Z83" s="216"/>
      <c r="AA83" s="216"/>
      <c r="AB83" s="216"/>
      <c r="AC83" s="216"/>
      <c r="AD83" s="216"/>
      <c r="AE83" s="216"/>
      <c r="AF83" s="216"/>
      <c r="AG83" s="216"/>
      <c r="AH83" s="216"/>
    </row>
    <row r="84" spans="2:34">
      <c r="B84" s="216"/>
      <c r="C84" s="216"/>
      <c r="D84" s="216"/>
      <c r="E84" s="216"/>
      <c r="F84" s="216"/>
      <c r="G84" s="216"/>
      <c r="H84" s="216"/>
      <c r="I84" s="216"/>
      <c r="J84" s="216"/>
      <c r="K84" s="216"/>
      <c r="L84" s="216"/>
      <c r="M84" s="216"/>
      <c r="N84" s="216"/>
      <c r="Q84" s="564" t="e">
        <f>Q77-SUM(Q78:Q83)</f>
        <v>#N/A</v>
      </c>
      <c r="W84" s="216"/>
      <c r="X84" s="216"/>
      <c r="Y84" s="216"/>
      <c r="Z84" s="216"/>
      <c r="AA84" s="216"/>
      <c r="AB84" s="216"/>
      <c r="AC84" s="216"/>
      <c r="AD84" s="216"/>
      <c r="AE84" s="216"/>
      <c r="AF84" s="216"/>
      <c r="AG84" s="216"/>
      <c r="AH84" s="216"/>
    </row>
    <row r="85" spans="2:34">
      <c r="Q85" s="529"/>
      <c r="X85" s="314"/>
    </row>
    <row r="86" spans="2:34">
      <c r="X86" s="314"/>
    </row>
    <row r="87" spans="2:34">
      <c r="W87" s="216"/>
      <c r="X87" s="314"/>
    </row>
    <row r="89" spans="2:34">
      <c r="U89" s="317"/>
      <c r="W89" s="216"/>
    </row>
    <row r="95" spans="2:34">
      <c r="U95" s="372" t="s">
        <v>252</v>
      </c>
      <c r="V95" s="373">
        <v>15.1</v>
      </c>
      <c r="X95" s="317"/>
      <c r="Z95" s="488"/>
    </row>
    <row r="96" spans="2:34">
      <c r="U96" t="s">
        <v>293</v>
      </c>
      <c r="V96" s="317">
        <v>-7.1</v>
      </c>
    </row>
    <row r="97" spans="21:22">
      <c r="U97" s="135" t="s">
        <v>144</v>
      </c>
      <c r="V97" s="373" t="e">
        <f>-AD56-AJ67-X57</f>
        <v>#N/A</v>
      </c>
    </row>
  </sheetData>
  <mergeCells count="26">
    <mergeCell ref="T59:T60"/>
    <mergeCell ref="AE59:AE60"/>
    <mergeCell ref="AF59:AF60"/>
    <mergeCell ref="AH59:AH60"/>
    <mergeCell ref="AH17:AH18"/>
    <mergeCell ref="T17:T18"/>
    <mergeCell ref="AE17:AE18"/>
    <mergeCell ref="AF17:AF18"/>
    <mergeCell ref="B52:B53"/>
    <mergeCell ref="C52:C53"/>
    <mergeCell ref="B59:B60"/>
    <mergeCell ref="H59:H60"/>
    <mergeCell ref="O59:O60"/>
    <mergeCell ref="P59:P60"/>
    <mergeCell ref="Q59:Q60"/>
    <mergeCell ref="R59:R60"/>
    <mergeCell ref="S59:S60"/>
    <mergeCell ref="Q17:Q18"/>
    <mergeCell ref="R17:R18"/>
    <mergeCell ref="S17:S18"/>
    <mergeCell ref="P17:P18"/>
    <mergeCell ref="B10:B11"/>
    <mergeCell ref="C10:C11"/>
    <mergeCell ref="B17:B18"/>
    <mergeCell ref="H17:H18"/>
    <mergeCell ref="O17:O18"/>
  </mergeCells>
  <pageMargins left="0.7" right="0.7" top="0.75" bottom="0.75" header="0.3" footer="0.3"/>
  <pageSetup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4EE4E-9127-465A-9C99-878129C55E44}">
  <sheetPr>
    <tabColor theme="7" tint="-0.249977111117893"/>
  </sheetPr>
  <dimension ref="B1:AK94"/>
  <sheetViews>
    <sheetView showGridLines="0" topLeftCell="A46" zoomScale="60" zoomScaleNormal="60" workbookViewId="0">
      <selection activeCell="D63" sqref="D63"/>
    </sheetView>
  </sheetViews>
  <sheetFormatPr defaultRowHeight="15"/>
  <cols>
    <col min="2" max="2" width="15.140625" customWidth="1"/>
    <col min="3" max="3" width="17" bestFit="1" customWidth="1"/>
    <col min="4" max="4" width="19" bestFit="1" customWidth="1"/>
    <col min="5" max="6" width="14.5703125" bestFit="1" customWidth="1"/>
    <col min="7" max="7" width="11.42578125" customWidth="1"/>
    <col min="11" max="11" width="9.5703125" bestFit="1" customWidth="1"/>
    <col min="21" max="21" width="19" bestFit="1" customWidth="1"/>
    <col min="24" max="24" width="10.5703125" customWidth="1"/>
  </cols>
  <sheetData>
    <row r="1" spans="2:34" ht="28.5">
      <c r="B1" s="304" t="str">
        <f>'Summary month'!E2</f>
        <v>Apr</v>
      </c>
      <c r="C1" t="str">
        <f>VLOOKUP(B1,mapping!$A$2:$C$13,3,0)</f>
        <v>M01</v>
      </c>
    </row>
    <row r="3" spans="2:34" ht="28.5">
      <c r="B3" s="299" t="s">
        <v>202</v>
      </c>
      <c r="I3" s="216"/>
      <c r="J3" s="334"/>
      <c r="K3" s="216"/>
      <c r="L3" s="216"/>
      <c r="M3" s="216"/>
      <c r="N3" s="334"/>
      <c r="O3" s="216"/>
      <c r="P3" s="216"/>
      <c r="Q3" s="216"/>
    </row>
    <row r="4" spans="2:34" ht="28.5">
      <c r="B4" s="299"/>
      <c r="I4" s="216"/>
      <c r="J4" s="334"/>
      <c r="K4" s="216"/>
      <c r="L4" s="216"/>
      <c r="M4" s="216"/>
      <c r="N4" s="334"/>
      <c r="O4" s="216"/>
      <c r="P4" s="216"/>
      <c r="Q4" s="216"/>
    </row>
    <row r="5" spans="2:34" ht="20.25">
      <c r="B5" s="216"/>
      <c r="C5" s="226" t="str">
        <f>B10</f>
        <v>OL QTD</v>
      </c>
      <c r="D5" s="226" t="str">
        <f>C10</f>
        <v>Act QTD</v>
      </c>
      <c r="E5" s="226" t="s">
        <v>320</v>
      </c>
      <c r="F5" s="226" t="s">
        <v>321</v>
      </c>
      <c r="G5" s="226" t="s">
        <v>322</v>
      </c>
      <c r="H5" s="292" t="s">
        <v>323</v>
      </c>
      <c r="I5" s="216"/>
    </row>
    <row r="6" spans="2:34" ht="20.25">
      <c r="B6" s="226" t="s">
        <v>327</v>
      </c>
      <c r="C6" s="229">
        <f>'Summary month'!BW82</f>
        <v>0</v>
      </c>
      <c r="D6" s="229">
        <f>'Summary month'!AF82</f>
        <v>212.05034833366267</v>
      </c>
      <c r="E6" s="226">
        <f>+D6-C6</f>
        <v>212.05034833366267</v>
      </c>
      <c r="F6" s="226" t="e">
        <f>B19</f>
        <v>#REF!</v>
      </c>
      <c r="G6" s="226" t="e">
        <f>SUM(C19:S19)</f>
        <v>#REF!</v>
      </c>
      <c r="H6" s="632" t="e">
        <f>E6-F6-G6</f>
        <v>#REF!</v>
      </c>
      <c r="I6" s="216"/>
      <c r="J6" s="334"/>
      <c r="K6" s="216"/>
      <c r="L6" s="216"/>
      <c r="M6" s="216"/>
      <c r="N6" s="334"/>
      <c r="O6" s="216"/>
      <c r="P6" s="216"/>
      <c r="Q6" s="216"/>
    </row>
    <row r="7" spans="2:34" ht="20.25">
      <c r="B7" s="226" t="s">
        <v>325</v>
      </c>
      <c r="C7" s="229">
        <f>'Summary month'!BW83</f>
        <v>0</v>
      </c>
      <c r="D7" s="229">
        <f>'Summary month'!AF83</f>
        <v>-263.92969695692659</v>
      </c>
      <c r="E7" s="226">
        <f>+D7-C7</f>
        <v>-263.92969695692659</v>
      </c>
      <c r="F7" s="226" t="e">
        <f>T19</f>
        <v>#REF!</v>
      </c>
      <c r="G7" s="226" t="e">
        <f>SUM(U19:AH19)</f>
        <v>#REF!</v>
      </c>
      <c r="H7" s="632" t="e">
        <f>E7-F7-G7</f>
        <v>#REF!</v>
      </c>
      <c r="I7" s="216"/>
      <c r="J7" s="334"/>
      <c r="K7" s="216"/>
      <c r="L7" s="216"/>
      <c r="M7" s="216"/>
      <c r="N7" s="334"/>
      <c r="O7" s="216"/>
      <c r="P7" s="216"/>
      <c r="Q7" s="216"/>
    </row>
    <row r="8" spans="2:34" ht="20.25">
      <c r="B8" s="226" t="s">
        <v>326</v>
      </c>
      <c r="C8" s="226">
        <f>+C6+C7</f>
        <v>0</v>
      </c>
      <c r="D8" s="226">
        <f>+D6+D7</f>
        <v>-51.879348623263922</v>
      </c>
      <c r="E8" s="226">
        <f>+D8-C8</f>
        <v>-51.879348623263922</v>
      </c>
      <c r="F8" s="226" t="e">
        <f>+E8-G8</f>
        <v>#REF!</v>
      </c>
      <c r="G8" s="226" t="e">
        <f>+G6+G7</f>
        <v>#REF!</v>
      </c>
      <c r="H8" s="632" t="e">
        <f>E8-F8-G8</f>
        <v>#REF!</v>
      </c>
      <c r="I8" s="216"/>
      <c r="J8" s="334" t="s">
        <v>303</v>
      </c>
      <c r="K8" s="216" t="s">
        <v>143</v>
      </c>
      <c r="L8" s="216" t="s">
        <v>304</v>
      </c>
      <c r="M8" s="216"/>
      <c r="N8" s="334" t="s">
        <v>303</v>
      </c>
      <c r="O8" s="216" t="s">
        <v>143</v>
      </c>
      <c r="P8" s="216" t="s">
        <v>305</v>
      </c>
      <c r="Q8" s="216" t="s">
        <v>306</v>
      </c>
    </row>
    <row r="9" spans="2:34" ht="18">
      <c r="B9" s="215"/>
      <c r="C9" s="216"/>
      <c r="D9" s="318" t="e">
        <f>D12-D54</f>
        <v>#REF!</v>
      </c>
      <c r="E9" s="318" t="e">
        <f>E12-E54</f>
        <v>#REF!</v>
      </c>
      <c r="F9" s="318" t="e">
        <f>F12-F54</f>
        <v>#REF!</v>
      </c>
      <c r="G9" s="318" t="e">
        <f>G12-G54</f>
        <v>#REF!</v>
      </c>
      <c r="H9" s="216"/>
      <c r="I9" s="216" t="s">
        <v>307</v>
      </c>
      <c r="J9" s="627">
        <f>'[7]New KPI vs BP'!$U$34-K9-L9</f>
        <v>5.0771427393912951</v>
      </c>
      <c r="K9" s="628">
        <f>'[7]New KPI vs BP'!$U$15</f>
        <v>-3.4265598921445823</v>
      </c>
      <c r="L9" s="627">
        <f>'[7]New KPI vs BP'!$U$507+'[7]New KPI vs BP'!$U$523</f>
        <v>-1.0929636786173194</v>
      </c>
      <c r="M9" s="628"/>
      <c r="N9" s="627" t="e">
        <f>'[7]New KPI vs BP'!$U$34-O9-P9</f>
        <v>#REF!</v>
      </c>
      <c r="O9" s="628">
        <f>K9</f>
        <v>-3.4265598921445823</v>
      </c>
      <c r="P9" s="629" t="e">
        <f>L10-AJ64</f>
        <v>#REF!</v>
      </c>
      <c r="Q9" s="627" t="e">
        <f>L9-(P9)</f>
        <v>#REF!</v>
      </c>
      <c r="R9" s="628"/>
      <c r="S9" s="216"/>
      <c r="T9" s="216"/>
      <c r="U9" s="216"/>
      <c r="V9" s="216"/>
      <c r="W9" s="216"/>
      <c r="X9" s="216"/>
      <c r="Y9" s="216"/>
      <c r="Z9" s="216"/>
      <c r="AA9" s="216"/>
      <c r="AB9" s="216"/>
      <c r="AC9" s="216"/>
      <c r="AD9" s="216"/>
      <c r="AE9" s="216"/>
      <c r="AF9" s="216"/>
      <c r="AG9" s="216"/>
      <c r="AH9" s="216"/>
    </row>
    <row r="10" spans="2:34" ht="20.100000000000001" customHeight="1">
      <c r="B10" s="1014" t="s">
        <v>311</v>
      </c>
      <c r="C10" s="1014" t="s">
        <v>214</v>
      </c>
      <c r="D10" s="218"/>
      <c r="E10" s="219"/>
      <c r="F10" s="219"/>
      <c r="G10" s="220"/>
      <c r="H10" s="216"/>
      <c r="I10" s="216" t="s">
        <v>62</v>
      </c>
      <c r="J10" s="627">
        <f>M52</f>
        <v>6.3744855012013657E-2</v>
      </c>
      <c r="K10" s="628">
        <v>0</v>
      </c>
      <c r="L10" s="627" t="e">
        <f>M53</f>
        <v>#REF!</v>
      </c>
      <c r="M10" s="628"/>
      <c r="N10" s="628"/>
      <c r="O10" s="628"/>
      <c r="P10" s="628"/>
      <c r="Q10" s="628"/>
      <c r="R10" s="628"/>
      <c r="S10" s="216"/>
      <c r="T10" s="216"/>
      <c r="U10" s="216"/>
      <c r="V10" s="216"/>
      <c r="W10" s="221"/>
      <c r="X10" s="221"/>
      <c r="Y10" s="221"/>
      <c r="Z10" s="221"/>
      <c r="AA10" s="221"/>
      <c r="AB10" s="221"/>
      <c r="AC10" s="221"/>
      <c r="AD10" s="221"/>
      <c r="AE10" s="221"/>
      <c r="AF10" s="221"/>
      <c r="AG10" s="221"/>
      <c r="AH10" s="221"/>
    </row>
    <row r="11" spans="2:34" ht="40.5">
      <c r="B11" s="1015"/>
      <c r="C11" s="1016"/>
      <c r="D11" s="222"/>
      <c r="E11" s="223" t="s">
        <v>154</v>
      </c>
      <c r="F11" s="224" t="s">
        <v>155</v>
      </c>
      <c r="G11" s="225" t="s">
        <v>156</v>
      </c>
      <c r="H11" s="216"/>
      <c r="I11" s="216" t="s">
        <v>208</v>
      </c>
      <c r="J11" s="216"/>
      <c r="K11" s="216"/>
      <c r="L11" s="216"/>
      <c r="M11" s="216"/>
      <c r="N11" s="216"/>
      <c r="O11" s="216"/>
      <c r="P11" s="216"/>
      <c r="Q11" s="216"/>
      <c r="R11" s="216"/>
      <c r="AH11" s="216"/>
    </row>
    <row r="12" spans="2:34" ht="20.25">
      <c r="B12" s="226">
        <f>'Summary month'!BS55</f>
        <v>-192.73071265609613</v>
      </c>
      <c r="C12" s="226">
        <f>'Summary month'!AF55</f>
        <v>-51.879348623263915</v>
      </c>
      <c r="D12" s="227">
        <f>C12-B12</f>
        <v>140.85136403283221</v>
      </c>
      <c r="E12" s="228">
        <f>'[7]New KPI vs BP'!$U$34</f>
        <v>0.55761916862939342</v>
      </c>
      <c r="F12" s="228" t="e">
        <f>'Summary month'!BW82-E13</f>
        <v>#REF!</v>
      </c>
      <c r="G12" s="229" t="e">
        <f>'Summary month'!BW83-E14</f>
        <v>#REF!</v>
      </c>
      <c r="H12" s="216"/>
      <c r="I12" s="631" t="e">
        <f>SUM(E12:G12)-D12</f>
        <v>#REF!</v>
      </c>
      <c r="J12" s="216"/>
      <c r="K12" s="216"/>
      <c r="L12" s="216"/>
      <c r="M12" s="216"/>
      <c r="N12" s="216"/>
      <c r="O12" s="230"/>
      <c r="P12" s="216"/>
      <c r="Q12" s="216"/>
      <c r="R12" s="216"/>
      <c r="AH12" s="230"/>
    </row>
    <row r="13" spans="2:34">
      <c r="B13" s="216"/>
      <c r="C13" s="216"/>
      <c r="D13" s="216"/>
      <c r="E13" s="315" t="e">
        <f>SUM(N9:O9)</f>
        <v>#REF!</v>
      </c>
      <c r="F13" s="216" t="s">
        <v>308</v>
      </c>
      <c r="G13" s="216"/>
      <c r="H13" s="216"/>
      <c r="I13" s="216"/>
      <c r="J13" s="216"/>
      <c r="K13" s="216"/>
      <c r="L13" s="216"/>
      <c r="M13" s="216"/>
      <c r="N13" s="216"/>
      <c r="O13" s="216" t="s">
        <v>53</v>
      </c>
      <c r="P13" s="216" t="e">
        <f>-'Summary month'!BW66</f>
        <v>#REF!</v>
      </c>
      <c r="Q13" s="216"/>
      <c r="R13" s="216"/>
      <c r="AH13" s="216"/>
    </row>
    <row r="14" spans="2:34">
      <c r="B14" s="216"/>
      <c r="C14" s="216" t="s">
        <v>51</v>
      </c>
      <c r="D14" s="216" t="s">
        <v>50</v>
      </c>
      <c r="E14" s="315" t="e">
        <f>P9</f>
        <v>#REF!</v>
      </c>
      <c r="F14" s="216" t="s">
        <v>309</v>
      </c>
      <c r="G14" s="216"/>
      <c r="H14" s="216"/>
      <c r="I14" s="216"/>
      <c r="J14" s="216"/>
      <c r="K14" s="216"/>
      <c r="L14" s="216"/>
      <c r="M14" s="216"/>
      <c r="N14" s="216"/>
      <c r="O14" s="216" t="s">
        <v>54</v>
      </c>
      <c r="P14" s="216" t="e">
        <f>-'Summary month'!BW67</f>
        <v>#REF!</v>
      </c>
      <c r="Q14" s="216"/>
      <c r="R14" s="216"/>
      <c r="AH14" s="216"/>
    </row>
    <row r="15" spans="2:34" ht="21" thickBot="1">
      <c r="B15" s="231" t="s">
        <v>157</v>
      </c>
      <c r="C15" s="232" t="s">
        <v>56</v>
      </c>
      <c r="D15" s="232" t="s">
        <v>57</v>
      </c>
      <c r="E15" s="232"/>
      <c r="F15" s="232"/>
      <c r="G15" s="232"/>
      <c r="H15" s="232"/>
      <c r="I15" s="232"/>
      <c r="J15" s="232"/>
      <c r="K15" s="232"/>
      <c r="L15" s="232"/>
      <c r="M15" s="232"/>
      <c r="N15" s="232"/>
      <c r="O15" s="232" t="s">
        <v>55</v>
      </c>
      <c r="P15" s="216" t="e">
        <f>-'Summary month'!BW68</f>
        <v>#REF!</v>
      </c>
      <c r="Q15" s="232"/>
      <c r="R15" s="232" t="s">
        <v>60</v>
      </c>
      <c r="AA15" t="s">
        <v>52</v>
      </c>
      <c r="AB15" t="s">
        <v>59</v>
      </c>
      <c r="AH15" s="217" t="s">
        <v>138</v>
      </c>
    </row>
    <row r="16" spans="2:34" ht="21" thickBot="1">
      <c r="B16" s="233"/>
      <c r="C16" s="234" t="s">
        <v>159</v>
      </c>
      <c r="D16" s="234"/>
      <c r="E16" s="234"/>
      <c r="F16" s="234"/>
      <c r="G16" s="234"/>
      <c r="H16" s="234"/>
      <c r="I16" s="234"/>
      <c r="J16" s="234"/>
      <c r="K16" s="234"/>
      <c r="L16" s="234"/>
      <c r="M16" s="234"/>
      <c r="N16" s="234"/>
      <c r="O16" s="234"/>
      <c r="P16" s="234"/>
      <c r="Q16" s="234"/>
      <c r="R16" s="234"/>
      <c r="S16" s="235"/>
      <c r="T16" s="236"/>
      <c r="U16" s="237" t="s">
        <v>160</v>
      </c>
      <c r="V16" s="237"/>
      <c r="W16" s="237"/>
      <c r="X16" s="237"/>
      <c r="Y16" s="237"/>
      <c r="Z16" s="237"/>
      <c r="AA16" s="237"/>
      <c r="AB16" s="237"/>
      <c r="AC16" s="237"/>
      <c r="AD16" s="237"/>
      <c r="AE16" s="237"/>
      <c r="AF16" s="237"/>
      <c r="AG16" s="237"/>
      <c r="AH16" s="238"/>
    </row>
    <row r="17" spans="2:34" ht="20.100000000000001" customHeight="1">
      <c r="B17" s="1027" t="s">
        <v>274</v>
      </c>
      <c r="C17" s="239" t="s">
        <v>161</v>
      </c>
      <c r="D17" s="240"/>
      <c r="E17" s="240"/>
      <c r="F17" s="240"/>
      <c r="G17" s="241"/>
      <c r="H17" s="1017" t="s">
        <v>162</v>
      </c>
      <c r="I17" s="242" t="s">
        <v>163</v>
      </c>
      <c r="J17" s="243"/>
      <c r="K17" s="243"/>
      <c r="L17" s="243"/>
      <c r="M17" s="243"/>
      <c r="N17" s="244"/>
      <c r="O17" s="1019" t="s">
        <v>164</v>
      </c>
      <c r="P17" s="1019" t="s">
        <v>165</v>
      </c>
      <c r="Q17" s="1019" t="s">
        <v>166</v>
      </c>
      <c r="R17" s="1022" t="s">
        <v>167</v>
      </c>
      <c r="S17" s="1023" t="s">
        <v>168</v>
      </c>
      <c r="T17" s="1027" t="s">
        <v>274</v>
      </c>
      <c r="U17" s="245" t="s">
        <v>169</v>
      </c>
      <c r="V17" s="246"/>
      <c r="W17" s="246"/>
      <c r="X17" s="247"/>
      <c r="Y17" s="248" t="s">
        <v>163</v>
      </c>
      <c r="Z17" s="246"/>
      <c r="AA17" s="246"/>
      <c r="AB17" s="246"/>
      <c r="AC17" s="246"/>
      <c r="AD17" s="247"/>
      <c r="AE17" s="1022" t="s">
        <v>166</v>
      </c>
      <c r="AF17" s="1025" t="s">
        <v>167</v>
      </c>
      <c r="AG17" s="311"/>
      <c r="AH17" s="1012" t="s">
        <v>168</v>
      </c>
    </row>
    <row r="18" spans="2:34" ht="77.45" customHeight="1">
      <c r="B18" s="1028"/>
      <c r="C18" s="249" t="s">
        <v>170</v>
      </c>
      <c r="D18" s="250" t="s">
        <v>171</v>
      </c>
      <c r="E18" s="250" t="s">
        <v>172</v>
      </c>
      <c r="F18" s="250" t="s">
        <v>173</v>
      </c>
      <c r="G18" s="251" t="s">
        <v>174</v>
      </c>
      <c r="H18" s="1018"/>
      <c r="I18" s="250" t="s">
        <v>175</v>
      </c>
      <c r="J18" s="250" t="s">
        <v>176</v>
      </c>
      <c r="K18" s="250" t="s">
        <v>177</v>
      </c>
      <c r="L18" s="250" t="s">
        <v>178</v>
      </c>
      <c r="M18" s="250" t="s">
        <v>168</v>
      </c>
      <c r="N18" s="250" t="s">
        <v>179</v>
      </c>
      <c r="O18" s="1020"/>
      <c r="P18" s="1021"/>
      <c r="Q18" s="1021"/>
      <c r="R18" s="1021"/>
      <c r="S18" s="1024"/>
      <c r="T18" s="1028"/>
      <c r="U18" s="307" t="s">
        <v>203</v>
      </c>
      <c r="V18" s="308" t="s">
        <v>180</v>
      </c>
      <c r="W18" s="309" t="s">
        <v>181</v>
      </c>
      <c r="X18" s="310" t="s">
        <v>33</v>
      </c>
      <c r="Y18" s="305" t="s">
        <v>25</v>
      </c>
      <c r="Z18" s="306" t="s">
        <v>183</v>
      </c>
      <c r="AA18" s="306" t="s">
        <v>204</v>
      </c>
      <c r="AB18" s="306" t="s">
        <v>205</v>
      </c>
      <c r="AC18" s="306" t="s">
        <v>184</v>
      </c>
      <c r="AD18" s="306" t="s">
        <v>30</v>
      </c>
      <c r="AE18" s="1021"/>
      <c r="AF18" s="1026"/>
      <c r="AG18" s="312" t="s">
        <v>37</v>
      </c>
      <c r="AH18" s="1013"/>
    </row>
    <row r="19" spans="2:34" ht="21" thickBot="1">
      <c r="B19" s="252" t="e">
        <f>E13</f>
        <v>#REF!</v>
      </c>
      <c r="C19" s="253" t="e">
        <f>C61-'Summary month'!BW64-'Summary month'!BW69+J10-N9</f>
        <v>#REF!</v>
      </c>
      <c r="D19" s="254" t="e">
        <f>-'Summary month'!BW63-'Summary month'!BW70-O9</f>
        <v>#REF!</v>
      </c>
      <c r="E19" s="254">
        <f>E61</f>
        <v>0</v>
      </c>
      <c r="F19" s="254">
        <f>F61</f>
        <v>0</v>
      </c>
      <c r="G19" s="254"/>
      <c r="H19" s="254"/>
      <c r="I19" s="254">
        <f>I61</f>
        <v>0</v>
      </c>
      <c r="J19" s="255">
        <f>J61</f>
        <v>0</v>
      </c>
      <c r="K19" s="255">
        <f>K61</f>
        <v>0</v>
      </c>
      <c r="L19" s="255">
        <f>L61</f>
        <v>0</v>
      </c>
      <c r="M19" s="255">
        <f>M61</f>
        <v>0</v>
      </c>
      <c r="N19" s="255"/>
      <c r="O19" s="254" t="e">
        <f>-SUM('Summary month'!BW66:BW68)</f>
        <v>#REF!</v>
      </c>
      <c r="P19" s="254"/>
      <c r="Q19" s="256"/>
      <c r="R19" s="254" t="e">
        <f>R61-'Summary month'!BW73</f>
        <v>#REF!</v>
      </c>
      <c r="S19" s="257" t="e">
        <f>F12-SUM(C19:R19)</f>
        <v>#REF!</v>
      </c>
      <c r="T19" s="253" t="e">
        <f>E14</f>
        <v>#REF!</v>
      </c>
      <c r="U19" s="253" t="e">
        <f>U61</f>
        <v>#REF!</v>
      </c>
      <c r="V19" s="258" t="e">
        <f>V61</f>
        <v>#REF!</v>
      </c>
      <c r="W19" s="258"/>
      <c r="X19" s="258" t="e">
        <f>X61</f>
        <v>#REF!</v>
      </c>
      <c r="Y19" s="258" t="e">
        <f>Y61</f>
        <v>#REF!</v>
      </c>
      <c r="Z19" s="258" t="e">
        <f>Z61</f>
        <v>#REF!</v>
      </c>
      <c r="AA19" s="258" t="e">
        <f>AA61-'Summary month'!BW65</f>
        <v>#REF!</v>
      </c>
      <c r="AB19" s="258" t="e">
        <f>-'Summary month'!BW72</f>
        <v>#REF!</v>
      </c>
      <c r="AC19" s="258" t="e">
        <f>AC61</f>
        <v>#REF!</v>
      </c>
      <c r="AD19" s="258" t="e">
        <f>AD61</f>
        <v>#REF!</v>
      </c>
      <c r="AE19" s="256"/>
      <c r="AF19" s="259"/>
      <c r="AG19" s="254" t="e">
        <f>AG61</f>
        <v>#REF!</v>
      </c>
      <c r="AH19" s="260" t="e">
        <f>G12-SUM(U19:AG19)</f>
        <v>#REF!</v>
      </c>
    </row>
    <row r="20" spans="2:34" ht="18">
      <c r="B20" s="216"/>
      <c r="C20" s="261"/>
      <c r="D20" s="216"/>
      <c r="E20" s="216"/>
      <c r="F20" s="216"/>
      <c r="G20" s="216"/>
      <c r="H20" s="216"/>
      <c r="I20" s="216"/>
      <c r="J20" s="216"/>
      <c r="K20" s="216"/>
      <c r="L20" s="216"/>
      <c r="M20" s="216"/>
      <c r="N20" s="216"/>
      <c r="O20" s="216"/>
      <c r="P20" s="216"/>
      <c r="Q20" s="216"/>
      <c r="R20" s="216"/>
      <c r="S20" s="216"/>
      <c r="T20" s="216"/>
      <c r="U20" s="216"/>
      <c r="V20" s="216"/>
      <c r="W20" s="216"/>
      <c r="X20" s="216"/>
      <c r="Y20" s="216"/>
      <c r="Z20" s="216"/>
      <c r="AA20" s="216"/>
      <c r="AB20" s="216"/>
      <c r="AC20" s="216"/>
      <c r="AD20" s="216"/>
      <c r="AE20" s="216"/>
      <c r="AF20" s="216"/>
      <c r="AG20" s="216"/>
      <c r="AH20" s="216"/>
    </row>
    <row r="21" spans="2:34" ht="20.25">
      <c r="B21" s="221"/>
      <c r="C21" s="261"/>
      <c r="D21" s="262"/>
      <c r="E21" s="262"/>
      <c r="F21" s="262"/>
      <c r="G21" s="262"/>
      <c r="H21" s="262"/>
      <c r="I21" s="262"/>
      <c r="J21" s="262"/>
      <c r="K21" s="262"/>
      <c r="L21" s="262"/>
      <c r="M21" s="262"/>
      <c r="N21" s="262"/>
      <c r="O21" s="262"/>
      <c r="P21" s="262"/>
      <c r="Q21" s="262"/>
      <c r="R21" s="262"/>
      <c r="S21" s="221"/>
      <c r="T21" s="221"/>
      <c r="U21" s="221"/>
      <c r="V21" s="221"/>
      <c r="W21" s="221"/>
      <c r="X21" s="263" t="s">
        <v>185</v>
      </c>
      <c r="Y21" s="264"/>
      <c r="Z21" s="264"/>
      <c r="AA21" s="264"/>
      <c r="AB21" s="265" t="e">
        <f>AD19</f>
        <v>#REF!</v>
      </c>
      <c r="AC21" s="221"/>
      <c r="AD21" s="263" t="s">
        <v>186</v>
      </c>
      <c r="AE21" s="264"/>
      <c r="AF21" s="264"/>
      <c r="AG21" s="264"/>
      <c r="AH21" s="265" t="e">
        <f>AH19</f>
        <v>#REF!</v>
      </c>
    </row>
    <row r="22" spans="2:34" ht="18">
      <c r="B22" s="216"/>
      <c r="C22" s="266"/>
      <c r="D22" s="267"/>
      <c r="E22" s="267"/>
      <c r="F22" s="267"/>
      <c r="G22" s="267"/>
      <c r="H22" s="267"/>
      <c r="I22" s="267"/>
      <c r="J22" s="267"/>
      <c r="K22" s="267"/>
      <c r="L22" s="267"/>
      <c r="M22" s="267"/>
      <c r="N22" s="267"/>
      <c r="O22" s="267"/>
      <c r="P22" s="267"/>
      <c r="Q22" s="267"/>
      <c r="R22" s="267"/>
      <c r="S22" s="216"/>
      <c r="T22" s="216"/>
      <c r="U22" s="216"/>
      <c r="V22" s="216"/>
      <c r="W22" s="216"/>
      <c r="X22" s="268">
        <v>1</v>
      </c>
      <c r="Y22" s="269"/>
      <c r="Z22" s="270"/>
      <c r="AA22" s="270"/>
      <c r="AB22" s="271"/>
      <c r="AC22" s="216"/>
      <c r="AD22" s="268">
        <v>1</v>
      </c>
      <c r="AE22" s="269" t="s">
        <v>187</v>
      </c>
      <c r="AF22" s="270"/>
      <c r="AG22" s="270"/>
      <c r="AH22" s="271" t="e">
        <f>AJ64-'Summary month'!BW74</f>
        <v>#REF!</v>
      </c>
    </row>
    <row r="23" spans="2:34" ht="20.25">
      <c r="B23" s="216"/>
      <c r="C23" s="272"/>
      <c r="D23" s="216"/>
      <c r="E23" s="216"/>
      <c r="F23" s="216"/>
      <c r="G23" s="216"/>
      <c r="H23" s="216"/>
      <c r="I23" s="273" t="s">
        <v>188</v>
      </c>
      <c r="J23" s="274"/>
      <c r="K23" s="274"/>
      <c r="L23" s="274"/>
      <c r="M23" s="275">
        <f>M19</f>
        <v>0</v>
      </c>
      <c r="N23" s="216"/>
      <c r="O23" s="216"/>
      <c r="P23" s="216"/>
      <c r="Q23" s="216"/>
      <c r="R23" s="216"/>
      <c r="S23" s="216"/>
      <c r="T23" s="216"/>
      <c r="U23" s="216"/>
      <c r="V23" s="216"/>
      <c r="W23" s="216"/>
      <c r="X23" s="268">
        <v>2</v>
      </c>
      <c r="Y23" s="276"/>
      <c r="Z23" s="277"/>
      <c r="AA23" s="277"/>
      <c r="AB23" s="278"/>
      <c r="AC23" s="216"/>
      <c r="AD23" s="268">
        <v>2</v>
      </c>
      <c r="AE23" s="276"/>
      <c r="AF23" s="277"/>
      <c r="AG23" s="277"/>
      <c r="AH23" s="278"/>
    </row>
    <row r="24" spans="2:34" ht="18">
      <c r="B24" s="216"/>
      <c r="C24" s="272"/>
      <c r="D24" s="216"/>
      <c r="E24" s="216"/>
      <c r="F24" s="216"/>
      <c r="G24" s="216"/>
      <c r="H24" s="216"/>
      <c r="I24" s="279">
        <v>1</v>
      </c>
      <c r="J24" s="269"/>
      <c r="K24" s="270"/>
      <c r="L24" s="270"/>
      <c r="M24" s="280"/>
      <c r="N24" s="216"/>
      <c r="O24" s="216"/>
      <c r="P24" s="216"/>
      <c r="Q24" s="216"/>
      <c r="R24" s="216"/>
      <c r="S24" s="216"/>
      <c r="T24" s="216"/>
      <c r="U24" s="216"/>
      <c r="V24" s="216"/>
      <c r="W24" s="216"/>
      <c r="X24" s="268">
        <v>3</v>
      </c>
      <c r="Y24" s="276"/>
      <c r="Z24" s="277"/>
      <c r="AA24" s="277"/>
      <c r="AB24" s="278"/>
      <c r="AC24" s="216"/>
      <c r="AD24" s="268">
        <v>3</v>
      </c>
      <c r="AE24" s="276"/>
      <c r="AF24" s="277"/>
      <c r="AG24" s="277"/>
      <c r="AH24" s="278"/>
    </row>
    <row r="25" spans="2:34" ht="18">
      <c r="B25" s="216"/>
      <c r="C25" s="272"/>
      <c r="D25" s="216"/>
      <c r="E25" s="216"/>
      <c r="F25" s="216"/>
      <c r="G25" s="216"/>
      <c r="H25" s="216"/>
      <c r="I25" s="279">
        <v>2</v>
      </c>
      <c r="J25" s="276"/>
      <c r="K25" s="277"/>
      <c r="L25" s="277"/>
      <c r="M25" s="281"/>
      <c r="N25" s="216"/>
      <c r="O25" s="216"/>
      <c r="P25" s="216"/>
      <c r="Q25" s="216"/>
      <c r="R25" s="216"/>
      <c r="S25" s="216"/>
      <c r="T25" s="216"/>
      <c r="U25" s="216"/>
      <c r="V25" s="216"/>
      <c r="W25" s="216"/>
      <c r="X25" s="268">
        <v>4</v>
      </c>
      <c r="Y25" s="276"/>
      <c r="Z25" s="277"/>
      <c r="AA25" s="277"/>
      <c r="AB25" s="278"/>
      <c r="AC25" s="216"/>
      <c r="AD25" s="268">
        <v>4</v>
      </c>
      <c r="AE25" s="276"/>
      <c r="AF25" s="277"/>
      <c r="AG25" s="277"/>
      <c r="AH25" s="278"/>
    </row>
    <row r="26" spans="2:34" ht="18">
      <c r="B26" s="216"/>
      <c r="C26" s="272"/>
      <c r="D26" s="216"/>
      <c r="E26" s="216"/>
      <c r="F26" s="216"/>
      <c r="G26" s="216"/>
      <c r="H26" s="216"/>
      <c r="I26" s="279">
        <v>3</v>
      </c>
      <c r="J26" s="276"/>
      <c r="K26" s="277"/>
      <c r="L26" s="277"/>
      <c r="M26" s="281"/>
      <c r="N26" s="216"/>
      <c r="O26" s="216"/>
      <c r="P26" s="216"/>
      <c r="Q26" s="216"/>
      <c r="R26" s="216"/>
      <c r="S26" s="216"/>
      <c r="T26" s="216"/>
      <c r="U26" s="216"/>
      <c r="V26" s="216"/>
      <c r="W26" s="216"/>
      <c r="X26" s="282">
        <v>5</v>
      </c>
      <c r="Y26" s="283" t="s">
        <v>182</v>
      </c>
      <c r="Z26" s="284"/>
      <c r="AA26" s="284"/>
      <c r="AB26" s="285" t="e">
        <f>AB21-SUM(AB22:AB25)</f>
        <v>#REF!</v>
      </c>
      <c r="AC26" s="216"/>
      <c r="AD26" s="282">
        <v>5</v>
      </c>
      <c r="AE26" s="283" t="s">
        <v>182</v>
      </c>
      <c r="AF26" s="284"/>
      <c r="AG26" s="284"/>
      <c r="AH26" s="285" t="e">
        <f>AH21-SUM(AH22:AH25)</f>
        <v>#REF!</v>
      </c>
    </row>
    <row r="27" spans="2:34" ht="18">
      <c r="B27" s="216"/>
      <c r="C27" s="216"/>
      <c r="D27" s="272"/>
      <c r="E27" s="272"/>
      <c r="F27" s="272"/>
      <c r="G27" s="272"/>
      <c r="H27" s="272"/>
      <c r="I27" s="279">
        <v>4</v>
      </c>
      <c r="J27" s="276"/>
      <c r="K27" s="277"/>
      <c r="L27" s="277"/>
      <c r="M27" s="281"/>
      <c r="N27" s="216"/>
      <c r="O27" s="216"/>
      <c r="P27" s="272"/>
      <c r="Q27" s="272"/>
      <c r="R27" s="216"/>
      <c r="S27" s="216"/>
      <c r="T27" s="216"/>
      <c r="U27" s="216"/>
      <c r="V27" s="216"/>
      <c r="W27" s="216"/>
      <c r="X27" s="216"/>
      <c r="Y27" s="216"/>
      <c r="Z27" s="216"/>
      <c r="AA27" s="216"/>
      <c r="AB27" s="286" t="e">
        <f>AB26-AB68</f>
        <v>#REF!</v>
      </c>
      <c r="AC27" s="216"/>
      <c r="AD27" s="216"/>
      <c r="AE27" s="216"/>
      <c r="AF27" s="216"/>
      <c r="AG27" s="287"/>
      <c r="AH27" s="286" t="e">
        <f>AH26-AH68</f>
        <v>#REF!</v>
      </c>
    </row>
    <row r="28" spans="2:34" ht="18">
      <c r="B28" s="216"/>
      <c r="C28" s="272"/>
      <c r="D28" s="216"/>
      <c r="E28" s="216"/>
      <c r="F28" s="216"/>
      <c r="G28" s="216"/>
      <c r="H28" s="216"/>
      <c r="I28" s="279">
        <v>5</v>
      </c>
      <c r="J28" s="276"/>
      <c r="K28" s="277"/>
      <c r="L28" s="277"/>
      <c r="M28" s="281"/>
      <c r="N28" s="216"/>
      <c r="O28" s="216"/>
      <c r="P28" s="216"/>
      <c r="Q28" s="216"/>
      <c r="R28" s="216"/>
      <c r="S28" s="216"/>
      <c r="T28" s="216"/>
      <c r="U28" s="216"/>
      <c r="V28" s="216"/>
      <c r="W28" s="216"/>
      <c r="X28" s="216"/>
      <c r="Y28" s="216"/>
      <c r="Z28" s="216"/>
      <c r="AA28" s="216"/>
      <c r="AB28" s="216"/>
      <c r="AC28" s="216"/>
      <c r="AD28" s="216"/>
      <c r="AE28" s="216"/>
      <c r="AF28" s="216"/>
      <c r="AG28" s="216"/>
      <c r="AH28" s="216"/>
    </row>
    <row r="29" spans="2:34" ht="18">
      <c r="B29" s="216"/>
      <c r="C29" s="272"/>
      <c r="D29" s="216"/>
      <c r="E29" s="216"/>
      <c r="F29" s="216"/>
      <c r="G29" s="216"/>
      <c r="H29" s="216"/>
      <c r="I29" s="279">
        <v>6</v>
      </c>
      <c r="J29" s="276"/>
      <c r="K29" s="277"/>
      <c r="L29" s="277"/>
      <c r="M29" s="281"/>
      <c r="N29" s="216"/>
      <c r="O29" s="216"/>
      <c r="P29" s="216"/>
      <c r="Q29" s="216"/>
      <c r="R29" s="216"/>
      <c r="S29" s="216"/>
      <c r="T29" s="216"/>
      <c r="U29" s="216"/>
      <c r="V29" s="216"/>
      <c r="W29" s="216"/>
      <c r="X29" s="216"/>
      <c r="Y29" s="216"/>
      <c r="Z29" s="216"/>
      <c r="AA29" s="216"/>
      <c r="AB29" s="216"/>
      <c r="AC29" s="216"/>
      <c r="AD29" s="216"/>
      <c r="AE29" s="216"/>
      <c r="AF29" s="216"/>
      <c r="AG29" s="216"/>
      <c r="AH29" s="216"/>
    </row>
    <row r="30" spans="2:34" ht="18">
      <c r="B30" s="216"/>
      <c r="C30" s="272"/>
      <c r="D30" s="272"/>
      <c r="E30" s="216"/>
      <c r="F30" s="216"/>
      <c r="G30" s="216"/>
      <c r="H30" s="216"/>
      <c r="I30" s="279">
        <v>7</v>
      </c>
      <c r="J30" s="276"/>
      <c r="K30" s="277"/>
      <c r="L30" s="277"/>
      <c r="M30" s="281"/>
      <c r="N30" s="216"/>
      <c r="O30" s="216"/>
      <c r="P30" s="216"/>
      <c r="Q30" s="216"/>
      <c r="R30" s="216"/>
      <c r="S30" s="216"/>
      <c r="T30" s="216"/>
      <c r="U30" s="216"/>
      <c r="V30" s="216"/>
      <c r="W30" s="216"/>
      <c r="X30" s="216"/>
      <c r="Y30" s="216"/>
      <c r="Z30" s="216"/>
      <c r="AA30" s="216"/>
      <c r="AB30" s="216"/>
      <c r="AC30" s="216"/>
      <c r="AD30" s="216"/>
      <c r="AE30" s="216"/>
      <c r="AF30" s="216"/>
      <c r="AG30" s="216"/>
      <c r="AH30" s="216"/>
    </row>
    <row r="31" spans="2:34" ht="18">
      <c r="B31" s="216"/>
      <c r="C31" s="291"/>
      <c r="D31" s="216"/>
      <c r="E31" s="216"/>
      <c r="F31" s="292" t="s">
        <v>189</v>
      </c>
      <c r="G31" s="216"/>
      <c r="H31" s="216"/>
      <c r="I31" s="279">
        <v>8</v>
      </c>
      <c r="J31" s="289" t="s">
        <v>182</v>
      </c>
      <c r="K31" s="284"/>
      <c r="L31" s="284"/>
      <c r="M31" s="290">
        <f>M23-SUM(M24:M30)</f>
        <v>0</v>
      </c>
      <c r="N31" s="216"/>
      <c r="O31" s="216"/>
      <c r="P31" s="216"/>
      <c r="Q31" s="216"/>
      <c r="R31" s="216"/>
      <c r="S31" s="216"/>
      <c r="T31" s="216"/>
      <c r="U31" s="216"/>
      <c r="V31" s="216"/>
      <c r="W31" s="216"/>
      <c r="X31" s="216"/>
      <c r="Y31" s="216"/>
      <c r="Z31" s="216"/>
      <c r="AA31" s="216"/>
      <c r="AB31" s="216"/>
      <c r="AC31" s="216"/>
      <c r="AD31" s="216"/>
      <c r="AE31" s="216"/>
      <c r="AF31" s="216"/>
      <c r="AG31" s="216"/>
      <c r="AH31" s="216"/>
    </row>
    <row r="32" spans="2:34" ht="20.25">
      <c r="B32" s="216"/>
      <c r="C32" s="216"/>
      <c r="D32" s="293" t="s">
        <v>243</v>
      </c>
      <c r="E32" s="293" t="s">
        <v>287</v>
      </c>
      <c r="F32" s="293" t="s">
        <v>190</v>
      </c>
      <c r="G32" s="216"/>
      <c r="H32" s="216"/>
      <c r="I32" s="216"/>
      <c r="J32" s="216"/>
      <c r="K32" s="216"/>
      <c r="L32" s="216"/>
      <c r="M32" s="216"/>
      <c r="N32" s="216"/>
      <c r="O32" s="273" t="s">
        <v>191</v>
      </c>
      <c r="P32" s="274"/>
      <c r="Q32" s="274"/>
      <c r="R32" s="274"/>
      <c r="S32" s="294" t="e">
        <f>S19</f>
        <v>#REF!</v>
      </c>
      <c r="T32" s="216"/>
      <c r="U32" s="272"/>
      <c r="V32" s="272"/>
      <c r="W32" s="272"/>
      <c r="X32" s="216"/>
      <c r="Y32" s="216"/>
      <c r="Z32" s="216"/>
      <c r="AA32" s="216"/>
      <c r="AB32" s="216"/>
      <c r="AC32" s="216"/>
      <c r="AD32" s="216"/>
      <c r="AE32" s="216"/>
      <c r="AF32" s="216"/>
      <c r="AG32" s="216"/>
      <c r="AH32" s="216"/>
    </row>
    <row r="33" spans="2:34" ht="20.25">
      <c r="B33" s="216"/>
      <c r="C33" s="295" t="s">
        <v>192</v>
      </c>
      <c r="D33" s="296">
        <f>SUM('Summary month'!AC11:AE13)*1000</f>
        <v>61610</v>
      </c>
      <c r="E33" s="296" t="e">
        <f>SUM('Summary month'!BP11:BR13)*1000</f>
        <v>#REF!</v>
      </c>
      <c r="F33" s="296" t="e">
        <f>E33-D33</f>
        <v>#REF!</v>
      </c>
      <c r="G33" s="216"/>
      <c r="H33" s="216"/>
      <c r="I33" s="216"/>
      <c r="J33" s="216"/>
      <c r="K33" s="216"/>
      <c r="L33" s="216"/>
      <c r="M33" s="216"/>
      <c r="N33" s="216"/>
      <c r="O33" s="279">
        <v>1</v>
      </c>
      <c r="P33" s="269" t="s">
        <v>193</v>
      </c>
      <c r="Q33" s="270"/>
      <c r="R33" s="270"/>
      <c r="S33" s="280">
        <f>S75</f>
        <v>0.1</v>
      </c>
      <c r="T33" s="216"/>
      <c r="U33" s="216"/>
      <c r="V33" s="216"/>
      <c r="W33" s="216"/>
      <c r="X33" s="297"/>
      <c r="Y33" s="216"/>
      <c r="Z33" s="216"/>
      <c r="AA33" s="216"/>
      <c r="AB33" s="216"/>
      <c r="AC33" s="216"/>
      <c r="AD33" s="216"/>
      <c r="AE33" s="216"/>
      <c r="AF33" s="216"/>
      <c r="AG33" s="216"/>
      <c r="AH33" s="216"/>
    </row>
    <row r="34" spans="2:34" ht="20.25">
      <c r="B34" s="216"/>
      <c r="C34" s="295" t="s">
        <v>194</v>
      </c>
      <c r="D34" s="296">
        <f>'Summary month'!AF14*1000</f>
        <v>1216</v>
      </c>
      <c r="E34" s="296" t="e">
        <f>'Summary month'!BS14*1000</f>
        <v>#REF!</v>
      </c>
      <c r="F34" s="296" t="e">
        <f>E34-D34</f>
        <v>#REF!</v>
      </c>
      <c r="G34" s="216"/>
      <c r="H34" s="216"/>
      <c r="I34" s="216"/>
      <c r="J34" s="216"/>
      <c r="K34" s="216"/>
      <c r="L34" s="216"/>
      <c r="M34" s="216"/>
      <c r="N34" s="216"/>
      <c r="O34" s="279">
        <v>2</v>
      </c>
      <c r="P34" s="276" t="str">
        <f>P77</f>
        <v>NRV</v>
      </c>
      <c r="Q34" s="277"/>
      <c r="R34" s="277"/>
      <c r="S34" s="281"/>
      <c r="T34" s="216"/>
      <c r="U34" s="552"/>
      <c r="V34" s="216"/>
      <c r="W34" s="216"/>
      <c r="X34" s="216"/>
      <c r="Y34" s="216"/>
      <c r="Z34" s="216"/>
      <c r="AA34" s="216"/>
      <c r="AB34" s="216"/>
      <c r="AC34" s="216"/>
      <c r="AD34" s="216"/>
      <c r="AE34" s="216"/>
      <c r="AF34" s="216"/>
      <c r="AG34" s="216"/>
      <c r="AH34" s="216"/>
    </row>
    <row r="35" spans="2:34" ht="18">
      <c r="B35" s="216"/>
      <c r="C35" s="216"/>
      <c r="D35" s="298"/>
      <c r="E35" s="298"/>
      <c r="F35" s="298"/>
      <c r="G35" s="216"/>
      <c r="H35" s="216"/>
      <c r="I35" s="216"/>
      <c r="J35" s="216"/>
      <c r="K35" s="216"/>
      <c r="L35" s="216"/>
      <c r="M35" s="216"/>
      <c r="N35" s="216"/>
      <c r="O35" s="279">
        <v>3</v>
      </c>
      <c r="P35" s="276" t="str">
        <f>P78</f>
        <v>UP/Accouting timing</v>
      </c>
      <c r="Q35" s="277"/>
      <c r="R35" s="277"/>
      <c r="S35" s="281"/>
      <c r="T35" s="216"/>
      <c r="U35" s="216"/>
      <c r="V35" s="216"/>
      <c r="W35" s="216"/>
      <c r="X35" s="216"/>
      <c r="Y35" s="216"/>
      <c r="Z35" s="216"/>
      <c r="AA35" s="216"/>
      <c r="AB35" s="216"/>
      <c r="AC35" s="216"/>
      <c r="AD35" s="216"/>
      <c r="AE35" s="216"/>
      <c r="AF35" s="216"/>
      <c r="AG35" s="216"/>
      <c r="AH35" s="216"/>
    </row>
    <row r="36" spans="2:34" ht="20.25">
      <c r="B36" s="216"/>
      <c r="C36" s="295" t="s">
        <v>196</v>
      </c>
      <c r="D36" s="368">
        <v>62924</v>
      </c>
      <c r="E36" s="296">
        <v>60737</v>
      </c>
      <c r="F36" s="296">
        <f>E36-D36</f>
        <v>-2187</v>
      </c>
      <c r="G36" s="216"/>
      <c r="H36" s="216"/>
      <c r="I36" s="216"/>
      <c r="J36" s="216"/>
      <c r="K36" s="216"/>
      <c r="L36" s="216"/>
      <c r="M36" s="216"/>
      <c r="N36" s="216"/>
      <c r="O36" s="279">
        <v>4</v>
      </c>
      <c r="P36" s="276" t="s">
        <v>247</v>
      </c>
      <c r="Q36" s="277"/>
      <c r="R36" s="277"/>
      <c r="S36" s="281"/>
      <c r="T36" s="216"/>
      <c r="U36" s="216"/>
      <c r="V36" s="216"/>
      <c r="W36" s="216"/>
      <c r="X36" s="216"/>
      <c r="Y36" s="216"/>
      <c r="Z36" s="216"/>
      <c r="AA36" s="216"/>
      <c r="AB36" s="216"/>
      <c r="AC36" s="216"/>
      <c r="AD36" s="216"/>
      <c r="AE36" s="216"/>
      <c r="AF36" s="216"/>
      <c r="AG36" s="216"/>
      <c r="AH36" s="216"/>
    </row>
    <row r="37" spans="2:34" ht="18">
      <c r="B37" s="216"/>
      <c r="C37" s="216"/>
      <c r="D37" s="216"/>
      <c r="E37" s="216"/>
      <c r="F37" s="216"/>
      <c r="G37" s="216"/>
      <c r="H37" s="216"/>
      <c r="I37" s="216"/>
      <c r="J37" s="216"/>
      <c r="K37" s="216"/>
      <c r="L37" s="216"/>
      <c r="M37" s="216"/>
      <c r="N37" s="216"/>
      <c r="O37" s="279">
        <v>5</v>
      </c>
      <c r="P37" s="276" t="s">
        <v>58</v>
      </c>
      <c r="Q37" s="277"/>
      <c r="R37" s="277"/>
      <c r="S37" s="278"/>
      <c r="T37" s="216"/>
      <c r="U37" s="216"/>
      <c r="V37" s="216"/>
      <c r="W37" s="216"/>
      <c r="X37" s="216"/>
      <c r="Y37" s="216"/>
      <c r="Z37" s="216"/>
      <c r="AA37" s="216"/>
      <c r="AB37" s="216"/>
      <c r="AC37" s="216"/>
      <c r="AD37" s="216"/>
      <c r="AE37" s="216"/>
      <c r="AF37" s="216"/>
      <c r="AG37" s="216"/>
      <c r="AH37" s="216"/>
    </row>
    <row r="38" spans="2:34" ht="18">
      <c r="B38" s="216"/>
      <c r="C38" s="216"/>
      <c r="D38" s="216"/>
      <c r="E38" s="216"/>
      <c r="F38" s="216"/>
      <c r="G38" s="216"/>
      <c r="H38" s="216"/>
      <c r="I38" s="216"/>
      <c r="J38" s="216"/>
      <c r="K38" s="216"/>
      <c r="L38" s="216"/>
      <c r="M38" s="216"/>
      <c r="N38" s="216"/>
      <c r="O38" s="279">
        <v>6</v>
      </c>
      <c r="P38" s="276"/>
      <c r="Q38" s="277"/>
      <c r="R38" s="277"/>
      <c r="S38" s="281"/>
      <c r="T38" s="216"/>
      <c r="U38" s="216"/>
      <c r="V38" s="216"/>
      <c r="W38" s="216"/>
      <c r="X38" s="216"/>
      <c r="Y38" s="216"/>
      <c r="Z38" s="216"/>
      <c r="AA38" s="216"/>
      <c r="AB38" s="216"/>
      <c r="AC38" s="216"/>
      <c r="AD38" s="216"/>
      <c r="AE38" s="216"/>
      <c r="AF38" s="216"/>
      <c r="AG38" s="216"/>
      <c r="AH38" s="216"/>
    </row>
    <row r="39" spans="2:34" ht="18">
      <c r="B39" s="216"/>
      <c r="C39" s="216"/>
      <c r="D39" s="216"/>
      <c r="E39" s="216"/>
      <c r="F39" s="216"/>
      <c r="G39" s="216"/>
      <c r="H39" s="216"/>
      <c r="I39" s="216"/>
      <c r="J39" s="216"/>
      <c r="K39" s="216"/>
      <c r="L39" s="216"/>
      <c r="M39" s="216"/>
      <c r="N39" s="216"/>
      <c r="O39" s="279">
        <v>7</v>
      </c>
      <c r="P39" s="276"/>
      <c r="Q39" s="277"/>
      <c r="R39" s="277"/>
      <c r="S39" s="281"/>
      <c r="T39" s="216"/>
      <c r="U39" s="216"/>
      <c r="V39" s="216"/>
      <c r="W39" s="216"/>
      <c r="X39" s="216"/>
      <c r="Y39" s="216"/>
      <c r="Z39" s="216"/>
      <c r="AA39" s="216"/>
      <c r="AB39" s="216"/>
      <c r="AC39" s="216"/>
      <c r="AD39" s="216"/>
      <c r="AE39" s="216"/>
      <c r="AF39" s="216"/>
      <c r="AG39" s="216"/>
      <c r="AH39" s="216"/>
    </row>
    <row r="40" spans="2:34" ht="18">
      <c r="B40" s="216"/>
      <c r="C40" s="216"/>
      <c r="D40" s="216"/>
      <c r="E40" s="216"/>
      <c r="F40" s="216"/>
      <c r="G40" s="216"/>
      <c r="H40" s="216"/>
      <c r="I40" s="216"/>
      <c r="J40" s="216"/>
      <c r="K40" s="216"/>
      <c r="L40" s="216"/>
      <c r="M40" s="216"/>
      <c r="N40" s="216"/>
      <c r="O40" s="279">
        <v>8</v>
      </c>
      <c r="P40" s="276"/>
      <c r="Q40" s="277"/>
      <c r="R40" s="277"/>
      <c r="S40" s="278"/>
      <c r="T40" s="216"/>
      <c r="U40" s="216"/>
      <c r="V40" s="216"/>
      <c r="W40" s="216"/>
      <c r="X40" s="216"/>
      <c r="Y40" s="216"/>
      <c r="Z40" s="216"/>
      <c r="AA40" s="216"/>
      <c r="AB40" s="216"/>
      <c r="AC40" s="216"/>
      <c r="AD40" s="216"/>
      <c r="AE40" s="216"/>
      <c r="AF40" s="216"/>
      <c r="AG40" s="216"/>
      <c r="AH40" s="216"/>
    </row>
    <row r="41" spans="2:34" ht="18">
      <c r="B41" s="216"/>
      <c r="C41" s="216"/>
      <c r="D41" s="216"/>
      <c r="E41" s="216"/>
      <c r="F41" s="216"/>
      <c r="G41" s="216"/>
      <c r="H41" s="216"/>
      <c r="I41" s="216"/>
      <c r="J41" s="216"/>
      <c r="K41" s="216"/>
      <c r="L41" s="216"/>
      <c r="M41" s="216"/>
      <c r="N41" s="216"/>
      <c r="O41" s="279">
        <v>9</v>
      </c>
      <c r="P41" s="276"/>
      <c r="Q41" s="277"/>
      <c r="R41" s="277"/>
      <c r="S41" s="278"/>
      <c r="T41" s="216"/>
      <c r="U41" s="216"/>
      <c r="V41" s="216"/>
      <c r="W41" s="216"/>
      <c r="X41" s="216"/>
      <c r="Y41" s="216"/>
      <c r="Z41" s="216"/>
      <c r="AA41" s="216"/>
      <c r="AB41" s="216"/>
      <c r="AC41" s="216"/>
      <c r="AD41" s="216"/>
      <c r="AE41" s="216"/>
      <c r="AF41" s="216"/>
      <c r="AG41" s="216"/>
      <c r="AH41" s="216"/>
    </row>
    <row r="42" spans="2:34" ht="18">
      <c r="B42" s="216"/>
      <c r="C42" s="216"/>
      <c r="D42" s="216"/>
      <c r="E42" s="216"/>
      <c r="F42" s="216"/>
      <c r="G42" s="216"/>
      <c r="H42" s="216"/>
      <c r="I42" s="216"/>
      <c r="J42" s="216"/>
      <c r="K42" s="216"/>
      <c r="L42" s="216"/>
      <c r="M42" s="216"/>
      <c r="N42" s="216"/>
      <c r="O42" s="288">
        <v>10</v>
      </c>
      <c r="P42" s="283" t="s">
        <v>182</v>
      </c>
      <c r="Q42" s="284"/>
      <c r="R42" s="284"/>
      <c r="S42" s="285" t="e">
        <f>S32-SUM(S33:S41)</f>
        <v>#REF!</v>
      </c>
      <c r="T42" s="216"/>
      <c r="U42" s="216"/>
      <c r="V42" s="216"/>
      <c r="W42" s="216"/>
      <c r="X42" s="216"/>
      <c r="Y42" s="216"/>
      <c r="Z42" s="216"/>
      <c r="AA42" s="216"/>
      <c r="AB42" s="216"/>
      <c r="AC42" s="216"/>
      <c r="AD42" s="216"/>
      <c r="AE42" s="216"/>
      <c r="AF42" s="216"/>
      <c r="AG42" s="216"/>
      <c r="AH42" s="216"/>
    </row>
    <row r="43" spans="2:34">
      <c r="B43" s="216"/>
      <c r="C43" s="216"/>
      <c r="D43" s="216"/>
      <c r="E43" s="216"/>
      <c r="F43" s="216"/>
      <c r="G43" s="216"/>
      <c r="H43" s="216"/>
      <c r="I43" s="216"/>
      <c r="J43" s="216"/>
      <c r="K43" s="216"/>
      <c r="L43" s="216"/>
      <c r="M43" s="216"/>
      <c r="N43" s="216"/>
      <c r="O43" s="216"/>
      <c r="P43" s="216"/>
      <c r="Q43" s="216"/>
      <c r="R43" s="216"/>
      <c r="S43" s="286" t="e">
        <f>S42-S84</f>
        <v>#REF!</v>
      </c>
      <c r="T43" s="286"/>
      <c r="U43" s="216"/>
      <c r="V43" s="216"/>
      <c r="W43" s="216"/>
      <c r="X43" s="216"/>
      <c r="Y43" s="216"/>
      <c r="Z43" s="216"/>
      <c r="AA43" s="216"/>
      <c r="AB43" s="216"/>
      <c r="AC43" s="216"/>
      <c r="AD43" s="216"/>
      <c r="AE43" s="216"/>
      <c r="AF43" s="216"/>
      <c r="AG43" s="216"/>
      <c r="AH43" s="216"/>
    </row>
    <row r="44" spans="2:34" ht="28.5">
      <c r="B44" s="299" t="s">
        <v>197</v>
      </c>
      <c r="C44" s="216"/>
      <c r="D44" s="216"/>
      <c r="E44" s="216"/>
      <c r="F44" s="216"/>
      <c r="G44" s="216"/>
      <c r="H44" s="216"/>
      <c r="I44" s="216"/>
      <c r="J44" s="216"/>
      <c r="K44" s="216"/>
      <c r="L44" s="216"/>
      <c r="M44" s="216"/>
      <c r="N44" s="216"/>
      <c r="O44" s="216"/>
      <c r="P44" s="216"/>
      <c r="Q44" s="216"/>
      <c r="R44" s="216"/>
      <c r="S44" s="216"/>
      <c r="T44" s="216"/>
      <c r="U44" s="216"/>
      <c r="V44" s="216"/>
      <c r="W44" s="216"/>
      <c r="X44" s="216"/>
      <c r="Y44" s="216"/>
      <c r="Z44" s="216"/>
      <c r="AA44" s="216"/>
      <c r="AB44" s="216"/>
      <c r="AC44" s="216"/>
      <c r="AD44" s="216"/>
      <c r="AE44" s="216"/>
      <c r="AF44" s="216"/>
      <c r="AG44" s="216"/>
      <c r="AH44" s="216"/>
    </row>
    <row r="45" spans="2:34">
      <c r="B45" s="216"/>
      <c r="C45" s="216"/>
      <c r="D45" s="216"/>
      <c r="E45" s="216"/>
      <c r="F45" s="216"/>
      <c r="G45" s="216"/>
      <c r="H45" s="216"/>
      <c r="I45" s="216"/>
      <c r="J45" s="216"/>
      <c r="K45" s="216"/>
      <c r="L45" s="216"/>
      <c r="M45" s="216"/>
      <c r="N45" s="216"/>
      <c r="O45" s="216"/>
      <c r="P45" s="216"/>
      <c r="Q45" s="216"/>
      <c r="R45" s="216"/>
      <c r="S45" s="216"/>
      <c r="T45" s="216"/>
      <c r="U45" s="216"/>
      <c r="V45" s="216"/>
      <c r="W45" s="216"/>
      <c r="X45" s="216"/>
      <c r="Y45" s="216"/>
      <c r="Z45" s="216"/>
      <c r="AA45" s="216"/>
      <c r="AB45" s="216"/>
      <c r="AC45" s="216"/>
      <c r="AD45" s="216"/>
      <c r="AE45" s="216"/>
      <c r="AF45" s="216"/>
      <c r="AG45" s="216"/>
      <c r="AH45" s="216"/>
    </row>
    <row r="46" spans="2:34">
      <c r="B46" s="216"/>
      <c r="C46" s="216"/>
      <c r="D46" s="216"/>
      <c r="E46" s="216"/>
      <c r="F46" s="216"/>
      <c r="G46" s="216"/>
      <c r="H46" s="216"/>
      <c r="I46" s="216"/>
      <c r="J46" s="216"/>
      <c r="K46" s="216"/>
      <c r="L46" s="216"/>
      <c r="M46" s="216"/>
      <c r="N46" s="216"/>
      <c r="O46" s="216"/>
      <c r="P46" s="216"/>
      <c r="Q46" s="216"/>
      <c r="R46" s="216"/>
      <c r="S46" s="216"/>
      <c r="T46" s="216"/>
      <c r="U46" s="216"/>
      <c r="V46" s="216"/>
      <c r="W46" s="216"/>
      <c r="X46" s="216"/>
      <c r="Y46" s="216"/>
      <c r="Z46" s="216"/>
      <c r="AA46" s="216"/>
      <c r="AB46" s="216"/>
      <c r="AC46" s="216"/>
      <c r="AD46" s="216"/>
      <c r="AE46" s="216"/>
      <c r="AF46" s="216"/>
      <c r="AG46" s="216"/>
      <c r="AH46" s="216"/>
    </row>
    <row r="47" spans="2:34" ht="20.25">
      <c r="B47" s="216"/>
      <c r="C47" s="226" t="str">
        <f>B52</f>
        <v>OL QTD</v>
      </c>
      <c r="D47" s="226" t="str">
        <f>C52</f>
        <v>Act QTD</v>
      </c>
      <c r="E47" s="226" t="s">
        <v>320</v>
      </c>
      <c r="F47" s="226" t="s">
        <v>321</v>
      </c>
      <c r="G47" s="226" t="s">
        <v>322</v>
      </c>
      <c r="H47" s="292" t="s">
        <v>323</v>
      </c>
      <c r="I47" s="216"/>
      <c r="J47" s="216"/>
      <c r="K47" s="216"/>
      <c r="L47" s="216"/>
      <c r="M47" s="216"/>
      <c r="N47" s="216"/>
      <c r="O47" s="216"/>
      <c r="P47" s="216"/>
      <c r="Q47" s="216"/>
      <c r="R47" s="216"/>
      <c r="S47" s="216"/>
      <c r="T47" s="216"/>
      <c r="U47" s="216"/>
      <c r="V47" s="216"/>
      <c r="W47" s="216"/>
      <c r="X47" s="216"/>
      <c r="Y47" s="216"/>
      <c r="Z47" s="216"/>
      <c r="AA47" s="216"/>
      <c r="AB47" s="216"/>
      <c r="AC47" s="216"/>
      <c r="AD47" s="216"/>
      <c r="AE47" s="216"/>
      <c r="AF47" s="216"/>
      <c r="AG47" s="216"/>
      <c r="AH47" s="216"/>
    </row>
    <row r="48" spans="2:34" ht="20.25">
      <c r="B48" s="226" t="s">
        <v>324</v>
      </c>
      <c r="C48" s="229" t="e">
        <f>'Summary month'!BS27</f>
        <v>#REF!</v>
      </c>
      <c r="D48" s="229">
        <f>'Summary month'!AF27</f>
        <v>285.43214711855433</v>
      </c>
      <c r="E48" s="226" t="e">
        <f>+D48-C48</f>
        <v>#REF!</v>
      </c>
      <c r="F48" s="226">
        <f>B61</f>
        <v>6.3744855012013657E-2</v>
      </c>
      <c r="G48" s="226" t="e">
        <f>SUM(C61:S61)</f>
        <v>#REF!</v>
      </c>
      <c r="H48" s="632" t="e">
        <f>E48-F48-G48</f>
        <v>#REF!</v>
      </c>
      <c r="I48" s="216"/>
      <c r="J48" s="216"/>
      <c r="K48" s="216"/>
      <c r="L48" s="216"/>
      <c r="M48" s="216"/>
      <c r="N48" s="216"/>
      <c r="O48" s="216"/>
      <c r="P48" s="216"/>
      <c r="Q48" s="216"/>
      <c r="R48" s="216"/>
      <c r="S48" s="216"/>
      <c r="T48" s="216"/>
      <c r="U48" s="216"/>
      <c r="V48" s="216"/>
      <c r="W48" s="216"/>
      <c r="X48" s="216"/>
      <c r="Y48" s="216"/>
      <c r="Z48" s="216"/>
      <c r="AA48" s="216"/>
      <c r="AB48" s="216"/>
      <c r="AC48" s="216"/>
      <c r="AD48" s="216"/>
      <c r="AE48" s="216"/>
      <c r="AF48" s="216"/>
      <c r="AG48" s="216"/>
      <c r="AH48" s="216"/>
    </row>
    <row r="49" spans="2:37" ht="20.25">
      <c r="B49" s="226" t="s">
        <v>325</v>
      </c>
      <c r="C49" s="229" t="e">
        <f>'Summary month'!BS46</f>
        <v>#REF!</v>
      </c>
      <c r="D49" s="229">
        <f>'Summary month'!AF46</f>
        <v>-231.88702380449485</v>
      </c>
      <c r="E49" s="226" t="e">
        <f>+D49-C49</f>
        <v>#REF!</v>
      </c>
      <c r="F49" s="226" t="e">
        <f>T61</f>
        <v>#REF!</v>
      </c>
      <c r="G49" s="226" t="e">
        <f>SUM(U61:AH61)</f>
        <v>#REF!</v>
      </c>
      <c r="H49" s="632" t="e">
        <f>E49-F49-G49</f>
        <v>#REF!</v>
      </c>
      <c r="I49" s="216"/>
      <c r="J49" s="216"/>
      <c r="K49" s="216"/>
      <c r="L49" s="216"/>
      <c r="M49" s="216"/>
      <c r="N49" s="216"/>
      <c r="O49" s="216"/>
      <c r="P49" s="216"/>
      <c r="Q49" s="216">
        <v>0</v>
      </c>
      <c r="R49" s="216"/>
      <c r="S49" s="216"/>
      <c r="T49" s="216"/>
      <c r="U49" s="216"/>
      <c r="V49" s="216"/>
      <c r="W49" s="216"/>
      <c r="X49" s="216"/>
      <c r="Y49" s="216"/>
      <c r="Z49" s="216"/>
      <c r="AA49" s="216"/>
      <c r="AB49" s="216"/>
      <c r="AC49" s="216"/>
      <c r="AD49" s="216"/>
      <c r="AE49" s="216"/>
      <c r="AF49" s="216"/>
      <c r="AG49" s="216"/>
      <c r="AH49" s="216"/>
    </row>
    <row r="50" spans="2:37" ht="20.25">
      <c r="B50" s="226" t="s">
        <v>326</v>
      </c>
      <c r="C50" s="226" t="e">
        <f>+C48+C49</f>
        <v>#REF!</v>
      </c>
      <c r="D50" s="226">
        <f>+D48+D49</f>
        <v>53.545123314059481</v>
      </c>
      <c r="E50" s="226" t="e">
        <f>+D50-C50</f>
        <v>#REF!</v>
      </c>
      <c r="F50" s="226" t="e">
        <f>+E50-G50</f>
        <v>#REF!</v>
      </c>
      <c r="G50" s="226" t="e">
        <f>+G48+G49</f>
        <v>#REF!</v>
      </c>
      <c r="H50" s="632" t="e">
        <f>E50-F50-G50</f>
        <v>#REF!</v>
      </c>
      <c r="I50" s="216"/>
      <c r="J50" s="216"/>
      <c r="K50" s="216"/>
      <c r="L50" s="216"/>
      <c r="M50" s="216"/>
      <c r="N50" s="216"/>
      <c r="O50" s="216"/>
      <c r="P50" s="216"/>
      <c r="Q50" s="216"/>
      <c r="R50" s="216"/>
      <c r="S50" s="216"/>
      <c r="T50" s="216"/>
      <c r="U50" s="216"/>
      <c r="V50" s="216"/>
      <c r="W50" s="216"/>
      <c r="X50" s="216"/>
      <c r="Y50" s="216"/>
      <c r="Z50" s="216"/>
      <c r="AA50" s="216"/>
      <c r="AB50" s="216"/>
      <c r="AC50" s="216"/>
      <c r="AD50" s="216"/>
      <c r="AE50" s="216"/>
      <c r="AF50" s="216"/>
      <c r="AG50" s="216"/>
      <c r="AH50" s="216"/>
    </row>
    <row r="51" spans="2:37" ht="18">
      <c r="B51" s="215"/>
      <c r="C51" s="216"/>
      <c r="D51" s="215"/>
      <c r="E51" s="216"/>
      <c r="F51" s="215"/>
      <c r="G51" s="217" t="s">
        <v>138</v>
      </c>
      <c r="H51" s="216"/>
      <c r="I51" s="216"/>
      <c r="J51" s="216"/>
      <c r="K51" s="216"/>
      <c r="L51" s="216"/>
      <c r="M51" s="216"/>
      <c r="N51" s="216"/>
      <c r="O51" s="216"/>
      <c r="P51" s="216"/>
      <c r="Q51" s="216"/>
      <c r="R51" s="216"/>
      <c r="S51" s="216"/>
      <c r="T51" s="216"/>
      <c r="U51" s="216"/>
      <c r="V51" s="216"/>
      <c r="W51" s="216"/>
      <c r="X51" s="216"/>
      <c r="Y51" s="216"/>
      <c r="Z51" s="216"/>
      <c r="AA51" s="216"/>
      <c r="AB51" s="216"/>
      <c r="AC51" s="216"/>
      <c r="AD51" s="216"/>
      <c r="AE51" s="216"/>
      <c r="AF51" s="216"/>
      <c r="AG51" s="216"/>
      <c r="AH51" s="216"/>
    </row>
    <row r="52" spans="2:37" ht="20.100000000000001" customHeight="1">
      <c r="B52" s="1014" t="s">
        <v>311</v>
      </c>
      <c r="C52" s="1014" t="s">
        <v>214</v>
      </c>
      <c r="D52" s="218"/>
      <c r="E52" s="219"/>
      <c r="F52" s="219"/>
      <c r="G52" s="220"/>
      <c r="H52" s="216"/>
      <c r="I52" s="216"/>
      <c r="J52" s="216"/>
      <c r="K52" s="216"/>
      <c r="L52" s="216" t="s">
        <v>301</v>
      </c>
      <c r="M52" s="478">
        <f>SUM(E55:E57,G55)</f>
        <v>6.3744855012013657E-2</v>
      </c>
      <c r="N52" s="216"/>
      <c r="O52" s="221"/>
      <c r="P52" s="221"/>
      <c r="Q52" s="221"/>
      <c r="R52" s="216"/>
      <c r="S52" s="216"/>
      <c r="T52" s="216"/>
      <c r="U52" s="216"/>
      <c r="V52" s="216"/>
      <c r="W52" s="221"/>
      <c r="X52" s="221"/>
      <c r="Y52" s="221"/>
      <c r="Z52" s="221"/>
      <c r="AA52" s="221"/>
      <c r="AB52" s="221"/>
      <c r="AC52" s="221"/>
      <c r="AD52" s="221"/>
      <c r="AE52" s="221"/>
      <c r="AF52" s="221"/>
      <c r="AG52" s="221"/>
      <c r="AH52" s="221"/>
    </row>
    <row r="53" spans="2:37" ht="40.5">
      <c r="B53" s="1015"/>
      <c r="C53" s="1016"/>
      <c r="D53" s="222"/>
      <c r="E53" s="223" t="s">
        <v>154</v>
      </c>
      <c r="F53" s="224" t="s">
        <v>198</v>
      </c>
      <c r="G53" s="225" t="s">
        <v>156</v>
      </c>
      <c r="H53" s="216"/>
      <c r="I53" s="216" t="s">
        <v>208</v>
      </c>
      <c r="J53" s="216"/>
      <c r="K53" s="216"/>
      <c r="L53" s="216" t="s">
        <v>302</v>
      </c>
      <c r="M53" s="334" t="e">
        <f>SUM(U62:AH62,AJ64:AK64)</f>
        <v>#REF!</v>
      </c>
      <c r="N53" s="216"/>
      <c r="O53" s="216"/>
      <c r="P53" s="216"/>
      <c r="Q53" s="216"/>
      <c r="R53" s="216"/>
      <c r="S53" s="216"/>
      <c r="T53" s="216"/>
      <c r="V53" s="216"/>
      <c r="W53" s="216"/>
      <c r="X53" s="216"/>
      <c r="Y53" s="216"/>
      <c r="Z53" s="216"/>
      <c r="AA53" s="216"/>
      <c r="AB53" s="216"/>
      <c r="AC53" s="407" t="s">
        <v>266</v>
      </c>
      <c r="AD53" s="408">
        <v>2.2777392377517507</v>
      </c>
      <c r="AE53" s="216"/>
      <c r="AF53" s="216"/>
      <c r="AG53" s="216"/>
      <c r="AH53" s="216"/>
    </row>
    <row r="54" spans="2:37" ht="20.25">
      <c r="B54" s="226" t="e">
        <f>'Summary month'!BS47</f>
        <v>#REF!</v>
      </c>
      <c r="C54" s="226">
        <f>'Summary month'!AF47</f>
        <v>53.545123314059495</v>
      </c>
      <c r="D54" s="227" t="e">
        <f>C54-B54</f>
        <v>#REF!</v>
      </c>
      <c r="E54" s="228" t="e">
        <f>SUM(M52:M53)</f>
        <v>#REF!</v>
      </c>
      <c r="F54" s="229" t="e">
        <f>'Summary month'!BW27-M52</f>
        <v>#REF!</v>
      </c>
      <c r="G54" s="229" t="e">
        <f>'Summary month'!BW46-M53</f>
        <v>#REF!</v>
      </c>
      <c r="H54" s="216"/>
      <c r="I54" s="631" t="e">
        <f>SUM(E54:G54)-D54</f>
        <v>#REF!</v>
      </c>
      <c r="J54" s="216"/>
      <c r="K54" s="216"/>
      <c r="L54" s="216"/>
      <c r="M54" s="216"/>
      <c r="N54" s="216"/>
      <c r="O54" s="230"/>
      <c r="P54" s="216"/>
      <c r="Q54" s="216"/>
      <c r="R54" s="216"/>
      <c r="S54" s="216"/>
      <c r="T54" s="216"/>
      <c r="U54" s="216"/>
      <c r="V54" s="216"/>
      <c r="W54" s="230"/>
      <c r="X54" s="479"/>
      <c r="Y54" s="633"/>
      <c r="Z54" s="230"/>
      <c r="AA54" s="230"/>
      <c r="AB54" s="230"/>
      <c r="AC54" s="409" t="s">
        <v>269</v>
      </c>
      <c r="AD54" s="408">
        <f>-1/100</f>
        <v>-0.01</v>
      </c>
      <c r="AE54" s="230"/>
      <c r="AF54" s="230"/>
      <c r="AG54" s="230"/>
      <c r="AH54" s="230"/>
    </row>
    <row r="55" spans="2:37">
      <c r="B55" s="216"/>
      <c r="C55" s="216"/>
      <c r="D55" s="216" t="s">
        <v>139</v>
      </c>
      <c r="E55" s="436">
        <f>'MTD VA vs OL (0+3)'!E55</f>
        <v>0</v>
      </c>
      <c r="F55" s="216" t="s">
        <v>193</v>
      </c>
      <c r="G55" s="436">
        <f>'MTD VA vs OL (0+3)'!G55</f>
        <v>0</v>
      </c>
      <c r="H55" s="216"/>
      <c r="I55" s="216"/>
      <c r="J55" s="216"/>
      <c r="K55" s="216"/>
      <c r="L55" s="216"/>
      <c r="M55" s="216"/>
      <c r="N55" s="216"/>
      <c r="O55" s="216"/>
      <c r="P55" s="216"/>
      <c r="Q55" s="216"/>
      <c r="R55" s="216"/>
      <c r="S55" s="216"/>
      <c r="T55" s="216"/>
      <c r="U55" s="216"/>
      <c r="V55" s="216"/>
      <c r="W55" s="216" t="s">
        <v>145</v>
      </c>
      <c r="X55" s="484">
        <f>'MTD VA vs OL (0+3)'!X55</f>
        <v>0.56580569419031379</v>
      </c>
      <c r="Y55" s="479">
        <f>'MTD VA vs OL (0+3)'!Y55</f>
        <v>0</v>
      </c>
      <c r="Z55" s="216"/>
      <c r="AA55" s="216"/>
      <c r="AB55" s="216"/>
      <c r="AC55" s="407" t="s">
        <v>141</v>
      </c>
      <c r="AD55" s="408">
        <v>-17.760115380094657</v>
      </c>
      <c r="AE55" s="216"/>
      <c r="AF55" s="216"/>
      <c r="AG55" s="216"/>
      <c r="AH55" s="216"/>
    </row>
    <row r="56" spans="2:37">
      <c r="B56" s="216"/>
      <c r="C56" s="216"/>
      <c r="D56" s="216" t="s">
        <v>200</v>
      </c>
      <c r="E56" s="436">
        <f>'MTD VA vs OL (0+3)'!E56</f>
        <v>6.3744855012013657E-2</v>
      </c>
      <c r="F56" s="216"/>
      <c r="G56" s="216"/>
      <c r="H56" s="216"/>
      <c r="I56" s="216"/>
      <c r="J56" s="216"/>
      <c r="K56" s="216"/>
      <c r="L56" s="216"/>
      <c r="M56" s="216"/>
      <c r="N56" s="216"/>
      <c r="O56" s="216"/>
      <c r="P56" s="216"/>
      <c r="Q56" s="216"/>
      <c r="R56" s="216"/>
      <c r="S56" s="216"/>
      <c r="T56" s="216"/>
      <c r="W56" t="s">
        <v>193</v>
      </c>
      <c r="X56" s="484">
        <v>-0.1</v>
      </c>
      <c r="Y56" s="479">
        <f>'MTD VA vs OL (0+3)'!Y56</f>
        <v>0</v>
      </c>
      <c r="AC56" s="407" t="s">
        <v>144</v>
      </c>
      <c r="AD56" s="417" t="e">
        <f>AD61-SUM(AD53:AD55)</f>
        <v>#REF!</v>
      </c>
      <c r="AH56" s="216"/>
    </row>
    <row r="57" spans="2:37" ht="21" thickBot="1">
      <c r="B57" s="231" t="s">
        <v>157</v>
      </c>
      <c r="C57" s="232"/>
      <c r="D57" s="232" t="s">
        <v>145</v>
      </c>
      <c r="E57" s="436">
        <f>'MTD VA vs OL (0+3)'!E57</f>
        <v>0</v>
      </c>
      <c r="F57" s="232"/>
      <c r="G57" s="232"/>
      <c r="H57" s="232"/>
      <c r="I57" s="232"/>
      <c r="J57" s="232"/>
      <c r="K57" s="232"/>
      <c r="L57" s="232"/>
      <c r="M57" s="232"/>
      <c r="N57" s="232"/>
      <c r="O57" s="232"/>
      <c r="P57" s="232"/>
      <c r="Q57" s="232"/>
      <c r="R57" s="232"/>
      <c r="S57" s="232"/>
      <c r="T57" s="232"/>
      <c r="U57" s="232"/>
      <c r="V57" s="232"/>
      <c r="W57" s="232" t="s">
        <v>144</v>
      </c>
      <c r="X57" s="313" t="e">
        <f>X61-SUM(X55:X56)</f>
        <v>#REF!</v>
      </c>
      <c r="Y57" s="232"/>
      <c r="Z57" s="232"/>
      <c r="AA57" s="232"/>
      <c r="AB57" s="232"/>
      <c r="AC57" s="232"/>
      <c r="AD57" s="232"/>
      <c r="AE57" s="232"/>
      <c r="AF57" s="232"/>
      <c r="AG57" s="232"/>
      <c r="AH57" s="217" t="s">
        <v>138</v>
      </c>
    </row>
    <row r="58" spans="2:37" ht="21" thickBot="1">
      <c r="B58" s="233"/>
      <c r="C58" s="234" t="s">
        <v>199</v>
      </c>
      <c r="D58" s="234"/>
      <c r="E58" s="234"/>
      <c r="F58" s="234"/>
      <c r="G58" s="234"/>
      <c r="H58" s="234"/>
      <c r="I58" s="234"/>
      <c r="J58" s="234"/>
      <c r="K58" s="234"/>
      <c r="L58" s="234"/>
      <c r="M58" s="234"/>
      <c r="N58" s="234"/>
      <c r="O58" s="234"/>
      <c r="P58" s="234"/>
      <c r="Q58" s="234"/>
      <c r="R58" s="234"/>
      <c r="S58" s="235"/>
      <c r="T58" s="236"/>
      <c r="U58" s="237" t="s">
        <v>160</v>
      </c>
      <c r="V58" s="237"/>
      <c r="W58" s="237"/>
      <c r="X58" s="237"/>
      <c r="Y58" s="237"/>
      <c r="Z58" s="237"/>
      <c r="AA58" s="237"/>
      <c r="AB58" s="237"/>
      <c r="AC58" s="237"/>
      <c r="AD58" s="237"/>
      <c r="AE58" s="237"/>
      <c r="AF58" s="237"/>
      <c r="AG58" s="237"/>
      <c r="AH58" s="238"/>
    </row>
    <row r="59" spans="2:37" ht="20.25">
      <c r="B59" s="1027" t="s">
        <v>274</v>
      </c>
      <c r="C59" s="239" t="s">
        <v>161</v>
      </c>
      <c r="D59" s="240"/>
      <c r="E59" s="240"/>
      <c r="F59" s="240"/>
      <c r="G59" s="241"/>
      <c r="H59" s="1017" t="s">
        <v>162</v>
      </c>
      <c r="I59" s="242" t="s">
        <v>163</v>
      </c>
      <c r="J59" s="243"/>
      <c r="K59" s="243"/>
      <c r="L59" s="243"/>
      <c r="M59" s="243"/>
      <c r="N59" s="244"/>
      <c r="O59" s="1029" t="s">
        <v>164</v>
      </c>
      <c r="P59" s="1029" t="s">
        <v>165</v>
      </c>
      <c r="Q59" s="1019" t="s">
        <v>166</v>
      </c>
      <c r="R59" s="1022" t="s">
        <v>167</v>
      </c>
      <c r="S59" s="1023" t="s">
        <v>168</v>
      </c>
      <c r="T59" s="1027" t="s">
        <v>274</v>
      </c>
      <c r="U59" s="245" t="s">
        <v>169</v>
      </c>
      <c r="V59" s="246"/>
      <c r="W59" s="246"/>
      <c r="X59" s="247"/>
      <c r="Y59" s="248" t="s">
        <v>163</v>
      </c>
      <c r="Z59" s="246"/>
      <c r="AA59" s="246"/>
      <c r="AB59" s="246"/>
      <c r="AC59" s="246"/>
      <c r="AD59" s="247"/>
      <c r="AE59" s="1022" t="s">
        <v>166</v>
      </c>
      <c r="AF59" s="1025" t="s">
        <v>167</v>
      </c>
      <c r="AG59" s="311"/>
      <c r="AH59" s="1012" t="s">
        <v>168</v>
      </c>
    </row>
    <row r="60" spans="2:37" ht="60.75">
      <c r="B60" s="1028"/>
      <c r="C60" s="249" t="s">
        <v>170</v>
      </c>
      <c r="D60" s="300" t="s">
        <v>171</v>
      </c>
      <c r="E60" s="250" t="s">
        <v>172</v>
      </c>
      <c r="F60" s="250" t="s">
        <v>173</v>
      </c>
      <c r="G60" s="251" t="s">
        <v>174</v>
      </c>
      <c r="H60" s="1018"/>
      <c r="I60" s="250" t="s">
        <v>175</v>
      </c>
      <c r="J60" s="250" t="s">
        <v>176</v>
      </c>
      <c r="K60" s="250" t="s">
        <v>201</v>
      </c>
      <c r="L60" s="250" t="s">
        <v>178</v>
      </c>
      <c r="M60" s="250" t="s">
        <v>168</v>
      </c>
      <c r="N60" s="250" t="s">
        <v>179</v>
      </c>
      <c r="O60" s="1030"/>
      <c r="P60" s="1031"/>
      <c r="Q60" s="1021"/>
      <c r="R60" s="1021"/>
      <c r="S60" s="1024"/>
      <c r="T60" s="1028"/>
      <c r="U60" s="307" t="s">
        <v>203</v>
      </c>
      <c r="V60" s="308" t="s">
        <v>180</v>
      </c>
      <c r="W60" s="309" t="s">
        <v>181</v>
      </c>
      <c r="X60" s="310" t="s">
        <v>33</v>
      </c>
      <c r="Y60" s="305" t="s">
        <v>25</v>
      </c>
      <c r="Z60" s="306" t="s">
        <v>183</v>
      </c>
      <c r="AA60" s="306" t="s">
        <v>204</v>
      </c>
      <c r="AB60" s="306" t="s">
        <v>205</v>
      </c>
      <c r="AC60" s="306" t="s">
        <v>184</v>
      </c>
      <c r="AD60" s="306" t="s">
        <v>30</v>
      </c>
      <c r="AE60" s="1021"/>
      <c r="AF60" s="1026"/>
      <c r="AG60" s="312" t="s">
        <v>37</v>
      </c>
      <c r="AH60" s="1013"/>
    </row>
    <row r="61" spans="2:37" ht="21" thickBot="1">
      <c r="B61" s="252">
        <f>M52</f>
        <v>6.3744855012013657E-2</v>
      </c>
      <c r="C61" s="253" t="e">
        <f>SUM('[7]New KPI vs BP'!$EB$439+'[7]New KPI vs BP'!$EB$440+'[7]New KPI vs BP'!$EB$460)-SUM(U61:V61)-SUM(E61:F61)-E55</f>
        <v>#REF!</v>
      </c>
      <c r="D61" s="302"/>
      <c r="E61" s="254"/>
      <c r="F61" s="254"/>
      <c r="G61" s="254"/>
      <c r="H61" s="254"/>
      <c r="I61" s="254"/>
      <c r="J61" s="255"/>
      <c r="K61" s="255"/>
      <c r="L61" s="255"/>
      <c r="M61" s="255"/>
      <c r="N61" s="303"/>
      <c r="O61" s="302"/>
      <c r="P61" s="302"/>
      <c r="Q61" s="256"/>
      <c r="R61" s="254"/>
      <c r="S61" s="257" t="e">
        <f>F54-SUM(C61:R61)</f>
        <v>#REF!</v>
      </c>
      <c r="T61" s="253" t="e">
        <f>M53</f>
        <v>#REF!</v>
      </c>
      <c r="U61" s="253" t="e">
        <f>'Summary month'!BW36-U62</f>
        <v>#REF!</v>
      </c>
      <c r="V61" s="258" t="e">
        <f>'Summary month'!BW59-V62</f>
        <v>#REF!</v>
      </c>
      <c r="W61" s="258"/>
      <c r="X61" s="258" t="e">
        <f>'Summary month'!BW38-X62</f>
        <v>#REF!</v>
      </c>
      <c r="Y61" s="258" t="e">
        <f>'Summary month'!BW29-Y62</f>
        <v>#REF!</v>
      </c>
      <c r="Z61" s="258" t="e">
        <f>'Summary month'!BW30-Z62</f>
        <v>#REF!</v>
      </c>
      <c r="AA61" s="258" t="e">
        <f>'Summary month'!BW31</f>
        <v>#REF!</v>
      </c>
      <c r="AB61" s="301"/>
      <c r="AC61" s="258" t="e">
        <f>'Summary month'!BW32-AC62</f>
        <v>#REF!</v>
      </c>
      <c r="AD61" s="258" t="e">
        <f>'Summary month'!BW34</f>
        <v>#REF!</v>
      </c>
      <c r="AE61" s="256"/>
      <c r="AF61" s="259"/>
      <c r="AG61" s="254" t="e">
        <f>'Summary month'!BW42-AG62</f>
        <v>#REF!</v>
      </c>
      <c r="AH61" s="260" t="e">
        <f>G54-SUM(U61:AG61)</f>
        <v>#REF!</v>
      </c>
    </row>
    <row r="62" spans="2:37" ht="18">
      <c r="B62" s="216"/>
      <c r="C62" s="272"/>
      <c r="D62" s="216"/>
      <c r="E62" s="216"/>
      <c r="F62" s="216"/>
      <c r="G62" s="216"/>
      <c r="H62" s="216"/>
      <c r="I62" s="216"/>
      <c r="J62" s="216"/>
      <c r="K62" s="216"/>
      <c r="L62" s="216"/>
      <c r="M62" s="216"/>
      <c r="N62" s="216"/>
      <c r="O62" s="216"/>
      <c r="P62" s="216"/>
      <c r="Q62" s="216"/>
      <c r="R62" s="216"/>
      <c r="S62" s="216"/>
      <c r="T62" s="216"/>
      <c r="U62" s="479">
        <f>'MTD VA vs OL (0+3)'!U62</f>
        <v>0</v>
      </c>
      <c r="V62" s="479">
        <f>'MTD VA vs OL (0+3)'!V62</f>
        <v>0</v>
      </c>
      <c r="W62" s="479">
        <f>'MTD VA vs OL (0+3)'!W62</f>
        <v>0</v>
      </c>
      <c r="X62" s="479">
        <f>'MTD VA vs OL (0+3)'!X62</f>
        <v>0</v>
      </c>
      <c r="Y62" s="479">
        <f>'MTD VA vs OL (0+3)'!Y62</f>
        <v>-0.35746686030962094</v>
      </c>
      <c r="Z62" s="479">
        <f>'MTD VA vs OL (0+3)'!Z62</f>
        <v>-6.0528115153737905E-4</v>
      </c>
      <c r="AA62" s="479">
        <f>'MTD VA vs OL (0+3)'!AA62</f>
        <v>0</v>
      </c>
      <c r="AB62" s="479">
        <f>'MTD VA vs OL (0+3)'!AB62</f>
        <v>0</v>
      </c>
      <c r="AC62" s="479">
        <f>'MTD VA vs OL (0+3)'!AC62</f>
        <v>0</v>
      </c>
      <c r="AD62" s="479">
        <f>'MTD VA vs OL (0+3)'!AD62</f>
        <v>0</v>
      </c>
      <c r="AE62" s="479">
        <f>'MTD VA vs OL (0+3)'!AE62</f>
        <v>0</v>
      </c>
      <c r="AF62" s="479">
        <f>'MTD VA vs OL (0+3)'!AF62</f>
        <v>0</v>
      </c>
      <c r="AG62" s="479">
        <f>'MTD VA vs OL (0+3)'!AG62</f>
        <v>2.959813</v>
      </c>
      <c r="AH62" s="479">
        <f>'MTD VA vs OL (0+3)'!AH62</f>
        <v>0</v>
      </c>
    </row>
    <row r="63" spans="2:37" ht="20.25">
      <c r="B63" s="221"/>
      <c r="C63" s="272"/>
      <c r="D63" s="221"/>
      <c r="E63" s="221"/>
      <c r="F63" s="221"/>
      <c r="G63" s="221"/>
      <c r="H63" s="221"/>
      <c r="I63" s="221"/>
      <c r="J63" s="221"/>
      <c r="K63" s="221"/>
      <c r="L63" s="221"/>
      <c r="M63" s="221"/>
      <c r="N63" s="221"/>
      <c r="O63" s="221"/>
      <c r="P63" s="221"/>
      <c r="Q63" s="221"/>
      <c r="R63" s="221"/>
      <c r="S63" s="221"/>
      <c r="T63" s="221"/>
      <c r="U63" s="221"/>
      <c r="V63" s="221"/>
      <c r="W63" s="221"/>
      <c r="X63" s="263" t="s">
        <v>185</v>
      </c>
      <c r="Y63" s="264"/>
      <c r="Z63" s="264"/>
      <c r="AA63" s="264"/>
      <c r="AB63" s="265" t="e">
        <f>AD61</f>
        <v>#REF!</v>
      </c>
      <c r="AC63" s="221"/>
      <c r="AD63" s="263" t="s">
        <v>186</v>
      </c>
      <c r="AE63" s="264"/>
      <c r="AF63" s="264"/>
      <c r="AG63" s="264"/>
      <c r="AH63" s="265" t="e">
        <f>AH61</f>
        <v>#REF!</v>
      </c>
    </row>
    <row r="64" spans="2:37" ht="18">
      <c r="B64" s="216"/>
      <c r="C64" s="272"/>
      <c r="D64" s="216"/>
      <c r="E64" s="216"/>
      <c r="F64" s="216"/>
      <c r="G64" s="216"/>
      <c r="H64" s="216"/>
      <c r="I64" s="216"/>
      <c r="J64" s="216"/>
      <c r="K64" s="216"/>
      <c r="L64" s="216"/>
      <c r="M64" s="216"/>
      <c r="N64" s="216"/>
      <c r="O64" s="216"/>
      <c r="P64" s="216"/>
      <c r="Q64" s="216"/>
      <c r="R64" s="216"/>
      <c r="S64" s="216"/>
      <c r="T64" s="216"/>
      <c r="U64" s="216"/>
      <c r="V64" s="216"/>
      <c r="W64" s="216"/>
      <c r="X64" s="268">
        <v>1</v>
      </c>
      <c r="Y64" s="269"/>
      <c r="Z64" s="270"/>
      <c r="AA64" s="270"/>
      <c r="AB64" s="271"/>
      <c r="AC64" s="216"/>
      <c r="AD64" s="268">
        <v>1</v>
      </c>
      <c r="AE64" s="269" t="s">
        <v>39</v>
      </c>
      <c r="AF64" s="270"/>
      <c r="AG64" s="270"/>
      <c r="AH64" s="271" t="e">
        <f>'Summary month'!BW44-AJ64</f>
        <v>#REF!</v>
      </c>
      <c r="AI64" t="s">
        <v>262</v>
      </c>
      <c r="AJ64" t="e">
        <f>'Summary month'!BW74</f>
        <v>#REF!</v>
      </c>
      <c r="AK64" s="630"/>
    </row>
    <row r="65" spans="2:36" ht="20.25">
      <c r="B65" s="216"/>
      <c r="C65" s="272"/>
      <c r="D65" s="216"/>
      <c r="E65" s="216"/>
      <c r="F65" s="216"/>
      <c r="G65" s="216"/>
      <c r="H65" s="216"/>
      <c r="I65" s="273" t="s">
        <v>188</v>
      </c>
      <c r="J65" s="274"/>
      <c r="K65" s="274"/>
      <c r="L65" s="274"/>
      <c r="M65" s="275">
        <f>M61</f>
        <v>0</v>
      </c>
      <c r="N65" s="216"/>
      <c r="O65" s="216"/>
      <c r="P65" s="216"/>
      <c r="Q65" s="216"/>
      <c r="R65" s="216"/>
      <c r="S65" s="216"/>
      <c r="T65" s="216"/>
      <c r="U65" s="216"/>
      <c r="V65" s="216"/>
      <c r="W65" s="216"/>
      <c r="X65" s="268">
        <v>2</v>
      </c>
      <c r="Y65" s="276"/>
      <c r="Z65" s="277"/>
      <c r="AA65" s="277"/>
      <c r="AB65" s="278"/>
      <c r="AC65" s="216"/>
      <c r="AD65" s="268">
        <v>2</v>
      </c>
      <c r="AE65" s="276"/>
      <c r="AF65" s="277"/>
      <c r="AG65" s="277"/>
      <c r="AH65" s="278"/>
      <c r="AI65" t="s">
        <v>144</v>
      </c>
      <c r="AJ65" s="318" t="e">
        <f>AH64</f>
        <v>#REF!</v>
      </c>
    </row>
    <row r="66" spans="2:36" ht="18">
      <c r="B66" s="216"/>
      <c r="C66" s="272"/>
      <c r="D66" s="216"/>
      <c r="E66" s="216"/>
      <c r="F66" s="216"/>
      <c r="G66" s="216" t="s">
        <v>390</v>
      </c>
      <c r="H66" s="626">
        <f>-0.00100000000000122-AD54</f>
        <v>8.9999999999987798E-3</v>
      </c>
      <c r="I66" s="279">
        <v>1</v>
      </c>
      <c r="J66" s="269" t="s">
        <v>361</v>
      </c>
      <c r="K66" s="270"/>
      <c r="L66" s="270"/>
      <c r="M66" s="280">
        <v>5.48</v>
      </c>
      <c r="N66" s="216"/>
      <c r="O66" s="216"/>
      <c r="P66" s="216"/>
      <c r="Q66" s="216"/>
      <c r="R66" s="216"/>
      <c r="S66" s="216"/>
      <c r="T66" s="216"/>
      <c r="U66" s="216"/>
      <c r="V66" s="216"/>
      <c r="W66" s="216"/>
      <c r="X66" s="268">
        <v>3</v>
      </c>
      <c r="Y66" s="276"/>
      <c r="Z66" s="277"/>
      <c r="AA66" s="277"/>
      <c r="AB66" s="278"/>
      <c r="AC66" s="216"/>
      <c r="AD66" s="268">
        <v>3</v>
      </c>
      <c r="AE66" s="276"/>
      <c r="AF66" s="277"/>
      <c r="AG66" s="277"/>
      <c r="AH66" s="278"/>
    </row>
    <row r="67" spans="2:36" ht="18">
      <c r="B67" s="216"/>
      <c r="C67" s="272"/>
      <c r="D67" s="216"/>
      <c r="E67" s="216"/>
      <c r="F67" s="216"/>
      <c r="G67" s="216" t="s">
        <v>373</v>
      </c>
      <c r="H67" s="626">
        <v>4.6440000000000001</v>
      </c>
      <c r="I67" s="279">
        <v>2</v>
      </c>
      <c r="J67" s="276" t="s">
        <v>409</v>
      </c>
      <c r="K67" s="277"/>
      <c r="L67" s="277"/>
      <c r="M67" s="281">
        <v>3</v>
      </c>
      <c r="N67" s="216"/>
      <c r="O67" s="216"/>
      <c r="P67" s="216"/>
      <c r="Q67" s="216"/>
      <c r="R67" s="216"/>
      <c r="S67" s="216"/>
      <c r="T67" s="216"/>
      <c r="U67" s="216"/>
      <c r="V67" s="216"/>
      <c r="W67" s="216"/>
      <c r="X67" s="268">
        <v>4</v>
      </c>
      <c r="Y67" s="276"/>
      <c r="Z67" s="277"/>
      <c r="AA67" s="277"/>
      <c r="AB67" s="278"/>
      <c r="AC67" s="216"/>
      <c r="AD67" s="268">
        <v>4</v>
      </c>
      <c r="AE67" s="276"/>
      <c r="AF67" s="277"/>
      <c r="AG67" s="277"/>
      <c r="AH67" s="278"/>
    </row>
    <row r="68" spans="2:36" ht="18">
      <c r="B68" s="216"/>
      <c r="C68" s="272"/>
      <c r="D68" s="216"/>
      <c r="E68" s="216"/>
      <c r="F68" s="216"/>
      <c r="G68" s="216" t="s">
        <v>275</v>
      </c>
      <c r="H68" s="626">
        <v>0.26200000000000001</v>
      </c>
      <c r="I68" s="279">
        <v>3</v>
      </c>
      <c r="J68" s="276" t="s">
        <v>362</v>
      </c>
      <c r="K68" s="277"/>
      <c r="L68" s="277"/>
      <c r="M68" s="281">
        <v>1</v>
      </c>
      <c r="N68" s="216"/>
      <c r="O68" s="216"/>
      <c r="P68" s="216"/>
      <c r="Q68" s="216"/>
      <c r="R68" s="216"/>
      <c r="S68" s="216"/>
      <c r="T68" s="216"/>
      <c r="U68" s="216"/>
      <c r="V68" s="216"/>
      <c r="W68" s="216"/>
      <c r="X68" s="282">
        <v>5</v>
      </c>
      <c r="Y68" s="283" t="s">
        <v>182</v>
      </c>
      <c r="Z68" s="284"/>
      <c r="AA68" s="284"/>
      <c r="AB68" s="285" t="e">
        <f>AB63-SUM(AB64:AB67)</f>
        <v>#REF!</v>
      </c>
      <c r="AC68" s="216"/>
      <c r="AD68" s="282">
        <v>5</v>
      </c>
      <c r="AE68" s="283" t="s">
        <v>182</v>
      </c>
      <c r="AF68" s="284"/>
      <c r="AG68" s="284"/>
      <c r="AH68" s="285" t="e">
        <f>AH63-SUM(AH64:AH67)</f>
        <v>#REF!</v>
      </c>
    </row>
    <row r="69" spans="2:36" ht="18">
      <c r="B69" s="216"/>
      <c r="C69" s="216"/>
      <c r="D69" s="272"/>
      <c r="E69" s="272"/>
      <c r="F69" s="272"/>
      <c r="G69" s="272"/>
      <c r="H69" s="272"/>
      <c r="I69" s="279">
        <v>4</v>
      </c>
      <c r="J69" s="276" t="s">
        <v>410</v>
      </c>
      <c r="K69" s="277"/>
      <c r="L69" s="277"/>
      <c r="M69" s="281">
        <v>1</v>
      </c>
      <c r="N69" s="323"/>
      <c r="O69" s="216"/>
      <c r="P69" s="272"/>
      <c r="Q69" s="272"/>
      <c r="R69" s="216"/>
      <c r="S69" s="216"/>
      <c r="T69" s="216"/>
      <c r="U69" s="216"/>
      <c r="V69" s="216"/>
      <c r="W69" s="216"/>
      <c r="X69" s="216"/>
      <c r="Y69" s="216"/>
      <c r="Z69" s="216"/>
      <c r="AA69" s="216"/>
      <c r="AB69" s="216"/>
      <c r="AC69" s="216"/>
      <c r="AD69" s="216"/>
      <c r="AE69" s="216"/>
      <c r="AF69" s="216"/>
      <c r="AG69" s="287"/>
      <c r="AH69" s="287"/>
    </row>
    <row r="70" spans="2:36" ht="18">
      <c r="B70" s="216"/>
      <c r="C70" s="272"/>
      <c r="D70" s="216"/>
      <c r="E70" s="216"/>
      <c r="F70" s="216"/>
      <c r="G70" s="216"/>
      <c r="H70" s="216"/>
      <c r="I70" s="279">
        <v>5</v>
      </c>
      <c r="J70" s="276" t="s">
        <v>406</v>
      </c>
      <c r="K70" s="277"/>
      <c r="L70" s="277"/>
      <c r="M70" s="281">
        <v>1.5</v>
      </c>
      <c r="N70" s="216"/>
      <c r="O70" s="216"/>
      <c r="P70" s="216"/>
      <c r="Q70" s="216"/>
      <c r="R70" s="216"/>
      <c r="S70" s="216"/>
      <c r="T70" s="216"/>
      <c r="U70" s="216"/>
      <c r="V70" s="216"/>
      <c r="W70" s="216"/>
      <c r="X70" s="216"/>
      <c r="Y70" s="216"/>
      <c r="Z70" s="216"/>
      <c r="AA70" s="216"/>
      <c r="AB70" s="216"/>
      <c r="AC70" s="216"/>
      <c r="AD70" s="216"/>
      <c r="AE70" s="216"/>
      <c r="AF70" s="216"/>
      <c r="AG70" s="216"/>
      <c r="AH70" s="216"/>
    </row>
    <row r="71" spans="2:36" ht="18">
      <c r="B71" s="216"/>
      <c r="C71" s="272"/>
      <c r="D71" s="216"/>
      <c r="E71" s="216"/>
      <c r="F71" s="216"/>
      <c r="G71" s="216"/>
      <c r="H71" s="216"/>
      <c r="I71" s="279">
        <v>6</v>
      </c>
      <c r="J71" s="276" t="s">
        <v>401</v>
      </c>
      <c r="K71" s="277"/>
      <c r="L71" s="277"/>
      <c r="M71" s="281">
        <v>0.5</v>
      </c>
      <c r="N71" s="216"/>
      <c r="O71" s="216"/>
      <c r="P71" s="216"/>
      <c r="Q71" s="216"/>
      <c r="R71" s="216"/>
      <c r="S71" s="216"/>
      <c r="T71" s="216"/>
      <c r="U71" s="216"/>
      <c r="V71" s="216"/>
      <c r="W71" s="216"/>
      <c r="X71" s="216"/>
      <c r="Y71" s="216"/>
      <c r="Z71" s="216"/>
      <c r="AA71" s="216"/>
      <c r="AB71" s="216"/>
      <c r="AC71" s="216"/>
      <c r="AD71" s="216"/>
      <c r="AE71" s="216"/>
      <c r="AF71" s="216"/>
      <c r="AG71" s="216"/>
      <c r="AH71" s="216"/>
    </row>
    <row r="72" spans="2:36" ht="18">
      <c r="B72" s="216"/>
      <c r="C72" s="272"/>
      <c r="D72" s="272"/>
      <c r="E72" s="216"/>
      <c r="F72" s="216"/>
      <c r="G72" s="216"/>
      <c r="H72" s="216"/>
      <c r="I72" s="279">
        <v>7</v>
      </c>
      <c r="J72" s="276" t="s">
        <v>373</v>
      </c>
      <c r="K72" s="277"/>
      <c r="L72" s="277"/>
      <c r="M72" s="281">
        <v>4.6440000000000001</v>
      </c>
      <c r="N72" s="216"/>
      <c r="O72" s="216"/>
      <c r="P72" s="216"/>
      <c r="Q72" s="216"/>
      <c r="R72" s="216"/>
      <c r="S72" s="216"/>
      <c r="T72" s="216"/>
      <c r="U72" s="216"/>
      <c r="V72" s="216"/>
      <c r="W72" s="216"/>
      <c r="X72" s="216"/>
      <c r="Y72" s="216"/>
      <c r="Z72" s="216"/>
      <c r="AA72" s="216"/>
      <c r="AB72" s="216"/>
      <c r="AC72" s="216"/>
      <c r="AD72" s="216"/>
      <c r="AE72" s="216"/>
      <c r="AF72" s="216"/>
      <c r="AG72" s="216"/>
      <c r="AH72" s="216"/>
    </row>
    <row r="73" spans="2:36" ht="18">
      <c r="B73" s="216"/>
      <c r="C73" s="216"/>
      <c r="D73" s="216"/>
      <c r="E73" s="216"/>
      <c r="F73" s="216"/>
      <c r="G73" s="216"/>
      <c r="H73" s="216"/>
      <c r="I73" s="279">
        <v>8</v>
      </c>
      <c r="J73" s="276" t="s">
        <v>275</v>
      </c>
      <c r="K73" s="277"/>
      <c r="L73" s="277"/>
      <c r="M73" s="281">
        <v>0.26200000000000001</v>
      </c>
      <c r="N73" s="216"/>
      <c r="O73" s="216"/>
      <c r="P73" s="216"/>
      <c r="Q73" s="216"/>
      <c r="R73" s="216"/>
      <c r="S73" s="216"/>
      <c r="T73" s="216"/>
      <c r="U73" s="216"/>
      <c r="V73" s="216"/>
      <c r="W73" s="216"/>
      <c r="X73" s="216"/>
      <c r="Y73" s="216"/>
      <c r="Z73" s="216"/>
      <c r="AA73" s="216"/>
      <c r="AB73" s="216"/>
      <c r="AC73" s="216"/>
      <c r="AD73" s="216"/>
      <c r="AE73" s="216"/>
      <c r="AF73" s="216"/>
      <c r="AG73" s="216"/>
      <c r="AH73" s="216"/>
    </row>
    <row r="74" spans="2:36" ht="20.25">
      <c r="B74" s="216"/>
      <c r="C74" s="216"/>
      <c r="D74" s="216"/>
      <c r="E74" s="216"/>
      <c r="F74" s="216"/>
      <c r="G74" s="216"/>
      <c r="H74" s="216"/>
      <c r="I74" s="279">
        <v>9</v>
      </c>
      <c r="J74" s="276"/>
      <c r="K74" s="277"/>
      <c r="L74" s="277"/>
      <c r="M74" s="281"/>
      <c r="N74" s="216"/>
      <c r="O74" s="273" t="s">
        <v>191</v>
      </c>
      <c r="P74" s="274"/>
      <c r="Q74" s="274"/>
      <c r="R74" s="274"/>
      <c r="S74" s="294" t="e">
        <f>S61</f>
        <v>#REF!</v>
      </c>
      <c r="T74" s="216"/>
      <c r="U74" s="272"/>
      <c r="V74" s="272"/>
      <c r="W74" s="272"/>
      <c r="X74" s="216"/>
      <c r="Y74" s="216"/>
      <c r="Z74" s="216"/>
      <c r="AA74" s="216"/>
      <c r="AB74" s="216"/>
      <c r="AC74" s="216"/>
      <c r="AD74" s="216"/>
      <c r="AE74" s="216"/>
      <c r="AF74" s="216"/>
      <c r="AG74" s="216"/>
      <c r="AH74" s="216"/>
    </row>
    <row r="75" spans="2:36" ht="18">
      <c r="B75" s="216"/>
      <c r="C75" s="216"/>
      <c r="D75" s="216"/>
      <c r="E75" s="216"/>
      <c r="F75" s="216"/>
      <c r="G75" s="216"/>
      <c r="H75" s="216"/>
      <c r="I75" s="279">
        <v>10</v>
      </c>
      <c r="J75" s="289" t="s">
        <v>182</v>
      </c>
      <c r="K75" s="284"/>
      <c r="L75" s="284"/>
      <c r="M75" s="290">
        <f>M65-SUM(M66:M74)</f>
        <v>-17.386000000000003</v>
      </c>
      <c r="N75" s="216"/>
      <c r="O75" s="279">
        <v>1</v>
      </c>
      <c r="P75" s="269" t="s">
        <v>193</v>
      </c>
      <c r="Q75" s="270"/>
      <c r="R75" s="270"/>
      <c r="S75" s="280">
        <f>'[7]New KPI vs BP'!$EB$441-X56-G55</f>
        <v>0.1</v>
      </c>
      <c r="T75" s="216" t="s">
        <v>223</v>
      </c>
      <c r="U75" s="216">
        <v>-1.4</v>
      </c>
      <c r="V75" s="216"/>
      <c r="W75" s="216"/>
      <c r="X75" s="297"/>
      <c r="Y75" s="216"/>
      <c r="Z75" s="216"/>
      <c r="AA75" s="216"/>
      <c r="AB75" s="216"/>
      <c r="AC75" s="216"/>
      <c r="AD75" s="216"/>
      <c r="AE75" s="216"/>
      <c r="AF75" s="216"/>
      <c r="AG75" s="216"/>
      <c r="AH75" s="216"/>
    </row>
    <row r="76" spans="2:36" ht="18">
      <c r="B76" s="216"/>
      <c r="C76" s="216"/>
      <c r="D76" s="216"/>
      <c r="E76" s="216"/>
      <c r="F76" s="216"/>
      <c r="G76" s="216"/>
      <c r="H76" s="216"/>
      <c r="I76" s="216"/>
      <c r="J76" s="216"/>
      <c r="K76" s="216"/>
      <c r="L76" s="216"/>
      <c r="M76" s="216"/>
      <c r="N76" s="216"/>
      <c r="O76" s="279">
        <v>2</v>
      </c>
      <c r="P76" s="276" t="s">
        <v>143</v>
      </c>
      <c r="Q76" s="277"/>
      <c r="R76" s="277"/>
      <c r="S76" s="281">
        <f>'[9]New KPI vs BP'!$DP$449+'[9]New KPI vs BP'!$DP$460</f>
        <v>-4.5027207484214768</v>
      </c>
      <c r="T76" s="216" t="s">
        <v>359</v>
      </c>
      <c r="U76" s="330">
        <v>0.60934770452960008</v>
      </c>
      <c r="V76" s="216"/>
      <c r="W76" s="216"/>
      <c r="X76" s="216"/>
      <c r="Y76" s="216"/>
      <c r="Z76" s="216"/>
      <c r="AA76" s="216"/>
      <c r="AB76" s="216"/>
      <c r="AC76" s="216"/>
      <c r="AD76" s="216"/>
      <c r="AE76" s="216"/>
      <c r="AF76" s="216"/>
      <c r="AG76" s="216"/>
      <c r="AH76" s="216"/>
    </row>
    <row r="77" spans="2:36" ht="18">
      <c r="B77" s="216"/>
      <c r="C77" s="216"/>
      <c r="D77" s="216"/>
      <c r="E77" s="216"/>
      <c r="F77" s="216"/>
      <c r="G77" s="216"/>
      <c r="H77" s="216"/>
      <c r="I77" s="216"/>
      <c r="J77" s="216"/>
      <c r="K77" s="216"/>
      <c r="L77" s="216"/>
      <c r="M77" s="216"/>
      <c r="N77" s="216"/>
      <c r="O77" s="279">
        <v>3</v>
      </c>
      <c r="P77" s="276" t="s">
        <v>195</v>
      </c>
      <c r="Q77" s="277"/>
      <c r="R77" s="277"/>
      <c r="S77" s="281">
        <v>10.657344947641276</v>
      </c>
      <c r="T77" s="216" t="s">
        <v>195</v>
      </c>
      <c r="U77" s="315">
        <v>10.657344947641276</v>
      </c>
      <c r="V77" s="216"/>
      <c r="W77" s="216"/>
      <c r="X77" s="216"/>
      <c r="Y77" s="216"/>
      <c r="Z77" s="216"/>
      <c r="AA77" s="216"/>
      <c r="AB77" s="216"/>
      <c r="AC77" s="216"/>
      <c r="AD77" s="216"/>
      <c r="AE77" s="216"/>
      <c r="AF77" s="216"/>
      <c r="AG77" s="216"/>
      <c r="AH77" s="216"/>
    </row>
    <row r="78" spans="2:36" ht="18">
      <c r="B78" s="216"/>
      <c r="C78" s="216"/>
      <c r="D78" s="216"/>
      <c r="E78" s="216"/>
      <c r="F78" s="216"/>
      <c r="G78" s="216"/>
      <c r="H78" s="216"/>
      <c r="I78" s="216"/>
      <c r="J78" s="216"/>
      <c r="K78" s="216"/>
      <c r="L78" s="216"/>
      <c r="M78" s="216"/>
      <c r="N78" s="216"/>
      <c r="O78" s="279">
        <v>4</v>
      </c>
      <c r="P78" s="276" t="s">
        <v>411</v>
      </c>
      <c r="Q78" s="277"/>
      <c r="R78" s="277"/>
      <c r="S78" s="281">
        <v>-4.6757525664136903</v>
      </c>
      <c r="T78" s="216" t="s">
        <v>246</v>
      </c>
      <c r="U78" s="315">
        <v>-4.6757525664136903</v>
      </c>
      <c r="V78" s="216"/>
      <c r="W78" s="216"/>
      <c r="X78" s="216"/>
      <c r="Y78" s="216"/>
      <c r="Z78" s="216"/>
      <c r="AA78" s="216"/>
      <c r="AB78" s="216"/>
      <c r="AC78" s="216"/>
      <c r="AD78" s="216"/>
      <c r="AE78" s="216"/>
      <c r="AF78" s="216"/>
      <c r="AG78" s="216"/>
      <c r="AH78" s="216"/>
    </row>
    <row r="79" spans="2:36" ht="18">
      <c r="B79" s="216"/>
      <c r="C79" s="216"/>
      <c r="D79" s="216"/>
      <c r="E79" s="216"/>
      <c r="F79" s="216"/>
      <c r="G79" s="216"/>
      <c r="H79" s="216"/>
      <c r="I79" s="216"/>
      <c r="J79" s="216"/>
      <c r="K79" s="216"/>
      <c r="L79" s="216"/>
      <c r="M79" s="216"/>
      <c r="N79" s="216"/>
      <c r="O79" s="279">
        <v>5</v>
      </c>
      <c r="P79" s="276" t="s">
        <v>247</v>
      </c>
      <c r="Q79" s="277"/>
      <c r="R79" s="277"/>
      <c r="S79" s="278">
        <v>81.13060328535002</v>
      </c>
      <c r="T79" s="216" t="s">
        <v>247</v>
      </c>
      <c r="U79" s="315">
        <v>81.13060328535002</v>
      </c>
      <c r="V79" s="216"/>
      <c r="W79" s="216"/>
      <c r="X79" s="216"/>
      <c r="Y79" s="216"/>
      <c r="Z79" s="216"/>
      <c r="AA79" s="216"/>
      <c r="AB79" s="216"/>
      <c r="AC79" s="216"/>
      <c r="AD79" s="216"/>
      <c r="AE79" s="216"/>
      <c r="AF79" s="216"/>
      <c r="AG79" s="216"/>
      <c r="AH79" s="216"/>
    </row>
    <row r="80" spans="2:36" ht="18">
      <c r="B80" s="216"/>
      <c r="C80" s="216"/>
      <c r="D80" s="216"/>
      <c r="E80" s="216"/>
      <c r="F80" s="216"/>
      <c r="G80" s="216"/>
      <c r="H80" s="216"/>
      <c r="I80" s="216"/>
      <c r="J80" s="216"/>
      <c r="K80" s="216"/>
      <c r="L80" s="216"/>
      <c r="M80" s="216"/>
      <c r="N80" s="216"/>
      <c r="O80" s="279">
        <v>6</v>
      </c>
      <c r="P80" s="276" t="s">
        <v>412</v>
      </c>
      <c r="Q80" s="277"/>
      <c r="R80" s="277"/>
      <c r="S80" s="281">
        <v>-37.299999999999997</v>
      </c>
      <c r="T80" s="216" t="s">
        <v>400</v>
      </c>
      <c r="U80" s="315">
        <v>-37.299999999999997</v>
      </c>
      <c r="V80" s="216"/>
      <c r="W80" s="216"/>
      <c r="X80" s="216"/>
      <c r="Y80" s="216"/>
      <c r="Z80" s="216"/>
      <c r="AA80" s="216"/>
      <c r="AB80" s="216"/>
      <c r="AC80" s="216"/>
      <c r="AD80" s="216"/>
      <c r="AE80" s="216"/>
      <c r="AF80" s="216"/>
      <c r="AG80" s="216"/>
      <c r="AH80" s="216"/>
    </row>
    <row r="81" spans="2:34" ht="18">
      <c r="B81" s="216"/>
      <c r="C81" s="216"/>
      <c r="D81" s="216"/>
      <c r="E81" s="216"/>
      <c r="F81" s="216"/>
      <c r="G81" s="216"/>
      <c r="H81" s="216"/>
      <c r="I81" s="216"/>
      <c r="J81" s="216"/>
      <c r="K81" s="216"/>
      <c r="L81" s="216"/>
      <c r="M81" s="216"/>
      <c r="N81" s="216"/>
      <c r="O81" s="279">
        <v>7</v>
      </c>
      <c r="P81" s="276"/>
      <c r="Q81" s="277"/>
      <c r="R81" s="277"/>
      <c r="S81" s="281"/>
      <c r="T81" s="216" t="s">
        <v>222</v>
      </c>
      <c r="U81" s="315">
        <v>-4.3</v>
      </c>
      <c r="V81" s="216"/>
      <c r="W81" s="216"/>
      <c r="X81" s="216"/>
      <c r="Y81" s="216"/>
      <c r="Z81" s="216"/>
      <c r="AA81" s="216"/>
      <c r="AB81" s="216"/>
      <c r="AC81" s="216"/>
      <c r="AD81" s="216"/>
      <c r="AE81" s="216"/>
      <c r="AF81" s="216"/>
      <c r="AG81" s="216"/>
      <c r="AH81" s="216"/>
    </row>
    <row r="82" spans="2:34" ht="18">
      <c r="B82" s="216"/>
      <c r="C82" s="216"/>
      <c r="D82" s="216"/>
      <c r="E82" s="216"/>
      <c r="F82" s="216"/>
      <c r="G82" s="216"/>
      <c r="H82" s="216"/>
      <c r="I82" s="216"/>
      <c r="J82" s="216"/>
      <c r="K82" s="216"/>
      <c r="L82" s="216"/>
      <c r="M82" s="216"/>
      <c r="N82" s="216"/>
      <c r="O82" s="279">
        <v>8</v>
      </c>
      <c r="P82" s="276"/>
      <c r="Q82" s="277"/>
      <c r="R82" s="277"/>
      <c r="S82" s="278"/>
      <c r="T82" s="216" t="s">
        <v>395</v>
      </c>
      <c r="U82" s="315"/>
      <c r="V82" s="216"/>
      <c r="W82" s="216"/>
      <c r="X82" s="216"/>
      <c r="Y82" s="216"/>
      <c r="Z82" s="216"/>
      <c r="AA82" s="216"/>
      <c r="AB82" s="216"/>
      <c r="AC82" s="216"/>
      <c r="AD82" s="216"/>
      <c r="AE82" s="216"/>
      <c r="AF82" s="216"/>
      <c r="AG82" s="216"/>
      <c r="AH82" s="216"/>
    </row>
    <row r="83" spans="2:34" ht="18">
      <c r="B83" s="216"/>
      <c r="C83" s="216"/>
      <c r="D83" s="216"/>
      <c r="E83" s="216"/>
      <c r="F83" s="216"/>
      <c r="G83" s="216"/>
      <c r="H83" s="216"/>
      <c r="I83" s="216"/>
      <c r="J83" s="216"/>
      <c r="K83" s="216"/>
      <c r="L83" s="216"/>
      <c r="M83" s="216"/>
      <c r="N83" s="216"/>
      <c r="O83" s="279">
        <v>9</v>
      </c>
      <c r="P83" s="276"/>
      <c r="Q83" s="277"/>
      <c r="R83" s="277"/>
      <c r="S83" s="278"/>
      <c r="T83" s="216" t="s">
        <v>217</v>
      </c>
      <c r="U83" s="315">
        <f>SUM('[7]New KPI vs BP'!$EB$452+'[7]New KPI vs BP'!$EB$464)</f>
        <v>0</v>
      </c>
      <c r="W83" s="216"/>
      <c r="X83" s="216"/>
      <c r="Y83" s="216"/>
      <c r="Z83" s="216"/>
      <c r="AA83" s="216"/>
      <c r="AB83" s="216"/>
      <c r="AC83" s="216"/>
      <c r="AD83" s="216"/>
      <c r="AE83" s="216"/>
      <c r="AF83" s="216"/>
      <c r="AG83" s="216"/>
      <c r="AH83" s="216"/>
    </row>
    <row r="84" spans="2:34" ht="18">
      <c r="B84" s="216"/>
      <c r="C84" s="216"/>
      <c r="D84" s="216"/>
      <c r="E84" s="216"/>
      <c r="F84" s="216"/>
      <c r="G84" s="216"/>
      <c r="H84" s="216"/>
      <c r="I84" s="216"/>
      <c r="J84" s="216"/>
      <c r="K84" s="216"/>
      <c r="L84" s="216"/>
      <c r="M84" s="216"/>
      <c r="N84" s="216"/>
      <c r="O84" s="288">
        <v>10</v>
      </c>
      <c r="P84" s="283" t="s">
        <v>182</v>
      </c>
      <c r="Q84" s="284"/>
      <c r="R84" s="284"/>
      <c r="S84" s="285" t="e">
        <f>S74-SUM(S75:S83)</f>
        <v>#REF!</v>
      </c>
      <c r="T84" s="216"/>
      <c r="U84" s="216"/>
      <c r="W84" s="216"/>
      <c r="X84" s="216"/>
      <c r="Y84" s="216"/>
      <c r="Z84" s="216"/>
      <c r="AA84" s="216"/>
      <c r="AB84" s="216"/>
      <c r="AC84" s="216"/>
      <c r="AD84" s="216"/>
      <c r="AE84" s="216"/>
      <c r="AF84" s="216"/>
      <c r="AG84" s="216"/>
      <c r="AH84" s="216"/>
    </row>
    <row r="85" spans="2:34">
      <c r="T85" s="216"/>
    </row>
    <row r="86" spans="2:34">
      <c r="P86" s="333" t="e">
        <f>SUM(S76:S84)</f>
        <v>#REF!</v>
      </c>
      <c r="T86" s="216"/>
    </row>
    <row r="87" spans="2:34">
      <c r="T87" s="216" t="s">
        <v>223</v>
      </c>
    </row>
    <row r="91" spans="2:34">
      <c r="T91" s="216" t="s">
        <v>283</v>
      </c>
      <c r="U91" s="317" t="e">
        <f>SUM(U92:U94)</f>
        <v>#REF!</v>
      </c>
    </row>
    <row r="92" spans="2:34">
      <c r="T92" s="372" t="s">
        <v>252</v>
      </c>
      <c r="U92" s="373"/>
    </row>
    <row r="93" spans="2:34">
      <c r="T93" t="s">
        <v>293</v>
      </c>
      <c r="U93" s="317"/>
    </row>
    <row r="94" spans="2:34">
      <c r="T94" s="135" t="s">
        <v>144</v>
      </c>
      <c r="U94" s="373" t="e">
        <f>-AD56-AJ65-X57</f>
        <v>#REF!</v>
      </c>
    </row>
  </sheetData>
  <mergeCells count="26">
    <mergeCell ref="B10:B11"/>
    <mergeCell ref="C10:C11"/>
    <mergeCell ref="B17:B18"/>
    <mergeCell ref="H17:H18"/>
    <mergeCell ref="O17:O18"/>
    <mergeCell ref="P59:P60"/>
    <mergeCell ref="Q59:Q60"/>
    <mergeCell ref="R59:R60"/>
    <mergeCell ref="S59:S60"/>
    <mergeCell ref="Q17:Q18"/>
    <mergeCell ref="R17:R18"/>
    <mergeCell ref="S17:S18"/>
    <mergeCell ref="P17:P18"/>
    <mergeCell ref="B52:B53"/>
    <mergeCell ref="C52:C53"/>
    <mergeCell ref="B59:B60"/>
    <mergeCell ref="H59:H60"/>
    <mergeCell ref="O59:O60"/>
    <mergeCell ref="T59:T60"/>
    <mergeCell ref="AE59:AE60"/>
    <mergeCell ref="AF59:AF60"/>
    <mergeCell ref="AH59:AH60"/>
    <mergeCell ref="AH17:AH18"/>
    <mergeCell ref="T17:T18"/>
    <mergeCell ref="AE17:AE18"/>
    <mergeCell ref="AF17:AF18"/>
  </mergeCells>
  <pageMargins left="0.7" right="0.7" top="0.75" bottom="0.75" header="0.3" footer="0.3"/>
  <pageSetup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AFCAB-B9B6-46B8-9ADE-09DBD4392E6C}">
  <sheetPr>
    <tabColor theme="7" tint="0.59999389629810485"/>
  </sheetPr>
  <dimension ref="B1:AK88"/>
  <sheetViews>
    <sheetView showGridLines="0" zoomScale="60" zoomScaleNormal="60" workbookViewId="0">
      <selection activeCell="C14" sqref="C14"/>
    </sheetView>
  </sheetViews>
  <sheetFormatPr defaultRowHeight="15" outlineLevelRow="1"/>
  <cols>
    <col min="2" max="2" width="13.5703125" customWidth="1"/>
    <col min="3" max="3" width="11.5703125" customWidth="1"/>
    <col min="4" max="4" width="16.42578125" customWidth="1"/>
    <col min="5" max="5" width="15" bestFit="1" customWidth="1"/>
    <col min="6" max="6" width="14.42578125" bestFit="1" customWidth="1"/>
    <col min="7" max="7" width="11.5703125" customWidth="1"/>
    <col min="8" max="8" width="10.85546875" bestFit="1" customWidth="1"/>
    <col min="9" max="9" width="10.140625" customWidth="1"/>
    <col min="10" max="10" width="12.140625" customWidth="1"/>
    <col min="11" max="11" width="13.42578125" bestFit="1" customWidth="1"/>
    <col min="12" max="12" width="15.140625" customWidth="1"/>
    <col min="13" max="13" width="13.5703125" bestFit="1" customWidth="1"/>
    <col min="14" max="14" width="16.5703125" bestFit="1" customWidth="1"/>
    <col min="15" max="15" width="11" customWidth="1"/>
    <col min="17" max="17" width="19.42578125" bestFit="1" customWidth="1"/>
    <col min="18" max="18" width="10.140625" customWidth="1"/>
    <col min="19" max="19" width="20.5703125" bestFit="1" customWidth="1"/>
    <col min="20" max="20" width="20.5703125" customWidth="1"/>
    <col min="21" max="21" width="11.5703125" customWidth="1"/>
    <col min="22" max="22" width="12" customWidth="1"/>
    <col min="23" max="23" width="12.5703125" bestFit="1" customWidth="1"/>
    <col min="24" max="24" width="10.5703125" customWidth="1"/>
    <col min="29" max="29" width="10.42578125" customWidth="1"/>
    <col min="30" max="30" width="11.42578125" customWidth="1"/>
    <col min="33" max="33" width="12" bestFit="1" customWidth="1"/>
    <col min="35" max="35" width="11.5703125" customWidth="1"/>
  </cols>
  <sheetData>
    <row r="1" spans="2:34" ht="28.5">
      <c r="B1" s="304" t="str">
        <f>'Summary month'!E2</f>
        <v>Apr</v>
      </c>
      <c r="C1" t="str">
        <f>VLOOKUP(B1,mapping!$A$2:$C$13,3,0)</f>
        <v>M01</v>
      </c>
    </row>
    <row r="2" spans="2:34">
      <c r="H2">
        <f>'[7]New KPI vs BP'!$I$2</f>
        <v>0</v>
      </c>
    </row>
    <row r="3" spans="2:34" ht="28.5" outlineLevel="1">
      <c r="B3" s="299" t="s">
        <v>202</v>
      </c>
      <c r="D3" s="318" t="e">
        <f>D7-D45</f>
        <v>#REF!</v>
      </c>
      <c r="E3" s="318">
        <f>E7-E45</f>
        <v>-4.1214001875615551</v>
      </c>
      <c r="F3" s="318" t="e">
        <f>F7-F45</f>
        <v>#REF!</v>
      </c>
      <c r="G3" s="318" t="e">
        <f>G7-G45</f>
        <v>#REF!</v>
      </c>
      <c r="I3" s="216"/>
      <c r="J3" s="334" t="s">
        <v>303</v>
      </c>
      <c r="K3" s="216" t="s">
        <v>143</v>
      </c>
      <c r="L3" s="216" t="s">
        <v>304</v>
      </c>
      <c r="M3" s="216"/>
      <c r="N3" s="334" t="s">
        <v>303</v>
      </c>
      <c r="O3" s="216" t="s">
        <v>143</v>
      </c>
      <c r="P3" s="216" t="s">
        <v>305</v>
      </c>
      <c r="Q3" s="216" t="s">
        <v>306</v>
      </c>
    </row>
    <row r="4" spans="2:34" ht="18" outlineLevel="1">
      <c r="B4" s="215"/>
      <c r="C4" s="216"/>
      <c r="D4" s="215"/>
      <c r="E4" s="216"/>
      <c r="F4" s="215"/>
      <c r="G4" s="217" t="s">
        <v>138</v>
      </c>
      <c r="H4" s="216"/>
      <c r="I4" s="216" t="s">
        <v>307</v>
      </c>
      <c r="J4" s="334">
        <f>'[7]New KPI vs BP'!$BX$34-K4-L4</f>
        <v>122.50447215675737</v>
      </c>
      <c r="K4" s="216">
        <f>'[7]New KPI vs BP'!$BX$15</f>
        <v>4.0109880229999959</v>
      </c>
      <c r="L4" s="334">
        <f>'[7]New KPI vs BP'!$BX$507+'[7]New KPI vs BP'!$BX$523</f>
        <v>-133.91052547613253</v>
      </c>
      <c r="M4" s="216"/>
      <c r="N4" s="334">
        <f>'[7]New KPI vs BP'!$BX$34-O4-P4</f>
        <v>-7.3325245452716246</v>
      </c>
      <c r="O4" s="216">
        <f>K4</f>
        <v>4.0109880229999959</v>
      </c>
      <c r="P4" s="406">
        <f>L5+AA15-AJ57</f>
        <v>-4.0735287741035382</v>
      </c>
      <c r="Q4" s="334">
        <f>L4-(P4)</f>
        <v>-129.83699670202898</v>
      </c>
      <c r="R4" s="216"/>
      <c r="S4" s="216"/>
      <c r="T4" s="216"/>
      <c r="U4" s="216"/>
      <c r="V4" s="216"/>
      <c r="W4" s="216"/>
      <c r="X4" s="216"/>
      <c r="Y4" s="216"/>
      <c r="Z4" s="216"/>
      <c r="AA4" s="216"/>
      <c r="AB4" s="216"/>
      <c r="AC4" s="216"/>
      <c r="AD4" s="216"/>
      <c r="AE4" s="216"/>
      <c r="AF4" s="216"/>
      <c r="AG4" s="216"/>
      <c r="AH4" s="216"/>
    </row>
    <row r="5" spans="2:34" ht="20.100000000000001" customHeight="1" outlineLevel="1">
      <c r="B5" s="1014" t="s">
        <v>219</v>
      </c>
      <c r="C5" s="1014" t="s">
        <v>210</v>
      </c>
      <c r="D5" s="218"/>
      <c r="E5" s="219"/>
      <c r="F5" s="219"/>
      <c r="G5" s="220"/>
      <c r="H5" s="216"/>
      <c r="I5" s="216" t="s">
        <v>62</v>
      </c>
      <c r="J5" s="334">
        <f>M43</f>
        <v>-3.2736651088136122</v>
      </c>
      <c r="K5" s="216">
        <v>0</v>
      </c>
      <c r="L5" s="334">
        <f>M44</f>
        <v>3.3366271649291614</v>
      </c>
      <c r="M5" s="216"/>
      <c r="N5" s="216"/>
      <c r="O5" s="216"/>
      <c r="P5" s="216"/>
      <c r="Q5" s="216"/>
      <c r="R5" s="216"/>
      <c r="S5" s="216"/>
      <c r="T5" s="216"/>
      <c r="U5" s="216"/>
      <c r="V5" s="216"/>
      <c r="W5" s="221"/>
      <c r="X5" s="221"/>
      <c r="Y5" s="221"/>
      <c r="Z5" s="221"/>
      <c r="AA5" s="221"/>
      <c r="AB5" s="221"/>
      <c r="AC5" s="221"/>
      <c r="AD5" s="221"/>
      <c r="AE5" s="221"/>
      <c r="AF5" s="221"/>
      <c r="AG5" s="221"/>
      <c r="AH5" s="221"/>
    </row>
    <row r="6" spans="2:34" ht="40.5" outlineLevel="1">
      <c r="B6" s="1015"/>
      <c r="C6" s="1016"/>
      <c r="D6" s="222"/>
      <c r="E6" s="223" t="s">
        <v>154</v>
      </c>
      <c r="F6" s="224" t="s">
        <v>155</v>
      </c>
      <c r="G6" s="225" t="s">
        <v>156</v>
      </c>
      <c r="H6" s="216"/>
      <c r="I6" s="216" t="s">
        <v>208</v>
      </c>
      <c r="J6" s="216"/>
      <c r="K6" s="216"/>
      <c r="L6" s="442"/>
      <c r="M6" s="216"/>
      <c r="N6" s="216"/>
      <c r="O6" s="216"/>
      <c r="P6" s="216"/>
      <c r="Q6" s="216"/>
      <c r="R6" s="216"/>
      <c r="AH6" s="216"/>
    </row>
    <row r="7" spans="2:34" ht="20.25" outlineLevel="1">
      <c r="B7" s="226" t="e">
        <f>#REF!</f>
        <v>#REF!</v>
      </c>
      <c r="C7" s="226" t="e">
        <f>#REF!</f>
        <v>#REF!</v>
      </c>
      <c r="D7" s="227" t="e">
        <f>C7-B7</f>
        <v>#REF!</v>
      </c>
      <c r="E7" s="228">
        <f>'[7]New KPI vs BP'!$BX$34</f>
        <v>-7.3950652963751669</v>
      </c>
      <c r="F7" s="228" t="e">
        <f>#REF!-E8</f>
        <v>#REF!</v>
      </c>
      <c r="G7" s="229" t="e">
        <f>#REF!-E9</f>
        <v>#REF!</v>
      </c>
      <c r="H7" s="216"/>
      <c r="I7" s="286" t="e">
        <f>SUM(E7:G7)-D7</f>
        <v>#REF!</v>
      </c>
      <c r="J7" s="216"/>
      <c r="K7" s="216"/>
      <c r="L7" s="322"/>
      <c r="M7" s="216"/>
      <c r="N7" s="216"/>
      <c r="O7" s="230"/>
      <c r="P7" s="216"/>
      <c r="Q7" s="216"/>
      <c r="R7" s="216"/>
      <c r="AH7" s="230"/>
    </row>
    <row r="8" spans="2:34" outlineLevel="1">
      <c r="B8" s="216"/>
      <c r="C8" s="216"/>
      <c r="D8" s="216"/>
      <c r="E8" s="315">
        <f>SUM(N4:O4)</f>
        <v>-3.3215365222716287</v>
      </c>
      <c r="F8" s="216" t="s">
        <v>308</v>
      </c>
      <c r="G8" s="334"/>
      <c r="H8" s="216"/>
      <c r="I8" s="216"/>
      <c r="J8" s="216"/>
      <c r="K8" s="216"/>
      <c r="L8" s="216"/>
      <c r="M8" s="216"/>
      <c r="N8" s="216"/>
      <c r="O8" s="216" t="s">
        <v>53</v>
      </c>
      <c r="P8" s="315" t="e">
        <f>-#REF!</f>
        <v>#REF!</v>
      </c>
      <c r="Q8" s="216"/>
      <c r="R8" s="216"/>
      <c r="AH8" s="216"/>
    </row>
    <row r="9" spans="2:34" outlineLevel="1">
      <c r="B9" s="216"/>
      <c r="C9" s="216" t="s">
        <v>51</v>
      </c>
      <c r="D9" s="216" t="s">
        <v>50</v>
      </c>
      <c r="E9" s="315">
        <f>P4</f>
        <v>-4.0735287741035382</v>
      </c>
      <c r="F9" s="216" t="s">
        <v>309</v>
      </c>
      <c r="G9" s="216"/>
      <c r="H9" s="216"/>
      <c r="I9" s="216"/>
      <c r="J9" s="216"/>
      <c r="K9" s="216"/>
      <c r="L9" s="216"/>
      <c r="M9" s="216"/>
      <c r="N9" s="216"/>
      <c r="O9" s="216" t="s">
        <v>54</v>
      </c>
      <c r="P9" s="315" t="e">
        <f>-#REF!</f>
        <v>#REF!</v>
      </c>
      <c r="Q9" s="216"/>
      <c r="R9" s="216"/>
      <c r="AH9" s="216"/>
    </row>
    <row r="10" spans="2:34" ht="21" outlineLevel="1" thickBot="1">
      <c r="B10" s="231" t="s">
        <v>157</v>
      </c>
      <c r="C10" s="232" t="s">
        <v>56</v>
      </c>
      <c r="D10" s="232" t="s">
        <v>57</v>
      </c>
      <c r="E10" s="232"/>
      <c r="F10" s="232"/>
      <c r="G10" s="232"/>
      <c r="H10" s="232"/>
      <c r="I10" s="232"/>
      <c r="J10" s="232"/>
      <c r="K10" s="232"/>
      <c r="L10" s="232"/>
      <c r="M10" s="232"/>
      <c r="N10" s="232"/>
      <c r="O10" s="232" t="s">
        <v>55</v>
      </c>
      <c r="P10" s="286" t="e">
        <f>-#REF!</f>
        <v>#REF!</v>
      </c>
      <c r="Q10" s="232"/>
      <c r="R10" s="232" t="s">
        <v>60</v>
      </c>
      <c r="AA10" t="s">
        <v>52</v>
      </c>
      <c r="AB10" t="s">
        <v>59</v>
      </c>
      <c r="AH10" s="217" t="s">
        <v>138</v>
      </c>
    </row>
    <row r="11" spans="2:34" ht="21" outlineLevel="1" thickBot="1">
      <c r="B11" s="1034" t="s">
        <v>158</v>
      </c>
      <c r="C11" s="233" t="s">
        <v>159</v>
      </c>
      <c r="D11" s="234"/>
      <c r="E11" s="234"/>
      <c r="F11" s="234"/>
      <c r="G11" s="234"/>
      <c r="H11" s="234"/>
      <c r="I11" s="234"/>
      <c r="J11" s="234"/>
      <c r="K11" s="234"/>
      <c r="L11" s="234"/>
      <c r="M11" s="234"/>
      <c r="N11" s="234"/>
      <c r="O11" s="234"/>
      <c r="P11" s="234"/>
      <c r="Q11" s="234"/>
      <c r="R11" s="234"/>
      <c r="S11" s="235"/>
      <c r="T11" s="234"/>
      <c r="U11" s="236" t="s">
        <v>160</v>
      </c>
      <c r="V11" s="237"/>
      <c r="W11" s="237"/>
      <c r="X11" s="237"/>
      <c r="Y11" s="237"/>
      <c r="Z11" s="237"/>
      <c r="AA11" s="237"/>
      <c r="AB11" s="237"/>
      <c r="AC11" s="237"/>
      <c r="AD11" s="237"/>
      <c r="AE11" s="237"/>
      <c r="AF11" s="237"/>
      <c r="AG11" s="237"/>
      <c r="AH11" s="238"/>
    </row>
    <row r="12" spans="2:34" ht="20.100000000000001" customHeight="1" outlineLevel="1">
      <c r="B12" s="1035"/>
      <c r="C12" s="239" t="s">
        <v>161</v>
      </c>
      <c r="D12" s="240"/>
      <c r="E12" s="240"/>
      <c r="F12" s="240"/>
      <c r="G12" s="241"/>
      <c r="H12" s="1017" t="s">
        <v>162</v>
      </c>
      <c r="I12" s="242" t="s">
        <v>163</v>
      </c>
      <c r="J12" s="243"/>
      <c r="K12" s="243"/>
      <c r="L12" s="243"/>
      <c r="M12" s="243"/>
      <c r="N12" s="244"/>
      <c r="O12" s="1019" t="s">
        <v>164</v>
      </c>
      <c r="P12" s="1019" t="s">
        <v>165</v>
      </c>
      <c r="Q12" s="1019" t="s">
        <v>166</v>
      </c>
      <c r="R12" s="1022" t="s">
        <v>167</v>
      </c>
      <c r="S12" s="1023" t="s">
        <v>168</v>
      </c>
      <c r="T12" s="598"/>
      <c r="U12" s="245" t="s">
        <v>169</v>
      </c>
      <c r="V12" s="246"/>
      <c r="W12" s="246"/>
      <c r="X12" s="247"/>
      <c r="Y12" s="248" t="s">
        <v>163</v>
      </c>
      <c r="Z12" s="246"/>
      <c r="AA12" s="246"/>
      <c r="AB12" s="246"/>
      <c r="AC12" s="246"/>
      <c r="AD12" s="247"/>
      <c r="AE12" s="1022" t="s">
        <v>166</v>
      </c>
      <c r="AF12" s="1025" t="s">
        <v>167</v>
      </c>
      <c r="AG12" s="311"/>
      <c r="AH12" s="1012" t="s">
        <v>168</v>
      </c>
    </row>
    <row r="13" spans="2:34" ht="77.45" customHeight="1" outlineLevel="1">
      <c r="B13" s="1036"/>
      <c r="C13" s="249" t="s">
        <v>170</v>
      </c>
      <c r="D13" s="250" t="s">
        <v>171</v>
      </c>
      <c r="E13" s="250" t="s">
        <v>172</v>
      </c>
      <c r="F13" s="250" t="s">
        <v>173</v>
      </c>
      <c r="G13" s="251" t="s">
        <v>174</v>
      </c>
      <c r="H13" s="1018"/>
      <c r="I13" s="250" t="s">
        <v>175</v>
      </c>
      <c r="J13" s="250" t="s">
        <v>176</v>
      </c>
      <c r="K13" s="250" t="s">
        <v>177</v>
      </c>
      <c r="L13" s="250" t="s">
        <v>178</v>
      </c>
      <c r="M13" s="250" t="s">
        <v>168</v>
      </c>
      <c r="N13" s="250" t="s">
        <v>179</v>
      </c>
      <c r="O13" s="1020"/>
      <c r="P13" s="1021"/>
      <c r="Q13" s="1021"/>
      <c r="R13" s="1021"/>
      <c r="S13" s="1024"/>
      <c r="T13" s="599"/>
      <c r="U13" s="307" t="s">
        <v>203</v>
      </c>
      <c r="V13" s="308" t="s">
        <v>180</v>
      </c>
      <c r="W13" s="309" t="s">
        <v>181</v>
      </c>
      <c r="X13" s="310" t="s">
        <v>33</v>
      </c>
      <c r="Y13" s="305" t="s">
        <v>25</v>
      </c>
      <c r="Z13" s="306" t="s">
        <v>183</v>
      </c>
      <c r="AA13" s="306" t="s">
        <v>204</v>
      </c>
      <c r="AB13" s="306" t="s">
        <v>205</v>
      </c>
      <c r="AC13" s="306" t="s">
        <v>184</v>
      </c>
      <c r="AD13" s="306" t="s">
        <v>30</v>
      </c>
      <c r="AE13" s="1021"/>
      <c r="AF13" s="1026"/>
      <c r="AG13" s="312" t="s">
        <v>37</v>
      </c>
      <c r="AH13" s="1013"/>
    </row>
    <row r="14" spans="2:34" ht="21" outlineLevel="1" thickBot="1">
      <c r="B14" s="252">
        <f>E7</f>
        <v>-7.3950652963751669</v>
      </c>
      <c r="C14" s="253" t="e">
        <f>C52-#REF!-#REF!+M43-N4+C23</f>
        <v>#REF!</v>
      </c>
      <c r="D14" s="254" t="e">
        <f>S58-#REF!-#REF!-O4+D23</f>
        <v>#REF!</v>
      </c>
      <c r="E14" s="254">
        <f>E52</f>
        <v>-8.4223655018795327</v>
      </c>
      <c r="F14" s="254">
        <f>F52</f>
        <v>-2.1290473783732722</v>
      </c>
      <c r="G14" s="254"/>
      <c r="H14" s="254">
        <f>H52</f>
        <v>0</v>
      </c>
      <c r="I14" s="254">
        <f>I52</f>
        <v>8.8174029010874649E-2</v>
      </c>
      <c r="J14" s="255">
        <f>J52</f>
        <v>0.19238578649041088</v>
      </c>
      <c r="K14" s="255">
        <f>K52</f>
        <v>-6.5193709764708725</v>
      </c>
      <c r="L14" s="255">
        <f>L52</f>
        <v>0.1</v>
      </c>
      <c r="M14" s="255" t="e">
        <f>M52-#REF!</f>
        <v>#REF!</v>
      </c>
      <c r="N14" s="255"/>
      <c r="O14" s="254" t="e">
        <f>-SUM(#REF!)</f>
        <v>#REF!</v>
      </c>
      <c r="P14" s="254"/>
      <c r="Q14" s="256"/>
      <c r="R14" s="254" t="e">
        <f>R52-#REF!</f>
        <v>#REF!</v>
      </c>
      <c r="S14" s="257" t="e">
        <f>F7-SUM(C14:R14)</f>
        <v>#REF!</v>
      </c>
      <c r="T14" s="600"/>
      <c r="U14" s="253">
        <f>U52</f>
        <v>8.2457491129999987</v>
      </c>
      <c r="V14" s="258">
        <f>V52</f>
        <v>0.22122354000000022</v>
      </c>
      <c r="W14" s="258"/>
      <c r="X14" s="258">
        <f>X52</f>
        <v>-0.8309257339999967</v>
      </c>
      <c r="Y14" s="258">
        <f>Y52</f>
        <v>-0.96063722935694928</v>
      </c>
      <c r="Z14" s="258">
        <f>Z52</f>
        <v>1.2869830751505105</v>
      </c>
      <c r="AA14" s="258" t="e">
        <f>AA52-#REF!</f>
        <v>#REF!</v>
      </c>
      <c r="AB14" s="258" t="e">
        <f>-#REF!</f>
        <v>#REF!</v>
      </c>
      <c r="AC14" s="258">
        <f>AC52</f>
        <v>-14.926452900000003</v>
      </c>
      <c r="AD14" s="258">
        <f>AD52</f>
        <v>-0.11215198391395376</v>
      </c>
      <c r="AE14" s="256"/>
      <c r="AF14" s="259"/>
      <c r="AG14" s="254">
        <f>AG52</f>
        <v>-3.6729430897760578</v>
      </c>
      <c r="AH14" s="260" t="e">
        <f>G7-SUM(U14:AG14)</f>
        <v>#REF!</v>
      </c>
    </row>
    <row r="15" spans="2:34" outlineLevel="1">
      <c r="B15" s="286">
        <f>B14-B52</f>
        <v>-4.1214001875615551</v>
      </c>
      <c r="C15" s="286" t="e">
        <f t="shared" ref="C15:S15" si="0">C14-C52</f>
        <v>#REF!</v>
      </c>
      <c r="D15" s="286" t="e">
        <f t="shared" si="0"/>
        <v>#REF!</v>
      </c>
      <c r="E15" s="286">
        <f t="shared" si="0"/>
        <v>0</v>
      </c>
      <c r="F15" s="286">
        <f t="shared" si="0"/>
        <v>0</v>
      </c>
      <c r="G15" s="286">
        <f t="shared" si="0"/>
        <v>0</v>
      </c>
      <c r="H15" s="286">
        <f t="shared" si="0"/>
        <v>0</v>
      </c>
      <c r="I15" s="286">
        <f t="shared" si="0"/>
        <v>0</v>
      </c>
      <c r="J15" s="286">
        <f t="shared" si="0"/>
        <v>0</v>
      </c>
      <c r="K15" s="286">
        <f t="shared" si="0"/>
        <v>0</v>
      </c>
      <c r="L15" s="286">
        <f t="shared" si="0"/>
        <v>0</v>
      </c>
      <c r="M15" s="286" t="e">
        <f t="shared" si="0"/>
        <v>#REF!</v>
      </c>
      <c r="N15" s="286">
        <f t="shared" si="0"/>
        <v>0</v>
      </c>
      <c r="O15" s="286" t="e">
        <f t="shared" si="0"/>
        <v>#REF!</v>
      </c>
      <c r="P15" s="286">
        <f t="shared" si="0"/>
        <v>0</v>
      </c>
      <c r="Q15" s="286">
        <f t="shared" si="0"/>
        <v>0</v>
      </c>
      <c r="R15" s="286" t="e">
        <f t="shared" si="0"/>
        <v>#REF!</v>
      </c>
      <c r="S15" s="286" t="e">
        <f t="shared" si="0"/>
        <v>#REF!</v>
      </c>
      <c r="T15" s="286"/>
      <c r="U15" s="216"/>
      <c r="V15" s="216"/>
      <c r="W15" s="216"/>
      <c r="X15" s="216"/>
      <c r="Y15" s="216"/>
      <c r="Z15" s="216"/>
      <c r="AA15" s="216">
        <f>'[7]New KPI vs BP'!$BX$20</f>
        <v>-7.3701925999999993</v>
      </c>
      <c r="AB15" s="216"/>
      <c r="AC15" s="216"/>
      <c r="AE15" t="s">
        <v>262</v>
      </c>
      <c r="AF15" s="216"/>
      <c r="AG15" s="216"/>
      <c r="AH15" s="216"/>
    </row>
    <row r="16" spans="2:34" ht="18" outlineLevel="1">
      <c r="B16" s="221"/>
      <c r="C16" s="261"/>
      <c r="D16" s="262"/>
      <c r="E16" s="433" t="s">
        <v>285</v>
      </c>
      <c r="F16" s="434" t="s">
        <v>286</v>
      </c>
      <c r="G16" s="262"/>
      <c r="H16" s="262"/>
      <c r="I16" s="262"/>
      <c r="J16" s="262"/>
      <c r="K16" s="262"/>
      <c r="L16" s="262"/>
      <c r="M16" s="262"/>
      <c r="N16" s="262"/>
      <c r="O16" s="262"/>
      <c r="P16" s="262"/>
      <c r="Q16" s="262"/>
      <c r="R16" s="262"/>
      <c r="S16" s="221"/>
      <c r="T16" s="221"/>
      <c r="U16" s="221"/>
      <c r="V16" s="221"/>
      <c r="W16" s="221"/>
    </row>
    <row r="17" spans="2:34" ht="18" outlineLevel="1">
      <c r="B17" s="216"/>
      <c r="C17" s="266"/>
      <c r="D17" s="267"/>
      <c r="E17" s="267"/>
      <c r="F17" s="267"/>
      <c r="G17" s="267"/>
      <c r="H17" s="267"/>
      <c r="I17" s="267"/>
      <c r="J17" s="267"/>
      <c r="K17" s="267"/>
      <c r="L17" s="267"/>
      <c r="M17" s="267"/>
      <c r="N17" s="267"/>
      <c r="O17" s="267"/>
      <c r="P17" s="267"/>
      <c r="Q17" s="267"/>
      <c r="R17" s="267"/>
      <c r="S17" s="216"/>
      <c r="T17" s="216"/>
      <c r="U17" s="431" t="e">
        <f>-S58+S23</f>
        <v>#REF!</v>
      </c>
      <c r="V17" s="216"/>
      <c r="W17" s="216"/>
    </row>
    <row r="18" spans="2:34" ht="20.25" outlineLevel="1">
      <c r="B18" s="221" t="s">
        <v>277</v>
      </c>
      <c r="C18" s="426">
        <f>C52</f>
        <v>6.694049450352173</v>
      </c>
      <c r="D18" s="216"/>
      <c r="E18" s="216" t="s">
        <v>281</v>
      </c>
      <c r="F18" s="216" t="s">
        <v>274</v>
      </c>
      <c r="G18" s="216"/>
      <c r="H18" s="216"/>
      <c r="I18" s="273" t="s">
        <v>188</v>
      </c>
      <c r="J18" s="274"/>
      <c r="K18" s="274"/>
      <c r="L18" s="274"/>
      <c r="M18" s="275" t="e">
        <f>M14</f>
        <v>#REF!</v>
      </c>
      <c r="N18" s="216"/>
      <c r="P18" s="273" t="s">
        <v>191</v>
      </c>
      <c r="Q18" s="274"/>
      <c r="R18" s="274"/>
      <c r="S18" s="294" t="e">
        <f>S14</f>
        <v>#REF!</v>
      </c>
      <c r="T18" s="601"/>
      <c r="U18" s="216"/>
      <c r="V18" s="216"/>
      <c r="W18" s="216"/>
      <c r="X18" s="263" t="s">
        <v>185</v>
      </c>
      <c r="Y18" s="264"/>
      <c r="Z18" s="264"/>
      <c r="AA18" s="265">
        <f>AD14</f>
        <v>-0.11215198391395376</v>
      </c>
      <c r="AC18" s="263" t="s">
        <v>186</v>
      </c>
      <c r="AD18" s="264"/>
      <c r="AE18" s="264"/>
      <c r="AF18" s="264"/>
      <c r="AG18" s="264"/>
      <c r="AH18" s="265" t="e">
        <f>AH14</f>
        <v>#REF!</v>
      </c>
    </row>
    <row r="19" spans="2:34" ht="18" outlineLevel="1">
      <c r="B19" s="216" t="s">
        <v>278</v>
      </c>
      <c r="C19" s="426" t="e">
        <f>-#REF!</f>
        <v>#REF!</v>
      </c>
      <c r="D19" s="216"/>
      <c r="E19" s="412" t="e">
        <f>C19-F19</f>
        <v>#REF!</v>
      </c>
      <c r="F19" s="594">
        <v>-34.4912600252934</v>
      </c>
      <c r="G19" s="216"/>
      <c r="H19" s="216"/>
      <c r="I19" s="279">
        <v>1</v>
      </c>
      <c r="J19" s="269"/>
      <c r="K19" s="270"/>
      <c r="L19" s="270"/>
      <c r="M19" s="280">
        <f>M57</f>
        <v>-3.4</v>
      </c>
      <c r="N19" s="216"/>
      <c r="P19" s="279">
        <v>1</v>
      </c>
      <c r="Q19" s="269" t="s">
        <v>193</v>
      </c>
      <c r="R19" s="270"/>
      <c r="S19" s="280">
        <f>S57</f>
        <v>-5.2201045777396562</v>
      </c>
      <c r="T19" s="550"/>
      <c r="U19" s="216"/>
      <c r="V19" s="216"/>
      <c r="W19" s="216"/>
      <c r="X19" s="268">
        <v>1</v>
      </c>
      <c r="Y19" s="269" t="str">
        <f>Y57</f>
        <v>Cap res</v>
      </c>
      <c r="Z19" s="270"/>
      <c r="AA19" s="271">
        <f>AA57</f>
        <v>0.17399999999999999</v>
      </c>
      <c r="AC19" s="268">
        <v>1</v>
      </c>
      <c r="AD19" s="269" t="s">
        <v>187</v>
      </c>
      <c r="AE19" s="270"/>
      <c r="AF19" s="270"/>
      <c r="AG19" s="270"/>
      <c r="AH19" s="271">
        <f>AH57</f>
        <v>-6.1184341000000586E-2</v>
      </c>
    </row>
    <row r="20" spans="2:34" ht="18" outlineLevel="1">
      <c r="B20" s="216" t="s">
        <v>279</v>
      </c>
      <c r="C20" s="427" t="e">
        <f>-#REF!</f>
        <v>#REF!</v>
      </c>
      <c r="D20" s="216"/>
      <c r="E20" s="216"/>
      <c r="F20" s="216"/>
      <c r="G20" s="216"/>
      <c r="H20" s="216"/>
      <c r="I20" s="279">
        <v>2</v>
      </c>
      <c r="J20" s="276"/>
      <c r="K20" s="277"/>
      <c r="L20" s="277"/>
      <c r="M20" s="281">
        <f>M58</f>
        <v>-1.5</v>
      </c>
      <c r="P20" s="279">
        <v>2</v>
      </c>
      <c r="Q20" s="276"/>
      <c r="R20" s="277"/>
      <c r="S20" s="281">
        <f>S60</f>
        <v>0</v>
      </c>
      <c r="T20" s="550"/>
      <c r="U20" s="216"/>
      <c r="V20" s="216"/>
      <c r="W20" s="216"/>
      <c r="X20" s="268">
        <v>2</v>
      </c>
      <c r="Y20" s="276">
        <f>Y58</f>
        <v>0</v>
      </c>
      <c r="Z20" s="277"/>
      <c r="AA20" s="278">
        <f>AA58</f>
        <v>0</v>
      </c>
      <c r="AC20" s="268">
        <v>2</v>
      </c>
      <c r="AD20" s="276"/>
      <c r="AE20" s="277"/>
      <c r="AF20" s="277"/>
      <c r="AG20" s="277"/>
      <c r="AH20" s="278"/>
    </row>
    <row r="21" spans="2:34" ht="18" outlineLevel="1">
      <c r="B21" s="216" t="s">
        <v>280</v>
      </c>
      <c r="C21" s="438">
        <f>(M43-N4)</f>
        <v>4.0588594364580128</v>
      </c>
      <c r="D21" s="216"/>
      <c r="E21" s="216"/>
      <c r="F21" s="216"/>
      <c r="G21" s="216"/>
      <c r="H21" s="216"/>
      <c r="I21" s="279">
        <v>3</v>
      </c>
      <c r="J21" s="276"/>
      <c r="K21" s="277"/>
      <c r="L21" s="277"/>
      <c r="M21" s="281">
        <f>M59</f>
        <v>0</v>
      </c>
      <c r="N21" s="216"/>
      <c r="P21" s="279">
        <v>3</v>
      </c>
      <c r="Q21" s="276"/>
      <c r="R21" s="277"/>
      <c r="S21" s="281"/>
      <c r="T21" s="550"/>
      <c r="U21" s="216"/>
      <c r="V21" s="216"/>
      <c r="W21" s="216"/>
      <c r="X21" s="268">
        <v>3</v>
      </c>
      <c r="Y21" s="276"/>
      <c r="Z21" s="277"/>
      <c r="AA21" s="278"/>
      <c r="AC21" s="268">
        <v>3</v>
      </c>
      <c r="AD21" s="276"/>
      <c r="AE21" s="277"/>
      <c r="AF21" s="277"/>
      <c r="AG21" s="277"/>
      <c r="AH21" s="278"/>
    </row>
    <row r="22" spans="2:34" ht="18" outlineLevel="1">
      <c r="B22" s="216"/>
      <c r="C22" s="216"/>
      <c r="D22" s="272"/>
      <c r="E22" s="329"/>
      <c r="F22" s="272"/>
      <c r="G22" s="272"/>
      <c r="H22" s="272"/>
      <c r="I22" s="279">
        <v>4</v>
      </c>
      <c r="J22" s="276"/>
      <c r="K22" s="277"/>
      <c r="L22" s="277"/>
      <c r="M22" s="281">
        <f>M60</f>
        <v>0</v>
      </c>
      <c r="N22" s="216"/>
      <c r="P22" s="279">
        <v>4</v>
      </c>
      <c r="Q22" s="276"/>
      <c r="R22" s="277"/>
      <c r="S22" s="281"/>
      <c r="T22" s="550"/>
      <c r="U22" s="216"/>
      <c r="V22" s="216"/>
      <c r="W22" s="216"/>
      <c r="X22" s="268">
        <v>4</v>
      </c>
      <c r="Y22" s="276"/>
      <c r="Z22" s="277"/>
      <c r="AA22" s="278"/>
      <c r="AC22" s="268">
        <v>4</v>
      </c>
      <c r="AD22" s="276"/>
      <c r="AE22" s="277"/>
      <c r="AF22" s="277"/>
      <c r="AG22" s="277"/>
      <c r="AH22" s="278"/>
    </row>
    <row r="23" spans="2:34" ht="18" outlineLevel="1">
      <c r="B23" s="216" t="s">
        <v>329</v>
      </c>
      <c r="C23" s="329">
        <f>S61</f>
        <v>0</v>
      </c>
      <c r="D23" s="334"/>
      <c r="E23" s="216"/>
      <c r="F23" s="334"/>
      <c r="G23" s="216"/>
      <c r="H23" s="216"/>
      <c r="I23" s="279">
        <v>5</v>
      </c>
      <c r="J23" s="276"/>
      <c r="K23" s="277"/>
      <c r="L23" s="277"/>
      <c r="M23" s="281" t="e">
        <f>-#REF!</f>
        <v>#REF!</v>
      </c>
      <c r="N23" s="216"/>
      <c r="P23" s="279">
        <v>5</v>
      </c>
      <c r="Q23" s="276" t="s">
        <v>58</v>
      </c>
      <c r="R23" s="277"/>
      <c r="S23" s="281" t="e">
        <f>-#REF!</f>
        <v>#REF!</v>
      </c>
      <c r="T23" s="550"/>
      <c r="U23" s="216"/>
      <c r="V23" s="216"/>
      <c r="W23" s="216"/>
      <c r="X23" s="282">
        <v>5</v>
      </c>
      <c r="Y23" s="283" t="s">
        <v>182</v>
      </c>
      <c r="Z23" s="284"/>
      <c r="AA23" s="285">
        <f>AA18-SUM(AA19:AA22)</f>
        <v>-0.28615198391395374</v>
      </c>
      <c r="AC23" s="282">
        <v>5</v>
      </c>
      <c r="AD23" s="283" t="s">
        <v>182</v>
      </c>
      <c r="AE23" s="284"/>
      <c r="AF23" s="284"/>
      <c r="AG23" s="284"/>
      <c r="AH23" s="285" t="e">
        <f>AH18-SUM(AH19:AH22)</f>
        <v>#REF!</v>
      </c>
    </row>
    <row r="24" spans="2:34" ht="18" outlineLevel="1">
      <c r="B24" s="216"/>
      <c r="C24" s="272"/>
      <c r="D24" s="216"/>
      <c r="E24" s="216"/>
      <c r="F24" s="216"/>
      <c r="G24" s="216"/>
      <c r="H24" s="216"/>
      <c r="I24" s="279">
        <v>6</v>
      </c>
      <c r="J24" s="276"/>
      <c r="K24" s="277"/>
      <c r="L24" s="277"/>
      <c r="M24" s="281">
        <f>M61</f>
        <v>0</v>
      </c>
      <c r="N24" s="216"/>
      <c r="P24" s="279">
        <v>6</v>
      </c>
      <c r="Q24" s="276"/>
      <c r="R24" s="277"/>
      <c r="S24" s="281"/>
      <c r="T24" s="550"/>
      <c r="U24" s="216"/>
      <c r="V24" s="216"/>
      <c r="W24" s="216"/>
      <c r="X24" s="216"/>
      <c r="Y24" s="216"/>
      <c r="Z24" s="216"/>
      <c r="AA24" s="286">
        <f>AA23-AA61</f>
        <v>0</v>
      </c>
      <c r="AC24" s="216"/>
      <c r="AD24" s="216"/>
      <c r="AE24" s="216"/>
      <c r="AF24" s="216"/>
      <c r="AG24" s="287"/>
      <c r="AH24" s="286" t="e">
        <f>AH23-AH61</f>
        <v>#REF!</v>
      </c>
    </row>
    <row r="25" spans="2:34" ht="18" outlineLevel="1">
      <c r="B25" s="216"/>
      <c r="C25" s="272"/>
      <c r="D25" s="272"/>
      <c r="E25" s="216"/>
      <c r="F25" s="216"/>
      <c r="G25" s="216"/>
      <c r="H25" s="216"/>
      <c r="I25" s="279">
        <v>7</v>
      </c>
      <c r="J25" s="276"/>
      <c r="K25" s="277"/>
      <c r="L25" s="277"/>
      <c r="M25" s="281">
        <f>M62</f>
        <v>0</v>
      </c>
      <c r="N25" s="216"/>
      <c r="P25" s="279">
        <v>7</v>
      </c>
      <c r="Q25" s="276"/>
      <c r="R25" s="277"/>
      <c r="S25" s="281"/>
      <c r="T25" s="550"/>
      <c r="U25" s="216"/>
      <c r="V25" s="216"/>
      <c r="W25" s="216"/>
      <c r="X25" s="216"/>
      <c r="Y25" s="216"/>
      <c r="Z25" s="216"/>
      <c r="AA25" s="216"/>
      <c r="AB25" s="216"/>
      <c r="AC25" s="216"/>
      <c r="AD25" s="216"/>
      <c r="AE25" s="216"/>
      <c r="AF25" s="216"/>
      <c r="AG25" s="216"/>
      <c r="AH25" s="216"/>
    </row>
    <row r="26" spans="2:34" ht="18" outlineLevel="1">
      <c r="B26" s="216"/>
      <c r="G26" s="216"/>
      <c r="H26" s="216"/>
      <c r="I26" s="279">
        <v>8</v>
      </c>
      <c r="J26" s="276"/>
      <c r="K26" s="277"/>
      <c r="L26" s="277"/>
      <c r="M26" s="281">
        <f>M63</f>
        <v>0</v>
      </c>
      <c r="N26" s="216"/>
      <c r="P26" s="279">
        <v>8</v>
      </c>
      <c r="Q26" s="276"/>
      <c r="R26" s="277"/>
      <c r="S26" s="278"/>
      <c r="T26" s="602"/>
      <c r="U26" s="216"/>
      <c r="V26" s="216"/>
      <c r="W26" s="216"/>
      <c r="X26" s="216"/>
      <c r="Y26" s="216"/>
      <c r="Z26" s="216"/>
      <c r="AA26" s="216"/>
      <c r="AB26" s="216"/>
      <c r="AC26" s="216"/>
      <c r="AD26" s="216"/>
      <c r="AE26" s="216"/>
      <c r="AF26" s="216"/>
      <c r="AG26" s="216"/>
      <c r="AH26" s="216"/>
    </row>
    <row r="27" spans="2:34" ht="18" outlineLevel="1">
      <c r="B27" s="216"/>
      <c r="G27" s="216"/>
      <c r="H27" s="216"/>
      <c r="I27" s="279">
        <v>9</v>
      </c>
      <c r="J27" s="276"/>
      <c r="K27" s="277"/>
      <c r="L27" s="277"/>
      <c r="M27" s="281">
        <f>M64</f>
        <v>0</v>
      </c>
      <c r="N27" s="216"/>
      <c r="P27" s="279">
        <v>9</v>
      </c>
      <c r="Q27" s="276"/>
      <c r="R27" s="277"/>
      <c r="S27" s="278"/>
      <c r="T27" s="602"/>
      <c r="U27" s="272"/>
      <c r="V27" s="272"/>
      <c r="W27" s="272"/>
      <c r="X27" s="216"/>
      <c r="Y27" s="216"/>
      <c r="Z27" s="216"/>
      <c r="AA27" s="216"/>
      <c r="AB27" s="216"/>
      <c r="AC27" s="216"/>
      <c r="AD27" s="216"/>
      <c r="AE27" s="216"/>
      <c r="AF27" s="216"/>
      <c r="AG27" s="216"/>
      <c r="AH27" s="216"/>
    </row>
    <row r="28" spans="2:34" ht="18" outlineLevel="1">
      <c r="B28" s="216"/>
      <c r="G28" s="216"/>
      <c r="H28" s="216"/>
      <c r="I28" s="279">
        <v>10</v>
      </c>
      <c r="J28" s="276"/>
      <c r="K28" s="277"/>
      <c r="L28" s="277"/>
      <c r="M28" s="281"/>
      <c r="N28" s="216"/>
      <c r="P28" s="288">
        <v>10</v>
      </c>
      <c r="Q28" s="283" t="s">
        <v>182</v>
      </c>
      <c r="R28" s="284"/>
      <c r="S28" s="285" t="e">
        <f>S18-SUM(S19:S27)</f>
        <v>#REF!</v>
      </c>
      <c r="T28" s="602"/>
      <c r="U28" s="216"/>
      <c r="V28" s="216"/>
      <c r="W28" s="216"/>
      <c r="X28" s="297"/>
      <c r="Y28" s="216"/>
      <c r="Z28" s="216"/>
      <c r="AA28" s="216"/>
      <c r="AB28" s="216"/>
      <c r="AC28" s="216"/>
      <c r="AD28" s="216"/>
      <c r="AE28" s="216"/>
      <c r="AF28" s="216"/>
      <c r="AG28" s="216"/>
      <c r="AH28" s="216"/>
    </row>
    <row r="29" spans="2:34" ht="18" outlineLevel="1">
      <c r="B29" s="216"/>
      <c r="G29" s="216"/>
      <c r="H29" s="216"/>
      <c r="I29" s="279">
        <v>11</v>
      </c>
      <c r="J29" s="276"/>
      <c r="K29" s="277"/>
      <c r="L29" s="277"/>
      <c r="M29" s="281"/>
      <c r="N29" s="216"/>
      <c r="O29" s="216"/>
      <c r="P29" s="216"/>
      <c r="Q29" s="216"/>
      <c r="R29" s="216"/>
      <c r="S29" s="286" t="e">
        <f>S28-S66</f>
        <v>#REF!</v>
      </c>
      <c r="T29" s="286"/>
      <c r="U29" s="216"/>
      <c r="V29" s="216"/>
      <c r="W29" s="216"/>
      <c r="X29" s="216"/>
      <c r="Y29" s="216"/>
      <c r="Z29" s="216"/>
      <c r="AA29" s="216"/>
      <c r="AB29" s="216"/>
      <c r="AC29" s="216"/>
      <c r="AD29" s="216"/>
      <c r="AE29" s="216"/>
      <c r="AF29" s="216"/>
      <c r="AG29" s="216"/>
      <c r="AH29" s="216"/>
    </row>
    <row r="30" spans="2:34" ht="18" outlineLevel="1">
      <c r="B30" s="216"/>
      <c r="G30" s="216"/>
      <c r="H30" s="216"/>
      <c r="I30" s="288">
        <v>12</v>
      </c>
      <c r="J30" s="289" t="s">
        <v>182</v>
      </c>
      <c r="K30" s="284"/>
      <c r="L30" s="284"/>
      <c r="M30" s="290" t="e">
        <f>M18-SUM(M19:M29)</f>
        <v>#REF!</v>
      </c>
      <c r="N30" s="216"/>
      <c r="U30" s="216"/>
      <c r="V30" s="216"/>
      <c r="W30" s="216"/>
      <c r="X30" s="216"/>
      <c r="Y30" s="216"/>
      <c r="Z30" s="216"/>
      <c r="AA30" s="216"/>
      <c r="AB30" s="216"/>
      <c r="AC30" s="216"/>
      <c r="AD30" s="216"/>
      <c r="AE30" s="216"/>
      <c r="AF30" s="216"/>
      <c r="AG30" s="216"/>
      <c r="AH30" s="216"/>
    </row>
    <row r="31" spans="2:34" outlineLevel="1">
      <c r="B31" s="216"/>
      <c r="G31" s="216"/>
      <c r="H31" s="216"/>
      <c r="I31" s="216"/>
      <c r="J31" s="216"/>
      <c r="K31" s="216"/>
      <c r="L31" s="216"/>
      <c r="M31" s="367" t="e">
        <f>M30-M68</f>
        <v>#REF!</v>
      </c>
      <c r="N31" s="216"/>
      <c r="U31" s="216"/>
      <c r="V31" s="216"/>
      <c r="W31" s="216"/>
      <c r="X31" s="216"/>
      <c r="Y31" s="216"/>
      <c r="Z31" s="216"/>
      <c r="AA31" s="216"/>
      <c r="AB31" s="216"/>
      <c r="AC31" s="216"/>
      <c r="AD31" s="216"/>
      <c r="AE31" s="216"/>
      <c r="AF31" s="216"/>
      <c r="AG31" s="216"/>
      <c r="AH31" s="216"/>
    </row>
    <row r="32" spans="2:34" ht="16.5">
      <c r="B32" s="216"/>
      <c r="C32" s="291"/>
      <c r="D32" s="216"/>
      <c r="E32" s="216"/>
      <c r="F32" s="292" t="s">
        <v>189</v>
      </c>
      <c r="G32" s="216"/>
      <c r="H32" s="216"/>
      <c r="I32" s="216"/>
      <c r="J32" s="216"/>
      <c r="K32" s="216"/>
      <c r="L32" s="216"/>
      <c r="M32" s="216"/>
      <c r="N32" s="216"/>
      <c r="U32" s="216"/>
      <c r="V32" s="216"/>
      <c r="W32" s="216"/>
      <c r="X32" s="216"/>
      <c r="Y32" s="216"/>
      <c r="Z32" s="216"/>
      <c r="AA32" s="216"/>
      <c r="AB32" s="216"/>
      <c r="AC32" s="216"/>
      <c r="AD32" s="216"/>
      <c r="AE32" s="216"/>
      <c r="AF32" s="216"/>
      <c r="AG32" s="216"/>
      <c r="AH32" s="216"/>
    </row>
    <row r="33" spans="2:34" ht="18">
      <c r="B33" s="216"/>
      <c r="C33" s="216"/>
      <c r="D33" s="293" t="s">
        <v>218</v>
      </c>
      <c r="E33" s="293" t="s">
        <v>287</v>
      </c>
      <c r="F33" s="293" t="s">
        <v>190</v>
      </c>
      <c r="G33" s="216"/>
      <c r="H33" s="216"/>
      <c r="I33" s="216"/>
      <c r="J33" s="216"/>
      <c r="K33" s="216"/>
      <c r="L33" s="216"/>
      <c r="M33" s="216"/>
      <c r="N33" s="216"/>
      <c r="U33" s="216"/>
      <c r="V33" s="216"/>
      <c r="W33" s="216"/>
      <c r="X33" s="216"/>
      <c r="Y33" s="216"/>
      <c r="Z33" s="216"/>
      <c r="AA33" s="216"/>
      <c r="AB33" s="216"/>
      <c r="AC33" s="216"/>
      <c r="AD33" s="216"/>
      <c r="AE33" s="216"/>
      <c r="AF33" s="216"/>
      <c r="AG33" s="216"/>
      <c r="AH33" s="216"/>
    </row>
    <row r="34" spans="2:34" ht="20.25">
      <c r="B34" s="216"/>
      <c r="C34" s="295" t="s">
        <v>192</v>
      </c>
      <c r="D34" s="296">
        <f>'MTD VA vs LY'!D43</f>
        <v>34258</v>
      </c>
      <c r="E34" s="296">
        <f>'MTD VA vs BP'!E33</f>
        <v>22727</v>
      </c>
      <c r="F34" s="296">
        <f>E34-D34</f>
        <v>-11531</v>
      </c>
      <c r="G34" s="216"/>
      <c r="H34" s="216"/>
      <c r="I34" s="216"/>
      <c r="J34" s="216"/>
      <c r="K34" s="216"/>
      <c r="L34" s="216"/>
      <c r="M34" s="216"/>
      <c r="N34" s="216"/>
      <c r="U34" s="216"/>
      <c r="V34" s="216"/>
      <c r="W34" s="216"/>
      <c r="X34" s="216"/>
      <c r="Y34" s="216"/>
      <c r="Z34" s="216"/>
      <c r="AA34" s="216"/>
      <c r="AB34" s="216"/>
      <c r="AC34" s="216"/>
      <c r="AD34" s="216"/>
      <c r="AE34" s="216"/>
      <c r="AF34" s="216"/>
      <c r="AG34" s="216"/>
      <c r="AH34" s="216"/>
    </row>
    <row r="35" spans="2:34" ht="20.25">
      <c r="B35" s="216"/>
      <c r="C35" s="295" t="s">
        <v>194</v>
      </c>
      <c r="D35" s="296">
        <f>'MTD VA vs LY'!D44</f>
        <v>850</v>
      </c>
      <c r="E35" s="296">
        <f>'MTD VA vs BP'!E34</f>
        <v>601</v>
      </c>
      <c r="F35" s="296">
        <f>E35-D35</f>
        <v>-249</v>
      </c>
      <c r="G35" s="216"/>
      <c r="H35" s="216"/>
      <c r="I35" s="216"/>
      <c r="J35" s="216"/>
      <c r="K35" s="216"/>
      <c r="L35" s="216"/>
      <c r="M35" s="216"/>
      <c r="N35" s="216"/>
      <c r="U35" s="216"/>
      <c r="V35" s="216"/>
      <c r="W35" s="216"/>
      <c r="X35" s="216"/>
      <c r="Y35" s="216"/>
      <c r="Z35" s="216"/>
      <c r="AA35" s="216"/>
      <c r="AB35" s="216"/>
      <c r="AC35" s="216"/>
      <c r="AD35" s="216"/>
      <c r="AE35" s="216"/>
      <c r="AF35" s="216"/>
      <c r="AG35" s="216"/>
      <c r="AH35" s="216"/>
    </row>
    <row r="36" spans="2:34">
      <c r="B36" s="216"/>
      <c r="C36" s="216"/>
      <c r="D36" s="298"/>
      <c r="E36" s="298"/>
      <c r="F36" s="298"/>
      <c r="G36" s="216"/>
      <c r="H36" s="216"/>
      <c r="I36" s="216"/>
      <c r="J36" s="216"/>
      <c r="K36" s="216"/>
      <c r="L36" s="216"/>
      <c r="M36" s="216"/>
      <c r="N36" s="216"/>
      <c r="U36" s="216"/>
      <c r="V36" s="216"/>
      <c r="W36" s="216"/>
      <c r="X36" s="216"/>
      <c r="Y36" s="216"/>
      <c r="Z36" s="216"/>
      <c r="AA36" s="216"/>
      <c r="AB36" s="216"/>
      <c r="AC36" s="216"/>
      <c r="AD36" s="216"/>
      <c r="AE36" s="216"/>
      <c r="AF36" s="216"/>
      <c r="AG36" s="216"/>
      <c r="AH36" s="216"/>
    </row>
    <row r="37" spans="2:34" ht="20.25">
      <c r="B37" s="216"/>
      <c r="C37" s="295" t="s">
        <v>196</v>
      </c>
      <c r="D37" s="296">
        <f>'MTD VA vs LY'!D46</f>
        <v>25782</v>
      </c>
      <c r="E37" s="296">
        <f>'MTD VA vs BP'!E36</f>
        <v>27586</v>
      </c>
      <c r="F37" s="296">
        <f>E37-D37</f>
        <v>1804</v>
      </c>
      <c r="G37" s="216"/>
      <c r="H37" s="216"/>
      <c r="I37" s="216"/>
      <c r="J37" s="216"/>
      <c r="K37" s="216"/>
      <c r="L37" s="216"/>
      <c r="M37" s="216"/>
      <c r="N37" s="216"/>
      <c r="U37" s="216"/>
      <c r="V37" s="216"/>
      <c r="W37" s="216"/>
      <c r="X37" s="216"/>
      <c r="Y37" s="216"/>
      <c r="Z37" s="216"/>
      <c r="AA37" s="216"/>
      <c r="AB37" s="216"/>
      <c r="AC37" s="216"/>
      <c r="AD37" s="216"/>
      <c r="AE37" s="216"/>
      <c r="AF37" s="216"/>
      <c r="AG37" s="216"/>
      <c r="AH37" s="216"/>
    </row>
    <row r="38" spans="2:34">
      <c r="B38" s="216"/>
      <c r="C38" s="216"/>
      <c r="D38" s="216"/>
      <c r="E38" s="216"/>
      <c r="F38" s="216"/>
      <c r="G38" s="216"/>
      <c r="H38" s="216"/>
      <c r="I38" s="216"/>
      <c r="J38" s="216"/>
      <c r="K38" s="216"/>
      <c r="L38" s="216"/>
      <c r="M38" s="216"/>
      <c r="N38" s="216"/>
      <c r="U38" s="216"/>
      <c r="V38" s="216"/>
      <c r="W38" s="216"/>
      <c r="X38" s="216"/>
      <c r="Y38" s="216"/>
      <c r="Z38" s="216"/>
      <c r="AA38" s="216"/>
      <c r="AB38" s="216"/>
      <c r="AC38" s="216"/>
      <c r="AD38" s="216"/>
      <c r="AE38" s="216"/>
      <c r="AF38" s="216"/>
      <c r="AG38" s="216"/>
      <c r="AH38" s="216"/>
    </row>
    <row r="39" spans="2:34" ht="28.5">
      <c r="B39" s="299" t="s">
        <v>197</v>
      </c>
      <c r="C39" s="216"/>
      <c r="D39" s="216"/>
      <c r="E39" s="216"/>
      <c r="F39" s="216"/>
      <c r="G39" s="216"/>
      <c r="H39" s="216"/>
      <c r="I39" s="216"/>
      <c r="J39" s="216"/>
      <c r="K39" s="216"/>
      <c r="L39" s="216"/>
      <c r="M39" s="216"/>
      <c r="N39" s="216"/>
      <c r="O39" s="216"/>
      <c r="P39" s="216"/>
      <c r="Q39" s="216"/>
      <c r="R39" s="216"/>
      <c r="S39" s="216"/>
      <c r="T39" s="216"/>
      <c r="U39" s="216"/>
      <c r="V39" s="216"/>
      <c r="W39" s="216"/>
      <c r="X39" s="216"/>
      <c r="Y39" s="216"/>
      <c r="Z39" s="216"/>
      <c r="AA39" s="216"/>
      <c r="AB39" s="216"/>
      <c r="AC39" s="216"/>
      <c r="AD39" s="216"/>
      <c r="AE39" s="216"/>
      <c r="AF39" s="216"/>
      <c r="AG39" s="216"/>
      <c r="AH39" s="216"/>
    </row>
    <row r="40" spans="2:34">
      <c r="B40" s="216"/>
      <c r="C40" s="216"/>
      <c r="D40" s="216"/>
      <c r="E40" s="216"/>
      <c r="F40" s="216"/>
      <c r="G40" s="216"/>
      <c r="H40" s="216"/>
      <c r="I40" s="216"/>
      <c r="J40" s="216"/>
      <c r="K40" s="216"/>
      <c r="L40" s="216"/>
      <c r="M40" s="216"/>
      <c r="N40" s="216"/>
      <c r="O40" s="216"/>
      <c r="P40" s="216"/>
      <c r="Q40" s="216"/>
      <c r="R40" s="216"/>
      <c r="S40" s="216"/>
      <c r="T40" s="216"/>
      <c r="U40" s="216"/>
      <c r="V40" s="216"/>
      <c r="W40" s="216"/>
      <c r="X40" s="216"/>
      <c r="Y40" s="216"/>
      <c r="Z40" s="216"/>
      <c r="AA40" s="216"/>
      <c r="AB40" s="216"/>
      <c r="AC40" s="216"/>
      <c r="AD40" s="216"/>
      <c r="AE40" s="216"/>
      <c r="AF40" s="216"/>
      <c r="AG40" s="216"/>
      <c r="AH40" s="216"/>
    </row>
    <row r="41" spans="2:34">
      <c r="B41" s="216"/>
      <c r="C41" s="216"/>
      <c r="D41" s="216"/>
      <c r="E41" s="216"/>
      <c r="F41" s="216"/>
      <c r="G41" s="216"/>
      <c r="H41" s="216"/>
      <c r="I41" s="216"/>
      <c r="J41" s="216"/>
      <c r="K41" s="216"/>
      <c r="L41" s="216"/>
      <c r="M41" s="216"/>
      <c r="N41" s="216"/>
      <c r="O41" s="216"/>
      <c r="P41" s="216"/>
      <c r="Q41" s="216"/>
      <c r="R41" s="216"/>
      <c r="S41" s="216"/>
      <c r="T41" s="216"/>
      <c r="U41" s="216"/>
      <c r="V41" s="216"/>
      <c r="W41" s="216"/>
      <c r="X41" s="216"/>
      <c r="Y41" s="216"/>
      <c r="Z41" s="216"/>
      <c r="AA41" s="216"/>
      <c r="AB41" s="216"/>
      <c r="AC41" s="216"/>
      <c r="AD41" s="216"/>
      <c r="AE41" s="216"/>
      <c r="AF41" s="216"/>
      <c r="AG41" s="216"/>
      <c r="AH41" s="216"/>
    </row>
    <row r="42" spans="2:34" ht="18">
      <c r="B42" s="215"/>
      <c r="C42" s="216"/>
      <c r="D42" s="215"/>
      <c r="E42" s="216"/>
      <c r="F42" s="215"/>
      <c r="G42" s="217" t="s">
        <v>138</v>
      </c>
      <c r="H42" s="216"/>
      <c r="I42" s="216"/>
      <c r="J42" s="216"/>
      <c r="K42" s="216"/>
      <c r="L42" s="216"/>
      <c r="M42" s="216"/>
      <c r="N42" s="216"/>
      <c r="O42" s="216"/>
      <c r="P42" s="216"/>
      <c r="Q42" s="216"/>
      <c r="R42" s="216"/>
      <c r="S42" s="216"/>
      <c r="T42" s="216"/>
      <c r="U42" s="216"/>
      <c r="V42" s="216"/>
      <c r="W42" s="216"/>
      <c r="X42" s="216"/>
      <c r="Y42" s="216"/>
      <c r="Z42" s="216"/>
      <c r="AA42" s="216"/>
      <c r="AB42" s="216"/>
      <c r="AC42" s="216"/>
      <c r="AD42" s="216"/>
      <c r="AE42" s="216"/>
      <c r="AF42" s="216"/>
      <c r="AG42" s="216"/>
      <c r="AH42" s="216"/>
    </row>
    <row r="43" spans="2:34" ht="20.25">
      <c r="B43" s="1014" t="s">
        <v>220</v>
      </c>
      <c r="C43" s="1014" t="s">
        <v>207</v>
      </c>
      <c r="D43" s="218"/>
      <c r="E43" s="219"/>
      <c r="F43" s="219"/>
      <c r="G43" s="220"/>
      <c r="H43" s="216"/>
      <c r="I43" s="216"/>
      <c r="J43" s="216"/>
      <c r="K43" s="216"/>
      <c r="L43" s="216" t="s">
        <v>301</v>
      </c>
      <c r="M43" s="478">
        <f>SUM(E46:E48,G46)</f>
        <v>-3.2736651088136122</v>
      </c>
      <c r="N43" s="216"/>
      <c r="O43" s="221"/>
      <c r="P43" s="406"/>
      <c r="Q43" s="221"/>
      <c r="R43" s="216"/>
      <c r="S43" s="216"/>
      <c r="T43" s="216"/>
      <c r="U43" s="216"/>
      <c r="V43" s="216"/>
      <c r="W43" s="221"/>
      <c r="X43" s="221"/>
      <c r="Y43" s="221"/>
      <c r="Z43" s="221"/>
      <c r="AA43" s="221"/>
      <c r="AB43" s="221"/>
      <c r="AC43" s="221"/>
      <c r="AD43" s="221"/>
      <c r="AE43" s="221"/>
      <c r="AF43" s="221"/>
      <c r="AG43" s="221"/>
      <c r="AH43" s="221"/>
    </row>
    <row r="44" spans="2:34" ht="40.5">
      <c r="B44" s="1015"/>
      <c r="C44" s="1016"/>
      <c r="D44" s="222"/>
      <c r="E44" s="223" t="s">
        <v>154</v>
      </c>
      <c r="F44" s="224" t="s">
        <v>198</v>
      </c>
      <c r="G44" s="225" t="s">
        <v>156</v>
      </c>
      <c r="H44" s="216"/>
      <c r="I44" s="216" t="s">
        <v>208</v>
      </c>
      <c r="J44" s="216"/>
      <c r="K44" s="216"/>
      <c r="L44" s="216" t="s">
        <v>302</v>
      </c>
      <c r="M44" s="334">
        <f>SUM(U53:AH53,AJ57:AK57)</f>
        <v>3.3366271649291614</v>
      </c>
      <c r="N44" s="216"/>
      <c r="O44" s="216"/>
      <c r="P44" s="216"/>
      <c r="Q44" s="216"/>
      <c r="R44" s="216"/>
      <c r="S44" s="216"/>
      <c r="T44" s="216"/>
      <c r="V44" s="216"/>
      <c r="W44" s="216"/>
      <c r="X44" s="216"/>
      <c r="Y44" s="216"/>
      <c r="Z44" s="216"/>
      <c r="AA44" s="216"/>
      <c r="AB44" s="216"/>
      <c r="AC44" s="507" t="s">
        <v>266</v>
      </c>
      <c r="AD44" s="525">
        <v>2.86</v>
      </c>
      <c r="AE44" s="216"/>
      <c r="AF44" s="216"/>
      <c r="AG44" s="216"/>
      <c r="AH44" s="216"/>
    </row>
    <row r="45" spans="2:34" ht="20.25">
      <c r="B45" s="226">
        <f>INDEX('Summary month'!$AL$47:$AN$47,1,MATCH($C$1,'Summary month'!$O$6:$Q$6,0))</f>
        <v>35.570225425980823</v>
      </c>
      <c r="C45" s="226">
        <f>INDEX('Summary month'!$F$47:$H$47,1,MATCH($C$1,'Summary month'!$O$6:$Q$6,0))</f>
        <v>-42.387684835008343</v>
      </c>
      <c r="D45" s="227">
        <f>C45-B45</f>
        <v>-77.957910260989166</v>
      </c>
      <c r="E45" s="228">
        <f>SUM(M43)</f>
        <v>-3.2736651088136122</v>
      </c>
      <c r="F45" s="228">
        <f>INDEX('Summary month'!$AP$27:$AR$27,1,MATCH($C$1,'Summary month'!$O$6:$Q$6,0))-M43</f>
        <v>-67.210532767208264</v>
      </c>
      <c r="G45" s="229">
        <f>INDEX('Summary month'!$AP$46:$AR$46,1,MATCH($C$1,'Summary month'!$O$6:$Q$6,0))-M44</f>
        <v>-10.810339549896447</v>
      </c>
      <c r="H45" s="216"/>
      <c r="I45" s="286">
        <f>SUM(E45:G45)-D45</f>
        <v>-3.3366271649291548</v>
      </c>
      <c r="J45" s="216"/>
      <c r="K45" s="216"/>
      <c r="L45" s="216"/>
      <c r="M45" s="216"/>
      <c r="N45" s="216"/>
      <c r="O45" s="230"/>
      <c r="P45" s="216"/>
      <c r="Q45" s="216"/>
      <c r="R45" s="216"/>
      <c r="S45" s="216"/>
      <c r="T45" s="216"/>
      <c r="U45" s="216"/>
      <c r="V45" s="216"/>
      <c r="W45" s="230"/>
      <c r="X45" s="216"/>
      <c r="Y45" s="230"/>
      <c r="Z45" s="230"/>
      <c r="AA45" s="230"/>
      <c r="AB45" s="230"/>
      <c r="AC45" s="409" t="s">
        <v>269</v>
      </c>
      <c r="AD45" s="526">
        <v>0.17399999999999999</v>
      </c>
      <c r="AE45" s="230"/>
      <c r="AF45" s="230"/>
      <c r="AG45" s="230"/>
      <c r="AH45" s="230"/>
    </row>
    <row r="46" spans="2:34">
      <c r="B46" s="216"/>
      <c r="C46" s="216"/>
      <c r="D46" s="216" t="s">
        <v>139</v>
      </c>
      <c r="E46" s="411">
        <v>-2.0725243420994039</v>
      </c>
      <c r="F46" s="216" t="s">
        <v>193</v>
      </c>
      <c r="G46" s="320">
        <v>-1.6684998266142892E-2</v>
      </c>
      <c r="H46" s="216"/>
      <c r="I46" s="216"/>
      <c r="J46" s="216"/>
      <c r="K46" s="216"/>
      <c r="L46" s="216"/>
      <c r="M46" s="216"/>
      <c r="N46" s="216"/>
      <c r="O46" s="216"/>
      <c r="P46" s="216"/>
      <c r="Q46" s="216"/>
      <c r="R46" s="216"/>
      <c r="S46" s="216"/>
      <c r="T46" s="216"/>
      <c r="U46" s="216"/>
      <c r="V46" s="216"/>
      <c r="W46" s="216" t="s">
        <v>145</v>
      </c>
      <c r="X46" s="320">
        <v>0.2369826020000001</v>
      </c>
      <c r="Y46" s="479">
        <v>-2.3747418999999985E-2</v>
      </c>
      <c r="Z46" s="216"/>
      <c r="AA46" s="216"/>
      <c r="AB46" s="216"/>
      <c r="AC46" s="407" t="s">
        <v>141</v>
      </c>
      <c r="AD46" s="525">
        <v>-0.24005309699999999</v>
      </c>
      <c r="AE46" s="216"/>
      <c r="AF46" s="216"/>
      <c r="AG46" s="216"/>
      <c r="AH46" s="216"/>
    </row>
    <row r="47" spans="2:34">
      <c r="B47" s="216"/>
      <c r="C47" s="216"/>
      <c r="D47" s="216" t="s">
        <v>200</v>
      </c>
      <c r="E47" s="411">
        <v>-0.37637288144806647</v>
      </c>
      <c r="F47" s="216"/>
      <c r="G47" s="216"/>
      <c r="H47" s="216"/>
      <c r="I47" s="216"/>
      <c r="J47" s="216"/>
      <c r="K47" s="216"/>
      <c r="L47" s="216"/>
      <c r="M47" s="216"/>
      <c r="N47" s="216"/>
      <c r="O47" s="216"/>
      <c r="P47" s="216"/>
      <c r="Q47" s="216"/>
      <c r="R47" s="216"/>
      <c r="S47" s="216"/>
      <c r="T47" s="216"/>
      <c r="W47" t="s">
        <v>193</v>
      </c>
      <c r="X47" s="441">
        <v>0.14505064899999998</v>
      </c>
      <c r="Y47" s="129">
        <v>0</v>
      </c>
      <c r="AC47" s="407" t="s">
        <v>144</v>
      </c>
      <c r="AD47" s="490">
        <f>AD52-SUM(AD44:AD46)</f>
        <v>-2.9060988869139535</v>
      </c>
      <c r="AH47" s="216"/>
    </row>
    <row r="48" spans="2:34" ht="21" thickBot="1">
      <c r="B48" s="231" t="s">
        <v>157</v>
      </c>
      <c r="C48" s="232"/>
      <c r="D48" s="232" t="s">
        <v>145</v>
      </c>
      <c r="E48" s="440">
        <v>-0.80808288699999897</v>
      </c>
      <c r="F48" s="232"/>
      <c r="G48" s="232"/>
      <c r="H48" s="232"/>
      <c r="I48" s="232"/>
      <c r="J48" s="232"/>
      <c r="K48" s="232"/>
      <c r="L48" s="232"/>
      <c r="M48" s="232"/>
      <c r="N48" s="232"/>
      <c r="O48" s="232"/>
      <c r="P48" s="232"/>
      <c r="Q48" s="232"/>
      <c r="R48" s="232"/>
      <c r="S48" s="232"/>
      <c r="T48" s="232"/>
      <c r="U48" s="232"/>
      <c r="V48" s="232"/>
      <c r="W48" s="232" t="s">
        <v>144</v>
      </c>
      <c r="X48" s="440">
        <f>X52-SUM(X46:X47)</f>
        <v>-1.2129589849999967</v>
      </c>
      <c r="Y48" s="232"/>
      <c r="Z48" s="232"/>
      <c r="AA48" s="232"/>
      <c r="AB48" s="232"/>
      <c r="AC48" s="232"/>
      <c r="AD48" s="232"/>
      <c r="AE48" s="232"/>
      <c r="AF48" s="232"/>
      <c r="AG48" s="232"/>
      <c r="AH48" s="217" t="s">
        <v>138</v>
      </c>
    </row>
    <row r="49" spans="2:37" ht="21" thickBot="1">
      <c r="B49" s="1034" t="s">
        <v>158</v>
      </c>
      <c r="C49" s="233" t="s">
        <v>199</v>
      </c>
      <c r="D49" s="234"/>
      <c r="E49" s="234"/>
      <c r="F49" s="234"/>
      <c r="G49" s="234"/>
      <c r="H49" s="234"/>
      <c r="I49" s="234"/>
      <c r="J49" s="234"/>
      <c r="K49" s="234"/>
      <c r="L49" s="234"/>
      <c r="M49" s="234"/>
      <c r="N49" s="234"/>
      <c r="O49" s="234"/>
      <c r="P49" s="234"/>
      <c r="Q49" s="234"/>
      <c r="R49" s="234"/>
      <c r="S49" s="235"/>
      <c r="T49" s="236"/>
      <c r="U49" s="236" t="s">
        <v>160</v>
      </c>
      <c r="V49" s="237"/>
      <c r="W49" s="237"/>
      <c r="X49" s="237"/>
      <c r="Y49" s="237"/>
      <c r="Z49" s="237"/>
      <c r="AA49" s="237"/>
      <c r="AB49" s="237"/>
      <c r="AC49" s="237"/>
      <c r="AD49" s="237"/>
      <c r="AE49" s="237"/>
      <c r="AF49" s="237"/>
      <c r="AG49" s="237"/>
      <c r="AH49" s="238"/>
    </row>
    <row r="50" spans="2:37" ht="20.25">
      <c r="B50" s="1035"/>
      <c r="C50" s="239" t="s">
        <v>161</v>
      </c>
      <c r="D50" s="240"/>
      <c r="E50" s="240"/>
      <c r="F50" s="240"/>
      <c r="G50" s="241"/>
      <c r="H50" s="1017" t="s">
        <v>162</v>
      </c>
      <c r="I50" s="242" t="s">
        <v>163</v>
      </c>
      <c r="J50" s="243"/>
      <c r="K50" s="243"/>
      <c r="L50" s="243"/>
      <c r="M50" s="243"/>
      <c r="N50" s="244"/>
      <c r="O50" s="1029" t="s">
        <v>164</v>
      </c>
      <c r="P50" s="1029" t="s">
        <v>165</v>
      </c>
      <c r="Q50" s="1019" t="s">
        <v>166</v>
      </c>
      <c r="R50" s="1022" t="s">
        <v>167</v>
      </c>
      <c r="S50" s="1023" t="s">
        <v>168</v>
      </c>
      <c r="T50" s="1027" t="s">
        <v>274</v>
      </c>
      <c r="U50" s="245" t="s">
        <v>169</v>
      </c>
      <c r="V50" s="246"/>
      <c r="W50" s="246"/>
      <c r="X50" s="247"/>
      <c r="Y50" s="248" t="s">
        <v>163</v>
      </c>
      <c r="Z50" s="246"/>
      <c r="AA50" s="246"/>
      <c r="AB50" s="246"/>
      <c r="AC50" s="246"/>
      <c r="AD50" s="247"/>
      <c r="AE50" s="1022" t="s">
        <v>166</v>
      </c>
      <c r="AF50" s="1025" t="s">
        <v>167</v>
      </c>
      <c r="AG50" s="311"/>
      <c r="AH50" s="1012" t="s">
        <v>168</v>
      </c>
    </row>
    <row r="51" spans="2:37" ht="57">
      <c r="B51" s="1036"/>
      <c r="C51" s="249" t="s">
        <v>170</v>
      </c>
      <c r="D51" s="300" t="s">
        <v>171</v>
      </c>
      <c r="E51" s="250" t="s">
        <v>172</v>
      </c>
      <c r="F51" s="250" t="s">
        <v>173</v>
      </c>
      <c r="G51" s="251" t="s">
        <v>174</v>
      </c>
      <c r="H51" s="1018"/>
      <c r="I51" s="250" t="s">
        <v>175</v>
      </c>
      <c r="J51" s="250" t="s">
        <v>176</v>
      </c>
      <c r="K51" s="250" t="s">
        <v>201</v>
      </c>
      <c r="L51" s="250" t="s">
        <v>178</v>
      </c>
      <c r="M51" s="250" t="s">
        <v>168</v>
      </c>
      <c r="N51" s="250" t="s">
        <v>179</v>
      </c>
      <c r="O51" s="1030"/>
      <c r="P51" s="1031"/>
      <c r="Q51" s="1021"/>
      <c r="R51" s="1021"/>
      <c r="S51" s="1024"/>
      <c r="T51" s="1028"/>
      <c r="U51" s="307" t="s">
        <v>203</v>
      </c>
      <c r="V51" s="308" t="s">
        <v>180</v>
      </c>
      <c r="W51" s="309" t="s">
        <v>181</v>
      </c>
      <c r="X51" s="310" t="s">
        <v>33</v>
      </c>
      <c r="Y51" s="305" t="s">
        <v>25</v>
      </c>
      <c r="Z51" s="306" t="s">
        <v>183</v>
      </c>
      <c r="AA51" s="306" t="s">
        <v>204</v>
      </c>
      <c r="AB51" s="306" t="s">
        <v>205</v>
      </c>
      <c r="AC51" s="306" t="s">
        <v>184</v>
      </c>
      <c r="AD51" s="306" t="s">
        <v>30</v>
      </c>
      <c r="AE51" s="1021"/>
      <c r="AF51" s="1026"/>
      <c r="AG51" s="312" t="s">
        <v>37</v>
      </c>
      <c r="AH51" s="1013"/>
    </row>
    <row r="52" spans="2:37" ht="21" thickBot="1">
      <c r="B52" s="252">
        <f>E45</f>
        <v>-3.2736651088136122</v>
      </c>
      <c r="C52" s="253">
        <f>SUM('[7]New KPI vs BP'!$BY$439,'[7]New KPI vs BP'!$BY$460)-SUM(E52:F52,U52:V53,E46)</f>
        <v>6.694049450352173</v>
      </c>
      <c r="D52" s="302"/>
      <c r="E52" s="254">
        <v>-8.4223655018795327</v>
      </c>
      <c r="F52" s="254">
        <v>-2.1290473783732722</v>
      </c>
      <c r="G52" s="254"/>
      <c r="H52" s="254"/>
      <c r="I52" s="254">
        <v>8.8174029010874649E-2</v>
      </c>
      <c r="J52" s="254">
        <v>0.19238578649041088</v>
      </c>
      <c r="K52" s="254">
        <v>-6.5193709764708725</v>
      </c>
      <c r="L52" s="254">
        <v>0.1</v>
      </c>
      <c r="M52" s="254">
        <f>SUM(M57:M67)</f>
        <v>-4.9000000000000004</v>
      </c>
      <c r="N52" s="303"/>
      <c r="O52" s="302"/>
      <c r="P52" s="302"/>
      <c r="Q52" s="256"/>
      <c r="R52" s="254">
        <v>-3.763605579000004</v>
      </c>
      <c r="S52" s="257">
        <f>F45-SUM(C52:R52)</f>
        <v>-48.55075259733804</v>
      </c>
      <c r="T52" s="253">
        <f>M44</f>
        <v>3.3366271649291614</v>
      </c>
      <c r="U52" s="253">
        <f>INDEX('Summary month'!$AP$17:$AR$74,MATCH(U51,'Summary month'!$D$17:$D$74,0),MATCH($C$1,'Summary month'!$AP$6:$AR$6,0))-U53</f>
        <v>8.2457491129999987</v>
      </c>
      <c r="V52" s="258">
        <f>INDEX('Summary month'!$AP$17:$AR$74,MATCH(V51,'Summary month'!$D$17:$D$74,0),MATCH($C$1,'Summary month'!$AP$6:$AR$6,0))-V53</f>
        <v>0.22122354000000022</v>
      </c>
      <c r="W52" s="258"/>
      <c r="X52" s="258">
        <f>INDEX('Summary month'!$AP$17:$AR$74,MATCH(X51,'Summary month'!$D$17:$D$74,0),MATCH($C$1,'Summary month'!$AP$6:$AR$6,0))-X53</f>
        <v>-0.8309257339999967</v>
      </c>
      <c r="Y52" s="258">
        <f>INDEX('Summary month'!$AP$17:$AR$74,MATCH(Y51,'Summary month'!$D$17:$D$74,0),MATCH($C$1,'Summary month'!$AP$6:$AR$6,0))-Y53</f>
        <v>-0.96063722935694928</v>
      </c>
      <c r="Z52" s="258">
        <f>INDEX('Summary month'!$AP$17:$AR$74,MATCH(Z51,'Summary month'!$D$17:$D$74,0),MATCH($C$1,'Summary month'!$AP$6:$AR$6,0))-Z53</f>
        <v>1.2869830751505105</v>
      </c>
      <c r="AA52" s="258">
        <f>INDEX('Summary month'!$AP$17:$AR$74,MATCH(AA51,'Summary month'!$D$17:$D$74,0),MATCH($C$1,'Summary month'!$AP$6:$AR$6,0))-AA53</f>
        <v>0</v>
      </c>
      <c r="AB52" s="301"/>
      <c r="AC52" s="258">
        <f>INDEX('Summary month'!$AP$17:$AR$74,MATCH(AC51,'Summary month'!$D$17:$D$74,0),MATCH($C$1,'Summary month'!$AP$6:$AR$6,0))-AC53</f>
        <v>-14.926452900000003</v>
      </c>
      <c r="AD52" s="258">
        <f>INDEX('Summary month'!$AP$17:$AR$74,MATCH(AD51,'Summary month'!$D$17:$D$74,0),MATCH($C$1,'Summary month'!$AP$6:$AR$6,0))-AD53</f>
        <v>-0.11215198391395376</v>
      </c>
      <c r="AE52" s="256"/>
      <c r="AF52" s="259"/>
      <c r="AG52" s="254">
        <f>INDEX('Summary month'!$AP$17:$AR$74,MATCH(AG51,'Summary month'!$D$17:$D$74,0),MATCH($C$1,'Summary month'!$AP$6:$AR$6,0))-AG53</f>
        <v>-3.6729430897760578</v>
      </c>
      <c r="AH52" s="260">
        <f>G45-SUM(U52:AG52)</f>
        <v>-6.1184340999997033E-2</v>
      </c>
    </row>
    <row r="53" spans="2:37" ht="18">
      <c r="B53" s="216"/>
      <c r="C53" s="319"/>
      <c r="D53" s="216"/>
      <c r="E53" s="216"/>
      <c r="F53" s="216"/>
      <c r="G53" s="216"/>
      <c r="H53" s="216"/>
      <c r="I53" s="216"/>
      <c r="J53" s="323"/>
      <c r="K53" s="216"/>
      <c r="L53" s="216"/>
      <c r="M53" s="216"/>
      <c r="N53" s="216"/>
      <c r="O53" s="216"/>
      <c r="P53" s="216"/>
      <c r="Q53" s="216"/>
      <c r="R53" s="216"/>
      <c r="S53" s="216"/>
      <c r="T53" s="216"/>
      <c r="U53" s="499">
        <v>0.30000000000000004</v>
      </c>
      <c r="V53" s="499"/>
      <c r="W53" s="479"/>
      <c r="X53" s="479">
        <f>SUM(Y46:Y47)</f>
        <v>-2.3747418999999985E-2</v>
      </c>
      <c r="Y53" s="522">
        <v>0.31361338927090332</v>
      </c>
      <c r="Z53" s="522">
        <v>7.4638224849488927E-2</v>
      </c>
      <c r="AA53" s="479"/>
      <c r="AB53" s="479"/>
      <c r="AC53" s="479">
        <v>0</v>
      </c>
      <c r="AD53" s="479"/>
      <c r="AE53" s="479"/>
      <c r="AF53" s="479"/>
      <c r="AG53" s="482">
        <v>2.6321596307760684</v>
      </c>
      <c r="AH53" s="479"/>
    </row>
    <row r="54" spans="2:37" ht="18">
      <c r="B54" s="221"/>
      <c r="C54" s="272">
        <v>-7.5184433652886309</v>
      </c>
      <c r="D54" s="221"/>
      <c r="E54" s="221"/>
      <c r="F54" s="221"/>
      <c r="G54" s="221"/>
      <c r="H54" s="221"/>
      <c r="I54" s="221"/>
      <c r="J54" s="221"/>
      <c r="K54" s="221"/>
      <c r="L54" s="221"/>
      <c r="M54" s="221"/>
      <c r="N54" s="221"/>
      <c r="O54" s="221"/>
      <c r="P54" s="221"/>
      <c r="Q54" s="221"/>
      <c r="R54" s="491"/>
      <c r="S54" s="221"/>
      <c r="T54" s="221"/>
      <c r="U54" s="221"/>
      <c r="V54" s="221"/>
      <c r="W54" s="221"/>
    </row>
    <row r="55" spans="2:37">
      <c r="B55" s="216"/>
      <c r="C55" s="365"/>
      <c r="D55" s="216"/>
      <c r="F55" s="216"/>
      <c r="G55" s="216"/>
      <c r="H55" s="334"/>
      <c r="I55" s="216"/>
      <c r="J55" s="216"/>
      <c r="K55" s="216"/>
      <c r="L55" s="216"/>
      <c r="M55" s="216"/>
      <c r="N55" s="216"/>
      <c r="O55" s="216"/>
      <c r="P55" s="216"/>
      <c r="Q55" s="216"/>
      <c r="R55" s="216"/>
      <c r="S55" s="216"/>
      <c r="T55" s="216"/>
      <c r="U55" s="216"/>
      <c r="V55" s="216"/>
      <c r="W55" s="216"/>
    </row>
    <row r="56" spans="2:37" ht="20.25">
      <c r="B56" s="216"/>
      <c r="C56" s="319"/>
      <c r="D56" s="216"/>
      <c r="F56" s="216"/>
      <c r="G56" s="216"/>
      <c r="I56" s="273" t="s">
        <v>188</v>
      </c>
      <c r="J56" s="274"/>
      <c r="K56" s="274"/>
      <c r="L56" s="274"/>
      <c r="M56" s="275">
        <f>M52</f>
        <v>-4.9000000000000004</v>
      </c>
      <c r="N56" s="216"/>
      <c r="P56" s="273" t="s">
        <v>191</v>
      </c>
      <c r="Q56" s="274"/>
      <c r="R56" s="274"/>
      <c r="S56" s="294">
        <f>S52</f>
        <v>-48.55075259733804</v>
      </c>
      <c r="T56" s="601"/>
      <c r="U56" s="272"/>
      <c r="V56" s="272"/>
      <c r="W56" s="216"/>
      <c r="X56" s="263" t="s">
        <v>185</v>
      </c>
      <c r="Y56" s="264"/>
      <c r="Z56" s="264"/>
      <c r="AA56" s="265">
        <f>AD52</f>
        <v>-0.11215198391395376</v>
      </c>
      <c r="AE56" s="263" t="s">
        <v>186</v>
      </c>
      <c r="AF56" s="264"/>
      <c r="AG56" s="264"/>
      <c r="AH56" s="265">
        <f>AH52</f>
        <v>-6.1184340999997033E-2</v>
      </c>
      <c r="AK56" t="s">
        <v>315</v>
      </c>
    </row>
    <row r="57" spans="2:37" ht="18">
      <c r="B57" s="216"/>
      <c r="C57" s="319"/>
      <c r="D57" s="216"/>
      <c r="F57" s="216"/>
      <c r="G57" t="s">
        <v>288</v>
      </c>
      <c r="H57" s="594">
        <f>-0.772285567590466-AD45</f>
        <v>-0.946285567590466</v>
      </c>
      <c r="I57" s="279">
        <v>1</v>
      </c>
      <c r="J57" s="269" t="s">
        <v>394</v>
      </c>
      <c r="K57" s="270"/>
      <c r="L57" s="270"/>
      <c r="M57" s="280">
        <v>-3.4</v>
      </c>
      <c r="N57" s="216"/>
      <c r="P57" s="279">
        <v>1</v>
      </c>
      <c r="Q57" s="269" t="s">
        <v>193</v>
      </c>
      <c r="R57" s="270"/>
      <c r="S57" s="271">
        <v>-5.2201045777396562</v>
      </c>
      <c r="T57" s="602"/>
      <c r="U57" s="216"/>
      <c r="V57" s="286"/>
      <c r="W57" s="216"/>
      <c r="X57" s="268">
        <v>1</v>
      </c>
      <c r="Y57" s="269" t="s">
        <v>368</v>
      </c>
      <c r="Z57" s="270"/>
      <c r="AA57" s="271">
        <f>AD45</f>
        <v>0.17399999999999999</v>
      </c>
      <c r="AE57" s="268">
        <v>1</v>
      </c>
      <c r="AF57" s="269" t="s">
        <v>39</v>
      </c>
      <c r="AG57" s="270"/>
      <c r="AH57" s="271">
        <f>INDEX('Summary month'!$AP$17:$AR$74,MATCH(AF57,'Summary month'!$D$17:$D$74,0),MATCH($C$1,'Summary month'!$AP$6:$AR$6,0))-AJ57-AK57</f>
        <v>-6.1184341000000586E-2</v>
      </c>
      <c r="AI57" t="s">
        <v>262</v>
      </c>
      <c r="AJ57">
        <f>INDEX('Summary month'!$AP$17:$AR$74,MATCH(AI57,'Summary month'!$D$17:$D$74,0),MATCH($C$1,'Summary month'!$AP$6:$AR$6,0))</f>
        <v>3.9963339032700773E-2</v>
      </c>
      <c r="AK57" s="129"/>
    </row>
    <row r="58" spans="2:37" ht="18">
      <c r="B58" s="216"/>
      <c r="C58" s="319"/>
      <c r="D58" s="216"/>
      <c r="F58" s="216"/>
      <c r="G58" t="s">
        <v>290</v>
      </c>
      <c r="H58" s="583">
        <v>0.21704471305327877</v>
      </c>
      <c r="I58" s="279">
        <v>2</v>
      </c>
      <c r="J58" s="276" t="s">
        <v>406</v>
      </c>
      <c r="K58" s="277"/>
      <c r="L58" s="277"/>
      <c r="M58" s="281">
        <v>-1.5</v>
      </c>
      <c r="N58" s="216"/>
      <c r="P58" s="279">
        <v>2</v>
      </c>
      <c r="Q58" s="276" t="s">
        <v>143</v>
      </c>
      <c r="R58" s="277"/>
      <c r="S58" s="281">
        <f>'[7]New KPI vs BP'!$BY$449</f>
        <v>1.1623230952740684</v>
      </c>
      <c r="T58" s="550"/>
      <c r="U58" s="216"/>
      <c r="V58" s="216"/>
      <c r="W58" s="216"/>
      <c r="X58" s="268">
        <v>2</v>
      </c>
      <c r="Y58" s="276"/>
      <c r="Z58" s="277"/>
      <c r="AA58" s="278"/>
      <c r="AE58" s="268">
        <v>2</v>
      </c>
      <c r="AF58" s="276"/>
      <c r="AG58" s="277"/>
      <c r="AH58" s="278"/>
      <c r="AI58" t="s">
        <v>144</v>
      </c>
      <c r="AJ58" s="441">
        <f>AH57</f>
        <v>-6.1184341000000586E-2</v>
      </c>
    </row>
    <row r="59" spans="2:37" ht="18">
      <c r="B59" s="216"/>
      <c r="C59" s="272"/>
      <c r="D59" s="216"/>
      <c r="E59" s="216"/>
      <c r="F59" s="216"/>
      <c r="G59" s="221" t="s">
        <v>282</v>
      </c>
      <c r="H59" s="583">
        <v>3.5300825946470136</v>
      </c>
      <c r="I59" s="279">
        <v>3</v>
      </c>
      <c r="J59" s="276"/>
      <c r="K59" s="277"/>
      <c r="L59" s="277"/>
      <c r="M59" s="281"/>
      <c r="P59" s="279">
        <v>3</v>
      </c>
      <c r="Q59" s="276" t="s">
        <v>217</v>
      </c>
      <c r="R59" s="277"/>
      <c r="S59" s="281">
        <v>-5.9699208381831532</v>
      </c>
      <c r="T59" s="550"/>
      <c r="W59" s="216"/>
      <c r="X59" s="268">
        <v>3</v>
      </c>
      <c r="Y59" s="276"/>
      <c r="Z59" s="277"/>
      <c r="AA59" s="278"/>
      <c r="AE59" s="268">
        <v>3</v>
      </c>
      <c r="AF59" s="276"/>
      <c r="AG59" s="277"/>
      <c r="AH59" s="278"/>
    </row>
    <row r="60" spans="2:37" ht="18">
      <c r="B60" s="216"/>
      <c r="C60" s="216"/>
      <c r="D60" s="272"/>
      <c r="E60" s="272"/>
      <c r="F60" s="272"/>
      <c r="G60" t="s">
        <v>28</v>
      </c>
      <c r="H60" s="584">
        <v>3.2919979575987734</v>
      </c>
      <c r="I60" s="279">
        <v>4</v>
      </c>
      <c r="J60" s="276"/>
      <c r="K60" s="277"/>
      <c r="L60" s="277"/>
      <c r="M60" s="281"/>
      <c r="P60" s="279">
        <v>4</v>
      </c>
      <c r="Q60" s="276"/>
      <c r="R60" s="277"/>
      <c r="S60" s="281"/>
      <c r="T60" s="550"/>
      <c r="X60" s="268">
        <v>4</v>
      </c>
      <c r="Y60" s="276"/>
      <c r="Z60" s="277"/>
      <c r="AA60" s="278"/>
      <c r="AE60" s="268">
        <v>4</v>
      </c>
      <c r="AF60" s="276"/>
      <c r="AG60" s="277"/>
      <c r="AH60" s="278"/>
    </row>
    <row r="61" spans="2:37" ht="18">
      <c r="B61" s="216"/>
      <c r="C61" s="272"/>
      <c r="D61" s="216"/>
      <c r="E61" s="216"/>
      <c r="F61" s="216"/>
      <c r="G61" t="s">
        <v>294</v>
      </c>
      <c r="I61" s="279">
        <v>5</v>
      </c>
      <c r="J61" s="276"/>
      <c r="K61" s="277"/>
      <c r="L61" s="277"/>
      <c r="M61" s="281"/>
      <c r="N61" s="335"/>
      <c r="P61" s="279">
        <v>5</v>
      </c>
      <c r="Q61" s="276"/>
      <c r="R61" s="277"/>
      <c r="S61" s="281"/>
      <c r="T61" s="550"/>
      <c r="X61" s="282">
        <v>5</v>
      </c>
      <c r="Y61" s="283" t="s">
        <v>182</v>
      </c>
      <c r="Z61" s="284"/>
      <c r="AA61" s="285">
        <f>AA56-SUM(AA57:AA60)</f>
        <v>-0.28615198391395374</v>
      </c>
      <c r="AE61" s="282">
        <v>5</v>
      </c>
      <c r="AF61" s="283" t="s">
        <v>182</v>
      </c>
      <c r="AG61" s="284"/>
      <c r="AH61" s="285">
        <f>AH56-SUM(AH57:AH60)</f>
        <v>3.5527136788005009E-15</v>
      </c>
      <c r="AJ61" s="121"/>
    </row>
    <row r="62" spans="2:37" ht="18">
      <c r="B62" s="216"/>
      <c r="C62" s="272"/>
      <c r="D62" s="216"/>
      <c r="E62" s="216"/>
      <c r="F62" s="216"/>
      <c r="G62" s="216"/>
      <c r="H62" s="334"/>
      <c r="I62" s="279">
        <v>6</v>
      </c>
      <c r="J62" s="276"/>
      <c r="K62" s="277"/>
      <c r="L62" s="277"/>
      <c r="M62" s="281"/>
      <c r="P62" s="279">
        <v>6</v>
      </c>
      <c r="Q62" s="276"/>
      <c r="R62" s="277"/>
      <c r="S62" s="538"/>
      <c r="T62" s="603"/>
      <c r="X62" s="216"/>
      <c r="Y62" s="216"/>
      <c r="Z62" s="216"/>
      <c r="AA62" s="216"/>
      <c r="AB62" s="330"/>
      <c r="AC62" s="216"/>
      <c r="AD62" s="216"/>
      <c r="AE62" s="216"/>
      <c r="AF62" s="216"/>
      <c r="AG62" s="216"/>
      <c r="AH62" s="216"/>
    </row>
    <row r="63" spans="2:37" ht="18">
      <c r="B63" s="216"/>
      <c r="C63" s="272"/>
      <c r="D63" s="272"/>
      <c r="E63" s="216"/>
      <c r="F63" s="216"/>
      <c r="G63" s="216"/>
      <c r="H63" s="216"/>
      <c r="I63" s="279">
        <v>7</v>
      </c>
      <c r="J63" s="276"/>
      <c r="K63" s="277"/>
      <c r="L63" s="277"/>
      <c r="M63" s="281"/>
      <c r="N63" s="443"/>
      <c r="P63" s="279">
        <v>7</v>
      </c>
      <c r="Q63" s="276"/>
      <c r="R63" s="277"/>
      <c r="S63" s="281"/>
      <c r="T63" s="550"/>
      <c r="X63" s="216"/>
      <c r="Y63" s="216"/>
      <c r="Z63" s="216"/>
      <c r="AA63" s="330"/>
      <c r="AB63" s="216"/>
      <c r="AC63" s="216"/>
      <c r="AD63" s="216"/>
      <c r="AE63" s="216"/>
      <c r="AF63" s="216"/>
      <c r="AG63" s="216"/>
      <c r="AH63" s="216"/>
    </row>
    <row r="64" spans="2:37" ht="18">
      <c r="B64" s="216"/>
      <c r="C64" s="216"/>
      <c r="D64" s="216"/>
      <c r="E64" s="216"/>
      <c r="F64" s="216"/>
      <c r="G64" s="216"/>
      <c r="H64" s="334"/>
      <c r="I64" s="279">
        <v>8</v>
      </c>
      <c r="J64" s="276"/>
      <c r="K64" s="277"/>
      <c r="L64" s="277"/>
      <c r="M64" s="281"/>
      <c r="P64" s="279">
        <v>8</v>
      </c>
      <c r="Q64" s="276"/>
      <c r="R64" s="277"/>
      <c r="S64" s="281"/>
      <c r="T64" s="550"/>
      <c r="X64" s="216"/>
      <c r="Y64" s="216"/>
      <c r="Z64" s="216"/>
      <c r="AA64" s="330"/>
      <c r="AB64" s="216"/>
      <c r="AC64" s="216"/>
      <c r="AD64" s="216"/>
      <c r="AE64" s="216"/>
      <c r="AF64" s="216"/>
      <c r="AG64" s="216"/>
      <c r="AH64" s="216"/>
    </row>
    <row r="65" spans="2:34" ht="18">
      <c r="B65" s="216"/>
      <c r="C65" s="216"/>
      <c r="D65" s="216"/>
      <c r="E65" s="216"/>
      <c r="F65" s="216"/>
      <c r="G65" s="216"/>
      <c r="H65" s="216"/>
      <c r="I65" s="279">
        <v>9</v>
      </c>
      <c r="J65" s="276"/>
      <c r="K65" s="277"/>
      <c r="L65" s="277"/>
      <c r="M65" s="281"/>
      <c r="N65" s="424"/>
      <c r="P65" s="279">
        <v>9</v>
      </c>
      <c r="Q65" s="276"/>
      <c r="R65" s="277"/>
      <c r="S65" s="278"/>
      <c r="T65" s="602"/>
      <c r="W65" s="216"/>
      <c r="X65" s="216"/>
      <c r="Y65" s="216"/>
      <c r="Z65" s="216"/>
      <c r="AA65" s="216"/>
      <c r="AB65" s="216"/>
      <c r="AC65" s="216"/>
      <c r="AD65" s="216"/>
      <c r="AE65" s="216"/>
      <c r="AF65" s="216"/>
      <c r="AG65" s="216"/>
      <c r="AH65" s="216"/>
    </row>
    <row r="66" spans="2:34" ht="18">
      <c r="B66" s="216"/>
      <c r="C66" s="216"/>
      <c r="D66" s="216"/>
      <c r="E66" s="216"/>
      <c r="F66" s="216"/>
      <c r="G66" s="216"/>
      <c r="H66" s="334"/>
      <c r="I66" s="279">
        <v>10</v>
      </c>
      <c r="J66" s="276"/>
      <c r="K66" s="277"/>
      <c r="L66" s="277"/>
      <c r="M66" s="281"/>
      <c r="P66" s="288">
        <v>10</v>
      </c>
      <c r="Q66" s="283" t="s">
        <v>182</v>
      </c>
      <c r="R66" s="284"/>
      <c r="S66" s="285">
        <f>S56-SUM(S57:S65)</f>
        <v>-38.523050276689297</v>
      </c>
      <c r="T66" s="602"/>
      <c r="U66" t="s">
        <v>195</v>
      </c>
      <c r="V66" s="317">
        <v>10.635673529278559</v>
      </c>
      <c r="X66" s="297"/>
      <c r="AA66" s="216"/>
      <c r="AB66" s="216"/>
      <c r="AC66" s="216"/>
      <c r="AD66" s="216"/>
      <c r="AE66" s="216"/>
      <c r="AF66" s="216"/>
      <c r="AG66" s="216"/>
      <c r="AH66" s="216"/>
    </row>
    <row r="67" spans="2:34" ht="18">
      <c r="B67" s="216"/>
      <c r="C67" s="216"/>
      <c r="D67" s="216"/>
      <c r="E67" s="216"/>
      <c r="F67" s="216"/>
      <c r="G67" s="216"/>
      <c r="H67" s="216"/>
      <c r="I67" s="279">
        <v>11</v>
      </c>
      <c r="J67" s="276"/>
      <c r="K67" s="277"/>
      <c r="L67" s="277"/>
      <c r="M67" s="281"/>
      <c r="U67" t="s">
        <v>246</v>
      </c>
      <c r="V67" s="317">
        <v>4.8498799618399477</v>
      </c>
      <c r="X67" s="216"/>
      <c r="Z67" s="216"/>
      <c r="AA67" s="216"/>
      <c r="AB67" s="216"/>
      <c r="AC67" s="216"/>
      <c r="AD67" s="216"/>
      <c r="AE67" s="216"/>
      <c r="AF67" s="216"/>
      <c r="AG67" s="216"/>
      <c r="AH67" s="216"/>
    </row>
    <row r="68" spans="2:34" ht="18">
      <c r="B68" s="216"/>
      <c r="C68" s="216"/>
      <c r="D68" s="216"/>
      <c r="E68" s="216"/>
      <c r="F68" s="216"/>
      <c r="G68" s="216"/>
      <c r="H68" s="216"/>
      <c r="I68" s="288">
        <v>12</v>
      </c>
      <c r="J68" s="289" t="s">
        <v>182</v>
      </c>
      <c r="K68" s="284"/>
      <c r="L68" s="284"/>
      <c r="M68" s="290">
        <f>M56-SUM(M57:M67)</f>
        <v>0</v>
      </c>
      <c r="Q68" s="535">
        <f>SUM(S58:S66)+SUM(H57:H60)-H59</f>
        <v>-40.7678909165368</v>
      </c>
      <c r="S68" s="318">
        <f>S66-S67</f>
        <v>-38.523050276689297</v>
      </c>
      <c r="T68" s="318"/>
      <c r="U68" t="s">
        <v>339</v>
      </c>
      <c r="V68" s="317"/>
      <c r="X68" s="216"/>
      <c r="Z68" s="216"/>
      <c r="AA68" s="216"/>
      <c r="AB68" s="216"/>
      <c r="AC68" s="216"/>
      <c r="AD68" s="216"/>
      <c r="AE68" s="216"/>
      <c r="AF68" s="216"/>
      <c r="AG68" s="216"/>
      <c r="AH68" s="216"/>
    </row>
    <row r="69" spans="2:34">
      <c r="B69" s="216"/>
      <c r="C69" s="216"/>
      <c r="D69" s="216"/>
      <c r="E69" s="216"/>
      <c r="F69" s="216"/>
      <c r="G69" s="216"/>
      <c r="H69" s="216"/>
      <c r="N69" s="216"/>
      <c r="P69" t="s">
        <v>328</v>
      </c>
      <c r="Q69" s="364"/>
      <c r="U69" t="s">
        <v>317</v>
      </c>
      <c r="V69" s="317">
        <v>-0.51624061752036998</v>
      </c>
      <c r="X69" s="216"/>
      <c r="Y69" s="216"/>
      <c r="Z69" s="216"/>
      <c r="AA69" s="216"/>
      <c r="AB69" s="216"/>
      <c r="AC69" s="216"/>
      <c r="AD69" s="216"/>
      <c r="AE69" s="216"/>
      <c r="AF69" s="216"/>
      <c r="AG69" s="216"/>
      <c r="AH69" s="216"/>
    </row>
    <row r="70" spans="2:34">
      <c r="B70" s="216"/>
      <c r="C70" s="216"/>
      <c r="D70" s="216"/>
      <c r="E70" s="216"/>
      <c r="F70" s="216"/>
      <c r="G70" s="216"/>
      <c r="H70" s="216"/>
      <c r="I70" s="216"/>
      <c r="J70" s="216"/>
      <c r="K70" s="216"/>
      <c r="L70" s="216"/>
      <c r="M70" s="216"/>
      <c r="N70" s="216"/>
      <c r="P70" t="s">
        <v>142</v>
      </c>
      <c r="Q70" s="364"/>
      <c r="U70" t="s">
        <v>270</v>
      </c>
      <c r="V70" s="317">
        <v>9.8431749818486285</v>
      </c>
      <c r="X70" s="216"/>
      <c r="Y70" s="216"/>
      <c r="Z70" s="216"/>
      <c r="AA70" s="216"/>
      <c r="AB70" s="216"/>
      <c r="AC70" s="216"/>
      <c r="AD70" s="216"/>
      <c r="AE70" s="216"/>
      <c r="AF70" s="216"/>
      <c r="AG70" s="216"/>
      <c r="AH70" s="216"/>
    </row>
    <row r="71" spans="2:34">
      <c r="B71" s="216"/>
      <c r="C71" s="216"/>
      <c r="D71" s="216"/>
      <c r="E71" s="216"/>
      <c r="F71" s="216"/>
      <c r="G71" s="216"/>
      <c r="H71" s="216"/>
      <c r="I71" s="216"/>
      <c r="J71" s="216"/>
      <c r="K71" s="216"/>
      <c r="L71" s="216"/>
      <c r="M71" s="216"/>
      <c r="N71" s="216"/>
      <c r="P71" t="s">
        <v>195</v>
      </c>
      <c r="Q71" s="364"/>
      <c r="S71" s="497"/>
      <c r="T71" s="497"/>
      <c r="U71" s="216"/>
      <c r="V71" s="318"/>
      <c r="W71" s="335"/>
      <c r="Y71" s="216"/>
      <c r="Z71" s="216"/>
      <c r="AA71" s="216"/>
      <c r="AB71" s="216"/>
      <c r="AC71" s="216"/>
      <c r="AD71" s="216"/>
      <c r="AE71" s="216"/>
      <c r="AF71" s="216"/>
      <c r="AG71" s="216"/>
      <c r="AH71" s="216"/>
    </row>
    <row r="72" spans="2:34">
      <c r="B72" s="216"/>
      <c r="C72" s="216"/>
      <c r="D72" s="216"/>
      <c r="E72" s="216"/>
      <c r="F72" s="216"/>
      <c r="G72" s="216"/>
      <c r="H72" s="216"/>
      <c r="I72" s="216"/>
      <c r="J72" s="216"/>
      <c r="K72" s="216"/>
      <c r="L72" s="216"/>
      <c r="M72" s="216"/>
      <c r="N72" s="216"/>
      <c r="P72" s="497"/>
      <c r="Q72" s="364"/>
      <c r="V72" s="317"/>
      <c r="Y72" s="216"/>
      <c r="Z72" s="216"/>
      <c r="AA72" s="216"/>
      <c r="AB72" s="315"/>
      <c r="AC72" s="323"/>
      <c r="AD72" s="216"/>
      <c r="AE72" s="216"/>
      <c r="AF72" s="216"/>
      <c r="AG72" s="216"/>
      <c r="AH72" s="216"/>
    </row>
    <row r="73" spans="2:34">
      <c r="B73" s="216"/>
      <c r="C73" s="216"/>
      <c r="D73" s="216"/>
      <c r="E73" s="216"/>
      <c r="F73" s="216"/>
      <c r="G73" s="216"/>
      <c r="H73" s="216"/>
      <c r="I73" s="216"/>
      <c r="J73" s="216"/>
      <c r="K73" s="216"/>
      <c r="L73" s="216"/>
      <c r="M73" s="332"/>
      <c r="N73" s="216"/>
      <c r="Q73" s="364"/>
      <c r="V73" s="364"/>
      <c r="X73" s="216"/>
      <c r="Y73" s="216"/>
      <c r="Z73" s="216"/>
      <c r="AA73" s="216"/>
      <c r="AB73" s="315"/>
      <c r="AC73" s="323"/>
      <c r="AD73" s="216"/>
      <c r="AE73" s="216"/>
      <c r="AF73" s="216"/>
      <c r="AG73" s="216"/>
      <c r="AH73" s="216"/>
    </row>
    <row r="74" spans="2:34">
      <c r="B74" s="216"/>
      <c r="C74" s="216"/>
      <c r="D74" s="216"/>
      <c r="E74" s="216"/>
      <c r="F74" s="216"/>
      <c r="G74" s="216"/>
      <c r="H74" s="216"/>
      <c r="I74" s="216"/>
      <c r="J74" s="216"/>
      <c r="K74" s="216"/>
      <c r="L74" s="216"/>
      <c r="M74" s="216"/>
      <c r="N74" s="216"/>
      <c r="Q74" s="364"/>
      <c r="V74" s="441"/>
      <c r="X74" s="216"/>
      <c r="Y74" s="216"/>
      <c r="Z74" s="216"/>
      <c r="AA74" s="216"/>
      <c r="AB74" s="315"/>
      <c r="AC74" s="323"/>
      <c r="AD74" s="216"/>
      <c r="AE74" s="216"/>
      <c r="AF74" s="216"/>
      <c r="AG74" s="216"/>
      <c r="AH74" s="216"/>
    </row>
    <row r="75" spans="2:34">
      <c r="B75" s="216"/>
      <c r="C75" s="216"/>
      <c r="D75" s="216"/>
      <c r="E75" s="216"/>
      <c r="F75" s="216"/>
      <c r="G75" s="216"/>
      <c r="H75" s="216"/>
      <c r="I75" s="216"/>
      <c r="J75" s="216"/>
      <c r="K75" s="216"/>
      <c r="L75" s="216"/>
      <c r="M75" s="216"/>
      <c r="N75" s="216"/>
      <c r="Q75" s="364"/>
      <c r="U75" t="s">
        <v>217</v>
      </c>
      <c r="V75" s="317">
        <f>'[7]New KPI vs BP'!$BY$453+'[7]New KPI vs BP'!$BY$464</f>
        <v>0.28559770715397526</v>
      </c>
      <c r="Z75" s="216"/>
      <c r="AA75" s="216"/>
      <c r="AB75" s="216"/>
      <c r="AC75" s="216"/>
      <c r="AD75" s="216"/>
      <c r="AE75" s="216"/>
      <c r="AF75" s="216"/>
      <c r="AG75" s="216"/>
      <c r="AH75" s="216"/>
    </row>
    <row r="76" spans="2:34">
      <c r="Q76" s="364"/>
      <c r="U76" t="s">
        <v>223</v>
      </c>
      <c r="V76" s="317">
        <v>-23.08952882240963</v>
      </c>
      <c r="Y76" s="314"/>
    </row>
    <row r="77" spans="2:34">
      <c r="P77" t="s">
        <v>144</v>
      </c>
      <c r="Q77" s="364">
        <f>Q68-SUM(Q69:Q76)</f>
        <v>-40.7678909165368</v>
      </c>
      <c r="V77" s="364"/>
    </row>
    <row r="78" spans="2:34">
      <c r="V78" s="505"/>
    </row>
    <row r="79" spans="2:34">
      <c r="U79" t="s">
        <v>284</v>
      </c>
      <c r="V79" s="369">
        <f>SUM(V80:V82)</f>
        <v>6.3397969029139558</v>
      </c>
    </row>
    <row r="80" spans="2:34">
      <c r="U80" s="372" t="s">
        <v>252</v>
      </c>
      <c r="V80" s="373">
        <f>'[7]P&amp;L vs BP'!$AP$238-'[7]New KPI vs BP'!$BV$437+'[7]New KPI vs BP'!$BW$500-AC52</f>
        <v>5.3595546900000048</v>
      </c>
    </row>
    <row r="81" spans="21:26">
      <c r="U81" s="135" t="s">
        <v>144</v>
      </c>
      <c r="V81" s="373">
        <f>-AD47-AJ58-X48-AK57</f>
        <v>4.1802422129139511</v>
      </c>
    </row>
    <row r="82" spans="21:26">
      <c r="U82" s="372" t="s">
        <v>200</v>
      </c>
      <c r="V82" s="373">
        <v>-3.2</v>
      </c>
    </row>
    <row r="83" spans="21:26">
      <c r="X83" s="216"/>
    </row>
    <row r="85" spans="21:26">
      <c r="Z85" s="314"/>
    </row>
    <row r="88" spans="21:26">
      <c r="U88" t="s">
        <v>330</v>
      </c>
      <c r="V88" s="317">
        <v>12.5442</v>
      </c>
    </row>
  </sheetData>
  <mergeCells count="25">
    <mergeCell ref="AH50:AH51"/>
    <mergeCell ref="B43:B44"/>
    <mergeCell ref="C43:C44"/>
    <mergeCell ref="B49:B51"/>
    <mergeCell ref="H50:H51"/>
    <mergeCell ref="O50:O51"/>
    <mergeCell ref="P50:P51"/>
    <mergeCell ref="Q50:Q51"/>
    <mergeCell ref="R50:R51"/>
    <mergeCell ref="S50:S51"/>
    <mergeCell ref="AE50:AE51"/>
    <mergeCell ref="AF50:AF51"/>
    <mergeCell ref="T50:T51"/>
    <mergeCell ref="AH12:AH13"/>
    <mergeCell ref="B5:B6"/>
    <mergeCell ref="C5:C6"/>
    <mergeCell ref="B11:B13"/>
    <mergeCell ref="H12:H13"/>
    <mergeCell ref="O12:O13"/>
    <mergeCell ref="P12:P13"/>
    <mergeCell ref="Q12:Q13"/>
    <mergeCell ref="R12:R13"/>
    <mergeCell ref="S12:S13"/>
    <mergeCell ref="AE12:AE13"/>
    <mergeCell ref="AF12:AF13"/>
  </mergeCells>
  <pageMargins left="0.7" right="0.7" top="0.75" bottom="0.75" header="0.3" footer="0.3"/>
  <pageSetup orientation="portrait" r:id="rId1"/>
  <customProperties>
    <customPr name="EpmWorksheetKeyString_GUID" r:id="rId2"/>
  </customProperties>
  <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D6CE0-7300-4141-98BA-C77583EC62FF}">
  <sheetPr>
    <tabColor theme="7" tint="0.59999389629810485"/>
  </sheetPr>
  <dimension ref="B1:AK94"/>
  <sheetViews>
    <sheetView showGridLines="0" topLeftCell="A40" zoomScale="60" zoomScaleNormal="60" workbookViewId="0">
      <selection activeCell="S67" sqref="S67"/>
    </sheetView>
  </sheetViews>
  <sheetFormatPr defaultRowHeight="15" outlineLevelRow="1"/>
  <cols>
    <col min="2" max="2" width="13.5703125" customWidth="1"/>
    <col min="3" max="3" width="11.5703125" customWidth="1"/>
    <col min="4" max="4" width="16.42578125" customWidth="1"/>
    <col min="5" max="5" width="15" bestFit="1" customWidth="1"/>
    <col min="6" max="6" width="16.5703125" bestFit="1" customWidth="1"/>
    <col min="7" max="7" width="11.5703125" customWidth="1"/>
    <col min="9" max="9" width="10.140625" customWidth="1"/>
    <col min="10" max="10" width="12.140625" customWidth="1"/>
    <col min="11" max="11" width="13.42578125" bestFit="1" customWidth="1"/>
    <col min="12" max="12" width="15.140625" customWidth="1"/>
    <col min="13" max="13" width="13.5703125" bestFit="1" customWidth="1"/>
    <col min="15" max="15" width="11" customWidth="1"/>
    <col min="17" max="17" width="19.42578125" bestFit="1" customWidth="1"/>
    <col min="18" max="18" width="10.140625" customWidth="1"/>
    <col min="19" max="19" width="20.5703125" bestFit="1" customWidth="1"/>
    <col min="20" max="20" width="20.5703125" customWidth="1"/>
    <col min="21" max="21" width="11.5703125" customWidth="1"/>
    <col min="22" max="22" width="12" customWidth="1"/>
    <col min="23" max="23" width="12.5703125" bestFit="1" customWidth="1"/>
    <col min="24" max="24" width="10.5703125" customWidth="1"/>
    <col min="26" max="26" width="11" customWidth="1"/>
    <col min="27" max="27" width="14.42578125" bestFit="1" customWidth="1"/>
    <col min="29" max="29" width="10.42578125" customWidth="1"/>
    <col min="30" max="30" width="11.42578125" customWidth="1"/>
    <col min="33" max="33" width="12" bestFit="1" customWidth="1"/>
    <col min="35" max="35" width="11.5703125" customWidth="1"/>
  </cols>
  <sheetData>
    <row r="1" spans="2:34" ht="28.5">
      <c r="B1" s="304" t="str">
        <f>'Summary month'!E2</f>
        <v>Apr</v>
      </c>
      <c r="C1" t="str">
        <f>VLOOKUP(B1,mapping!$A$2:$C$13,3,0)</f>
        <v>M01</v>
      </c>
    </row>
    <row r="3" spans="2:34" ht="28.5" outlineLevel="1">
      <c r="B3" s="299" t="s">
        <v>202</v>
      </c>
      <c r="D3" s="318" t="e">
        <f>D7-D45</f>
        <v>#REF!</v>
      </c>
      <c r="E3" s="318" t="e">
        <f>E7-E45</f>
        <v>#REF!</v>
      </c>
      <c r="F3" s="318" t="e">
        <f>F7-F45</f>
        <v>#REF!</v>
      </c>
      <c r="G3" s="318" t="e">
        <f>G7-G45</f>
        <v>#REF!</v>
      </c>
      <c r="I3" s="216"/>
      <c r="J3" s="334" t="s">
        <v>303</v>
      </c>
      <c r="K3" s="216" t="s">
        <v>143</v>
      </c>
      <c r="L3" s="216" t="s">
        <v>304</v>
      </c>
      <c r="M3" s="216"/>
      <c r="N3" s="334" t="s">
        <v>303</v>
      </c>
      <c r="O3" s="216" t="s">
        <v>279</v>
      </c>
      <c r="P3" s="216" t="s">
        <v>143</v>
      </c>
      <c r="Q3" s="216" t="s">
        <v>305</v>
      </c>
      <c r="R3" s="216" t="s">
        <v>306</v>
      </c>
    </row>
    <row r="4" spans="2:34" ht="18" outlineLevel="1">
      <c r="B4" s="215"/>
      <c r="C4" s="216"/>
      <c r="D4" s="215"/>
      <c r="E4" s="216"/>
      <c r="F4" s="215"/>
      <c r="G4" s="217" t="s">
        <v>138</v>
      </c>
      <c r="H4" s="216"/>
      <c r="I4" s="216" t="s">
        <v>307</v>
      </c>
      <c r="J4" s="334">
        <f>'[7]New KPI vs BP'!$CJ$34-K4-L4</f>
        <v>-90.838659983985806</v>
      </c>
      <c r="K4" s="286">
        <f>'[7]New KPI vs BP'!$CJ$15</f>
        <v>-5.9131194426221594</v>
      </c>
      <c r="L4" s="286">
        <f>'[7]New KPI vs BP'!$CJ$507+'[7]New KPI vs BP'!$CJ$523</f>
        <v>9.3179526878390284</v>
      </c>
      <c r="M4" s="286"/>
      <c r="N4" s="286" t="e">
        <f>'[7]New KPI vs BP'!$CJ$34-P4-Q4-O4</f>
        <v>#REF!</v>
      </c>
      <c r="O4" s="318">
        <f>'[7]New KPI vs BP'!$CJ$19</f>
        <v>1.3625436228872179</v>
      </c>
      <c r="P4" s="286">
        <f>K4</f>
        <v>-5.9131194426221594</v>
      </c>
      <c r="Q4" s="406" t="e">
        <f>L5-AJ57</f>
        <v>#REF!</v>
      </c>
      <c r="R4" s="334" t="e">
        <f>L4-(Q4)</f>
        <v>#REF!</v>
      </c>
      <c r="S4" s="216"/>
      <c r="T4" s="216"/>
      <c r="U4" s="216"/>
      <c r="V4" s="216"/>
      <c r="W4" s="216"/>
      <c r="X4" s="216"/>
      <c r="Y4" s="216"/>
      <c r="Z4" s="216"/>
      <c r="AA4" s="216"/>
      <c r="AB4" s="216"/>
      <c r="AC4" s="216"/>
      <c r="AD4" s="216"/>
      <c r="AE4" s="216"/>
      <c r="AF4" s="216"/>
      <c r="AG4" s="216"/>
      <c r="AH4" s="216"/>
    </row>
    <row r="5" spans="2:34" ht="20.100000000000001" customHeight="1" outlineLevel="1">
      <c r="B5" s="1014" t="s">
        <v>219</v>
      </c>
      <c r="C5" s="1014" t="s">
        <v>210</v>
      </c>
      <c r="D5" s="218"/>
      <c r="E5" s="219"/>
      <c r="F5" s="219"/>
      <c r="G5" s="220"/>
      <c r="H5" s="216"/>
      <c r="I5" s="216" t="s">
        <v>62</v>
      </c>
      <c r="J5" s="334">
        <f>M43</f>
        <v>-41.13220227191033</v>
      </c>
      <c r="K5" s="286">
        <v>0</v>
      </c>
      <c r="L5" s="286" t="e">
        <f>M44</f>
        <v>#REF!</v>
      </c>
      <c r="M5" s="286"/>
      <c r="N5" s="286"/>
      <c r="O5" s="286"/>
      <c r="P5" s="216"/>
      <c r="Q5" s="216"/>
      <c r="R5" s="216"/>
      <c r="S5" s="216"/>
      <c r="T5" s="216"/>
      <c r="U5" s="216"/>
      <c r="V5" s="216"/>
      <c r="W5" s="221"/>
      <c r="X5" s="221"/>
      <c r="Y5" s="221"/>
      <c r="Z5" s="221"/>
      <c r="AA5" s="221"/>
      <c r="AB5" s="221"/>
      <c r="AC5" s="221"/>
      <c r="AD5" s="221"/>
      <c r="AE5" s="221"/>
      <c r="AF5" s="221"/>
      <c r="AG5" s="221"/>
      <c r="AH5" s="221"/>
    </row>
    <row r="6" spans="2:34" ht="40.5" outlineLevel="1">
      <c r="B6" s="1015"/>
      <c r="C6" s="1016"/>
      <c r="D6" s="222"/>
      <c r="E6" s="223" t="s">
        <v>154</v>
      </c>
      <c r="F6" s="224" t="s">
        <v>155</v>
      </c>
      <c r="G6" s="225" t="s">
        <v>156</v>
      </c>
      <c r="H6" s="216"/>
      <c r="I6" s="216" t="s">
        <v>208</v>
      </c>
      <c r="J6" s="216"/>
      <c r="K6" s="216"/>
      <c r="L6" s="442"/>
      <c r="M6" s="216"/>
      <c r="N6" s="216"/>
      <c r="O6" s="216"/>
      <c r="P6" s="216"/>
      <c r="Q6" s="216"/>
      <c r="R6" s="216"/>
      <c r="AH6" s="216"/>
    </row>
    <row r="7" spans="2:34" ht="20.25" outlineLevel="1">
      <c r="B7" s="226" t="e">
        <f>#REF!</f>
        <v>#REF!</v>
      </c>
      <c r="C7" s="226" t="e">
        <f>#REF!</f>
        <v>#REF!</v>
      </c>
      <c r="D7" s="227" t="e">
        <f>C7-B7</f>
        <v>#REF!</v>
      </c>
      <c r="E7" s="228">
        <f>'[7]New KPI vs BP'!$CJ$34</f>
        <v>-87.433826738768943</v>
      </c>
      <c r="F7" s="228" t="e">
        <f>#REF!-E8</f>
        <v>#REF!</v>
      </c>
      <c r="G7" s="229" t="e">
        <f>#REF!-E9</f>
        <v>#REF!</v>
      </c>
      <c r="H7" s="216"/>
      <c r="I7" s="286" t="e">
        <f>SUM(E7:G7)-D7</f>
        <v>#REF!</v>
      </c>
      <c r="J7" s="216"/>
      <c r="K7" s="216"/>
      <c r="L7" s="322"/>
      <c r="M7" s="216"/>
      <c r="N7" s="216"/>
      <c r="O7" s="230"/>
      <c r="P7" s="216"/>
      <c r="Q7" s="216"/>
      <c r="R7" s="216"/>
      <c r="AH7" s="230"/>
    </row>
    <row r="8" spans="2:34" outlineLevel="1">
      <c r="B8" s="216"/>
      <c r="C8" s="216"/>
      <c r="D8" s="216"/>
      <c r="E8" s="315" t="e">
        <f>SUM(N4:P4)</f>
        <v>#REF!</v>
      </c>
      <c r="F8" s="216" t="s">
        <v>308</v>
      </c>
      <c r="G8" s="334"/>
      <c r="H8" s="216"/>
      <c r="I8" s="216"/>
      <c r="J8" s="216"/>
      <c r="K8" s="216"/>
      <c r="L8" s="216"/>
      <c r="M8" s="216"/>
      <c r="N8" s="216"/>
      <c r="O8" s="216" t="s">
        <v>53</v>
      </c>
      <c r="P8" s="315" t="e">
        <f>-#REF!</f>
        <v>#REF!</v>
      </c>
      <c r="Q8" s="216"/>
      <c r="R8" s="216"/>
      <c r="AH8" s="216"/>
    </row>
    <row r="9" spans="2:34" outlineLevel="1">
      <c r="B9" s="216"/>
      <c r="C9" s="216" t="s">
        <v>51</v>
      </c>
      <c r="D9" s="216" t="s">
        <v>50</v>
      </c>
      <c r="E9" s="315" t="e">
        <f>Q4</f>
        <v>#REF!</v>
      </c>
      <c r="F9" s="216" t="s">
        <v>309</v>
      </c>
      <c r="G9" s="216"/>
      <c r="H9" s="216"/>
      <c r="I9" s="216"/>
      <c r="J9" s="216"/>
      <c r="K9" s="216"/>
      <c r="L9" s="216"/>
      <c r="M9" s="216"/>
      <c r="N9" s="216"/>
      <c r="O9" s="216" t="s">
        <v>54</v>
      </c>
      <c r="P9" s="315" t="e">
        <f>-#REF!</f>
        <v>#REF!</v>
      </c>
      <c r="Q9" s="216"/>
      <c r="R9" s="216"/>
      <c r="AH9" s="216"/>
    </row>
    <row r="10" spans="2:34" ht="21" outlineLevel="1" thickBot="1">
      <c r="B10" s="231" t="s">
        <v>157</v>
      </c>
      <c r="C10" s="232" t="s">
        <v>56</v>
      </c>
      <c r="D10" s="232" t="s">
        <v>57</v>
      </c>
      <c r="E10" s="232"/>
      <c r="F10" s="232"/>
      <c r="G10" s="232"/>
      <c r="H10" s="232"/>
      <c r="I10" s="232"/>
      <c r="J10" s="232"/>
      <c r="K10" s="232"/>
      <c r="L10" s="232"/>
      <c r="M10" s="232"/>
      <c r="N10" s="232"/>
      <c r="O10" s="232" t="s">
        <v>55</v>
      </c>
      <c r="P10" s="286" t="e">
        <f>-#REF!</f>
        <v>#REF!</v>
      </c>
      <c r="Q10" s="232"/>
      <c r="R10" s="232" t="s">
        <v>60</v>
      </c>
      <c r="AA10" t="s">
        <v>52</v>
      </c>
      <c r="AB10" t="s">
        <v>59</v>
      </c>
      <c r="AH10" s="217" t="s">
        <v>138</v>
      </c>
    </row>
    <row r="11" spans="2:34" ht="21" outlineLevel="1" thickBot="1">
      <c r="B11" s="1034" t="s">
        <v>158</v>
      </c>
      <c r="C11" s="233" t="s">
        <v>159</v>
      </c>
      <c r="D11" s="234"/>
      <c r="E11" s="234"/>
      <c r="F11" s="234"/>
      <c r="G11" s="234"/>
      <c r="H11" s="234"/>
      <c r="I11" s="234"/>
      <c r="J11" s="234"/>
      <c r="K11" s="234"/>
      <c r="L11" s="234"/>
      <c r="M11" s="234"/>
      <c r="N11" s="234"/>
      <c r="O11" s="234"/>
      <c r="P11" s="234"/>
      <c r="Q11" s="234"/>
      <c r="R11" s="234"/>
      <c r="S11" s="235"/>
      <c r="T11" s="234"/>
      <c r="U11" s="236" t="s">
        <v>160</v>
      </c>
      <c r="V11" s="237"/>
      <c r="W11" s="237"/>
      <c r="X11" s="237"/>
      <c r="Y11" s="237"/>
      <c r="Z11" s="237"/>
      <c r="AA11" s="237"/>
      <c r="AB11" s="237"/>
      <c r="AC11" s="237"/>
      <c r="AD11" s="237"/>
      <c r="AE11" s="237"/>
      <c r="AF11" s="237"/>
      <c r="AG11" s="237"/>
      <c r="AH11" s="238"/>
    </row>
    <row r="12" spans="2:34" ht="20.100000000000001" customHeight="1" outlineLevel="1">
      <c r="B12" s="1035"/>
      <c r="C12" s="239" t="s">
        <v>161</v>
      </c>
      <c r="D12" s="240"/>
      <c r="E12" s="240"/>
      <c r="F12" s="240"/>
      <c r="G12" s="241"/>
      <c r="H12" s="1017" t="s">
        <v>162</v>
      </c>
      <c r="I12" s="242" t="s">
        <v>163</v>
      </c>
      <c r="J12" s="243"/>
      <c r="K12" s="243"/>
      <c r="L12" s="243"/>
      <c r="M12" s="243"/>
      <c r="N12" s="244"/>
      <c r="O12" s="1019" t="s">
        <v>164</v>
      </c>
      <c r="P12" s="1019" t="s">
        <v>165</v>
      </c>
      <c r="Q12" s="1019" t="s">
        <v>166</v>
      </c>
      <c r="R12" s="1022" t="s">
        <v>167</v>
      </c>
      <c r="S12" s="1023" t="s">
        <v>168</v>
      </c>
      <c r="T12" s="598"/>
      <c r="U12" s="245" t="s">
        <v>169</v>
      </c>
      <c r="V12" s="246"/>
      <c r="W12" s="246"/>
      <c r="X12" s="247"/>
      <c r="Y12" s="248" t="s">
        <v>163</v>
      </c>
      <c r="Z12" s="246"/>
      <c r="AA12" s="246"/>
      <c r="AB12" s="246"/>
      <c r="AC12" s="246"/>
      <c r="AD12" s="247"/>
      <c r="AE12" s="1022" t="s">
        <v>166</v>
      </c>
      <c r="AF12" s="1025" t="s">
        <v>167</v>
      </c>
      <c r="AG12" s="311"/>
      <c r="AH12" s="1012" t="s">
        <v>168</v>
      </c>
    </row>
    <row r="13" spans="2:34" ht="77.45" customHeight="1" outlineLevel="1">
      <c r="B13" s="1036"/>
      <c r="C13" s="249" t="s">
        <v>170</v>
      </c>
      <c r="D13" s="250" t="s">
        <v>171</v>
      </c>
      <c r="E13" s="250" t="s">
        <v>172</v>
      </c>
      <c r="F13" s="250" t="s">
        <v>173</v>
      </c>
      <c r="G13" s="251" t="s">
        <v>174</v>
      </c>
      <c r="H13" s="1018"/>
      <c r="I13" s="250" t="s">
        <v>175</v>
      </c>
      <c r="J13" s="250" t="s">
        <v>176</v>
      </c>
      <c r="K13" s="250" t="s">
        <v>177</v>
      </c>
      <c r="L13" s="250" t="s">
        <v>178</v>
      </c>
      <c r="M13" s="250" t="s">
        <v>168</v>
      </c>
      <c r="N13" s="250" t="s">
        <v>179</v>
      </c>
      <c r="O13" s="1020"/>
      <c r="P13" s="1021"/>
      <c r="Q13" s="1021"/>
      <c r="R13" s="1021"/>
      <c r="S13" s="1024"/>
      <c r="T13" s="599"/>
      <c r="U13" s="307" t="s">
        <v>203</v>
      </c>
      <c r="V13" s="308" t="s">
        <v>180</v>
      </c>
      <c r="W13" s="309" t="s">
        <v>181</v>
      </c>
      <c r="X13" s="310" t="s">
        <v>33</v>
      </c>
      <c r="Y13" s="305" t="s">
        <v>25</v>
      </c>
      <c r="Z13" s="306" t="s">
        <v>183</v>
      </c>
      <c r="AA13" s="306" t="s">
        <v>204</v>
      </c>
      <c r="AB13" s="306" t="s">
        <v>205</v>
      </c>
      <c r="AC13" s="306" t="s">
        <v>184</v>
      </c>
      <c r="AD13" s="306" t="s">
        <v>30</v>
      </c>
      <c r="AE13" s="1021"/>
      <c r="AF13" s="1026"/>
      <c r="AG13" s="312" t="s">
        <v>37</v>
      </c>
      <c r="AH13" s="1013"/>
    </row>
    <row r="14" spans="2:34" ht="21" outlineLevel="1" thickBot="1">
      <c r="B14" s="252" t="e">
        <f>E8</f>
        <v>#REF!</v>
      </c>
      <c r="C14" s="253" t="e">
        <f>C52-#REF!-#REF!+M43-N4</f>
        <v>#REF!</v>
      </c>
      <c r="D14" s="254" t="e">
        <f>S58-#REF!-#REF!-P4+P10</f>
        <v>#REF!</v>
      </c>
      <c r="E14" s="254">
        <f>E52</f>
        <v>-66.717972867013913</v>
      </c>
      <c r="F14" s="254">
        <f>F52</f>
        <v>42.866173931851201</v>
      </c>
      <c r="G14" s="254"/>
      <c r="H14" s="254">
        <f>H52</f>
        <v>0</v>
      </c>
      <c r="I14" s="254">
        <f>I52</f>
        <v>0.81794842928612321</v>
      </c>
      <c r="J14" s="255">
        <f>J52</f>
        <v>2.9690387300799497</v>
      </c>
      <c r="K14" s="255">
        <f>K52</f>
        <v>-14.516471144917144</v>
      </c>
      <c r="L14" s="255">
        <f>L52</f>
        <v>-0.1</v>
      </c>
      <c r="M14" s="255" t="e">
        <f>M52-#REF!</f>
        <v>#REF!</v>
      </c>
      <c r="N14" s="255"/>
      <c r="O14" s="254" t="e">
        <f>-SUM(#REF!)</f>
        <v>#REF!</v>
      </c>
      <c r="P14" s="254"/>
      <c r="Q14" s="256"/>
      <c r="R14" s="254" t="e">
        <f>R52-#REF!</f>
        <v>#REF!</v>
      </c>
      <c r="S14" s="257" t="e">
        <f>F7-SUM(C14:R14)</f>
        <v>#REF!</v>
      </c>
      <c r="T14" s="600"/>
      <c r="U14" s="253" t="e">
        <f>U52</f>
        <v>#REF!</v>
      </c>
      <c r="V14" s="258" t="e">
        <f>V52</f>
        <v>#REF!</v>
      </c>
      <c r="W14" s="258"/>
      <c r="X14" s="258" t="e">
        <f>X52</f>
        <v>#REF!</v>
      </c>
      <c r="Y14" s="258" t="e">
        <f>Y52</f>
        <v>#REF!</v>
      </c>
      <c r="Z14" s="258" t="e">
        <f>Z52</f>
        <v>#REF!</v>
      </c>
      <c r="AA14" s="258" t="e">
        <f>AA52-#REF!</f>
        <v>#REF!</v>
      </c>
      <c r="AB14" s="258" t="e">
        <f>-#REF!</f>
        <v>#REF!</v>
      </c>
      <c r="AC14" s="258" t="e">
        <f>AC52</f>
        <v>#REF!</v>
      </c>
      <c r="AD14" s="258" t="e">
        <f>AD52</f>
        <v>#REF!</v>
      </c>
      <c r="AE14" s="256"/>
      <c r="AF14" s="259"/>
      <c r="AG14" s="254" t="e">
        <f>AG52</f>
        <v>#REF!</v>
      </c>
      <c r="AH14" s="260" t="e">
        <f>G7-SUM(U14:AG14)</f>
        <v>#REF!</v>
      </c>
    </row>
    <row r="15" spans="2:34" outlineLevel="1">
      <c r="B15" s="286" t="e">
        <f>B14-B52</f>
        <v>#REF!</v>
      </c>
      <c r="C15" s="286" t="e">
        <f>C14-C52</f>
        <v>#REF!</v>
      </c>
      <c r="D15" s="286" t="e">
        <f t="shared" ref="D15:S15" si="0">D14-D52</f>
        <v>#REF!</v>
      </c>
      <c r="E15" s="286">
        <f t="shared" si="0"/>
        <v>0</v>
      </c>
      <c r="F15" s="286">
        <f t="shared" si="0"/>
        <v>0</v>
      </c>
      <c r="G15" s="286">
        <f t="shared" si="0"/>
        <v>0</v>
      </c>
      <c r="H15" s="286">
        <f t="shared" si="0"/>
        <v>0</v>
      </c>
      <c r="I15" s="286">
        <f t="shared" si="0"/>
        <v>0</v>
      </c>
      <c r="J15" s="286">
        <f t="shared" si="0"/>
        <v>0</v>
      </c>
      <c r="K15" s="286">
        <f t="shared" si="0"/>
        <v>0</v>
      </c>
      <c r="L15" s="286">
        <f t="shared" si="0"/>
        <v>0</v>
      </c>
      <c r="M15" s="286" t="e">
        <f>M14-M52</f>
        <v>#REF!</v>
      </c>
      <c r="N15" s="286">
        <f t="shared" si="0"/>
        <v>0</v>
      </c>
      <c r="O15" s="286" t="e">
        <f t="shared" si="0"/>
        <v>#REF!</v>
      </c>
      <c r="P15" s="286">
        <f t="shared" si="0"/>
        <v>0</v>
      </c>
      <c r="Q15" s="286">
        <f t="shared" si="0"/>
        <v>0</v>
      </c>
      <c r="R15" s="286" t="e">
        <f t="shared" si="0"/>
        <v>#REF!</v>
      </c>
      <c r="S15" s="286" t="e">
        <f t="shared" si="0"/>
        <v>#REF!</v>
      </c>
      <c r="T15" s="286"/>
      <c r="U15" s="216"/>
      <c r="V15" s="216"/>
      <c r="W15" s="216"/>
      <c r="X15" s="216"/>
      <c r="Y15" s="216"/>
      <c r="Z15" s="216"/>
      <c r="AA15" s="216">
        <f>'[7]New KPI vs BP'!$CJ$20</f>
        <v>0.46837781569350267</v>
      </c>
      <c r="AB15" s="216"/>
      <c r="AC15" s="216"/>
      <c r="AE15" t="s">
        <v>262</v>
      </c>
      <c r="AF15" s="216"/>
      <c r="AG15" s="216"/>
      <c r="AH15" s="216"/>
    </row>
    <row r="16" spans="2:34" ht="18" outlineLevel="1">
      <c r="B16" s="221"/>
      <c r="C16" s="261"/>
      <c r="D16" s="262"/>
      <c r="E16" s="433" t="s">
        <v>285</v>
      </c>
      <c r="F16" s="434" t="s">
        <v>286</v>
      </c>
      <c r="G16" s="262"/>
      <c r="H16" s="262"/>
      <c r="I16" s="262"/>
      <c r="J16" s="262"/>
      <c r="K16" s="262"/>
      <c r="L16" s="262"/>
      <c r="M16" s="262"/>
      <c r="N16" s="262"/>
      <c r="O16" s="262"/>
      <c r="P16" s="262"/>
      <c r="Q16" s="262"/>
      <c r="R16" s="262"/>
      <c r="S16" s="221"/>
      <c r="T16" s="221"/>
      <c r="U16" s="221"/>
      <c r="V16" s="221"/>
      <c r="W16" s="221"/>
    </row>
    <row r="17" spans="2:34" ht="18" outlineLevel="1">
      <c r="B17" s="216"/>
      <c r="C17" s="266"/>
      <c r="D17" s="267"/>
      <c r="E17" s="267"/>
      <c r="F17" s="267"/>
      <c r="G17" s="267"/>
      <c r="H17" s="267"/>
      <c r="I17" s="267"/>
      <c r="J17" s="267"/>
      <c r="K17" s="267"/>
      <c r="L17" s="267"/>
      <c r="M17" s="267"/>
      <c r="N17" s="267"/>
      <c r="O17" s="267"/>
      <c r="P17" s="267"/>
      <c r="Q17" s="267"/>
      <c r="R17" s="267"/>
      <c r="S17" s="216"/>
      <c r="T17" s="216"/>
      <c r="U17" s="431" t="e">
        <f>-S58+S25</f>
        <v>#REF!</v>
      </c>
      <c r="V17" s="216"/>
      <c r="W17" s="216"/>
    </row>
    <row r="18" spans="2:34" ht="20.25" outlineLevel="1">
      <c r="B18" s="221" t="s">
        <v>277</v>
      </c>
      <c r="C18" s="426">
        <f>C52</f>
        <v>-36.640357668551331</v>
      </c>
      <c r="D18" s="216"/>
      <c r="E18" s="216" t="s">
        <v>281</v>
      </c>
      <c r="F18" s="216" t="s">
        <v>274</v>
      </c>
      <c r="G18" s="216"/>
      <c r="H18" s="216"/>
      <c r="I18" s="273" t="s">
        <v>188</v>
      </c>
      <c r="J18" s="274"/>
      <c r="K18" s="274"/>
      <c r="L18" s="274"/>
      <c r="M18" s="275" t="e">
        <f>M14</f>
        <v>#REF!</v>
      </c>
      <c r="N18" s="216"/>
      <c r="P18" s="273" t="s">
        <v>191</v>
      </c>
      <c r="Q18" s="274"/>
      <c r="R18" s="274"/>
      <c r="S18" s="294" t="e">
        <f>S14</f>
        <v>#REF!</v>
      </c>
      <c r="T18" s="601"/>
      <c r="U18" s="216"/>
      <c r="V18" s="216"/>
      <c r="W18" s="216"/>
      <c r="X18" s="263" t="s">
        <v>185</v>
      </c>
      <c r="Y18" s="264"/>
      <c r="Z18" s="264"/>
      <c r="AA18" s="265" t="e">
        <f>AD14</f>
        <v>#REF!</v>
      </c>
      <c r="AC18" s="263" t="s">
        <v>186</v>
      </c>
      <c r="AD18" s="264"/>
      <c r="AE18" s="264"/>
      <c r="AF18" s="264"/>
      <c r="AG18" s="264"/>
      <c r="AH18" s="265" t="e">
        <f>AH14</f>
        <v>#REF!</v>
      </c>
    </row>
    <row r="19" spans="2:34" ht="18" outlineLevel="1">
      <c r="B19" s="216" t="s">
        <v>278</v>
      </c>
      <c r="C19" s="426" t="e">
        <f>-#REF!</f>
        <v>#REF!</v>
      </c>
      <c r="D19" s="216"/>
      <c r="E19" s="649" t="e">
        <f>C19-F19</f>
        <v>#REF!</v>
      </c>
      <c r="F19" s="650">
        <v>-35.842118678953597</v>
      </c>
      <c r="G19" s="216"/>
      <c r="H19" s="216"/>
      <c r="I19" s="279">
        <v>1</v>
      </c>
      <c r="J19" s="269" t="str">
        <f t="shared" ref="J19:J25" si="1">J57</f>
        <v>ILN business</v>
      </c>
      <c r="K19" s="270"/>
      <c r="L19" s="270"/>
      <c r="M19" s="280">
        <f t="shared" ref="M19:M25" si="2">M57</f>
        <v>5</v>
      </c>
      <c r="N19" s="216"/>
      <c r="P19" s="279">
        <v>1</v>
      </c>
      <c r="Q19" s="269" t="s">
        <v>193</v>
      </c>
      <c r="R19" s="270"/>
      <c r="S19" s="280">
        <f>S57</f>
        <v>-3.1810295829631539</v>
      </c>
      <c r="T19" s="550"/>
      <c r="U19" s="216"/>
      <c r="V19" s="216"/>
      <c r="W19" s="216"/>
      <c r="X19" s="268">
        <v>1</v>
      </c>
      <c r="Y19" s="269" t="str">
        <f>Y57</f>
        <v>Compact EV</v>
      </c>
      <c r="Z19" s="270"/>
      <c r="AA19" s="271">
        <f>AA57</f>
        <v>-17.899999999999999</v>
      </c>
      <c r="AC19" s="268">
        <v>1</v>
      </c>
      <c r="AD19" s="269" t="s">
        <v>187</v>
      </c>
      <c r="AE19" s="270"/>
      <c r="AF19" s="270"/>
      <c r="AG19" s="270"/>
      <c r="AH19" s="271" t="e">
        <f>AH57</f>
        <v>#REF!</v>
      </c>
    </row>
    <row r="20" spans="2:34" ht="18" outlineLevel="1">
      <c r="B20" s="216" t="s">
        <v>279</v>
      </c>
      <c r="C20" s="653" t="e">
        <f>-#REF!</f>
        <v>#REF!</v>
      </c>
      <c r="D20" s="216"/>
      <c r="E20" s="216"/>
      <c r="F20" s="216"/>
      <c r="G20" s="216"/>
      <c r="H20" s="216"/>
      <c r="I20" s="279">
        <v>2</v>
      </c>
      <c r="J20" s="276" t="str">
        <f t="shared" si="1"/>
        <v>NCIC ITPs (timing)</v>
      </c>
      <c r="K20" s="277"/>
      <c r="L20" s="277"/>
      <c r="M20" s="281">
        <f t="shared" si="2"/>
        <v>-14</v>
      </c>
      <c r="P20" s="279">
        <v>2</v>
      </c>
      <c r="Q20" s="276" t="str">
        <f>Q59</f>
        <v>NRV</v>
      </c>
      <c r="R20" s="277"/>
      <c r="S20" s="281">
        <f>S59</f>
        <v>13.076067269098926</v>
      </c>
      <c r="T20" s="550"/>
      <c r="U20" s="216"/>
      <c r="V20" s="216"/>
      <c r="W20" s="216"/>
      <c r="X20" s="268">
        <v>2</v>
      </c>
      <c r="Y20" s="276">
        <f>Y58</f>
        <v>0</v>
      </c>
      <c r="Z20" s="277"/>
      <c r="AA20" s="278">
        <f>AA58</f>
        <v>0</v>
      </c>
      <c r="AC20" s="268">
        <v>2</v>
      </c>
      <c r="AD20" s="276"/>
      <c r="AE20" s="277"/>
      <c r="AF20" s="277"/>
      <c r="AG20" s="277"/>
      <c r="AH20" s="278"/>
    </row>
    <row r="21" spans="2:34" ht="18" outlineLevel="1">
      <c r="B21" s="216" t="s">
        <v>280</v>
      </c>
      <c r="C21" s="652" t="e">
        <f>(M43-N4)</f>
        <v>#REF!</v>
      </c>
      <c r="D21" s="216"/>
      <c r="E21" s="216"/>
      <c r="F21" s="216"/>
      <c r="G21" s="216"/>
      <c r="H21" s="216"/>
      <c r="I21" s="279">
        <v>3</v>
      </c>
      <c r="J21" s="276" t="str">
        <f t="shared" si="1"/>
        <v xml:space="preserve">Inv movement </v>
      </c>
      <c r="K21" s="277"/>
      <c r="L21" s="277"/>
      <c r="M21" s="281">
        <f t="shared" si="2"/>
        <v>-2</v>
      </c>
      <c r="N21" s="216"/>
      <c r="P21" s="279">
        <v>3</v>
      </c>
      <c r="Q21" s="276" t="str">
        <f>Q60</f>
        <v>CAFÉ penalty</v>
      </c>
      <c r="R21" s="277"/>
      <c r="S21" s="281">
        <f>S60</f>
        <v>-38.658104739000002</v>
      </c>
      <c r="T21" s="550"/>
      <c r="U21" s="216"/>
      <c r="V21" s="216"/>
      <c r="W21" s="216"/>
      <c r="X21" s="268">
        <v>3</v>
      </c>
      <c r="Y21" s="276"/>
      <c r="Z21" s="277"/>
      <c r="AA21" s="278"/>
      <c r="AC21" s="268">
        <v>3</v>
      </c>
      <c r="AD21" s="276"/>
      <c r="AE21" s="277"/>
      <c r="AF21" s="277"/>
      <c r="AG21" s="277"/>
      <c r="AH21" s="278"/>
    </row>
    <row r="22" spans="2:34" ht="18" outlineLevel="1">
      <c r="B22" s="216"/>
      <c r="C22" s="216"/>
      <c r="D22" s="272"/>
      <c r="E22" s="329"/>
      <c r="F22" s="272"/>
      <c r="G22" s="272"/>
      <c r="H22" s="272"/>
      <c r="I22" s="279">
        <v>4</v>
      </c>
      <c r="J22" s="276" t="str">
        <f t="shared" si="1"/>
        <v>MZ Others</v>
      </c>
      <c r="K22" s="277"/>
      <c r="L22" s="277"/>
      <c r="M22" s="281">
        <f t="shared" si="2"/>
        <v>-0.74750656870582688</v>
      </c>
      <c r="N22" s="216"/>
      <c r="P22" s="279">
        <v>4</v>
      </c>
      <c r="Q22" s="276" t="str">
        <f>Q61</f>
        <v>OCS no TdC</v>
      </c>
      <c r="R22" s="277"/>
      <c r="S22" s="281">
        <f>S61</f>
        <v>-14.693548563486429</v>
      </c>
      <c r="T22" s="550"/>
      <c r="U22" s="216"/>
      <c r="V22" s="216"/>
      <c r="W22" s="216"/>
      <c r="X22" s="268">
        <v>4</v>
      </c>
      <c r="Y22" s="276"/>
      <c r="Z22" s="277"/>
      <c r="AA22" s="278"/>
      <c r="AC22" s="268">
        <v>4</v>
      </c>
      <c r="AD22" s="276"/>
      <c r="AE22" s="277"/>
      <c r="AF22" s="277"/>
      <c r="AG22" s="277"/>
      <c r="AH22" s="278"/>
    </row>
    <row r="23" spans="2:34" ht="18" outlineLevel="1">
      <c r="B23" s="216" t="s">
        <v>329</v>
      </c>
      <c r="C23" s="651">
        <f>S60</f>
        <v>-38.658104739000002</v>
      </c>
      <c r="D23" s="334"/>
      <c r="E23" s="216"/>
      <c r="F23" s="334"/>
      <c r="G23" s="216"/>
      <c r="H23" s="216"/>
      <c r="I23" s="279">
        <v>5</v>
      </c>
      <c r="J23" s="276" t="str">
        <f t="shared" si="1"/>
        <v>X-badges TP</v>
      </c>
      <c r="K23" s="277"/>
      <c r="L23" s="277"/>
      <c r="M23" s="281">
        <f t="shared" si="2"/>
        <v>-1.8708119844982001</v>
      </c>
      <c r="N23" s="216"/>
      <c r="P23" s="279">
        <v>5</v>
      </c>
      <c r="Q23" s="276" t="str">
        <f>Q62</f>
        <v>Energy Business</v>
      </c>
      <c r="R23" s="277"/>
      <c r="S23" s="281">
        <f>S62</f>
        <v>0.8</v>
      </c>
      <c r="T23" s="550"/>
      <c r="U23" s="216"/>
      <c r="V23" s="216"/>
      <c r="W23" s="216"/>
      <c r="X23" s="282">
        <v>5</v>
      </c>
      <c r="Y23" s="283" t="s">
        <v>182</v>
      </c>
      <c r="Z23" s="284"/>
      <c r="AA23" s="285" t="e">
        <f>AA18-SUM(AA19:AA22)</f>
        <v>#REF!</v>
      </c>
      <c r="AC23" s="282">
        <v>5</v>
      </c>
      <c r="AD23" s="283" t="s">
        <v>182</v>
      </c>
      <c r="AE23" s="284"/>
      <c r="AF23" s="284"/>
      <c r="AG23" s="284"/>
      <c r="AH23" s="285" t="e">
        <f>AH18-SUM(AH19:AH22)</f>
        <v>#REF!</v>
      </c>
    </row>
    <row r="24" spans="2:34" ht="18" outlineLevel="1">
      <c r="B24" s="216"/>
      <c r="C24" s="272"/>
      <c r="D24" s="216"/>
      <c r="E24" s="216"/>
      <c r="F24" s="216"/>
      <c r="G24" s="216"/>
      <c r="H24" s="216"/>
      <c r="I24" s="279">
        <v>6</v>
      </c>
      <c r="J24" s="276" t="str">
        <f t="shared" si="1"/>
        <v>Duties for CBUs</v>
      </c>
      <c r="K24" s="277"/>
      <c r="L24" s="277"/>
      <c r="M24" s="281">
        <f t="shared" si="2"/>
        <v>3.3573768711967258</v>
      </c>
      <c r="N24" s="216"/>
      <c r="P24" s="279">
        <v>6</v>
      </c>
      <c r="Q24" s="276" t="str">
        <f>Q63</f>
        <v>SCOS update</v>
      </c>
      <c r="R24" s="277"/>
      <c r="S24" s="281">
        <f>S63</f>
        <v>-1.5689161541838244</v>
      </c>
      <c r="T24" s="550"/>
      <c r="U24" s="216"/>
      <c r="V24" s="216"/>
      <c r="W24" s="216"/>
      <c r="X24" s="216"/>
      <c r="Y24" s="216"/>
      <c r="Z24" s="216"/>
      <c r="AA24" s="286" t="e">
        <f>AA23-AA61</f>
        <v>#REF!</v>
      </c>
      <c r="AC24" s="216"/>
      <c r="AD24" s="216"/>
      <c r="AE24" s="216"/>
      <c r="AF24" s="216"/>
      <c r="AG24" s="287"/>
      <c r="AH24" s="286" t="e">
        <f>AH23-AH61</f>
        <v>#REF!</v>
      </c>
    </row>
    <row r="25" spans="2:34" ht="18" outlineLevel="1">
      <c r="B25" s="216"/>
      <c r="C25" s="272"/>
      <c r="D25" s="272"/>
      <c r="E25" s="216"/>
      <c r="F25" s="216"/>
      <c r="G25" s="216"/>
      <c r="H25" s="216"/>
      <c r="I25" s="279">
        <v>7</v>
      </c>
      <c r="J25" s="276" t="str">
        <f t="shared" si="1"/>
        <v>Outbound logistics</v>
      </c>
      <c r="K25" s="277"/>
      <c r="L25" s="277"/>
      <c r="M25" s="281">
        <f t="shared" si="2"/>
        <v>10.591064110626101</v>
      </c>
      <c r="N25" s="216"/>
      <c r="P25" s="279">
        <v>7</v>
      </c>
      <c r="Q25" s="276" t="s">
        <v>58</v>
      </c>
      <c r="R25" s="277"/>
      <c r="S25" s="281" t="e">
        <f>-#REF!</f>
        <v>#REF!</v>
      </c>
      <c r="T25" s="550"/>
      <c r="U25" s="216"/>
      <c r="V25" s="216"/>
      <c r="W25" s="216"/>
      <c r="X25" s="216"/>
      <c r="Y25" s="216"/>
      <c r="Z25" s="216"/>
      <c r="AA25" s="216"/>
      <c r="AB25" s="216"/>
      <c r="AC25" s="216"/>
      <c r="AD25" s="216"/>
      <c r="AE25" s="216"/>
      <c r="AF25" s="216"/>
      <c r="AG25" s="216"/>
      <c r="AH25" s="216"/>
    </row>
    <row r="26" spans="2:34" ht="18" outlineLevel="1">
      <c r="B26" s="216"/>
      <c r="G26" s="216"/>
      <c r="H26" s="216"/>
      <c r="I26" s="279">
        <v>8</v>
      </c>
      <c r="J26" s="276" t="s">
        <v>425</v>
      </c>
      <c r="K26" s="277"/>
      <c r="L26" s="277"/>
      <c r="M26" s="281">
        <v>51.8</v>
      </c>
      <c r="N26" s="216"/>
      <c r="P26" s="279">
        <v>8</v>
      </c>
      <c r="Q26" s="276"/>
      <c r="R26" s="277"/>
      <c r="S26" s="278"/>
      <c r="T26" s="602"/>
      <c r="U26" s="216"/>
      <c r="V26" s="216"/>
      <c r="W26" s="216"/>
      <c r="X26" s="216"/>
      <c r="Y26" s="216"/>
      <c r="Z26" s="216"/>
      <c r="AA26" s="216"/>
      <c r="AB26" s="216"/>
      <c r="AC26" s="216"/>
      <c r="AD26" s="216"/>
      <c r="AE26" s="216"/>
      <c r="AF26" s="216"/>
      <c r="AG26" s="216"/>
      <c r="AH26" s="216"/>
    </row>
    <row r="27" spans="2:34" ht="18" outlineLevel="1">
      <c r="B27" s="216"/>
      <c r="G27" s="216"/>
      <c r="H27" s="216"/>
      <c r="I27" s="279">
        <v>9</v>
      </c>
      <c r="J27" s="276"/>
      <c r="K27" s="277"/>
      <c r="L27" s="277"/>
      <c r="M27" s="281"/>
      <c r="N27" s="216"/>
      <c r="P27" s="279">
        <v>9</v>
      </c>
      <c r="Q27" s="276"/>
      <c r="R27" s="277"/>
      <c r="S27" s="278"/>
      <c r="T27" s="602"/>
      <c r="U27" s="272"/>
      <c r="V27" s="272"/>
      <c r="W27" s="272"/>
      <c r="X27" s="216"/>
      <c r="Y27" s="216"/>
      <c r="Z27" s="216"/>
      <c r="AA27" s="216"/>
      <c r="AB27" s="216"/>
      <c r="AC27" s="216"/>
      <c r="AD27" s="216"/>
      <c r="AE27" s="216"/>
      <c r="AF27" s="216"/>
      <c r="AG27" s="216"/>
      <c r="AH27" s="216"/>
    </row>
    <row r="28" spans="2:34" ht="18" outlineLevel="1">
      <c r="B28" s="216"/>
      <c r="G28" s="216"/>
      <c r="H28" s="216"/>
      <c r="I28" s="279">
        <v>10</v>
      </c>
      <c r="J28" s="276"/>
      <c r="K28" s="277"/>
      <c r="L28" s="277"/>
      <c r="M28" s="281"/>
      <c r="N28" s="216"/>
      <c r="P28" s="288">
        <v>10</v>
      </c>
      <c r="Q28" s="283" t="s">
        <v>182</v>
      </c>
      <c r="R28" s="284"/>
      <c r="S28" s="285" t="e">
        <f>S18-SUM(S19:S27)</f>
        <v>#REF!</v>
      </c>
      <c r="T28" s="602"/>
      <c r="U28" s="216"/>
      <c r="V28" s="216"/>
      <c r="W28" s="216"/>
      <c r="X28" s="297"/>
      <c r="Y28" s="216"/>
      <c r="Z28" s="216"/>
      <c r="AA28" s="216"/>
      <c r="AB28" s="216"/>
      <c r="AC28" s="216"/>
      <c r="AD28" s="216"/>
      <c r="AE28" s="216"/>
      <c r="AF28" s="216"/>
      <c r="AG28" s="216"/>
      <c r="AH28" s="216"/>
    </row>
    <row r="29" spans="2:34" ht="18" outlineLevel="1">
      <c r="B29" s="216"/>
      <c r="G29" s="216"/>
      <c r="H29" s="216"/>
      <c r="I29" s="279">
        <v>11</v>
      </c>
      <c r="J29" s="276"/>
      <c r="K29" s="277"/>
      <c r="L29" s="277"/>
      <c r="M29" s="281"/>
      <c r="N29" s="216"/>
      <c r="O29" s="216"/>
      <c r="P29" s="216"/>
      <c r="Q29" s="216"/>
      <c r="R29" s="216"/>
      <c r="S29" s="286" t="e">
        <f>S28-S67</f>
        <v>#REF!</v>
      </c>
      <c r="T29" s="286"/>
      <c r="U29" s="216"/>
      <c r="V29" s="216"/>
      <c r="W29" s="216"/>
      <c r="X29" s="216"/>
      <c r="Y29" s="216"/>
      <c r="Z29" s="216"/>
      <c r="AA29" s="216"/>
      <c r="AB29" s="216"/>
      <c r="AC29" s="216"/>
      <c r="AD29" s="216"/>
      <c r="AE29" s="216"/>
      <c r="AF29" s="216"/>
      <c r="AG29" s="216"/>
      <c r="AH29" s="216"/>
    </row>
    <row r="30" spans="2:34" ht="18" outlineLevel="1">
      <c r="B30" s="216"/>
      <c r="G30" s="216"/>
      <c r="H30" s="216"/>
      <c r="I30" s="288">
        <v>12</v>
      </c>
      <c r="J30" s="289" t="s">
        <v>182</v>
      </c>
      <c r="K30" s="284"/>
      <c r="L30" s="284"/>
      <c r="M30" s="290" t="e">
        <f>M18-SUM(M19:M29)</f>
        <v>#REF!</v>
      </c>
      <c r="N30" s="216"/>
      <c r="U30" s="216"/>
      <c r="V30" s="216"/>
      <c r="W30" s="216"/>
      <c r="X30" s="216"/>
      <c r="Y30" s="216"/>
      <c r="Z30" s="216"/>
      <c r="AA30" s="216"/>
      <c r="AB30" s="216"/>
      <c r="AC30" s="216"/>
      <c r="AD30" s="216"/>
      <c r="AE30" s="216"/>
      <c r="AF30" s="216"/>
      <c r="AG30" s="216"/>
      <c r="AH30" s="216"/>
    </row>
    <row r="31" spans="2:34" outlineLevel="1">
      <c r="B31" s="216"/>
      <c r="G31" s="216"/>
      <c r="H31" s="216"/>
      <c r="I31" s="216"/>
      <c r="J31" s="216"/>
      <c r="K31" s="216"/>
      <c r="L31" s="216"/>
      <c r="M31" s="367" t="e">
        <f>M30-M68</f>
        <v>#REF!</v>
      </c>
      <c r="N31" s="216"/>
      <c r="U31" s="216"/>
      <c r="V31" s="216"/>
      <c r="W31" s="216"/>
      <c r="X31" s="216"/>
      <c r="Y31" s="216"/>
      <c r="Z31" s="216"/>
      <c r="AA31" s="216"/>
      <c r="AB31" s="216"/>
      <c r="AC31" s="216"/>
      <c r="AD31" s="216"/>
      <c r="AE31" s="216"/>
      <c r="AF31" s="216"/>
      <c r="AG31" s="216"/>
      <c r="AH31" s="216"/>
    </row>
    <row r="32" spans="2:34" ht="16.5">
      <c r="B32" s="216"/>
      <c r="C32" s="291"/>
      <c r="D32" s="216"/>
      <c r="E32" s="216"/>
      <c r="F32" s="292" t="s">
        <v>189</v>
      </c>
      <c r="G32" s="216"/>
      <c r="H32" s="216"/>
      <c r="I32" s="216"/>
      <c r="J32" s="216"/>
      <c r="K32" s="216"/>
      <c r="L32" s="216"/>
      <c r="M32" s="216"/>
      <c r="N32" s="216"/>
      <c r="U32" s="216"/>
      <c r="V32" s="216"/>
      <c r="W32" s="216"/>
      <c r="X32" s="216"/>
      <c r="Y32" s="216"/>
      <c r="Z32" s="216"/>
      <c r="AA32" s="216"/>
      <c r="AB32" s="216"/>
      <c r="AC32" s="216"/>
      <c r="AD32" s="216"/>
      <c r="AE32" s="216"/>
      <c r="AF32" s="216"/>
      <c r="AG32" s="216"/>
      <c r="AH32" s="216"/>
    </row>
    <row r="33" spans="2:34" ht="18">
      <c r="B33" s="216"/>
      <c r="C33" s="216"/>
      <c r="D33" s="293" t="s">
        <v>218</v>
      </c>
      <c r="E33" s="293" t="s">
        <v>287</v>
      </c>
      <c r="F33" s="293" t="s">
        <v>190</v>
      </c>
      <c r="G33" s="216"/>
      <c r="H33" s="216"/>
      <c r="I33" s="216"/>
      <c r="J33" s="216"/>
      <c r="K33" s="216"/>
      <c r="L33" s="216"/>
      <c r="M33" s="216"/>
      <c r="N33" s="216"/>
      <c r="U33" s="216"/>
      <c r="V33" s="216"/>
      <c r="W33" s="216"/>
      <c r="X33" s="216"/>
      <c r="Y33" s="216"/>
      <c r="Z33" s="216"/>
      <c r="AA33" s="216"/>
      <c r="AB33" s="216"/>
      <c r="AC33" s="216"/>
      <c r="AD33" s="216"/>
      <c r="AE33" s="216"/>
      <c r="AF33" s="216"/>
      <c r="AG33" s="216"/>
      <c r="AH33" s="216"/>
    </row>
    <row r="34" spans="2:34" ht="20.25">
      <c r="B34" s="216"/>
      <c r="C34" s="295" t="s">
        <v>192</v>
      </c>
      <c r="D34" s="296" t="e">
        <f>#REF!</f>
        <v>#REF!</v>
      </c>
      <c r="E34" s="296" t="e">
        <f>#REF!</f>
        <v>#REF!</v>
      </c>
      <c r="F34" s="296" t="e">
        <f>E34-D34</f>
        <v>#REF!</v>
      </c>
      <c r="G34" s="216"/>
      <c r="H34" s="216"/>
      <c r="I34" s="216"/>
      <c r="J34" s="216"/>
      <c r="K34" s="216"/>
      <c r="L34" s="216"/>
      <c r="M34" s="216"/>
      <c r="N34" s="216"/>
      <c r="U34" s="216"/>
      <c r="V34" s="216"/>
      <c r="W34" s="216"/>
      <c r="X34" s="216"/>
      <c r="Y34" s="216"/>
      <c r="Z34" s="216"/>
      <c r="AA34" s="216"/>
      <c r="AB34" s="216"/>
      <c r="AC34" s="216"/>
      <c r="AD34" s="216"/>
      <c r="AE34" s="216"/>
      <c r="AF34" s="216"/>
      <c r="AG34" s="216"/>
      <c r="AH34" s="216"/>
    </row>
    <row r="35" spans="2:34" ht="20.25">
      <c r="B35" s="216"/>
      <c r="C35" s="295" t="s">
        <v>194</v>
      </c>
      <c r="D35" s="296" t="e">
        <f>#REF!</f>
        <v>#REF!</v>
      </c>
      <c r="E35" s="296" t="e">
        <f>#REF!</f>
        <v>#REF!</v>
      </c>
      <c r="F35" s="296" t="e">
        <f>E35-D35</f>
        <v>#REF!</v>
      </c>
      <c r="G35" s="216"/>
      <c r="H35" s="216"/>
      <c r="I35" s="216"/>
      <c r="J35" s="216"/>
      <c r="K35" s="216"/>
      <c r="L35" s="216"/>
      <c r="M35" s="216"/>
      <c r="N35" s="216"/>
      <c r="U35" s="216"/>
      <c r="V35" s="216"/>
      <c r="W35" s="216"/>
      <c r="X35" s="216"/>
      <c r="Y35" s="216"/>
      <c r="Z35" s="216"/>
      <c r="AA35" s="216"/>
      <c r="AB35" s="216"/>
      <c r="AC35" s="216"/>
      <c r="AD35" s="216"/>
      <c r="AE35" s="216"/>
      <c r="AF35" s="216"/>
      <c r="AG35" s="216"/>
      <c r="AH35" s="216"/>
    </row>
    <row r="36" spans="2:34">
      <c r="B36" s="216"/>
      <c r="C36" s="216"/>
      <c r="D36" s="298"/>
      <c r="E36" s="298"/>
      <c r="F36" s="298"/>
      <c r="G36" s="216"/>
      <c r="H36" s="216"/>
      <c r="I36" s="216"/>
      <c r="J36" s="216"/>
      <c r="K36" s="216"/>
      <c r="L36" s="216"/>
      <c r="M36" s="216"/>
      <c r="N36" s="216"/>
      <c r="U36" s="216"/>
      <c r="V36" s="216"/>
      <c r="W36" s="216"/>
      <c r="X36" s="216"/>
      <c r="Y36" s="216"/>
      <c r="Z36" s="216"/>
      <c r="AA36" s="216"/>
      <c r="AB36" s="216"/>
      <c r="AC36" s="216"/>
      <c r="AD36" s="216"/>
      <c r="AE36" s="216"/>
      <c r="AF36" s="216"/>
      <c r="AG36" s="216"/>
      <c r="AH36" s="216"/>
    </row>
    <row r="37" spans="2:34" ht="20.25">
      <c r="B37" s="216"/>
      <c r="C37" s="295" t="s">
        <v>196</v>
      </c>
      <c r="D37" s="296" t="e">
        <f>#REF!</f>
        <v>#REF!</v>
      </c>
      <c r="E37" s="296" t="e">
        <f>#REF!</f>
        <v>#REF!</v>
      </c>
      <c r="F37" s="296" t="e">
        <f>E37-D37</f>
        <v>#REF!</v>
      </c>
      <c r="G37" s="216"/>
      <c r="H37" s="216"/>
      <c r="I37" s="216"/>
      <c r="J37" s="216"/>
      <c r="K37" s="216"/>
      <c r="L37" s="216"/>
      <c r="M37" s="216"/>
      <c r="N37" s="216"/>
      <c r="U37" s="216"/>
      <c r="V37" s="216"/>
      <c r="W37" s="216"/>
      <c r="X37" s="216"/>
      <c r="Y37" s="216"/>
      <c r="Z37" s="216"/>
      <c r="AA37" s="216"/>
      <c r="AB37" s="216"/>
      <c r="AC37" s="216"/>
      <c r="AD37" s="216"/>
      <c r="AE37" s="216"/>
      <c r="AF37" s="216"/>
      <c r="AG37" s="216"/>
      <c r="AH37" s="216"/>
    </row>
    <row r="38" spans="2:34">
      <c r="B38" s="216"/>
      <c r="C38" s="216"/>
      <c r="D38" s="216"/>
      <c r="E38" s="216"/>
      <c r="F38" s="216"/>
      <c r="G38" s="216"/>
      <c r="H38" s="216"/>
      <c r="I38" s="216"/>
      <c r="J38" s="216"/>
      <c r="K38" s="216"/>
      <c r="L38" s="216"/>
      <c r="M38" s="216"/>
      <c r="N38" s="216"/>
      <c r="U38" s="216"/>
      <c r="V38" s="216"/>
      <c r="W38" s="216"/>
      <c r="X38" s="216"/>
      <c r="Y38" s="216"/>
      <c r="Z38" s="216"/>
      <c r="AA38" s="216"/>
      <c r="AB38" s="216"/>
      <c r="AC38" s="216"/>
      <c r="AD38" s="216"/>
      <c r="AE38" s="216"/>
      <c r="AF38" s="216"/>
      <c r="AG38" s="216"/>
      <c r="AH38" s="216"/>
    </row>
    <row r="39" spans="2:34" ht="28.5">
      <c r="B39" s="299" t="s">
        <v>197</v>
      </c>
      <c r="C39" s="216"/>
      <c r="D39" s="216"/>
      <c r="E39" s="216"/>
      <c r="F39" s="216"/>
      <c r="G39" s="216"/>
      <c r="H39" s="216"/>
      <c r="I39" s="216"/>
      <c r="J39" s="216"/>
      <c r="K39" s="216"/>
      <c r="L39" s="216"/>
      <c r="M39" s="216"/>
      <c r="N39" s="216"/>
      <c r="O39" s="216"/>
      <c r="P39" s="216"/>
      <c r="Q39" s="216"/>
      <c r="R39" s="216"/>
      <c r="S39" s="216"/>
      <c r="T39" s="216"/>
      <c r="U39" s="216"/>
      <c r="V39" s="216"/>
      <c r="W39" s="216"/>
      <c r="X39" s="216"/>
      <c r="Y39" s="216"/>
      <c r="Z39" s="216"/>
      <c r="AA39" s="216"/>
      <c r="AB39" s="216"/>
      <c r="AC39" s="216"/>
      <c r="AD39" s="216"/>
      <c r="AE39" s="216"/>
      <c r="AF39" s="216"/>
      <c r="AG39" s="216"/>
      <c r="AH39" s="216"/>
    </row>
    <row r="40" spans="2:34">
      <c r="B40" s="216"/>
      <c r="C40" s="216"/>
      <c r="D40" s="216"/>
      <c r="E40" s="216"/>
      <c r="F40" s="216"/>
      <c r="G40" s="216"/>
      <c r="H40" s="216"/>
      <c r="I40" s="216"/>
      <c r="J40" s="216"/>
      <c r="K40" s="216"/>
      <c r="L40" s="216"/>
      <c r="M40" s="216"/>
      <c r="N40" s="216"/>
      <c r="O40" s="216"/>
      <c r="P40" s="216"/>
      <c r="Q40" s="216"/>
      <c r="R40" s="216"/>
      <c r="S40" s="216"/>
      <c r="T40" s="216"/>
      <c r="U40" s="216"/>
      <c r="V40" s="216"/>
      <c r="W40" s="216"/>
      <c r="X40" s="216"/>
      <c r="Y40" s="216"/>
      <c r="Z40" s="216"/>
      <c r="AA40" s="216"/>
      <c r="AB40" s="216"/>
      <c r="AC40" s="216"/>
      <c r="AD40" s="216"/>
      <c r="AE40" s="216"/>
      <c r="AF40" s="216"/>
      <c r="AG40" s="216"/>
      <c r="AH40" s="216"/>
    </row>
    <row r="41" spans="2:34">
      <c r="B41" s="216"/>
      <c r="C41" s="216"/>
      <c r="D41" s="216"/>
      <c r="E41" s="216"/>
      <c r="F41" s="216"/>
      <c r="G41" s="216"/>
      <c r="H41" s="216"/>
      <c r="I41" s="216"/>
      <c r="J41" s="216"/>
      <c r="K41" s="216"/>
      <c r="L41" s="216"/>
      <c r="M41" s="216"/>
      <c r="N41" s="216"/>
      <c r="O41" s="216"/>
      <c r="P41" s="216"/>
      <c r="Q41" s="216"/>
      <c r="R41" s="216"/>
      <c r="S41" s="216"/>
      <c r="T41" s="216"/>
      <c r="U41" s="216"/>
      <c r="V41" s="216"/>
      <c r="W41" s="216"/>
      <c r="X41" s="216"/>
      <c r="Y41" s="216"/>
      <c r="Z41" s="216"/>
      <c r="AA41" s="216"/>
      <c r="AB41" s="216"/>
      <c r="AC41" s="216"/>
      <c r="AD41" s="216"/>
      <c r="AE41" s="216"/>
      <c r="AF41" s="216"/>
      <c r="AG41" s="216"/>
      <c r="AH41" s="216"/>
    </row>
    <row r="42" spans="2:34" ht="18">
      <c r="B42" s="215"/>
      <c r="C42" s="216"/>
      <c r="D42" s="215"/>
      <c r="E42" s="216"/>
      <c r="F42" s="215"/>
      <c r="G42" s="217" t="s">
        <v>138</v>
      </c>
      <c r="H42" s="216"/>
      <c r="I42" s="216"/>
      <c r="J42" s="216"/>
      <c r="K42" s="216"/>
      <c r="L42" s="216"/>
      <c r="M42" s="216"/>
      <c r="N42" s="216"/>
      <c r="O42" s="216"/>
      <c r="P42" s="216"/>
      <c r="Q42" s="216"/>
      <c r="R42" s="216"/>
      <c r="S42" s="216"/>
      <c r="T42" s="216"/>
      <c r="U42" s="216"/>
      <c r="V42" s="216"/>
      <c r="W42" s="216"/>
      <c r="X42" s="216"/>
      <c r="Y42" s="216"/>
      <c r="Z42" s="216"/>
      <c r="AA42" s="216"/>
      <c r="AB42" s="216"/>
      <c r="AC42" s="216"/>
      <c r="AD42" s="216"/>
      <c r="AE42" s="216"/>
      <c r="AF42" s="216"/>
      <c r="AG42" s="216"/>
      <c r="AH42" s="216"/>
    </row>
    <row r="43" spans="2:34" ht="20.25">
      <c r="B43" s="1014" t="s">
        <v>219</v>
      </c>
      <c r="C43" s="1014" t="s">
        <v>210</v>
      </c>
      <c r="D43" s="218"/>
      <c r="E43" s="219"/>
      <c r="F43" s="219"/>
      <c r="G43" s="220"/>
      <c r="H43" s="216"/>
      <c r="I43" s="216"/>
      <c r="J43" s="216"/>
      <c r="K43" s="216"/>
      <c r="L43" s="216" t="s">
        <v>301</v>
      </c>
      <c r="M43" s="478">
        <f>SUM(E46:E48,G46)</f>
        <v>-41.13220227191033</v>
      </c>
      <c r="N43" s="216"/>
      <c r="O43" s="221"/>
      <c r="P43" s="406"/>
      <c r="Q43" s="221"/>
      <c r="R43" s="216"/>
      <c r="S43" s="216"/>
      <c r="T43" s="216"/>
      <c r="U43" s="216"/>
      <c r="V43" s="216"/>
      <c r="W43" s="221"/>
      <c r="X43" s="221"/>
      <c r="Y43" s="221"/>
      <c r="Z43" s="221"/>
      <c r="AA43" s="221"/>
      <c r="AB43" s="221"/>
      <c r="AC43" s="221"/>
      <c r="AD43" s="221"/>
      <c r="AE43" s="221"/>
      <c r="AF43" s="221"/>
      <c r="AG43" s="221"/>
      <c r="AH43" s="221"/>
    </row>
    <row r="44" spans="2:34" ht="40.5">
      <c r="B44" s="1015"/>
      <c r="C44" s="1016"/>
      <c r="D44" s="222"/>
      <c r="E44" s="223" t="s">
        <v>154</v>
      </c>
      <c r="F44" s="224" t="s">
        <v>198</v>
      </c>
      <c r="G44" s="225" t="s">
        <v>156</v>
      </c>
      <c r="H44" s="216"/>
      <c r="I44" s="216" t="s">
        <v>208</v>
      </c>
      <c r="J44" s="216"/>
      <c r="K44" s="216"/>
      <c r="L44" s="216" t="s">
        <v>302</v>
      </c>
      <c r="M44" s="334" t="e">
        <f>SUM(U53:AH53,AJ57:AK57)</f>
        <v>#REF!</v>
      </c>
      <c r="N44" s="216"/>
      <c r="O44" s="216"/>
      <c r="P44" s="216"/>
      <c r="Q44" s="216"/>
      <c r="R44" s="216"/>
      <c r="S44" s="216"/>
      <c r="T44" s="216"/>
      <c r="V44" s="216"/>
      <c r="W44" s="216"/>
      <c r="X44" s="216"/>
      <c r="Y44" s="216"/>
      <c r="Z44" s="216">
        <f>[8]CMOR_YTD_vsFC!$X$13</f>
        <v>0</v>
      </c>
      <c r="AA44" s="216"/>
      <c r="AB44" s="216"/>
      <c r="AC44" s="507" t="s">
        <v>266</v>
      </c>
      <c r="AD44" s="405">
        <v>5.2890891999999994</v>
      </c>
      <c r="AE44" s="216"/>
      <c r="AF44" s="216"/>
      <c r="AG44" s="216"/>
      <c r="AH44" s="216"/>
    </row>
    <row r="45" spans="2:34" ht="20.25">
      <c r="B45" s="226" t="e">
        <f>#REF!</f>
        <v>#REF!</v>
      </c>
      <c r="C45" s="226" t="e">
        <f>#REF!</f>
        <v>#REF!</v>
      </c>
      <c r="D45" s="227" t="e">
        <f>C45-B45</f>
        <v>#REF!</v>
      </c>
      <c r="E45" s="228" t="e">
        <f>SUM(M43:M44)</f>
        <v>#REF!</v>
      </c>
      <c r="F45" s="228" t="e">
        <f>#REF!-M43</f>
        <v>#REF!</v>
      </c>
      <c r="G45" s="229" t="e">
        <f>#REF!-M44</f>
        <v>#REF!</v>
      </c>
      <c r="H45" s="216"/>
      <c r="I45" s="286" t="e">
        <f>SUM(E45:G45)-D45</f>
        <v>#REF!</v>
      </c>
      <c r="J45" s="216"/>
      <c r="K45" s="216"/>
      <c r="L45" s="216"/>
      <c r="M45" s="216"/>
      <c r="N45" s="216"/>
      <c r="O45" s="230"/>
      <c r="P45" s="216"/>
      <c r="Q45" s="216"/>
      <c r="R45" s="216"/>
      <c r="S45" s="216"/>
      <c r="T45" s="216"/>
      <c r="U45" s="216"/>
      <c r="V45" s="216"/>
      <c r="W45" s="230"/>
      <c r="X45" s="216"/>
      <c r="Y45" s="230"/>
      <c r="Z45" s="230"/>
      <c r="AA45" s="230"/>
      <c r="AB45" s="230"/>
      <c r="AC45" s="409" t="s">
        <v>269</v>
      </c>
      <c r="AD45" s="489">
        <f>-17396/1000</f>
        <v>-17.396000000000001</v>
      </c>
      <c r="AE45" s="230"/>
      <c r="AF45" s="230"/>
      <c r="AG45" s="230"/>
      <c r="AH45" s="230"/>
    </row>
    <row r="46" spans="2:34">
      <c r="B46" s="216"/>
      <c r="C46" s="216"/>
      <c r="D46" s="216" t="s">
        <v>139</v>
      </c>
      <c r="E46" s="436">
        <v>-36.842838460322412</v>
      </c>
      <c r="F46" s="479" t="s">
        <v>193</v>
      </c>
      <c r="G46" s="484">
        <v>-2.4623629036849115E-2</v>
      </c>
      <c r="H46" s="216"/>
      <c r="I46" s="216"/>
      <c r="J46" s="216"/>
      <c r="K46" s="216"/>
      <c r="L46" s="216"/>
      <c r="M46" s="216"/>
      <c r="N46" s="216"/>
      <c r="O46" s="216"/>
      <c r="P46" s="216"/>
      <c r="Q46" s="216"/>
      <c r="R46" s="216"/>
      <c r="S46" s="216"/>
      <c r="T46" s="216"/>
      <c r="U46" s="216"/>
      <c r="V46" s="216"/>
      <c r="W46" s="216" t="s">
        <v>145</v>
      </c>
      <c r="X46" s="320">
        <v>-6.5635192782011877</v>
      </c>
      <c r="Y46" s="216">
        <v>0.24635461600000003</v>
      </c>
      <c r="Z46" s="216"/>
      <c r="AA46" s="216"/>
      <c r="AB46" s="216"/>
      <c r="AC46" s="407" t="s">
        <v>141</v>
      </c>
      <c r="AD46" s="405">
        <v>-18.887261717000001</v>
      </c>
      <c r="AE46" s="216"/>
      <c r="AF46" s="216"/>
      <c r="AG46" s="216"/>
      <c r="AH46" s="216"/>
    </row>
    <row r="47" spans="2:34">
      <c r="B47" s="216"/>
      <c r="C47" s="216"/>
      <c r="D47" s="216" t="s">
        <v>200</v>
      </c>
      <c r="E47" s="436">
        <v>-0.86808331155106266</v>
      </c>
      <c r="F47" s="479"/>
      <c r="G47" s="479"/>
      <c r="H47" s="216"/>
      <c r="I47" s="216"/>
      <c r="J47" s="216"/>
      <c r="K47" s="216"/>
      <c r="L47" s="216"/>
      <c r="M47" s="330">
        <v>124.47243010478486</v>
      </c>
      <c r="N47" s="216"/>
      <c r="O47" s="216"/>
      <c r="P47" s="216"/>
      <c r="Q47" s="216"/>
      <c r="R47" s="216"/>
      <c r="S47" s="216"/>
      <c r="T47" s="216"/>
      <c r="W47" t="s">
        <v>193</v>
      </c>
      <c r="X47" s="441">
        <v>-1.1156112273073933</v>
      </c>
      <c r="Y47">
        <v>0</v>
      </c>
      <c r="AC47" s="407" t="s">
        <v>144</v>
      </c>
      <c r="AD47" s="490" t="e">
        <f>AD52-SUM(AD44:AD46)</f>
        <v>#REF!</v>
      </c>
      <c r="AH47" s="216"/>
    </row>
    <row r="48" spans="2:34" ht="21" thickBot="1">
      <c r="B48" s="231" t="s">
        <v>157</v>
      </c>
      <c r="C48" s="232"/>
      <c r="D48" s="232" t="s">
        <v>145</v>
      </c>
      <c r="E48" s="483">
        <v>-3.3966568710000136</v>
      </c>
      <c r="F48" s="498"/>
      <c r="G48" s="498"/>
      <c r="H48" s="232"/>
      <c r="I48" s="232"/>
      <c r="J48" s="232"/>
      <c r="K48" s="232"/>
      <c r="L48" s="232"/>
      <c r="M48" s="232"/>
      <c r="N48" s="232"/>
      <c r="O48" s="232"/>
      <c r="P48" s="232"/>
      <c r="Q48" s="232"/>
      <c r="R48" s="232"/>
      <c r="S48" s="232"/>
      <c r="T48" s="232"/>
      <c r="U48" s="232"/>
      <c r="V48" s="232"/>
      <c r="W48" s="232" t="s">
        <v>144</v>
      </c>
      <c r="X48" s="440" t="e">
        <f>X52-SUM(X46:X47)</f>
        <v>#REF!</v>
      </c>
      <c r="Y48" s="232"/>
      <c r="Z48" s="232"/>
      <c r="AA48" s="232"/>
      <c r="AB48" s="232"/>
      <c r="AC48" s="232"/>
      <c r="AD48" s="232"/>
      <c r="AE48" s="232"/>
      <c r="AF48" s="232"/>
      <c r="AG48" s="232"/>
      <c r="AH48" s="217" t="s">
        <v>138</v>
      </c>
    </row>
    <row r="49" spans="2:37" ht="21" thickBot="1">
      <c r="B49" s="1034" t="s">
        <v>158</v>
      </c>
      <c r="C49" s="233" t="s">
        <v>199</v>
      </c>
      <c r="D49" s="234"/>
      <c r="E49" s="234"/>
      <c r="F49" s="234"/>
      <c r="G49" s="234"/>
      <c r="H49" s="234"/>
      <c r="I49" s="234"/>
      <c r="J49" s="234"/>
      <c r="K49" s="234"/>
      <c r="L49" s="234"/>
      <c r="M49" s="234"/>
      <c r="N49" s="234"/>
      <c r="O49" s="234"/>
      <c r="P49" s="234"/>
      <c r="Q49" s="234"/>
      <c r="R49" s="234"/>
      <c r="S49" s="235"/>
      <c r="T49" s="236"/>
      <c r="U49" s="236" t="s">
        <v>160</v>
      </c>
      <c r="V49" s="237"/>
      <c r="W49" s="237"/>
      <c r="X49" s="237"/>
      <c r="Y49" s="237"/>
      <c r="Z49" s="237"/>
      <c r="AA49" s="237"/>
      <c r="AB49" s="237"/>
      <c r="AC49" s="237"/>
      <c r="AD49" s="237"/>
      <c r="AE49" s="237"/>
      <c r="AF49" s="237"/>
      <c r="AG49" s="237"/>
      <c r="AH49" s="238"/>
    </row>
    <row r="50" spans="2:37" ht="20.25">
      <c r="B50" s="1035"/>
      <c r="C50" s="239" t="s">
        <v>161</v>
      </c>
      <c r="D50" s="240"/>
      <c r="E50" s="240"/>
      <c r="F50" s="240"/>
      <c r="G50" s="241"/>
      <c r="H50" s="1017" t="s">
        <v>162</v>
      </c>
      <c r="I50" s="242" t="s">
        <v>163</v>
      </c>
      <c r="J50" s="243"/>
      <c r="K50" s="243"/>
      <c r="L50" s="243"/>
      <c r="M50" s="243"/>
      <c r="N50" s="244"/>
      <c r="O50" s="1029" t="s">
        <v>164</v>
      </c>
      <c r="P50" s="1029" t="s">
        <v>165</v>
      </c>
      <c r="Q50" s="1019" t="s">
        <v>166</v>
      </c>
      <c r="R50" s="1022" t="s">
        <v>167</v>
      </c>
      <c r="S50" s="1023" t="s">
        <v>168</v>
      </c>
      <c r="T50" s="1027" t="s">
        <v>274</v>
      </c>
      <c r="U50" s="245" t="s">
        <v>169</v>
      </c>
      <c r="V50" s="246"/>
      <c r="W50" s="246"/>
      <c r="X50" s="247"/>
      <c r="Y50" s="248" t="s">
        <v>163</v>
      </c>
      <c r="Z50" s="246"/>
      <c r="AA50" s="246"/>
      <c r="AB50" s="246"/>
      <c r="AC50" s="246"/>
      <c r="AD50" s="247"/>
      <c r="AE50" s="1022" t="s">
        <v>166</v>
      </c>
      <c r="AF50" s="1025" t="s">
        <v>167</v>
      </c>
      <c r="AG50" s="311"/>
      <c r="AH50" s="1012" t="s">
        <v>168</v>
      </c>
    </row>
    <row r="51" spans="2:37" ht="57">
      <c r="B51" s="1036"/>
      <c r="C51" s="249" t="s">
        <v>170</v>
      </c>
      <c r="D51" s="300" t="s">
        <v>171</v>
      </c>
      <c r="E51" s="250" t="s">
        <v>172</v>
      </c>
      <c r="F51" s="250" t="s">
        <v>173</v>
      </c>
      <c r="G51" s="251" t="s">
        <v>174</v>
      </c>
      <c r="H51" s="1018"/>
      <c r="I51" s="250" t="s">
        <v>175</v>
      </c>
      <c r="J51" s="250" t="s">
        <v>176</v>
      </c>
      <c r="K51" s="250" t="s">
        <v>201</v>
      </c>
      <c r="L51" s="250" t="s">
        <v>178</v>
      </c>
      <c r="M51" s="250" t="s">
        <v>168</v>
      </c>
      <c r="N51" s="250" t="s">
        <v>179</v>
      </c>
      <c r="O51" s="1030"/>
      <c r="P51" s="1031"/>
      <c r="Q51" s="1021"/>
      <c r="R51" s="1021"/>
      <c r="S51" s="1024"/>
      <c r="T51" s="1028"/>
      <c r="U51" s="307" t="s">
        <v>203</v>
      </c>
      <c r="V51" s="308" t="s">
        <v>180</v>
      </c>
      <c r="W51" s="309" t="s">
        <v>181</v>
      </c>
      <c r="X51" s="310" t="s">
        <v>33</v>
      </c>
      <c r="Y51" s="305" t="s">
        <v>25</v>
      </c>
      <c r="Z51" s="306" t="s">
        <v>183</v>
      </c>
      <c r="AA51" s="306" t="s">
        <v>204</v>
      </c>
      <c r="AB51" s="306" t="s">
        <v>205</v>
      </c>
      <c r="AC51" s="306" t="s">
        <v>184</v>
      </c>
      <c r="AD51" s="306" t="s">
        <v>30</v>
      </c>
      <c r="AE51" s="1021"/>
      <c r="AF51" s="1026"/>
      <c r="AG51" s="312" t="s">
        <v>37</v>
      </c>
      <c r="AH51" s="1013"/>
    </row>
    <row r="52" spans="2:37" ht="21" thickBot="1">
      <c r="B52" s="252">
        <f>M43</f>
        <v>-41.13220227191033</v>
      </c>
      <c r="C52" s="253">
        <v>-36.640357668551331</v>
      </c>
      <c r="D52" s="302"/>
      <c r="E52" s="254">
        <v>-66.717972867013913</v>
      </c>
      <c r="F52" s="254">
        <v>42.866173931851201</v>
      </c>
      <c r="G52" s="254"/>
      <c r="H52" s="254"/>
      <c r="I52" s="254">
        <v>0.81794842928612321</v>
      </c>
      <c r="J52" s="254">
        <v>2.9690387300799497</v>
      </c>
      <c r="K52" s="254">
        <v>-14.516471144917144</v>
      </c>
      <c r="L52" s="254">
        <v>-0.1</v>
      </c>
      <c r="M52" s="254">
        <f>-11.7475065687058+SUM(M61:M64)</f>
        <v>0.3301224286188269</v>
      </c>
      <c r="N52" s="303"/>
      <c r="O52" s="302"/>
      <c r="P52" s="302"/>
      <c r="Q52" s="256"/>
      <c r="R52" s="254">
        <v>-11.214532577999995</v>
      </c>
      <c r="S52" s="257" t="e">
        <f>F45-SUM(C52:R52)</f>
        <v>#REF!</v>
      </c>
      <c r="T52" s="253" t="e">
        <f>M44</f>
        <v>#REF!</v>
      </c>
      <c r="U52" s="253" t="e">
        <f>#REF!-U53</f>
        <v>#REF!</v>
      </c>
      <c r="V52" s="258" t="e">
        <f>#REF!-V53</f>
        <v>#REF!</v>
      </c>
      <c r="W52" s="258"/>
      <c r="X52" s="258" t="e">
        <f>#REF!-X53</f>
        <v>#REF!</v>
      </c>
      <c r="Y52" s="258" t="e">
        <f>#REF!-Y53</f>
        <v>#REF!</v>
      </c>
      <c r="Z52" s="258" t="e">
        <f>#REF!-Z53</f>
        <v>#REF!</v>
      </c>
      <c r="AA52" s="258" t="e">
        <f>#REF!</f>
        <v>#REF!</v>
      </c>
      <c r="AB52" s="301"/>
      <c r="AC52" s="258" t="e">
        <f>#REF!-AC53</f>
        <v>#REF!</v>
      </c>
      <c r="AD52" s="258" t="e">
        <f>#REF!</f>
        <v>#REF!</v>
      </c>
      <c r="AE52" s="256"/>
      <c r="AF52" s="259"/>
      <c r="AG52" s="254" t="e">
        <f>#REF!-AG53</f>
        <v>#REF!</v>
      </c>
      <c r="AH52" s="260" t="e">
        <f>G45-SUM(U52:AG52)</f>
        <v>#REF!</v>
      </c>
    </row>
    <row r="53" spans="2:37" ht="18">
      <c r="B53" s="216"/>
      <c r="C53" s="272">
        <v>-36.640357668551331</v>
      </c>
      <c r="D53" s="216"/>
      <c r="E53" s="216"/>
      <c r="F53" s="216"/>
      <c r="G53" s="216"/>
      <c r="H53" s="216"/>
      <c r="I53" s="216"/>
      <c r="J53" s="323"/>
      <c r="K53" s="216"/>
      <c r="L53" s="216"/>
      <c r="M53" s="216"/>
      <c r="N53" s="216"/>
      <c r="O53" s="216"/>
      <c r="P53" s="216"/>
      <c r="Q53" s="216"/>
      <c r="R53" s="216"/>
      <c r="S53" s="216"/>
      <c r="T53" s="216"/>
      <c r="U53" s="431">
        <v>1.7</v>
      </c>
      <c r="V53" s="431"/>
      <c r="W53" s="216"/>
      <c r="X53" s="216">
        <f>SUM(Y46:Y47)</f>
        <v>0.24635461600000003</v>
      </c>
      <c r="Y53" s="216">
        <v>1.493554301803468</v>
      </c>
      <c r="Z53" s="819">
        <f>[8]VA_MZ_MTD!$W$10</f>
        <v>1.5629364828154968E-3</v>
      </c>
      <c r="AA53" s="216"/>
      <c r="AB53" s="216"/>
      <c r="AC53" s="216">
        <v>0</v>
      </c>
      <c r="AD53" s="216"/>
      <c r="AE53" s="216"/>
      <c r="AF53" s="216"/>
      <c r="AG53" s="334">
        <v>8.4846487038668919</v>
      </c>
      <c r="AH53" s="216"/>
    </row>
    <row r="54" spans="2:37" ht="18">
      <c r="B54" s="221"/>
      <c r="C54" s="272"/>
      <c r="D54" s="221"/>
      <c r="E54" s="221"/>
      <c r="F54" s="221"/>
      <c r="G54" s="221"/>
      <c r="H54" s="221"/>
      <c r="I54" s="221"/>
      <c r="J54" s="221"/>
      <c r="K54" s="221"/>
      <c r="L54" s="221"/>
      <c r="M54" s="221"/>
      <c r="N54" s="221"/>
      <c r="O54" s="221"/>
      <c r="P54" s="221"/>
      <c r="Q54" s="221"/>
      <c r="R54" s="491"/>
      <c r="S54" s="221">
        <f>'[7]New KPI vs BP'!$CI$527</f>
        <v>0</v>
      </c>
      <c r="T54" s="221"/>
      <c r="U54" s="221"/>
      <c r="V54" s="221"/>
      <c r="W54" s="221"/>
    </row>
    <row r="55" spans="2:37">
      <c r="B55" s="216"/>
      <c r="C55" s="365"/>
      <c r="D55" s="216"/>
      <c r="F55" s="216"/>
      <c r="G55" s="216"/>
      <c r="H55" s="334"/>
      <c r="I55" s="216"/>
      <c r="J55" s="216"/>
      <c r="K55" s="216"/>
      <c r="L55" s="216"/>
      <c r="M55" s="216"/>
      <c r="N55" s="216"/>
      <c r="O55" s="216"/>
      <c r="P55" s="216"/>
      <c r="Q55" s="216"/>
      <c r="R55" s="216"/>
      <c r="S55" s="216"/>
      <c r="T55" s="216"/>
      <c r="U55" s="216"/>
      <c r="V55" s="216"/>
      <c r="W55" s="216"/>
    </row>
    <row r="56" spans="2:37" ht="20.25">
      <c r="B56" s="216"/>
      <c r="C56" s="319" t="e">
        <f>'[7]New KPI vs BP'!$CH$439+'[7]New KPI vs BP'!$CH$460-SUM(E52,F52,E46,U52,V52,U53)+V94</f>
        <v>#REF!</v>
      </c>
      <c r="D56" s="216"/>
      <c r="F56" s="216"/>
      <c r="G56" s="216"/>
      <c r="I56" s="273" t="s">
        <v>188</v>
      </c>
      <c r="J56" s="274"/>
      <c r="K56" s="274"/>
      <c r="L56" s="274"/>
      <c r="M56" s="275">
        <f>M52</f>
        <v>0.3301224286188269</v>
      </c>
      <c r="N56" s="216"/>
      <c r="P56" s="273" t="s">
        <v>191</v>
      </c>
      <c r="Q56" s="274"/>
      <c r="R56" s="274"/>
      <c r="S56" s="294" t="e">
        <f>S52</f>
        <v>#REF!</v>
      </c>
      <c r="T56" s="601"/>
      <c r="U56" s="272"/>
      <c r="V56" s="272"/>
      <c r="W56" s="216"/>
      <c r="X56" s="263" t="s">
        <v>185</v>
      </c>
      <c r="Y56" s="264"/>
      <c r="Z56" s="264"/>
      <c r="AA56" s="265" t="e">
        <f>AD52</f>
        <v>#REF!</v>
      </c>
      <c r="AE56" s="263" t="s">
        <v>186</v>
      </c>
      <c r="AF56" s="264"/>
      <c r="AG56" s="264"/>
      <c r="AH56" s="265" t="e">
        <f>AH52</f>
        <v>#REF!</v>
      </c>
      <c r="AK56" t="s">
        <v>315</v>
      </c>
    </row>
    <row r="57" spans="2:37" ht="18">
      <c r="B57" s="216"/>
      <c r="C57" s="319"/>
      <c r="D57" s="216"/>
      <c r="F57" s="216"/>
      <c r="G57" t="s">
        <v>288</v>
      </c>
      <c r="H57" s="594">
        <f>-19.2668119844982-AD45</f>
        <v>-1.8708119844982001</v>
      </c>
      <c r="I57" s="279">
        <v>1</v>
      </c>
      <c r="J57" s="269" t="s">
        <v>363</v>
      </c>
      <c r="K57" s="270"/>
      <c r="L57" s="270"/>
      <c r="M57" s="280">
        <v>5</v>
      </c>
      <c r="N57" s="216"/>
      <c r="P57" s="279">
        <v>1</v>
      </c>
      <c r="Q57" s="269" t="s">
        <v>193</v>
      </c>
      <c r="R57" s="270"/>
      <c r="S57" s="271">
        <v>-3.1810295829631539</v>
      </c>
      <c r="T57" s="602"/>
      <c r="U57" s="216"/>
      <c r="V57" s="286"/>
      <c r="W57" s="216"/>
      <c r="X57" s="268">
        <v>1</v>
      </c>
      <c r="Y57" s="269" t="s">
        <v>423</v>
      </c>
      <c r="Z57" s="270"/>
      <c r="AA57" s="271">
        <v>-17.899999999999999</v>
      </c>
      <c r="AE57" s="268">
        <v>1</v>
      </c>
      <c r="AF57" s="269" t="s">
        <v>39</v>
      </c>
      <c r="AG57" s="270"/>
      <c r="AH57" s="271" t="e">
        <f>#REF!-AJ57-AK57</f>
        <v>#REF!</v>
      </c>
      <c r="AI57" t="s">
        <v>262</v>
      </c>
      <c r="AJ57" t="e">
        <f>#REF!</f>
        <v>#REF!</v>
      </c>
      <c r="AK57" s="129"/>
    </row>
    <row r="58" spans="2:37" ht="18">
      <c r="B58" s="216"/>
      <c r="C58" s="319"/>
      <c r="D58" s="216"/>
      <c r="F58" s="216"/>
      <c r="G58" t="s">
        <v>290</v>
      </c>
      <c r="H58" s="594">
        <v>3.3573768711967258</v>
      </c>
      <c r="I58" s="279">
        <v>2</v>
      </c>
      <c r="J58" s="276" t="s">
        <v>427</v>
      </c>
      <c r="K58" s="277"/>
      <c r="L58" s="277"/>
      <c r="M58" s="281">
        <v>-14</v>
      </c>
      <c r="P58" s="279">
        <v>2</v>
      </c>
      <c r="Q58" s="276" t="s">
        <v>143</v>
      </c>
      <c r="R58" s="277"/>
      <c r="S58" s="281">
        <f>'[7]New KPI vs BP'!$CK$449</f>
        <v>3.0535315887819223</v>
      </c>
      <c r="T58" s="550"/>
      <c r="U58" s="216"/>
      <c r="V58" s="216"/>
      <c r="W58" s="216"/>
      <c r="X58" s="268">
        <v>2</v>
      </c>
      <c r="Y58" s="276"/>
      <c r="Z58" s="277"/>
      <c r="AA58" s="278"/>
      <c r="AE58" s="268">
        <v>2</v>
      </c>
      <c r="AF58" s="276"/>
      <c r="AG58" s="277"/>
      <c r="AH58" s="278"/>
      <c r="AI58" t="s">
        <v>144</v>
      </c>
      <c r="AJ58" s="441" t="e">
        <f>AH57</f>
        <v>#REF!</v>
      </c>
    </row>
    <row r="59" spans="2:37" ht="18">
      <c r="B59" s="216"/>
      <c r="C59" s="272"/>
      <c r="D59" s="216"/>
      <c r="E59" s="216"/>
      <c r="F59" s="216"/>
      <c r="G59" s="221" t="s">
        <v>282</v>
      </c>
      <c r="H59" s="594">
        <v>10.591064110626101</v>
      </c>
      <c r="I59" s="279">
        <v>3</v>
      </c>
      <c r="J59" s="276" t="s">
        <v>428</v>
      </c>
      <c r="K59" s="277"/>
      <c r="L59" s="277"/>
      <c r="M59" s="281">
        <v>-2</v>
      </c>
      <c r="P59" s="279">
        <v>3</v>
      </c>
      <c r="Q59" s="276" t="s">
        <v>195</v>
      </c>
      <c r="R59" s="277"/>
      <c r="S59" s="281">
        <v>13.076067269098926</v>
      </c>
      <c r="T59" s="550"/>
      <c r="U59" t="s">
        <v>195</v>
      </c>
      <c r="V59" s="317"/>
      <c r="W59" s="216"/>
      <c r="X59" s="268">
        <v>3</v>
      </c>
      <c r="Y59" s="276"/>
      <c r="Z59" s="277"/>
      <c r="AA59" s="278"/>
      <c r="AE59" s="268">
        <v>3</v>
      </c>
      <c r="AF59" s="276"/>
      <c r="AG59" s="277"/>
      <c r="AH59" s="278"/>
    </row>
    <row r="60" spans="2:37" ht="18">
      <c r="B60" s="216"/>
      <c r="C60" s="216"/>
      <c r="D60" s="272"/>
      <c r="E60" s="272"/>
      <c r="F60" s="272"/>
      <c r="G60" t="s">
        <v>28</v>
      </c>
      <c r="H60" s="577">
        <v>-13.6431667</v>
      </c>
      <c r="I60" s="279">
        <v>4</v>
      </c>
      <c r="J60" s="276" t="s">
        <v>401</v>
      </c>
      <c r="K60" s="277"/>
      <c r="L60" s="277"/>
      <c r="M60" s="281">
        <v>-0.74750656870582688</v>
      </c>
      <c r="P60" s="279">
        <v>4</v>
      </c>
      <c r="Q60" s="276" t="s">
        <v>429</v>
      </c>
      <c r="R60" s="277"/>
      <c r="S60" s="281">
        <v>-38.658104739000002</v>
      </c>
      <c r="T60" s="550"/>
      <c r="U60" t="s">
        <v>247</v>
      </c>
      <c r="V60" s="317"/>
      <c r="X60" s="268">
        <v>4</v>
      </c>
      <c r="Y60" s="276"/>
      <c r="Z60" s="277"/>
      <c r="AA60" s="278"/>
      <c r="AE60" s="268">
        <v>4</v>
      </c>
      <c r="AF60" s="276"/>
      <c r="AG60" s="277"/>
      <c r="AH60" s="278"/>
    </row>
    <row r="61" spans="2:37" ht="18">
      <c r="B61" s="216"/>
      <c r="C61" s="272"/>
      <c r="D61" s="216"/>
      <c r="E61" s="216"/>
      <c r="F61" s="216"/>
      <c r="G61" t="s">
        <v>294</v>
      </c>
      <c r="H61" s="317">
        <v>0</v>
      </c>
      <c r="I61" s="279">
        <v>5</v>
      </c>
      <c r="J61" s="276" t="s">
        <v>288</v>
      </c>
      <c r="K61" s="277"/>
      <c r="L61" s="277"/>
      <c r="M61" s="281">
        <v>-1.8708119844982001</v>
      </c>
      <c r="N61" s="335"/>
      <c r="P61" s="279">
        <v>5</v>
      </c>
      <c r="Q61" s="276" t="s">
        <v>217</v>
      </c>
      <c r="R61" s="277"/>
      <c r="S61" s="281">
        <v>-14.693548563486429</v>
      </c>
      <c r="T61" s="550"/>
      <c r="U61" t="s">
        <v>246</v>
      </c>
      <c r="V61" s="317">
        <v>5.6815269283420387</v>
      </c>
      <c r="X61" s="282">
        <v>5</v>
      </c>
      <c r="Y61" s="283" t="s">
        <v>182</v>
      </c>
      <c r="Z61" s="284"/>
      <c r="AA61" s="285" t="e">
        <f>AA56-SUM(AA57:AA60)</f>
        <v>#REF!</v>
      </c>
      <c r="AE61" s="282">
        <v>5</v>
      </c>
      <c r="AF61" s="283" t="s">
        <v>182</v>
      </c>
      <c r="AG61" s="284"/>
      <c r="AH61" s="285" t="e">
        <f>AH56-SUM(AH57:AH60)</f>
        <v>#REF!</v>
      </c>
      <c r="AJ61" s="121"/>
    </row>
    <row r="62" spans="2:37" ht="18">
      <c r="B62" s="216"/>
      <c r="C62" s="272"/>
      <c r="D62" s="216"/>
      <c r="E62" s="216"/>
      <c r="F62" s="216"/>
      <c r="G62" s="216"/>
      <c r="H62" s="334"/>
      <c r="I62" s="279">
        <v>6</v>
      </c>
      <c r="J62" s="276" t="s">
        <v>290</v>
      </c>
      <c r="K62" s="277"/>
      <c r="L62" s="277"/>
      <c r="M62" s="281">
        <v>3.3573768711967258</v>
      </c>
      <c r="P62" s="279">
        <v>6</v>
      </c>
      <c r="Q62" s="276" t="s">
        <v>359</v>
      </c>
      <c r="R62" s="277"/>
      <c r="S62" s="281">
        <v>0.8</v>
      </c>
      <c r="T62" s="550"/>
      <c r="U62" t="s">
        <v>359</v>
      </c>
      <c r="V62" s="317"/>
      <c r="X62" s="216"/>
      <c r="Y62" s="216"/>
      <c r="Z62" s="216"/>
      <c r="AA62" s="216"/>
      <c r="AB62" s="330"/>
      <c r="AC62" s="216"/>
      <c r="AD62" s="216"/>
      <c r="AE62" s="216"/>
      <c r="AF62" s="216"/>
      <c r="AG62" s="216"/>
      <c r="AH62" s="216"/>
    </row>
    <row r="63" spans="2:37" ht="18">
      <c r="B63" s="216"/>
      <c r="C63" s="272"/>
      <c r="D63" s="272"/>
      <c r="E63" s="216"/>
      <c r="F63" s="216"/>
      <c r="G63" s="216"/>
      <c r="H63" s="334"/>
      <c r="I63" s="279">
        <v>7</v>
      </c>
      <c r="J63" s="276" t="s">
        <v>282</v>
      </c>
      <c r="K63" s="277"/>
      <c r="L63" s="277"/>
      <c r="M63" s="281">
        <v>10.591064110626101</v>
      </c>
      <c r="N63" s="443"/>
      <c r="P63" s="279">
        <v>7</v>
      </c>
      <c r="Q63" s="276" t="s">
        <v>399</v>
      </c>
      <c r="R63" s="277"/>
      <c r="S63" s="281">
        <v>-1.5689161541838244</v>
      </c>
      <c r="T63" s="550"/>
      <c r="U63" t="s">
        <v>376</v>
      </c>
      <c r="V63" s="317">
        <v>46.664151050819143</v>
      </c>
      <c r="X63" s="216"/>
      <c r="Y63" s="216"/>
      <c r="Z63" s="216" t="s">
        <v>296</v>
      </c>
      <c r="AA63" s="330">
        <v>2.4644765</v>
      </c>
      <c r="AB63" s="216"/>
      <c r="AC63" s="216"/>
      <c r="AD63" s="216"/>
      <c r="AE63" s="216"/>
      <c r="AF63" s="216"/>
      <c r="AG63" s="216"/>
      <c r="AH63" s="216"/>
    </row>
    <row r="64" spans="2:37" ht="18">
      <c r="B64" s="216"/>
      <c r="C64" s="216"/>
      <c r="D64" s="216"/>
      <c r="E64" s="216"/>
      <c r="F64" s="216"/>
      <c r="G64" s="216"/>
      <c r="H64" s="334"/>
      <c r="I64" s="279">
        <v>8</v>
      </c>
      <c r="J64" s="276"/>
      <c r="K64" s="277"/>
      <c r="L64" s="277"/>
      <c r="M64" s="281"/>
      <c r="P64" s="279">
        <v>8</v>
      </c>
      <c r="Q64" s="276"/>
      <c r="R64" s="277"/>
      <c r="S64" s="281"/>
      <c r="T64" s="550"/>
      <c r="U64" t="s">
        <v>403</v>
      </c>
      <c r="V64" s="317" t="e">
        <f>SUM('[7]New KPI vs BP'!$CI$455:$CI$456)</f>
        <v>#VALUE!</v>
      </c>
      <c r="W64" s="216"/>
      <c r="X64" s="216"/>
      <c r="Y64" s="216"/>
      <c r="Z64" s="216" t="s">
        <v>145</v>
      </c>
      <c r="AA64" s="330"/>
      <c r="AB64" s="216"/>
      <c r="AC64" s="216"/>
      <c r="AD64" s="216"/>
      <c r="AE64" s="216"/>
      <c r="AF64" s="216"/>
      <c r="AG64" s="216"/>
      <c r="AH64" s="216"/>
    </row>
    <row r="65" spans="2:34" ht="18">
      <c r="B65" s="216"/>
      <c r="C65" s="216"/>
      <c r="D65" s="216"/>
      <c r="E65" s="216"/>
      <c r="F65" s="216"/>
      <c r="G65" s="216"/>
      <c r="H65" s="334"/>
      <c r="I65" s="279">
        <v>9</v>
      </c>
      <c r="J65" s="276"/>
      <c r="K65" s="277"/>
      <c r="L65" s="277"/>
      <c r="M65" s="281"/>
      <c r="P65" s="279">
        <v>9</v>
      </c>
      <c r="Q65" s="276"/>
      <c r="R65" s="277"/>
      <c r="S65" s="281"/>
      <c r="T65" s="550"/>
      <c r="V65" s="317"/>
      <c r="W65" s="216"/>
      <c r="X65" s="216"/>
      <c r="Y65" s="216"/>
      <c r="Z65" s="216"/>
      <c r="AA65" s="330"/>
      <c r="AB65" s="216"/>
      <c r="AC65" s="216"/>
      <c r="AD65" s="216"/>
      <c r="AE65" s="216"/>
      <c r="AF65" s="216"/>
      <c r="AG65" s="216"/>
      <c r="AH65" s="216"/>
    </row>
    <row r="66" spans="2:34" ht="18">
      <c r="B66" s="216"/>
      <c r="C66" s="216"/>
      <c r="D66" s="216"/>
      <c r="E66" s="216"/>
      <c r="F66" s="216"/>
      <c r="G66" s="216"/>
      <c r="H66" s="216"/>
      <c r="I66" s="279">
        <v>10</v>
      </c>
      <c r="J66" s="276"/>
      <c r="K66" s="277"/>
      <c r="L66" s="277"/>
      <c r="M66" s="281"/>
      <c r="N66" s="424"/>
      <c r="P66" s="288">
        <v>10</v>
      </c>
      <c r="Q66" s="276"/>
      <c r="R66" s="277"/>
      <c r="S66" s="278"/>
      <c r="T66" s="602"/>
      <c r="W66" s="216"/>
      <c r="X66" s="216"/>
      <c r="Y66" s="216"/>
      <c r="Z66" s="216" t="s">
        <v>331</v>
      </c>
      <c r="AA66" s="216"/>
      <c r="AB66" s="216"/>
      <c r="AC66" s="216"/>
      <c r="AD66" s="216"/>
      <c r="AE66" s="216"/>
      <c r="AF66" s="216"/>
      <c r="AG66" s="216"/>
      <c r="AH66" s="216"/>
    </row>
    <row r="67" spans="2:34" ht="18">
      <c r="B67" s="216"/>
      <c r="C67" s="216"/>
      <c r="D67" s="216"/>
      <c r="E67" s="216"/>
      <c r="F67" s="216"/>
      <c r="G67" s="216"/>
      <c r="H67" s="334"/>
      <c r="I67" s="279">
        <v>11</v>
      </c>
      <c r="J67" s="276"/>
      <c r="K67" s="277"/>
      <c r="L67" s="277"/>
      <c r="M67" s="281"/>
      <c r="P67" s="288">
        <v>11</v>
      </c>
      <c r="Q67" s="283" t="s">
        <v>182</v>
      </c>
      <c r="R67" s="284"/>
      <c r="S67" s="285" t="e">
        <f>S56-SUM(S57:S66)</f>
        <v>#REF!</v>
      </c>
      <c r="T67" s="602"/>
      <c r="U67" t="s">
        <v>223</v>
      </c>
      <c r="V67" s="121">
        <v>-34.287942096141379</v>
      </c>
      <c r="W67" s="216"/>
      <c r="X67" s="297"/>
      <c r="AA67" s="216"/>
      <c r="AB67" s="216"/>
      <c r="AC67" s="216"/>
      <c r="AD67" s="216"/>
      <c r="AE67" s="216"/>
      <c r="AF67" s="216"/>
      <c r="AG67" s="216"/>
      <c r="AH67" s="216"/>
    </row>
    <row r="68" spans="2:34" ht="18">
      <c r="B68" s="216"/>
      <c r="C68" s="216"/>
      <c r="D68" s="216"/>
      <c r="E68" s="216"/>
      <c r="F68" s="216"/>
      <c r="G68" s="216"/>
      <c r="H68" s="216"/>
      <c r="I68" s="279">
        <v>12</v>
      </c>
      <c r="J68" s="289" t="s">
        <v>182</v>
      </c>
      <c r="K68" s="284"/>
      <c r="L68" s="284"/>
      <c r="M68" s="290">
        <f>M56-SUM(M57:M67)</f>
        <v>2.6645352591003757E-14</v>
      </c>
      <c r="V68" s="317"/>
      <c r="W68" s="216"/>
      <c r="X68" s="216"/>
      <c r="Z68" s="216" t="s">
        <v>328</v>
      </c>
      <c r="AA68" s="216"/>
      <c r="AB68" s="216"/>
      <c r="AC68" s="216"/>
      <c r="AD68" s="216"/>
      <c r="AE68" s="216"/>
      <c r="AF68" s="216"/>
      <c r="AG68" s="216"/>
      <c r="AH68" s="216"/>
    </row>
    <row r="69" spans="2:34" ht="18">
      <c r="B69" s="216"/>
      <c r="C69" s="216"/>
      <c r="D69" s="216"/>
      <c r="E69" s="216"/>
      <c r="F69" s="216"/>
      <c r="G69" s="216"/>
      <c r="H69" s="216"/>
      <c r="I69" s="230"/>
      <c r="Q69" s="535" t="e">
        <f>SUM(S58:S67)+SUM(H57:H60)-H59</f>
        <v>#REF!</v>
      </c>
      <c r="S69" s="318" t="e">
        <f>S67-S68</f>
        <v>#REF!</v>
      </c>
      <c r="T69" s="318"/>
      <c r="U69" t="s">
        <v>350</v>
      </c>
      <c r="V69" s="317" t="e">
        <f>SUM('[7]New KPI vs BP'!$CK$453+'[7]New KPI vs BP'!$CK$464)</f>
        <v>#VALUE!</v>
      </c>
      <c r="W69" s="216"/>
      <c r="X69" s="216"/>
      <c r="Z69" s="216" t="s">
        <v>142</v>
      </c>
      <c r="AA69" s="216"/>
      <c r="AB69" s="216"/>
      <c r="AC69" s="216"/>
      <c r="AD69" s="216"/>
      <c r="AE69" s="216"/>
      <c r="AF69" s="216"/>
      <c r="AG69" s="216"/>
      <c r="AH69" s="216"/>
    </row>
    <row r="70" spans="2:34">
      <c r="B70" s="216"/>
      <c r="C70" s="216"/>
      <c r="D70" s="216"/>
      <c r="E70" s="216"/>
      <c r="F70" s="216"/>
      <c r="G70" s="216"/>
      <c r="H70" s="216"/>
      <c r="N70" s="216"/>
      <c r="P70" t="s">
        <v>328</v>
      </c>
      <c r="Q70" s="364"/>
      <c r="U70" t="s">
        <v>337</v>
      </c>
      <c r="V70" s="317"/>
      <c r="X70" s="216"/>
      <c r="Y70" s="216"/>
      <c r="Z70" s="216"/>
      <c r="AA70" s="216"/>
      <c r="AB70" s="216"/>
      <c r="AC70" s="216"/>
      <c r="AD70" s="216"/>
      <c r="AE70" s="216"/>
      <c r="AF70" s="216"/>
      <c r="AG70" s="216"/>
      <c r="AH70" s="216"/>
    </row>
    <row r="71" spans="2:34">
      <c r="B71" s="216"/>
      <c r="C71" s="216"/>
      <c r="D71" s="216"/>
      <c r="E71" s="216"/>
      <c r="F71" s="216"/>
      <c r="G71" s="216"/>
      <c r="H71" s="216"/>
      <c r="I71" s="216"/>
      <c r="J71" s="216"/>
      <c r="K71" s="216"/>
      <c r="L71" s="216"/>
      <c r="M71" s="216"/>
      <c r="N71" s="216"/>
      <c r="P71" t="s">
        <v>142</v>
      </c>
      <c r="Q71" s="364"/>
      <c r="V71" s="412"/>
      <c r="X71" s="216"/>
      <c r="Y71" s="216"/>
      <c r="Z71" s="216"/>
      <c r="AA71" s="216"/>
      <c r="AB71" s="216"/>
      <c r="AC71" s="216"/>
      <c r="AD71" s="216"/>
      <c r="AE71" s="216"/>
      <c r="AF71" s="216"/>
      <c r="AG71" s="216"/>
      <c r="AH71" s="216"/>
    </row>
    <row r="72" spans="2:34">
      <c r="B72" s="216"/>
      <c r="C72" s="216"/>
      <c r="D72" s="216"/>
      <c r="E72" s="216"/>
      <c r="F72" s="216"/>
      <c r="G72" s="216"/>
      <c r="H72" s="216"/>
      <c r="I72" s="216"/>
      <c r="J72" s="216"/>
      <c r="K72" s="216"/>
      <c r="L72" s="216"/>
      <c r="M72" s="216"/>
      <c r="N72" s="216"/>
      <c r="P72" t="s">
        <v>316</v>
      </c>
      <c r="Q72" s="364"/>
      <c r="S72" s="497"/>
      <c r="T72" s="497"/>
      <c r="U72" t="s">
        <v>240</v>
      </c>
      <c r="V72" s="412"/>
      <c r="W72" s="335"/>
      <c r="Y72" s="216"/>
      <c r="Z72" s="216"/>
      <c r="AA72" s="216"/>
      <c r="AB72" s="216"/>
      <c r="AC72" s="216"/>
      <c r="AD72" s="216"/>
      <c r="AE72" s="216"/>
      <c r="AF72" s="216"/>
      <c r="AG72" s="216"/>
      <c r="AH72" s="216"/>
    </row>
    <row r="73" spans="2:34">
      <c r="B73" s="216"/>
      <c r="C73" s="216"/>
      <c r="D73" s="216"/>
      <c r="E73" s="216"/>
      <c r="F73" s="216"/>
      <c r="G73" s="216"/>
      <c r="H73" s="216"/>
      <c r="I73" s="216"/>
      <c r="J73" s="216"/>
      <c r="K73" s="216"/>
      <c r="L73" s="216"/>
      <c r="M73" s="216"/>
      <c r="N73" s="216"/>
      <c r="P73" s="497" t="s">
        <v>295</v>
      </c>
      <c r="U73" t="s">
        <v>278</v>
      </c>
      <c r="V73" s="412"/>
      <c r="Y73" s="216"/>
      <c r="Z73" s="216"/>
      <c r="AA73" s="216"/>
      <c r="AB73" s="315"/>
      <c r="AC73" s="323"/>
      <c r="AD73" s="216"/>
      <c r="AE73" s="216"/>
      <c r="AF73" s="216"/>
      <c r="AG73" s="216"/>
      <c r="AH73" s="216"/>
    </row>
    <row r="74" spans="2:34">
      <c r="B74" s="216"/>
      <c r="C74" s="216"/>
      <c r="D74" s="216"/>
      <c r="E74" s="216"/>
      <c r="F74" s="216"/>
      <c r="G74" s="216"/>
      <c r="H74" s="216"/>
      <c r="I74" s="216"/>
      <c r="J74" s="216"/>
      <c r="K74" s="216"/>
      <c r="L74" s="216"/>
      <c r="M74" s="332"/>
      <c r="N74" s="216"/>
      <c r="P74" t="s">
        <v>312</v>
      </c>
      <c r="Q74" s="364"/>
      <c r="U74" t="s">
        <v>270</v>
      </c>
      <c r="V74" s="412"/>
      <c r="X74" s="216"/>
      <c r="Y74" s="216"/>
      <c r="Z74" s="216"/>
      <c r="AA74" s="216"/>
      <c r="AB74" s="315"/>
      <c r="AC74" s="323"/>
      <c r="AD74" s="216"/>
      <c r="AE74" s="216"/>
      <c r="AF74" s="216"/>
      <c r="AG74" s="216"/>
      <c r="AH74" s="216"/>
    </row>
    <row r="75" spans="2:34">
      <c r="B75" s="216"/>
      <c r="C75" s="216"/>
      <c r="D75" s="216"/>
      <c r="E75" s="216"/>
      <c r="F75" s="216"/>
      <c r="G75" s="216"/>
      <c r="H75" s="216"/>
      <c r="I75" s="216"/>
      <c r="J75" s="216"/>
      <c r="K75" s="216"/>
      <c r="L75" s="216"/>
      <c r="M75" s="216"/>
      <c r="N75" s="216"/>
      <c r="Q75" s="364"/>
      <c r="V75" s="317"/>
      <c r="X75" s="216"/>
      <c r="Y75" s="216"/>
      <c r="Z75" s="216"/>
      <c r="AA75" s="216"/>
      <c r="AB75" s="315"/>
      <c r="AC75" s="323"/>
      <c r="AD75" s="216"/>
      <c r="AE75" s="216"/>
      <c r="AF75" s="216"/>
      <c r="AG75" s="216"/>
      <c r="AH75" s="216"/>
    </row>
    <row r="76" spans="2:34">
      <c r="B76" s="216"/>
      <c r="C76" s="216"/>
      <c r="D76" s="216"/>
      <c r="E76" s="216"/>
      <c r="F76" s="216"/>
      <c r="G76" s="216"/>
      <c r="H76" s="216"/>
      <c r="I76" s="216"/>
      <c r="J76" s="216"/>
      <c r="K76" s="216"/>
      <c r="L76" s="216"/>
      <c r="M76" s="216"/>
      <c r="N76" s="216"/>
      <c r="Q76" s="364"/>
      <c r="V76" s="505"/>
      <c r="Z76" s="216"/>
      <c r="AA76" s="216"/>
      <c r="AB76" s="216"/>
      <c r="AC76" s="216"/>
      <c r="AD76" s="216"/>
      <c r="AE76" s="216"/>
      <c r="AF76" s="216"/>
      <c r="AG76" s="216"/>
      <c r="AH76" s="216"/>
    </row>
    <row r="77" spans="2:34">
      <c r="Q77" s="364"/>
      <c r="Y77" s="314"/>
    </row>
    <row r="78" spans="2:34">
      <c r="P78" t="s">
        <v>144</v>
      </c>
      <c r="Q78" s="364" t="e">
        <f>Q69-SUM(Q70:Q77)</f>
        <v>#REF!</v>
      </c>
    </row>
    <row r="80" spans="2:34">
      <c r="V80" s="505"/>
    </row>
    <row r="81" spans="21:26">
      <c r="V81" s="505"/>
    </row>
    <row r="82" spans="21:26">
      <c r="V82" s="505"/>
    </row>
    <row r="83" spans="21:26">
      <c r="V83" s="505">
        <f>'[7]P&amp;L vs BP'!$CF$167</f>
        <v>0</v>
      </c>
    </row>
    <row r="84" spans="21:26">
      <c r="V84" s="505"/>
    </row>
    <row r="87" spans="21:26">
      <c r="U87" t="s">
        <v>284</v>
      </c>
      <c r="V87" s="317" t="e">
        <f>SUM(V88:V90)</f>
        <v>#REF!</v>
      </c>
    </row>
    <row r="88" spans="21:26">
      <c r="U88" s="372" t="s">
        <v>252</v>
      </c>
      <c r="V88" s="373" t="e">
        <f>'[7]P&amp;L vs BP'!$AT$238-'[7]New KPI vs BP'!$CH$437+'[7]New KPI vs BP'!$CI$500-AC52</f>
        <v>#REF!</v>
      </c>
    </row>
    <row r="89" spans="21:26">
      <c r="U89" s="135" t="s">
        <v>144</v>
      </c>
      <c r="V89" s="373" t="e">
        <f>-AD47-AJ58-X48-AK57</f>
        <v>#REF!</v>
      </c>
      <c r="X89" s="216"/>
    </row>
    <row r="90" spans="21:26">
      <c r="U90" s="372" t="s">
        <v>200</v>
      </c>
      <c r="V90" s="373">
        <v>-20.2</v>
      </c>
    </row>
    <row r="91" spans="21:26">
      <c r="Z91" s="314"/>
    </row>
    <row r="94" spans="21:26">
      <c r="U94" t="s">
        <v>330</v>
      </c>
      <c r="V94" s="317">
        <v>12.5442</v>
      </c>
    </row>
  </sheetData>
  <mergeCells count="25">
    <mergeCell ref="AH50:AH51"/>
    <mergeCell ref="B43:B44"/>
    <mergeCell ref="C43:C44"/>
    <mergeCell ref="B49:B51"/>
    <mergeCell ref="H50:H51"/>
    <mergeCell ref="O50:O51"/>
    <mergeCell ref="P50:P51"/>
    <mergeCell ref="Q50:Q51"/>
    <mergeCell ref="R50:R51"/>
    <mergeCell ref="S50:S51"/>
    <mergeCell ref="AE50:AE51"/>
    <mergeCell ref="AF50:AF51"/>
    <mergeCell ref="T50:T51"/>
    <mergeCell ref="AH12:AH13"/>
    <mergeCell ref="B5:B6"/>
    <mergeCell ref="C5:C6"/>
    <mergeCell ref="B11:B13"/>
    <mergeCell ref="H12:H13"/>
    <mergeCell ref="O12:O13"/>
    <mergeCell ref="P12:P13"/>
    <mergeCell ref="Q12:Q13"/>
    <mergeCell ref="R12:R13"/>
    <mergeCell ref="S12:S13"/>
    <mergeCell ref="AE12:AE13"/>
    <mergeCell ref="AF12:AF13"/>
  </mergeCells>
  <phoneticPr fontId="16" type="noConversion"/>
  <pageMargins left="0.7" right="0.7" top="0.75" bottom="0.75" header="0.3" footer="0.3"/>
  <pageSetup orientation="portrait" r:id="rId1"/>
  <customProperties>
    <customPr name="_pios_id" r:id="rId2"/>
    <customPr name="EpmWorksheetKeyString_GUID" r:id="rId3"/>
  </customProperties>
  <drawing r:id="rId4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B6AF9-A40B-4B63-93B2-853880CF279B}">
  <sheetPr>
    <tabColor theme="7" tint="0.59999389629810485"/>
  </sheetPr>
  <dimension ref="B1:AJ90"/>
  <sheetViews>
    <sheetView showGridLines="0" topLeftCell="W49" zoomScale="70" zoomScaleNormal="70" workbookViewId="0">
      <selection activeCell="U53" sqref="U53"/>
    </sheetView>
  </sheetViews>
  <sheetFormatPr defaultRowHeight="15" outlineLevelRow="1"/>
  <cols>
    <col min="2" max="2" width="10.42578125" bestFit="1" customWidth="1"/>
    <col min="3" max="3" width="11.140625" customWidth="1"/>
    <col min="4" max="4" width="14.85546875" customWidth="1"/>
    <col min="5" max="5" width="12.5703125" customWidth="1"/>
    <col min="6" max="6" width="14.140625" customWidth="1"/>
    <col min="7" max="7" width="11.85546875" customWidth="1"/>
    <col min="17" max="17" width="10.85546875" customWidth="1"/>
    <col min="19" max="19" width="10.5703125" customWidth="1"/>
    <col min="21" max="21" width="10.5703125" customWidth="1"/>
    <col min="24" max="24" width="10.5703125" customWidth="1"/>
  </cols>
  <sheetData>
    <row r="1" spans="2:34" ht="28.5">
      <c r="B1" s="304" t="str">
        <f>'Summary month'!E2</f>
        <v>Apr</v>
      </c>
      <c r="C1" t="str">
        <f>VLOOKUP(B1,mapping!$A$2:$C$13,3,0)</f>
        <v>M01</v>
      </c>
    </row>
    <row r="3" spans="2:34" ht="28.5" hidden="1" outlineLevel="1">
      <c r="B3" s="299" t="s">
        <v>202</v>
      </c>
      <c r="I3" s="216"/>
      <c r="J3" s="334"/>
      <c r="K3" s="216"/>
      <c r="L3" s="216"/>
      <c r="M3" s="216"/>
      <c r="N3" s="334"/>
      <c r="O3" s="216"/>
      <c r="P3" s="216"/>
      <c r="Q3" s="216"/>
    </row>
    <row r="4" spans="2:34" ht="28.5" hidden="1" outlineLevel="1">
      <c r="B4" s="299"/>
      <c r="I4" s="216"/>
      <c r="J4" s="334"/>
      <c r="K4" s="216"/>
      <c r="L4" s="216"/>
      <c r="M4" s="216"/>
      <c r="N4" s="334"/>
      <c r="O4" s="216"/>
      <c r="P4" s="216"/>
      <c r="Q4" s="216"/>
    </row>
    <row r="5" spans="2:34" ht="20.25" hidden="1" outlineLevel="1">
      <c r="B5" s="216"/>
      <c r="C5" s="226" t="str">
        <f>B10</f>
        <v>LY QTD</v>
      </c>
      <c r="D5" s="226" t="str">
        <f>C10</f>
        <v>Act QTD</v>
      </c>
      <c r="E5" s="226" t="s">
        <v>320</v>
      </c>
      <c r="F5" s="226" t="s">
        <v>321</v>
      </c>
      <c r="G5" s="226" t="s">
        <v>322</v>
      </c>
      <c r="H5" s="292" t="s">
        <v>323</v>
      </c>
      <c r="I5" s="216"/>
    </row>
    <row r="6" spans="2:34" ht="20.25" hidden="1" outlineLevel="1">
      <c r="B6" s="226" t="s">
        <v>327</v>
      </c>
      <c r="C6" s="229">
        <f>'Summary month'!W82</f>
        <v>0</v>
      </c>
      <c r="D6" s="229">
        <f>'Summary month'!I82</f>
        <v>63.237619418000122</v>
      </c>
      <c r="E6" s="226">
        <f>+D6-C6</f>
        <v>63.237619418000122</v>
      </c>
      <c r="F6" s="226" t="e">
        <f>B19</f>
        <v>#REF!</v>
      </c>
      <c r="G6" s="226" t="e">
        <f>SUM(C19:S19)</f>
        <v>#REF!</v>
      </c>
      <c r="H6" s="502" t="e">
        <f>E6-F6-G6</f>
        <v>#REF!</v>
      </c>
      <c r="I6" s="216"/>
      <c r="J6" s="334"/>
      <c r="K6" s="216"/>
      <c r="L6" s="216"/>
      <c r="M6" s="216"/>
      <c r="N6" s="334"/>
      <c r="O6" s="216"/>
      <c r="P6" s="216"/>
      <c r="Q6" s="216"/>
    </row>
    <row r="7" spans="2:34" ht="20.25" hidden="1" outlineLevel="1">
      <c r="B7" s="226" t="s">
        <v>325</v>
      </c>
      <c r="C7" s="229">
        <f>'Summary month'!W83</f>
        <v>-134.40743371800002</v>
      </c>
      <c r="D7" s="229">
        <f>'Summary month'!I83</f>
        <v>-134.40743371799999</v>
      </c>
      <c r="E7" s="226">
        <f>+D7-C7</f>
        <v>0</v>
      </c>
      <c r="F7" s="226" t="e">
        <f>T19</f>
        <v>#REF!</v>
      </c>
      <c r="G7" s="226" t="e">
        <f>SUM(U19:AH19)</f>
        <v>#REF!</v>
      </c>
      <c r="H7" s="502" t="e">
        <f>E7-F7-G7</f>
        <v>#REF!</v>
      </c>
      <c r="I7" s="216"/>
      <c r="J7" s="334"/>
      <c r="K7" s="216"/>
      <c r="L7" s="216"/>
      <c r="M7" s="216"/>
      <c r="N7" s="334"/>
      <c r="O7" s="216"/>
      <c r="P7" s="216"/>
      <c r="Q7" s="216"/>
    </row>
    <row r="8" spans="2:34" ht="20.25" hidden="1" outlineLevel="1">
      <c r="B8" s="226" t="s">
        <v>326</v>
      </c>
      <c r="C8" s="226">
        <f>+C6+C7</f>
        <v>-134.40743371800002</v>
      </c>
      <c r="D8" s="226">
        <f>+D6+D7</f>
        <v>-71.169814299999871</v>
      </c>
      <c r="E8" s="226">
        <f>+D8-C8</f>
        <v>63.237619418000151</v>
      </c>
      <c r="F8" s="226" t="e">
        <f>+E8-G8</f>
        <v>#REF!</v>
      </c>
      <c r="G8" s="226" t="e">
        <f>+G6+G7</f>
        <v>#REF!</v>
      </c>
      <c r="H8" s="502" t="e">
        <f>E8-F8-G8</f>
        <v>#REF!</v>
      </c>
      <c r="I8" s="216"/>
      <c r="J8" s="334" t="s">
        <v>303</v>
      </c>
      <c r="K8" s="216" t="s">
        <v>143</v>
      </c>
      <c r="L8" s="216" t="s">
        <v>304</v>
      </c>
      <c r="M8" s="216"/>
      <c r="N8" s="334" t="s">
        <v>303</v>
      </c>
      <c r="O8" s="216" t="s">
        <v>143</v>
      </c>
      <c r="P8" s="216" t="s">
        <v>305</v>
      </c>
      <c r="Q8" s="216" t="s">
        <v>306</v>
      </c>
    </row>
    <row r="9" spans="2:34" ht="18" hidden="1" outlineLevel="1">
      <c r="B9" s="215"/>
      <c r="C9" s="216"/>
      <c r="D9" s="318">
        <f>D12-D54</f>
        <v>77.957910260989166</v>
      </c>
      <c r="E9" s="318" t="e">
        <f>E12-E54</f>
        <v>#REF!</v>
      </c>
      <c r="F9" s="318" t="e">
        <f>F12-F54</f>
        <v>#REF!</v>
      </c>
      <c r="G9" s="318" t="e">
        <f>G12-G54</f>
        <v>#REF!</v>
      </c>
      <c r="H9" s="216"/>
      <c r="I9" s="216" t="s">
        <v>307</v>
      </c>
      <c r="J9" s="334">
        <f>'[9]New KPI vs BP'!$AN$34-K9-L9</f>
        <v>8.206118843052792</v>
      </c>
      <c r="K9" s="216">
        <f>'[9]New KPI vs BP'!$AN$15</f>
        <v>0.90964658602447934</v>
      </c>
      <c r="L9" s="334">
        <f>'[9]New KPI vs BP'!$AN$507+'[9]New KPI vs BP'!$AN$523</f>
        <v>-2.1683203931033423</v>
      </c>
      <c r="M9" s="216"/>
      <c r="N9" s="334" t="e">
        <f>'[9]New KPI vs BP'!$AN$34-O9-P9</f>
        <v>#REF!</v>
      </c>
      <c r="O9" s="216">
        <f>K9</f>
        <v>0.90964658602447934</v>
      </c>
      <c r="P9" s="406" t="e">
        <f>L10-AJ66+AA20</f>
        <v>#REF!</v>
      </c>
      <c r="Q9" s="334" t="e">
        <f>L9-(P9)</f>
        <v>#REF!</v>
      </c>
      <c r="R9" s="216"/>
      <c r="S9" s="216"/>
      <c r="T9" s="216"/>
      <c r="U9" s="216"/>
      <c r="V9" s="216"/>
      <c r="W9" s="216"/>
      <c r="X9" s="216"/>
      <c r="Y9" s="216"/>
      <c r="Z9" s="216"/>
      <c r="AA9" s="216"/>
      <c r="AB9" s="216"/>
      <c r="AC9" s="216"/>
      <c r="AD9" s="216"/>
      <c r="AE9" s="216"/>
      <c r="AF9" s="216"/>
      <c r="AG9" s="216"/>
      <c r="AH9" s="216"/>
    </row>
    <row r="10" spans="2:34" ht="20.100000000000001" hidden="1" customHeight="1" outlineLevel="1">
      <c r="B10" s="1014" t="s">
        <v>343</v>
      </c>
      <c r="C10" s="1014" t="s">
        <v>214</v>
      </c>
      <c r="D10" s="218"/>
      <c r="E10" s="219"/>
      <c r="F10" s="219"/>
      <c r="G10" s="220"/>
      <c r="H10" s="216"/>
      <c r="I10" s="216" t="s">
        <v>62</v>
      </c>
      <c r="J10" s="334" t="e">
        <f>M52</f>
        <v>#REF!</v>
      </c>
      <c r="K10" s="216">
        <v>0</v>
      </c>
      <c r="L10" s="334" t="e">
        <f>M53</f>
        <v>#REF!</v>
      </c>
      <c r="M10" s="216"/>
      <c r="N10" s="216"/>
      <c r="O10" s="216"/>
      <c r="P10" s="216"/>
      <c r="Q10" s="216"/>
      <c r="R10" s="216"/>
      <c r="S10" s="216"/>
      <c r="T10" s="216"/>
      <c r="U10" s="216"/>
      <c r="V10" s="216"/>
      <c r="W10" s="221"/>
      <c r="X10" s="221"/>
      <c r="Y10" s="221"/>
      <c r="Z10" s="221"/>
      <c r="AA10" s="221"/>
      <c r="AB10" s="221"/>
      <c r="AC10" s="221"/>
      <c r="AD10" s="221"/>
      <c r="AE10" s="221"/>
      <c r="AF10" s="221"/>
      <c r="AG10" s="221"/>
      <c r="AH10" s="221"/>
    </row>
    <row r="11" spans="2:34" ht="40.5" hidden="1" outlineLevel="1">
      <c r="B11" s="1015"/>
      <c r="C11" s="1016"/>
      <c r="D11" s="222"/>
      <c r="E11" s="223" t="s">
        <v>154</v>
      </c>
      <c r="F11" s="224" t="s">
        <v>155</v>
      </c>
      <c r="G11" s="225" t="s">
        <v>156</v>
      </c>
      <c r="H11" s="216"/>
      <c r="I11" s="216" t="s">
        <v>208</v>
      </c>
      <c r="J11" s="216"/>
      <c r="K11" s="216"/>
      <c r="L11" s="216"/>
      <c r="M11" s="216"/>
      <c r="N11" s="216"/>
      <c r="O11" s="216"/>
      <c r="P11" s="216"/>
      <c r="Q11" s="216"/>
      <c r="R11" s="216"/>
      <c r="AH11" s="216"/>
    </row>
    <row r="12" spans="2:34" ht="20.25" hidden="1" outlineLevel="1">
      <c r="B12" s="226">
        <f>'Summary month'!W55</f>
        <v>-71.169814299999885</v>
      </c>
      <c r="C12" s="226">
        <f>'Summary month'!I55</f>
        <v>-71.169814299999885</v>
      </c>
      <c r="D12" s="227">
        <f>C12-B12</f>
        <v>0</v>
      </c>
      <c r="E12" s="228">
        <f>'[9]New KPI vs BP'!$AN$34</f>
        <v>6.9474450359739297</v>
      </c>
      <c r="F12" s="228" t="e">
        <f>'Summary month'!AA82-E13</f>
        <v>#REF!</v>
      </c>
      <c r="G12" s="229" t="e">
        <f>'Summary month'!AA83-E14</f>
        <v>#REF!</v>
      </c>
      <c r="H12" s="216"/>
      <c r="I12" s="286" t="e">
        <f>SUM(E12:G12)-D12</f>
        <v>#REF!</v>
      </c>
      <c r="J12" s="216"/>
      <c r="K12" s="216"/>
      <c r="L12" s="216"/>
      <c r="M12" s="216"/>
      <c r="N12" s="216"/>
      <c r="O12" s="230"/>
      <c r="P12" s="216"/>
      <c r="Q12" s="216"/>
      <c r="R12" s="216"/>
      <c r="AH12" s="230"/>
    </row>
    <row r="13" spans="2:34" hidden="1" outlineLevel="1">
      <c r="B13" s="216"/>
      <c r="C13" s="216"/>
      <c r="D13" s="216"/>
      <c r="E13" s="315" t="e">
        <f>SUM(N9:O9)</f>
        <v>#REF!</v>
      </c>
      <c r="F13" s="216" t="s">
        <v>308</v>
      </c>
      <c r="G13" s="216"/>
      <c r="H13" s="216"/>
      <c r="I13" s="216"/>
      <c r="J13" s="216"/>
      <c r="K13" s="216"/>
      <c r="L13" s="216"/>
      <c r="M13" s="216"/>
      <c r="N13" s="216"/>
      <c r="O13" s="216" t="s">
        <v>53</v>
      </c>
      <c r="P13" s="216">
        <f>-'Summary month'!AA66</f>
        <v>0</v>
      </c>
      <c r="Q13" s="216"/>
      <c r="R13" s="216"/>
      <c r="AH13" s="216"/>
    </row>
    <row r="14" spans="2:34" hidden="1" outlineLevel="1">
      <c r="B14" s="216"/>
      <c r="C14" s="216" t="s">
        <v>51</v>
      </c>
      <c r="D14" s="216" t="s">
        <v>50</v>
      </c>
      <c r="E14" s="315" t="e">
        <f>P9</f>
        <v>#REF!</v>
      </c>
      <c r="F14" s="216" t="s">
        <v>309</v>
      </c>
      <c r="G14" s="216"/>
      <c r="H14" s="216"/>
      <c r="I14" s="216"/>
      <c r="J14" s="216"/>
      <c r="K14" s="216"/>
      <c r="L14" s="216"/>
      <c r="M14" s="216"/>
      <c r="N14" s="216"/>
      <c r="O14" s="216" t="s">
        <v>54</v>
      </c>
      <c r="P14" s="216">
        <f>-'Summary month'!AA67</f>
        <v>0</v>
      </c>
      <c r="Q14" s="216"/>
      <c r="R14" s="216"/>
      <c r="AH14" s="216"/>
    </row>
    <row r="15" spans="2:34" ht="21" hidden="1" outlineLevel="1" thickBot="1">
      <c r="B15" s="231" t="s">
        <v>157</v>
      </c>
      <c r="C15" s="232" t="s">
        <v>56</v>
      </c>
      <c r="D15" s="232" t="s">
        <v>57</v>
      </c>
      <c r="E15" s="232"/>
      <c r="F15" s="232"/>
      <c r="G15" s="232"/>
      <c r="H15" s="232"/>
      <c r="I15" s="232"/>
      <c r="J15" s="232"/>
      <c r="K15" s="232"/>
      <c r="L15" s="232"/>
      <c r="M15" s="232"/>
      <c r="N15" s="232"/>
      <c r="O15" s="232" t="s">
        <v>55</v>
      </c>
      <c r="P15" s="216">
        <f>-'Summary month'!AA68</f>
        <v>0</v>
      </c>
      <c r="Q15" s="232"/>
      <c r="R15" s="232" t="s">
        <v>60</v>
      </c>
      <c r="AA15" t="s">
        <v>52</v>
      </c>
      <c r="AB15" t="s">
        <v>59</v>
      </c>
      <c r="AH15" s="217" t="s">
        <v>138</v>
      </c>
    </row>
    <row r="16" spans="2:34" ht="21" hidden="1" outlineLevel="1" thickBot="1">
      <c r="B16" s="233"/>
      <c r="C16" s="234" t="s">
        <v>159</v>
      </c>
      <c r="D16" s="234"/>
      <c r="E16" s="234"/>
      <c r="F16" s="234"/>
      <c r="G16" s="234"/>
      <c r="H16" s="234"/>
      <c r="I16" s="234"/>
      <c r="J16" s="234"/>
      <c r="K16" s="234"/>
      <c r="L16" s="234"/>
      <c r="M16" s="234"/>
      <c r="N16" s="234"/>
      <c r="O16" s="234"/>
      <c r="P16" s="234"/>
      <c r="Q16" s="234"/>
      <c r="R16" s="234"/>
      <c r="S16" s="235"/>
      <c r="T16" s="236"/>
      <c r="U16" s="237" t="s">
        <v>160</v>
      </c>
      <c r="V16" s="237"/>
      <c r="W16" s="237"/>
      <c r="X16" s="237"/>
      <c r="Y16" s="237"/>
      <c r="Z16" s="237"/>
      <c r="AA16" s="237"/>
      <c r="AB16" s="237"/>
      <c r="AC16" s="237"/>
      <c r="AD16" s="237"/>
      <c r="AE16" s="237"/>
      <c r="AF16" s="237"/>
      <c r="AG16" s="237"/>
      <c r="AH16" s="238"/>
    </row>
    <row r="17" spans="2:34" ht="20.100000000000001" hidden="1" customHeight="1" outlineLevel="1">
      <c r="B17" s="1027" t="s">
        <v>274</v>
      </c>
      <c r="C17" s="239" t="s">
        <v>161</v>
      </c>
      <c r="D17" s="240"/>
      <c r="E17" s="240"/>
      <c r="F17" s="240"/>
      <c r="G17" s="241"/>
      <c r="H17" s="1017" t="s">
        <v>162</v>
      </c>
      <c r="I17" s="242" t="s">
        <v>163</v>
      </c>
      <c r="J17" s="243"/>
      <c r="K17" s="243"/>
      <c r="L17" s="243"/>
      <c r="M17" s="243"/>
      <c r="N17" s="244"/>
      <c r="O17" s="1019" t="s">
        <v>164</v>
      </c>
      <c r="P17" s="1019" t="s">
        <v>165</v>
      </c>
      <c r="Q17" s="1019" t="s">
        <v>166</v>
      </c>
      <c r="R17" s="1022" t="s">
        <v>167</v>
      </c>
      <c r="S17" s="1023" t="s">
        <v>168</v>
      </c>
      <c r="T17" s="1027" t="s">
        <v>274</v>
      </c>
      <c r="U17" s="245" t="s">
        <v>169</v>
      </c>
      <c r="V17" s="246"/>
      <c r="W17" s="246"/>
      <c r="X17" s="247"/>
      <c r="Y17" s="248" t="s">
        <v>163</v>
      </c>
      <c r="Z17" s="246"/>
      <c r="AA17" s="246"/>
      <c r="AB17" s="246"/>
      <c r="AC17" s="246"/>
      <c r="AD17" s="247"/>
      <c r="AE17" s="1022" t="s">
        <v>166</v>
      </c>
      <c r="AF17" s="1025" t="s">
        <v>167</v>
      </c>
      <c r="AG17" s="311"/>
      <c r="AH17" s="1012" t="s">
        <v>168</v>
      </c>
    </row>
    <row r="18" spans="2:34" ht="77.45" hidden="1" customHeight="1" outlineLevel="1">
      <c r="B18" s="1028"/>
      <c r="C18" s="249" t="s">
        <v>170</v>
      </c>
      <c r="D18" s="250" t="s">
        <v>171</v>
      </c>
      <c r="E18" s="250" t="s">
        <v>172</v>
      </c>
      <c r="F18" s="250" t="s">
        <v>173</v>
      </c>
      <c r="G18" s="251" t="s">
        <v>174</v>
      </c>
      <c r="H18" s="1018"/>
      <c r="I18" s="250" t="s">
        <v>175</v>
      </c>
      <c r="J18" s="250" t="s">
        <v>176</v>
      </c>
      <c r="K18" s="250" t="s">
        <v>177</v>
      </c>
      <c r="L18" s="250" t="s">
        <v>178</v>
      </c>
      <c r="M18" s="250" t="s">
        <v>168</v>
      </c>
      <c r="N18" s="250" t="s">
        <v>179</v>
      </c>
      <c r="O18" s="1020"/>
      <c r="P18" s="1021"/>
      <c r="Q18" s="1021"/>
      <c r="R18" s="1021"/>
      <c r="S18" s="1024"/>
      <c r="T18" s="1028"/>
      <c r="U18" s="307" t="s">
        <v>203</v>
      </c>
      <c r="V18" s="308" t="s">
        <v>180</v>
      </c>
      <c r="W18" s="309" t="s">
        <v>181</v>
      </c>
      <c r="X18" s="310" t="s">
        <v>33</v>
      </c>
      <c r="Y18" s="305" t="s">
        <v>25</v>
      </c>
      <c r="Z18" s="306" t="s">
        <v>183</v>
      </c>
      <c r="AA18" s="306" t="s">
        <v>204</v>
      </c>
      <c r="AB18" s="306" t="s">
        <v>205</v>
      </c>
      <c r="AC18" s="306" t="s">
        <v>184</v>
      </c>
      <c r="AD18" s="306" t="s">
        <v>30</v>
      </c>
      <c r="AE18" s="1021"/>
      <c r="AF18" s="1026"/>
      <c r="AG18" s="312" t="s">
        <v>37</v>
      </c>
      <c r="AH18" s="1013"/>
    </row>
    <row r="19" spans="2:34" ht="21" hidden="1" outlineLevel="1" thickBot="1">
      <c r="B19" s="252" t="e">
        <f>E13</f>
        <v>#REF!</v>
      </c>
      <c r="C19" s="253" t="e">
        <f>C61-'Summary month'!AA64-'Summary month'!AA69+J10-N9</f>
        <v>#REF!</v>
      </c>
      <c r="D19" s="254">
        <f>S67-'Summary month'!AA63-'Summary month'!AA70-O9</f>
        <v>-0.90964658602447934</v>
      </c>
      <c r="E19" s="254" t="e">
        <f>E61</f>
        <v>#REF!</v>
      </c>
      <c r="F19" s="254" t="e">
        <f>F61</f>
        <v>#REF!</v>
      </c>
      <c r="G19" s="254"/>
      <c r="H19" s="254"/>
      <c r="I19" s="254">
        <f>I61</f>
        <v>-2.2812683670231291</v>
      </c>
      <c r="J19" s="255">
        <f>J61</f>
        <v>-14.169233963575827</v>
      </c>
      <c r="K19" s="255">
        <f>K61</f>
        <v>-12.3</v>
      </c>
      <c r="L19" s="255">
        <f>L61</f>
        <v>0</v>
      </c>
      <c r="M19" s="255">
        <f>M61</f>
        <v>89.128253931434671</v>
      </c>
      <c r="N19" s="255"/>
      <c r="O19" s="254">
        <f>SUM(P13:P15)</f>
        <v>0</v>
      </c>
      <c r="P19" s="254"/>
      <c r="Q19" s="256"/>
      <c r="R19" s="254" t="e">
        <f>R61-'Summary month'!AA73</f>
        <v>#REF!</v>
      </c>
      <c r="S19" s="257" t="e">
        <f>F12-SUM(C19:R19)</f>
        <v>#REF!</v>
      </c>
      <c r="T19" s="253" t="e">
        <f>E14</f>
        <v>#REF!</v>
      </c>
      <c r="U19" s="253" t="e">
        <f>U61</f>
        <v>#REF!</v>
      </c>
      <c r="V19" s="258">
        <f>V61</f>
        <v>0</v>
      </c>
      <c r="W19" s="258"/>
      <c r="X19" s="258" t="e">
        <f>X61</f>
        <v>#REF!</v>
      </c>
      <c r="Y19" s="258" t="e">
        <f>Y61</f>
        <v>#REF!</v>
      </c>
      <c r="Z19" s="258" t="e">
        <f>Z61</f>
        <v>#REF!</v>
      </c>
      <c r="AA19" s="258">
        <f>AA61-'Summary month'!AA65</f>
        <v>0</v>
      </c>
      <c r="AB19" s="258">
        <f>-'Summary month'!AA72</f>
        <v>0</v>
      </c>
      <c r="AC19" s="258" t="e">
        <f>AC61</f>
        <v>#REF!</v>
      </c>
      <c r="AD19" s="258">
        <f>AD61</f>
        <v>-0.11215198391395376</v>
      </c>
      <c r="AE19" s="256"/>
      <c r="AF19" s="259"/>
      <c r="AG19" s="254" t="e">
        <f>AG61</f>
        <v>#REF!</v>
      </c>
      <c r="AH19" s="260" t="e">
        <f>G12-SUM(U19:AG19)</f>
        <v>#REF!</v>
      </c>
    </row>
    <row r="20" spans="2:34" hidden="1" outlineLevel="1">
      <c r="B20" s="286" t="e">
        <f>B19-B61</f>
        <v>#REF!</v>
      </c>
      <c r="C20" s="286" t="e">
        <f t="shared" ref="C20:S20" si="0">C19-C61</f>
        <v>#REF!</v>
      </c>
      <c r="D20" s="286">
        <f t="shared" si="0"/>
        <v>-0.90964658602447934</v>
      </c>
      <c r="E20" s="286" t="e">
        <f t="shared" si="0"/>
        <v>#REF!</v>
      </c>
      <c r="F20" s="286" t="e">
        <f t="shared" si="0"/>
        <v>#REF!</v>
      </c>
      <c r="G20" s="286">
        <f t="shared" si="0"/>
        <v>0</v>
      </c>
      <c r="H20" s="286">
        <f t="shared" si="0"/>
        <v>0</v>
      </c>
      <c r="I20" s="286">
        <f t="shared" si="0"/>
        <v>0</v>
      </c>
      <c r="J20" s="286">
        <f t="shared" si="0"/>
        <v>0</v>
      </c>
      <c r="K20" s="286">
        <f t="shared" si="0"/>
        <v>0</v>
      </c>
      <c r="L20" s="286">
        <f t="shared" si="0"/>
        <v>0</v>
      </c>
      <c r="M20" s="286">
        <f t="shared" si="0"/>
        <v>0</v>
      </c>
      <c r="N20" s="286">
        <f t="shared" si="0"/>
        <v>0</v>
      </c>
      <c r="O20" s="286">
        <f t="shared" si="0"/>
        <v>0</v>
      </c>
      <c r="P20" s="286">
        <f t="shared" si="0"/>
        <v>0</v>
      </c>
      <c r="Q20" s="286">
        <f t="shared" si="0"/>
        <v>0</v>
      </c>
      <c r="R20" s="286" t="e">
        <f t="shared" si="0"/>
        <v>#REF!</v>
      </c>
      <c r="S20" s="286" t="e">
        <f t="shared" si="0"/>
        <v>#REF!</v>
      </c>
      <c r="T20" s="216"/>
      <c r="U20" s="216"/>
      <c r="V20" s="216"/>
      <c r="W20" s="216"/>
      <c r="X20" s="216"/>
      <c r="Y20" s="216"/>
      <c r="Z20" s="216"/>
      <c r="AA20" s="216">
        <f>'[9]New KPI vs BP'!$AN$20</f>
        <v>-2.0510781877509585E-2</v>
      </c>
      <c r="AB20" s="216"/>
      <c r="AC20" s="216"/>
      <c r="AD20" s="216"/>
      <c r="AE20" s="216"/>
      <c r="AF20" s="216"/>
      <c r="AG20" s="216"/>
      <c r="AH20" s="216"/>
    </row>
    <row r="21" spans="2:34" ht="18" hidden="1" outlineLevel="1">
      <c r="B21" s="221"/>
      <c r="C21" s="261"/>
      <c r="D21" s="262"/>
      <c r="E21" s="262"/>
      <c r="F21" s="262"/>
      <c r="G21" s="262"/>
      <c r="H21" s="262"/>
      <c r="I21" s="262"/>
      <c r="J21" s="262"/>
      <c r="K21" s="262"/>
      <c r="L21" s="262"/>
      <c r="M21" s="262"/>
      <c r="N21" s="262"/>
      <c r="O21" s="262"/>
      <c r="P21" s="262"/>
      <c r="Q21" s="262"/>
      <c r="R21" s="262"/>
      <c r="S21" s="221"/>
      <c r="T21" s="221"/>
      <c r="U21" s="221"/>
      <c r="V21" s="221"/>
      <c r="W21" s="221"/>
    </row>
    <row r="22" spans="2:34" ht="18" hidden="1" outlineLevel="1">
      <c r="B22" s="216"/>
      <c r="C22" s="266"/>
      <c r="D22" s="267"/>
      <c r="E22" s="267"/>
      <c r="F22" s="267"/>
      <c r="G22" s="267"/>
      <c r="H22" s="267"/>
      <c r="I22" s="267"/>
      <c r="J22" s="267"/>
      <c r="K22" s="267"/>
      <c r="L22" s="267"/>
      <c r="M22" s="267"/>
      <c r="N22" s="267"/>
      <c r="O22" s="267"/>
      <c r="P22" s="267"/>
      <c r="Q22" s="267"/>
      <c r="R22" s="267"/>
      <c r="S22" s="216"/>
      <c r="T22" s="216"/>
      <c r="U22" s="216"/>
      <c r="V22" s="216"/>
      <c r="W22" s="216"/>
    </row>
    <row r="23" spans="2:34" ht="20.25" hidden="1" outlineLevel="1">
      <c r="B23" s="221" t="s">
        <v>277</v>
      </c>
      <c r="C23" s="426" t="e">
        <f>C61</f>
        <v>#REF!</v>
      </c>
      <c r="D23" s="216"/>
      <c r="E23" s="216" t="s">
        <v>281</v>
      </c>
      <c r="F23" s="216" t="s">
        <v>274</v>
      </c>
      <c r="G23" s="216"/>
      <c r="H23" s="216"/>
      <c r="I23" s="273" t="s">
        <v>188</v>
      </c>
      <c r="J23" s="274"/>
      <c r="K23" s="274"/>
      <c r="L23" s="274"/>
      <c r="M23" s="275">
        <f>M19</f>
        <v>89.128253931434671</v>
      </c>
      <c r="N23" s="216"/>
      <c r="P23" s="273" t="s">
        <v>191</v>
      </c>
      <c r="Q23" s="274"/>
      <c r="R23" s="274"/>
      <c r="S23" s="294" t="e">
        <f>S19</f>
        <v>#REF!</v>
      </c>
      <c r="T23" s="216"/>
      <c r="U23" s="516">
        <f>-S67+S26</f>
        <v>0</v>
      </c>
      <c r="V23" s="216"/>
      <c r="W23" s="216"/>
      <c r="X23" s="263" t="s">
        <v>185</v>
      </c>
      <c r="Y23" s="264"/>
      <c r="Z23" s="264"/>
      <c r="AA23" s="265">
        <f>AD19</f>
        <v>-0.11215198391395376</v>
      </c>
      <c r="AC23" s="221"/>
      <c r="AE23" s="263" t="s">
        <v>186</v>
      </c>
      <c r="AF23" s="264"/>
      <c r="AG23" s="264"/>
      <c r="AH23" s="265" t="e">
        <f>AH19</f>
        <v>#REF!</v>
      </c>
    </row>
    <row r="24" spans="2:34" ht="18" hidden="1" outlineLevel="1">
      <c r="B24" s="216" t="s">
        <v>278</v>
      </c>
      <c r="C24" s="426" t="e">
        <f>-'Summary month'!AA64</f>
        <v>#VALUE!</v>
      </c>
      <c r="D24" s="216"/>
      <c r="E24" s="435" t="e">
        <f>C24-F24</f>
        <v>#VALUE!</v>
      </c>
      <c r="F24" s="436">
        <v>0.73312859726109303</v>
      </c>
      <c r="G24" s="216"/>
      <c r="H24" s="216"/>
      <c r="I24" s="279">
        <v>1</v>
      </c>
      <c r="J24" s="269" t="str">
        <f>J66</f>
        <v>Supplier claims (c/o)</v>
      </c>
      <c r="K24" s="270"/>
      <c r="L24" s="270"/>
      <c r="M24" s="280">
        <f>M66</f>
        <v>16.899999999999999</v>
      </c>
      <c r="N24" s="216"/>
      <c r="P24" s="279">
        <v>1</v>
      </c>
      <c r="Q24" s="269" t="s">
        <v>193</v>
      </c>
      <c r="R24" s="270"/>
      <c r="S24" s="280"/>
      <c r="T24" s="216"/>
      <c r="U24" s="216"/>
      <c r="V24" s="216"/>
      <c r="W24" s="216"/>
      <c r="X24" s="268">
        <v>1</v>
      </c>
      <c r="Y24" s="269"/>
      <c r="Z24" s="270"/>
      <c r="AA24" s="271"/>
      <c r="AC24" s="216"/>
      <c r="AE24" s="268">
        <v>1</v>
      </c>
      <c r="AF24" s="269" t="s">
        <v>187</v>
      </c>
      <c r="AG24" s="270"/>
      <c r="AH24" s="271">
        <f>AH66</f>
        <v>-6.1184341000000586E-2</v>
      </c>
    </row>
    <row r="25" spans="2:34" ht="18" hidden="1" outlineLevel="1">
      <c r="B25" s="216" t="s">
        <v>279</v>
      </c>
      <c r="C25" s="427">
        <f>-'Summary month'!AA69</f>
        <v>0</v>
      </c>
      <c r="D25" s="216"/>
      <c r="E25" s="216"/>
      <c r="F25" s="216"/>
      <c r="G25" s="216"/>
      <c r="H25" s="216"/>
      <c r="I25" s="279">
        <v>2</v>
      </c>
      <c r="J25" s="276" t="str">
        <f>J67</f>
        <v>CH Sales to renault</v>
      </c>
      <c r="K25" s="277"/>
      <c r="L25" s="277"/>
      <c r="M25" s="281">
        <f>M67</f>
        <v>-3</v>
      </c>
      <c r="N25" s="216"/>
      <c r="P25" s="279">
        <v>2</v>
      </c>
      <c r="Q25" s="276" t="s">
        <v>195</v>
      </c>
      <c r="R25" s="277"/>
      <c r="S25" s="281"/>
      <c r="T25" s="216"/>
      <c r="U25" s="216"/>
      <c r="V25" s="216"/>
      <c r="W25" s="216"/>
      <c r="X25" s="268">
        <v>2</v>
      </c>
      <c r="Y25" s="276"/>
      <c r="Z25" s="277"/>
      <c r="AA25" s="278"/>
      <c r="AC25" s="216"/>
      <c r="AE25" s="268">
        <v>2</v>
      </c>
      <c r="AF25" s="276"/>
      <c r="AG25" s="277"/>
      <c r="AH25" s="278"/>
    </row>
    <row r="26" spans="2:34" ht="18" hidden="1" outlineLevel="1">
      <c r="B26" s="216" t="s">
        <v>280</v>
      </c>
      <c r="C26" s="438" t="e">
        <f>J10-N9</f>
        <v>#REF!</v>
      </c>
      <c r="D26" s="216"/>
      <c r="E26" s="216"/>
      <c r="F26" s="216"/>
      <c r="G26" s="216"/>
      <c r="H26" s="216"/>
      <c r="I26" s="279">
        <v>3</v>
      </c>
      <c r="J26" s="276"/>
      <c r="K26" s="277"/>
      <c r="L26" s="277"/>
      <c r="M26" s="281"/>
      <c r="N26" s="216"/>
      <c r="P26" s="279">
        <v>3</v>
      </c>
      <c r="Q26" s="276" t="s">
        <v>58</v>
      </c>
      <c r="R26" s="277"/>
      <c r="S26" s="278">
        <f>-'Summary month'!AA71</f>
        <v>0</v>
      </c>
      <c r="T26" s="216"/>
      <c r="U26" s="216"/>
      <c r="V26" s="216"/>
      <c r="W26" s="216"/>
      <c r="X26" s="268">
        <v>3</v>
      </c>
      <c r="Y26" s="276"/>
      <c r="Z26" s="277"/>
      <c r="AA26" s="278"/>
      <c r="AC26" s="216"/>
      <c r="AE26" s="268">
        <v>3</v>
      </c>
      <c r="AF26" s="276"/>
      <c r="AG26" s="277"/>
      <c r="AH26" s="278"/>
    </row>
    <row r="27" spans="2:34" ht="18" hidden="1" outlineLevel="1">
      <c r="B27" s="216"/>
      <c r="C27" s="216"/>
      <c r="D27" s="272"/>
      <c r="E27" s="272"/>
      <c r="F27" s="272"/>
      <c r="G27" s="272"/>
      <c r="H27" s="272"/>
      <c r="I27" s="279">
        <v>4</v>
      </c>
      <c r="J27" s="276"/>
      <c r="K27" s="277"/>
      <c r="L27" s="277"/>
      <c r="M27" s="281"/>
      <c r="N27" s="216"/>
      <c r="P27" s="279">
        <v>4</v>
      </c>
      <c r="Q27" s="276"/>
      <c r="R27" s="277"/>
      <c r="S27" s="281"/>
      <c r="T27" s="216"/>
      <c r="U27" s="216"/>
      <c r="V27" s="216"/>
      <c r="W27" s="216"/>
      <c r="X27" s="268">
        <v>4</v>
      </c>
      <c r="Y27" s="276"/>
      <c r="Z27" s="277"/>
      <c r="AA27" s="278"/>
      <c r="AC27" s="216"/>
      <c r="AE27" s="268">
        <v>4</v>
      </c>
      <c r="AF27" s="276"/>
      <c r="AG27" s="277"/>
      <c r="AH27" s="278"/>
    </row>
    <row r="28" spans="2:34" ht="18" hidden="1" outlineLevel="1">
      <c r="B28" s="216"/>
      <c r="C28" s="272"/>
      <c r="D28" s="216"/>
      <c r="E28" s="216"/>
      <c r="F28" s="216"/>
      <c r="G28" s="216"/>
      <c r="H28" s="216"/>
      <c r="I28" s="288">
        <v>5</v>
      </c>
      <c r="J28" s="289" t="s">
        <v>182</v>
      </c>
      <c r="K28" s="284"/>
      <c r="L28" s="284"/>
      <c r="M28" s="290">
        <f>M23-SUM(M24:M27)</f>
        <v>75.228253931434665</v>
      </c>
      <c r="N28" s="216"/>
      <c r="P28" s="279">
        <v>5</v>
      </c>
      <c r="Q28" s="276"/>
      <c r="R28" s="277"/>
      <c r="S28" s="281"/>
      <c r="T28" s="216"/>
      <c r="U28" s="216"/>
      <c r="V28" s="216"/>
      <c r="W28" s="216"/>
      <c r="X28" s="282">
        <v>5</v>
      </c>
      <c r="Y28" s="283" t="s">
        <v>182</v>
      </c>
      <c r="Z28" s="284"/>
      <c r="AA28" s="285">
        <f>AA23-SUM(AA24:AA27)</f>
        <v>-0.11215198391395376</v>
      </c>
      <c r="AC28" s="216"/>
      <c r="AE28" s="282">
        <v>5</v>
      </c>
      <c r="AF28" s="283" t="s">
        <v>182</v>
      </c>
      <c r="AG28" s="284"/>
      <c r="AH28" s="285" t="e">
        <f>AH23-SUM(AH24:AH27)</f>
        <v>#REF!</v>
      </c>
    </row>
    <row r="29" spans="2:34" ht="18" hidden="1" outlineLevel="1">
      <c r="B29" s="216"/>
      <c r="C29" s="272"/>
      <c r="D29" s="216"/>
      <c r="E29" s="216"/>
      <c r="F29" s="216"/>
      <c r="G29" s="216"/>
      <c r="H29" s="216"/>
      <c r="I29" s="216"/>
      <c r="J29" s="216"/>
      <c r="K29" s="216"/>
      <c r="L29" s="216"/>
      <c r="M29" s="286">
        <f>M28-M76</f>
        <v>58.772966200643367</v>
      </c>
      <c r="N29" s="216"/>
      <c r="P29" s="279">
        <v>6</v>
      </c>
      <c r="Q29" s="276"/>
      <c r="R29" s="277"/>
      <c r="S29" s="281"/>
      <c r="T29" s="216"/>
      <c r="U29" s="216"/>
      <c r="V29" s="216"/>
      <c r="W29" s="216"/>
      <c r="X29" s="216"/>
      <c r="Y29" s="216"/>
      <c r="Z29" s="216"/>
      <c r="AA29" s="286">
        <f>AA28-AA70</f>
        <v>2.2731734999999991</v>
      </c>
      <c r="AC29" s="216"/>
      <c r="AD29" s="216"/>
      <c r="AE29" s="216"/>
      <c r="AF29" s="216"/>
      <c r="AG29" s="287"/>
      <c r="AH29" s="286" t="e">
        <f>AH28-AH70</f>
        <v>#REF!</v>
      </c>
    </row>
    <row r="30" spans="2:34" ht="18" hidden="1" outlineLevel="1">
      <c r="B30" s="216"/>
      <c r="C30" s="272"/>
      <c r="D30" s="272"/>
      <c r="E30" s="216"/>
      <c r="F30" s="216"/>
      <c r="G30" s="216"/>
      <c r="H30" s="216"/>
      <c r="I30" s="216"/>
      <c r="J30" s="216"/>
      <c r="K30" s="216"/>
      <c r="L30" s="216"/>
      <c r="M30" s="216"/>
      <c r="N30" s="216"/>
      <c r="P30" s="279">
        <v>7</v>
      </c>
      <c r="Q30" s="276"/>
      <c r="R30" s="277"/>
      <c r="S30" s="281"/>
      <c r="T30" s="216"/>
      <c r="U30" s="216"/>
      <c r="V30" s="216"/>
      <c r="W30" s="216"/>
      <c r="X30" s="216"/>
      <c r="Y30" s="216"/>
      <c r="Z30" s="216"/>
      <c r="AA30" s="216"/>
      <c r="AB30" s="216"/>
      <c r="AC30" s="216"/>
      <c r="AD30" s="216"/>
      <c r="AE30" s="216"/>
      <c r="AF30" s="216"/>
      <c r="AG30" s="216"/>
      <c r="AH30" s="216"/>
    </row>
    <row r="31" spans="2:34" ht="18" hidden="1" outlineLevel="1">
      <c r="B31" s="216"/>
      <c r="G31" s="216"/>
      <c r="H31" s="216"/>
      <c r="I31" s="216"/>
      <c r="J31" s="216"/>
      <c r="K31" s="216"/>
      <c r="L31" s="216"/>
      <c r="M31" s="216"/>
      <c r="N31" s="216"/>
      <c r="P31" s="279">
        <v>8</v>
      </c>
      <c r="Q31" s="276"/>
      <c r="R31" s="277"/>
      <c r="S31" s="278"/>
      <c r="T31" s="216"/>
      <c r="U31" s="216"/>
      <c r="V31" s="216"/>
      <c r="W31" s="216"/>
      <c r="X31" s="216"/>
      <c r="Y31" s="216"/>
      <c r="Z31" s="216"/>
      <c r="AA31" s="216"/>
      <c r="AB31" s="216"/>
      <c r="AC31" s="216"/>
      <c r="AD31" s="216"/>
      <c r="AE31" s="216"/>
      <c r="AF31" s="216"/>
      <c r="AG31" s="216"/>
      <c r="AH31" s="216"/>
    </row>
    <row r="32" spans="2:34" ht="18" hidden="1" outlineLevel="1">
      <c r="B32" s="216"/>
      <c r="G32" s="216"/>
      <c r="H32" s="216"/>
      <c r="I32" s="216"/>
      <c r="J32" s="216"/>
      <c r="K32" s="216"/>
      <c r="L32" s="216"/>
      <c r="M32" s="216"/>
      <c r="N32" s="216"/>
      <c r="P32" s="279">
        <v>9</v>
      </c>
      <c r="Q32" s="276"/>
      <c r="R32" s="277"/>
      <c r="S32" s="278"/>
      <c r="T32" s="216"/>
      <c r="U32" s="272"/>
      <c r="V32" s="272"/>
      <c r="W32" s="272"/>
      <c r="X32" s="216"/>
      <c r="Y32" s="216"/>
      <c r="Z32" s="216"/>
      <c r="AA32" s="216"/>
      <c r="AB32" s="216"/>
      <c r="AC32" s="216"/>
      <c r="AD32" s="216"/>
      <c r="AE32" s="216"/>
      <c r="AF32" s="216"/>
      <c r="AG32" s="216"/>
      <c r="AH32" s="216"/>
    </row>
    <row r="33" spans="2:34" ht="18" hidden="1" outlineLevel="1">
      <c r="B33" s="216"/>
      <c r="G33" s="216"/>
      <c r="H33" s="216"/>
      <c r="I33" s="216"/>
      <c r="J33" s="216"/>
      <c r="K33" s="216"/>
      <c r="L33" s="216"/>
      <c r="M33" s="216"/>
      <c r="N33" s="216"/>
      <c r="P33" s="288">
        <v>10</v>
      </c>
      <c r="Q33" s="283" t="s">
        <v>182</v>
      </c>
      <c r="R33" s="284"/>
      <c r="S33" s="285" t="e">
        <f>S23-SUM(S24:S32)</f>
        <v>#REF!</v>
      </c>
      <c r="T33" s="216"/>
      <c r="U33" s="216"/>
      <c r="V33" s="216"/>
      <c r="W33" s="216"/>
      <c r="X33" s="297"/>
      <c r="Y33" s="216"/>
      <c r="Z33" s="216"/>
      <c r="AA33" s="216"/>
      <c r="AB33" s="216"/>
      <c r="AC33" s="216"/>
      <c r="AD33" s="216"/>
      <c r="AE33" s="216"/>
      <c r="AF33" s="216"/>
      <c r="AG33" s="216"/>
      <c r="AH33" s="216"/>
    </row>
    <row r="34" spans="2:34" hidden="1" outlineLevel="1">
      <c r="B34" s="216"/>
      <c r="G34" s="216"/>
      <c r="H34" s="216"/>
      <c r="I34" s="216"/>
      <c r="J34" s="216"/>
      <c r="K34" s="216"/>
      <c r="L34" s="216"/>
      <c r="M34" s="216"/>
      <c r="N34" s="216"/>
      <c r="O34" s="216"/>
      <c r="P34" s="216"/>
      <c r="Q34" s="216"/>
      <c r="R34" s="216"/>
      <c r="S34" s="286" t="e">
        <f>S33-S75</f>
        <v>#REF!</v>
      </c>
      <c r="T34" s="216"/>
      <c r="U34" s="216"/>
      <c r="V34" s="216"/>
      <c r="W34" s="216"/>
      <c r="X34" s="216"/>
      <c r="Y34" s="216"/>
      <c r="Z34" s="216"/>
      <c r="AA34" s="216"/>
      <c r="AB34" s="216"/>
      <c r="AC34" s="216"/>
      <c r="AD34" s="216"/>
      <c r="AE34" s="216"/>
      <c r="AF34" s="216"/>
      <c r="AG34" s="216"/>
      <c r="AH34" s="216"/>
    </row>
    <row r="35" spans="2:34" collapsed="1">
      <c r="B35" s="216"/>
      <c r="G35" s="216"/>
      <c r="H35" s="216"/>
      <c r="I35" s="216"/>
      <c r="J35" s="216"/>
      <c r="K35" s="216"/>
      <c r="L35" s="216"/>
      <c r="M35" s="216"/>
      <c r="N35" s="216"/>
      <c r="T35" s="216"/>
      <c r="U35" s="216"/>
      <c r="V35" s="216"/>
      <c r="W35" s="216"/>
      <c r="X35" s="216"/>
      <c r="Y35" s="216"/>
      <c r="Z35" s="216"/>
      <c r="AA35" s="216"/>
      <c r="AB35" s="216"/>
      <c r="AC35" s="216"/>
      <c r="AD35" s="216"/>
      <c r="AE35" s="216"/>
      <c r="AF35" s="216"/>
      <c r="AG35" s="216"/>
      <c r="AH35" s="216"/>
    </row>
    <row r="36" spans="2:34">
      <c r="B36" s="216"/>
      <c r="G36" s="216"/>
      <c r="H36" s="216"/>
      <c r="I36" s="216"/>
      <c r="J36" s="216"/>
      <c r="K36" s="216"/>
      <c r="L36" s="216"/>
      <c r="M36" s="216"/>
      <c r="N36" s="216"/>
      <c r="T36" s="216"/>
      <c r="U36" s="216"/>
      <c r="V36" s="216"/>
      <c r="W36" s="216"/>
      <c r="X36" s="216"/>
      <c r="Y36" s="216"/>
      <c r="Z36" s="216"/>
      <c r="AA36" s="216"/>
      <c r="AB36" s="216"/>
      <c r="AC36" s="216"/>
      <c r="AD36" s="216"/>
      <c r="AE36" s="216"/>
      <c r="AF36" s="216"/>
      <c r="AG36" s="216"/>
      <c r="AH36" s="216"/>
    </row>
    <row r="37" spans="2:34" ht="16.5">
      <c r="B37" s="216"/>
      <c r="C37" s="291"/>
      <c r="D37" s="216"/>
      <c r="E37" s="216"/>
      <c r="F37" s="292" t="s">
        <v>189</v>
      </c>
      <c r="G37" s="216"/>
      <c r="H37" s="216"/>
      <c r="I37" s="216"/>
      <c r="J37" s="216"/>
      <c r="K37" s="216"/>
      <c r="L37" s="216"/>
      <c r="M37" s="216"/>
      <c r="N37" s="216"/>
      <c r="T37" s="216"/>
      <c r="U37" s="216"/>
      <c r="V37" s="216"/>
      <c r="W37" s="216"/>
      <c r="X37" s="216"/>
      <c r="Y37" s="216"/>
      <c r="Z37" s="216"/>
      <c r="AA37" s="216"/>
      <c r="AB37" s="216"/>
      <c r="AC37" s="216"/>
      <c r="AD37" s="216"/>
      <c r="AE37" s="216"/>
      <c r="AF37" s="216"/>
      <c r="AG37" s="216"/>
      <c r="AH37" s="216"/>
    </row>
    <row r="38" spans="2:34" ht="18">
      <c r="B38" s="216"/>
      <c r="C38" s="216"/>
      <c r="D38" s="293" t="s">
        <v>218</v>
      </c>
      <c r="E38" s="293" t="s">
        <v>287</v>
      </c>
      <c r="F38" s="293" t="s">
        <v>190</v>
      </c>
      <c r="G38" s="216"/>
      <c r="H38" s="216"/>
      <c r="I38" s="216"/>
      <c r="J38" s="216"/>
      <c r="K38" s="216"/>
      <c r="L38" s="216"/>
      <c r="M38" s="216"/>
      <c r="N38" s="216"/>
      <c r="T38" s="216"/>
      <c r="U38" s="216"/>
      <c r="V38" s="216"/>
      <c r="W38" s="216"/>
      <c r="X38" s="216"/>
      <c r="Y38" s="216"/>
      <c r="Z38" s="216"/>
      <c r="AA38" s="216"/>
      <c r="AB38" s="216"/>
      <c r="AC38" s="216"/>
      <c r="AD38" s="216"/>
      <c r="AE38" s="216"/>
      <c r="AF38" s="216"/>
      <c r="AG38" s="216"/>
      <c r="AH38" s="216"/>
    </row>
    <row r="39" spans="2:34" ht="20.25">
      <c r="B39" s="216"/>
      <c r="C39" s="295" t="s">
        <v>192</v>
      </c>
      <c r="D39" s="296">
        <f>'[9]P&amp;L vs BP'!$AC$24</f>
        <v>100251</v>
      </c>
      <c r="E39" s="296">
        <f>'QTD VA vs BP'!E33</f>
        <v>82846</v>
      </c>
      <c r="F39" s="296">
        <f>E39-D39</f>
        <v>-17405</v>
      </c>
      <c r="G39" s="216"/>
      <c r="H39" s="216"/>
      <c r="I39" s="216"/>
      <c r="J39" s="216"/>
      <c r="K39" s="216"/>
      <c r="L39" s="216"/>
      <c r="M39" s="216"/>
      <c r="N39" s="216"/>
      <c r="T39" s="216"/>
      <c r="U39" s="216"/>
      <c r="V39" s="216"/>
      <c r="W39" s="216"/>
      <c r="X39" s="216"/>
      <c r="Y39" s="216"/>
      <c r="Z39" s="216"/>
      <c r="AA39" s="216"/>
      <c r="AB39" s="216"/>
      <c r="AC39" s="216"/>
      <c r="AD39" s="216"/>
      <c r="AE39" s="216"/>
      <c r="AF39" s="216"/>
      <c r="AG39" s="216"/>
      <c r="AH39" s="216"/>
    </row>
    <row r="40" spans="2:34" ht="20.25">
      <c r="B40" s="216"/>
      <c r="C40" s="295" t="s">
        <v>194</v>
      </c>
      <c r="D40" s="296">
        <f>'[9]P&amp;L vs BP'!$AC$27</f>
        <v>2927</v>
      </c>
      <c r="E40" s="296">
        <f>'QTD VA vs BP'!E34</f>
        <v>2953</v>
      </c>
      <c r="F40" s="296">
        <f>E40-D40</f>
        <v>26</v>
      </c>
      <c r="G40" s="216"/>
      <c r="H40" s="216"/>
      <c r="I40" s="216"/>
      <c r="J40" s="216"/>
      <c r="K40" s="216"/>
      <c r="L40" s="216"/>
      <c r="M40" s="216"/>
      <c r="N40" s="216"/>
      <c r="T40" s="216"/>
      <c r="U40" s="216"/>
      <c r="V40" s="216"/>
      <c r="W40" s="216"/>
      <c r="X40" s="216"/>
      <c r="Y40" s="216"/>
      <c r="Z40" s="216"/>
      <c r="AA40" s="216"/>
      <c r="AB40" s="216"/>
      <c r="AC40" s="216"/>
      <c r="AD40" s="216"/>
      <c r="AE40" s="216"/>
      <c r="AF40" s="216"/>
      <c r="AG40" s="216"/>
      <c r="AH40" s="216"/>
    </row>
    <row r="41" spans="2:34">
      <c r="B41" s="216"/>
      <c r="C41" s="216"/>
      <c r="D41" s="298"/>
      <c r="E41" s="298"/>
      <c r="F41" s="298"/>
      <c r="G41" s="216"/>
      <c r="H41" s="216"/>
      <c r="I41" s="216"/>
      <c r="J41" s="216"/>
      <c r="K41" s="216"/>
      <c r="L41" s="216"/>
      <c r="M41" s="216"/>
      <c r="N41" s="216"/>
      <c r="T41" s="216"/>
      <c r="U41" s="216"/>
      <c r="V41" s="216"/>
      <c r="W41" s="216"/>
      <c r="X41" s="216"/>
      <c r="Y41" s="216"/>
      <c r="Z41" s="216"/>
      <c r="AA41" s="216"/>
      <c r="AB41" s="216"/>
      <c r="AC41" s="216"/>
      <c r="AD41" s="216"/>
      <c r="AE41" s="216"/>
      <c r="AF41" s="216"/>
      <c r="AG41" s="216"/>
      <c r="AH41" s="216"/>
    </row>
    <row r="42" spans="2:34" ht="20.25">
      <c r="B42" s="216"/>
      <c r="C42" s="295" t="s">
        <v>196</v>
      </c>
      <c r="D42" s="296">
        <f>'[9]P&amp;L vs BP'!$AC$18</f>
        <v>75094</v>
      </c>
      <c r="E42" s="296">
        <f>'QTD VA vs BP'!E36</f>
        <v>60757</v>
      </c>
      <c r="F42" s="296">
        <f>E42-D42</f>
        <v>-14337</v>
      </c>
      <c r="G42" s="216"/>
      <c r="H42" s="216"/>
      <c r="I42" s="216"/>
      <c r="J42" s="216"/>
      <c r="K42" s="216"/>
      <c r="L42" s="216"/>
      <c r="M42" s="216"/>
      <c r="N42" s="216"/>
      <c r="T42" s="216"/>
      <c r="U42" s="216"/>
      <c r="V42" s="216"/>
      <c r="W42" s="216"/>
      <c r="X42" s="216"/>
      <c r="Y42" s="216"/>
      <c r="Z42" s="216"/>
      <c r="AA42" s="216"/>
      <c r="AB42" s="216"/>
      <c r="AC42" s="216"/>
      <c r="AD42" s="216"/>
      <c r="AE42" s="216"/>
      <c r="AF42" s="216"/>
      <c r="AG42" s="216"/>
      <c r="AH42" s="216"/>
    </row>
    <row r="43" spans="2:34">
      <c r="B43" s="216"/>
      <c r="C43" s="216"/>
      <c r="D43" s="216"/>
      <c r="E43" s="216"/>
      <c r="F43" s="216"/>
      <c r="G43" s="216"/>
      <c r="H43" s="216"/>
      <c r="I43" s="216"/>
      <c r="J43" s="216"/>
      <c r="K43" s="216"/>
      <c r="L43" s="216"/>
      <c r="M43" s="216"/>
      <c r="N43" s="216"/>
      <c r="T43" s="286"/>
      <c r="U43" s="216"/>
      <c r="V43" s="216"/>
      <c r="W43" s="216"/>
      <c r="X43" s="216"/>
      <c r="Y43" s="216"/>
      <c r="Z43" s="216"/>
      <c r="AA43" s="216"/>
      <c r="AB43" s="216"/>
      <c r="AC43" s="216"/>
      <c r="AD43" s="216"/>
      <c r="AE43" s="216"/>
      <c r="AF43" s="216"/>
      <c r="AG43" s="216"/>
      <c r="AH43" s="216"/>
    </row>
    <row r="44" spans="2:34" ht="28.5">
      <c r="B44" s="299" t="s">
        <v>197</v>
      </c>
      <c r="C44" s="216"/>
      <c r="D44" s="216"/>
      <c r="E44" s="216"/>
      <c r="F44" s="216"/>
      <c r="G44" s="216"/>
      <c r="H44" s="216"/>
      <c r="I44" s="216"/>
      <c r="J44" s="216"/>
      <c r="K44" s="216"/>
      <c r="L44" s="216"/>
      <c r="M44" s="216"/>
      <c r="N44" s="216"/>
      <c r="O44" s="216"/>
      <c r="P44" s="216"/>
      <c r="Q44" s="216"/>
      <c r="R44" s="216"/>
      <c r="S44" s="216"/>
      <c r="T44" s="216"/>
      <c r="U44" s="216"/>
      <c r="V44" s="216"/>
      <c r="W44" s="216"/>
      <c r="X44" s="216"/>
      <c r="Y44" s="216"/>
      <c r="Z44" s="216"/>
      <c r="AA44" s="216"/>
      <c r="AB44" s="216"/>
      <c r="AC44" s="216"/>
      <c r="AD44" s="216"/>
      <c r="AE44" s="216"/>
      <c r="AF44" s="216"/>
      <c r="AG44" s="216"/>
      <c r="AH44" s="216"/>
    </row>
    <row r="45" spans="2:34">
      <c r="B45" s="216"/>
      <c r="C45" s="216"/>
      <c r="D45" s="216"/>
      <c r="E45" s="216"/>
      <c r="F45" s="216"/>
      <c r="G45" s="216"/>
      <c r="H45" s="216"/>
      <c r="I45" s="216"/>
      <c r="J45" s="216"/>
      <c r="K45" s="216"/>
      <c r="L45" s="216"/>
      <c r="M45" s="216"/>
      <c r="N45" s="216"/>
      <c r="O45" s="216"/>
      <c r="P45" s="216"/>
      <c r="Q45" s="216"/>
      <c r="R45" s="216"/>
      <c r="S45" s="216"/>
      <c r="T45" s="216"/>
      <c r="U45" s="216"/>
      <c r="V45" s="216"/>
      <c r="W45" s="216"/>
      <c r="X45" s="216"/>
      <c r="Y45" s="216"/>
      <c r="Z45" s="216"/>
      <c r="AA45" s="216"/>
      <c r="AB45" s="216"/>
      <c r="AC45" s="216"/>
      <c r="AD45" s="216"/>
      <c r="AE45" s="216"/>
      <c r="AF45" s="216"/>
      <c r="AG45" s="216"/>
      <c r="AH45" s="216"/>
    </row>
    <row r="46" spans="2:34">
      <c r="B46" s="216"/>
      <c r="C46" s="216"/>
      <c r="D46" s="216"/>
      <c r="E46" s="216"/>
      <c r="F46" s="216"/>
      <c r="G46" s="216"/>
      <c r="H46" s="216"/>
      <c r="I46" s="216"/>
      <c r="J46" s="216"/>
      <c r="K46" s="216"/>
      <c r="L46" s="216"/>
      <c r="M46" s="216"/>
      <c r="N46" s="216"/>
      <c r="O46" s="216"/>
      <c r="P46" s="216"/>
      <c r="Q46" s="216"/>
      <c r="R46" s="216"/>
      <c r="S46" s="216"/>
      <c r="T46" s="216"/>
      <c r="U46" s="216"/>
      <c r="V46" s="216"/>
      <c r="W46" s="216"/>
      <c r="X46" s="216"/>
      <c r="Y46" s="216"/>
      <c r="Z46" s="216"/>
      <c r="AA46" s="216"/>
      <c r="AB46" s="216"/>
      <c r="AC46" s="216"/>
      <c r="AD46" s="216"/>
      <c r="AE46" s="216"/>
      <c r="AF46" s="216"/>
      <c r="AG46" s="216"/>
      <c r="AH46" s="216"/>
    </row>
    <row r="47" spans="2:34" ht="20.25">
      <c r="B47" s="216"/>
      <c r="C47" s="226" t="str">
        <f>B52</f>
        <v>LY QTD</v>
      </c>
      <c r="D47" s="226" t="str">
        <f>C52</f>
        <v>Act QTD</v>
      </c>
      <c r="E47" s="226" t="s">
        <v>320</v>
      </c>
      <c r="F47" s="226" t="s">
        <v>321</v>
      </c>
      <c r="G47" s="226" t="s">
        <v>322</v>
      </c>
      <c r="H47" s="292" t="s">
        <v>323</v>
      </c>
      <c r="I47" s="216"/>
      <c r="J47" s="216"/>
      <c r="K47" s="216"/>
      <c r="L47" s="216"/>
      <c r="M47" s="216"/>
      <c r="N47" s="216"/>
      <c r="O47" s="216"/>
      <c r="P47" s="216"/>
      <c r="Q47" s="216"/>
      <c r="R47" s="216"/>
      <c r="S47" s="216"/>
      <c r="T47" s="216"/>
      <c r="U47" s="216"/>
      <c r="V47" s="216"/>
      <c r="W47" s="216"/>
      <c r="X47" s="216"/>
      <c r="Y47" s="216"/>
      <c r="Z47" s="216"/>
      <c r="AA47" s="216"/>
      <c r="AB47" s="216"/>
      <c r="AC47" s="216"/>
      <c r="AD47" s="216"/>
      <c r="AE47" s="216"/>
      <c r="AF47" s="216"/>
      <c r="AG47" s="216"/>
      <c r="AH47" s="216"/>
    </row>
    <row r="48" spans="2:34" ht="20.25">
      <c r="B48" s="226" t="s">
        <v>324</v>
      </c>
      <c r="C48" s="229">
        <f>'Summary month'!AO27</f>
        <v>156.56781746366863</v>
      </c>
      <c r="D48" s="229">
        <f>'Summary month'!I27</f>
        <v>86.083619587646751</v>
      </c>
      <c r="E48" s="226">
        <f>+D48-C48</f>
        <v>-70.484197876021881</v>
      </c>
      <c r="F48" s="226" t="e">
        <f>B61</f>
        <v>#REF!</v>
      </c>
      <c r="G48" s="226" t="e">
        <f>SUM(C61:S61)</f>
        <v>#REF!</v>
      </c>
      <c r="H48" s="502" t="e">
        <f>E48-F48-G48</f>
        <v>#REF!</v>
      </c>
      <c r="I48" s="216"/>
      <c r="J48" s="216"/>
      <c r="K48" s="216"/>
      <c r="L48" s="216"/>
      <c r="M48" s="216"/>
      <c r="N48" s="216"/>
      <c r="O48" s="216"/>
      <c r="P48" s="216"/>
      <c r="Q48" s="216"/>
      <c r="R48" s="216"/>
      <c r="S48" s="216"/>
      <c r="T48" s="216"/>
      <c r="U48" s="216"/>
      <c r="V48" s="216"/>
      <c r="W48" s="216"/>
      <c r="X48" s="216"/>
      <c r="Y48" s="216"/>
      <c r="Z48" s="216"/>
      <c r="AA48" s="216"/>
      <c r="AB48" s="216"/>
      <c r="AC48" s="216"/>
      <c r="AD48" s="216"/>
      <c r="AE48" s="216"/>
      <c r="AF48" s="216"/>
      <c r="AG48" s="216"/>
      <c r="AH48" s="216"/>
    </row>
    <row r="49" spans="2:34" ht="20.25">
      <c r="B49" s="226" t="s">
        <v>325</v>
      </c>
      <c r="C49" s="229">
        <f>'Summary month'!AO46</f>
        <v>-120.99759203768781</v>
      </c>
      <c r="D49" s="229">
        <f>'Summary month'!I46</f>
        <v>-128.47130442265509</v>
      </c>
      <c r="E49" s="226">
        <f>+D49-C49</f>
        <v>-7.4737123849672855</v>
      </c>
      <c r="F49" s="226" t="e">
        <f>T61</f>
        <v>#REF!</v>
      </c>
      <c r="G49" s="226" t="e">
        <f>SUM(U61:AH61)</f>
        <v>#REF!</v>
      </c>
      <c r="H49" s="502" t="e">
        <f>E49-F49-G49</f>
        <v>#REF!</v>
      </c>
      <c r="I49" s="216"/>
      <c r="J49" s="216"/>
      <c r="K49" s="216"/>
      <c r="L49" s="216"/>
      <c r="M49" s="216"/>
      <c r="N49" s="216"/>
      <c r="O49" s="216"/>
      <c r="P49" s="216"/>
      <c r="Q49" s="216"/>
      <c r="R49" s="216"/>
      <c r="S49" s="216"/>
      <c r="T49" s="216"/>
      <c r="U49" s="216"/>
      <c r="V49" s="216"/>
      <c r="W49" s="216"/>
      <c r="X49" s="216"/>
      <c r="Y49" s="216"/>
      <c r="Z49" s="216"/>
      <c r="AA49" s="216"/>
      <c r="AB49" s="216"/>
      <c r="AC49" s="216"/>
      <c r="AD49" s="216"/>
      <c r="AE49" s="216"/>
      <c r="AF49" s="216"/>
      <c r="AG49" s="216"/>
      <c r="AH49" s="216"/>
    </row>
    <row r="50" spans="2:34" ht="20.25">
      <c r="B50" s="226" t="s">
        <v>326</v>
      </c>
      <c r="C50" s="226">
        <f>+C48+C49</f>
        <v>35.570225425980823</v>
      </c>
      <c r="D50" s="226">
        <f>+D48+D49</f>
        <v>-42.387684835008343</v>
      </c>
      <c r="E50" s="226">
        <f>+D50-C50</f>
        <v>-77.957910260989166</v>
      </c>
      <c r="F50" s="226" t="e">
        <f>+E50-G50</f>
        <v>#REF!</v>
      </c>
      <c r="G50" s="226" t="e">
        <f>+G48+G49</f>
        <v>#REF!</v>
      </c>
      <c r="H50" s="502" t="e">
        <f>E50-F50-G50</f>
        <v>#REF!</v>
      </c>
      <c r="I50" s="216"/>
      <c r="J50" s="216"/>
      <c r="K50" s="216"/>
      <c r="L50" s="216"/>
      <c r="M50" s="216"/>
      <c r="N50" s="216"/>
      <c r="O50" s="216"/>
      <c r="P50" s="216"/>
      <c r="Q50" s="216"/>
      <c r="R50" s="216"/>
      <c r="S50" s="216"/>
      <c r="T50" s="216"/>
      <c r="U50" s="216"/>
      <c r="V50" s="216"/>
      <c r="W50" s="216"/>
      <c r="X50" s="216"/>
      <c r="Y50" s="216"/>
      <c r="Z50" s="216"/>
      <c r="AA50" s="216"/>
      <c r="AB50" s="216"/>
      <c r="AC50" s="216"/>
      <c r="AD50" s="216"/>
      <c r="AE50" s="216"/>
      <c r="AF50" s="216"/>
      <c r="AG50" s="216"/>
      <c r="AH50" s="216"/>
    </row>
    <row r="51" spans="2:34" ht="18">
      <c r="B51" s="215"/>
      <c r="C51" s="216"/>
      <c r="D51" s="215"/>
      <c r="E51" s="216"/>
      <c r="F51" s="215"/>
      <c r="G51" s="217" t="s">
        <v>138</v>
      </c>
      <c r="H51" s="216"/>
      <c r="I51" s="216"/>
      <c r="J51" s="216"/>
      <c r="K51" s="216"/>
      <c r="L51" s="216"/>
      <c r="M51" s="216"/>
      <c r="N51" s="216"/>
      <c r="O51" s="216"/>
      <c r="P51" s="216"/>
      <c r="Q51" s="216"/>
      <c r="R51" s="216"/>
      <c r="S51" s="216"/>
      <c r="T51" s="216"/>
      <c r="U51" s="216"/>
      <c r="V51" s="216"/>
      <c r="W51" s="216"/>
      <c r="X51" s="216"/>
      <c r="Y51" s="216"/>
      <c r="Z51" s="216"/>
      <c r="AA51" s="216"/>
      <c r="AB51" s="216"/>
      <c r="AC51" s="216"/>
      <c r="AD51" s="216"/>
      <c r="AE51" s="216"/>
      <c r="AF51" s="216"/>
      <c r="AG51" s="216"/>
      <c r="AH51" s="216"/>
    </row>
    <row r="52" spans="2:34" ht="20.100000000000001" customHeight="1">
      <c r="B52" s="1014" t="s">
        <v>343</v>
      </c>
      <c r="C52" s="1014" t="s">
        <v>214</v>
      </c>
      <c r="D52" s="218"/>
      <c r="E52" s="219"/>
      <c r="F52" s="219"/>
      <c r="G52" s="220"/>
      <c r="H52" s="216"/>
      <c r="I52" s="216"/>
      <c r="J52" s="216"/>
      <c r="K52" s="216"/>
      <c r="L52" s="216" t="s">
        <v>301</v>
      </c>
      <c r="M52" s="478" t="e">
        <f>SUM(E55:E57,G55)</f>
        <v>#REF!</v>
      </c>
      <c r="N52" s="216"/>
      <c r="O52" s="221"/>
      <c r="P52" s="221"/>
      <c r="Q52" s="221"/>
      <c r="R52" s="216"/>
      <c r="S52" s="216"/>
      <c r="T52" s="216"/>
      <c r="U52" s="216"/>
      <c r="V52" s="216"/>
      <c r="W52" s="221"/>
      <c r="X52" s="221"/>
      <c r="Y52" s="221"/>
      <c r="Z52" s="221"/>
      <c r="AA52" s="221"/>
      <c r="AB52" s="221"/>
      <c r="AC52" s="221"/>
      <c r="AD52" s="221"/>
      <c r="AE52" s="221"/>
      <c r="AF52" s="221"/>
      <c r="AG52" s="221"/>
      <c r="AH52" s="221"/>
    </row>
    <row r="53" spans="2:34" ht="40.5">
      <c r="B53" s="1015"/>
      <c r="C53" s="1016"/>
      <c r="D53" s="222"/>
      <c r="E53" s="223" t="s">
        <v>154</v>
      </c>
      <c r="F53" s="224" t="s">
        <v>198</v>
      </c>
      <c r="G53" s="225" t="s">
        <v>156</v>
      </c>
      <c r="H53" s="216"/>
      <c r="I53" s="216" t="s">
        <v>208</v>
      </c>
      <c r="J53" s="216"/>
      <c r="K53" s="216"/>
      <c r="L53" s="216" t="s">
        <v>302</v>
      </c>
      <c r="M53" s="334" t="e">
        <f>SUM(U62:AH62,AJ66)</f>
        <v>#REF!</v>
      </c>
      <c r="N53" s="216"/>
      <c r="O53" s="216"/>
      <c r="P53" s="216"/>
      <c r="Q53" s="216"/>
      <c r="R53" s="216"/>
      <c r="S53" s="216"/>
      <c r="T53" s="216"/>
      <c r="V53" s="216"/>
      <c r="W53" s="216"/>
      <c r="X53" s="216"/>
      <c r="Y53" s="216"/>
      <c r="Z53" s="216"/>
      <c r="AA53" s="216"/>
      <c r="AB53" s="216"/>
      <c r="AC53" s="407" t="s">
        <v>266</v>
      </c>
      <c r="AD53" s="408">
        <v>2.2731734999999991</v>
      </c>
      <c r="AE53" s="216"/>
      <c r="AF53" s="216"/>
      <c r="AG53" s="216"/>
      <c r="AH53" s="216"/>
    </row>
    <row r="54" spans="2:34" ht="20.25">
      <c r="B54" s="226">
        <f>'Summary month'!AO47</f>
        <v>35.570225425980823</v>
      </c>
      <c r="C54" s="226">
        <f>'Summary month'!I47</f>
        <v>-42.387684835008343</v>
      </c>
      <c r="D54" s="227">
        <f>C54-B54</f>
        <v>-77.957910260989166</v>
      </c>
      <c r="E54" s="228" t="e">
        <f>SUM(M52:M53)</f>
        <v>#REF!</v>
      </c>
      <c r="F54" s="229" t="e">
        <f>'Summary month'!AS27-M52</f>
        <v>#REF!</v>
      </c>
      <c r="G54" s="229" t="e">
        <f>'Summary month'!AS46-M53</f>
        <v>#REF!</v>
      </c>
      <c r="H54" s="216"/>
      <c r="I54" s="286" t="e">
        <f>SUM(E54:G54)-D54</f>
        <v>#REF!</v>
      </c>
      <c r="J54" s="216"/>
      <c r="K54" s="216"/>
      <c r="L54" s="216"/>
      <c r="M54" s="216"/>
      <c r="N54" s="216"/>
      <c r="O54" s="230"/>
      <c r="P54" s="216"/>
      <c r="Q54" s="216"/>
      <c r="R54" s="216"/>
      <c r="S54" s="216"/>
      <c r="T54" s="216"/>
      <c r="U54" s="216"/>
      <c r="V54" s="216"/>
      <c r="W54" s="230"/>
      <c r="X54" s="216"/>
      <c r="Y54" s="230"/>
      <c r="Z54" s="230"/>
      <c r="AA54" s="230"/>
      <c r="AB54" s="230"/>
      <c r="AC54" s="409" t="s">
        <v>269</v>
      </c>
      <c r="AD54" s="408">
        <v>0.629</v>
      </c>
      <c r="AE54" s="230"/>
      <c r="AF54" s="230"/>
      <c r="AG54" s="230"/>
      <c r="AH54" s="230"/>
    </row>
    <row r="55" spans="2:34">
      <c r="B55" s="216"/>
      <c r="C55" s="216"/>
      <c r="D55" s="216" t="s">
        <v>139</v>
      </c>
      <c r="E55" s="436" t="e">
        <f>#REF!+#REF!+#REF!</f>
        <v>#REF!</v>
      </c>
      <c r="F55" s="216" t="s">
        <v>193</v>
      </c>
      <c r="G55" s="484" t="e">
        <f>#REF!+#REF!+#REF!</f>
        <v>#REF!</v>
      </c>
      <c r="H55" s="216"/>
      <c r="I55" s="216"/>
      <c r="J55" s="216"/>
      <c r="K55" s="216"/>
      <c r="L55" s="216"/>
      <c r="M55" s="216"/>
      <c r="N55" s="216"/>
      <c r="O55" s="216"/>
      <c r="P55" s="216"/>
      <c r="Q55" s="216"/>
      <c r="R55" s="216"/>
      <c r="S55" s="216"/>
      <c r="T55" s="216"/>
      <c r="U55" s="216"/>
      <c r="V55" s="216"/>
      <c r="W55" s="216" t="s">
        <v>145</v>
      </c>
      <c r="X55" s="411" t="e">
        <f>#REF!-Y55</f>
        <v>#REF!</v>
      </c>
      <c r="Y55" s="216" t="e">
        <f>#REF!</f>
        <v>#REF!</v>
      </c>
      <c r="Z55" s="216"/>
      <c r="AA55" s="216"/>
      <c r="AB55" s="216"/>
      <c r="AC55" s="407" t="s">
        <v>141</v>
      </c>
      <c r="AD55" s="408">
        <v>-0.91145554399999995</v>
      </c>
      <c r="AE55" s="216"/>
      <c r="AF55" s="216"/>
      <c r="AG55" s="216"/>
      <c r="AH55" s="216"/>
    </row>
    <row r="56" spans="2:34">
      <c r="B56" s="216"/>
      <c r="C56" s="216"/>
      <c r="D56" s="216" t="s">
        <v>200</v>
      </c>
      <c r="E56" s="436" t="e">
        <f>#REF!+#REF!</f>
        <v>#REF!</v>
      </c>
      <c r="F56" s="216"/>
      <c r="G56" s="216"/>
      <c r="H56" s="216"/>
      <c r="I56" s="216"/>
      <c r="J56" s="216"/>
      <c r="K56" s="216"/>
      <c r="L56" s="216"/>
      <c r="M56" s="216">
        <v>81.555287730791292</v>
      </c>
      <c r="N56" s="216"/>
      <c r="O56" s="216"/>
      <c r="P56" s="216"/>
      <c r="Q56" s="216"/>
      <c r="R56" s="216"/>
      <c r="S56" s="216"/>
      <c r="T56" s="216"/>
      <c r="W56" t="s">
        <v>193</v>
      </c>
      <c r="X56" s="412" t="e">
        <f>#REF!-Y56</f>
        <v>#REF!</v>
      </c>
      <c r="Y56" t="e">
        <f>#REF!</f>
        <v>#REF!</v>
      </c>
      <c r="AC56" s="407" t="s">
        <v>144</v>
      </c>
      <c r="AD56" s="417">
        <f>AD61-SUM(AD53:AD55)</f>
        <v>-2.102869939913953</v>
      </c>
      <c r="AH56" s="216"/>
    </row>
    <row r="57" spans="2:34" ht="21" thickBot="1">
      <c r="B57" s="231" t="s">
        <v>157</v>
      </c>
      <c r="C57" s="232"/>
      <c r="D57" s="232" t="s">
        <v>145</v>
      </c>
      <c r="E57" s="483" t="e">
        <f>#REF!+#REF!+#REF!</f>
        <v>#REF!</v>
      </c>
      <c r="F57" s="232"/>
      <c r="G57" s="232"/>
      <c r="H57" s="232"/>
      <c r="I57" s="232"/>
      <c r="J57" s="232"/>
      <c r="K57" s="232"/>
      <c r="L57" s="232"/>
      <c r="M57" s="232"/>
      <c r="N57" s="232"/>
      <c r="O57" s="232"/>
      <c r="P57" s="232"/>
      <c r="Q57" s="232"/>
      <c r="R57" s="232"/>
      <c r="S57" s="232"/>
      <c r="T57" s="232"/>
      <c r="U57" s="232"/>
      <c r="V57" s="232"/>
      <c r="W57" s="232" t="s">
        <v>144</v>
      </c>
      <c r="X57" s="313" t="e">
        <f>X61-SUM(X55:X56)</f>
        <v>#REF!</v>
      </c>
      <c r="Y57" s="232"/>
      <c r="Z57" s="232"/>
      <c r="AA57" s="232"/>
      <c r="AB57" s="232"/>
      <c r="AC57" s="232"/>
      <c r="AD57" s="232"/>
      <c r="AE57" s="232"/>
      <c r="AF57" s="232"/>
      <c r="AG57" s="232"/>
      <c r="AH57" s="217" t="s">
        <v>138</v>
      </c>
    </row>
    <row r="58" spans="2:34" ht="21" thickBot="1">
      <c r="B58" s="233"/>
      <c r="C58" s="234" t="s">
        <v>199</v>
      </c>
      <c r="D58" s="234"/>
      <c r="E58" s="234"/>
      <c r="F58" s="234"/>
      <c r="G58" s="234"/>
      <c r="H58" s="234"/>
      <c r="I58" s="234"/>
      <c r="J58" s="234"/>
      <c r="K58" s="234"/>
      <c r="L58" s="234"/>
      <c r="M58" s="234"/>
      <c r="N58" s="234"/>
      <c r="O58" s="234"/>
      <c r="P58" s="234"/>
      <c r="Q58" s="234"/>
      <c r="R58" s="234"/>
      <c r="S58" s="235"/>
      <c r="T58" s="236"/>
      <c r="U58" s="237" t="s">
        <v>160</v>
      </c>
      <c r="V58" s="237"/>
      <c r="W58" s="237"/>
      <c r="X58" s="237"/>
      <c r="Y58" s="237"/>
      <c r="Z58" s="237"/>
      <c r="AA58" s="237"/>
      <c r="AB58" s="237"/>
      <c r="AC58" s="237"/>
      <c r="AD58" s="237"/>
      <c r="AE58" s="237"/>
      <c r="AF58" s="237"/>
      <c r="AG58" s="237"/>
      <c r="AH58" s="238"/>
    </row>
    <row r="59" spans="2:34" ht="20.25">
      <c r="B59" s="1027" t="s">
        <v>274</v>
      </c>
      <c r="C59" s="239" t="s">
        <v>161</v>
      </c>
      <c r="D59" s="240"/>
      <c r="E59" s="240"/>
      <c r="F59" s="240"/>
      <c r="G59" s="241"/>
      <c r="H59" s="1017" t="s">
        <v>162</v>
      </c>
      <c r="I59" s="242" t="s">
        <v>163</v>
      </c>
      <c r="J59" s="243"/>
      <c r="K59" s="243"/>
      <c r="L59" s="243"/>
      <c r="M59" s="243"/>
      <c r="N59" s="244"/>
      <c r="O59" s="1029" t="s">
        <v>164</v>
      </c>
      <c r="P59" s="1029" t="s">
        <v>165</v>
      </c>
      <c r="Q59" s="1019" t="s">
        <v>166</v>
      </c>
      <c r="R59" s="1022" t="s">
        <v>167</v>
      </c>
      <c r="S59" s="1023" t="s">
        <v>168</v>
      </c>
      <c r="T59" s="1027" t="s">
        <v>274</v>
      </c>
      <c r="U59" s="245" t="s">
        <v>169</v>
      </c>
      <c r="V59" s="246"/>
      <c r="W59" s="246"/>
      <c r="X59" s="247"/>
      <c r="Y59" s="248" t="s">
        <v>163</v>
      </c>
      <c r="Z59" s="246"/>
      <c r="AA59" s="246"/>
      <c r="AB59" s="246"/>
      <c r="AC59" s="246"/>
      <c r="AD59" s="247"/>
      <c r="AE59" s="1022" t="s">
        <v>166</v>
      </c>
      <c r="AF59" s="1025" t="s">
        <v>167</v>
      </c>
      <c r="AG59" s="311"/>
      <c r="AH59" s="1012" t="s">
        <v>168</v>
      </c>
    </row>
    <row r="60" spans="2:34" ht="60.75">
      <c r="B60" s="1028"/>
      <c r="C60" s="249" t="s">
        <v>170</v>
      </c>
      <c r="D60" s="300" t="s">
        <v>171</v>
      </c>
      <c r="E60" s="250" t="s">
        <v>172</v>
      </c>
      <c r="F60" s="250" t="s">
        <v>173</v>
      </c>
      <c r="G60" s="251" t="s">
        <v>174</v>
      </c>
      <c r="H60" s="1018"/>
      <c r="I60" s="250" t="s">
        <v>175</v>
      </c>
      <c r="J60" s="250" t="s">
        <v>176</v>
      </c>
      <c r="K60" s="250" t="s">
        <v>201</v>
      </c>
      <c r="L60" s="250" t="s">
        <v>178</v>
      </c>
      <c r="M60" s="250" t="s">
        <v>168</v>
      </c>
      <c r="N60" s="250" t="s">
        <v>179</v>
      </c>
      <c r="O60" s="1030"/>
      <c r="P60" s="1031"/>
      <c r="Q60" s="1021"/>
      <c r="R60" s="1021"/>
      <c r="S60" s="1024"/>
      <c r="T60" s="1028"/>
      <c r="U60" s="307" t="s">
        <v>203</v>
      </c>
      <c r="V60" s="308" t="s">
        <v>180</v>
      </c>
      <c r="W60" s="309" t="s">
        <v>181</v>
      </c>
      <c r="X60" s="310" t="s">
        <v>33</v>
      </c>
      <c r="Y60" s="305" t="s">
        <v>25</v>
      </c>
      <c r="Z60" s="306" t="s">
        <v>183</v>
      </c>
      <c r="AA60" s="306" t="s">
        <v>204</v>
      </c>
      <c r="AB60" s="306" t="s">
        <v>205</v>
      </c>
      <c r="AC60" s="306" t="s">
        <v>184</v>
      </c>
      <c r="AD60" s="306" t="s">
        <v>30</v>
      </c>
      <c r="AE60" s="1021"/>
      <c r="AF60" s="1026"/>
      <c r="AG60" s="312" t="s">
        <v>37</v>
      </c>
      <c r="AH60" s="1013"/>
    </row>
    <row r="61" spans="2:34" ht="21" thickBot="1">
      <c r="B61" s="252" t="e">
        <f>M52</f>
        <v>#REF!</v>
      </c>
      <c r="C61" s="253" t="e">
        <f>#REF!+#REF!</f>
        <v>#REF!</v>
      </c>
      <c r="D61" s="302"/>
      <c r="E61" s="254" t="e">
        <f>#REF!</f>
        <v>#REF!</v>
      </c>
      <c r="F61" s="254" t="e">
        <f>#REF!+#REF!</f>
        <v>#REF!</v>
      </c>
      <c r="G61" s="254"/>
      <c r="H61" s="254"/>
      <c r="I61" s="254">
        <v>-2.2812683670231291</v>
      </c>
      <c r="J61" s="255">
        <v>-14.169233963575827</v>
      </c>
      <c r="K61" s="255">
        <v>-12.3</v>
      </c>
      <c r="L61" s="255">
        <v>0</v>
      </c>
      <c r="M61" s="255">
        <v>89.128253931434671</v>
      </c>
      <c r="N61" s="303"/>
      <c r="O61" s="302"/>
      <c r="P61" s="302"/>
      <c r="Q61" s="256"/>
      <c r="R61" s="254" t="e">
        <f>#REF!</f>
        <v>#REF!</v>
      </c>
      <c r="S61" s="257" t="e">
        <f>F54-SUM(C61:R61)</f>
        <v>#REF!</v>
      </c>
      <c r="T61" s="253" t="e">
        <f>M53</f>
        <v>#REF!</v>
      </c>
      <c r="U61" s="253" t="e">
        <f>'Summary month'!AS36-U62</f>
        <v>#REF!</v>
      </c>
      <c r="V61" s="258">
        <f>'Summary month'!AS37-V62</f>
        <v>0</v>
      </c>
      <c r="W61" s="258"/>
      <c r="X61" s="258" t="e">
        <f>'Summary month'!AS38-X62</f>
        <v>#REF!</v>
      </c>
      <c r="Y61" s="258" t="e">
        <f>'Summary month'!AS29-Y62</f>
        <v>#REF!</v>
      </c>
      <c r="Z61" s="258" t="e">
        <f>'Summary month'!AS30-Z62</f>
        <v>#REF!</v>
      </c>
      <c r="AA61" s="258">
        <f>'Summary month'!AS31-AA62</f>
        <v>0</v>
      </c>
      <c r="AB61" s="301"/>
      <c r="AC61" s="258" t="e">
        <f>'Summary month'!AS32-AC62</f>
        <v>#REF!</v>
      </c>
      <c r="AD61" s="258">
        <f>'Summary month'!AS34</f>
        <v>-0.11215198391395376</v>
      </c>
      <c r="AE61" s="256"/>
      <c r="AF61" s="259"/>
      <c r="AG61" s="254" t="e">
        <f>'Summary month'!AS42-AG62</f>
        <v>#REF!</v>
      </c>
      <c r="AH61" s="260" t="e">
        <f>G54-SUM(U61:AG61)</f>
        <v>#REF!</v>
      </c>
    </row>
    <row r="62" spans="2:34" ht="18">
      <c r="B62" s="216"/>
      <c r="C62" s="272"/>
      <c r="D62" s="216"/>
      <c r="E62" s="216"/>
      <c r="F62" s="216"/>
      <c r="G62" s="216"/>
      <c r="H62" s="216"/>
      <c r="I62" s="216"/>
      <c r="J62" s="216"/>
      <c r="K62" s="216"/>
      <c r="L62" s="216"/>
      <c r="M62" s="216"/>
      <c r="N62" s="216"/>
      <c r="O62" s="216"/>
      <c r="P62" s="216"/>
      <c r="Q62" s="216"/>
      <c r="R62" s="216"/>
      <c r="S62" s="216"/>
      <c r="T62" s="216"/>
      <c r="U62" s="479" t="e">
        <f>#REF!</f>
        <v>#REF!</v>
      </c>
      <c r="V62" s="479"/>
      <c r="W62" s="479"/>
      <c r="X62" s="479" t="e">
        <f>SUM(Y55:Y56)</f>
        <v>#REF!</v>
      </c>
      <c r="Y62" s="479" t="e">
        <f>#REF!-Z62</f>
        <v>#REF!</v>
      </c>
      <c r="Z62" s="479" t="e">
        <f>#REF!</f>
        <v>#REF!</v>
      </c>
      <c r="AA62" s="479"/>
      <c r="AB62" s="479"/>
      <c r="AC62" s="479" t="e">
        <f>#REF!</f>
        <v>#REF!</v>
      </c>
      <c r="AD62" s="479"/>
      <c r="AE62" s="479"/>
      <c r="AF62" s="479"/>
      <c r="AG62" s="482" t="e">
        <f>#REF!-AJ66</f>
        <v>#REF!</v>
      </c>
      <c r="AH62" s="479"/>
    </row>
    <row r="63" spans="2:34" ht="18">
      <c r="B63" s="221"/>
      <c r="C63" s="272"/>
      <c r="D63" s="221"/>
      <c r="E63" s="221"/>
      <c r="F63" s="221"/>
      <c r="G63" s="221"/>
      <c r="H63" s="221"/>
      <c r="I63" s="221"/>
      <c r="J63" s="221"/>
      <c r="K63" s="221"/>
      <c r="L63" s="221"/>
      <c r="M63" s="221"/>
      <c r="N63" s="221"/>
      <c r="O63" s="221"/>
      <c r="P63" s="221"/>
      <c r="Q63" s="221"/>
      <c r="R63" s="221"/>
      <c r="S63" s="221"/>
      <c r="T63" s="221"/>
      <c r="U63" s="221"/>
      <c r="V63" s="221"/>
      <c r="W63" s="221"/>
    </row>
    <row r="64" spans="2:34" ht="18">
      <c r="B64" s="216"/>
      <c r="C64" s="272"/>
      <c r="D64" s="216"/>
      <c r="E64" s="216"/>
      <c r="F64" s="216"/>
      <c r="G64" s="216" t="s">
        <v>288</v>
      </c>
      <c r="H64" s="518">
        <v>-0.2231088808122097</v>
      </c>
      <c r="I64" s="216"/>
      <c r="J64" s="216"/>
      <c r="K64" s="216"/>
      <c r="L64" s="216"/>
      <c r="M64" s="216"/>
      <c r="N64" s="216"/>
      <c r="O64" s="216"/>
      <c r="P64" s="216"/>
      <c r="Q64" s="216"/>
      <c r="R64" s="216"/>
      <c r="S64" s="216"/>
      <c r="T64" s="216"/>
      <c r="U64" s="216"/>
      <c r="V64" s="216"/>
      <c r="W64" s="216"/>
    </row>
    <row r="65" spans="2:36" ht="20.25">
      <c r="B65" s="216"/>
      <c r="C65" s="272"/>
      <c r="D65" s="216"/>
      <c r="E65" s="216"/>
      <c r="F65" s="216"/>
      <c r="G65" s="216" t="s">
        <v>290</v>
      </c>
      <c r="H65" s="216">
        <v>8.4737993976834431</v>
      </c>
      <c r="I65" s="273" t="s">
        <v>188</v>
      </c>
      <c r="J65" s="274"/>
      <c r="K65" s="274"/>
      <c r="L65" s="274"/>
      <c r="M65" s="275">
        <f>M61</f>
        <v>89.128253931434671</v>
      </c>
      <c r="N65" s="216"/>
      <c r="P65" s="273" t="s">
        <v>191</v>
      </c>
      <c r="Q65" s="274"/>
      <c r="R65" s="274"/>
      <c r="S65" s="294" t="e">
        <f>S61</f>
        <v>#REF!</v>
      </c>
      <c r="T65" s="216"/>
      <c r="U65" s="216"/>
      <c r="V65" s="216"/>
      <c r="W65" s="216"/>
      <c r="X65" s="263" t="s">
        <v>185</v>
      </c>
      <c r="Y65" s="264"/>
      <c r="Z65" s="264"/>
      <c r="AA65" s="265">
        <f>AD61</f>
        <v>-0.11215198391395376</v>
      </c>
      <c r="AC65" s="221"/>
      <c r="AE65" s="263" t="s">
        <v>186</v>
      </c>
      <c r="AF65" s="264"/>
      <c r="AG65" s="264"/>
      <c r="AH65" s="265" t="e">
        <f>AH61</f>
        <v>#REF!</v>
      </c>
    </row>
    <row r="66" spans="2:36" ht="18">
      <c r="B66" s="216"/>
      <c r="C66" s="272"/>
      <c r="D66" s="216"/>
      <c r="E66" s="216"/>
      <c r="F66" s="216"/>
      <c r="G66" s="216" t="s">
        <v>282</v>
      </c>
      <c r="H66" s="216">
        <v>-1.3737243162278521</v>
      </c>
      <c r="I66" s="279">
        <v>1</v>
      </c>
      <c r="J66" s="269" t="s">
        <v>364</v>
      </c>
      <c r="K66" s="270"/>
      <c r="L66" s="270"/>
      <c r="M66" s="280">
        <v>16.899999999999999</v>
      </c>
      <c r="N66" s="216"/>
      <c r="P66" s="279">
        <v>1</v>
      </c>
      <c r="Q66" s="269" t="s">
        <v>193</v>
      </c>
      <c r="R66" s="270"/>
      <c r="S66" s="280" t="e">
        <f>#REF!</f>
        <v>#REF!</v>
      </c>
      <c r="T66" s="216"/>
      <c r="U66" s="216"/>
      <c r="V66" s="216"/>
      <c r="W66" s="216"/>
      <c r="X66" s="268">
        <v>1</v>
      </c>
      <c r="Y66" s="269" t="s">
        <v>319</v>
      </c>
      <c r="Z66" s="270"/>
      <c r="AA66" s="271">
        <f>AD53</f>
        <v>2.2731734999999991</v>
      </c>
      <c r="AC66" s="216"/>
      <c r="AE66" s="268">
        <v>1</v>
      </c>
      <c r="AF66" s="269" t="s">
        <v>39</v>
      </c>
      <c r="AG66" s="270"/>
      <c r="AH66" s="271">
        <f>'Summary month'!AS44-AJ66</f>
        <v>-6.1184341000000586E-2</v>
      </c>
      <c r="AI66" t="s">
        <v>262</v>
      </c>
      <c r="AJ66" s="481">
        <f>'Summary month'!AS74</f>
        <v>3.9963339032700773E-2</v>
      </c>
    </row>
    <row r="67" spans="2:36" ht="18">
      <c r="B67" s="216"/>
      <c r="C67" s="272"/>
      <c r="D67" s="216"/>
      <c r="E67" s="216"/>
      <c r="F67" s="216"/>
      <c r="G67" s="216" t="s">
        <v>294</v>
      </c>
      <c r="H67" s="518">
        <v>0.69599999999999995</v>
      </c>
      <c r="I67" s="279">
        <v>2</v>
      </c>
      <c r="J67" s="276" t="s">
        <v>398</v>
      </c>
      <c r="K67" s="277"/>
      <c r="L67" s="277"/>
      <c r="M67" s="281">
        <v>-3</v>
      </c>
      <c r="N67" s="216"/>
      <c r="P67" s="279">
        <v>2</v>
      </c>
      <c r="Q67" s="276" t="s">
        <v>143</v>
      </c>
      <c r="R67" s="277"/>
      <c r="S67" s="521">
        <f>'[9]New KPI vs BP'!$CT$449</f>
        <v>0</v>
      </c>
      <c r="T67" s="216"/>
      <c r="U67" s="216"/>
      <c r="V67" s="216"/>
      <c r="W67" s="216"/>
      <c r="X67" s="268">
        <v>2</v>
      </c>
      <c r="Y67" s="276"/>
      <c r="Z67" s="277"/>
      <c r="AA67" s="278"/>
      <c r="AC67" s="216"/>
      <c r="AE67" s="268">
        <v>2</v>
      </c>
      <c r="AF67" s="276"/>
      <c r="AG67" s="277"/>
      <c r="AH67" s="278"/>
      <c r="AI67" t="s">
        <v>144</v>
      </c>
      <c r="AJ67" s="318">
        <f>AH66</f>
        <v>-6.1184341000000586E-2</v>
      </c>
    </row>
    <row r="68" spans="2:36" ht="18">
      <c r="B68" s="216"/>
      <c r="C68" s="272"/>
      <c r="D68" s="216"/>
      <c r="E68" s="216"/>
      <c r="F68" s="216"/>
      <c r="G68" s="216"/>
      <c r="H68" s="216"/>
      <c r="I68" s="279">
        <v>3</v>
      </c>
      <c r="J68" s="276" t="s">
        <v>365</v>
      </c>
      <c r="K68" s="277"/>
      <c r="L68" s="277"/>
      <c r="M68" s="281">
        <v>30</v>
      </c>
      <c r="N68" s="216"/>
      <c r="P68" s="279">
        <v>3</v>
      </c>
      <c r="Q68" s="276" t="s">
        <v>195</v>
      </c>
      <c r="R68" s="277"/>
      <c r="S68" s="281">
        <v>25.510162060943102</v>
      </c>
      <c r="T68" s="216"/>
      <c r="U68" s="216"/>
      <c r="V68" s="216"/>
      <c r="W68" s="216"/>
      <c r="X68" s="268">
        <v>3</v>
      </c>
      <c r="Y68" s="276"/>
      <c r="Z68" s="277"/>
      <c r="AA68" s="278"/>
      <c r="AC68" s="216"/>
      <c r="AE68" s="268">
        <v>3</v>
      </c>
      <c r="AF68" s="276"/>
      <c r="AG68" s="277"/>
      <c r="AH68" s="278"/>
    </row>
    <row r="69" spans="2:36" ht="18">
      <c r="B69" s="216"/>
      <c r="C69" s="216"/>
      <c r="D69" s="272"/>
      <c r="E69" s="272"/>
      <c r="F69" s="272"/>
      <c r="G69" s="272"/>
      <c r="H69" s="272"/>
      <c r="I69" s="279">
        <v>4</v>
      </c>
      <c r="J69" s="276" t="s">
        <v>366</v>
      </c>
      <c r="K69" s="277"/>
      <c r="L69" s="277"/>
      <c r="M69" s="281">
        <v>3</v>
      </c>
      <c r="N69" s="216"/>
      <c r="P69" s="279">
        <v>4</v>
      </c>
      <c r="Q69" s="276" t="s">
        <v>328</v>
      </c>
      <c r="R69" s="277"/>
      <c r="S69" s="281">
        <v>-61.593299619522554</v>
      </c>
      <c r="V69" s="216"/>
      <c r="W69" s="216"/>
      <c r="X69" s="268">
        <v>4</v>
      </c>
      <c r="Y69" s="276"/>
      <c r="Z69" s="277"/>
      <c r="AA69" s="278"/>
      <c r="AC69" s="216"/>
      <c r="AE69" s="268">
        <v>4</v>
      </c>
      <c r="AF69" s="276"/>
      <c r="AG69" s="277"/>
      <c r="AH69" s="278"/>
    </row>
    <row r="70" spans="2:36" ht="18">
      <c r="B70" s="216"/>
      <c r="C70" s="272"/>
      <c r="D70" s="216"/>
      <c r="E70" s="216"/>
      <c r="F70" s="216"/>
      <c r="G70" s="216"/>
      <c r="H70" s="216"/>
      <c r="I70" s="279">
        <v>5</v>
      </c>
      <c r="J70" s="276" t="s">
        <v>367</v>
      </c>
      <c r="K70" s="277"/>
      <c r="L70" s="277"/>
      <c r="M70" s="281">
        <v>14.5</v>
      </c>
      <c r="N70" s="216"/>
      <c r="P70" s="279">
        <v>5</v>
      </c>
      <c r="Q70" s="276" t="s">
        <v>142</v>
      </c>
      <c r="R70" s="277"/>
      <c r="S70" s="278">
        <v>42.093198007997835</v>
      </c>
      <c r="V70" s="216"/>
      <c r="W70" s="216"/>
      <c r="X70" s="282">
        <v>5</v>
      </c>
      <c r="Y70" s="283" t="s">
        <v>182</v>
      </c>
      <c r="Z70" s="284"/>
      <c r="AA70" s="285">
        <f>AA65-SUM(AA66:AA69)</f>
        <v>-2.3853254839139528</v>
      </c>
      <c r="AC70" s="216"/>
      <c r="AE70" s="282">
        <v>5</v>
      </c>
      <c r="AF70" s="283" t="s">
        <v>182</v>
      </c>
      <c r="AG70" s="284"/>
      <c r="AH70" s="285" t="e">
        <f>AH65-SUM(AH66:AH69)</f>
        <v>#REF!</v>
      </c>
    </row>
    <row r="71" spans="2:36" ht="18">
      <c r="B71" s="216"/>
      <c r="C71" s="272"/>
      <c r="D71" s="216"/>
      <c r="E71" s="216"/>
      <c r="F71" s="216"/>
      <c r="G71" s="216"/>
      <c r="H71" s="216"/>
      <c r="I71" s="279">
        <v>6</v>
      </c>
      <c r="J71" s="276" t="s">
        <v>397</v>
      </c>
      <c r="K71" s="277"/>
      <c r="L71" s="277"/>
      <c r="M71" s="281">
        <v>3.7</v>
      </c>
      <c r="N71" s="216"/>
      <c r="P71" s="279">
        <v>6</v>
      </c>
      <c r="Q71" s="276" t="s">
        <v>338</v>
      </c>
      <c r="R71" s="277"/>
      <c r="S71" s="521">
        <v>-6</v>
      </c>
      <c r="V71" s="216"/>
      <c r="W71" s="216"/>
      <c r="X71" s="216"/>
      <c r="Y71" s="216"/>
      <c r="Z71" s="216"/>
      <c r="AA71" s="216"/>
      <c r="AB71" s="216"/>
      <c r="AC71" s="216"/>
      <c r="AD71" s="216"/>
      <c r="AE71" s="216"/>
      <c r="AF71" s="216"/>
      <c r="AG71" s="216"/>
      <c r="AH71" s="216"/>
    </row>
    <row r="72" spans="2:36" ht="18">
      <c r="B72" s="216"/>
      <c r="C72" s="272"/>
      <c r="D72" s="272"/>
      <c r="E72" s="216"/>
      <c r="F72" s="216"/>
      <c r="G72" s="216"/>
      <c r="H72" s="216"/>
      <c r="I72" s="279">
        <v>7</v>
      </c>
      <c r="J72" s="276" t="s">
        <v>288</v>
      </c>
      <c r="K72" s="277"/>
      <c r="L72" s="277"/>
      <c r="M72" s="281">
        <v>-0.2231088808122097</v>
      </c>
      <c r="N72" s="216"/>
      <c r="P72" s="279">
        <v>7</v>
      </c>
      <c r="Q72" s="276" t="s">
        <v>337</v>
      </c>
      <c r="R72" s="277"/>
      <c r="S72" s="521">
        <v>-2.0080484000000003</v>
      </c>
      <c r="V72" s="216"/>
      <c r="W72" s="216"/>
      <c r="X72" s="216"/>
      <c r="Y72" s="216"/>
      <c r="Z72" s="216"/>
      <c r="AA72" s="216"/>
      <c r="AB72" s="216"/>
      <c r="AC72" s="216"/>
      <c r="AD72" s="216"/>
      <c r="AE72" s="216"/>
      <c r="AF72" s="216"/>
      <c r="AG72" s="216"/>
      <c r="AH72" s="216"/>
    </row>
    <row r="73" spans="2:36" ht="18">
      <c r="B73" s="216"/>
      <c r="C73" s="216"/>
      <c r="D73" s="216"/>
      <c r="E73" s="216"/>
      <c r="F73" s="216"/>
      <c r="G73" s="216"/>
      <c r="H73" s="216"/>
      <c r="I73" s="279">
        <v>8</v>
      </c>
      <c r="J73" s="276" t="s">
        <v>290</v>
      </c>
      <c r="K73" s="277"/>
      <c r="L73" s="277"/>
      <c r="M73" s="281">
        <v>8.4737993976834431</v>
      </c>
      <c r="N73" s="216"/>
      <c r="P73" s="279">
        <v>8</v>
      </c>
      <c r="Q73" s="276"/>
      <c r="R73" s="277"/>
      <c r="S73" s="278"/>
      <c r="V73" s="216"/>
      <c r="W73" s="216"/>
      <c r="X73" s="216"/>
      <c r="Y73" s="216"/>
      <c r="Z73" s="216"/>
      <c r="AA73" s="216"/>
      <c r="AB73" s="216"/>
      <c r="AC73" s="216"/>
      <c r="AD73" s="216"/>
      <c r="AE73" s="216"/>
      <c r="AF73" s="216"/>
      <c r="AG73" s="216"/>
      <c r="AH73" s="216"/>
    </row>
    <row r="74" spans="2:36" ht="18">
      <c r="B74" s="216"/>
      <c r="C74" s="216"/>
      <c r="D74" s="216"/>
      <c r="E74" s="216"/>
      <c r="F74" s="216"/>
      <c r="G74" s="216"/>
      <c r="H74" s="216"/>
      <c r="I74" s="279">
        <v>9</v>
      </c>
      <c r="J74" s="276" t="s">
        <v>282</v>
      </c>
      <c r="K74" s="277"/>
      <c r="L74" s="277"/>
      <c r="M74" s="281">
        <v>-1.3737243162278521</v>
      </c>
      <c r="N74" s="216"/>
      <c r="P74" s="279">
        <v>9</v>
      </c>
      <c r="Q74" s="276"/>
      <c r="R74" s="277"/>
      <c r="S74" s="278"/>
      <c r="V74" s="272"/>
      <c r="W74" s="272"/>
      <c r="X74" s="216"/>
      <c r="Y74" s="216"/>
      <c r="Z74" s="216"/>
      <c r="AA74" s="216"/>
      <c r="AB74" s="216"/>
      <c r="AC74" s="216"/>
      <c r="AD74" s="216"/>
      <c r="AE74" s="216"/>
      <c r="AF74" s="216"/>
      <c r="AG74" s="216"/>
      <c r="AH74" s="216"/>
    </row>
    <row r="75" spans="2:36" ht="18">
      <c r="B75" s="216"/>
      <c r="C75" s="216"/>
      <c r="D75" s="216"/>
      <c r="E75" s="216"/>
      <c r="F75" s="216"/>
      <c r="G75" s="216"/>
      <c r="H75" s="216"/>
      <c r="I75" s="279">
        <v>10</v>
      </c>
      <c r="J75" s="276" t="s">
        <v>294</v>
      </c>
      <c r="K75" s="277"/>
      <c r="L75" s="277"/>
      <c r="M75" s="281">
        <v>0.69599999999999995</v>
      </c>
      <c r="N75" s="216"/>
      <c r="P75" s="288">
        <v>10</v>
      </c>
      <c r="Q75" s="283" t="s">
        <v>182</v>
      </c>
      <c r="R75" s="284"/>
      <c r="S75" s="285" t="e">
        <f>S65-SUM(S66:S74)</f>
        <v>#REF!</v>
      </c>
      <c r="T75" s="216" t="s">
        <v>223</v>
      </c>
      <c r="U75" s="519">
        <v>-28.862901925146737</v>
      </c>
      <c r="V75" s="216"/>
      <c r="W75" s="216"/>
      <c r="X75" s="297"/>
      <c r="Y75" s="216"/>
      <c r="Z75" s="216"/>
      <c r="AA75" s="216"/>
      <c r="AB75" s="216"/>
      <c r="AC75" s="216"/>
      <c r="AD75" s="216"/>
      <c r="AE75" s="216"/>
      <c r="AF75" s="216"/>
      <c r="AG75" s="216"/>
      <c r="AH75" s="216"/>
    </row>
    <row r="76" spans="2:36" ht="18">
      <c r="B76" s="216"/>
      <c r="C76" s="216"/>
      <c r="D76" s="216"/>
      <c r="E76" s="216"/>
      <c r="F76" s="216"/>
      <c r="G76" s="216"/>
      <c r="H76" s="216"/>
      <c r="I76" s="288">
        <v>11</v>
      </c>
      <c r="J76" s="289" t="s">
        <v>182</v>
      </c>
      <c r="K76" s="284"/>
      <c r="L76" s="284"/>
      <c r="M76" s="290">
        <f>M65-SUM(M66:M75)</f>
        <v>16.455287730791298</v>
      </c>
      <c r="N76" s="216"/>
      <c r="S76">
        <v>-18.47183620964023</v>
      </c>
      <c r="T76" s="216" t="s">
        <v>246</v>
      </c>
      <c r="U76" s="519">
        <v>18.486433254377378</v>
      </c>
      <c r="V76" s="216"/>
      <c r="W76" s="216"/>
      <c r="X76" s="216"/>
      <c r="Y76" s="216"/>
      <c r="Z76" s="216"/>
      <c r="AA76" s="216"/>
      <c r="AB76" s="216"/>
      <c r="AC76" s="216"/>
      <c r="AD76" s="216"/>
      <c r="AE76" s="216"/>
      <c r="AF76" s="216"/>
      <c r="AG76" s="216"/>
      <c r="AH76" s="216"/>
    </row>
    <row r="77" spans="2:36">
      <c r="B77" s="216"/>
      <c r="C77" s="216"/>
      <c r="D77" s="216"/>
      <c r="E77" s="216"/>
      <c r="F77" s="216"/>
      <c r="G77" s="216"/>
      <c r="H77" s="216"/>
      <c r="N77" s="216"/>
      <c r="Q77" s="317" t="e">
        <f>SUM(S67:S75)+SUM(H64:H67)-H66</f>
        <v>#REF!</v>
      </c>
      <c r="S77" s="318" t="e">
        <f>S75-S76</f>
        <v>#REF!</v>
      </c>
      <c r="T77" s="216" t="s">
        <v>351</v>
      </c>
      <c r="U77" s="315" t="e">
        <f>'[9]New KPI vs BP'!$CT$453+'[9]New KPI vs BP'!$CT$464-S70</f>
        <v>#VALUE!</v>
      </c>
      <c r="V77" s="216"/>
      <c r="W77" s="216"/>
      <c r="X77" s="216"/>
      <c r="Y77" s="216"/>
      <c r="Z77" s="216"/>
      <c r="AA77" s="216"/>
      <c r="AB77" s="216"/>
      <c r="AC77" s="216"/>
      <c r="AD77" s="216"/>
      <c r="AE77" s="216"/>
      <c r="AF77" s="216"/>
      <c r="AG77" s="216"/>
      <c r="AH77" s="216"/>
    </row>
    <row r="78" spans="2:36">
      <c r="B78" s="216"/>
      <c r="C78" s="216"/>
      <c r="D78" s="216"/>
      <c r="E78" s="216"/>
      <c r="F78" s="216"/>
      <c r="G78" s="216"/>
      <c r="H78" s="216"/>
      <c r="I78" s="216"/>
      <c r="J78" s="216"/>
      <c r="K78" s="216"/>
      <c r="L78" s="216"/>
      <c r="M78" s="216"/>
      <c r="N78" s="216"/>
      <c r="Q78" s="364">
        <f>S69+S70</f>
        <v>-19.50010161152472</v>
      </c>
      <c r="R78" t="s">
        <v>352</v>
      </c>
      <c r="T78" s="216" t="s">
        <v>247</v>
      </c>
      <c r="U78" s="315">
        <v>-0.79</v>
      </c>
      <c r="V78" s="216"/>
      <c r="W78" s="216"/>
      <c r="X78" s="216"/>
      <c r="Y78" s="216"/>
      <c r="Z78" s="216"/>
      <c r="AA78" s="216"/>
      <c r="AB78" s="216"/>
      <c r="AC78" s="216"/>
      <c r="AD78" s="216"/>
      <c r="AE78" s="216"/>
      <c r="AF78" s="216"/>
      <c r="AG78" s="216"/>
      <c r="AH78" s="216"/>
    </row>
    <row r="79" spans="2:36" ht="18">
      <c r="B79" s="216"/>
      <c r="C79" s="216"/>
      <c r="D79" s="216"/>
      <c r="E79" s="216"/>
      <c r="F79" s="216"/>
      <c r="G79" s="216"/>
      <c r="H79" s="216"/>
      <c r="I79" s="216"/>
      <c r="J79" s="216"/>
      <c r="K79" s="216"/>
      <c r="L79" s="216"/>
      <c r="M79" s="216"/>
      <c r="N79" s="216"/>
      <c r="Q79">
        <v>26</v>
      </c>
      <c r="R79" t="s">
        <v>195</v>
      </c>
      <c r="T79" s="216" t="s">
        <v>336</v>
      </c>
      <c r="U79" s="427">
        <v>-1.3489518746911922</v>
      </c>
      <c r="V79" s="216"/>
      <c r="W79" s="216"/>
      <c r="X79" s="216"/>
      <c r="Y79" s="216"/>
      <c r="Z79" s="216"/>
      <c r="AA79" s="216"/>
      <c r="AB79" s="216"/>
      <c r="AC79" s="216"/>
      <c r="AD79" s="216"/>
      <c r="AE79" s="216"/>
      <c r="AF79" s="216"/>
      <c r="AG79" s="216"/>
      <c r="AH79" s="216"/>
    </row>
    <row r="80" spans="2:36">
      <c r="B80" s="216"/>
      <c r="C80" s="216"/>
      <c r="D80" s="216"/>
      <c r="E80" s="216"/>
      <c r="F80" s="216"/>
      <c r="G80" s="216"/>
      <c r="H80" s="216"/>
      <c r="I80" s="216"/>
      <c r="J80" s="216"/>
      <c r="K80" s="216"/>
      <c r="L80" s="216"/>
      <c r="M80" s="216"/>
      <c r="N80" s="216"/>
      <c r="T80" s="216" t="s">
        <v>316</v>
      </c>
      <c r="U80" s="315">
        <v>0.54600100000000018</v>
      </c>
      <c r="V80" s="216"/>
      <c r="W80" s="216"/>
      <c r="X80" s="216"/>
      <c r="Y80" s="216"/>
      <c r="Z80" s="216"/>
      <c r="AA80" s="216"/>
      <c r="AB80" s="216"/>
      <c r="AC80" s="216"/>
      <c r="AD80" s="216"/>
      <c r="AE80" s="216"/>
      <c r="AF80" s="216"/>
      <c r="AG80" s="216"/>
      <c r="AH80" s="216"/>
    </row>
    <row r="81" spans="2:34">
      <c r="B81" s="216"/>
      <c r="C81" s="216"/>
      <c r="D81" s="216"/>
      <c r="E81" s="216"/>
      <c r="F81" s="216"/>
      <c r="G81" s="216"/>
      <c r="H81" s="216"/>
      <c r="I81" s="216"/>
      <c r="J81" s="216"/>
      <c r="K81" s="216"/>
      <c r="L81" s="216"/>
      <c r="M81" s="216"/>
      <c r="N81" s="216"/>
      <c r="T81" s="216" t="s">
        <v>317</v>
      </c>
      <c r="U81" s="315">
        <v>-1.18075027367545</v>
      </c>
      <c r="V81" s="216"/>
      <c r="W81" s="216"/>
      <c r="X81" s="216"/>
      <c r="Y81" s="216"/>
      <c r="Z81" s="216"/>
      <c r="AA81" s="216"/>
      <c r="AB81" s="216"/>
      <c r="AC81" s="216"/>
      <c r="AD81" s="216"/>
      <c r="AE81" s="216"/>
      <c r="AF81" s="216"/>
      <c r="AG81" s="216"/>
      <c r="AH81" s="216"/>
    </row>
    <row r="82" spans="2:34">
      <c r="B82" s="216"/>
      <c r="C82" s="216"/>
      <c r="D82" s="216"/>
      <c r="E82" s="216"/>
      <c r="F82" s="216"/>
      <c r="G82" s="216"/>
      <c r="H82" s="216"/>
      <c r="I82" s="216"/>
      <c r="J82" s="216"/>
      <c r="K82" s="216"/>
      <c r="L82" s="216"/>
      <c r="M82" s="216"/>
      <c r="N82" s="216"/>
      <c r="T82" s="216" t="s">
        <v>349</v>
      </c>
      <c r="U82" s="315">
        <v>-0.85742598805991221</v>
      </c>
      <c r="V82" s="216"/>
      <c r="W82" s="216"/>
      <c r="X82" s="216"/>
      <c r="Y82" s="216"/>
      <c r="Z82" s="216"/>
      <c r="AA82" s="216"/>
      <c r="AB82" s="216"/>
      <c r="AC82" s="216"/>
      <c r="AD82" s="216"/>
      <c r="AE82" s="216"/>
      <c r="AF82" s="216"/>
      <c r="AG82" s="216"/>
      <c r="AH82" s="216"/>
    </row>
    <row r="83" spans="2:34">
      <c r="B83" s="216"/>
      <c r="C83" s="216"/>
      <c r="D83" s="216"/>
      <c r="E83" s="216"/>
      <c r="F83" s="216"/>
      <c r="G83" s="216"/>
      <c r="H83" s="216"/>
      <c r="I83" s="216"/>
      <c r="J83" s="216"/>
      <c r="K83" s="216"/>
      <c r="L83" s="216"/>
      <c r="M83" s="216"/>
      <c r="N83" s="216"/>
      <c r="V83" s="216"/>
      <c r="W83" s="216"/>
      <c r="X83" s="216"/>
      <c r="Y83" s="216"/>
      <c r="Z83" s="216"/>
      <c r="AA83" s="216"/>
      <c r="AB83" s="216"/>
      <c r="AC83" s="216"/>
      <c r="AD83" s="216"/>
      <c r="AE83" s="216"/>
      <c r="AF83" s="216"/>
      <c r="AG83" s="216"/>
      <c r="AH83" s="216"/>
    </row>
    <row r="84" spans="2:34">
      <c r="B84" s="216"/>
      <c r="C84" s="216"/>
      <c r="D84" s="216"/>
      <c r="E84" s="216"/>
      <c r="F84" s="216"/>
      <c r="G84" s="216"/>
      <c r="H84" s="216"/>
      <c r="I84" s="216"/>
      <c r="J84" s="216"/>
      <c r="K84" s="216"/>
      <c r="L84" s="216"/>
      <c r="M84" s="216"/>
      <c r="N84" s="216"/>
      <c r="Q84" s="121" t="e">
        <f>Q77-SUM(Q78:Q83)</f>
        <v>#REF!</v>
      </c>
      <c r="V84" s="216"/>
      <c r="W84" s="216"/>
      <c r="X84" s="216"/>
      <c r="Y84" s="216"/>
      <c r="Z84" s="216"/>
      <c r="AA84" s="216"/>
      <c r="AB84" s="216"/>
      <c r="AC84" s="216"/>
      <c r="AD84" s="216"/>
      <c r="AE84" s="216"/>
      <c r="AF84" s="216"/>
      <c r="AG84" s="216"/>
      <c r="AH84" s="216"/>
    </row>
    <row r="87" spans="2:34">
      <c r="T87" t="s">
        <v>283</v>
      </c>
      <c r="U87" s="369" t="e">
        <f>SUM(U88:U90)</f>
        <v>#REF!</v>
      </c>
    </row>
    <row r="88" spans="2:34">
      <c r="T88" s="372" t="s">
        <v>28</v>
      </c>
      <c r="U88" s="373" t="e">
        <f>'[9]P&amp;L vs BP'!$AX$238-'[9]New KPI vs BP'!$CQ$437+'[9]New KPI vs BP'!$CR$500-AC61</f>
        <v>#REF!</v>
      </c>
    </row>
    <row r="89" spans="2:34">
      <c r="T89" s="372" t="s">
        <v>200</v>
      </c>
      <c r="U89" s="373">
        <v>-0.70981006192697804</v>
      </c>
    </row>
    <row r="90" spans="2:34">
      <c r="T90" s="135" t="s">
        <v>144</v>
      </c>
      <c r="U90" s="373" t="e">
        <f>-(X57+AD56+AJ67+AK66)</f>
        <v>#REF!</v>
      </c>
    </row>
  </sheetData>
  <mergeCells count="26">
    <mergeCell ref="T59:T60"/>
    <mergeCell ref="AE59:AE60"/>
    <mergeCell ref="AF59:AF60"/>
    <mergeCell ref="AH59:AH60"/>
    <mergeCell ref="AH17:AH18"/>
    <mergeCell ref="T17:T18"/>
    <mergeCell ref="AE17:AE18"/>
    <mergeCell ref="AF17:AF18"/>
    <mergeCell ref="B52:B53"/>
    <mergeCell ref="C52:C53"/>
    <mergeCell ref="B59:B60"/>
    <mergeCell ref="H59:H60"/>
    <mergeCell ref="O59:O60"/>
    <mergeCell ref="P59:P60"/>
    <mergeCell ref="Q59:Q60"/>
    <mergeCell ref="R59:R60"/>
    <mergeCell ref="S59:S60"/>
    <mergeCell ref="Q17:Q18"/>
    <mergeCell ref="R17:R18"/>
    <mergeCell ref="S17:S18"/>
    <mergeCell ref="P17:P18"/>
    <mergeCell ref="B10:B11"/>
    <mergeCell ref="C10:C11"/>
    <mergeCell ref="B17:B18"/>
    <mergeCell ref="H17:H18"/>
    <mergeCell ref="O17:O18"/>
  </mergeCells>
  <pageMargins left="0.7" right="0.7" top="0.75" bottom="0.75" header="0.3" footer="0.3"/>
  <pageSetup orientation="portrait" r:id="rId1"/>
  <customProperties>
    <customPr name="EpmWorksheetKeyString_GUID" r:id="rId2"/>
  </customProperties>
  <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892D8-29B0-46D9-B5EE-055181975255}">
  <sheetPr>
    <tabColor rgb="FF92D050"/>
  </sheetPr>
  <dimension ref="B1:AJ87"/>
  <sheetViews>
    <sheetView showGridLines="0" topLeftCell="A35" zoomScale="60" zoomScaleNormal="60" workbookViewId="0">
      <selection activeCell="AE65" sqref="AE65"/>
    </sheetView>
  </sheetViews>
  <sheetFormatPr defaultRowHeight="15"/>
  <cols>
    <col min="2" max="3" width="10.42578125" bestFit="1" customWidth="1"/>
    <col min="4" max="4" width="14.5703125" customWidth="1"/>
    <col min="5" max="5" width="12.140625" bestFit="1" customWidth="1"/>
    <col min="6" max="6" width="14.42578125" customWidth="1"/>
    <col min="7" max="7" width="17.5703125" bestFit="1" customWidth="1"/>
    <col min="19" max="19" width="10.140625" bestFit="1" customWidth="1"/>
    <col min="21" max="21" width="8.42578125" bestFit="1" customWidth="1"/>
    <col min="24" max="24" width="10.5703125" customWidth="1"/>
  </cols>
  <sheetData>
    <row r="1" spans="2:34" ht="28.5">
      <c r="B1" s="304" t="str">
        <f>'Summary month'!E2</f>
        <v>Apr</v>
      </c>
      <c r="C1" t="str">
        <f>VLOOKUP(B1,mapping!$A$2:$C$13,3,0)</f>
        <v>M01</v>
      </c>
    </row>
    <row r="2" spans="2:34">
      <c r="R2" t="s">
        <v>484</v>
      </c>
    </row>
    <row r="3" spans="2:34" ht="28.5">
      <c r="B3" s="299" t="s">
        <v>202</v>
      </c>
      <c r="I3" s="216"/>
      <c r="J3" s="334"/>
      <c r="K3" s="216"/>
      <c r="L3" s="216"/>
      <c r="M3" s="216"/>
      <c r="N3" s="334"/>
      <c r="O3" s="216"/>
      <c r="P3" s="216"/>
      <c r="Q3" s="216"/>
    </row>
    <row r="4" spans="2:34" ht="28.5">
      <c r="B4" s="299"/>
      <c r="I4" s="216"/>
      <c r="J4" s="334"/>
      <c r="K4" s="216"/>
      <c r="L4" s="216"/>
      <c r="M4" s="216"/>
      <c r="N4" s="334"/>
      <c r="O4" s="216"/>
      <c r="P4" s="216"/>
      <c r="Q4" s="216"/>
    </row>
    <row r="5" spans="2:34" ht="20.25">
      <c r="B5" s="216"/>
      <c r="C5" s="226" t="str">
        <f>B10</f>
        <v>7+5 Q4</v>
      </c>
      <c r="D5" s="226" t="str">
        <f>C10</f>
        <v>Act QTD</v>
      </c>
      <c r="E5" s="226" t="s">
        <v>320</v>
      </c>
      <c r="F5" s="226" t="s">
        <v>321</v>
      </c>
      <c r="G5" s="226" t="s">
        <v>322</v>
      </c>
      <c r="H5" s="292" t="s">
        <v>323</v>
      </c>
      <c r="I5" s="216"/>
    </row>
    <row r="6" spans="2:34" ht="20.25">
      <c r="B6" s="226" t="s">
        <v>327</v>
      </c>
      <c r="C6" s="229">
        <f>'Summary month'!CM82</f>
        <v>454.80971210651239</v>
      </c>
      <c r="D6" s="229">
        <f>'Summary month'!I82</f>
        <v>63.237619418000122</v>
      </c>
      <c r="E6" s="226">
        <f>+D6-C6</f>
        <v>-391.57209268851227</v>
      </c>
      <c r="F6" s="226">
        <f>B19</f>
        <v>4.9926070868097279</v>
      </c>
      <c r="G6" s="226">
        <f>SUM(C19:S19)</f>
        <v>-396.56469977532203</v>
      </c>
      <c r="H6" s="502">
        <f>E6-F6-G6</f>
        <v>0</v>
      </c>
      <c r="I6" s="216"/>
      <c r="J6" s="334"/>
      <c r="K6" s="216"/>
      <c r="L6" s="216"/>
      <c r="M6" s="216"/>
      <c r="N6" s="334"/>
      <c r="O6" s="216"/>
      <c r="P6" s="216"/>
      <c r="Q6" s="216"/>
    </row>
    <row r="7" spans="2:34" ht="20.25">
      <c r="B7" s="226" t="s">
        <v>325</v>
      </c>
      <c r="C7" s="229">
        <f>'Summary month'!CM83</f>
        <v>-353.67503744952307</v>
      </c>
      <c r="D7" s="229">
        <f>'Summary month'!I83</f>
        <v>-134.40743371799999</v>
      </c>
      <c r="E7" s="226">
        <f>+D7-C7</f>
        <v>219.26760373152308</v>
      </c>
      <c r="F7" s="226">
        <f>T19</f>
        <v>-1.4621888282419753</v>
      </c>
      <c r="G7" s="226">
        <f>SUM(U19:AH19)</f>
        <v>220.72979255976506</v>
      </c>
      <c r="H7" s="502">
        <f>E7-F7-G7</f>
        <v>0</v>
      </c>
      <c r="I7" s="216"/>
      <c r="J7" s="334"/>
      <c r="K7" s="216"/>
      <c r="L7" s="216"/>
      <c r="M7" s="216"/>
      <c r="N7" s="334"/>
      <c r="O7" s="216"/>
      <c r="P7" s="216"/>
      <c r="Q7" s="216"/>
    </row>
    <row r="8" spans="2:34" ht="20.25">
      <c r="B8" s="226" t="s">
        <v>326</v>
      </c>
      <c r="C8" s="226">
        <f>+C6+C7</f>
        <v>101.13467465698932</v>
      </c>
      <c r="D8" s="226">
        <f>+D6+D7</f>
        <v>-71.169814299999871</v>
      </c>
      <c r="E8" s="226">
        <f>+D8-C8</f>
        <v>-172.30448895698919</v>
      </c>
      <c r="F8" s="226">
        <f>+E8-G8</f>
        <v>3.5304182585677779</v>
      </c>
      <c r="G8" s="226">
        <f>+G6+G7</f>
        <v>-175.83490721555697</v>
      </c>
      <c r="H8" s="502">
        <f>E8-F8-G8</f>
        <v>0</v>
      </c>
      <c r="I8" s="216"/>
      <c r="J8" s="334" t="s">
        <v>303</v>
      </c>
      <c r="K8" s="216" t="s">
        <v>143</v>
      </c>
      <c r="L8" s="216" t="s">
        <v>304</v>
      </c>
      <c r="M8" s="216"/>
      <c r="N8" s="334" t="s">
        <v>303</v>
      </c>
      <c r="O8" s="216" t="s">
        <v>143</v>
      </c>
      <c r="P8" s="216" t="s">
        <v>305</v>
      </c>
      <c r="Q8" s="216" t="s">
        <v>306</v>
      </c>
    </row>
    <row r="9" spans="2:34" ht="18">
      <c r="B9" s="215"/>
      <c r="C9" s="216"/>
      <c r="D9" s="318">
        <f>D12-D55</f>
        <v>98.963638862261234</v>
      </c>
      <c r="E9" s="318">
        <f>E12-E55</f>
        <v>7.0248230344120284</v>
      </c>
      <c r="F9" s="318">
        <f>F12-F55</f>
        <v>77.44132860684897</v>
      </c>
      <c r="G9" s="318">
        <f>G12-G55</f>
        <v>14.497487220999972</v>
      </c>
      <c r="H9" s="216"/>
      <c r="I9" s="216" t="s">
        <v>307</v>
      </c>
      <c r="J9" s="334">
        <f>'[14]New KPI vs BP'!$EO$34-K9-L9</f>
        <v>2.8859556172772587</v>
      </c>
      <c r="K9" s="216">
        <f>'[14]New KPI vs BP'!$EO$15</f>
        <v>-0.80172171452963537</v>
      </c>
      <c r="L9" s="334">
        <f>'[14]New KPI vs BP'!$EO$507+'[14]New KPI vs BP'!$EO$523</f>
        <v>1.4461843558201295</v>
      </c>
      <c r="M9" s="216"/>
      <c r="N9" s="923">
        <f>'[14]New KPI vs BP'!$EO$34-O9-P9</f>
        <v>5.794328801339363</v>
      </c>
      <c r="O9" s="216">
        <f>K9</f>
        <v>-0.80172171452963537</v>
      </c>
      <c r="P9" s="406">
        <f>L10-AJ65</f>
        <v>-1.4621888282419753</v>
      </c>
      <c r="Q9" s="334">
        <f>L9-(P9)</f>
        <v>2.9083731840621048</v>
      </c>
      <c r="R9" s="216"/>
      <c r="S9" s="216"/>
      <c r="T9" s="216"/>
      <c r="U9" s="216"/>
      <c r="V9" s="216"/>
      <c r="W9" s="216"/>
      <c r="X9" s="216"/>
      <c r="Y9" s="216"/>
      <c r="Z9" s="216"/>
      <c r="AA9" s="216"/>
      <c r="AB9" s="216"/>
      <c r="AC9" s="216"/>
      <c r="AD9" s="216"/>
      <c r="AE9" s="216"/>
      <c r="AF9" s="216"/>
      <c r="AG9" s="216"/>
      <c r="AH9" s="216"/>
    </row>
    <row r="10" spans="2:34" ht="20.100000000000001" customHeight="1">
      <c r="B10" s="1014" t="s">
        <v>530</v>
      </c>
      <c r="C10" s="1014" t="s">
        <v>214</v>
      </c>
      <c r="D10" s="218"/>
      <c r="E10" s="219"/>
      <c r="F10" s="219"/>
      <c r="G10" s="220"/>
      <c r="H10" s="216"/>
      <c r="I10" s="216" t="s">
        <v>62</v>
      </c>
      <c r="J10" s="334">
        <f>M53</f>
        <v>0.31233364655836482</v>
      </c>
      <c r="K10" s="216">
        <v>0</v>
      </c>
      <c r="L10" s="334">
        <f>M54</f>
        <v>-3.8067384224026402</v>
      </c>
      <c r="M10" s="216"/>
      <c r="N10" s="216"/>
      <c r="O10" s="216"/>
      <c r="P10" s="216"/>
      <c r="Q10" s="216"/>
      <c r="R10" s="216"/>
      <c r="S10" s="216"/>
      <c r="T10" s="216"/>
      <c r="U10" s="216"/>
      <c r="V10" s="216"/>
      <c r="W10" s="221"/>
      <c r="X10" s="221"/>
      <c r="Y10" s="221"/>
      <c r="Z10" s="221"/>
      <c r="AA10" s="221"/>
      <c r="AB10" s="221"/>
      <c r="AC10" s="221"/>
      <c r="AD10" s="221"/>
      <c r="AE10" s="221"/>
      <c r="AF10" s="221"/>
      <c r="AG10" s="221"/>
      <c r="AH10" s="221"/>
    </row>
    <row r="11" spans="2:34" ht="20.25">
      <c r="B11" s="1015"/>
      <c r="C11" s="1016"/>
      <c r="D11" s="222"/>
      <c r="E11" s="223" t="s">
        <v>154</v>
      </c>
      <c r="F11" s="224" t="s">
        <v>155</v>
      </c>
      <c r="G11" s="225" t="s">
        <v>156</v>
      </c>
      <c r="H11" s="216"/>
      <c r="I11" s="216" t="s">
        <v>208</v>
      </c>
      <c r="J11" s="216"/>
      <c r="K11" s="216"/>
      <c r="L11" s="216"/>
      <c r="M11" s="216"/>
      <c r="N11" s="216"/>
      <c r="O11" s="216"/>
      <c r="P11" s="216"/>
      <c r="Q11" s="216"/>
      <c r="R11" s="216"/>
      <c r="AH11" s="216"/>
    </row>
    <row r="12" spans="2:34" ht="20.25">
      <c r="B12" s="226">
        <f>'Summary month'!CM55</f>
        <v>101.13467465698902</v>
      </c>
      <c r="C12" s="226">
        <f>'Summary month'!I55</f>
        <v>-71.169814299999885</v>
      </c>
      <c r="D12" s="227">
        <f>C12-B12</f>
        <v>-172.30448895698891</v>
      </c>
      <c r="E12" s="922">
        <f>'[14]New KPI vs BP'!$EO$34</f>
        <v>3.530418258567753</v>
      </c>
      <c r="F12" s="228">
        <f>'Summary month'!CN82-E13</f>
        <v>-396.56469977532203</v>
      </c>
      <c r="G12" s="229">
        <f>'Summary month'!CN83-E14</f>
        <v>220.72979255976506</v>
      </c>
      <c r="H12" s="216"/>
      <c r="I12" s="286">
        <f>SUM(E12:G12)-D12</f>
        <v>-3.1263880373444408E-13</v>
      </c>
      <c r="J12" s="216"/>
      <c r="K12" s="216"/>
      <c r="L12" s="216"/>
      <c r="M12" s="216"/>
      <c r="N12" s="216"/>
      <c r="O12" s="230"/>
      <c r="P12" s="216"/>
      <c r="Q12" s="216"/>
      <c r="R12" s="216"/>
      <c r="AH12" s="230"/>
    </row>
    <row r="13" spans="2:34">
      <c r="B13" s="216"/>
      <c r="C13" s="216"/>
      <c r="D13" s="216"/>
      <c r="E13" s="315">
        <f>SUM(N9:O9)</f>
        <v>4.9926070868097279</v>
      </c>
      <c r="F13" s="216" t="s">
        <v>308</v>
      </c>
      <c r="G13" s="216"/>
      <c r="H13" s="216"/>
      <c r="I13" s="216"/>
      <c r="J13" s="216"/>
      <c r="K13" s="216"/>
      <c r="L13" s="216"/>
      <c r="M13" s="216"/>
      <c r="N13" s="216"/>
      <c r="O13" s="216" t="s">
        <v>53</v>
      </c>
      <c r="P13" s="216">
        <f>-'Summary month'!CN66</f>
        <v>-9.0359723120341879</v>
      </c>
      <c r="Q13" s="216"/>
      <c r="R13" s="216"/>
      <c r="AH13" s="216"/>
    </row>
    <row r="14" spans="2:34">
      <c r="B14" s="216"/>
      <c r="C14" s="216" t="s">
        <v>51</v>
      </c>
      <c r="D14" s="216" t="s">
        <v>50</v>
      </c>
      <c r="E14" s="315">
        <f>P9</f>
        <v>-1.4621888282419753</v>
      </c>
      <c r="F14" s="216" t="s">
        <v>309</v>
      </c>
      <c r="G14" s="216"/>
      <c r="H14" s="216"/>
      <c r="I14" s="216"/>
      <c r="J14" s="216"/>
      <c r="K14" s="216"/>
      <c r="L14" s="216"/>
      <c r="M14" s="216"/>
      <c r="N14" s="216"/>
      <c r="O14" s="216" t="s">
        <v>54</v>
      </c>
      <c r="P14" s="216">
        <f>-'Summary month'!CN67</f>
        <v>0</v>
      </c>
      <c r="Q14" s="216"/>
      <c r="R14" s="216"/>
      <c r="AH14" s="216"/>
    </row>
    <row r="15" spans="2:34" ht="21" thickBot="1">
      <c r="B15" s="231" t="s">
        <v>157</v>
      </c>
      <c r="C15" s="232" t="s">
        <v>56</v>
      </c>
      <c r="D15" s="232" t="s">
        <v>57</v>
      </c>
      <c r="E15" s="232"/>
      <c r="F15" s="232"/>
      <c r="G15" s="232"/>
      <c r="H15" s="232"/>
      <c r="I15" s="232"/>
      <c r="J15" s="232"/>
      <c r="K15" s="232"/>
      <c r="L15" s="232"/>
      <c r="M15" s="232"/>
      <c r="N15" s="232"/>
      <c r="O15" s="232" t="s">
        <v>55</v>
      </c>
      <c r="P15" s="216">
        <f>-'Summary month'!CN68</f>
        <v>-0.2124129983786881</v>
      </c>
      <c r="Q15" s="232"/>
      <c r="R15" s="232" t="s">
        <v>60</v>
      </c>
      <c r="AA15" t="s">
        <v>52</v>
      </c>
      <c r="AB15" t="s">
        <v>59</v>
      </c>
      <c r="AH15" s="217" t="s">
        <v>138</v>
      </c>
    </row>
    <row r="16" spans="2:34" ht="21" thickBot="1">
      <c r="B16" s="233"/>
      <c r="C16" s="234" t="s">
        <v>159</v>
      </c>
      <c r="D16" s="234"/>
      <c r="E16" s="234"/>
      <c r="F16" s="234"/>
      <c r="G16" s="234"/>
      <c r="H16" s="234"/>
      <c r="I16" s="234"/>
      <c r="J16" s="234"/>
      <c r="K16" s="234"/>
      <c r="L16" s="234"/>
      <c r="M16" s="234"/>
      <c r="N16" s="234"/>
      <c r="O16" s="234"/>
      <c r="P16" s="234"/>
      <c r="Q16" s="234"/>
      <c r="R16" s="234"/>
      <c r="S16" s="235"/>
      <c r="T16" s="236"/>
      <c r="U16" s="237" t="s">
        <v>160</v>
      </c>
      <c r="V16" s="237"/>
      <c r="W16" s="237"/>
      <c r="X16" s="237"/>
      <c r="Y16" s="237"/>
      <c r="Z16" s="237"/>
      <c r="AA16" s="237"/>
      <c r="AB16" s="237"/>
      <c r="AC16" s="237"/>
      <c r="AD16" s="237"/>
      <c r="AE16" s="237"/>
      <c r="AF16" s="237"/>
      <c r="AG16" s="237"/>
      <c r="AH16" s="238"/>
    </row>
    <row r="17" spans="2:34" ht="20.100000000000001" customHeight="1">
      <c r="B17" s="1027" t="s">
        <v>274</v>
      </c>
      <c r="C17" s="239" t="s">
        <v>161</v>
      </c>
      <c r="D17" s="240"/>
      <c r="E17" s="240"/>
      <c r="F17" s="240"/>
      <c r="G17" s="241"/>
      <c r="H17" s="1017" t="s">
        <v>162</v>
      </c>
      <c r="I17" s="242" t="s">
        <v>163</v>
      </c>
      <c r="J17" s="243"/>
      <c r="K17" s="243"/>
      <c r="L17" s="243"/>
      <c r="M17" s="243"/>
      <c r="N17" s="244"/>
      <c r="O17" s="1019" t="s">
        <v>164</v>
      </c>
      <c r="P17" s="1019" t="s">
        <v>165</v>
      </c>
      <c r="Q17" s="1019" t="s">
        <v>166</v>
      </c>
      <c r="R17" s="1022" t="s">
        <v>167</v>
      </c>
      <c r="S17" s="1023" t="s">
        <v>168</v>
      </c>
      <c r="T17" s="1027" t="s">
        <v>274</v>
      </c>
      <c r="U17" s="245" t="s">
        <v>169</v>
      </c>
      <c r="V17" s="246"/>
      <c r="W17" s="246"/>
      <c r="X17" s="247"/>
      <c r="Y17" s="248" t="s">
        <v>163</v>
      </c>
      <c r="Z17" s="246"/>
      <c r="AA17" s="246"/>
      <c r="AB17" s="246"/>
      <c r="AC17" s="246"/>
      <c r="AD17" s="247"/>
      <c r="AE17" s="1022" t="s">
        <v>166</v>
      </c>
      <c r="AF17" s="1025" t="s">
        <v>167</v>
      </c>
      <c r="AG17" s="311"/>
      <c r="AH17" s="1012" t="s">
        <v>168</v>
      </c>
    </row>
    <row r="18" spans="2:34" ht="77.45" customHeight="1">
      <c r="B18" s="1028"/>
      <c r="C18" s="249" t="s">
        <v>170</v>
      </c>
      <c r="D18" s="250" t="s">
        <v>171</v>
      </c>
      <c r="E18" s="250" t="s">
        <v>172</v>
      </c>
      <c r="F18" s="250" t="s">
        <v>173</v>
      </c>
      <c r="G18" s="251" t="s">
        <v>174</v>
      </c>
      <c r="H18" s="1018"/>
      <c r="I18" s="250" t="s">
        <v>175</v>
      </c>
      <c r="J18" s="250" t="s">
        <v>176</v>
      </c>
      <c r="K18" s="250" t="s">
        <v>177</v>
      </c>
      <c r="L18" s="250" t="s">
        <v>178</v>
      </c>
      <c r="M18" s="250" t="s">
        <v>168</v>
      </c>
      <c r="N18" s="250" t="s">
        <v>179</v>
      </c>
      <c r="O18" s="1020"/>
      <c r="P18" s="1021"/>
      <c r="Q18" s="1021"/>
      <c r="R18" s="1021"/>
      <c r="S18" s="1024"/>
      <c r="T18" s="1028"/>
      <c r="U18" s="307" t="s">
        <v>203</v>
      </c>
      <c r="V18" s="308" t="s">
        <v>180</v>
      </c>
      <c r="W18" s="309" t="s">
        <v>181</v>
      </c>
      <c r="X18" s="310" t="s">
        <v>33</v>
      </c>
      <c r="Y18" s="305" t="s">
        <v>25</v>
      </c>
      <c r="Z18" s="306" t="s">
        <v>183</v>
      </c>
      <c r="AA18" s="306" t="s">
        <v>204</v>
      </c>
      <c r="AB18" s="306" t="s">
        <v>205</v>
      </c>
      <c r="AC18" s="306" t="s">
        <v>184</v>
      </c>
      <c r="AD18" s="306" t="s">
        <v>30</v>
      </c>
      <c r="AE18" s="1021"/>
      <c r="AF18" s="1026"/>
      <c r="AG18" s="312" t="s">
        <v>37</v>
      </c>
      <c r="AH18" s="1013"/>
    </row>
    <row r="19" spans="2:34" ht="21" thickBot="1">
      <c r="B19" s="252">
        <f>E13</f>
        <v>4.9926070868097279</v>
      </c>
      <c r="C19" s="253">
        <f>C62-'Summary month'!CN64-'Summary month'!CN69+J10-N9</f>
        <v>76.266960803970676</v>
      </c>
      <c r="D19" s="254">
        <f>S77-'Summary month'!CN63-'Summary month'!CN70-O9</f>
        <v>-1.7021273451422763</v>
      </c>
      <c r="E19" s="254">
        <f>E62</f>
        <v>0</v>
      </c>
      <c r="F19" s="254">
        <f>F62</f>
        <v>0</v>
      </c>
      <c r="G19" s="254"/>
      <c r="H19" s="254"/>
      <c r="I19" s="254">
        <f>I62</f>
        <v>13.359757846626982</v>
      </c>
      <c r="J19" s="255">
        <f>J62</f>
        <v>-9.0333464499261495</v>
      </c>
      <c r="K19" s="255">
        <f>K62</f>
        <v>4.5164665797833035</v>
      </c>
      <c r="L19" s="255">
        <f>L62</f>
        <v>0</v>
      </c>
      <c r="M19" s="255">
        <f>M62</f>
        <v>-28.766777951648784</v>
      </c>
      <c r="N19" s="255"/>
      <c r="O19" s="254">
        <f>-SUM('Summary month'!CN66:CN68)</f>
        <v>-9.2483853104128766</v>
      </c>
      <c r="P19" s="254"/>
      <c r="Q19" s="256"/>
      <c r="R19" s="254">
        <f>R62-'Summary month'!CN73</f>
        <v>-13.567405184000005</v>
      </c>
      <c r="S19" s="257">
        <f>F12-SUM(C19:R19)</f>
        <v>-428.3898427645729</v>
      </c>
      <c r="T19" s="253">
        <f>E14</f>
        <v>-1.4621888282419753</v>
      </c>
      <c r="U19" s="253">
        <f>U62</f>
        <v>56.090622407775719</v>
      </c>
      <c r="V19" s="258">
        <f>V62</f>
        <v>0</v>
      </c>
      <c r="W19" s="258"/>
      <c r="X19" s="258">
        <f>X62</f>
        <v>16.739908065307489</v>
      </c>
      <c r="Y19" s="258">
        <f>Y62</f>
        <v>49.662823973420132</v>
      </c>
      <c r="Z19" s="258">
        <f>Z62</f>
        <v>-2.3684734549545028</v>
      </c>
      <c r="AA19" s="258">
        <f>AA62-'Summary month'!CN65</f>
        <v>12.543940220999993</v>
      </c>
      <c r="AB19" s="258">
        <f>-'Summary month'!CN72</f>
        <v>1.9535469999999999</v>
      </c>
      <c r="AC19" s="258">
        <f>AC62</f>
        <v>-0.2914412300766962</v>
      </c>
      <c r="AD19" s="258">
        <f>AD62</f>
        <v>28.880804866385439</v>
      </c>
      <c r="AE19" s="256"/>
      <c r="AF19" s="259"/>
      <c r="AG19" s="254">
        <f>AG62</f>
        <v>57.501827328000012</v>
      </c>
      <c r="AH19" s="260">
        <f>G12-SUM(U19:AG19)</f>
        <v>1.623338290747256E-2</v>
      </c>
    </row>
    <row r="20" spans="2:34" ht="18">
      <c r="B20" s="216"/>
      <c r="C20" s="261"/>
      <c r="D20" s="216"/>
      <c r="E20" s="216"/>
      <c r="F20" s="216"/>
      <c r="G20" s="216"/>
      <c r="H20" s="216"/>
      <c r="I20" s="216"/>
      <c r="J20" s="216"/>
      <c r="K20" s="216"/>
      <c r="L20" s="216"/>
      <c r="M20" s="216"/>
      <c r="N20" s="216"/>
      <c r="O20" s="216"/>
      <c r="P20" s="216"/>
      <c r="Q20" s="216"/>
      <c r="R20" s="216"/>
      <c r="S20" s="216"/>
      <c r="T20" s="216"/>
      <c r="U20" s="216"/>
      <c r="V20" s="216"/>
      <c r="W20" s="216"/>
      <c r="X20" s="216"/>
      <c r="Y20" s="216"/>
      <c r="Z20" s="216"/>
      <c r="AA20" s="216"/>
      <c r="AB20" s="216"/>
      <c r="AC20" s="216"/>
      <c r="AD20" s="216"/>
      <c r="AE20" s="216"/>
      <c r="AF20" s="216"/>
      <c r="AG20" s="216"/>
      <c r="AH20" s="216"/>
    </row>
    <row r="21" spans="2:34" ht="20.25">
      <c r="B21" s="221"/>
      <c r="C21" s="261"/>
      <c r="D21" s="262"/>
      <c r="E21" s="262"/>
      <c r="F21" s="262"/>
      <c r="G21" s="262"/>
      <c r="H21" s="262"/>
      <c r="I21" s="262"/>
      <c r="J21" s="262"/>
      <c r="K21" s="262"/>
      <c r="L21" s="262"/>
      <c r="M21" s="262"/>
      <c r="N21" s="262"/>
      <c r="O21" s="262"/>
      <c r="P21" s="262"/>
      <c r="Q21" s="262"/>
      <c r="R21" s="262"/>
      <c r="S21" s="221"/>
      <c r="T21" s="221"/>
      <c r="U21" s="221"/>
      <c r="V21" s="221"/>
      <c r="W21" s="221"/>
      <c r="X21" s="263" t="s">
        <v>185</v>
      </c>
      <c r="Y21" s="264"/>
      <c r="Z21" s="264"/>
      <c r="AA21" s="264"/>
      <c r="AB21" s="265">
        <f>AD19</f>
        <v>28.880804866385439</v>
      </c>
      <c r="AC21" s="221"/>
      <c r="AD21" s="263" t="s">
        <v>186</v>
      </c>
      <c r="AE21" s="264"/>
      <c r="AF21" s="264"/>
      <c r="AG21" s="264"/>
      <c r="AH21" s="265">
        <f>AH19</f>
        <v>1.623338290747256E-2</v>
      </c>
    </row>
    <row r="22" spans="2:34" ht="18">
      <c r="B22" s="216"/>
      <c r="C22" s="266"/>
      <c r="D22" s="267"/>
      <c r="E22" s="267"/>
      <c r="F22" s="267"/>
      <c r="G22" s="267"/>
      <c r="H22" s="267"/>
      <c r="I22" s="267"/>
      <c r="J22" s="267"/>
      <c r="K22" s="267"/>
      <c r="L22" s="267"/>
      <c r="M22" s="267"/>
      <c r="N22" s="267"/>
      <c r="O22" s="267"/>
      <c r="P22" s="267"/>
      <c r="Q22" s="267"/>
      <c r="R22" s="267"/>
      <c r="S22" s="216"/>
      <c r="T22" s="216"/>
      <c r="U22" s="216"/>
      <c r="V22" s="216"/>
      <c r="W22" s="216"/>
      <c r="X22" s="268">
        <v>1</v>
      </c>
      <c r="Y22" s="269"/>
      <c r="Z22" s="270"/>
      <c r="AA22" s="270"/>
      <c r="AB22" s="271"/>
      <c r="AC22" s="216"/>
      <c r="AD22" s="268">
        <v>1</v>
      </c>
      <c r="AE22" s="269" t="s">
        <v>187</v>
      </c>
      <c r="AF22" s="270"/>
      <c r="AG22" s="270"/>
      <c r="AH22" s="271">
        <f>AH65</f>
        <v>1.6233382907486771E-2</v>
      </c>
    </row>
    <row r="23" spans="2:34" ht="20.25">
      <c r="B23" s="216"/>
      <c r="C23" s="272"/>
      <c r="D23" s="216"/>
      <c r="E23" s="216"/>
      <c r="F23" s="216"/>
      <c r="G23" s="216"/>
      <c r="H23" s="216"/>
      <c r="I23" s="273" t="s">
        <v>188</v>
      </c>
      <c r="J23" s="274"/>
      <c r="K23" s="274"/>
      <c r="L23" s="274"/>
      <c r="M23" s="275">
        <f>M19</f>
        <v>-28.766777951648784</v>
      </c>
      <c r="N23" s="216"/>
      <c r="O23" s="216"/>
      <c r="P23" s="216"/>
      <c r="Q23" s="216"/>
      <c r="R23" s="216"/>
      <c r="S23" s="216"/>
      <c r="T23" s="216"/>
      <c r="U23" s="216"/>
      <c r="V23" s="216"/>
      <c r="W23" s="216"/>
      <c r="X23" s="268">
        <v>2</v>
      </c>
      <c r="Y23" s="276"/>
      <c r="Z23" s="277"/>
      <c r="AA23" s="277"/>
      <c r="AB23" s="278"/>
      <c r="AC23" s="216"/>
      <c r="AD23" s="268">
        <v>2</v>
      </c>
      <c r="AE23" s="276"/>
      <c r="AF23" s="277"/>
      <c r="AG23" s="277"/>
      <c r="AH23" s="278"/>
    </row>
    <row r="24" spans="2:34" ht="18">
      <c r="B24" s="216"/>
      <c r="C24" s="272"/>
      <c r="D24" s="216"/>
      <c r="E24" s="216"/>
      <c r="F24" s="216"/>
      <c r="G24" s="216"/>
      <c r="H24" s="216"/>
      <c r="I24" s="279">
        <v>1</v>
      </c>
      <c r="J24" s="269" t="str">
        <f>J67</f>
        <v>Supplier claims</v>
      </c>
      <c r="K24" s="270"/>
      <c r="L24" s="270"/>
      <c r="M24" s="280">
        <f>M67</f>
        <v>-30.8</v>
      </c>
      <c r="N24" s="216"/>
      <c r="O24" s="216"/>
      <c r="P24" s="216"/>
      <c r="Q24" s="216"/>
      <c r="R24" s="216"/>
      <c r="S24" s="216"/>
      <c r="T24" s="216"/>
      <c r="U24" s="216"/>
      <c r="V24" s="216"/>
      <c r="W24" s="216"/>
      <c r="X24" s="268">
        <v>3</v>
      </c>
      <c r="Y24" s="276"/>
      <c r="Z24" s="277"/>
      <c r="AA24" s="277"/>
      <c r="AB24" s="278"/>
      <c r="AC24" s="216"/>
      <c r="AD24" s="268">
        <v>3</v>
      </c>
      <c r="AE24" s="276"/>
      <c r="AF24" s="277"/>
      <c r="AG24" s="277"/>
      <c r="AH24" s="278"/>
    </row>
    <row r="25" spans="2:34" ht="18">
      <c r="B25" s="216"/>
      <c r="C25" s="272"/>
      <c r="D25" s="216"/>
      <c r="E25" s="216"/>
      <c r="F25" s="216"/>
      <c r="G25" s="216"/>
      <c r="H25" s="216"/>
      <c r="I25" s="279">
        <v>2</v>
      </c>
      <c r="J25" s="276" t="str">
        <f t="shared" ref="J25:J31" si="0">J68</f>
        <v>Avila sales to Renault</v>
      </c>
      <c r="K25" s="277"/>
      <c r="L25" s="277"/>
      <c r="M25" s="281">
        <f t="shared" ref="M25:M31" si="1">M68</f>
        <v>-0.33890656000000074</v>
      </c>
      <c r="N25" s="216"/>
      <c r="O25" s="216"/>
      <c r="P25" s="216"/>
      <c r="Q25" s="216"/>
      <c r="R25" s="216"/>
      <c r="S25" s="216"/>
      <c r="T25" s="216"/>
      <c r="U25" s="216"/>
      <c r="V25" s="216"/>
      <c r="W25" s="216"/>
      <c r="X25" s="268">
        <v>4</v>
      </c>
      <c r="Y25" s="276"/>
      <c r="Z25" s="277"/>
      <c r="AA25" s="277"/>
      <c r="AB25" s="278"/>
      <c r="AC25" s="216"/>
      <c r="AD25" s="268">
        <v>4</v>
      </c>
      <c r="AE25" s="276"/>
      <c r="AF25" s="277"/>
      <c r="AG25" s="277"/>
      <c r="AH25" s="278"/>
    </row>
    <row r="26" spans="2:34" ht="18">
      <c r="B26" s="216"/>
      <c r="C26" s="272"/>
      <c r="D26" s="216"/>
      <c r="E26" s="216"/>
      <c r="F26" s="216"/>
      <c r="G26" s="216"/>
      <c r="H26" s="216"/>
      <c r="I26" s="279">
        <v>3</v>
      </c>
      <c r="J26" s="276" t="str">
        <f t="shared" si="0"/>
        <v>KP ITPs (timing)</v>
      </c>
      <c r="K26" s="277"/>
      <c r="L26" s="277"/>
      <c r="M26" s="281">
        <f t="shared" si="1"/>
        <v>11.1</v>
      </c>
      <c r="N26" s="216"/>
      <c r="O26" s="216"/>
      <c r="P26" s="216"/>
      <c r="Q26" s="216"/>
      <c r="R26" s="216"/>
      <c r="S26" s="216"/>
      <c r="T26" s="216"/>
      <c r="U26" s="216"/>
      <c r="V26" s="216"/>
      <c r="W26" s="216"/>
      <c r="X26" s="282">
        <v>5</v>
      </c>
      <c r="Y26" s="283" t="s">
        <v>182</v>
      </c>
      <c r="Z26" s="284"/>
      <c r="AA26" s="284"/>
      <c r="AB26" s="285">
        <f>AB21-SUM(AB22:AB25)</f>
        <v>28.880804866385439</v>
      </c>
      <c r="AC26" s="216"/>
      <c r="AD26" s="282">
        <v>5</v>
      </c>
      <c r="AE26" s="283" t="s">
        <v>182</v>
      </c>
      <c r="AF26" s="284"/>
      <c r="AG26" s="284"/>
      <c r="AH26" s="285">
        <f>AH21-SUM(AH22:AH25)</f>
        <v>-1.4210854715202004E-14</v>
      </c>
    </row>
    <row r="27" spans="2:34" ht="18">
      <c r="B27" s="216"/>
      <c r="C27" s="216"/>
      <c r="D27" s="272"/>
      <c r="E27" s="272"/>
      <c r="F27" s="272"/>
      <c r="G27" s="272"/>
      <c r="H27" s="272"/>
      <c r="I27" s="279">
        <v>4</v>
      </c>
      <c r="J27" s="276" t="str">
        <f t="shared" si="0"/>
        <v>MZ others</v>
      </c>
      <c r="K27" s="277"/>
      <c r="L27" s="277"/>
      <c r="M27" s="281">
        <f t="shared" si="1"/>
        <v>-2.0177897126487849</v>
      </c>
      <c r="N27" s="216"/>
      <c r="O27" s="216"/>
      <c r="P27" s="272"/>
      <c r="Q27" s="272"/>
      <c r="R27" s="216"/>
      <c r="S27" s="216"/>
      <c r="T27" s="216"/>
      <c r="U27" s="216"/>
      <c r="V27" s="216"/>
      <c r="W27" s="216"/>
      <c r="X27" s="216"/>
      <c r="Y27" s="216"/>
      <c r="Z27" s="216"/>
      <c r="AA27" s="216"/>
      <c r="AB27" s="286">
        <f>AB26-AB69</f>
        <v>2.758255609914066</v>
      </c>
      <c r="AC27" s="216"/>
      <c r="AD27" s="216"/>
      <c r="AE27" s="216"/>
      <c r="AF27" s="216"/>
      <c r="AG27" s="287"/>
      <c r="AH27" s="286">
        <f>AH26-AH69</f>
        <v>-2.8421709430404007E-14</v>
      </c>
    </row>
    <row r="28" spans="2:34" ht="18">
      <c r="B28" s="216"/>
      <c r="C28" s="272"/>
      <c r="D28" s="216"/>
      <c r="E28" s="216"/>
      <c r="F28" s="216"/>
      <c r="G28" s="216"/>
      <c r="H28" s="216"/>
      <c r="I28" s="279">
        <v>5</v>
      </c>
      <c r="J28" s="276" t="str">
        <f t="shared" si="0"/>
        <v>X-badge TP</v>
      </c>
      <c r="K28" s="277"/>
      <c r="L28" s="277"/>
      <c r="M28" s="281">
        <f t="shared" si="1"/>
        <v>-0.70580568700000001</v>
      </c>
      <c r="N28" s="216"/>
      <c r="O28" s="216"/>
      <c r="P28" s="216"/>
      <c r="Q28" s="216"/>
      <c r="R28" s="216"/>
      <c r="S28" s="216"/>
      <c r="T28" s="216"/>
      <c r="U28" s="216"/>
      <c r="V28" s="216"/>
      <c r="W28" s="216"/>
      <c r="X28" s="216"/>
      <c r="Y28" s="216"/>
      <c r="Z28" s="216"/>
      <c r="AA28" s="216"/>
      <c r="AB28" s="216"/>
      <c r="AC28" s="216"/>
      <c r="AD28" s="216"/>
      <c r="AE28" s="216"/>
      <c r="AF28" s="216"/>
      <c r="AG28" s="216"/>
      <c r="AH28" s="216"/>
    </row>
    <row r="29" spans="2:34" ht="18">
      <c r="B29" s="216"/>
      <c r="C29" s="272"/>
      <c r="D29" s="216"/>
      <c r="E29" s="216"/>
      <c r="F29" s="216"/>
      <c r="G29" s="216"/>
      <c r="H29" s="216"/>
      <c r="I29" s="279">
        <v>6</v>
      </c>
      <c r="J29" s="276" t="str">
        <f t="shared" si="0"/>
        <v>Duty</v>
      </c>
      <c r="K29" s="277"/>
      <c r="L29" s="277"/>
      <c r="M29" s="281">
        <f t="shared" si="1"/>
        <v>-2</v>
      </c>
      <c r="N29" s="216"/>
      <c r="O29" s="216"/>
      <c r="P29" s="216"/>
      <c r="Q29" s="216"/>
      <c r="R29" s="216"/>
      <c r="S29" s="216"/>
      <c r="T29" s="216"/>
      <c r="U29" s="216"/>
      <c r="V29" s="216"/>
      <c r="W29" s="216"/>
      <c r="X29" s="216"/>
      <c r="Y29" s="216"/>
      <c r="Z29" s="216"/>
      <c r="AA29" s="216"/>
      <c r="AB29" s="216"/>
      <c r="AC29" s="216"/>
      <c r="AD29" s="216"/>
      <c r="AE29" s="216"/>
      <c r="AF29" s="216"/>
      <c r="AG29" s="216"/>
      <c r="AH29" s="216"/>
    </row>
    <row r="30" spans="2:34" ht="18">
      <c r="B30" s="216"/>
      <c r="C30" s="272"/>
      <c r="D30" s="272"/>
      <c r="E30" s="216"/>
      <c r="F30" s="216"/>
      <c r="G30" s="216"/>
      <c r="H30" s="216"/>
      <c r="I30" s="279">
        <v>7</v>
      </c>
      <c r="J30" s="276" t="str">
        <f t="shared" si="0"/>
        <v>Outbound logistics</v>
      </c>
      <c r="K30" s="277"/>
      <c r="L30" s="277"/>
      <c r="M30" s="281">
        <f t="shared" si="1"/>
        <v>-4.0042759920000002</v>
      </c>
      <c r="N30" s="216"/>
      <c r="O30" s="216"/>
      <c r="P30" s="216"/>
      <c r="Q30" s="216"/>
      <c r="R30" s="216"/>
      <c r="S30" s="216"/>
      <c r="T30" s="216"/>
      <c r="U30" s="216"/>
      <c r="V30" s="216"/>
      <c r="W30" s="216"/>
      <c r="X30" s="216"/>
      <c r="Y30" s="216"/>
      <c r="Z30" s="216"/>
      <c r="AA30" s="216"/>
      <c r="AB30" s="216"/>
      <c r="AC30" s="216"/>
      <c r="AD30" s="216"/>
      <c r="AE30" s="216"/>
      <c r="AF30" s="216"/>
      <c r="AG30" s="216"/>
      <c r="AH30" s="216"/>
    </row>
    <row r="31" spans="2:34" ht="18">
      <c r="B31" s="216"/>
      <c r="C31" s="291"/>
      <c r="D31" s="216"/>
      <c r="E31" s="216"/>
      <c r="F31" s="292" t="s">
        <v>189</v>
      </c>
      <c r="G31" s="216"/>
      <c r="H31" s="216"/>
      <c r="I31" s="279">
        <v>8</v>
      </c>
      <c r="J31" s="276">
        <f t="shared" si="0"/>
        <v>0</v>
      </c>
      <c r="K31" s="277"/>
      <c r="L31" s="277"/>
      <c r="M31" s="281">
        <f t="shared" si="1"/>
        <v>0</v>
      </c>
      <c r="N31" s="216"/>
      <c r="O31" s="216"/>
      <c r="P31" s="216"/>
      <c r="Q31" s="216"/>
      <c r="R31" s="216"/>
      <c r="S31" s="216"/>
      <c r="T31" s="216"/>
      <c r="U31" s="216"/>
      <c r="V31" s="216"/>
      <c r="W31" s="216"/>
      <c r="X31" s="216"/>
      <c r="Y31" s="216"/>
      <c r="Z31" s="216"/>
      <c r="AA31" s="216"/>
      <c r="AB31" s="216"/>
      <c r="AC31" s="216"/>
      <c r="AD31" s="216"/>
      <c r="AE31" s="216"/>
      <c r="AF31" s="216"/>
      <c r="AG31" s="216"/>
      <c r="AH31" s="216"/>
    </row>
    <row r="32" spans="2:34" ht="20.25">
      <c r="B32" s="216"/>
      <c r="C32" s="216"/>
      <c r="D32" s="293" t="s">
        <v>147</v>
      </c>
      <c r="E32" s="293" t="s">
        <v>287</v>
      </c>
      <c r="F32" s="293" t="s">
        <v>190</v>
      </c>
      <c r="G32" s="216"/>
      <c r="H32" s="216"/>
      <c r="I32" s="288">
        <v>9</v>
      </c>
      <c r="J32" s="289" t="s">
        <v>182</v>
      </c>
      <c r="K32" s="284"/>
      <c r="L32" s="284"/>
      <c r="M32" s="290">
        <f>M23-SUM(M24:M27)</f>
        <v>-6.7100816789999982</v>
      </c>
      <c r="N32" s="216"/>
      <c r="O32" s="273" t="s">
        <v>191</v>
      </c>
      <c r="P32" s="274"/>
      <c r="Q32" s="274"/>
      <c r="R32" s="274"/>
      <c r="S32" s="294">
        <f>S19</f>
        <v>-428.3898427645729</v>
      </c>
      <c r="T32" s="216"/>
      <c r="U32" s="272"/>
      <c r="V32" s="272"/>
      <c r="W32" s="272"/>
      <c r="X32" s="216"/>
      <c r="Y32" s="216"/>
      <c r="Z32" s="216"/>
      <c r="AA32" s="216"/>
      <c r="AB32" s="216"/>
      <c r="AC32" s="216"/>
      <c r="AD32" s="216"/>
      <c r="AE32" s="216"/>
      <c r="AF32" s="216"/>
      <c r="AG32" s="216"/>
      <c r="AH32" s="216"/>
    </row>
    <row r="33" spans="2:34" ht="20.25">
      <c r="B33" s="216"/>
      <c r="C33" s="295" t="s">
        <v>192</v>
      </c>
      <c r="D33" s="296">
        <f>'[14]P&amp;L vs BP'!$CP$24</f>
        <v>107695</v>
      </c>
      <c r="E33" s="296">
        <f>'[14]P&amp;L vs BP'!$CO$24</f>
        <v>80810</v>
      </c>
      <c r="F33" s="296">
        <f>E33-D33</f>
        <v>-26885</v>
      </c>
      <c r="G33" s="216"/>
      <c r="H33" s="216"/>
      <c r="I33" s="216"/>
      <c r="J33" s="216"/>
      <c r="K33" s="216"/>
      <c r="L33" s="216"/>
      <c r="M33" s="286">
        <f>M32-M71</f>
        <v>-6.0042759919999984</v>
      </c>
      <c r="N33" s="216"/>
      <c r="O33" s="279">
        <v>1</v>
      </c>
      <c r="P33" s="269" t="str">
        <f t="shared" ref="P33:P42" si="2">P76</f>
        <v>UC</v>
      </c>
      <c r="Q33" s="270"/>
      <c r="R33" s="270"/>
      <c r="S33" s="280">
        <f t="shared" ref="S33:S42" si="3">S76</f>
        <v>-5.212232041</v>
      </c>
      <c r="T33" s="216"/>
      <c r="U33" s="216"/>
      <c r="V33" s="216"/>
      <c r="W33" s="216"/>
      <c r="X33" s="297"/>
      <c r="Y33" s="216"/>
      <c r="Z33" s="216"/>
      <c r="AA33" s="216"/>
      <c r="AB33" s="216"/>
      <c r="AC33" s="216"/>
      <c r="AD33" s="216"/>
      <c r="AE33" s="216"/>
      <c r="AF33" s="216"/>
      <c r="AG33" s="216"/>
      <c r="AH33" s="216"/>
    </row>
    <row r="34" spans="2:34" ht="20.25">
      <c r="B34" s="216"/>
      <c r="C34" s="295" t="s">
        <v>194</v>
      </c>
      <c r="D34" s="296">
        <f>'[14]P&amp;L vs BP'!$CP$27</f>
        <v>2384</v>
      </c>
      <c r="E34" s="296">
        <f>'[14]P&amp;L vs BP'!$CO$27</f>
        <v>1908</v>
      </c>
      <c r="F34" s="296">
        <f>E34-D34</f>
        <v>-476</v>
      </c>
      <c r="G34" s="216"/>
      <c r="H34" s="216"/>
      <c r="N34" s="216"/>
      <c r="O34" s="279">
        <v>2</v>
      </c>
      <c r="P34" s="276" t="str">
        <f t="shared" si="2"/>
        <v>Export</v>
      </c>
      <c r="Q34" s="277"/>
      <c r="R34" s="277"/>
      <c r="S34" s="281">
        <f t="shared" si="3"/>
        <v>1.4592590575665412</v>
      </c>
      <c r="T34" s="216"/>
      <c r="U34" s="216"/>
      <c r="V34" s="216"/>
      <c r="W34" s="216"/>
      <c r="X34" s="216"/>
      <c r="Y34" s="216"/>
      <c r="Z34" s="216"/>
      <c r="AA34" s="216"/>
      <c r="AB34" s="216"/>
      <c r="AC34" s="216"/>
      <c r="AD34" s="216"/>
      <c r="AE34" s="216"/>
      <c r="AF34" s="216"/>
      <c r="AG34" s="216"/>
      <c r="AH34" s="216"/>
    </row>
    <row r="35" spans="2:34" ht="18">
      <c r="B35" s="216"/>
      <c r="C35" s="216"/>
      <c r="D35" s="298"/>
      <c r="E35" s="298"/>
      <c r="F35" s="298"/>
      <c r="G35" s="216"/>
      <c r="H35" s="216"/>
      <c r="N35" s="216"/>
      <c r="O35" s="279">
        <v>3</v>
      </c>
      <c r="P35" s="276" t="str">
        <f t="shared" si="2"/>
        <v>UED</v>
      </c>
      <c r="Q35" s="277"/>
      <c r="R35" s="277"/>
      <c r="S35" s="278">
        <f t="shared" si="3"/>
        <v>23.141189848541018</v>
      </c>
      <c r="T35" s="216"/>
      <c r="U35" s="216"/>
      <c r="V35" s="216"/>
      <c r="W35" s="216"/>
      <c r="X35" s="216"/>
      <c r="Y35" s="216"/>
      <c r="Z35" s="216"/>
      <c r="AA35" s="216"/>
      <c r="AB35" s="216"/>
      <c r="AC35" s="216"/>
      <c r="AD35" s="216"/>
      <c r="AE35" s="216"/>
      <c r="AF35" s="216"/>
      <c r="AG35" s="216"/>
      <c r="AH35" s="216"/>
    </row>
    <row r="36" spans="2:34" ht="20.25">
      <c r="B36" s="216"/>
      <c r="C36" s="295" t="s">
        <v>196</v>
      </c>
      <c r="D36" s="296">
        <f>'[14]P&amp;L vs BP'!$CP$18</f>
        <v>79373</v>
      </c>
      <c r="E36" s="296">
        <f>'[14]P&amp;L vs BP'!$CO$18</f>
        <v>72592</v>
      </c>
      <c r="F36" s="296">
        <f>E36-D36</f>
        <v>-6781</v>
      </c>
      <c r="G36" s="216"/>
      <c r="H36" s="216"/>
      <c r="I36" s="216"/>
      <c r="J36" s="216"/>
      <c r="K36" s="216"/>
      <c r="L36" s="216"/>
      <c r="M36" s="216"/>
      <c r="N36" s="216"/>
      <c r="O36" s="279">
        <v>4</v>
      </c>
      <c r="P36" s="276" t="str">
        <f t="shared" si="2"/>
        <v>NRV</v>
      </c>
      <c r="Q36" s="277"/>
      <c r="R36" s="277"/>
      <c r="S36" s="281">
        <f t="shared" si="3"/>
        <v>-14</v>
      </c>
      <c r="T36" s="216"/>
      <c r="U36" s="216"/>
      <c r="V36" s="216"/>
      <c r="W36" s="216"/>
      <c r="X36" s="216"/>
      <c r="Y36" s="216"/>
      <c r="Z36" s="216"/>
      <c r="AA36" s="216"/>
      <c r="AB36" s="216"/>
      <c r="AC36" s="216"/>
      <c r="AD36" s="216"/>
      <c r="AE36" s="216"/>
      <c r="AF36" s="216"/>
      <c r="AG36" s="216"/>
      <c r="AH36" s="216"/>
    </row>
    <row r="37" spans="2:34" ht="18">
      <c r="B37" s="216"/>
      <c r="C37" s="216"/>
      <c r="D37" s="216"/>
      <c r="E37" s="216"/>
      <c r="F37" s="216"/>
      <c r="G37" s="216"/>
      <c r="H37" s="216"/>
      <c r="I37" s="216"/>
      <c r="J37" s="216"/>
      <c r="K37" s="216"/>
      <c r="L37" s="216"/>
      <c r="M37" s="216"/>
      <c r="N37" s="216"/>
      <c r="O37" s="279">
        <v>5</v>
      </c>
      <c r="P37" s="276" t="str">
        <f t="shared" si="2"/>
        <v>UP</v>
      </c>
      <c r="Q37" s="277"/>
      <c r="R37" s="277"/>
      <c r="S37" s="281">
        <f t="shared" si="3"/>
        <v>-27.492602826677153</v>
      </c>
      <c r="T37" s="216"/>
      <c r="U37" s="216"/>
      <c r="V37" s="216"/>
      <c r="W37" s="216"/>
      <c r="X37" s="216"/>
      <c r="Y37" s="216"/>
      <c r="Z37" s="216"/>
      <c r="AA37" s="216"/>
      <c r="AB37" s="216"/>
      <c r="AC37" s="216"/>
      <c r="AD37" s="216"/>
      <c r="AE37" s="216"/>
      <c r="AF37" s="216"/>
      <c r="AG37" s="216"/>
      <c r="AH37" s="216"/>
    </row>
    <row r="38" spans="2:34" ht="18">
      <c r="B38" s="216"/>
      <c r="C38" s="216"/>
      <c r="D38" s="216"/>
      <c r="E38" s="216"/>
      <c r="F38" s="216"/>
      <c r="G38" s="216"/>
      <c r="H38" s="216"/>
      <c r="I38" s="216"/>
      <c r="J38" s="216"/>
      <c r="K38" s="216"/>
      <c r="L38" s="216"/>
      <c r="M38" s="216"/>
      <c r="N38" s="216"/>
      <c r="O38" s="279">
        <v>6</v>
      </c>
      <c r="P38" s="276" t="str">
        <f t="shared" si="2"/>
        <v>CAFÉ</v>
      </c>
      <c r="Q38" s="277"/>
      <c r="R38" s="277"/>
      <c r="S38" s="281">
        <f t="shared" si="3"/>
        <v>91.216799494</v>
      </c>
      <c r="T38" s="216"/>
      <c r="U38" s="216"/>
      <c r="V38" s="216"/>
      <c r="W38" s="216"/>
      <c r="X38" s="216"/>
      <c r="Y38" s="216"/>
      <c r="Z38" s="216"/>
      <c r="AA38" s="216"/>
      <c r="AB38" s="216"/>
      <c r="AC38" s="216"/>
      <c r="AD38" s="216"/>
      <c r="AE38" s="216"/>
      <c r="AF38" s="216"/>
      <c r="AG38" s="216"/>
      <c r="AH38" s="216"/>
    </row>
    <row r="39" spans="2:34" ht="18">
      <c r="B39" s="216"/>
      <c r="C39" s="216"/>
      <c r="D39" s="216"/>
      <c r="E39" s="216"/>
      <c r="F39" s="216"/>
      <c r="G39" s="216"/>
      <c r="H39" s="216"/>
      <c r="I39" s="216"/>
      <c r="J39" s="216"/>
      <c r="K39" s="216"/>
      <c r="L39" s="216"/>
      <c r="M39" s="216"/>
      <c r="N39" s="216"/>
      <c r="O39" s="279">
        <v>7</v>
      </c>
      <c r="P39" s="276" t="str">
        <f t="shared" si="2"/>
        <v>Contingency</v>
      </c>
      <c r="Q39" s="277"/>
      <c r="R39" s="277"/>
      <c r="S39" s="281">
        <f t="shared" si="3"/>
        <v>9.4722000000000008</v>
      </c>
      <c r="T39" s="216"/>
      <c r="U39" s="216"/>
      <c r="V39" s="216"/>
      <c r="W39" s="216"/>
      <c r="X39" s="216"/>
      <c r="Y39" s="216"/>
      <c r="Z39" s="216"/>
      <c r="AA39" s="216"/>
      <c r="AB39" s="216"/>
      <c r="AC39" s="216"/>
      <c r="AD39" s="216"/>
      <c r="AE39" s="216"/>
      <c r="AF39" s="216"/>
      <c r="AG39" s="216"/>
      <c r="AH39" s="216"/>
    </row>
    <row r="40" spans="2:34" ht="18">
      <c r="B40" s="216"/>
      <c r="C40" s="216"/>
      <c r="D40" s="216"/>
      <c r="E40" s="216"/>
      <c r="F40" s="216"/>
      <c r="G40" s="216"/>
      <c r="H40" s="216"/>
      <c r="I40" s="216"/>
      <c r="J40" s="216"/>
      <c r="K40" s="216"/>
      <c r="L40" s="216"/>
      <c r="M40" s="216"/>
      <c r="N40" s="216"/>
      <c r="O40" s="279">
        <v>8</v>
      </c>
      <c r="P40" s="276" t="str">
        <f t="shared" si="2"/>
        <v>NANO</v>
      </c>
      <c r="Q40" s="277"/>
      <c r="R40" s="277"/>
      <c r="S40" s="278">
        <f t="shared" si="3"/>
        <v>-0.81150780992375426</v>
      </c>
      <c r="T40" s="216"/>
      <c r="U40" s="216"/>
      <c r="V40" s="216"/>
      <c r="W40" s="216"/>
      <c r="X40" s="216"/>
      <c r="Y40" s="216"/>
      <c r="Z40" s="216"/>
      <c r="AA40" s="216"/>
      <c r="AB40" s="216"/>
      <c r="AC40" s="216"/>
      <c r="AD40" s="216"/>
      <c r="AE40" s="216"/>
      <c r="AF40" s="216"/>
      <c r="AG40" s="216"/>
      <c r="AH40" s="216"/>
    </row>
    <row r="41" spans="2:34" ht="18">
      <c r="B41" s="216"/>
      <c r="C41" s="216"/>
      <c r="D41" s="216"/>
      <c r="E41" s="216"/>
      <c r="F41" s="216"/>
      <c r="G41" s="216"/>
      <c r="H41" s="216"/>
      <c r="I41" s="216"/>
      <c r="J41" s="216"/>
      <c r="K41" s="216"/>
      <c r="L41" s="216"/>
      <c r="M41" s="216"/>
      <c r="N41" s="216"/>
      <c r="O41" s="279">
        <v>9</v>
      </c>
      <c r="P41" s="276" t="str">
        <f t="shared" si="2"/>
        <v>Blind task</v>
      </c>
      <c r="Q41" s="277"/>
      <c r="R41" s="277"/>
      <c r="S41" s="278">
        <f t="shared" si="3"/>
        <v>-64.006055558149967</v>
      </c>
      <c r="T41" s="216"/>
      <c r="U41" s="216"/>
      <c r="V41" s="216"/>
      <c r="W41" s="216"/>
      <c r="X41" s="216"/>
      <c r="Y41" s="216"/>
      <c r="Z41" s="216"/>
      <c r="AA41" s="216"/>
      <c r="AB41" s="216"/>
      <c r="AC41" s="216"/>
      <c r="AD41" s="216"/>
      <c r="AE41" s="216"/>
      <c r="AF41" s="216"/>
      <c r="AG41" s="216"/>
      <c r="AH41" s="216"/>
    </row>
    <row r="42" spans="2:34" ht="18">
      <c r="B42" s="216"/>
      <c r="C42" s="216"/>
      <c r="D42" s="216"/>
      <c r="E42" s="216"/>
      <c r="F42" s="216"/>
      <c r="G42" s="216"/>
      <c r="H42" s="216"/>
      <c r="I42" s="216"/>
      <c r="J42" s="216"/>
      <c r="K42" s="216"/>
      <c r="L42" s="216"/>
      <c r="M42" s="216"/>
      <c r="N42" s="216"/>
      <c r="O42" s="279">
        <v>10</v>
      </c>
      <c r="P42" s="276" t="str">
        <f t="shared" si="2"/>
        <v>SCOS related</v>
      </c>
      <c r="Q42" s="277"/>
      <c r="R42" s="277"/>
      <c r="S42" s="278">
        <f t="shared" si="3"/>
        <v>-3.4649250191233278</v>
      </c>
      <c r="T42" s="216"/>
      <c r="U42" s="216"/>
      <c r="V42" s="216"/>
      <c r="W42" s="216"/>
      <c r="X42" s="216"/>
      <c r="Y42" s="216"/>
      <c r="Z42" s="216"/>
      <c r="AA42" s="216"/>
      <c r="AB42" s="216"/>
      <c r="AC42" s="216"/>
      <c r="AD42" s="216"/>
      <c r="AE42" s="216"/>
      <c r="AF42" s="216"/>
      <c r="AG42" s="216"/>
      <c r="AH42" s="216"/>
    </row>
    <row r="43" spans="2:34" ht="18">
      <c r="B43" s="216"/>
      <c r="C43" s="216"/>
      <c r="D43" s="216"/>
      <c r="E43" s="216"/>
      <c r="F43" s="216"/>
      <c r="G43" s="216"/>
      <c r="H43" s="216"/>
      <c r="I43" s="216"/>
      <c r="J43" s="216"/>
      <c r="K43" s="216"/>
      <c r="L43" s="216"/>
      <c r="M43" s="216"/>
      <c r="N43" s="216"/>
      <c r="O43" s="288">
        <v>11</v>
      </c>
      <c r="P43" s="283" t="s">
        <v>182</v>
      </c>
      <c r="Q43" s="284"/>
      <c r="R43" s="284"/>
      <c r="S43" s="285">
        <f>S32-SUM(S33:S42)</f>
        <v>-438.69196790980629</v>
      </c>
      <c r="T43" s="216"/>
      <c r="U43" s="216"/>
      <c r="V43" s="216"/>
      <c r="W43" s="216"/>
      <c r="X43" s="216"/>
      <c r="Y43" s="216"/>
      <c r="Z43" s="216"/>
      <c r="AA43" s="216"/>
      <c r="AB43" s="216"/>
      <c r="AC43" s="216"/>
      <c r="AD43" s="216"/>
      <c r="AE43" s="216"/>
      <c r="AF43" s="216"/>
      <c r="AG43" s="216"/>
      <c r="AH43" s="216"/>
    </row>
    <row r="44" spans="2:34">
      <c r="B44" s="216"/>
      <c r="C44" s="216"/>
      <c r="D44" s="216"/>
      <c r="E44" s="216"/>
      <c r="F44" s="216"/>
      <c r="G44" s="216"/>
      <c r="H44" s="216"/>
      <c r="I44" s="216"/>
      <c r="J44" s="216"/>
      <c r="K44" s="216"/>
      <c r="L44" s="216"/>
      <c r="M44" s="216"/>
      <c r="N44" s="216"/>
      <c r="O44" s="216"/>
      <c r="P44" s="216"/>
      <c r="Q44" s="216"/>
      <c r="R44" s="216"/>
      <c r="S44" s="286">
        <f>S43-S87</f>
        <v>10.522880458433406</v>
      </c>
      <c r="T44" s="216"/>
      <c r="U44" s="216"/>
      <c r="V44" s="216"/>
      <c r="W44" s="216"/>
      <c r="X44" s="216"/>
      <c r="Y44" s="216"/>
      <c r="Z44" s="216"/>
      <c r="AA44" s="216"/>
      <c r="AB44" s="216"/>
      <c r="AC44" s="216"/>
      <c r="AD44" s="216"/>
      <c r="AE44" s="216"/>
      <c r="AF44" s="216"/>
      <c r="AG44" s="216"/>
      <c r="AH44" s="216"/>
    </row>
    <row r="45" spans="2:34" ht="28.5">
      <c r="B45" s="299" t="s">
        <v>197</v>
      </c>
      <c r="C45" s="216"/>
      <c r="D45" s="216"/>
      <c r="E45" s="216"/>
      <c r="F45" s="216"/>
      <c r="G45" s="216"/>
      <c r="H45" s="216"/>
      <c r="I45" s="216"/>
      <c r="J45" s="216"/>
      <c r="K45" s="216"/>
      <c r="L45" s="216"/>
      <c r="M45" s="216"/>
      <c r="N45" s="216"/>
      <c r="O45" s="216"/>
      <c r="P45" s="216"/>
      <c r="Q45" s="216"/>
      <c r="R45" s="216"/>
      <c r="S45" s="216"/>
      <c r="T45" s="216"/>
      <c r="U45" s="216"/>
      <c r="V45" s="216"/>
      <c r="W45" s="216"/>
      <c r="X45" s="216"/>
      <c r="Y45" s="216"/>
      <c r="Z45" s="216"/>
      <c r="AA45" s="216"/>
      <c r="AB45" s="216"/>
      <c r="AC45" s="216"/>
      <c r="AD45" s="216"/>
      <c r="AE45" s="216"/>
      <c r="AF45" s="216"/>
      <c r="AG45" s="216"/>
      <c r="AH45" s="216"/>
    </row>
    <row r="46" spans="2:34">
      <c r="B46" s="216"/>
      <c r="C46" s="216"/>
      <c r="D46" s="216"/>
      <c r="E46" s="216"/>
      <c r="F46" s="216"/>
      <c r="G46" s="216"/>
      <c r="H46" s="216"/>
      <c r="I46" s="216"/>
      <c r="J46" s="216"/>
      <c r="K46" s="216"/>
      <c r="L46" s="216"/>
      <c r="M46" s="216"/>
      <c r="N46" s="216"/>
      <c r="O46" s="216"/>
      <c r="P46" s="216"/>
      <c r="Q46" s="216"/>
      <c r="R46" s="216"/>
      <c r="S46" s="216"/>
      <c r="T46" s="216"/>
      <c r="U46" s="216"/>
      <c r="V46" s="216"/>
      <c r="W46" s="216"/>
      <c r="X46" s="216"/>
      <c r="Y46" s="216"/>
      <c r="Z46" s="216"/>
      <c r="AA46" s="216"/>
      <c r="AB46" s="216"/>
      <c r="AC46" s="216"/>
      <c r="AD46" s="216"/>
      <c r="AE46" s="216"/>
      <c r="AF46" s="216"/>
      <c r="AG46" s="216"/>
      <c r="AH46" s="216"/>
    </row>
    <row r="47" spans="2:34">
      <c r="B47" s="216"/>
      <c r="C47" s="216"/>
      <c r="D47" s="216"/>
      <c r="E47" s="216"/>
      <c r="F47" s="216"/>
      <c r="G47" s="216"/>
      <c r="H47" s="216"/>
      <c r="I47" s="216"/>
      <c r="J47" s="216"/>
      <c r="K47" s="216"/>
      <c r="L47" s="216"/>
      <c r="M47" s="216"/>
      <c r="N47" s="216"/>
      <c r="O47" s="216"/>
      <c r="P47" s="216"/>
      <c r="Q47" s="216"/>
      <c r="R47" s="216"/>
      <c r="S47" s="216"/>
      <c r="T47" s="216"/>
      <c r="U47" s="216"/>
      <c r="V47" s="216"/>
      <c r="W47" s="216"/>
      <c r="X47" s="216"/>
      <c r="Y47" s="216"/>
      <c r="Z47" s="216"/>
      <c r="AA47" s="216"/>
      <c r="AB47" s="216"/>
      <c r="AC47" s="216"/>
      <c r="AD47" s="216"/>
      <c r="AE47" s="216"/>
      <c r="AF47" s="216"/>
      <c r="AG47" s="216"/>
      <c r="AH47" s="216"/>
    </row>
    <row r="48" spans="2:34" ht="20.25">
      <c r="B48" s="216"/>
      <c r="C48" s="226" t="str">
        <f>B53</f>
        <v>7+5 Q4 QTD</v>
      </c>
      <c r="D48" s="226" t="str">
        <f>C53</f>
        <v>Act Q3 QTD</v>
      </c>
      <c r="E48" s="226" t="s">
        <v>320</v>
      </c>
      <c r="F48" s="226" t="s">
        <v>321</v>
      </c>
      <c r="G48" s="226" t="s">
        <v>322</v>
      </c>
      <c r="H48" s="292" t="s">
        <v>323</v>
      </c>
      <c r="I48" s="216"/>
      <c r="J48" s="216"/>
      <c r="K48" s="216"/>
      <c r="L48" s="216"/>
      <c r="M48" s="216"/>
      <c r="N48" s="216"/>
      <c r="O48" s="216"/>
      <c r="P48" s="216"/>
      <c r="Q48" s="216"/>
      <c r="R48" s="216"/>
      <c r="S48" s="216"/>
      <c r="T48" s="216"/>
      <c r="U48" s="216"/>
      <c r="V48" s="216"/>
      <c r="W48" s="216"/>
      <c r="X48" s="216"/>
      <c r="Y48" s="216"/>
      <c r="Z48" s="216"/>
      <c r="AA48" s="216"/>
      <c r="AB48" s="216"/>
      <c r="AC48" s="216"/>
      <c r="AD48" s="216"/>
      <c r="AE48" s="216"/>
      <c r="AF48" s="216"/>
      <c r="AG48" s="216"/>
      <c r="AH48" s="216"/>
    </row>
    <row r="49" spans="2:34" ht="20.25">
      <c r="B49" s="226" t="s">
        <v>324</v>
      </c>
      <c r="C49" s="229">
        <f>'Summary month'!CM27</f>
        <v>559.77731432325936</v>
      </c>
      <c r="D49" s="229">
        <f>'Summary month'!I27</f>
        <v>86.083619587646751</v>
      </c>
      <c r="E49" s="226">
        <f>+D49-C49</f>
        <v>-473.69369473561261</v>
      </c>
      <c r="F49" s="226">
        <f>B62</f>
        <v>0.31233364655836482</v>
      </c>
      <c r="G49" s="226">
        <f>SUM(C62:S62)</f>
        <v>-474.00602838217094</v>
      </c>
      <c r="H49" s="502">
        <f>E49-F49-G49</f>
        <v>0</v>
      </c>
      <c r="I49" s="216"/>
      <c r="J49" s="216"/>
      <c r="K49" s="216"/>
      <c r="L49" s="216"/>
      <c r="M49" s="216"/>
      <c r="N49" s="216"/>
      <c r="O49" s="216"/>
      <c r="P49" s="216"/>
      <c r="Q49" s="216"/>
      <c r="R49" s="216"/>
      <c r="S49" s="216"/>
      <c r="T49" s="216"/>
      <c r="U49" s="216"/>
      <c r="V49" s="216"/>
      <c r="W49" s="216"/>
      <c r="X49" s="216"/>
      <c r="Y49" s="216"/>
      <c r="Z49" s="216"/>
      <c r="AA49" s="216"/>
      <c r="AB49" s="216"/>
      <c r="AC49" s="216"/>
      <c r="AD49" s="216"/>
      <c r="AE49" s="216"/>
      <c r="AF49" s="216"/>
      <c r="AG49" s="216"/>
      <c r="AH49" s="216"/>
    </row>
    <row r="50" spans="2:34" ht="20.25">
      <c r="B50" s="226" t="s">
        <v>325</v>
      </c>
      <c r="C50" s="229">
        <f>'Summary month'!CM46</f>
        <v>-330.89687133901754</v>
      </c>
      <c r="D50" s="229">
        <f>'Summary month'!I46</f>
        <v>-128.47130442265509</v>
      </c>
      <c r="E50" s="226">
        <f>+D50-C50</f>
        <v>202.42556691636244</v>
      </c>
      <c r="F50" s="226">
        <f>T62</f>
        <v>-3.8067384224026402</v>
      </c>
      <c r="G50" s="226">
        <f>SUM(U62:AH62)</f>
        <v>206.23230533876509</v>
      </c>
      <c r="H50" s="502">
        <f>E50-F50-G50</f>
        <v>0</v>
      </c>
      <c r="I50" s="216"/>
      <c r="J50" s="216"/>
      <c r="K50" s="216"/>
      <c r="L50" s="216"/>
      <c r="M50" s="216"/>
      <c r="N50" s="216"/>
      <c r="O50" s="216"/>
      <c r="P50" s="216"/>
      <c r="Q50" s="216"/>
      <c r="R50" s="216"/>
      <c r="S50" s="216"/>
      <c r="T50" s="216"/>
      <c r="U50" s="216"/>
      <c r="V50" s="216"/>
      <c r="W50" s="216"/>
      <c r="X50" s="216"/>
      <c r="Y50" s="216"/>
      <c r="Z50" s="216"/>
      <c r="AA50" s="216"/>
      <c r="AB50" s="216"/>
      <c r="AC50" s="216"/>
      <c r="AD50" s="216"/>
      <c r="AE50" s="216"/>
      <c r="AF50" s="216"/>
      <c r="AG50" s="216"/>
      <c r="AH50" s="216"/>
    </row>
    <row r="51" spans="2:34" ht="20.25">
      <c r="B51" s="226" t="s">
        <v>326</v>
      </c>
      <c r="C51" s="226">
        <f>+C49+C50</f>
        <v>228.88044298424182</v>
      </c>
      <c r="D51" s="226">
        <f>+D49+D50</f>
        <v>-42.387684835008343</v>
      </c>
      <c r="E51" s="226">
        <f>+D51-C51</f>
        <v>-271.26812781925014</v>
      </c>
      <c r="F51" s="226">
        <f>+E51-G51</f>
        <v>-3.4944047758442593</v>
      </c>
      <c r="G51" s="226">
        <f>+G49+G50</f>
        <v>-267.77372304340588</v>
      </c>
      <c r="H51" s="502">
        <f>E51-F51-G51</f>
        <v>0</v>
      </c>
      <c r="I51" s="216"/>
      <c r="J51" s="216"/>
      <c r="K51" s="216"/>
      <c r="L51" s="216"/>
      <c r="M51" s="216"/>
      <c r="N51" s="216"/>
      <c r="O51" s="216"/>
      <c r="P51" s="216"/>
      <c r="Q51" s="216"/>
      <c r="R51" s="216"/>
      <c r="S51" s="216"/>
      <c r="T51" s="216"/>
      <c r="U51" s="216"/>
      <c r="V51" s="216"/>
      <c r="W51" s="216"/>
      <c r="X51" s="216"/>
      <c r="Y51" s="216"/>
      <c r="Z51" s="216"/>
      <c r="AA51" s="216"/>
      <c r="AB51" s="216"/>
      <c r="AC51" s="216"/>
      <c r="AD51" s="216"/>
      <c r="AE51" s="216"/>
      <c r="AF51" s="216"/>
      <c r="AG51" s="216"/>
      <c r="AH51" s="216"/>
    </row>
    <row r="52" spans="2:34" ht="18">
      <c r="B52" s="215"/>
      <c r="C52" s="216"/>
      <c r="D52" s="215"/>
      <c r="E52" s="216"/>
      <c r="F52" s="215"/>
      <c r="G52" s="217" t="s">
        <v>138</v>
      </c>
      <c r="H52" s="216"/>
      <c r="I52" s="216"/>
      <c r="J52" s="216"/>
      <c r="K52" s="216"/>
      <c r="L52" s="216"/>
      <c r="M52" s="216"/>
      <c r="N52" s="216"/>
      <c r="O52" s="216"/>
      <c r="P52" s="216"/>
      <c r="Q52" s="216"/>
      <c r="R52" s="216"/>
      <c r="S52" s="216"/>
      <c r="T52" s="216"/>
      <c r="U52" s="216"/>
      <c r="V52" s="216"/>
      <c r="W52" s="216"/>
      <c r="X52" s="216"/>
      <c r="Y52" s="216"/>
      <c r="Z52" s="216"/>
      <c r="AA52" s="216"/>
      <c r="AB52" s="216"/>
      <c r="AC52" s="216"/>
      <c r="AD52" s="216"/>
      <c r="AE52" s="216"/>
      <c r="AF52" s="216"/>
      <c r="AG52" s="216"/>
      <c r="AH52" s="216"/>
    </row>
    <row r="53" spans="2:34" ht="20.100000000000001" customHeight="1">
      <c r="B53" s="1014" t="s">
        <v>544</v>
      </c>
      <c r="C53" s="1014" t="s">
        <v>545</v>
      </c>
      <c r="D53" s="218"/>
      <c r="E53" s="219"/>
      <c r="F53" s="219"/>
      <c r="G53" s="220"/>
      <c r="H53" s="216"/>
      <c r="I53" s="216"/>
      <c r="J53" s="216"/>
      <c r="K53" s="216"/>
      <c r="L53" s="216" t="s">
        <v>301</v>
      </c>
      <c r="M53" s="478">
        <f>SUM(E56:E58,G56)</f>
        <v>0.31233364655836482</v>
      </c>
      <c r="N53" s="216"/>
      <c r="O53" s="221"/>
      <c r="P53" s="221"/>
      <c r="Q53" s="221"/>
      <c r="R53" s="216"/>
      <c r="S53" s="216"/>
      <c r="T53" s="216"/>
      <c r="U53" s="216"/>
      <c r="V53" s="216"/>
      <c r="W53" s="221"/>
      <c r="X53" s="221"/>
      <c r="Y53" s="221"/>
      <c r="Z53" s="221"/>
      <c r="AA53" s="221"/>
      <c r="AB53" s="221"/>
      <c r="AC53" s="221"/>
      <c r="AD53" s="221"/>
      <c r="AE53" s="221"/>
      <c r="AF53" s="221"/>
      <c r="AG53" s="221"/>
      <c r="AH53" s="221"/>
    </row>
    <row r="54" spans="2:34" ht="20.25">
      <c r="B54" s="1015"/>
      <c r="C54" s="1016"/>
      <c r="D54" s="222"/>
      <c r="E54" s="223" t="s">
        <v>154</v>
      </c>
      <c r="F54" s="224" t="s">
        <v>198</v>
      </c>
      <c r="G54" s="225" t="s">
        <v>156</v>
      </c>
      <c r="H54" s="216"/>
      <c r="I54" s="216" t="s">
        <v>208</v>
      </c>
      <c r="J54" s="216"/>
      <c r="K54" s="216"/>
      <c r="L54" s="216" t="s">
        <v>302</v>
      </c>
      <c r="M54" s="334">
        <f>SUM(U63:AH63,AJ65)</f>
        <v>-3.8067384224026402</v>
      </c>
      <c r="N54" s="216"/>
      <c r="O54" s="216"/>
      <c r="P54" s="216"/>
      <c r="Q54" s="216"/>
      <c r="R54" s="216"/>
      <c r="S54" s="216"/>
      <c r="T54" s="216"/>
      <c r="V54" s="216"/>
      <c r="W54" s="216"/>
      <c r="X54" s="216"/>
      <c r="Y54" s="216"/>
      <c r="Z54" s="216"/>
      <c r="AA54" s="216"/>
      <c r="AB54" s="216"/>
      <c r="AC54" s="216" t="s">
        <v>266</v>
      </c>
      <c r="AD54" s="315">
        <v>-1.911867338085935</v>
      </c>
      <c r="AE54" s="216"/>
      <c r="AF54" s="216"/>
      <c r="AG54" s="216"/>
      <c r="AH54" s="216"/>
    </row>
    <row r="55" spans="2:34" ht="20.25">
      <c r="B55" s="226">
        <f>'Summary month'!CM47</f>
        <v>228.88044298424182</v>
      </c>
      <c r="C55" s="226">
        <f>'Summary month'!I47</f>
        <v>-42.387684835008343</v>
      </c>
      <c r="D55" s="227">
        <f>C55-B55</f>
        <v>-271.26812781925014</v>
      </c>
      <c r="E55" s="228">
        <f>SUM(M53:M54)</f>
        <v>-3.4944047758442753</v>
      </c>
      <c r="F55" s="229">
        <f>'Summary month'!CN27-M53</f>
        <v>-474.006028382171</v>
      </c>
      <c r="G55" s="229">
        <f>'Summary month'!CN46-M54</f>
        <v>206.23230533876509</v>
      </c>
      <c r="H55" s="216"/>
      <c r="I55" s="286">
        <f>SUM(E55:G55)-D55</f>
        <v>0</v>
      </c>
      <c r="J55" s="216"/>
      <c r="K55" s="216"/>
      <c r="L55" s="216"/>
      <c r="M55" s="216"/>
      <c r="N55" s="216"/>
      <c r="O55" s="230"/>
      <c r="P55" s="216"/>
      <c r="Q55" s="216"/>
      <c r="R55" s="216"/>
      <c r="S55" s="216"/>
      <c r="T55" s="216"/>
      <c r="U55" s="216"/>
      <c r="V55" s="216"/>
      <c r="W55" s="230"/>
      <c r="X55" s="216"/>
      <c r="Y55" s="230"/>
      <c r="Z55" s="230"/>
      <c r="AA55" s="230"/>
      <c r="AB55" s="230"/>
      <c r="AC55" s="230" t="s">
        <v>269</v>
      </c>
      <c r="AD55" s="315">
        <v>-0.33</v>
      </c>
      <c r="AE55" s="230"/>
      <c r="AF55" s="230"/>
      <c r="AG55" s="230"/>
      <c r="AH55" s="230"/>
    </row>
    <row r="56" spans="2:34">
      <c r="B56" s="216"/>
      <c r="C56" s="216"/>
      <c r="D56" s="216" t="s">
        <v>139</v>
      </c>
      <c r="E56" s="315">
        <f>[15]CMOR_Q3_vsBPQ4!$I$154+[15]CMOR_Q3_vsBPQ4!$I$156+[15]CMOR_Q3_vsBPQ4!$I$168</f>
        <v>0</v>
      </c>
      <c r="F56" s="216" t="s">
        <v>193</v>
      </c>
      <c r="G56" s="286">
        <f>[15]CMOR_Q3_vsBPQ4!$I$169+[15]CMOR_Q3_vsBPQ4!$I$157+[15]CMOR_Q3_vsBPQ4!$I$159</f>
        <v>0</v>
      </c>
      <c r="H56" s="216"/>
      <c r="I56" s="216"/>
      <c r="J56" s="216"/>
      <c r="K56" s="216"/>
      <c r="L56" s="216"/>
      <c r="M56" s="216"/>
      <c r="N56" s="216"/>
      <c r="O56" s="216"/>
      <c r="P56" s="216"/>
      <c r="Q56" s="216"/>
      <c r="R56" s="216"/>
      <c r="S56" s="216"/>
      <c r="T56" s="216"/>
      <c r="U56" s="216"/>
      <c r="V56" s="216"/>
      <c r="W56" s="216" t="s">
        <v>145</v>
      </c>
      <c r="X56" s="479">
        <f>[15]TABLE_Q3!$AG$82-Y56</f>
        <v>4.4461302000000036E-2</v>
      </c>
      <c r="Y56" s="216">
        <f>[15]CMOR_Q3_vsBPQ4!$I$161</f>
        <v>0.3</v>
      </c>
      <c r="Z56" s="216"/>
      <c r="AA56" s="216"/>
      <c r="AB56" s="216"/>
      <c r="AC56" s="216" t="s">
        <v>141</v>
      </c>
      <c r="AD56" s="315">
        <v>1.0101229480000007</v>
      </c>
      <c r="AE56" s="216"/>
      <c r="AF56" s="216"/>
      <c r="AG56" s="216"/>
      <c r="AH56" s="216"/>
    </row>
    <row r="57" spans="2:34">
      <c r="B57" s="216"/>
      <c r="C57" s="216"/>
      <c r="D57" s="216" t="s">
        <v>200</v>
      </c>
      <c r="E57" s="315">
        <f>[15]CMOR_Q3_vsBPQ4!$I$164+[15]CMOR_Q3_vsBPQ4!$I$165</f>
        <v>0.31233364655836482</v>
      </c>
      <c r="F57" s="216"/>
      <c r="G57" s="216"/>
      <c r="H57" s="216"/>
      <c r="I57" s="216"/>
      <c r="J57" s="216"/>
      <c r="K57" s="216"/>
      <c r="L57" s="216"/>
      <c r="M57" s="216"/>
      <c r="N57" s="216"/>
      <c r="O57" s="216"/>
      <c r="P57" s="216"/>
      <c r="Q57" s="216"/>
      <c r="R57" s="216"/>
      <c r="S57" s="216"/>
      <c r="T57" s="216"/>
      <c r="W57" t="s">
        <v>193</v>
      </c>
      <c r="X57" s="129">
        <f>[15]TABLE_Q3!$AG$78-Y57</f>
        <v>0.27635939600000015</v>
      </c>
      <c r="Y57">
        <f>[15]CMOR_Q3_vsBPQ4!$I$158</f>
        <v>0</v>
      </c>
      <c r="AC57" s="216" t="s">
        <v>144</v>
      </c>
      <c r="AD57" s="755">
        <f>AD62-SUM(AD54:AD56)</f>
        <v>30.112549256471375</v>
      </c>
      <c r="AH57" s="216"/>
    </row>
    <row r="58" spans="2:34" ht="21" thickBot="1">
      <c r="B58" s="231" t="s">
        <v>157</v>
      </c>
      <c r="C58" s="232"/>
      <c r="D58" s="232" t="s">
        <v>145</v>
      </c>
      <c r="E58" s="316">
        <f>[15]CMOR_Q3_vsBPQ4!$I$160+[15]CMOR_Q3_vsBPQ4!$I$162+[15]CMOR_Q3_vsBPQ4!$I$170</f>
        <v>0</v>
      </c>
      <c r="F58" s="232"/>
      <c r="G58" s="232"/>
      <c r="H58" s="232"/>
      <c r="I58" s="232"/>
      <c r="J58" s="232"/>
      <c r="K58" s="232"/>
      <c r="L58" s="232"/>
      <c r="M58" s="232"/>
      <c r="N58" s="232"/>
      <c r="O58" s="232"/>
      <c r="P58" s="232"/>
      <c r="Q58" s="232"/>
      <c r="R58" s="232"/>
      <c r="S58" s="232"/>
      <c r="T58" s="232"/>
      <c r="U58" s="232"/>
      <c r="V58" s="232"/>
      <c r="W58" s="232" t="s">
        <v>144</v>
      </c>
      <c r="X58" s="313">
        <f>X62-SUM(X56:X57)</f>
        <v>16.41908736730749</v>
      </c>
      <c r="Y58" s="232"/>
      <c r="Z58" s="232"/>
      <c r="AA58" s="232"/>
      <c r="AB58" s="232"/>
      <c r="AC58" s="232"/>
      <c r="AD58" s="232"/>
      <c r="AE58" s="232"/>
      <c r="AF58" s="232"/>
      <c r="AG58" s="232"/>
      <c r="AH58" s="217" t="s">
        <v>138</v>
      </c>
    </row>
    <row r="59" spans="2:34" ht="21" thickBot="1">
      <c r="B59" s="233"/>
      <c r="C59" s="234" t="s">
        <v>199</v>
      </c>
      <c r="D59" s="234"/>
      <c r="E59" s="234"/>
      <c r="F59" s="234"/>
      <c r="G59" s="234"/>
      <c r="H59" s="234"/>
      <c r="I59" s="234"/>
      <c r="J59" s="234"/>
      <c r="K59" s="234"/>
      <c r="L59" s="234"/>
      <c r="M59" s="234"/>
      <c r="N59" s="234"/>
      <c r="O59" s="234"/>
      <c r="P59" s="234"/>
      <c r="Q59" s="234"/>
      <c r="R59" s="234"/>
      <c r="S59" s="235"/>
      <c r="T59" s="236"/>
      <c r="U59" s="237" t="s">
        <v>160</v>
      </c>
      <c r="V59" s="237"/>
      <c r="W59" s="237"/>
      <c r="X59" s="237"/>
      <c r="Y59" s="237"/>
      <c r="Z59" s="237"/>
      <c r="AA59" s="237"/>
      <c r="AB59" s="237"/>
      <c r="AC59" s="237"/>
      <c r="AD59" s="237"/>
      <c r="AE59" s="237"/>
      <c r="AF59" s="237"/>
      <c r="AG59" s="237"/>
      <c r="AH59" s="238"/>
    </row>
    <row r="60" spans="2:34" ht="20.25">
      <c r="B60" s="1027" t="s">
        <v>274</v>
      </c>
      <c r="C60" s="239" t="s">
        <v>161</v>
      </c>
      <c r="D60" s="240"/>
      <c r="E60" s="240"/>
      <c r="F60" s="240"/>
      <c r="G60" s="241"/>
      <c r="H60" s="1017" t="s">
        <v>162</v>
      </c>
      <c r="I60" s="242" t="s">
        <v>163</v>
      </c>
      <c r="J60" s="243"/>
      <c r="K60" s="243"/>
      <c r="L60" s="243"/>
      <c r="M60" s="243"/>
      <c r="N60" s="244"/>
      <c r="O60" s="1029" t="s">
        <v>164</v>
      </c>
      <c r="P60" s="1029" t="s">
        <v>165</v>
      </c>
      <c r="Q60" s="1019" t="s">
        <v>166</v>
      </c>
      <c r="R60" s="1022" t="s">
        <v>167</v>
      </c>
      <c r="S60" s="1023" t="s">
        <v>168</v>
      </c>
      <c r="T60" s="1027" t="s">
        <v>274</v>
      </c>
      <c r="U60" s="245" t="s">
        <v>169</v>
      </c>
      <c r="V60" s="246"/>
      <c r="W60" s="246"/>
      <c r="X60" s="247"/>
      <c r="Y60" s="248" t="s">
        <v>163</v>
      </c>
      <c r="Z60" s="246"/>
      <c r="AA60" s="246"/>
      <c r="AB60" s="246"/>
      <c r="AC60" s="246"/>
      <c r="AD60" s="247"/>
      <c r="AE60" s="1022" t="s">
        <v>166</v>
      </c>
      <c r="AF60" s="1025" t="s">
        <v>167</v>
      </c>
      <c r="AG60" s="311"/>
      <c r="AH60" s="1012" t="s">
        <v>168</v>
      </c>
    </row>
    <row r="61" spans="2:34" ht="60.75">
      <c r="B61" s="1028"/>
      <c r="C61" s="249" t="s">
        <v>170</v>
      </c>
      <c r="D61" s="300" t="s">
        <v>171</v>
      </c>
      <c r="E61" s="250" t="s">
        <v>172</v>
      </c>
      <c r="F61" s="250" t="s">
        <v>173</v>
      </c>
      <c r="G61" s="251" t="s">
        <v>174</v>
      </c>
      <c r="H61" s="1018"/>
      <c r="I61" s="250" t="s">
        <v>175</v>
      </c>
      <c r="J61" s="250" t="s">
        <v>176</v>
      </c>
      <c r="K61" s="250" t="s">
        <v>201</v>
      </c>
      <c r="L61" s="250" t="s">
        <v>178</v>
      </c>
      <c r="M61" s="250" t="s">
        <v>168</v>
      </c>
      <c r="N61" s="250" t="s">
        <v>179</v>
      </c>
      <c r="O61" s="1030"/>
      <c r="P61" s="1031"/>
      <c r="Q61" s="1021"/>
      <c r="R61" s="1021"/>
      <c r="S61" s="1024"/>
      <c r="T61" s="1028"/>
      <c r="U61" s="307" t="s">
        <v>203</v>
      </c>
      <c r="V61" s="308" t="s">
        <v>180</v>
      </c>
      <c r="W61" s="309" t="s">
        <v>181</v>
      </c>
      <c r="X61" s="310" t="s">
        <v>33</v>
      </c>
      <c r="Y61" s="305" t="s">
        <v>25</v>
      </c>
      <c r="Z61" s="306" t="s">
        <v>183</v>
      </c>
      <c r="AA61" s="306" t="s">
        <v>204</v>
      </c>
      <c r="AB61" s="306" t="s">
        <v>205</v>
      </c>
      <c r="AC61" s="306" t="s">
        <v>184</v>
      </c>
      <c r="AD61" s="306" t="s">
        <v>30</v>
      </c>
      <c r="AE61" s="1021"/>
      <c r="AF61" s="1026"/>
      <c r="AG61" s="312" t="s">
        <v>37</v>
      </c>
      <c r="AH61" s="1013"/>
    </row>
    <row r="62" spans="2:34" ht="21" thickBot="1">
      <c r="B62" s="252">
        <f>M53</f>
        <v>0.31233364655836482</v>
      </c>
      <c r="C62" s="253">
        <f>[15]CMOR_Q3_vsBPQ4!$J$22+[15]CMOR_Q3_vsBPQ4!$K$22</f>
        <v>0</v>
      </c>
      <c r="D62" s="302"/>
      <c r="E62" s="254">
        <f>[15]CMOR_Q3_vsBPQ4!$N$22</f>
        <v>0</v>
      </c>
      <c r="F62" s="254">
        <f>[15]CMOR_Q3_vsBPQ4!$M$22+[15]CMOR_Q3_vsBPQ4!$L$22</f>
        <v>0</v>
      </c>
      <c r="G62" s="254"/>
      <c r="H62" s="254"/>
      <c r="I62" s="254">
        <f>I64</f>
        <v>13.359757846626982</v>
      </c>
      <c r="J62" s="255">
        <f>J64</f>
        <v>-9.0333464499261495</v>
      </c>
      <c r="K62" s="255">
        <f>K64</f>
        <v>4.5164665797833035</v>
      </c>
      <c r="L62" s="255">
        <f>L64</f>
        <v>0</v>
      </c>
      <c r="M62" s="255">
        <f>M64+SUM(M71:M73)</f>
        <v>-28.766777951648784</v>
      </c>
      <c r="N62" s="303"/>
      <c r="O62" s="302"/>
      <c r="P62" s="302"/>
      <c r="Q62" s="256"/>
      <c r="R62" s="254">
        <f>[15]CMOR_Q3_vsBPQ4!$Q$22</f>
        <v>-15.169405184000006</v>
      </c>
      <c r="S62" s="257">
        <f>F55-SUM(C62:R62)</f>
        <v>-438.91272322300631</v>
      </c>
      <c r="T62" s="253">
        <f>M54</f>
        <v>-3.8067384224026402</v>
      </c>
      <c r="U62" s="253">
        <f>'Summary month'!CN36-U63</f>
        <v>56.090622407775719</v>
      </c>
      <c r="V62" s="258">
        <f>'Summary month'!CN37-V63</f>
        <v>0</v>
      </c>
      <c r="W62" s="258"/>
      <c r="X62" s="258">
        <f>'Summary month'!CN38-X63</f>
        <v>16.739908065307489</v>
      </c>
      <c r="Y62" s="258">
        <f>'Summary month'!CN29-Y63</f>
        <v>49.662823973420132</v>
      </c>
      <c r="Z62" s="258">
        <f>'Summary month'!CN30-Z63</f>
        <v>-2.3684734549545028</v>
      </c>
      <c r="AA62" s="258">
        <f>'Summary month'!CN31-AA63</f>
        <v>0</v>
      </c>
      <c r="AB62" s="301"/>
      <c r="AC62" s="258">
        <f>'Summary month'!CN32-AC63</f>
        <v>-0.2914412300766962</v>
      </c>
      <c r="AD62" s="258">
        <f>'Summary month'!CN34-AD63</f>
        <v>28.880804866385439</v>
      </c>
      <c r="AE62" s="256"/>
      <c r="AF62" s="259"/>
      <c r="AG62" s="254">
        <f>'Summary month'!CN42-AG63</f>
        <v>57.501827328000012</v>
      </c>
      <c r="AH62" s="260">
        <f>G55-SUM(U62:AG62)</f>
        <v>1.6233382907500982E-2</v>
      </c>
    </row>
    <row r="63" spans="2:34" ht="18">
      <c r="B63" s="216"/>
      <c r="C63" s="272"/>
      <c r="D63" s="216"/>
      <c r="E63" s="216"/>
      <c r="F63" s="216"/>
      <c r="G63" s="216"/>
      <c r="H63" s="216"/>
      <c r="I63" s="216"/>
      <c r="J63" s="216"/>
      <c r="K63" s="216"/>
      <c r="L63" s="216"/>
      <c r="M63" s="216"/>
      <c r="N63" s="216"/>
      <c r="O63" s="216"/>
      <c r="P63" s="216"/>
      <c r="Q63" s="216"/>
      <c r="R63" s="216"/>
      <c r="S63" s="216"/>
      <c r="T63" s="216"/>
      <c r="U63" s="216">
        <f>[15]CMOR_Q3_vsBPQ4!$I$155</f>
        <v>0</v>
      </c>
      <c r="V63" s="216"/>
      <c r="W63" s="216"/>
      <c r="X63" s="216">
        <f>SUM(Y56:Y57)</f>
        <v>0.3</v>
      </c>
      <c r="Y63" s="216">
        <f>[15]CMOR_Q3_vsBPQ4!$I$163-Z63-Z63</f>
        <v>-2.3090886363748373</v>
      </c>
      <c r="Z63" s="216">
        <f>[15]VA_MZ_MTD!$X$10</f>
        <v>0.6468998081328623</v>
      </c>
      <c r="AA63" s="216"/>
      <c r="AB63" s="216"/>
      <c r="AC63" s="216">
        <f>[15]CMOR_Q3_vsBPQ4!$I$167</f>
        <v>0</v>
      </c>
      <c r="AD63" s="216"/>
      <c r="AE63" s="216"/>
      <c r="AF63" s="216"/>
      <c r="AG63" s="334">
        <f>[15]CMOR_Q3_vsBPQ4!$I$166-AJ67-AK67</f>
        <v>-0.1</v>
      </c>
      <c r="AH63" s="216"/>
    </row>
    <row r="64" spans="2:34" ht="21" thickBot="1">
      <c r="B64" s="221"/>
      <c r="C64" s="272"/>
      <c r="D64" s="221"/>
      <c r="E64" s="221"/>
      <c r="F64" s="221" t="s">
        <v>475</v>
      </c>
      <c r="G64" s="221" t="s">
        <v>276</v>
      </c>
      <c r="H64" s="669">
        <f>-1.035805687-AD55</f>
        <v>-0.70580568700000001</v>
      </c>
      <c r="I64" s="872">
        <v>13.359757846626982</v>
      </c>
      <c r="J64" s="872">
        <v>-9.0333464499261495</v>
      </c>
      <c r="K64" s="872">
        <v>4.5164665797833035</v>
      </c>
      <c r="L64" s="872">
        <v>0</v>
      </c>
      <c r="M64" s="872">
        <v>-22.056696272648786</v>
      </c>
      <c r="N64" s="221"/>
      <c r="O64" s="221"/>
      <c r="P64" s="221"/>
      <c r="Q64" s="221"/>
      <c r="R64" s="221"/>
      <c r="S64" s="221"/>
      <c r="T64" s="221"/>
      <c r="U64" s="221"/>
      <c r="V64" s="221"/>
      <c r="W64" s="221"/>
      <c r="X64" s="263" t="s">
        <v>185</v>
      </c>
      <c r="Y64" s="264"/>
      <c r="Z64" s="264"/>
      <c r="AA64" s="264"/>
      <c r="AB64" s="265">
        <f>AD62</f>
        <v>28.880804866385439</v>
      </c>
      <c r="AC64" s="221"/>
      <c r="AD64" s="263" t="s">
        <v>186</v>
      </c>
      <c r="AE64" s="264"/>
      <c r="AF64" s="264"/>
      <c r="AG64" s="264"/>
      <c r="AH64" s="265">
        <f>AH62</f>
        <v>1.6233382907500982E-2</v>
      </c>
    </row>
    <row r="65" spans="2:36" ht="18">
      <c r="B65" s="216"/>
      <c r="C65" s="272"/>
      <c r="D65" s="216"/>
      <c r="E65" s="216"/>
      <c r="F65" s="216"/>
      <c r="G65" s="216" t="s">
        <v>275</v>
      </c>
      <c r="H65" s="216">
        <v>-1.97148375</v>
      </c>
      <c r="I65" s="216"/>
      <c r="J65" s="216"/>
      <c r="K65" s="216"/>
      <c r="L65" s="216"/>
      <c r="M65" s="216"/>
      <c r="N65" s="216"/>
      <c r="O65" s="216"/>
      <c r="P65" s="216"/>
      <c r="Q65" s="216"/>
      <c r="R65" s="216"/>
      <c r="S65" s="216"/>
      <c r="T65" s="216"/>
      <c r="U65" s="216"/>
      <c r="V65" s="216"/>
      <c r="W65" s="216"/>
      <c r="X65" s="268">
        <v>1</v>
      </c>
      <c r="Y65" s="269" t="s">
        <v>266</v>
      </c>
      <c r="Z65" s="270"/>
      <c r="AA65" s="270"/>
      <c r="AB65" s="271">
        <v>-1.911867338085935</v>
      </c>
      <c r="AC65" s="216"/>
      <c r="AD65" s="268">
        <v>1</v>
      </c>
      <c r="AE65" s="269" t="s">
        <v>39</v>
      </c>
      <c r="AF65" s="270"/>
      <c r="AG65" s="270"/>
      <c r="AH65" s="271">
        <f>'Summary month'!CN44-AJ65</f>
        <v>1.6233382907486771E-2</v>
      </c>
      <c r="AI65" t="s">
        <v>262</v>
      </c>
      <c r="AJ65">
        <f>'Summary month'!CN74</f>
        <v>-2.3445495941606649</v>
      </c>
    </row>
    <row r="66" spans="2:36" ht="20.25">
      <c r="B66" s="216"/>
      <c r="C66" s="272"/>
      <c r="D66" s="216"/>
      <c r="E66" s="216"/>
      <c r="F66" s="216"/>
      <c r="G66" s="216" t="s">
        <v>282</v>
      </c>
      <c r="H66" s="216">
        <v>-4.0042759920000002</v>
      </c>
      <c r="I66" s="273" t="s">
        <v>185</v>
      </c>
      <c r="J66" s="274"/>
      <c r="K66" s="274"/>
      <c r="L66" s="274"/>
      <c r="M66" s="275">
        <f>M62</f>
        <v>-28.766777951648784</v>
      </c>
      <c r="N66" s="216"/>
      <c r="O66" s="216"/>
      <c r="P66" s="216"/>
      <c r="Q66" s="216"/>
      <c r="R66" s="216"/>
      <c r="S66" s="216"/>
      <c r="T66" s="216"/>
      <c r="U66" s="216"/>
      <c r="V66" s="216"/>
      <c r="W66" s="216"/>
      <c r="X66" s="268">
        <v>2</v>
      </c>
      <c r="Y66" s="276" t="s">
        <v>141</v>
      </c>
      <c r="Z66" s="277"/>
      <c r="AA66" s="277"/>
      <c r="AB66" s="278">
        <v>1.0101229480000007</v>
      </c>
      <c r="AC66" s="216"/>
      <c r="AD66" s="268">
        <v>2</v>
      </c>
      <c r="AE66" s="276"/>
      <c r="AF66" s="277"/>
      <c r="AG66" s="277"/>
      <c r="AH66" s="278"/>
      <c r="AI66" t="s">
        <v>144</v>
      </c>
      <c r="AJ66" s="318">
        <f>AH65</f>
        <v>1.6233382907486771E-2</v>
      </c>
    </row>
    <row r="67" spans="2:36" ht="18">
      <c r="B67" s="216"/>
      <c r="C67" s="272"/>
      <c r="D67" s="216"/>
      <c r="E67" s="216"/>
      <c r="F67" s="216"/>
      <c r="G67" s="216" t="s">
        <v>294</v>
      </c>
      <c r="H67" s="216">
        <v>0</v>
      </c>
      <c r="I67" s="279">
        <v>1</v>
      </c>
      <c r="J67" s="269" t="s">
        <v>361</v>
      </c>
      <c r="K67" s="270"/>
      <c r="L67" s="270"/>
      <c r="M67" s="280">
        <v>-30.8</v>
      </c>
      <c r="N67" s="216"/>
      <c r="O67" s="216"/>
      <c r="P67" s="216"/>
      <c r="Q67" s="216"/>
      <c r="R67" s="216"/>
      <c r="S67" s="216"/>
      <c r="T67" s="216"/>
      <c r="U67" s="216"/>
      <c r="V67" s="216"/>
      <c r="W67" s="216"/>
      <c r="X67" s="268">
        <v>3</v>
      </c>
      <c r="Y67" s="276" t="s">
        <v>517</v>
      </c>
      <c r="Z67" s="277"/>
      <c r="AA67" s="277"/>
      <c r="AB67" s="278">
        <v>2</v>
      </c>
      <c r="AC67" s="216"/>
      <c r="AD67" s="268">
        <v>3</v>
      </c>
      <c r="AE67" s="276"/>
      <c r="AF67" s="277"/>
      <c r="AG67" s="277"/>
      <c r="AH67" s="278"/>
    </row>
    <row r="68" spans="2:36" ht="18">
      <c r="B68" s="216"/>
      <c r="C68" s="272"/>
      <c r="D68" s="216"/>
      <c r="E68" s="216"/>
      <c r="F68" s="216"/>
      <c r="G68" s="216"/>
      <c r="H68" s="216"/>
      <c r="I68" s="279">
        <v>2</v>
      </c>
      <c r="J68" s="276" t="s">
        <v>510</v>
      </c>
      <c r="K68" s="277"/>
      <c r="L68" s="277"/>
      <c r="M68" s="281">
        <v>-0.33890656000000074</v>
      </c>
      <c r="N68" s="216"/>
      <c r="O68" s="216"/>
      <c r="P68" s="216"/>
      <c r="Q68" s="216"/>
      <c r="R68" s="216"/>
      <c r="S68" s="216"/>
      <c r="T68" s="216"/>
      <c r="U68" s="216"/>
      <c r="V68" s="216"/>
      <c r="W68" s="216"/>
      <c r="X68" s="268">
        <v>4</v>
      </c>
      <c r="Y68" s="276" t="s">
        <v>538</v>
      </c>
      <c r="Z68" s="277"/>
      <c r="AA68" s="277"/>
      <c r="AB68" s="278">
        <v>1.66</v>
      </c>
      <c r="AC68" s="216"/>
      <c r="AD68" s="268">
        <v>4</v>
      </c>
      <c r="AE68" s="276"/>
      <c r="AF68" s="277"/>
      <c r="AG68" s="277"/>
      <c r="AH68" s="278"/>
    </row>
    <row r="69" spans="2:36" ht="18">
      <c r="B69" s="216"/>
      <c r="C69" s="272"/>
      <c r="D69" s="216"/>
      <c r="E69" s="216"/>
      <c r="F69" s="216">
        <v>-1.0358056870000034</v>
      </c>
      <c r="G69" s="216"/>
      <c r="H69" s="216"/>
      <c r="I69" s="279">
        <v>3</v>
      </c>
      <c r="J69" s="276" t="s">
        <v>536</v>
      </c>
      <c r="K69" s="277"/>
      <c r="L69" s="277"/>
      <c r="M69" s="281">
        <v>11.1</v>
      </c>
      <c r="N69" s="216"/>
      <c r="O69" s="216"/>
      <c r="P69" s="216"/>
      <c r="Q69" s="216"/>
      <c r="R69" s="216"/>
      <c r="S69" s="216"/>
      <c r="T69" s="216"/>
      <c r="U69" s="216"/>
      <c r="V69" s="216"/>
      <c r="W69" s="216"/>
      <c r="X69" s="282">
        <v>5</v>
      </c>
      <c r="Y69" s="283" t="s">
        <v>182</v>
      </c>
      <c r="Z69" s="284"/>
      <c r="AA69" s="284"/>
      <c r="AB69" s="285">
        <f>AB64-SUM(AB65:AB68)</f>
        <v>26.122549256471373</v>
      </c>
      <c r="AC69" s="216"/>
      <c r="AD69" s="282">
        <v>5</v>
      </c>
      <c r="AE69" s="283" t="s">
        <v>182</v>
      </c>
      <c r="AF69" s="284"/>
      <c r="AG69" s="284"/>
      <c r="AH69" s="285">
        <f>AH64-SUM(AH65:AH68)</f>
        <v>1.4210854715202004E-14</v>
      </c>
    </row>
    <row r="70" spans="2:36" ht="18">
      <c r="B70" s="216"/>
      <c r="C70" s="216"/>
      <c r="D70" s="272"/>
      <c r="E70" s="272"/>
      <c r="F70" s="272"/>
      <c r="G70" s="272"/>
      <c r="H70" s="272"/>
      <c r="I70" s="279">
        <v>4</v>
      </c>
      <c r="J70" s="276" t="s">
        <v>537</v>
      </c>
      <c r="K70" s="277"/>
      <c r="L70" s="277"/>
      <c r="M70" s="281">
        <v>-2.0177897126487849</v>
      </c>
      <c r="N70" s="216"/>
      <c r="O70" s="216"/>
      <c r="P70" s="272"/>
      <c r="Q70" s="272"/>
      <c r="R70" s="216"/>
      <c r="S70" s="216"/>
      <c r="T70" s="216"/>
      <c r="U70" s="216"/>
      <c r="V70" s="216"/>
      <c r="W70" s="216"/>
      <c r="X70" s="216"/>
      <c r="Y70" s="216"/>
      <c r="Z70" s="216"/>
      <c r="AA70" s="216"/>
      <c r="AB70" s="216"/>
      <c r="AC70" s="216"/>
      <c r="AD70" s="216"/>
      <c r="AE70" s="216"/>
      <c r="AF70" s="216"/>
      <c r="AG70" s="287"/>
      <c r="AH70" s="287"/>
    </row>
    <row r="71" spans="2:36" ht="18">
      <c r="B71" s="216"/>
      <c r="C71" s="272"/>
      <c r="D71" s="216"/>
      <c r="E71" s="216"/>
      <c r="F71" s="216"/>
      <c r="G71" s="216"/>
      <c r="H71" s="216"/>
      <c r="I71" s="279">
        <v>5</v>
      </c>
      <c r="J71" s="276" t="s">
        <v>276</v>
      </c>
      <c r="K71" s="277"/>
      <c r="L71" s="277"/>
      <c r="M71" s="281">
        <v>-0.70580568700000001</v>
      </c>
      <c r="N71" s="216"/>
      <c r="O71" s="216"/>
      <c r="P71" s="216"/>
      <c r="Q71" s="216"/>
      <c r="R71" s="216"/>
      <c r="S71" s="216"/>
      <c r="T71" s="216"/>
      <c r="U71" s="216"/>
      <c r="V71" s="216"/>
      <c r="W71" s="216"/>
      <c r="X71" s="216"/>
      <c r="Y71" s="216"/>
      <c r="Z71" s="216"/>
      <c r="AA71" s="216"/>
      <c r="AB71" s="216"/>
      <c r="AC71" s="216"/>
      <c r="AD71" s="216"/>
      <c r="AE71" s="216"/>
      <c r="AF71" s="216"/>
      <c r="AG71" s="216"/>
      <c r="AH71" s="216"/>
    </row>
    <row r="72" spans="2:36" ht="18">
      <c r="B72" s="216"/>
      <c r="C72" s="272"/>
      <c r="D72" s="216"/>
      <c r="E72" s="216"/>
      <c r="F72" s="216"/>
      <c r="G72" s="216"/>
      <c r="H72" s="216"/>
      <c r="I72" s="279">
        <v>6</v>
      </c>
      <c r="J72" s="276" t="s">
        <v>275</v>
      </c>
      <c r="K72" s="277"/>
      <c r="L72" s="277"/>
      <c r="M72" s="281">
        <v>-2</v>
      </c>
      <c r="N72" s="216"/>
      <c r="O72" s="216"/>
      <c r="P72" s="216"/>
      <c r="Q72" s="216"/>
      <c r="R72" s="216"/>
      <c r="S72" s="216"/>
      <c r="T72" s="216"/>
      <c r="U72" s="216"/>
      <c r="V72" s="216"/>
      <c r="W72" s="216"/>
      <c r="X72" s="216"/>
      <c r="Y72" s="216"/>
      <c r="Z72" s="216"/>
      <c r="AA72" s="216"/>
      <c r="AB72" s="216"/>
      <c r="AC72" s="216"/>
      <c r="AD72" s="216"/>
      <c r="AE72" s="216"/>
      <c r="AF72" s="216"/>
      <c r="AG72" s="216"/>
      <c r="AH72" s="216"/>
    </row>
    <row r="73" spans="2:36" ht="18">
      <c r="B73" s="216"/>
      <c r="C73" s="272"/>
      <c r="D73" s="272"/>
      <c r="E73" s="216"/>
      <c r="F73" s="216"/>
      <c r="G73" s="216"/>
      <c r="H73" s="216"/>
      <c r="I73" s="279">
        <v>7</v>
      </c>
      <c r="J73" s="276" t="s">
        <v>282</v>
      </c>
      <c r="K73" s="277"/>
      <c r="L73" s="277"/>
      <c r="M73" s="281">
        <v>-4.0042759920000002</v>
      </c>
      <c r="N73" s="216"/>
      <c r="O73" s="216"/>
      <c r="P73" s="216"/>
      <c r="Q73" s="216"/>
      <c r="R73" s="216"/>
      <c r="S73" s="216"/>
      <c r="T73" s="216"/>
      <c r="U73" s="216"/>
      <c r="V73" s="216"/>
      <c r="W73" s="216"/>
      <c r="X73" s="216"/>
      <c r="Y73" s="216"/>
      <c r="Z73" s="216"/>
      <c r="AA73" s="216"/>
      <c r="AB73" s="216"/>
      <c r="AC73" s="216"/>
      <c r="AD73" s="216"/>
      <c r="AE73" s="216"/>
      <c r="AF73" s="216"/>
      <c r="AG73" s="216"/>
      <c r="AH73" s="216"/>
    </row>
    <row r="74" spans="2:36" ht="18">
      <c r="B74" s="216"/>
      <c r="C74" s="216"/>
      <c r="D74" s="216"/>
      <c r="E74" s="216"/>
      <c r="F74" s="216"/>
      <c r="G74" s="216"/>
      <c r="H74" s="216"/>
      <c r="I74" s="279">
        <v>8</v>
      </c>
      <c r="J74" s="276"/>
      <c r="K74" s="277"/>
      <c r="L74" s="277"/>
      <c r="M74" s="281"/>
      <c r="N74" s="216"/>
      <c r="O74" s="216"/>
      <c r="P74" s="216"/>
      <c r="Q74" s="216"/>
      <c r="R74" s="216"/>
      <c r="S74" s="216"/>
      <c r="T74" s="216"/>
      <c r="U74" s="216"/>
      <c r="V74" s="216"/>
      <c r="W74" s="216"/>
      <c r="X74" s="216"/>
      <c r="Y74" s="216"/>
      <c r="Z74" s="216"/>
      <c r="AA74" s="216"/>
      <c r="AB74" s="216"/>
      <c r="AC74" s="216"/>
      <c r="AD74" s="216"/>
      <c r="AE74" s="216"/>
      <c r="AF74" s="216"/>
      <c r="AG74" s="216"/>
      <c r="AH74" s="216"/>
    </row>
    <row r="75" spans="2:36" ht="20.25">
      <c r="B75" s="216"/>
      <c r="C75" s="216"/>
      <c r="D75" s="216"/>
      <c r="E75" s="216"/>
      <c r="F75" s="216"/>
      <c r="G75" s="216"/>
      <c r="H75" s="216"/>
      <c r="I75" s="288">
        <v>9</v>
      </c>
      <c r="J75" s="289" t="s">
        <v>144</v>
      </c>
      <c r="K75" s="284"/>
      <c r="L75" s="284"/>
      <c r="M75" s="290">
        <f>M66-SUM(M67:M74)</f>
        <v>0</v>
      </c>
      <c r="N75" s="216"/>
      <c r="O75" s="273" t="s">
        <v>191</v>
      </c>
      <c r="P75" s="274"/>
      <c r="Q75" s="274"/>
      <c r="R75" s="274"/>
      <c r="S75" s="294">
        <f>S62</f>
        <v>-438.91272322300631</v>
      </c>
      <c r="T75" s="216"/>
      <c r="U75" s="272"/>
      <c r="V75" s="272"/>
      <c r="W75" s="272"/>
      <c r="X75" s="216"/>
      <c r="Y75" s="216"/>
      <c r="Z75" s="216"/>
      <c r="AA75" s="216"/>
      <c r="AB75" s="216"/>
      <c r="AC75" s="216"/>
      <c r="AD75" s="216"/>
      <c r="AE75" s="216"/>
      <c r="AF75" s="216"/>
      <c r="AG75" s="216"/>
      <c r="AH75" s="216"/>
    </row>
    <row r="76" spans="2:36" ht="18">
      <c r="B76" s="216"/>
      <c r="C76" s="216"/>
      <c r="D76" s="216"/>
      <c r="E76" s="216"/>
      <c r="F76" s="216"/>
      <c r="G76" s="216"/>
      <c r="H76" s="216"/>
      <c r="I76" s="216"/>
      <c r="J76" s="216"/>
      <c r="K76" s="216"/>
      <c r="L76" s="216"/>
      <c r="M76" s="216"/>
      <c r="N76" s="216"/>
      <c r="O76" s="279">
        <v>1</v>
      </c>
      <c r="P76" s="269" t="s">
        <v>193</v>
      </c>
      <c r="Q76" s="270"/>
      <c r="R76" s="270"/>
      <c r="S76" s="280">
        <v>-5.212232041</v>
      </c>
      <c r="T76" s="216"/>
      <c r="U76" s="216"/>
      <c r="V76" s="216"/>
      <c r="W76" s="216"/>
      <c r="X76" s="297"/>
      <c r="Y76" s="216"/>
      <c r="Z76" s="216"/>
      <c r="AA76" s="216"/>
      <c r="AB76" s="216"/>
      <c r="AC76" s="216"/>
      <c r="AD76" s="216"/>
      <c r="AE76" s="216"/>
      <c r="AF76" s="216"/>
      <c r="AG76" s="216"/>
      <c r="AH76" s="216"/>
    </row>
    <row r="77" spans="2:36" ht="18">
      <c r="B77" s="216"/>
      <c r="C77" s="216"/>
      <c r="D77" s="216"/>
      <c r="E77" s="216"/>
      <c r="F77" s="216"/>
      <c r="G77" s="216"/>
      <c r="H77" s="216"/>
      <c r="I77" s="216"/>
      <c r="J77" s="216"/>
      <c r="K77" s="216"/>
      <c r="L77" s="216"/>
      <c r="M77" s="216"/>
      <c r="N77" s="216"/>
      <c r="O77" s="279">
        <v>2</v>
      </c>
      <c r="P77" s="276" t="s">
        <v>143</v>
      </c>
      <c r="Q77" s="277"/>
      <c r="R77" s="277"/>
      <c r="S77" s="281">
        <v>1.4592590575665412</v>
      </c>
      <c r="T77" s="216"/>
      <c r="U77" s="216"/>
      <c r="V77" s="216"/>
      <c r="W77" s="216"/>
      <c r="X77" s="216"/>
      <c r="Y77" s="216"/>
      <c r="Z77" s="216"/>
      <c r="AA77" s="216"/>
      <c r="AB77" s="216"/>
      <c r="AC77" s="216"/>
      <c r="AD77" s="216"/>
      <c r="AE77" s="216"/>
      <c r="AF77" s="216"/>
      <c r="AG77" s="216"/>
      <c r="AH77" s="216"/>
    </row>
    <row r="78" spans="2:36" ht="18">
      <c r="B78" s="216"/>
      <c r="C78" s="216"/>
      <c r="D78" s="216"/>
      <c r="E78" s="216"/>
      <c r="F78" s="216"/>
      <c r="G78" s="216"/>
      <c r="H78" s="216"/>
      <c r="I78" s="216"/>
      <c r="J78" s="216"/>
      <c r="K78" s="216"/>
      <c r="L78" s="216"/>
      <c r="M78" s="216"/>
      <c r="N78" s="216"/>
      <c r="O78" s="279">
        <v>3</v>
      </c>
      <c r="P78" s="276" t="s">
        <v>223</v>
      </c>
      <c r="Q78" s="277"/>
      <c r="R78" s="277"/>
      <c r="S78" s="281">
        <v>23.141189848541018</v>
      </c>
      <c r="T78" s="216"/>
      <c r="U78" s="216"/>
      <c r="V78" s="216"/>
      <c r="W78" s="216"/>
      <c r="X78" s="216"/>
      <c r="Y78" s="216"/>
      <c r="Z78" s="216"/>
      <c r="AA78" s="216"/>
      <c r="AB78" s="216"/>
      <c r="AC78" s="216"/>
      <c r="AD78" s="216"/>
      <c r="AE78" s="216"/>
      <c r="AF78" s="216"/>
      <c r="AG78" s="216"/>
      <c r="AH78" s="216"/>
    </row>
    <row r="79" spans="2:36" ht="18">
      <c r="B79" s="216"/>
      <c r="C79" s="216"/>
      <c r="D79" s="216"/>
      <c r="E79" s="216"/>
      <c r="F79" s="216"/>
      <c r="G79" s="216"/>
      <c r="H79" s="216"/>
      <c r="I79" s="216"/>
      <c r="J79" s="216"/>
      <c r="K79" s="216"/>
      <c r="L79" s="216"/>
      <c r="M79" s="216"/>
      <c r="N79" s="216"/>
      <c r="O79" s="279">
        <v>4</v>
      </c>
      <c r="P79" s="276" t="s">
        <v>195</v>
      </c>
      <c r="Q79" s="277"/>
      <c r="R79" s="277"/>
      <c r="S79" s="281">
        <v>-14</v>
      </c>
      <c r="T79" s="216"/>
      <c r="U79" s="216"/>
      <c r="V79" s="216"/>
      <c r="W79" s="216"/>
      <c r="X79" s="216"/>
      <c r="Y79" s="216"/>
      <c r="Z79" s="216"/>
      <c r="AA79" s="216"/>
      <c r="AB79" s="216"/>
      <c r="AC79" s="216"/>
      <c r="AD79" s="216"/>
      <c r="AE79" s="216"/>
      <c r="AF79" s="216"/>
      <c r="AG79" s="216"/>
      <c r="AH79" s="216"/>
    </row>
    <row r="80" spans="2:36" ht="18">
      <c r="B80" s="216"/>
      <c r="C80" s="216"/>
      <c r="D80" s="216"/>
      <c r="E80" s="216"/>
      <c r="F80" s="216"/>
      <c r="G80" s="216"/>
      <c r="H80" s="216"/>
      <c r="I80" s="216"/>
      <c r="J80" s="216"/>
      <c r="K80" s="216"/>
      <c r="L80" s="216"/>
      <c r="M80" s="216"/>
      <c r="N80" s="216"/>
      <c r="O80" s="279">
        <v>5</v>
      </c>
      <c r="P80" s="276" t="s">
        <v>246</v>
      </c>
      <c r="Q80" s="277"/>
      <c r="R80" s="277"/>
      <c r="S80" s="278">
        <v>-27.492602826677153</v>
      </c>
      <c r="T80" s="216"/>
      <c r="U80" s="216"/>
      <c r="V80" s="216"/>
      <c r="W80" s="216"/>
      <c r="X80" s="216"/>
      <c r="Y80" s="216"/>
      <c r="Z80" s="216"/>
      <c r="AA80" s="216"/>
      <c r="AB80" s="216"/>
      <c r="AC80" s="216"/>
      <c r="AD80" s="216"/>
      <c r="AE80" s="216"/>
      <c r="AF80" s="216"/>
      <c r="AG80" s="216"/>
      <c r="AH80" s="216"/>
    </row>
    <row r="81" spans="2:34" ht="18">
      <c r="B81" s="216"/>
      <c r="C81" s="216"/>
      <c r="D81" s="216"/>
      <c r="E81" s="216"/>
      <c r="F81" s="216"/>
      <c r="G81" s="216"/>
      <c r="H81" s="216"/>
      <c r="I81" s="216"/>
      <c r="J81" s="216"/>
      <c r="K81" s="216"/>
      <c r="L81" s="216"/>
      <c r="M81" s="216"/>
      <c r="N81" s="216"/>
      <c r="O81" s="279">
        <v>6</v>
      </c>
      <c r="P81" s="276" t="s">
        <v>247</v>
      </c>
      <c r="Q81" s="277"/>
      <c r="R81" s="277"/>
      <c r="S81" s="281">
        <v>91.216799494</v>
      </c>
      <c r="T81" s="216" t="s">
        <v>531</v>
      </c>
      <c r="U81" s="216">
        <v>-13.091640493623771</v>
      </c>
      <c r="V81" s="216"/>
      <c r="W81" s="216"/>
      <c r="X81" s="216"/>
      <c r="Y81" s="216"/>
      <c r="Z81" s="216"/>
      <c r="AA81" s="216"/>
      <c r="AB81" s="216"/>
      <c r="AC81" s="216"/>
      <c r="AD81" s="216"/>
      <c r="AE81" s="216"/>
      <c r="AF81" s="216"/>
      <c r="AG81" s="216"/>
      <c r="AH81" s="216"/>
    </row>
    <row r="82" spans="2:34" ht="18">
      <c r="B82" s="216"/>
      <c r="C82" s="216"/>
      <c r="D82" s="216"/>
      <c r="E82" s="216"/>
      <c r="F82" s="216"/>
      <c r="G82" s="216"/>
      <c r="H82" s="216"/>
      <c r="I82" s="216"/>
      <c r="J82" s="216"/>
      <c r="K82" s="216"/>
      <c r="L82" s="216"/>
      <c r="M82" s="216"/>
      <c r="N82" s="216"/>
      <c r="O82" s="279">
        <v>7</v>
      </c>
      <c r="P82" s="276" t="s">
        <v>222</v>
      </c>
      <c r="Q82" s="277"/>
      <c r="R82" s="277"/>
      <c r="S82" s="281">
        <v>9.4722000000000008</v>
      </c>
      <c r="T82" s="216" t="s">
        <v>246</v>
      </c>
      <c r="U82" s="216">
        <v>-27.637394748169818</v>
      </c>
      <c r="V82" s="216"/>
      <c r="W82" s="216"/>
      <c r="X82" s="216"/>
      <c r="Y82" s="216"/>
      <c r="Z82" s="216"/>
      <c r="AA82" s="216"/>
      <c r="AB82" s="216"/>
      <c r="AC82" s="216"/>
      <c r="AD82" s="216"/>
      <c r="AE82" s="216"/>
      <c r="AF82" s="216"/>
      <c r="AG82" s="216"/>
      <c r="AH82" s="216"/>
    </row>
    <row r="83" spans="2:34" ht="18">
      <c r="B83" s="216"/>
      <c r="C83" s="216"/>
      <c r="D83" s="216"/>
      <c r="E83" s="216"/>
      <c r="F83" s="216"/>
      <c r="G83" s="216"/>
      <c r="H83" s="216"/>
      <c r="I83" s="216"/>
      <c r="J83" s="216"/>
      <c r="K83" s="216"/>
      <c r="L83" s="216"/>
      <c r="M83" s="216"/>
      <c r="N83" s="216"/>
      <c r="O83" s="279">
        <v>8</v>
      </c>
      <c r="P83" s="276" t="s">
        <v>336</v>
      </c>
      <c r="Q83" s="277"/>
      <c r="R83" s="277"/>
      <c r="S83" s="278">
        <v>-0.81150780992375426</v>
      </c>
      <c r="T83" s="216" t="s">
        <v>247</v>
      </c>
      <c r="U83" s="216">
        <v>89.864565634000016</v>
      </c>
      <c r="V83" s="216"/>
      <c r="W83" s="216"/>
      <c r="X83" s="216"/>
      <c r="Y83" s="216"/>
      <c r="Z83" s="216"/>
      <c r="AA83" s="216"/>
      <c r="AB83" s="216"/>
      <c r="AC83" s="216"/>
      <c r="AD83" s="216"/>
      <c r="AE83" s="216"/>
      <c r="AF83" s="216"/>
      <c r="AG83" s="216"/>
      <c r="AH83" s="216"/>
    </row>
    <row r="84" spans="2:34" ht="18">
      <c r="B84" s="216"/>
      <c r="C84" s="216"/>
      <c r="D84" s="216"/>
      <c r="E84" s="216"/>
      <c r="F84" s="216"/>
      <c r="G84" s="216"/>
      <c r="H84" s="216"/>
      <c r="I84" s="216"/>
      <c r="J84" s="216"/>
      <c r="K84" s="216"/>
      <c r="L84" s="216"/>
      <c r="M84" s="216"/>
      <c r="N84" s="216"/>
      <c r="O84" s="279">
        <v>9</v>
      </c>
      <c r="P84" s="276" t="s">
        <v>499</v>
      </c>
      <c r="Q84" s="277"/>
      <c r="R84" s="277"/>
      <c r="S84" s="278">
        <v>-64.006055558149967</v>
      </c>
      <c r="T84" s="216" t="s">
        <v>222</v>
      </c>
      <c r="U84" s="216">
        <v>9.4722000000000008</v>
      </c>
      <c r="V84" s="216"/>
      <c r="W84" s="216"/>
      <c r="X84" s="216"/>
      <c r="Y84" s="216"/>
      <c r="Z84" s="216"/>
      <c r="AA84" s="216"/>
      <c r="AB84" s="216"/>
      <c r="AC84" s="216"/>
      <c r="AD84" s="216"/>
      <c r="AE84" s="216"/>
      <c r="AF84" s="216"/>
      <c r="AG84" s="216"/>
      <c r="AH84" s="216"/>
    </row>
    <row r="85" spans="2:34" ht="18">
      <c r="B85" s="216"/>
      <c r="C85" s="216"/>
      <c r="D85" s="216"/>
      <c r="E85" s="216"/>
      <c r="F85" s="216"/>
      <c r="G85" s="216"/>
      <c r="H85" s="216"/>
      <c r="I85" s="216"/>
      <c r="J85" s="216"/>
      <c r="K85" s="216"/>
      <c r="L85" s="216"/>
      <c r="M85" s="216"/>
      <c r="N85" s="216"/>
      <c r="O85" s="279"/>
      <c r="P85" s="276" t="s">
        <v>524</v>
      </c>
      <c r="Q85" s="277"/>
      <c r="R85" s="277"/>
      <c r="S85" s="278">
        <v>-3.4649250191233278</v>
      </c>
      <c r="T85" s="216" t="s">
        <v>403</v>
      </c>
      <c r="U85" s="216">
        <v>-1.4412392834776455</v>
      </c>
      <c r="V85" s="216"/>
      <c r="W85" s="216"/>
      <c r="X85" s="216"/>
      <c r="Y85" s="216"/>
      <c r="Z85" s="216"/>
      <c r="AA85" s="216"/>
      <c r="AB85" s="216"/>
      <c r="AC85" s="216"/>
      <c r="AD85" s="216"/>
      <c r="AE85" s="216"/>
      <c r="AF85" s="216"/>
      <c r="AG85" s="216"/>
      <c r="AH85" s="216"/>
    </row>
    <row r="86" spans="2:34" ht="18">
      <c r="O86" s="279"/>
      <c r="P86" s="276"/>
      <c r="Q86" s="277"/>
      <c r="R86" s="277"/>
      <c r="S86" s="278"/>
      <c r="T86" s="216" t="s">
        <v>499</v>
      </c>
      <c r="U86">
        <v>-64.006055558149967</v>
      </c>
    </row>
    <row r="87" spans="2:34" ht="18">
      <c r="O87" s="288">
        <v>10</v>
      </c>
      <c r="P87" s="283" t="s">
        <v>182</v>
      </c>
      <c r="Q87" s="284"/>
      <c r="R87" s="284"/>
      <c r="S87" s="285">
        <f>S75-SUM(S76:S85)</f>
        <v>-449.2148483682397</v>
      </c>
    </row>
  </sheetData>
  <mergeCells count="26">
    <mergeCell ref="B10:B11"/>
    <mergeCell ref="C10:C11"/>
    <mergeCell ref="B17:B18"/>
    <mergeCell ref="H17:H18"/>
    <mergeCell ref="O17:O18"/>
    <mergeCell ref="P60:P61"/>
    <mergeCell ref="Q60:Q61"/>
    <mergeCell ref="R60:R61"/>
    <mergeCell ref="S60:S61"/>
    <mergeCell ref="Q17:Q18"/>
    <mergeCell ref="R17:R18"/>
    <mergeCell ref="S17:S18"/>
    <mergeCell ref="P17:P18"/>
    <mergeCell ref="B53:B54"/>
    <mergeCell ref="C53:C54"/>
    <mergeCell ref="B60:B61"/>
    <mergeCell ref="H60:H61"/>
    <mergeCell ref="O60:O61"/>
    <mergeCell ref="T60:T61"/>
    <mergeCell ref="AE60:AE61"/>
    <mergeCell ref="AF60:AF61"/>
    <mergeCell ref="AH60:AH61"/>
    <mergeCell ref="AH17:AH18"/>
    <mergeCell ref="T17:T18"/>
    <mergeCell ref="AE17:AE18"/>
    <mergeCell ref="AF17:AF18"/>
  </mergeCells>
  <pageMargins left="0.7" right="0.7" top="0.75" bottom="0.75" header="0.3" footer="0.3"/>
  <pageSetup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8FC9C-785B-4AEC-8F6E-FF4C17308DEC}">
  <sheetPr>
    <tabColor rgb="FF92D050"/>
  </sheetPr>
  <dimension ref="B1:AJ84"/>
  <sheetViews>
    <sheetView showGridLines="0" topLeftCell="A58" zoomScale="55" zoomScaleNormal="55" workbookViewId="0">
      <selection activeCell="AD75" sqref="AD75"/>
    </sheetView>
  </sheetViews>
  <sheetFormatPr defaultRowHeight="15"/>
  <cols>
    <col min="2" max="3" width="10.42578125" bestFit="1" customWidth="1"/>
    <col min="4" max="4" width="14.5703125" customWidth="1"/>
    <col min="5" max="5" width="12.140625" bestFit="1" customWidth="1"/>
    <col min="6" max="6" width="14.42578125" customWidth="1"/>
    <col min="7" max="7" width="10" customWidth="1"/>
    <col min="21" max="21" width="8.42578125" bestFit="1" customWidth="1"/>
    <col min="24" max="24" width="10.5703125" customWidth="1"/>
  </cols>
  <sheetData>
    <row r="1" spans="2:34" ht="28.5">
      <c r="B1" s="304" t="str">
        <f>'Summary month'!E2</f>
        <v>Apr</v>
      </c>
      <c r="C1" t="str">
        <f>VLOOKUP(B1,mapping!$A$2:$C$13,3,0)</f>
        <v>M01</v>
      </c>
    </row>
    <row r="2" spans="2:34">
      <c r="R2" t="s">
        <v>484</v>
      </c>
    </row>
    <row r="3" spans="2:34" ht="28.5">
      <c r="B3" s="299" t="s">
        <v>202</v>
      </c>
      <c r="I3" s="216"/>
      <c r="J3" s="334"/>
      <c r="K3" s="216"/>
      <c r="L3" s="216"/>
      <c r="M3" s="216"/>
      <c r="N3" s="334"/>
      <c r="O3" s="216"/>
      <c r="P3" s="216"/>
      <c r="Q3" s="216"/>
    </row>
    <row r="4" spans="2:34" ht="28.5">
      <c r="B4" s="299"/>
      <c r="I4" s="216"/>
      <c r="J4" s="334"/>
      <c r="K4" s="216"/>
      <c r="L4" s="216"/>
      <c r="M4" s="216"/>
      <c r="N4" s="334"/>
      <c r="O4" s="216"/>
      <c r="P4" s="216"/>
      <c r="Q4" s="216"/>
    </row>
    <row r="5" spans="2:34" ht="20.25">
      <c r="B5" s="216"/>
      <c r="C5" s="226" t="str">
        <f>B10</f>
        <v>7+5 Q3</v>
      </c>
      <c r="D5" s="226" t="str">
        <f>C10</f>
        <v>Act QTD</v>
      </c>
      <c r="E5" s="226" t="s">
        <v>320</v>
      </c>
      <c r="F5" s="226" t="s">
        <v>321</v>
      </c>
      <c r="G5" s="226" t="s">
        <v>322</v>
      </c>
      <c r="H5" s="292" t="s">
        <v>323</v>
      </c>
      <c r="I5" s="216"/>
    </row>
    <row r="6" spans="2:34" ht="20.25">
      <c r="B6" s="226" t="s">
        <v>327</v>
      </c>
      <c r="C6" s="229">
        <f>'Summary month'!CH82</f>
        <v>63.237619418000122</v>
      </c>
      <c r="D6" s="229">
        <f>'Summary month'!I82</f>
        <v>63.237619418000122</v>
      </c>
      <c r="E6" s="226">
        <f>+D6-C6</f>
        <v>0</v>
      </c>
      <c r="F6" s="226">
        <f>B19</f>
        <v>-0.56939143497695477</v>
      </c>
      <c r="G6" s="226">
        <f>SUM(C19:S19)</f>
        <v>0.56939143497695355</v>
      </c>
      <c r="H6" s="502">
        <f>E6-F6-G6</f>
        <v>1.2212453270876722E-15</v>
      </c>
      <c r="I6" s="216"/>
      <c r="J6" s="334"/>
      <c r="K6" s="216"/>
      <c r="L6" s="216"/>
      <c r="M6" s="216"/>
      <c r="N6" s="334"/>
      <c r="O6" s="216"/>
      <c r="P6" s="216"/>
      <c r="Q6" s="216"/>
    </row>
    <row r="7" spans="2:34" ht="20.25">
      <c r="B7" s="226" t="s">
        <v>325</v>
      </c>
      <c r="C7" s="229">
        <f>'Summary month'!CH83</f>
        <v>-134.40743371799999</v>
      </c>
      <c r="D7" s="229">
        <f>'Summary month'!I83</f>
        <v>-134.40743371799999</v>
      </c>
      <c r="E7" s="226">
        <f>+D7-C7</f>
        <v>0</v>
      </c>
      <c r="F7" s="226">
        <f>T19</f>
        <v>1.0854236614972499</v>
      </c>
      <c r="G7" s="226">
        <f>SUM(U19:AH19)</f>
        <v>-1.0854236614972499</v>
      </c>
      <c r="H7" s="502">
        <f>E7-F7-G7</f>
        <v>0</v>
      </c>
      <c r="I7" s="216"/>
      <c r="J7" s="334"/>
      <c r="K7" s="216"/>
      <c r="L7" s="216"/>
      <c r="M7" s="216"/>
      <c r="N7" s="334"/>
      <c r="O7" s="216"/>
      <c r="P7" s="216"/>
      <c r="Q7" s="216"/>
    </row>
    <row r="8" spans="2:34" ht="20.25">
      <c r="B8" s="226" t="s">
        <v>326</v>
      </c>
      <c r="C8" s="226">
        <f>+C6+C7</f>
        <v>-71.169814299999871</v>
      </c>
      <c r="D8" s="226">
        <f>+D6+D7</f>
        <v>-71.169814299999871</v>
      </c>
      <c r="E8" s="226">
        <f>+D8-C8</f>
        <v>0</v>
      </c>
      <c r="F8" s="226">
        <f>+E8-G8</f>
        <v>0.51603222652029634</v>
      </c>
      <c r="G8" s="226">
        <f>+G6+G7</f>
        <v>-0.51603222652029634</v>
      </c>
      <c r="H8" s="502">
        <f>E8-F8-G8</f>
        <v>0</v>
      </c>
      <c r="I8" s="216"/>
      <c r="J8" s="334" t="s">
        <v>303</v>
      </c>
      <c r="K8" s="216" t="s">
        <v>143</v>
      </c>
      <c r="L8" s="216" t="s">
        <v>304</v>
      </c>
      <c r="M8" s="216"/>
      <c r="N8" s="334" t="s">
        <v>303</v>
      </c>
      <c r="O8" s="216" t="s">
        <v>143</v>
      </c>
      <c r="P8" s="216" t="s">
        <v>305</v>
      </c>
      <c r="Q8" s="216" t="s">
        <v>306</v>
      </c>
    </row>
    <row r="9" spans="2:34" ht="18">
      <c r="B9" s="215"/>
      <c r="C9" s="216"/>
      <c r="D9" s="318">
        <f>D12-D54</f>
        <v>0</v>
      </c>
      <c r="E9" s="318">
        <f>E12-E54</f>
        <v>-10.471816940634811</v>
      </c>
      <c r="F9" s="318">
        <f>F12-F54</f>
        <v>10.471816940634811</v>
      </c>
      <c r="G9" s="318">
        <f>G12-G54</f>
        <v>0</v>
      </c>
      <c r="H9" s="216"/>
      <c r="I9" s="216" t="s">
        <v>307</v>
      </c>
      <c r="J9" s="334">
        <f>'[14]New KPI vs BP'!$EB$34-K9-L9</f>
        <v>0.30508177391962182</v>
      </c>
      <c r="K9" s="216">
        <f>'[14]New KPI vs BP'!$EB$15</f>
        <v>-3.8112449987354434E-2</v>
      </c>
      <c r="L9" s="334">
        <f>'[14]New KPI vs BP'!$EB$507+'[14]New KPI vs BP'!$EB$523</f>
        <v>0.24906290258802771</v>
      </c>
      <c r="M9" s="216"/>
      <c r="N9" s="334">
        <f>'[14]New KPI vs BP'!$EB$34-O9-P9</f>
        <v>-0.53127898498960036</v>
      </c>
      <c r="O9" s="216">
        <f>K9</f>
        <v>-3.8112449987354434E-2</v>
      </c>
      <c r="P9" s="406">
        <f>L10-AJ64</f>
        <v>1.0854236614972499</v>
      </c>
      <c r="Q9" s="334">
        <f>L9-(P9)</f>
        <v>-0.83636075890922212</v>
      </c>
      <c r="R9" s="216"/>
      <c r="S9" s="216"/>
      <c r="T9" s="216"/>
      <c r="U9" s="216"/>
      <c r="V9" s="216"/>
      <c r="W9" s="216"/>
      <c r="X9" s="216"/>
      <c r="Y9" s="216"/>
      <c r="Z9" s="216"/>
      <c r="AA9" s="216"/>
      <c r="AB9" s="216"/>
      <c r="AC9" s="216"/>
      <c r="AD9" s="216"/>
      <c r="AE9" s="216"/>
      <c r="AF9" s="216"/>
      <c r="AG9" s="216"/>
      <c r="AH9" s="216"/>
    </row>
    <row r="10" spans="2:34" ht="20.100000000000001" customHeight="1">
      <c r="B10" s="1014" t="s">
        <v>528</v>
      </c>
      <c r="C10" s="1014" t="s">
        <v>214</v>
      </c>
      <c r="D10" s="218"/>
      <c r="E10" s="219"/>
      <c r="F10" s="219"/>
      <c r="G10" s="220"/>
      <c r="H10" s="216"/>
      <c r="I10" s="216" t="s">
        <v>62</v>
      </c>
      <c r="J10" s="334">
        <f>M52</f>
        <v>9.9024255056578561</v>
      </c>
      <c r="K10" s="216">
        <v>0</v>
      </c>
      <c r="L10" s="334">
        <f>M53</f>
        <v>1.0854236614972499</v>
      </c>
      <c r="M10" s="216"/>
      <c r="N10" s="216"/>
      <c r="O10" s="216"/>
      <c r="P10" s="216"/>
      <c r="Q10" s="216"/>
      <c r="R10" s="216"/>
      <c r="S10" s="216"/>
      <c r="T10" s="216"/>
      <c r="U10" s="216"/>
      <c r="V10" s="216"/>
      <c r="W10" s="221"/>
      <c r="X10" s="221"/>
      <c r="Y10" s="221"/>
      <c r="Z10" s="221"/>
      <c r="AA10" s="221"/>
      <c r="AB10" s="221"/>
      <c r="AC10" s="221"/>
      <c r="AD10" s="221"/>
      <c r="AE10" s="221"/>
      <c r="AF10" s="221"/>
      <c r="AG10" s="221"/>
      <c r="AH10" s="221"/>
    </row>
    <row r="11" spans="2:34" ht="40.5">
      <c r="B11" s="1015"/>
      <c r="C11" s="1016"/>
      <c r="D11" s="222"/>
      <c r="E11" s="223" t="s">
        <v>154</v>
      </c>
      <c r="F11" s="224" t="s">
        <v>155</v>
      </c>
      <c r="G11" s="225" t="s">
        <v>156</v>
      </c>
      <c r="H11" s="216"/>
      <c r="I11" s="216" t="s">
        <v>208</v>
      </c>
      <c r="J11" s="216"/>
      <c r="K11" s="216"/>
      <c r="L11" s="216"/>
      <c r="M11" s="216"/>
      <c r="N11" s="216"/>
      <c r="O11" s="216"/>
      <c r="P11" s="216"/>
      <c r="Q11" s="216"/>
      <c r="R11" s="216"/>
      <c r="AH11" s="216"/>
    </row>
    <row r="12" spans="2:34" ht="20.25">
      <c r="B12" s="226">
        <f>'Summary month'!CH55</f>
        <v>-71.169814299999885</v>
      </c>
      <c r="C12" s="226">
        <f>'Summary month'!I55</f>
        <v>-71.169814299999885</v>
      </c>
      <c r="D12" s="227">
        <f>C12-B12</f>
        <v>0</v>
      </c>
      <c r="E12" s="228">
        <f>'[14]New KPI vs BP'!$EB$34</f>
        <v>0.51603222652029512</v>
      </c>
      <c r="F12" s="228">
        <f>'Summary month'!CL82-E13</f>
        <v>0.56939143497695477</v>
      </c>
      <c r="G12" s="229">
        <f>'Summary month'!CL83-E14</f>
        <v>-1.0854236614972499</v>
      </c>
      <c r="H12" s="216"/>
      <c r="I12" s="286">
        <f>SUM(E12:G12)-D12</f>
        <v>0</v>
      </c>
      <c r="J12" s="216"/>
      <c r="K12" s="216"/>
      <c r="L12" s="216"/>
      <c r="M12" s="216"/>
      <c r="N12" s="216"/>
      <c r="O12" s="230"/>
      <c r="P12" s="216"/>
      <c r="Q12" s="216"/>
      <c r="R12" s="216"/>
      <c r="AH12" s="230"/>
    </row>
    <row r="13" spans="2:34">
      <c r="B13" s="216"/>
      <c r="C13" s="216"/>
      <c r="D13" s="216"/>
      <c r="E13" s="315">
        <f>SUM(N9:O9)</f>
        <v>-0.56939143497695477</v>
      </c>
      <c r="F13" s="216" t="s">
        <v>308</v>
      </c>
      <c r="G13" s="216"/>
      <c r="H13" s="216"/>
      <c r="I13" s="216"/>
      <c r="J13" s="216"/>
      <c r="K13" s="216"/>
      <c r="L13" s="216"/>
      <c r="M13" s="216"/>
      <c r="N13" s="216"/>
      <c r="O13" s="216" t="s">
        <v>53</v>
      </c>
      <c r="P13" s="216">
        <f>-'Summary month'!CL66</f>
        <v>0</v>
      </c>
      <c r="Q13" s="216"/>
      <c r="R13" s="216"/>
      <c r="AH13" s="216"/>
    </row>
    <row r="14" spans="2:34">
      <c r="B14" s="216"/>
      <c r="C14" s="216" t="s">
        <v>51</v>
      </c>
      <c r="D14" s="216" t="s">
        <v>50</v>
      </c>
      <c r="E14" s="315">
        <f>P9</f>
        <v>1.0854236614972499</v>
      </c>
      <c r="F14" s="216" t="s">
        <v>309</v>
      </c>
      <c r="G14" s="216"/>
      <c r="H14" s="216"/>
      <c r="I14" s="216"/>
      <c r="J14" s="216"/>
      <c r="K14" s="216"/>
      <c r="L14" s="216"/>
      <c r="M14" s="216"/>
      <c r="N14" s="216"/>
      <c r="O14" s="216" t="s">
        <v>54</v>
      </c>
      <c r="P14" s="216">
        <f>-'Summary month'!CL67</f>
        <v>0</v>
      </c>
      <c r="Q14" s="216"/>
      <c r="R14" s="216"/>
      <c r="AH14" s="216"/>
    </row>
    <row r="15" spans="2:34" ht="21" thickBot="1">
      <c r="B15" s="231" t="s">
        <v>157</v>
      </c>
      <c r="C15" s="232" t="s">
        <v>56</v>
      </c>
      <c r="D15" s="232" t="s">
        <v>57</v>
      </c>
      <c r="E15" s="232"/>
      <c r="F15" s="232"/>
      <c r="G15" s="232"/>
      <c r="H15" s="232"/>
      <c r="I15" s="232"/>
      <c r="J15" s="232"/>
      <c r="K15" s="232"/>
      <c r="L15" s="232"/>
      <c r="M15" s="232"/>
      <c r="N15" s="232"/>
      <c r="O15" s="232" t="s">
        <v>55</v>
      </c>
      <c r="P15" s="216">
        <f>-'Summary month'!CL68</f>
        <v>0</v>
      </c>
      <c r="Q15" s="232"/>
      <c r="R15" s="232" t="s">
        <v>60</v>
      </c>
      <c r="AA15" t="s">
        <v>52</v>
      </c>
      <c r="AB15" t="s">
        <v>59</v>
      </c>
      <c r="AH15" s="217" t="s">
        <v>138</v>
      </c>
    </row>
    <row r="16" spans="2:34" ht="21" thickBot="1">
      <c r="B16" s="233"/>
      <c r="C16" s="234" t="s">
        <v>159</v>
      </c>
      <c r="D16" s="234"/>
      <c r="E16" s="234"/>
      <c r="F16" s="234"/>
      <c r="G16" s="234"/>
      <c r="H16" s="234"/>
      <c r="I16" s="234"/>
      <c r="J16" s="234"/>
      <c r="K16" s="234"/>
      <c r="L16" s="234"/>
      <c r="M16" s="234"/>
      <c r="N16" s="234"/>
      <c r="O16" s="234"/>
      <c r="P16" s="234"/>
      <c r="Q16" s="234"/>
      <c r="R16" s="234"/>
      <c r="S16" s="235"/>
      <c r="T16" s="236"/>
      <c r="U16" s="237" t="s">
        <v>160</v>
      </c>
      <c r="V16" s="237"/>
      <c r="W16" s="237"/>
      <c r="X16" s="237"/>
      <c r="Y16" s="237"/>
      <c r="Z16" s="237"/>
      <c r="AA16" s="237"/>
      <c r="AB16" s="237"/>
      <c r="AC16" s="237"/>
      <c r="AD16" s="237"/>
      <c r="AE16" s="237"/>
      <c r="AF16" s="237"/>
      <c r="AG16" s="237"/>
      <c r="AH16" s="238"/>
    </row>
    <row r="17" spans="2:34" ht="20.100000000000001" customHeight="1">
      <c r="B17" s="1027" t="s">
        <v>274</v>
      </c>
      <c r="C17" s="239" t="s">
        <v>161</v>
      </c>
      <c r="D17" s="240"/>
      <c r="E17" s="240"/>
      <c r="F17" s="240"/>
      <c r="G17" s="241"/>
      <c r="H17" s="1017" t="s">
        <v>162</v>
      </c>
      <c r="I17" s="242" t="s">
        <v>163</v>
      </c>
      <c r="J17" s="243"/>
      <c r="K17" s="243"/>
      <c r="L17" s="243"/>
      <c r="M17" s="243"/>
      <c r="N17" s="244"/>
      <c r="O17" s="1019" t="s">
        <v>164</v>
      </c>
      <c r="P17" s="1019" t="s">
        <v>165</v>
      </c>
      <c r="Q17" s="1019" t="s">
        <v>166</v>
      </c>
      <c r="R17" s="1022" t="s">
        <v>167</v>
      </c>
      <c r="S17" s="1023" t="s">
        <v>168</v>
      </c>
      <c r="T17" s="1027" t="s">
        <v>274</v>
      </c>
      <c r="U17" s="245" t="s">
        <v>169</v>
      </c>
      <c r="V17" s="246"/>
      <c r="W17" s="246"/>
      <c r="X17" s="247"/>
      <c r="Y17" s="248" t="s">
        <v>163</v>
      </c>
      <c r="Z17" s="246"/>
      <c r="AA17" s="246"/>
      <c r="AB17" s="246"/>
      <c r="AC17" s="246"/>
      <c r="AD17" s="247"/>
      <c r="AE17" s="1022" t="s">
        <v>166</v>
      </c>
      <c r="AF17" s="1025" t="s">
        <v>167</v>
      </c>
      <c r="AG17" s="311"/>
      <c r="AH17" s="1012" t="s">
        <v>168</v>
      </c>
    </row>
    <row r="18" spans="2:34" ht="77.45" customHeight="1">
      <c r="B18" s="1028"/>
      <c r="C18" s="249" t="s">
        <v>170</v>
      </c>
      <c r="D18" s="250" t="s">
        <v>171</v>
      </c>
      <c r="E18" s="250" t="s">
        <v>172</v>
      </c>
      <c r="F18" s="250" t="s">
        <v>173</v>
      </c>
      <c r="G18" s="251" t="s">
        <v>174</v>
      </c>
      <c r="H18" s="1018"/>
      <c r="I18" s="250" t="s">
        <v>175</v>
      </c>
      <c r="J18" s="250" t="s">
        <v>176</v>
      </c>
      <c r="K18" s="250" t="s">
        <v>177</v>
      </c>
      <c r="L18" s="250" t="s">
        <v>178</v>
      </c>
      <c r="M18" s="250" t="s">
        <v>168</v>
      </c>
      <c r="N18" s="250" t="s">
        <v>179</v>
      </c>
      <c r="O18" s="1020"/>
      <c r="P18" s="1021"/>
      <c r="Q18" s="1021"/>
      <c r="R18" s="1021"/>
      <c r="S18" s="1024"/>
      <c r="T18" s="1028"/>
      <c r="U18" s="307" t="s">
        <v>203</v>
      </c>
      <c r="V18" s="308" t="s">
        <v>180</v>
      </c>
      <c r="W18" s="309" t="s">
        <v>181</v>
      </c>
      <c r="X18" s="310" t="s">
        <v>33</v>
      </c>
      <c r="Y18" s="305" t="s">
        <v>25</v>
      </c>
      <c r="Z18" s="306" t="s">
        <v>183</v>
      </c>
      <c r="AA18" s="306" t="s">
        <v>204</v>
      </c>
      <c r="AB18" s="306" t="s">
        <v>205</v>
      </c>
      <c r="AC18" s="306" t="s">
        <v>184</v>
      </c>
      <c r="AD18" s="306" t="s">
        <v>30</v>
      </c>
      <c r="AE18" s="1021"/>
      <c r="AF18" s="1026"/>
      <c r="AG18" s="312" t="s">
        <v>37</v>
      </c>
      <c r="AH18" s="1013"/>
    </row>
    <row r="19" spans="2:34" ht="21" thickBot="1">
      <c r="B19" s="252">
        <f>E13</f>
        <v>-0.56939143497695477</v>
      </c>
      <c r="C19" s="253">
        <f>C61-'Summary month'!CL64-'Summary month'!CL69+J10-N9</f>
        <v>-0.72215603978756981</v>
      </c>
      <c r="D19" s="254">
        <f>S76-'Summary month'!CL63-'Summary month'!CL70-O9</f>
        <v>0.41753775687820482</v>
      </c>
      <c r="E19" s="254">
        <f>E61</f>
        <v>0.65316799963414596</v>
      </c>
      <c r="F19" s="254">
        <f>F61</f>
        <v>-7.4222502615556092</v>
      </c>
      <c r="G19" s="254"/>
      <c r="H19" s="254"/>
      <c r="I19" s="254">
        <f>I61</f>
        <v>-1.3486075576010115E-2</v>
      </c>
      <c r="J19" s="255">
        <f>J61</f>
        <v>-2.1511567923941932E-2</v>
      </c>
      <c r="K19" s="255">
        <f>K61</f>
        <v>9.9529193011455686E-2</v>
      </c>
      <c r="L19" s="255">
        <f>L61</f>
        <v>-3.7845972899370972E-2</v>
      </c>
      <c r="M19" s="255">
        <f>M61</f>
        <v>34.274448201226569</v>
      </c>
      <c r="N19" s="255"/>
      <c r="O19" s="254">
        <f>-SUM('Summary month'!CL66:CL68)</f>
        <v>0</v>
      </c>
      <c r="P19" s="254"/>
      <c r="Q19" s="256"/>
      <c r="R19" s="254">
        <f>R61-'Summary month'!CL73</f>
        <v>-8.6020647109999473</v>
      </c>
      <c r="S19" s="257">
        <f>F12-SUM(C19:R19)</f>
        <v>-18.055977087030971</v>
      </c>
      <c r="T19" s="253">
        <f>E14</f>
        <v>1.0854236614972499</v>
      </c>
      <c r="U19" s="253">
        <f>U61</f>
        <v>-0.2</v>
      </c>
      <c r="V19" s="258">
        <f>V61</f>
        <v>0</v>
      </c>
      <c r="W19" s="258"/>
      <c r="X19" s="258">
        <f>X61</f>
        <v>-0.54484597899999998</v>
      </c>
      <c r="Y19" s="258">
        <f>Y61</f>
        <v>0.69369391729352481</v>
      </c>
      <c r="Z19" s="258">
        <f>Z61</f>
        <v>-0.6468998081328623</v>
      </c>
      <c r="AA19" s="258">
        <f>AA61-'Summary month'!CL65</f>
        <v>0</v>
      </c>
      <c r="AB19" s="258">
        <f>-'Summary month'!CL72</f>
        <v>0</v>
      </c>
      <c r="AC19" s="258">
        <f>AC61</f>
        <v>0</v>
      </c>
      <c r="AD19" s="258">
        <f>AD61</f>
        <v>0</v>
      </c>
      <c r="AE19" s="256"/>
      <c r="AF19" s="259"/>
      <c r="AG19" s="254">
        <f>AG61</f>
        <v>-0.38737179165791247</v>
      </c>
      <c r="AH19" s="260">
        <f>G12-SUM(U19:AG19)</f>
        <v>0</v>
      </c>
    </row>
    <row r="20" spans="2:34" ht="18">
      <c r="B20" s="216"/>
      <c r="C20" s="261"/>
      <c r="D20" s="216"/>
      <c r="E20" s="216"/>
      <c r="F20" s="216"/>
      <c r="G20" s="216"/>
      <c r="H20" s="216"/>
      <c r="I20" s="216"/>
      <c r="J20" s="216"/>
      <c r="K20" s="216"/>
      <c r="L20" s="216"/>
      <c r="M20" s="216"/>
      <c r="N20" s="216"/>
      <c r="O20" s="216"/>
      <c r="P20" s="216"/>
      <c r="Q20" s="216"/>
      <c r="R20" s="216"/>
      <c r="S20" s="216"/>
      <c r="T20" s="216"/>
      <c r="U20" s="216"/>
      <c r="V20" s="216"/>
      <c r="W20" s="216"/>
      <c r="X20" s="216"/>
      <c r="Y20" s="216"/>
      <c r="Z20" s="216"/>
      <c r="AA20" s="216"/>
      <c r="AB20" s="216"/>
      <c r="AC20" s="216"/>
      <c r="AD20" s="216"/>
      <c r="AE20" s="216"/>
      <c r="AF20" s="216"/>
      <c r="AG20" s="216"/>
      <c r="AH20" s="216"/>
    </row>
    <row r="21" spans="2:34" ht="20.25">
      <c r="B21" s="221"/>
      <c r="C21" s="261"/>
      <c r="D21" s="262"/>
      <c r="E21" s="262"/>
      <c r="F21" s="262"/>
      <c r="G21" s="262"/>
      <c r="H21" s="262"/>
      <c r="I21" s="262"/>
      <c r="J21" s="262"/>
      <c r="K21" s="262"/>
      <c r="L21" s="262"/>
      <c r="M21" s="262"/>
      <c r="N21" s="262"/>
      <c r="O21" s="262"/>
      <c r="P21" s="262"/>
      <c r="Q21" s="262"/>
      <c r="R21" s="262"/>
      <c r="S21" s="221"/>
      <c r="T21" s="221"/>
      <c r="U21" s="221"/>
      <c r="V21" s="221"/>
      <c r="W21" s="221"/>
      <c r="X21" s="263" t="s">
        <v>185</v>
      </c>
      <c r="Y21" s="264"/>
      <c r="Z21" s="264"/>
      <c r="AA21" s="264"/>
      <c r="AB21" s="265">
        <f>AD19</f>
        <v>0</v>
      </c>
      <c r="AC21" s="221"/>
      <c r="AD21" s="263" t="s">
        <v>186</v>
      </c>
      <c r="AE21" s="264"/>
      <c r="AF21" s="264"/>
      <c r="AG21" s="264"/>
      <c r="AH21" s="265">
        <f>AH19</f>
        <v>0</v>
      </c>
    </row>
    <row r="22" spans="2:34" ht="18">
      <c r="B22" s="216"/>
      <c r="C22" s="266"/>
      <c r="D22" s="267"/>
      <c r="E22" s="267"/>
      <c r="F22" s="267"/>
      <c r="G22" s="267"/>
      <c r="H22" s="267"/>
      <c r="I22" s="267"/>
      <c r="J22" s="267"/>
      <c r="K22" s="267"/>
      <c r="L22" s="267"/>
      <c r="M22" s="267"/>
      <c r="N22" s="267"/>
      <c r="O22" s="267"/>
      <c r="P22" s="267"/>
      <c r="Q22" s="267"/>
      <c r="R22" s="267"/>
      <c r="S22" s="216"/>
      <c r="T22" s="216"/>
      <c r="U22" s="216"/>
      <c r="V22" s="216"/>
      <c r="W22" s="216"/>
      <c r="X22" s="268">
        <v>1</v>
      </c>
      <c r="Y22" s="269"/>
      <c r="Z22" s="270"/>
      <c r="AA22" s="270"/>
      <c r="AB22" s="271"/>
      <c r="AC22" s="216"/>
      <c r="AD22" s="268">
        <v>1</v>
      </c>
      <c r="AE22" s="269" t="s">
        <v>187</v>
      </c>
      <c r="AF22" s="270"/>
      <c r="AG22" s="270"/>
      <c r="AH22" s="271">
        <f>AH64</f>
        <v>0</v>
      </c>
    </row>
    <row r="23" spans="2:34" ht="20.25">
      <c r="B23" s="216"/>
      <c r="C23" s="272"/>
      <c r="D23" s="216"/>
      <c r="E23" s="216"/>
      <c r="F23" s="216"/>
      <c r="G23" s="216"/>
      <c r="H23" s="216"/>
      <c r="I23" s="273" t="s">
        <v>188</v>
      </c>
      <c r="J23" s="274"/>
      <c r="K23" s="274"/>
      <c r="L23" s="274"/>
      <c r="M23" s="275">
        <f>M19</f>
        <v>34.274448201226569</v>
      </c>
      <c r="N23" s="216"/>
      <c r="O23" s="216"/>
      <c r="P23" s="216"/>
      <c r="Q23" s="216"/>
      <c r="R23" s="216"/>
      <c r="S23" s="216"/>
      <c r="T23" s="216"/>
      <c r="U23" s="216"/>
      <c r="V23" s="216"/>
      <c r="W23" s="216"/>
      <c r="X23" s="268">
        <v>2</v>
      </c>
      <c r="Y23" s="276"/>
      <c r="Z23" s="277"/>
      <c r="AA23" s="277"/>
      <c r="AB23" s="278"/>
      <c r="AC23" s="216"/>
      <c r="AD23" s="268">
        <v>2</v>
      </c>
      <c r="AE23" s="276"/>
      <c r="AF23" s="277"/>
      <c r="AG23" s="277"/>
      <c r="AH23" s="278"/>
    </row>
    <row r="24" spans="2:34" ht="18">
      <c r="B24" s="216"/>
      <c r="C24" s="272"/>
      <c r="D24" s="216"/>
      <c r="E24" s="216"/>
      <c r="F24" s="216"/>
      <c r="G24" s="216"/>
      <c r="H24" s="216"/>
      <c r="I24" s="279">
        <v>1</v>
      </c>
      <c r="J24" s="269" t="str">
        <f>J66</f>
        <v>Supplier claims</v>
      </c>
      <c r="K24" s="270"/>
      <c r="L24" s="270"/>
      <c r="M24" s="280">
        <f>M66</f>
        <v>13.2</v>
      </c>
      <c r="N24" s="216"/>
      <c r="O24" s="216"/>
      <c r="P24" s="216"/>
      <c r="Q24" s="216"/>
      <c r="R24" s="216"/>
      <c r="S24" s="216"/>
      <c r="T24" s="216"/>
      <c r="U24" s="216"/>
      <c r="V24" s="216"/>
      <c r="W24" s="216"/>
      <c r="X24" s="268">
        <v>3</v>
      </c>
      <c r="Y24" s="276"/>
      <c r="Z24" s="277"/>
      <c r="AA24" s="277"/>
      <c r="AB24" s="278"/>
      <c r="AC24" s="216"/>
      <c r="AD24" s="268">
        <v>3</v>
      </c>
      <c r="AE24" s="276"/>
      <c r="AF24" s="277"/>
      <c r="AG24" s="277"/>
      <c r="AH24" s="278"/>
    </row>
    <row r="25" spans="2:34" ht="18">
      <c r="B25" s="216"/>
      <c r="C25" s="272"/>
      <c r="D25" s="216"/>
      <c r="E25" s="216"/>
      <c r="F25" s="216"/>
      <c r="G25" s="216"/>
      <c r="H25" s="216"/>
      <c r="I25" s="279">
        <v>2</v>
      </c>
      <c r="J25" s="276" t="str">
        <f>J71</f>
        <v>X badges</v>
      </c>
      <c r="K25" s="277"/>
      <c r="L25" s="277"/>
      <c r="M25" s="281">
        <f>M71</f>
        <v>6.1805385209999999</v>
      </c>
      <c r="N25" s="216"/>
      <c r="O25" s="216"/>
      <c r="P25" s="216"/>
      <c r="Q25" s="216"/>
      <c r="R25" s="216"/>
      <c r="S25" s="216"/>
      <c r="T25" s="216"/>
      <c r="U25" s="216"/>
      <c r="V25" s="216"/>
      <c r="W25" s="216"/>
      <c r="X25" s="268">
        <v>4</v>
      </c>
      <c r="Y25" s="276"/>
      <c r="Z25" s="277"/>
      <c r="AA25" s="277"/>
      <c r="AB25" s="278"/>
      <c r="AC25" s="216"/>
      <c r="AD25" s="268">
        <v>4</v>
      </c>
      <c r="AE25" s="276"/>
      <c r="AF25" s="277"/>
      <c r="AG25" s="277"/>
      <c r="AH25" s="278"/>
    </row>
    <row r="26" spans="2:34" ht="18">
      <c r="B26" s="216"/>
      <c r="C26" s="272"/>
      <c r="D26" s="216"/>
      <c r="E26" s="216"/>
      <c r="F26" s="216"/>
      <c r="G26" s="216"/>
      <c r="H26" s="216"/>
      <c r="I26" s="279">
        <v>3</v>
      </c>
      <c r="J26" s="276"/>
      <c r="K26" s="277"/>
      <c r="L26" s="277"/>
      <c r="M26" s="281"/>
      <c r="N26" s="216"/>
      <c r="O26" s="216"/>
      <c r="P26" s="216"/>
      <c r="Q26" s="216"/>
      <c r="R26" s="216"/>
      <c r="S26" s="216"/>
      <c r="T26" s="216"/>
      <c r="U26" s="216"/>
      <c r="V26" s="216"/>
      <c r="W26" s="216"/>
      <c r="X26" s="282">
        <v>5</v>
      </c>
      <c r="Y26" s="283" t="s">
        <v>182</v>
      </c>
      <c r="Z26" s="284"/>
      <c r="AA26" s="284"/>
      <c r="AB26" s="285">
        <f>AB21-SUM(AB22:AB25)</f>
        <v>0</v>
      </c>
      <c r="AC26" s="216"/>
      <c r="AD26" s="282">
        <v>5</v>
      </c>
      <c r="AE26" s="283" t="s">
        <v>182</v>
      </c>
      <c r="AF26" s="284"/>
      <c r="AG26" s="284"/>
      <c r="AH26" s="285">
        <f>AH21-SUM(AH22:AH25)</f>
        <v>0</v>
      </c>
    </row>
    <row r="27" spans="2:34" ht="18">
      <c r="B27" s="216"/>
      <c r="C27" s="216"/>
      <c r="D27" s="272"/>
      <c r="E27" s="272"/>
      <c r="F27" s="272"/>
      <c r="G27" s="272"/>
      <c r="H27" s="272"/>
      <c r="I27" s="279">
        <v>4</v>
      </c>
      <c r="J27" s="276"/>
      <c r="K27" s="277"/>
      <c r="L27" s="277"/>
      <c r="M27" s="281"/>
      <c r="N27" s="216"/>
      <c r="O27" s="216"/>
      <c r="P27" s="272"/>
      <c r="Q27" s="272"/>
      <c r="R27" s="216"/>
      <c r="S27" s="216"/>
      <c r="T27" s="216"/>
      <c r="U27" s="216"/>
      <c r="V27" s="216"/>
      <c r="W27" s="216"/>
      <c r="X27" s="216"/>
      <c r="Y27" s="216"/>
      <c r="Z27" s="216"/>
      <c r="AA27" s="216"/>
      <c r="AB27" s="286">
        <f>AB26-AB68</f>
        <v>7.888597416039218</v>
      </c>
      <c r="AC27" s="216"/>
      <c r="AD27" s="216"/>
      <c r="AE27" s="216"/>
      <c r="AF27" s="216"/>
      <c r="AG27" s="287"/>
      <c r="AH27" s="286">
        <f>AH26-AH68</f>
        <v>0</v>
      </c>
    </row>
    <row r="28" spans="2:34" ht="18">
      <c r="B28" s="216"/>
      <c r="C28" s="272"/>
      <c r="D28" s="216"/>
      <c r="E28" s="216"/>
      <c r="F28" s="216"/>
      <c r="G28" s="216"/>
      <c r="H28" s="216"/>
      <c r="I28" s="288">
        <v>5</v>
      </c>
      <c r="J28" s="289" t="s">
        <v>182</v>
      </c>
      <c r="K28" s="284"/>
      <c r="L28" s="284"/>
      <c r="M28" s="290">
        <f>M23-SUM(M24:M27)</f>
        <v>14.893909680226571</v>
      </c>
      <c r="N28" s="216"/>
      <c r="O28" s="216"/>
      <c r="P28" s="216"/>
      <c r="Q28" s="216"/>
      <c r="R28" s="216"/>
      <c r="S28" s="216"/>
      <c r="T28" s="216"/>
      <c r="U28" s="216"/>
      <c r="V28" s="216"/>
      <c r="W28" s="216"/>
      <c r="X28" s="216"/>
      <c r="Y28" s="216"/>
      <c r="Z28" s="216"/>
      <c r="AA28" s="216"/>
      <c r="AB28" s="216"/>
      <c r="AC28" s="216"/>
      <c r="AD28" s="216"/>
      <c r="AE28" s="216"/>
      <c r="AF28" s="216"/>
      <c r="AG28" s="216"/>
      <c r="AH28" s="216"/>
    </row>
    <row r="29" spans="2:34" ht="18">
      <c r="B29" s="216"/>
      <c r="C29" s="272"/>
      <c r="D29" s="216"/>
      <c r="E29" s="216"/>
      <c r="F29" s="216"/>
      <c r="G29" s="216"/>
      <c r="H29" s="216"/>
      <c r="I29" s="216"/>
      <c r="J29" s="216"/>
      <c r="K29" s="216"/>
      <c r="L29" s="216"/>
      <c r="M29" s="286">
        <f>M28-M70</f>
        <v>15.693909680226572</v>
      </c>
      <c r="N29" s="216"/>
      <c r="O29" s="216"/>
      <c r="P29" s="216"/>
      <c r="Q29" s="216"/>
      <c r="R29" s="216"/>
      <c r="S29" s="216"/>
      <c r="T29" s="216"/>
      <c r="U29" s="216"/>
      <c r="V29" s="216"/>
      <c r="W29" s="216"/>
      <c r="X29" s="216"/>
      <c r="Y29" s="216"/>
      <c r="Z29" s="216"/>
      <c r="AA29" s="216"/>
      <c r="AB29" s="216"/>
      <c r="AC29" s="216"/>
      <c r="AD29" s="216"/>
      <c r="AE29" s="216"/>
      <c r="AF29" s="216"/>
      <c r="AG29" s="216"/>
      <c r="AH29" s="216"/>
    </row>
    <row r="30" spans="2:34" ht="18">
      <c r="B30" s="216"/>
      <c r="C30" s="272"/>
      <c r="D30" s="272"/>
      <c r="E30" s="216"/>
      <c r="F30" s="216"/>
      <c r="G30" s="216"/>
      <c r="H30" s="216"/>
      <c r="I30" s="216"/>
      <c r="J30" s="216"/>
      <c r="K30" s="216"/>
      <c r="L30" s="216"/>
      <c r="M30" s="216"/>
      <c r="N30" s="216"/>
      <c r="O30" s="216"/>
      <c r="P30" s="216"/>
      <c r="Q30" s="216"/>
      <c r="R30" s="216"/>
      <c r="S30" s="216"/>
      <c r="T30" s="216"/>
      <c r="U30" s="216"/>
      <c r="V30" s="216"/>
      <c r="W30" s="216"/>
      <c r="X30" s="216"/>
      <c r="Y30" s="216"/>
      <c r="Z30" s="216"/>
      <c r="AA30" s="216"/>
      <c r="AB30" s="216"/>
      <c r="AC30" s="216"/>
      <c r="AD30" s="216"/>
      <c r="AE30" s="216"/>
      <c r="AF30" s="216"/>
      <c r="AG30" s="216"/>
      <c r="AH30" s="216"/>
    </row>
    <row r="31" spans="2:34" ht="16.5">
      <c r="B31" s="216"/>
      <c r="C31" s="291"/>
      <c r="D31" s="216"/>
      <c r="E31" s="216"/>
      <c r="F31" s="292" t="s">
        <v>189</v>
      </c>
      <c r="G31" s="216"/>
      <c r="H31" s="216"/>
      <c r="I31" s="216"/>
      <c r="J31" s="216"/>
      <c r="K31" s="216"/>
      <c r="L31" s="216"/>
      <c r="M31" s="216"/>
      <c r="N31" s="216"/>
      <c r="O31" s="216"/>
      <c r="P31" s="216"/>
      <c r="Q31" s="216"/>
      <c r="R31" s="216"/>
      <c r="S31" s="216"/>
      <c r="T31" s="216"/>
      <c r="U31" s="216"/>
      <c r="V31" s="216"/>
      <c r="W31" s="216"/>
      <c r="X31" s="216"/>
      <c r="Y31" s="216"/>
      <c r="Z31" s="216"/>
      <c r="AA31" s="216"/>
      <c r="AB31" s="216"/>
      <c r="AC31" s="216"/>
      <c r="AD31" s="216"/>
      <c r="AE31" s="216"/>
      <c r="AF31" s="216"/>
      <c r="AG31" s="216"/>
      <c r="AH31" s="216"/>
    </row>
    <row r="32" spans="2:34" ht="20.25">
      <c r="B32" s="216"/>
      <c r="C32" s="216"/>
      <c r="D32" s="293" t="s">
        <v>147</v>
      </c>
      <c r="E32" s="293" t="s">
        <v>287</v>
      </c>
      <c r="F32" s="293" t="s">
        <v>190</v>
      </c>
      <c r="G32" s="216"/>
      <c r="H32" s="216"/>
      <c r="I32" s="216"/>
      <c r="J32" s="216"/>
      <c r="K32" s="216"/>
      <c r="L32" s="216"/>
      <c r="M32" s="216"/>
      <c r="N32" s="216"/>
      <c r="O32" s="273" t="s">
        <v>191</v>
      </c>
      <c r="P32" s="274"/>
      <c r="Q32" s="274"/>
      <c r="R32" s="274"/>
      <c r="S32" s="294">
        <f>S19</f>
        <v>-18.055977087030971</v>
      </c>
      <c r="T32" s="216"/>
      <c r="U32" s="272"/>
      <c r="V32" s="272"/>
      <c r="W32" s="272"/>
      <c r="X32" s="216"/>
      <c r="Y32" s="216"/>
      <c r="Z32" s="216"/>
      <c r="AA32" s="216"/>
      <c r="AB32" s="216"/>
      <c r="AC32" s="216"/>
      <c r="AD32" s="216"/>
      <c r="AE32" s="216"/>
      <c r="AF32" s="216"/>
      <c r="AG32" s="216"/>
      <c r="AH32" s="216"/>
    </row>
    <row r="33" spans="2:34" ht="20.25">
      <c r="B33" s="216"/>
      <c r="C33" s="295" t="s">
        <v>192</v>
      </c>
      <c r="D33" s="296">
        <f>'[14]P&amp;L vs BP'!$CC$24</f>
        <v>85990</v>
      </c>
      <c r="E33" s="296">
        <f>'[14]P&amp;L vs BP'!$CB$24</f>
        <v>80810</v>
      </c>
      <c r="F33" s="296">
        <f>E33-D33</f>
        <v>-5180</v>
      </c>
      <c r="G33" s="216"/>
      <c r="H33" s="216"/>
      <c r="I33" s="216"/>
      <c r="J33" s="216"/>
      <c r="K33" s="216"/>
      <c r="L33" s="216"/>
      <c r="M33" s="216"/>
      <c r="N33" s="216"/>
      <c r="O33" s="279">
        <v>1</v>
      </c>
      <c r="P33" s="269" t="s">
        <v>193</v>
      </c>
      <c r="Q33" s="270"/>
      <c r="R33" s="270"/>
      <c r="S33" s="280">
        <f>S75</f>
        <v>-0.65791463100000014</v>
      </c>
      <c r="T33" s="216"/>
      <c r="U33" s="216"/>
      <c r="V33" s="216"/>
      <c r="W33" s="216"/>
      <c r="X33" s="297"/>
      <c r="Y33" s="216"/>
      <c r="Z33" s="216"/>
      <c r="AA33" s="216"/>
      <c r="AB33" s="216"/>
      <c r="AC33" s="216"/>
      <c r="AD33" s="216"/>
      <c r="AE33" s="216"/>
      <c r="AF33" s="216"/>
      <c r="AG33" s="216"/>
      <c r="AH33" s="216"/>
    </row>
    <row r="34" spans="2:34" ht="20.25">
      <c r="B34" s="216"/>
      <c r="C34" s="295" t="s">
        <v>194</v>
      </c>
      <c r="D34" s="296">
        <f>'[14]P&amp;L vs BP'!$CC$27</f>
        <v>2417</v>
      </c>
      <c r="E34" s="296">
        <f>'[14]P&amp;L vs BP'!$CB$27</f>
        <v>1908</v>
      </c>
      <c r="F34" s="296">
        <f>E34-D34</f>
        <v>-509</v>
      </c>
      <c r="G34" s="216"/>
      <c r="H34" s="216"/>
      <c r="I34" s="216"/>
      <c r="J34" s="216"/>
      <c r="K34" s="216"/>
      <c r="L34" s="216"/>
      <c r="M34" s="216"/>
      <c r="N34" s="216"/>
      <c r="O34" s="279">
        <v>2</v>
      </c>
      <c r="P34" s="276" t="s">
        <v>195</v>
      </c>
      <c r="Q34" s="277"/>
      <c r="R34" s="277"/>
      <c r="S34" s="281"/>
      <c r="T34" s="216"/>
      <c r="U34" s="216"/>
      <c r="V34" s="216"/>
      <c r="W34" s="216"/>
      <c r="X34" s="216"/>
      <c r="Y34" s="216"/>
      <c r="Z34" s="216"/>
      <c r="AA34" s="216"/>
      <c r="AB34" s="216"/>
      <c r="AC34" s="216"/>
      <c r="AD34" s="216"/>
      <c r="AE34" s="216"/>
      <c r="AF34" s="216"/>
      <c r="AG34" s="216"/>
      <c r="AH34" s="216"/>
    </row>
    <row r="35" spans="2:34" ht="18">
      <c r="B35" s="216"/>
      <c r="C35" s="216"/>
      <c r="D35" s="298"/>
      <c r="E35" s="298"/>
      <c r="F35" s="298"/>
      <c r="G35" s="216"/>
      <c r="H35" s="216"/>
      <c r="I35" s="216"/>
      <c r="J35" s="216"/>
      <c r="K35" s="216"/>
      <c r="L35" s="216"/>
      <c r="M35" s="216"/>
      <c r="N35" s="216"/>
      <c r="O35" s="279">
        <v>3</v>
      </c>
      <c r="P35" s="276" t="s">
        <v>58</v>
      </c>
      <c r="Q35" s="277"/>
      <c r="R35" s="277"/>
      <c r="S35" s="278">
        <f>-'Summary month'!CL71</f>
        <v>0</v>
      </c>
      <c r="T35" s="216"/>
      <c r="U35" s="216"/>
      <c r="V35" s="216"/>
      <c r="W35" s="216"/>
      <c r="X35" s="216"/>
      <c r="Y35" s="216"/>
      <c r="Z35" s="216"/>
      <c r="AA35" s="216"/>
      <c r="AB35" s="216"/>
      <c r="AC35" s="216"/>
      <c r="AD35" s="216"/>
      <c r="AE35" s="216"/>
      <c r="AF35" s="216"/>
      <c r="AG35" s="216"/>
      <c r="AH35" s="216"/>
    </row>
    <row r="36" spans="2:34" ht="20.25">
      <c r="B36" s="216"/>
      <c r="C36" s="295" t="s">
        <v>196</v>
      </c>
      <c r="D36" s="296">
        <f>'[14]P&amp;L vs BP'!$CC$18</f>
        <v>72223</v>
      </c>
      <c r="E36" s="296">
        <f>'[14]P&amp;L vs BP'!$CB$18</f>
        <v>72592</v>
      </c>
      <c r="F36" s="296">
        <f>E36-D36</f>
        <v>369</v>
      </c>
      <c r="G36" s="216"/>
      <c r="H36" s="216"/>
      <c r="I36" s="216"/>
      <c r="J36" s="216"/>
      <c r="K36" s="216"/>
      <c r="L36" s="216"/>
      <c r="M36" s="216"/>
      <c r="N36" s="216"/>
      <c r="O36" s="279">
        <v>4</v>
      </c>
      <c r="P36" s="276"/>
      <c r="Q36" s="277"/>
      <c r="R36" s="277"/>
      <c r="S36" s="281"/>
      <c r="T36" s="216"/>
      <c r="U36" s="216"/>
      <c r="V36" s="216"/>
      <c r="W36" s="216"/>
      <c r="X36" s="216"/>
      <c r="Y36" s="216"/>
      <c r="Z36" s="216"/>
      <c r="AA36" s="216"/>
      <c r="AB36" s="216"/>
      <c r="AC36" s="216"/>
      <c r="AD36" s="216"/>
      <c r="AE36" s="216"/>
      <c r="AF36" s="216"/>
      <c r="AG36" s="216"/>
      <c r="AH36" s="216"/>
    </row>
    <row r="37" spans="2:34" ht="18">
      <c r="B37" s="216"/>
      <c r="C37" s="216"/>
      <c r="D37" s="216"/>
      <c r="E37" s="216"/>
      <c r="F37" s="216"/>
      <c r="G37" s="216"/>
      <c r="H37" s="216"/>
      <c r="I37" s="216"/>
      <c r="J37" s="216"/>
      <c r="K37" s="216"/>
      <c r="L37" s="216"/>
      <c r="M37" s="216"/>
      <c r="N37" s="216"/>
      <c r="O37" s="279">
        <v>5</v>
      </c>
      <c r="P37" s="276"/>
      <c r="Q37" s="277"/>
      <c r="R37" s="277"/>
      <c r="S37" s="281"/>
      <c r="T37" s="216"/>
      <c r="U37" s="216"/>
      <c r="V37" s="216"/>
      <c r="W37" s="216"/>
      <c r="X37" s="216"/>
      <c r="Y37" s="216"/>
      <c r="Z37" s="216"/>
      <c r="AA37" s="216"/>
      <c r="AB37" s="216"/>
      <c r="AC37" s="216"/>
      <c r="AD37" s="216"/>
      <c r="AE37" s="216"/>
      <c r="AF37" s="216"/>
      <c r="AG37" s="216"/>
      <c r="AH37" s="216"/>
    </row>
    <row r="38" spans="2:34" ht="18">
      <c r="B38" s="216"/>
      <c r="C38" s="216"/>
      <c r="D38" s="216"/>
      <c r="E38" s="216"/>
      <c r="F38" s="216"/>
      <c r="G38" s="216"/>
      <c r="H38" s="216"/>
      <c r="I38" s="216"/>
      <c r="J38" s="216"/>
      <c r="K38" s="216"/>
      <c r="L38" s="216"/>
      <c r="M38" s="216"/>
      <c r="N38" s="216"/>
      <c r="O38" s="279">
        <v>6</v>
      </c>
      <c r="P38" s="276"/>
      <c r="Q38" s="277"/>
      <c r="R38" s="277"/>
      <c r="S38" s="281"/>
      <c r="T38" s="216"/>
      <c r="U38" s="216"/>
      <c r="V38" s="216"/>
      <c r="W38" s="216"/>
      <c r="X38" s="216"/>
      <c r="Y38" s="216"/>
      <c r="Z38" s="216"/>
      <c r="AA38" s="216"/>
      <c r="AB38" s="216"/>
      <c r="AC38" s="216"/>
      <c r="AD38" s="216"/>
      <c r="AE38" s="216"/>
      <c r="AF38" s="216"/>
      <c r="AG38" s="216"/>
      <c r="AH38" s="216"/>
    </row>
    <row r="39" spans="2:34" ht="18">
      <c r="B39" s="216"/>
      <c r="C39" s="216"/>
      <c r="D39" s="216"/>
      <c r="E39" s="216"/>
      <c r="F39" s="216"/>
      <c r="G39" s="216"/>
      <c r="H39" s="216"/>
      <c r="I39" s="216"/>
      <c r="J39" s="216"/>
      <c r="K39" s="216"/>
      <c r="L39" s="216"/>
      <c r="M39" s="216"/>
      <c r="N39" s="216"/>
      <c r="O39" s="279">
        <v>7</v>
      </c>
      <c r="P39" s="276"/>
      <c r="Q39" s="277"/>
      <c r="R39" s="277"/>
      <c r="S39" s="281"/>
      <c r="T39" s="216"/>
      <c r="U39" s="216"/>
      <c r="V39" s="216"/>
      <c r="W39" s="216"/>
      <c r="X39" s="216"/>
      <c r="Y39" s="216"/>
      <c r="Z39" s="216"/>
      <c r="AA39" s="216"/>
      <c r="AB39" s="216"/>
      <c r="AC39" s="216"/>
      <c r="AD39" s="216"/>
      <c r="AE39" s="216"/>
      <c r="AF39" s="216"/>
      <c r="AG39" s="216"/>
      <c r="AH39" s="216"/>
    </row>
    <row r="40" spans="2:34" ht="18">
      <c r="B40" s="216"/>
      <c r="C40" s="216"/>
      <c r="D40" s="216"/>
      <c r="E40" s="216"/>
      <c r="F40" s="216"/>
      <c r="G40" s="216"/>
      <c r="H40" s="216"/>
      <c r="I40" s="216"/>
      <c r="J40" s="216"/>
      <c r="K40" s="216"/>
      <c r="L40" s="216"/>
      <c r="M40" s="216"/>
      <c r="N40" s="216"/>
      <c r="O40" s="279">
        <v>8</v>
      </c>
      <c r="P40" s="276"/>
      <c r="Q40" s="277"/>
      <c r="R40" s="277"/>
      <c r="S40" s="278"/>
      <c r="T40" s="216"/>
      <c r="U40" s="216"/>
      <c r="V40" s="216"/>
      <c r="W40" s="216"/>
      <c r="X40" s="216"/>
      <c r="Y40" s="216"/>
      <c r="Z40" s="216"/>
      <c r="AA40" s="216"/>
      <c r="AB40" s="216"/>
      <c r="AC40" s="216"/>
      <c r="AD40" s="216"/>
      <c r="AE40" s="216"/>
      <c r="AF40" s="216"/>
      <c r="AG40" s="216"/>
      <c r="AH40" s="216"/>
    </row>
    <row r="41" spans="2:34" ht="18">
      <c r="B41" s="216"/>
      <c r="C41" s="216"/>
      <c r="D41" s="216"/>
      <c r="E41" s="216"/>
      <c r="F41" s="216"/>
      <c r="G41" s="216"/>
      <c r="H41" s="216"/>
      <c r="I41" s="216"/>
      <c r="J41" s="216"/>
      <c r="K41" s="216"/>
      <c r="L41" s="216"/>
      <c r="M41" s="216"/>
      <c r="N41" s="216"/>
      <c r="O41" s="279">
        <v>9</v>
      </c>
      <c r="P41" s="276"/>
      <c r="Q41" s="277"/>
      <c r="R41" s="277"/>
      <c r="S41" s="278"/>
      <c r="T41" s="216"/>
      <c r="U41" s="216"/>
      <c r="V41" s="216"/>
      <c r="W41" s="216"/>
      <c r="X41" s="216"/>
      <c r="Y41" s="216"/>
      <c r="Z41" s="216"/>
      <c r="AA41" s="216"/>
      <c r="AB41" s="216"/>
      <c r="AC41" s="216"/>
      <c r="AD41" s="216"/>
      <c r="AE41" s="216"/>
      <c r="AF41" s="216"/>
      <c r="AG41" s="216"/>
      <c r="AH41" s="216"/>
    </row>
    <row r="42" spans="2:34" ht="18">
      <c r="B42" s="216"/>
      <c r="C42" s="216"/>
      <c r="D42" s="216"/>
      <c r="E42" s="216"/>
      <c r="F42" s="216"/>
      <c r="G42" s="216"/>
      <c r="H42" s="216"/>
      <c r="I42" s="216"/>
      <c r="J42" s="216"/>
      <c r="K42" s="216"/>
      <c r="L42" s="216"/>
      <c r="M42" s="216"/>
      <c r="N42" s="216"/>
      <c r="O42" s="288">
        <v>10</v>
      </c>
      <c r="P42" s="283" t="s">
        <v>182</v>
      </c>
      <c r="Q42" s="284"/>
      <c r="R42" s="284"/>
      <c r="S42" s="285">
        <f>S32-SUM(S33:S41)</f>
        <v>-17.398062456030971</v>
      </c>
      <c r="T42" s="216"/>
      <c r="U42" s="216"/>
      <c r="V42" s="216"/>
      <c r="W42" s="216"/>
      <c r="X42" s="216"/>
      <c r="Y42" s="216"/>
      <c r="Z42" s="216"/>
      <c r="AA42" s="216"/>
      <c r="AB42" s="216"/>
      <c r="AC42" s="216"/>
      <c r="AD42" s="216"/>
      <c r="AE42" s="216"/>
      <c r="AF42" s="216"/>
      <c r="AG42" s="216"/>
      <c r="AH42" s="216"/>
    </row>
    <row r="43" spans="2:34">
      <c r="B43" s="216"/>
      <c r="C43" s="216"/>
      <c r="D43" s="216"/>
      <c r="E43" s="216"/>
      <c r="F43" s="216"/>
      <c r="G43" s="216"/>
      <c r="H43" s="216"/>
      <c r="I43" s="216"/>
      <c r="J43" s="216"/>
      <c r="K43" s="216"/>
      <c r="L43" s="216"/>
      <c r="M43" s="216"/>
      <c r="N43" s="216"/>
      <c r="O43" s="216"/>
      <c r="P43" s="216"/>
      <c r="Q43" s="216"/>
      <c r="R43" s="216"/>
      <c r="S43" s="286">
        <f>S42-S84</f>
        <v>-36.779275668329532</v>
      </c>
      <c r="T43" s="216"/>
      <c r="U43" s="216"/>
      <c r="V43" s="216"/>
      <c r="W43" s="216"/>
      <c r="X43" s="216"/>
      <c r="Y43" s="216"/>
      <c r="Z43" s="216"/>
      <c r="AA43" s="216"/>
      <c r="AB43" s="216"/>
      <c r="AC43" s="216"/>
      <c r="AD43" s="216"/>
      <c r="AE43" s="216"/>
      <c r="AF43" s="216"/>
      <c r="AG43" s="216"/>
      <c r="AH43" s="216"/>
    </row>
    <row r="44" spans="2:34" ht="28.5">
      <c r="B44" s="299" t="s">
        <v>197</v>
      </c>
      <c r="C44" s="216"/>
      <c r="D44" s="216"/>
      <c r="E44" s="216"/>
      <c r="F44" s="216"/>
      <c r="G44" s="216"/>
      <c r="H44" s="216"/>
      <c r="I44" s="216"/>
      <c r="J44" s="216"/>
      <c r="K44" s="216"/>
      <c r="L44" s="216"/>
      <c r="M44" s="216"/>
      <c r="N44" s="216"/>
      <c r="O44" s="216"/>
      <c r="P44" s="216"/>
      <c r="Q44" s="216"/>
      <c r="R44" s="216"/>
      <c r="S44" s="216"/>
      <c r="T44" s="216"/>
      <c r="U44" s="216"/>
      <c r="V44" s="216"/>
      <c r="W44" s="216"/>
      <c r="X44" s="216"/>
      <c r="Y44" s="216"/>
      <c r="Z44" s="216"/>
      <c r="AA44" s="216"/>
      <c r="AB44" s="216"/>
      <c r="AC44" s="216"/>
      <c r="AD44" s="216"/>
      <c r="AE44" s="216"/>
      <c r="AF44" s="216"/>
      <c r="AG44" s="216"/>
      <c r="AH44" s="216"/>
    </row>
    <row r="45" spans="2:34">
      <c r="B45" s="216"/>
      <c r="C45" s="216"/>
      <c r="D45" s="216"/>
      <c r="E45" s="216"/>
      <c r="F45" s="216"/>
      <c r="G45" s="216"/>
      <c r="H45" s="216"/>
      <c r="I45" s="216"/>
      <c r="J45" s="216"/>
      <c r="K45" s="216"/>
      <c r="L45" s="216"/>
      <c r="M45" s="216"/>
      <c r="N45" s="216"/>
      <c r="O45" s="216"/>
      <c r="P45" s="216"/>
      <c r="Q45" s="216"/>
      <c r="R45" s="216"/>
      <c r="S45" s="216"/>
      <c r="T45" s="216"/>
      <c r="U45" s="216"/>
      <c r="V45" s="216"/>
      <c r="W45" s="216"/>
      <c r="X45" s="216"/>
      <c r="Y45" s="216"/>
      <c r="Z45" s="216"/>
      <c r="AA45" s="216"/>
      <c r="AB45" s="216"/>
      <c r="AC45" s="216"/>
      <c r="AD45" s="216"/>
      <c r="AE45" s="216"/>
      <c r="AF45" s="216"/>
      <c r="AG45" s="216"/>
      <c r="AH45" s="216"/>
    </row>
    <row r="46" spans="2:34">
      <c r="B46" s="216"/>
      <c r="C46" s="216"/>
      <c r="D46" s="216"/>
      <c r="E46" s="216"/>
      <c r="F46" s="216"/>
      <c r="G46" s="216"/>
      <c r="H46" s="216"/>
      <c r="I46" s="216"/>
      <c r="J46" s="216"/>
      <c r="K46" s="216"/>
      <c r="L46" s="216"/>
      <c r="M46" s="216"/>
      <c r="N46" s="216"/>
      <c r="O46" s="216"/>
      <c r="P46" s="216"/>
      <c r="Q46" s="216"/>
      <c r="R46" s="216"/>
      <c r="S46" s="216"/>
      <c r="T46" s="216"/>
      <c r="U46" s="216"/>
      <c r="V46" s="216"/>
      <c r="W46" s="216"/>
      <c r="X46" s="216"/>
      <c r="Y46" s="216"/>
      <c r="Z46" s="216"/>
      <c r="AA46" s="216"/>
      <c r="AB46" s="216"/>
      <c r="AC46" s="216"/>
      <c r="AD46" s="216"/>
      <c r="AE46" s="216"/>
      <c r="AF46" s="216"/>
      <c r="AG46" s="216"/>
      <c r="AH46" s="216"/>
    </row>
    <row r="47" spans="2:34" ht="20.25">
      <c r="B47" s="216"/>
      <c r="C47" s="226" t="str">
        <f>B52</f>
        <v>25 Q3</v>
      </c>
      <c r="D47" s="226" t="str">
        <f>C52</f>
        <v>7+5 Q3</v>
      </c>
      <c r="E47" s="226" t="s">
        <v>320</v>
      </c>
      <c r="F47" s="226" t="s">
        <v>321</v>
      </c>
      <c r="G47" s="226" t="s">
        <v>322</v>
      </c>
      <c r="H47" s="292" t="s">
        <v>323</v>
      </c>
      <c r="I47" s="216"/>
      <c r="J47" s="216"/>
      <c r="K47" s="216"/>
      <c r="L47" s="216"/>
      <c r="M47" s="216"/>
      <c r="N47" s="216"/>
      <c r="O47" s="216"/>
      <c r="P47" s="216"/>
      <c r="Q47" s="216"/>
      <c r="R47" s="216"/>
      <c r="S47" s="216"/>
      <c r="T47" s="216"/>
      <c r="U47" s="216"/>
      <c r="V47" s="216"/>
      <c r="W47" s="216"/>
      <c r="X47" s="216"/>
      <c r="Y47" s="216"/>
      <c r="Z47" s="216"/>
      <c r="AA47" s="216"/>
      <c r="AB47" s="216"/>
      <c r="AC47" s="216"/>
      <c r="AD47" s="216"/>
      <c r="AE47" s="216"/>
      <c r="AF47" s="216"/>
      <c r="AG47" s="216"/>
      <c r="AH47" s="216"/>
    </row>
    <row r="48" spans="2:34" ht="20.25">
      <c r="B48" s="226" t="s">
        <v>324</v>
      </c>
      <c r="C48" s="229">
        <f>'Summary month'!CH27</f>
        <v>86.083619587646751</v>
      </c>
      <c r="D48" s="229">
        <f>'Summary month'!I27</f>
        <v>86.083619587646751</v>
      </c>
      <c r="E48" s="226">
        <f>+D48-C48</f>
        <v>0</v>
      </c>
      <c r="F48" s="226">
        <f>B61</f>
        <v>9.9024255056578561</v>
      </c>
      <c r="G48" s="226">
        <f>SUM(C61:S61)</f>
        <v>-9.9024255056578561</v>
      </c>
      <c r="H48" s="502">
        <f>E48-F48-G48</f>
        <v>0</v>
      </c>
      <c r="I48" s="216"/>
      <c r="J48" s="216"/>
      <c r="K48" s="216"/>
      <c r="L48" s="216"/>
      <c r="M48" s="216"/>
      <c r="N48" s="216"/>
      <c r="O48" s="216"/>
      <c r="P48" s="216"/>
      <c r="Q48" s="216"/>
      <c r="R48" s="216"/>
      <c r="S48" s="216"/>
      <c r="T48" s="216"/>
      <c r="U48" s="216"/>
      <c r="V48" s="216"/>
      <c r="W48" s="216"/>
      <c r="X48" s="216"/>
      <c r="Y48" s="216"/>
      <c r="Z48" s="216"/>
      <c r="AA48" s="216"/>
      <c r="AB48" s="216"/>
      <c r="AC48" s="216"/>
      <c r="AD48" s="216"/>
      <c r="AE48" s="216"/>
      <c r="AF48" s="216"/>
      <c r="AG48" s="216"/>
      <c r="AH48" s="216"/>
    </row>
    <row r="49" spans="2:36" ht="20.25">
      <c r="B49" s="226" t="s">
        <v>325</v>
      </c>
      <c r="C49" s="229">
        <f>'Summary month'!CH46</f>
        <v>-128.47130442265509</v>
      </c>
      <c r="D49" s="229">
        <f>'Summary month'!I46</f>
        <v>-128.47130442265509</v>
      </c>
      <c r="E49" s="226">
        <f>+D49-C49</f>
        <v>0</v>
      </c>
      <c r="F49" s="226">
        <f>T61</f>
        <v>1.0854236614972499</v>
      </c>
      <c r="G49" s="226">
        <f>SUM(U61:AH61)</f>
        <v>-1.0854236614972499</v>
      </c>
      <c r="H49" s="502">
        <f>E49-F49-G49</f>
        <v>0</v>
      </c>
      <c r="I49" s="216"/>
      <c r="J49" s="216"/>
      <c r="K49" s="216"/>
      <c r="L49" s="216"/>
      <c r="M49" s="216"/>
      <c r="N49" s="216"/>
      <c r="O49" s="216"/>
      <c r="P49" s="216"/>
      <c r="Q49" s="216"/>
      <c r="R49" s="216"/>
      <c r="S49" s="216"/>
      <c r="T49" s="216"/>
      <c r="U49" s="216"/>
      <c r="V49" s="216"/>
      <c r="W49" s="216"/>
      <c r="X49" s="216"/>
      <c r="Y49" s="216"/>
      <c r="Z49" s="216"/>
      <c r="AA49" s="216"/>
      <c r="AB49" s="216"/>
      <c r="AC49" s="216"/>
      <c r="AD49" s="216"/>
      <c r="AE49" s="216"/>
      <c r="AF49" s="216"/>
      <c r="AG49" s="216"/>
      <c r="AH49" s="216"/>
    </row>
    <row r="50" spans="2:36" ht="20.25">
      <c r="B50" s="226" t="s">
        <v>326</v>
      </c>
      <c r="C50" s="226">
        <f>+C48+C49</f>
        <v>-42.387684835008343</v>
      </c>
      <c r="D50" s="226">
        <f>+D48+D49</f>
        <v>-42.387684835008343</v>
      </c>
      <c r="E50" s="226">
        <f>+D50-C50</f>
        <v>0</v>
      </c>
      <c r="F50" s="226">
        <f>+E50-G50</f>
        <v>10.987849167155106</v>
      </c>
      <c r="G50" s="226">
        <f>+G48+G49</f>
        <v>-10.987849167155106</v>
      </c>
      <c r="H50" s="502">
        <f>E50-F50-G50</f>
        <v>0</v>
      </c>
      <c r="I50" s="216"/>
      <c r="J50" s="216"/>
      <c r="K50" s="216"/>
      <c r="L50" s="216"/>
      <c r="M50" s="216"/>
      <c r="N50" s="216"/>
      <c r="O50" s="216"/>
      <c r="P50" s="216"/>
      <c r="Q50" s="216"/>
      <c r="R50" s="216"/>
      <c r="S50" s="216"/>
      <c r="T50" s="216"/>
      <c r="U50" s="216"/>
      <c r="V50" s="216"/>
      <c r="W50" s="216"/>
      <c r="X50" s="216"/>
      <c r="Y50" s="216"/>
      <c r="Z50" s="216"/>
      <c r="AA50" s="216"/>
      <c r="AB50" s="216"/>
      <c r="AC50" s="216"/>
      <c r="AD50" s="216"/>
      <c r="AE50" s="216"/>
      <c r="AF50" s="216"/>
      <c r="AG50" s="216"/>
      <c r="AH50" s="216"/>
    </row>
    <row r="51" spans="2:36" ht="18">
      <c r="B51" s="215"/>
      <c r="C51" s="216"/>
      <c r="D51" s="215"/>
      <c r="E51" s="216"/>
      <c r="F51" s="215"/>
      <c r="G51" s="217" t="s">
        <v>138</v>
      </c>
      <c r="H51" s="216"/>
      <c r="I51" s="216"/>
      <c r="J51" s="216"/>
      <c r="K51" s="216"/>
      <c r="L51" s="216"/>
      <c r="M51" s="216"/>
      <c r="N51" s="216"/>
      <c r="O51" s="216"/>
      <c r="P51" s="216"/>
      <c r="Q51" s="216"/>
      <c r="R51" s="216"/>
      <c r="S51" s="216"/>
      <c r="T51" s="216"/>
      <c r="U51" s="216"/>
      <c r="V51" s="216"/>
      <c r="W51" s="216"/>
      <c r="X51" s="216"/>
      <c r="Y51" s="216"/>
      <c r="Z51" s="216"/>
      <c r="AA51" s="216"/>
      <c r="AB51" s="216"/>
      <c r="AC51" s="216"/>
      <c r="AD51" s="216"/>
      <c r="AE51" s="216"/>
      <c r="AF51" s="216"/>
      <c r="AG51" s="216"/>
      <c r="AH51" s="216"/>
    </row>
    <row r="52" spans="2:36" ht="20.100000000000001" customHeight="1">
      <c r="B52" s="1014" t="s">
        <v>546</v>
      </c>
      <c r="C52" s="1014" t="s">
        <v>528</v>
      </c>
      <c r="D52" s="218"/>
      <c r="E52" s="219"/>
      <c r="F52" s="219"/>
      <c r="G52" s="220"/>
      <c r="H52" s="216"/>
      <c r="I52" s="216"/>
      <c r="J52" s="216"/>
      <c r="K52" s="216"/>
      <c r="L52" s="216" t="s">
        <v>301</v>
      </c>
      <c r="M52" s="478">
        <f>SUM(E55:E57,G55)</f>
        <v>9.9024255056578561</v>
      </c>
      <c r="N52" s="216"/>
      <c r="O52" s="221"/>
      <c r="P52" s="221"/>
      <c r="Q52" s="221"/>
      <c r="R52" s="216"/>
      <c r="S52" s="216"/>
      <c r="T52" s="216"/>
      <c r="U52" s="216"/>
      <c r="V52" s="216"/>
      <c r="W52" s="221"/>
      <c r="X52" s="221"/>
      <c r="Y52" s="221"/>
      <c r="Z52" s="221"/>
      <c r="AA52" s="221"/>
      <c r="AB52" s="221"/>
      <c r="AC52" s="221"/>
      <c r="AD52" s="221"/>
      <c r="AE52" s="221"/>
      <c r="AF52" s="221"/>
      <c r="AG52" s="221"/>
      <c r="AH52" s="221"/>
    </row>
    <row r="53" spans="2:36" ht="40.5">
      <c r="B53" s="1015"/>
      <c r="C53" s="1016"/>
      <c r="D53" s="222"/>
      <c r="E53" s="223" t="s">
        <v>154</v>
      </c>
      <c r="F53" s="224" t="s">
        <v>198</v>
      </c>
      <c r="G53" s="225" t="s">
        <v>156</v>
      </c>
      <c r="H53" s="216"/>
      <c r="I53" s="216" t="s">
        <v>208</v>
      </c>
      <c r="J53" s="216"/>
      <c r="K53" s="216"/>
      <c r="L53" s="216" t="s">
        <v>302</v>
      </c>
      <c r="M53" s="334">
        <f>SUM(U62:AH62,AJ64)</f>
        <v>1.0854236614972499</v>
      </c>
      <c r="N53" s="216"/>
      <c r="O53" s="216"/>
      <c r="P53" s="216"/>
      <c r="Q53" s="216"/>
      <c r="R53" s="216"/>
      <c r="S53" s="216"/>
      <c r="T53" s="216"/>
      <c r="V53" s="216"/>
      <c r="W53" s="216"/>
      <c r="X53" s="216"/>
      <c r="Y53" s="216"/>
      <c r="Z53" s="216"/>
      <c r="AA53" s="216"/>
      <c r="AB53" s="216"/>
      <c r="AC53" s="216" t="s">
        <v>266</v>
      </c>
      <c r="AD53" s="216">
        <v>0.16739862700000002</v>
      </c>
      <c r="AE53" s="362"/>
      <c r="AF53" s="216"/>
      <c r="AG53" s="216"/>
      <c r="AH53" s="216"/>
    </row>
    <row r="54" spans="2:36" ht="20.25">
      <c r="B54" s="226">
        <f>'Summary month'!CH47</f>
        <v>-42.387684835008343</v>
      </c>
      <c r="C54" s="226">
        <f>'Summary month'!I47</f>
        <v>-42.387684835008343</v>
      </c>
      <c r="D54" s="227">
        <f>C54-B54</f>
        <v>0</v>
      </c>
      <c r="E54" s="228">
        <f>SUM(M52:M53)</f>
        <v>10.987849167155106</v>
      </c>
      <c r="F54" s="229">
        <f>'Summary month'!CL27-M52</f>
        <v>-9.9024255056578561</v>
      </c>
      <c r="G54" s="229">
        <f>'Summary month'!CL46-M53</f>
        <v>-1.0854236614972499</v>
      </c>
      <c r="H54" s="216"/>
      <c r="I54" s="286">
        <f>SUM(E54:G54)-D54</f>
        <v>0</v>
      </c>
      <c r="J54" s="216"/>
      <c r="K54" s="216"/>
      <c r="L54" s="216"/>
      <c r="M54" s="216"/>
      <c r="N54" s="216"/>
      <c r="O54" s="230"/>
      <c r="P54" s="216"/>
      <c r="Q54" s="216"/>
      <c r="R54" s="216"/>
      <c r="S54" s="216"/>
      <c r="T54" s="216"/>
      <c r="U54" s="216"/>
      <c r="V54" s="216"/>
      <c r="W54" s="230"/>
      <c r="X54" s="216"/>
      <c r="Y54" s="230"/>
      <c r="Z54" s="230"/>
      <c r="AA54" s="230"/>
      <c r="AB54" s="230"/>
      <c r="AC54" s="230" t="s">
        <v>269</v>
      </c>
      <c r="AD54" s="315">
        <v>-0.33</v>
      </c>
      <c r="AE54" s="230"/>
      <c r="AF54" s="230"/>
      <c r="AG54" s="230"/>
      <c r="AH54" s="230"/>
    </row>
    <row r="55" spans="2:36">
      <c r="B55" s="216"/>
      <c r="C55" s="216"/>
      <c r="D55" s="216" t="s">
        <v>139</v>
      </c>
      <c r="E55" s="315">
        <f>[15]CMOR_YTD_vsBP!$I$154+[15]CMOR_YTD_vsBP!$I$156+[15]CMOR_YTD_vsBP!$I$168</f>
        <v>10.539298243356102</v>
      </c>
      <c r="F55" s="216" t="s">
        <v>193</v>
      </c>
      <c r="G55" s="286">
        <f>[15]CMOR_YTD_vsBP!$I$169+[15]CMOR_YTD_vsBP!$I$157+[15]CMOR_YTD_vsBP!$I$159</f>
        <v>2.7269621043813363E-3</v>
      </c>
      <c r="H55" s="216"/>
      <c r="I55" s="216"/>
      <c r="J55" s="216"/>
      <c r="K55" s="216"/>
      <c r="L55" s="216"/>
      <c r="M55" s="216"/>
      <c r="N55" s="216"/>
      <c r="O55" s="216"/>
      <c r="P55" s="216"/>
      <c r="Q55" s="216"/>
      <c r="R55" s="216"/>
      <c r="S55" s="216"/>
      <c r="T55" s="216"/>
      <c r="U55" s="216"/>
      <c r="V55" s="216"/>
      <c r="W55" s="216" t="s">
        <v>145</v>
      </c>
      <c r="X55" s="479">
        <f>[15]TABLE_Q3!$AG$82-Y55</f>
        <v>-0.20038467699999996</v>
      </c>
      <c r="Y55" s="216">
        <f>[15]CMOR_YTD_vsBP!$I$161</f>
        <v>0.54484597899999998</v>
      </c>
      <c r="Z55" s="216"/>
      <c r="AA55" s="216"/>
      <c r="AB55" s="216"/>
      <c r="AC55" s="216" t="s">
        <v>141</v>
      </c>
      <c r="AD55" s="216">
        <v>0.16739862700000002</v>
      </c>
      <c r="AE55" s="362"/>
      <c r="AF55" s="216"/>
      <c r="AG55" s="216"/>
      <c r="AH55" s="216"/>
    </row>
    <row r="56" spans="2:36">
      <c r="B56" s="216"/>
      <c r="C56" s="216"/>
      <c r="D56" s="216" t="s">
        <v>200</v>
      </c>
      <c r="E56" s="315">
        <f>[15]CMOR_YTD_vsBP!$I$164+[15]CMOR_YTD_vsBP!$I$165</f>
        <v>-2.8340984802632363E-2</v>
      </c>
      <c r="F56" s="216"/>
      <c r="G56" s="216"/>
      <c r="H56" s="216"/>
      <c r="I56" s="216"/>
      <c r="J56" s="216"/>
      <c r="K56" s="216"/>
      <c r="L56" s="216"/>
      <c r="M56" s="216"/>
      <c r="N56" s="216"/>
      <c r="O56" s="216"/>
      <c r="P56" s="216"/>
      <c r="Q56" s="216"/>
      <c r="R56" s="216"/>
      <c r="S56" s="216"/>
      <c r="T56" s="216"/>
      <c r="W56" t="s">
        <v>193</v>
      </c>
      <c r="X56" s="129">
        <f>[15]TABLE_Q3!$AG$78-Y56</f>
        <v>0.27635939600000015</v>
      </c>
      <c r="Y56">
        <f>[15]CMOR_YTD_vsBP!$I$158</f>
        <v>0</v>
      </c>
      <c r="AC56" s="216" t="s">
        <v>144</v>
      </c>
      <c r="AD56" s="755">
        <f>AD61-SUM(AD53:AD55)</f>
        <v>-4.7972540000000286E-3</v>
      </c>
      <c r="AH56" s="216"/>
    </row>
    <row r="57" spans="2:36" ht="21" thickBot="1">
      <c r="B57" s="231" t="s">
        <v>157</v>
      </c>
      <c r="C57" s="232"/>
      <c r="D57" s="232" t="s">
        <v>145</v>
      </c>
      <c r="E57" s="316">
        <f>[15]CMOR_YTD_vsBP!$I$160+[15]CMOR_YTD_vsBP!$I$162+[15]CMOR_YTD_vsBP!$I$170</f>
        <v>-0.61125871499999462</v>
      </c>
      <c r="F57" s="232"/>
      <c r="G57" s="232"/>
      <c r="H57" s="232"/>
      <c r="I57" s="232"/>
      <c r="J57" s="232"/>
      <c r="K57" s="232"/>
      <c r="L57" s="232"/>
      <c r="M57" s="232"/>
      <c r="N57" s="232"/>
      <c r="O57" s="232"/>
      <c r="P57" s="232"/>
      <c r="Q57" s="232"/>
      <c r="R57" s="232"/>
      <c r="S57" s="232"/>
      <c r="T57" s="232"/>
      <c r="U57" s="232"/>
      <c r="V57" s="232"/>
      <c r="W57" s="232" t="s">
        <v>144</v>
      </c>
      <c r="X57" s="313">
        <f>X61-SUM(X55:X56)</f>
        <v>-0.62082069800000017</v>
      </c>
      <c r="Y57" s="232"/>
      <c r="Z57" s="232"/>
      <c r="AA57" s="232"/>
      <c r="AB57" s="232"/>
      <c r="AC57" s="232"/>
      <c r="AD57" s="232"/>
      <c r="AE57" s="232"/>
      <c r="AF57" s="232"/>
      <c r="AG57" s="232"/>
      <c r="AH57" s="217" t="s">
        <v>138</v>
      </c>
    </row>
    <row r="58" spans="2:36" ht="21" thickBot="1">
      <c r="B58" s="233"/>
      <c r="C58" s="234" t="s">
        <v>199</v>
      </c>
      <c r="D58" s="234"/>
      <c r="E58" s="234"/>
      <c r="F58" s="234"/>
      <c r="G58" s="234"/>
      <c r="H58" s="234"/>
      <c r="I58" s="234"/>
      <c r="J58" s="234"/>
      <c r="K58" s="234"/>
      <c r="L58" s="234"/>
      <c r="M58" s="234"/>
      <c r="N58" s="234"/>
      <c r="O58" s="234"/>
      <c r="P58" s="234"/>
      <c r="Q58" s="234"/>
      <c r="R58" s="234"/>
      <c r="S58" s="235"/>
      <c r="T58" s="236"/>
      <c r="U58" s="237" t="s">
        <v>160</v>
      </c>
      <c r="V58" s="237"/>
      <c r="W58" s="237"/>
      <c r="X58" s="237"/>
      <c r="Y58" s="237"/>
      <c r="Z58" s="237"/>
      <c r="AA58" s="237"/>
      <c r="AB58" s="237"/>
      <c r="AC58" s="237"/>
      <c r="AD58" s="237"/>
      <c r="AE58" s="237"/>
      <c r="AF58" s="237"/>
      <c r="AG58" s="237"/>
      <c r="AH58" s="238"/>
    </row>
    <row r="59" spans="2:36" ht="20.25">
      <c r="B59" s="1027" t="s">
        <v>274</v>
      </c>
      <c r="C59" s="239" t="s">
        <v>161</v>
      </c>
      <c r="D59" s="240"/>
      <c r="E59" s="240"/>
      <c r="F59" s="240"/>
      <c r="G59" s="241"/>
      <c r="H59" s="1017" t="s">
        <v>162</v>
      </c>
      <c r="I59" s="242" t="s">
        <v>163</v>
      </c>
      <c r="J59" s="243"/>
      <c r="K59" s="243"/>
      <c r="L59" s="243"/>
      <c r="M59" s="243"/>
      <c r="N59" s="244"/>
      <c r="O59" s="1029" t="s">
        <v>164</v>
      </c>
      <c r="P59" s="1029" t="s">
        <v>165</v>
      </c>
      <c r="Q59" s="1019" t="s">
        <v>166</v>
      </c>
      <c r="R59" s="1022" t="s">
        <v>167</v>
      </c>
      <c r="S59" s="1023" t="s">
        <v>168</v>
      </c>
      <c r="T59" s="1027" t="s">
        <v>274</v>
      </c>
      <c r="U59" s="245" t="s">
        <v>169</v>
      </c>
      <c r="V59" s="246"/>
      <c r="W59" s="246"/>
      <c r="X59" s="247"/>
      <c r="Y59" s="248" t="s">
        <v>163</v>
      </c>
      <c r="Z59" s="246"/>
      <c r="AA59" s="246"/>
      <c r="AB59" s="246"/>
      <c r="AC59" s="246"/>
      <c r="AD59" s="247"/>
      <c r="AE59" s="1022" t="s">
        <v>166</v>
      </c>
      <c r="AF59" s="1025" t="s">
        <v>167</v>
      </c>
      <c r="AG59" s="311"/>
      <c r="AH59" s="1012" t="s">
        <v>168</v>
      </c>
    </row>
    <row r="60" spans="2:36" ht="60.75">
      <c r="B60" s="1028"/>
      <c r="C60" s="249" t="s">
        <v>170</v>
      </c>
      <c r="D60" s="300" t="s">
        <v>171</v>
      </c>
      <c r="E60" s="250" t="s">
        <v>172</v>
      </c>
      <c r="F60" s="250" t="s">
        <v>173</v>
      </c>
      <c r="G60" s="251" t="s">
        <v>174</v>
      </c>
      <c r="H60" s="1018"/>
      <c r="I60" s="250" t="s">
        <v>175</v>
      </c>
      <c r="J60" s="250" t="s">
        <v>176</v>
      </c>
      <c r="K60" s="250" t="s">
        <v>201</v>
      </c>
      <c r="L60" s="250" t="s">
        <v>178</v>
      </c>
      <c r="M60" s="250" t="s">
        <v>168</v>
      </c>
      <c r="N60" s="250" t="s">
        <v>179</v>
      </c>
      <c r="O60" s="1030"/>
      <c r="P60" s="1031"/>
      <c r="Q60" s="1021"/>
      <c r="R60" s="1021"/>
      <c r="S60" s="1024"/>
      <c r="T60" s="1028"/>
      <c r="U60" s="307" t="s">
        <v>203</v>
      </c>
      <c r="V60" s="308" t="s">
        <v>180</v>
      </c>
      <c r="W60" s="309" t="s">
        <v>181</v>
      </c>
      <c r="X60" s="310" t="s">
        <v>33</v>
      </c>
      <c r="Y60" s="305" t="s">
        <v>25</v>
      </c>
      <c r="Z60" s="306" t="s">
        <v>183</v>
      </c>
      <c r="AA60" s="306" t="s">
        <v>204</v>
      </c>
      <c r="AB60" s="306" t="s">
        <v>205</v>
      </c>
      <c r="AC60" s="306" t="s">
        <v>184</v>
      </c>
      <c r="AD60" s="306" t="s">
        <v>30</v>
      </c>
      <c r="AE60" s="1021"/>
      <c r="AF60" s="1026"/>
      <c r="AG60" s="312" t="s">
        <v>37</v>
      </c>
      <c r="AH60" s="1013"/>
    </row>
    <row r="61" spans="2:36" ht="21" thickBot="1">
      <c r="B61" s="252">
        <f>M52</f>
        <v>9.9024255056578561</v>
      </c>
      <c r="C61" s="253">
        <f>[15]CMOR_YTD_vsBP!$J$22+[15]CMOR_YTD_vsBP!$K$22</f>
        <v>-11.155860530435026</v>
      </c>
      <c r="D61" s="302"/>
      <c r="E61" s="254">
        <f>[15]CMOR_YTD_vsBP!$N$22</f>
        <v>0.65316799963414596</v>
      </c>
      <c r="F61" s="254">
        <f>[15]CMOR_YTD_vsBP!$M$22+[15]CMOR_YTD_vsBP!$L$22</f>
        <v>-7.4222502615556092</v>
      </c>
      <c r="G61" s="254"/>
      <c r="H61" s="254"/>
      <c r="I61" s="254">
        <f>I63</f>
        <v>-1.3486075576010115E-2</v>
      </c>
      <c r="J61" s="255">
        <f>J63</f>
        <v>-2.1511567923941932E-2</v>
      </c>
      <c r="K61" s="255">
        <f>K63</f>
        <v>9.9529193011455686E-2</v>
      </c>
      <c r="L61" s="255">
        <f>L63</f>
        <v>-3.7845972899370972E-2</v>
      </c>
      <c r="M61" s="255">
        <f>M63+SUM(M71:M73)</f>
        <v>34.274448201226569</v>
      </c>
      <c r="N61" s="303"/>
      <c r="O61" s="302"/>
      <c r="P61" s="302"/>
      <c r="Q61" s="256"/>
      <c r="R61" s="254">
        <f>[15]CMOR_YTD_vsBP!$Q$22</f>
        <v>-8.6020647109999473</v>
      </c>
      <c r="S61" s="257">
        <f>F54-SUM(C61:R61)</f>
        <v>-17.67655178014012</v>
      </c>
      <c r="T61" s="253">
        <f>M53</f>
        <v>1.0854236614972499</v>
      </c>
      <c r="U61" s="253">
        <f>'Summary month'!CL36-U62</f>
        <v>-0.2</v>
      </c>
      <c r="V61" s="258">
        <f>'Summary month'!CL37-V62</f>
        <v>0</v>
      </c>
      <c r="W61" s="258"/>
      <c r="X61" s="258">
        <f>'Summary month'!CL38-X62</f>
        <v>-0.54484597899999998</v>
      </c>
      <c r="Y61" s="258">
        <f>'Summary month'!CL29-Y62</f>
        <v>0.69369391729352481</v>
      </c>
      <c r="Z61" s="258">
        <f>'Summary month'!CL30-Z62</f>
        <v>-0.6468998081328623</v>
      </c>
      <c r="AA61" s="258">
        <f>'Summary month'!CL31-AA62</f>
        <v>0</v>
      </c>
      <c r="AB61" s="301"/>
      <c r="AC61" s="258">
        <f>'Summary month'!CL32-AC62</f>
        <v>0</v>
      </c>
      <c r="AD61" s="258">
        <f>'Summary month'!CL34-AD62</f>
        <v>0</v>
      </c>
      <c r="AE61" s="256"/>
      <c r="AF61" s="259"/>
      <c r="AG61" s="254">
        <f>'Summary month'!CL42-AG62</f>
        <v>-0.38737179165791247</v>
      </c>
      <c r="AH61" s="260">
        <f>G54-SUM(U61:AG61)</f>
        <v>0</v>
      </c>
    </row>
    <row r="62" spans="2:36" ht="18">
      <c r="B62" s="216"/>
      <c r="C62" s="272"/>
      <c r="D62" s="216"/>
      <c r="E62" s="216"/>
      <c r="F62" s="216"/>
      <c r="G62" s="216"/>
      <c r="H62" s="216"/>
      <c r="I62" s="216"/>
      <c r="J62" s="216"/>
      <c r="K62" s="216"/>
      <c r="L62" s="216"/>
      <c r="M62" s="216"/>
      <c r="N62" s="216"/>
      <c r="O62" s="216"/>
      <c r="P62" s="216"/>
      <c r="Q62" s="216"/>
      <c r="R62" s="216"/>
      <c r="S62" s="216"/>
      <c r="T62" s="216"/>
      <c r="U62" s="216">
        <f>[15]CMOR_YTD_vsBP!$I$155</f>
        <v>0.2</v>
      </c>
      <c r="V62" s="216"/>
      <c r="W62" s="216"/>
      <c r="X62" s="216">
        <f>SUM(Y55:Y56)</f>
        <v>0.54484597899999998</v>
      </c>
      <c r="Y62" s="216">
        <f>[15]CMOR_YTD_vsBP!$I$163-Z62-Z62</f>
        <v>-0.69369391729352481</v>
      </c>
      <c r="Z62" s="216">
        <f>[15]VA_MZ_MTD!$X$10</f>
        <v>0.6468998081328623</v>
      </c>
      <c r="AA62" s="216"/>
      <c r="AB62" s="216"/>
      <c r="AC62" s="216">
        <f>[15]CMOR_YTD_vsBP!$I$167</f>
        <v>0</v>
      </c>
      <c r="AD62" s="216"/>
      <c r="AE62" s="216"/>
      <c r="AF62" s="216"/>
      <c r="AG62" s="334">
        <f>[15]CMOR_YTD_vsBP!$I$166-AJ66-AK66</f>
        <v>0.38737179165791247</v>
      </c>
      <c r="AH62" s="216"/>
    </row>
    <row r="63" spans="2:36" ht="20.25">
      <c r="B63" s="221"/>
      <c r="C63" s="272"/>
      <c r="D63" s="221"/>
      <c r="E63" s="221"/>
      <c r="F63" s="221"/>
      <c r="G63" s="221"/>
      <c r="H63" s="221"/>
      <c r="I63" s="221">
        <v>-1.3486075576010115E-2</v>
      </c>
      <c r="J63" s="221">
        <v>-2.1511567923941932E-2</v>
      </c>
      <c r="K63" s="221">
        <v>9.9529193011455686E-2</v>
      </c>
      <c r="L63" s="221">
        <v>-3.7845972899370972E-2</v>
      </c>
      <c r="M63" s="221">
        <v>28.80429430922657</v>
      </c>
      <c r="N63" s="221"/>
      <c r="O63" s="221"/>
      <c r="P63" s="221"/>
      <c r="Q63" s="221"/>
      <c r="R63" s="221"/>
      <c r="S63" s="221"/>
      <c r="T63" s="221"/>
      <c r="U63" s="221"/>
      <c r="V63" s="221"/>
      <c r="W63" s="221"/>
      <c r="X63" s="263" t="s">
        <v>185</v>
      </c>
      <c r="Y63" s="264"/>
      <c r="Z63" s="264"/>
      <c r="AA63" s="264"/>
      <c r="AB63" s="265">
        <f>AD61</f>
        <v>0</v>
      </c>
      <c r="AC63" s="221"/>
      <c r="AD63" s="263" t="s">
        <v>186</v>
      </c>
      <c r="AE63" s="264"/>
      <c r="AF63" s="264"/>
      <c r="AG63" s="264"/>
      <c r="AH63" s="265">
        <f>AH61</f>
        <v>0</v>
      </c>
    </row>
    <row r="64" spans="2:36" ht="18">
      <c r="B64" s="216"/>
      <c r="C64" s="272"/>
      <c r="D64" s="216"/>
      <c r="E64" s="216"/>
      <c r="F64" s="216"/>
      <c r="G64" s="216"/>
      <c r="H64" s="216"/>
      <c r="I64" s="216"/>
      <c r="J64" s="216"/>
      <c r="K64" s="216"/>
      <c r="L64" s="216"/>
      <c r="M64" s="216"/>
      <c r="N64" s="216"/>
      <c r="O64" s="216"/>
      <c r="P64" s="216"/>
      <c r="Q64" s="216"/>
      <c r="R64" s="216"/>
      <c r="S64" s="216"/>
      <c r="T64" s="216"/>
      <c r="U64" s="216"/>
      <c r="V64" s="216"/>
      <c r="W64" s="216"/>
      <c r="X64" s="268">
        <v>1</v>
      </c>
      <c r="Y64" s="269" t="s">
        <v>517</v>
      </c>
      <c r="Z64" s="270"/>
      <c r="AA64" s="270"/>
      <c r="AB64" s="271">
        <v>7.3796092189051983</v>
      </c>
      <c r="AC64" s="216"/>
      <c r="AD64" s="268">
        <v>1</v>
      </c>
      <c r="AE64" s="269" t="s">
        <v>39</v>
      </c>
      <c r="AF64" s="270"/>
      <c r="AG64" s="270"/>
      <c r="AH64" s="271">
        <f>'Summary month'!CL44-AJ64</f>
        <v>0</v>
      </c>
      <c r="AI64" t="s">
        <v>262</v>
      </c>
      <c r="AJ64" s="481">
        <f>'Summary month'!CL74</f>
        <v>0</v>
      </c>
    </row>
    <row r="65" spans="2:36" ht="20.25">
      <c r="B65" s="216"/>
      <c r="C65" s="272"/>
      <c r="D65" s="216"/>
      <c r="E65" s="216"/>
      <c r="F65" s="216"/>
      <c r="G65" s="216"/>
      <c r="H65" s="216"/>
      <c r="I65" s="273" t="s">
        <v>188</v>
      </c>
      <c r="J65" s="274"/>
      <c r="K65" s="274"/>
      <c r="L65" s="274"/>
      <c r="M65" s="275">
        <f>M61</f>
        <v>34.274448201226569</v>
      </c>
      <c r="N65" s="216"/>
      <c r="O65" s="216"/>
      <c r="P65" s="216"/>
      <c r="Q65" s="216"/>
      <c r="R65" s="216"/>
      <c r="S65" s="216"/>
      <c r="T65" s="216"/>
      <c r="U65" s="216"/>
      <c r="V65" s="216"/>
      <c r="W65" s="216"/>
      <c r="X65" s="268">
        <v>2</v>
      </c>
      <c r="Y65" s="276" t="s">
        <v>539</v>
      </c>
      <c r="Z65" s="277"/>
      <c r="AA65" s="277"/>
      <c r="AB65" s="278">
        <v>0.5089881971340201</v>
      </c>
      <c r="AC65" s="216"/>
      <c r="AD65" s="268">
        <v>2</v>
      </c>
      <c r="AE65" s="276"/>
      <c r="AF65" s="277"/>
      <c r="AG65" s="277"/>
      <c r="AH65" s="278"/>
      <c r="AI65" t="s">
        <v>144</v>
      </c>
      <c r="AJ65" s="318">
        <f>AH64</f>
        <v>0</v>
      </c>
    </row>
    <row r="66" spans="2:36" ht="18">
      <c r="B66" s="216"/>
      <c r="C66" s="272"/>
      <c r="D66" s="216"/>
      <c r="E66" s="216"/>
      <c r="F66" s="216"/>
      <c r="G66" s="216"/>
      <c r="H66" s="216"/>
      <c r="I66" s="279">
        <v>1</v>
      </c>
      <c r="J66" s="269" t="s">
        <v>361</v>
      </c>
      <c r="K66" s="270"/>
      <c r="L66" s="270"/>
      <c r="M66" s="280">
        <v>13.2</v>
      </c>
      <c r="N66" s="216"/>
      <c r="O66" s="216"/>
      <c r="P66" s="216"/>
      <c r="Q66" s="216"/>
      <c r="R66" s="216"/>
      <c r="S66" s="216"/>
      <c r="T66" s="216"/>
      <c r="U66" s="216"/>
      <c r="V66" s="216"/>
      <c r="W66" s="216"/>
      <c r="X66" s="268">
        <v>3</v>
      </c>
      <c r="Y66" s="276"/>
      <c r="Z66" s="277"/>
      <c r="AA66" s="277"/>
      <c r="AB66" s="278"/>
      <c r="AC66" s="216"/>
      <c r="AD66" s="268">
        <v>3</v>
      </c>
      <c r="AE66" s="276"/>
      <c r="AF66" s="277"/>
      <c r="AG66" s="277"/>
      <c r="AH66" s="278"/>
    </row>
    <row r="67" spans="2:36" ht="18">
      <c r="B67" s="216"/>
      <c r="C67" s="272"/>
      <c r="D67" s="216"/>
      <c r="E67" s="216"/>
      <c r="F67" s="216"/>
      <c r="G67" s="216"/>
      <c r="H67" s="216"/>
      <c r="I67" s="279">
        <v>2</v>
      </c>
      <c r="J67" s="276" t="s">
        <v>534</v>
      </c>
      <c r="K67" s="277"/>
      <c r="L67" s="277"/>
      <c r="M67" s="281">
        <v>3.5</v>
      </c>
      <c r="N67" s="216"/>
      <c r="O67" s="216"/>
      <c r="P67" s="216"/>
      <c r="Q67" s="216"/>
      <c r="R67" s="216"/>
      <c r="S67" s="216"/>
      <c r="T67" s="216"/>
      <c r="U67" s="216"/>
      <c r="V67" s="216"/>
      <c r="W67" s="216"/>
      <c r="X67" s="268">
        <v>4</v>
      </c>
      <c r="Y67" s="276"/>
      <c r="Z67" s="277"/>
      <c r="AA67" s="277"/>
      <c r="AB67" s="278"/>
      <c r="AC67" s="216"/>
      <c r="AD67" s="268">
        <v>4</v>
      </c>
      <c r="AE67" s="276"/>
      <c r="AF67" s="277"/>
      <c r="AG67" s="277"/>
      <c r="AH67" s="278"/>
    </row>
    <row r="68" spans="2:36" ht="18">
      <c r="B68" s="216"/>
      <c r="C68" s="272"/>
      <c r="D68" s="216"/>
      <c r="E68" s="216"/>
      <c r="F68" s="216"/>
      <c r="G68" s="216" t="s">
        <v>533</v>
      </c>
      <c r="H68" s="532">
        <f>5.850538521-AD54</f>
        <v>6.1805385209999999</v>
      </c>
      <c r="I68" s="279">
        <v>3</v>
      </c>
      <c r="J68" s="276" t="s">
        <v>535</v>
      </c>
      <c r="K68" s="277"/>
      <c r="L68" s="277"/>
      <c r="M68" s="281">
        <v>12.9</v>
      </c>
      <c r="N68" s="216"/>
      <c r="O68" s="216"/>
      <c r="P68" s="216"/>
      <c r="Q68" s="216"/>
      <c r="R68" s="216"/>
      <c r="S68" s="216"/>
      <c r="T68" s="216"/>
      <c r="U68" s="216"/>
      <c r="V68" s="216"/>
      <c r="W68" s="216"/>
      <c r="X68" s="282">
        <v>5</v>
      </c>
      <c r="Y68" s="283" t="s">
        <v>182</v>
      </c>
      <c r="Z68" s="284"/>
      <c r="AA68" s="284"/>
      <c r="AB68" s="285">
        <f>AB63-SUM(AB64:AB67)</f>
        <v>-7.888597416039218</v>
      </c>
      <c r="AC68" s="216"/>
      <c r="AD68" s="282">
        <v>5</v>
      </c>
      <c r="AE68" s="283" t="s">
        <v>182</v>
      </c>
      <c r="AF68" s="284"/>
      <c r="AG68" s="284"/>
      <c r="AH68" s="285">
        <f>AH63-SUM(AH64:AH67)</f>
        <v>0</v>
      </c>
    </row>
    <row r="69" spans="2:36" ht="18">
      <c r="B69" s="216"/>
      <c r="C69" s="216"/>
      <c r="D69" s="272"/>
      <c r="E69" s="272"/>
      <c r="F69" s="272"/>
      <c r="G69" s="272" t="s">
        <v>275</v>
      </c>
      <c r="H69" s="272">
        <v>0.21128628500000002</v>
      </c>
      <c r="I69" s="279">
        <v>4</v>
      </c>
      <c r="J69" s="276"/>
      <c r="K69" s="277"/>
      <c r="L69" s="277"/>
      <c r="M69" s="281"/>
      <c r="N69" s="216"/>
      <c r="O69" s="216"/>
      <c r="P69" s="272"/>
      <c r="Q69" s="272"/>
      <c r="R69" s="216"/>
      <c r="S69" s="216"/>
      <c r="T69" s="216"/>
      <c r="U69" s="216"/>
      <c r="V69" s="216"/>
      <c r="W69" s="216"/>
      <c r="X69" s="216"/>
      <c r="Y69" s="216"/>
      <c r="Z69" s="216"/>
      <c r="AA69" s="216"/>
      <c r="AB69" s="216"/>
      <c r="AC69" s="216"/>
      <c r="AD69" s="216"/>
      <c r="AE69" s="216"/>
      <c r="AF69" s="216"/>
      <c r="AG69" s="287"/>
      <c r="AH69" s="287"/>
    </row>
    <row r="70" spans="2:36" ht="18">
      <c r="B70" s="216"/>
      <c r="C70" s="272"/>
      <c r="D70" s="216"/>
      <c r="E70" s="216"/>
      <c r="F70" s="216"/>
      <c r="G70" s="216" t="s">
        <v>373</v>
      </c>
      <c r="H70" s="216">
        <v>-0.92167091400000034</v>
      </c>
      <c r="I70" s="288">
        <v>5</v>
      </c>
      <c r="J70" s="276" t="s">
        <v>182</v>
      </c>
      <c r="K70" s="277"/>
      <c r="L70" s="277"/>
      <c r="M70" s="281">
        <v>-0.8</v>
      </c>
      <c r="N70" s="216"/>
      <c r="O70" s="216"/>
      <c r="P70" s="216"/>
      <c r="Q70" s="216"/>
      <c r="R70" s="216"/>
      <c r="S70" s="216"/>
      <c r="T70" s="216"/>
      <c r="U70" s="216"/>
      <c r="V70" s="216"/>
      <c r="W70" s="216"/>
      <c r="X70" s="216"/>
      <c r="Y70" s="216"/>
      <c r="Z70" s="216"/>
      <c r="AA70" s="216"/>
      <c r="AB70" s="216"/>
      <c r="AC70" s="216"/>
      <c r="AD70" s="216"/>
      <c r="AE70" s="216"/>
      <c r="AF70" s="216"/>
      <c r="AG70" s="216"/>
      <c r="AH70" s="216"/>
    </row>
    <row r="71" spans="2:36" ht="18">
      <c r="B71" s="216"/>
      <c r="C71" s="272"/>
      <c r="D71" s="216"/>
      <c r="E71" s="216"/>
      <c r="F71" s="216"/>
      <c r="G71" s="216"/>
      <c r="H71" s="216"/>
      <c r="I71" s="279">
        <v>2</v>
      </c>
      <c r="J71" s="276" t="str">
        <f>G68</f>
        <v>X badges</v>
      </c>
      <c r="K71" s="277"/>
      <c r="L71" s="277"/>
      <c r="M71" s="281">
        <v>6.1805385209999999</v>
      </c>
      <c r="N71" s="216"/>
      <c r="O71" s="216"/>
      <c r="P71" s="216"/>
      <c r="Q71" s="216"/>
      <c r="R71" s="216"/>
      <c r="S71" s="216"/>
      <c r="T71" s="216"/>
      <c r="U71" s="216"/>
      <c r="V71" s="216"/>
      <c r="W71" s="216"/>
      <c r="X71" s="216"/>
      <c r="Y71" s="216"/>
      <c r="Z71" s="216"/>
      <c r="AA71" s="216"/>
      <c r="AB71" s="216"/>
      <c r="AC71" s="216"/>
      <c r="AD71" s="216"/>
      <c r="AE71" s="216"/>
      <c r="AF71" s="216"/>
      <c r="AG71" s="216"/>
      <c r="AH71" s="216"/>
    </row>
    <row r="72" spans="2:36" ht="18">
      <c r="B72" s="216"/>
      <c r="C72" s="272"/>
      <c r="D72" s="272"/>
      <c r="E72" s="216"/>
      <c r="F72" s="216"/>
      <c r="G72" s="216"/>
      <c r="H72" s="216"/>
      <c r="I72" s="279">
        <v>3</v>
      </c>
      <c r="J72" s="276" t="str">
        <f>G69</f>
        <v>Duty</v>
      </c>
      <c r="K72" s="277"/>
      <c r="L72" s="277"/>
      <c r="M72" s="281">
        <v>0.21128628500000002</v>
      </c>
      <c r="N72" s="216"/>
      <c r="O72" s="216"/>
      <c r="P72" s="216"/>
      <c r="Q72" s="216"/>
      <c r="R72" s="216"/>
      <c r="S72" s="216"/>
      <c r="T72" s="216"/>
      <c r="U72" s="216"/>
      <c r="V72" s="216"/>
      <c r="W72" s="216"/>
      <c r="X72" s="216"/>
      <c r="Y72" s="216"/>
      <c r="Z72" s="216"/>
      <c r="AA72" s="216"/>
      <c r="AB72" s="216"/>
      <c r="AC72" s="216"/>
      <c r="AD72" s="216"/>
      <c r="AE72" s="216"/>
      <c r="AF72" s="216"/>
      <c r="AG72" s="216"/>
      <c r="AH72" s="216"/>
    </row>
    <row r="73" spans="2:36" ht="18">
      <c r="B73" s="216"/>
      <c r="C73" s="216"/>
      <c r="D73" s="216"/>
      <c r="E73" s="216"/>
      <c r="F73" s="216"/>
      <c r="G73" s="216"/>
      <c r="H73" s="216"/>
      <c r="I73" s="279">
        <v>4</v>
      </c>
      <c r="J73" s="276" t="str">
        <f>G70</f>
        <v>Logistic</v>
      </c>
      <c r="K73" s="277"/>
      <c r="L73" s="277"/>
      <c r="M73" s="281">
        <v>-0.92167091400000034</v>
      </c>
      <c r="N73" s="216"/>
      <c r="O73" s="216"/>
      <c r="P73" s="216"/>
      <c r="Q73" s="216"/>
      <c r="R73" s="216"/>
      <c r="S73" s="216"/>
      <c r="T73" s="216"/>
      <c r="U73" s="216"/>
      <c r="V73" s="216"/>
      <c r="W73" s="216"/>
      <c r="X73" s="216"/>
      <c r="Y73" s="216"/>
      <c r="Z73" s="216"/>
      <c r="AA73" s="216"/>
      <c r="AB73" s="216"/>
      <c r="AC73" s="216"/>
      <c r="AD73" s="216"/>
      <c r="AE73" s="216"/>
      <c r="AF73" s="216"/>
      <c r="AG73" s="216"/>
      <c r="AH73" s="216"/>
    </row>
    <row r="74" spans="2:36" ht="20.25">
      <c r="B74" s="216"/>
      <c r="C74" s="216"/>
      <c r="D74" s="216"/>
      <c r="E74" s="216"/>
      <c r="F74" s="216"/>
      <c r="G74" s="216"/>
      <c r="H74" s="216"/>
      <c r="I74" s="288">
        <v>5</v>
      </c>
      <c r="J74" s="289" t="s">
        <v>182</v>
      </c>
      <c r="K74" s="284"/>
      <c r="L74" s="284"/>
      <c r="M74" s="290">
        <f>M65-SUM(M66:M73)</f>
        <v>4.2943092265730343E-3</v>
      </c>
      <c r="N74" s="216"/>
      <c r="O74" s="273" t="s">
        <v>191</v>
      </c>
      <c r="P74" s="274"/>
      <c r="Q74" s="274"/>
      <c r="R74" s="274"/>
      <c r="S74" s="294">
        <f>S61</f>
        <v>-17.67655178014012</v>
      </c>
      <c r="T74" s="216"/>
      <c r="U74" s="272"/>
      <c r="V74" s="272"/>
      <c r="W74" s="272"/>
      <c r="X74" s="216"/>
      <c r="Y74" s="216"/>
      <c r="Z74" s="216"/>
      <c r="AA74" s="216"/>
      <c r="AB74" s="216"/>
      <c r="AC74" s="216"/>
      <c r="AD74" s="216"/>
      <c r="AE74" s="216"/>
      <c r="AF74" s="216"/>
      <c r="AG74" s="216"/>
      <c r="AH74" s="216"/>
    </row>
    <row r="75" spans="2:36" ht="18">
      <c r="B75" s="216"/>
      <c r="C75" s="216"/>
      <c r="D75" s="216"/>
      <c r="E75" s="216"/>
      <c r="F75" s="216"/>
      <c r="G75" s="216"/>
      <c r="H75" s="216"/>
      <c r="I75" s="216"/>
      <c r="J75" s="216"/>
      <c r="K75" s="216"/>
      <c r="L75" s="216"/>
      <c r="M75" s="216"/>
      <c r="N75" s="216"/>
      <c r="O75" s="279">
        <v>1</v>
      </c>
      <c r="P75" s="269" t="s">
        <v>193</v>
      </c>
      <c r="Q75" s="270"/>
      <c r="R75" s="270"/>
      <c r="S75" s="280">
        <v>-0.65791463100000014</v>
      </c>
      <c r="T75" s="216"/>
      <c r="U75" s="216"/>
      <c r="V75" s="216"/>
      <c r="W75" s="216"/>
      <c r="X75" s="297"/>
      <c r="Y75" s="216"/>
      <c r="Z75" s="216"/>
      <c r="AA75" s="216"/>
      <c r="AB75" s="216"/>
      <c r="AC75" s="216"/>
      <c r="AD75" s="216"/>
      <c r="AE75" s="216"/>
      <c r="AF75" s="216"/>
      <c r="AG75" s="216"/>
      <c r="AH75" s="216"/>
    </row>
    <row r="76" spans="2:36" ht="18">
      <c r="B76" s="216"/>
      <c r="C76" s="216"/>
      <c r="D76" s="216"/>
      <c r="E76" s="216"/>
      <c r="F76" s="216"/>
      <c r="G76" s="216"/>
      <c r="H76" s="216"/>
      <c r="I76" s="216"/>
      <c r="J76" s="216"/>
      <c r="K76" s="216"/>
      <c r="L76" s="216"/>
      <c r="M76" s="216"/>
      <c r="N76" s="216"/>
      <c r="O76" s="279">
        <v>2</v>
      </c>
      <c r="P76" s="276" t="s">
        <v>143</v>
      </c>
      <c r="Q76" s="277"/>
      <c r="R76" s="277"/>
      <c r="S76" s="281">
        <f>'[14]New KPI vs BP'!$EA$449</f>
        <v>0.37942530689085041</v>
      </c>
      <c r="T76" s="216"/>
      <c r="U76" s="216"/>
      <c r="V76" s="216"/>
      <c r="W76" s="216"/>
      <c r="X76" s="216"/>
      <c r="Y76" s="216"/>
      <c r="Z76" s="216"/>
      <c r="AA76" s="216"/>
      <c r="AB76" s="216"/>
      <c r="AC76" s="216"/>
      <c r="AD76" s="216"/>
      <c r="AE76" s="216"/>
      <c r="AF76" s="216"/>
      <c r="AG76" s="216"/>
      <c r="AH76" s="216"/>
    </row>
    <row r="77" spans="2:36" ht="18">
      <c r="B77" s="216"/>
      <c r="C77" s="216"/>
      <c r="D77" s="216"/>
      <c r="E77" s="216"/>
      <c r="F77" s="216"/>
      <c r="G77" s="216"/>
      <c r="H77" s="216"/>
      <c r="I77" s="216"/>
      <c r="J77" s="216"/>
      <c r="K77" s="216"/>
      <c r="L77" s="216"/>
      <c r="M77" s="216"/>
      <c r="N77" s="216"/>
      <c r="O77" s="279">
        <v>3</v>
      </c>
      <c r="P77" s="276" t="str">
        <f>T77</f>
        <v>NISA</v>
      </c>
      <c r="Q77" s="277"/>
      <c r="R77" s="277"/>
      <c r="S77" s="281">
        <f>U77</f>
        <v>-11.463734176043703</v>
      </c>
      <c r="T77" s="216" t="s">
        <v>531</v>
      </c>
      <c r="U77" s="216">
        <v>-11.463734176043703</v>
      </c>
      <c r="V77" s="216"/>
      <c r="W77" s="216"/>
      <c r="X77" s="216"/>
      <c r="Y77" s="216"/>
      <c r="Z77" s="216"/>
      <c r="AA77" s="216"/>
      <c r="AB77" s="216"/>
      <c r="AC77" s="216"/>
      <c r="AD77" s="216"/>
      <c r="AE77" s="216"/>
      <c r="AF77" s="216"/>
      <c r="AG77" s="216"/>
      <c r="AH77" s="216"/>
    </row>
    <row r="78" spans="2:36" ht="18">
      <c r="B78" s="216"/>
      <c r="C78" s="216"/>
      <c r="D78" s="216"/>
      <c r="E78" s="216"/>
      <c r="F78" s="216"/>
      <c r="G78" s="216"/>
      <c r="H78" s="216"/>
      <c r="I78" s="216"/>
      <c r="J78" s="216"/>
      <c r="K78" s="216"/>
      <c r="L78" s="216"/>
      <c r="M78" s="216"/>
      <c r="N78" s="216"/>
      <c r="O78" s="279">
        <v>4</v>
      </c>
      <c r="P78" s="276" t="str">
        <f t="shared" ref="P78:P80" si="0">T78</f>
        <v>UP</v>
      </c>
      <c r="Q78" s="277"/>
      <c r="R78" s="277"/>
      <c r="S78" s="281">
        <v>-27.155951182162497</v>
      </c>
      <c r="T78" s="216" t="s">
        <v>246</v>
      </c>
      <c r="U78" s="216">
        <v>-27.272527172927699</v>
      </c>
      <c r="V78" s="216"/>
      <c r="W78" s="216"/>
      <c r="X78" s="216"/>
      <c r="Y78" s="216"/>
      <c r="Z78" s="216"/>
      <c r="AA78" s="216"/>
      <c r="AB78" s="216"/>
      <c r="AC78" s="216"/>
      <c r="AD78" s="216"/>
      <c r="AE78" s="216"/>
      <c r="AF78" s="216"/>
      <c r="AG78" s="216"/>
      <c r="AH78" s="216"/>
    </row>
    <row r="79" spans="2:36" ht="18">
      <c r="B79" s="216"/>
      <c r="C79" s="216"/>
      <c r="D79" s="216"/>
      <c r="E79" s="216"/>
      <c r="F79" s="216"/>
      <c r="G79" s="216"/>
      <c r="H79" s="216"/>
      <c r="I79" s="216"/>
      <c r="J79" s="216"/>
      <c r="K79" s="216"/>
      <c r="L79" s="216"/>
      <c r="M79" s="216"/>
      <c r="N79" s="216"/>
      <c r="O79" s="279">
        <v>5</v>
      </c>
      <c r="P79" s="276" t="str">
        <f t="shared" si="0"/>
        <v>CAFÉ</v>
      </c>
      <c r="Q79" s="277"/>
      <c r="R79" s="277"/>
      <c r="S79" s="281">
        <v>-1.0094652910000004</v>
      </c>
      <c r="T79" s="216" t="s">
        <v>247</v>
      </c>
      <c r="U79" s="216">
        <v>-12.670589961000005</v>
      </c>
      <c r="V79" s="216"/>
      <c r="W79" s="216"/>
      <c r="X79" s="216"/>
      <c r="Y79" s="216"/>
      <c r="Z79" s="216"/>
      <c r="AA79" s="216"/>
      <c r="AB79" s="216"/>
      <c r="AC79" s="216"/>
      <c r="AD79" s="216"/>
      <c r="AE79" s="216"/>
      <c r="AF79" s="216"/>
      <c r="AG79" s="216"/>
      <c r="AH79" s="216"/>
    </row>
    <row r="80" spans="2:36" ht="18">
      <c r="B80" s="216"/>
      <c r="C80" s="216"/>
      <c r="D80" s="216"/>
      <c r="E80" s="216"/>
      <c r="F80" s="216"/>
      <c r="G80" s="216"/>
      <c r="H80" s="216"/>
      <c r="I80" s="216"/>
      <c r="J80" s="216"/>
      <c r="K80" s="216"/>
      <c r="L80" s="216"/>
      <c r="M80" s="216"/>
      <c r="N80" s="216"/>
      <c r="O80" s="279">
        <v>6</v>
      </c>
      <c r="P80" s="276" t="str">
        <f t="shared" si="0"/>
        <v>Contigency</v>
      </c>
      <c r="Q80" s="277"/>
      <c r="R80" s="277"/>
      <c r="S80" s="281">
        <f t="shared" ref="S80" si="1">U80</f>
        <v>6.3148</v>
      </c>
      <c r="T80" s="216" t="s">
        <v>532</v>
      </c>
      <c r="U80" s="216">
        <v>6.3148</v>
      </c>
      <c r="V80" s="216"/>
      <c r="W80" s="216"/>
      <c r="X80" s="216"/>
      <c r="Y80" s="216"/>
      <c r="Z80" s="216"/>
      <c r="AA80" s="216"/>
      <c r="AB80" s="216"/>
      <c r="AC80" s="216"/>
      <c r="AD80" s="216"/>
      <c r="AE80" s="216"/>
      <c r="AF80" s="216"/>
      <c r="AG80" s="216"/>
      <c r="AH80" s="216"/>
    </row>
    <row r="81" spans="2:34" ht="18">
      <c r="B81" s="216"/>
      <c r="C81" s="216"/>
      <c r="D81" s="216"/>
      <c r="E81" s="216"/>
      <c r="F81" s="216"/>
      <c r="G81" s="216"/>
      <c r="H81" s="216"/>
      <c r="I81" s="216"/>
      <c r="J81" s="216"/>
      <c r="K81" s="216"/>
      <c r="L81" s="216"/>
      <c r="M81" s="216"/>
      <c r="N81" s="216"/>
      <c r="O81" s="279">
        <v>7</v>
      </c>
      <c r="P81" s="276" t="s">
        <v>524</v>
      </c>
      <c r="Q81" s="277"/>
      <c r="R81" s="277"/>
      <c r="S81" s="281">
        <v>-3.4649250191233278</v>
      </c>
      <c r="T81" s="216" t="s">
        <v>403</v>
      </c>
      <c r="U81" s="216">
        <v>-1.4412392834776455</v>
      </c>
      <c r="V81" s="216"/>
      <c r="W81" s="216"/>
      <c r="X81" s="216"/>
      <c r="Y81" s="216"/>
      <c r="Z81" s="216"/>
      <c r="AA81" s="216"/>
      <c r="AB81" s="216"/>
      <c r="AC81" s="216"/>
      <c r="AD81" s="216"/>
      <c r="AE81" s="216"/>
      <c r="AF81" s="216"/>
      <c r="AG81" s="216"/>
      <c r="AH81" s="216"/>
    </row>
    <row r="82" spans="2:34" ht="18">
      <c r="B82" s="216"/>
      <c r="C82" s="216"/>
      <c r="D82" s="216"/>
      <c r="E82" s="216"/>
      <c r="F82" s="216"/>
      <c r="G82" s="216"/>
      <c r="H82" s="216"/>
      <c r="I82" s="216"/>
      <c r="J82" s="216"/>
      <c r="K82" s="216"/>
      <c r="L82" s="216"/>
      <c r="M82" s="216"/>
      <c r="N82" s="216"/>
      <c r="O82" s="279">
        <v>8</v>
      </c>
      <c r="P82" s="276"/>
      <c r="Q82" s="277"/>
      <c r="R82" s="277"/>
      <c r="S82" s="278"/>
      <c r="T82" s="216"/>
      <c r="U82" s="216"/>
      <c r="V82" s="216"/>
      <c r="W82" s="216"/>
      <c r="X82" s="216"/>
      <c r="Y82" s="216"/>
      <c r="Z82" s="216"/>
      <c r="AA82" s="216"/>
      <c r="AB82" s="216"/>
      <c r="AC82" s="216"/>
      <c r="AD82" s="216"/>
      <c r="AE82" s="216"/>
      <c r="AF82" s="216"/>
      <c r="AG82" s="216"/>
      <c r="AH82" s="216"/>
    </row>
    <row r="83" spans="2:34" ht="18">
      <c r="B83" s="216"/>
      <c r="C83" s="216"/>
      <c r="D83" s="216"/>
      <c r="E83" s="216"/>
      <c r="F83" s="216"/>
      <c r="G83" s="216"/>
      <c r="H83" s="216"/>
      <c r="I83" s="216"/>
      <c r="J83" s="216"/>
      <c r="K83" s="216"/>
      <c r="L83" s="216"/>
      <c r="M83" s="216"/>
      <c r="N83" s="216"/>
      <c r="O83" s="279">
        <v>9</v>
      </c>
      <c r="P83" s="276"/>
      <c r="Q83" s="277"/>
      <c r="R83" s="277"/>
      <c r="S83" s="278"/>
      <c r="T83" s="216"/>
      <c r="U83" s="216"/>
      <c r="V83" s="216"/>
      <c r="W83" s="216"/>
      <c r="X83" s="216"/>
      <c r="Y83" s="216"/>
      <c r="Z83" s="216"/>
      <c r="AA83" s="216"/>
      <c r="AB83" s="216"/>
      <c r="AC83" s="216"/>
      <c r="AD83" s="216"/>
      <c r="AE83" s="216"/>
      <c r="AF83" s="216"/>
      <c r="AG83" s="216"/>
      <c r="AH83" s="216"/>
    </row>
    <row r="84" spans="2:34" ht="18">
      <c r="B84" s="216"/>
      <c r="C84" s="216"/>
      <c r="D84" s="216"/>
      <c r="E84" s="216"/>
      <c r="F84" s="216"/>
      <c r="G84" s="216"/>
      <c r="H84" s="216"/>
      <c r="I84" s="216"/>
      <c r="J84" s="216"/>
      <c r="K84" s="216"/>
      <c r="L84" s="216"/>
      <c r="M84" s="216"/>
      <c r="N84" s="216"/>
      <c r="O84" s="288">
        <v>10</v>
      </c>
      <c r="P84" s="283" t="s">
        <v>182</v>
      </c>
      <c r="Q84" s="284"/>
      <c r="R84" s="284"/>
      <c r="S84" s="285">
        <f>S74-SUM(S75:S83)</f>
        <v>19.381213212298558</v>
      </c>
      <c r="T84" s="216"/>
      <c r="U84" s="216"/>
      <c r="V84" s="216"/>
      <c r="W84" s="216"/>
      <c r="X84" s="216"/>
      <c r="Y84" s="216"/>
      <c r="Z84" s="216"/>
      <c r="AA84" s="216"/>
      <c r="AB84" s="216"/>
      <c r="AC84" s="216"/>
      <c r="AD84" s="216"/>
      <c r="AE84" s="216"/>
      <c r="AF84" s="216"/>
      <c r="AG84" s="216"/>
      <c r="AH84" s="216"/>
    </row>
  </sheetData>
  <mergeCells count="26">
    <mergeCell ref="T59:T60"/>
    <mergeCell ref="AE59:AE60"/>
    <mergeCell ref="AF59:AF60"/>
    <mergeCell ref="AH59:AH60"/>
    <mergeCell ref="AH17:AH18"/>
    <mergeCell ref="T17:T18"/>
    <mergeCell ref="AE17:AE18"/>
    <mergeCell ref="AF17:AF18"/>
    <mergeCell ref="B52:B53"/>
    <mergeCell ref="C52:C53"/>
    <mergeCell ref="B59:B60"/>
    <mergeCell ref="H59:H60"/>
    <mergeCell ref="O59:O60"/>
    <mergeCell ref="P59:P60"/>
    <mergeCell ref="Q59:Q60"/>
    <mergeCell ref="R59:R60"/>
    <mergeCell ref="S59:S60"/>
    <mergeCell ref="Q17:Q18"/>
    <mergeCell ref="R17:R18"/>
    <mergeCell ref="S17:S18"/>
    <mergeCell ref="P17:P18"/>
    <mergeCell ref="B10:B11"/>
    <mergeCell ref="C10:C11"/>
    <mergeCell ref="B17:B18"/>
    <mergeCell ref="H17:H18"/>
    <mergeCell ref="O17:O18"/>
  </mergeCells>
  <pageMargins left="0.7" right="0.7" top="0.75" bottom="0.75" header="0.3" footer="0.3"/>
  <pageSetup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DA61B-36B9-425A-91AB-852433A91C91}">
  <sheetPr>
    <tabColor rgb="FFC9A6E4"/>
  </sheetPr>
  <dimension ref="B1:AT455"/>
  <sheetViews>
    <sheetView showGridLines="0" topLeftCell="B53" zoomScale="55" zoomScaleNormal="55" workbookViewId="0">
      <selection activeCell="S67" sqref="S67"/>
    </sheetView>
  </sheetViews>
  <sheetFormatPr defaultRowHeight="15"/>
  <cols>
    <col min="2" max="2" width="27.140625" customWidth="1"/>
    <col min="3" max="3" width="17.42578125" customWidth="1"/>
    <col min="4" max="4" width="13.42578125" customWidth="1"/>
    <col min="5" max="5" width="13.5703125" bestFit="1" customWidth="1"/>
    <col min="6" max="6" width="14.5703125" bestFit="1" customWidth="1"/>
    <col min="7" max="7" width="13.5703125" bestFit="1" customWidth="1"/>
    <col min="8" max="8" width="10" bestFit="1" customWidth="1"/>
    <col min="9" max="9" width="9.42578125" bestFit="1" customWidth="1"/>
    <col min="10" max="10" width="10.42578125" bestFit="1" customWidth="1"/>
    <col min="11" max="11" width="13.5703125" bestFit="1" customWidth="1"/>
    <col min="12" max="12" width="10.42578125" bestFit="1" customWidth="1"/>
    <col min="13" max="13" width="12" bestFit="1" customWidth="1"/>
    <col min="17" max="17" width="10.5703125" customWidth="1"/>
    <col min="18" max="18" width="12" bestFit="1" customWidth="1"/>
    <col min="19" max="19" width="20.42578125" bestFit="1" customWidth="1"/>
    <col min="20" max="20" width="18.42578125" bestFit="1" customWidth="1"/>
    <col min="21" max="21" width="10.42578125" bestFit="1" customWidth="1"/>
    <col min="22" max="22" width="11.140625" customWidth="1"/>
    <col min="23" max="23" width="14.85546875" customWidth="1"/>
    <col min="24" max="24" width="10.5703125" customWidth="1"/>
    <col min="25" max="25" width="9.42578125" customWidth="1"/>
    <col min="26" max="26" width="10.42578125" bestFit="1" customWidth="1"/>
    <col min="29" max="29" width="11" bestFit="1" customWidth="1"/>
    <col min="30" max="30" width="9.42578125" bestFit="1" customWidth="1"/>
    <col min="33" max="33" width="13.42578125" bestFit="1" customWidth="1"/>
    <col min="35" max="35" width="13" bestFit="1" customWidth="1"/>
    <col min="37" max="37" width="9.5703125" bestFit="1" customWidth="1"/>
  </cols>
  <sheetData>
    <row r="1" spans="2:34" ht="28.5">
      <c r="B1" s="304" t="str">
        <f>'Summary month'!E2</f>
        <v>Apr</v>
      </c>
      <c r="C1" t="str">
        <f>VLOOKUP(B1,mapping!$A$2:$C$13,3,0)</f>
        <v>M01</v>
      </c>
      <c r="D1" t="s">
        <v>69</v>
      </c>
    </row>
    <row r="2" spans="2:34">
      <c r="O2" s="129" t="s">
        <v>522</v>
      </c>
      <c r="P2" s="129">
        <f>'[14]New KPI vs BP'!$BY$1</f>
        <v>0</v>
      </c>
      <c r="Q2" s="699" t="s">
        <v>502</v>
      </c>
      <c r="R2" s="699">
        <f>'[15]CMOR_MTD_vs M-1'!$I$155</f>
        <v>0</v>
      </c>
    </row>
    <row r="3" spans="2:34" ht="28.5">
      <c r="B3" s="299" t="s">
        <v>202</v>
      </c>
      <c r="I3" s="216"/>
      <c r="J3" s="334"/>
      <c r="K3" s="216">
        <f>'[14]New KPI vs BP'!$BV$31</f>
        <v>0</v>
      </c>
      <c r="L3" s="216"/>
      <c r="M3" s="216"/>
      <c r="N3" s="334"/>
      <c r="O3" s="216"/>
      <c r="P3" s="216"/>
      <c r="Q3" s="216"/>
    </row>
    <row r="4" spans="2:34" ht="28.5">
      <c r="B4" s="299"/>
      <c r="I4" s="216"/>
      <c r="J4" s="334"/>
      <c r="K4" s="216"/>
      <c r="L4" s="216"/>
      <c r="M4" s="216"/>
      <c r="N4" s="334"/>
      <c r="O4" s="216"/>
      <c r="P4" s="216"/>
      <c r="Q4" s="216"/>
    </row>
    <row r="5" spans="2:34" ht="20.25">
      <c r="B5" s="216"/>
      <c r="C5" s="226" t="s">
        <v>370</v>
      </c>
      <c r="D5" s="226" t="str">
        <f>C10</f>
        <v>Act MTD</v>
      </c>
      <c r="E5" s="226" t="s">
        <v>320</v>
      </c>
      <c r="F5" s="226" t="s">
        <v>321</v>
      </c>
      <c r="G5" s="226" t="s">
        <v>322</v>
      </c>
      <c r="H5" s="797" t="s">
        <v>323</v>
      </c>
      <c r="I5" s="216"/>
    </row>
    <row r="6" spans="2:34" ht="20.25">
      <c r="B6" s="226" t="s">
        <v>327</v>
      </c>
      <c r="C6" s="809">
        <f>INDEX('Summary month'!$AU$82,1,MATCH($D$1,'Summary month'!$AU$6,0))</f>
        <v>83.804546847421591</v>
      </c>
      <c r="D6" s="884">
        <f>INDEX('Summary month'!$F$82:$H$82,1,MATCH($C$1,'Summary month'!$O$6:$Q$6,0))</f>
        <v>63.237619418000122</v>
      </c>
      <c r="E6" s="806">
        <f>+D6-C6</f>
        <v>-20.566927429421469</v>
      </c>
      <c r="F6" s="806" t="e">
        <f>B19</f>
        <v>#VALUE!</v>
      </c>
      <c r="G6" s="806" t="e">
        <f>SUM(C19:S19)</f>
        <v>#VALUE!</v>
      </c>
      <c r="H6" s="803" t="e">
        <f>E6-F6-G6</f>
        <v>#VALUE!</v>
      </c>
      <c r="I6" s="216"/>
      <c r="J6" s="334"/>
      <c r="K6" s="216"/>
      <c r="L6" s="216"/>
      <c r="M6" s="216"/>
      <c r="N6" s="334"/>
      <c r="O6" s="216"/>
      <c r="P6" s="216"/>
      <c r="Q6" s="216"/>
    </row>
    <row r="7" spans="2:34" ht="20.25">
      <c r="B7" s="226" t="s">
        <v>325</v>
      </c>
      <c r="C7" s="809">
        <f>INDEX('Summary month'!$AU$83,1,MATCH($D$1,'Summary month'!$AU$6,0))</f>
        <v>-111.51378384742002</v>
      </c>
      <c r="D7" s="884">
        <f>INDEX('Summary month'!$F$83:$H$83,1,MATCH($C$1,'Summary month'!$O$6:$Q$6,0))</f>
        <v>-134.40743371799999</v>
      </c>
      <c r="E7" s="806">
        <f>+D7-C7</f>
        <v>-22.893649870579978</v>
      </c>
      <c r="F7" s="806" t="e">
        <f>T19</f>
        <v>#VALUE!</v>
      </c>
      <c r="G7" s="806" t="e">
        <f>SUM(U19:AH19)</f>
        <v>#VALUE!</v>
      </c>
      <c r="H7" s="803" t="e">
        <f>E7-F7-G7</f>
        <v>#VALUE!</v>
      </c>
      <c r="I7" s="216"/>
      <c r="J7" s="334"/>
      <c r="K7" s="216"/>
      <c r="L7" s="216"/>
      <c r="M7" s="216"/>
      <c r="N7" s="334"/>
      <c r="O7" s="216"/>
      <c r="P7" s="216"/>
      <c r="Q7" s="216"/>
    </row>
    <row r="8" spans="2:34" ht="20.25">
      <c r="B8" s="226" t="s">
        <v>326</v>
      </c>
      <c r="C8" s="806">
        <f>+C6+C7</f>
        <v>-27.709236999998424</v>
      </c>
      <c r="D8" s="885">
        <f>+D6+D7</f>
        <v>-71.169814299999871</v>
      </c>
      <c r="E8" s="806">
        <f>+D8-C8</f>
        <v>-43.460577300001447</v>
      </c>
      <c r="F8" s="806" t="e">
        <f>+E8-G8</f>
        <v>#VALUE!</v>
      </c>
      <c r="G8" s="806" t="e">
        <f>+G6+G7</f>
        <v>#VALUE!</v>
      </c>
      <c r="H8" s="803" t="e">
        <f>E8-F8-G8</f>
        <v>#VALUE!</v>
      </c>
      <c r="I8" s="216"/>
      <c r="J8" s="334" t="s">
        <v>303</v>
      </c>
      <c r="K8" s="216" t="s">
        <v>143</v>
      </c>
      <c r="L8" s="216" t="s">
        <v>304</v>
      </c>
      <c r="M8" s="216"/>
      <c r="N8" s="334" t="s">
        <v>303</v>
      </c>
      <c r="O8" s="216" t="s">
        <v>143</v>
      </c>
      <c r="P8" s="216" t="s">
        <v>305</v>
      </c>
      <c r="Q8" s="216" t="s">
        <v>306</v>
      </c>
    </row>
    <row r="9" spans="2:34" ht="18">
      <c r="B9" s="215"/>
      <c r="C9" s="216"/>
      <c r="D9" s="318">
        <f>D12-D54</f>
        <v>29.617299298662353</v>
      </c>
      <c r="E9" s="318" t="e">
        <f>E12-E54</f>
        <v>#VALUE!</v>
      </c>
      <c r="F9" s="318" t="e">
        <f>F12-F54</f>
        <v>#VALUE!</v>
      </c>
      <c r="G9" s="318" t="e">
        <f>G12-G54</f>
        <v>#N/A</v>
      </c>
      <c r="H9" s="216"/>
      <c r="I9" s="720" t="s">
        <v>307</v>
      </c>
      <c r="J9" s="868">
        <f>'[14]New KPI vs BP'!$DB$34-K9-L9</f>
        <v>0</v>
      </c>
      <c r="K9" s="868">
        <f>'[14]New KPI vs BP'!$DB$15</f>
        <v>0</v>
      </c>
      <c r="L9" s="868">
        <f>'[14]New KPI vs BP'!$DB$507+'[14]New KPI vs BP'!$DB$523</f>
        <v>0</v>
      </c>
      <c r="M9" s="286"/>
      <c r="N9" s="868" t="e">
        <f>'[14]New KPI vs BP'!$DB$34-O9-P9</f>
        <v>#VALUE!</v>
      </c>
      <c r="O9" s="868">
        <f>K9</f>
        <v>0</v>
      </c>
      <c r="P9" s="887" t="e">
        <f>L10-AJ66+AA20</f>
        <v>#VALUE!</v>
      </c>
      <c r="Q9" s="868" t="e">
        <f>L9-(P9)</f>
        <v>#VALUE!</v>
      </c>
      <c r="R9" s="286"/>
      <c r="S9" s="216"/>
      <c r="T9" s="216"/>
      <c r="U9" s="216"/>
      <c r="V9" s="216"/>
      <c r="W9" s="216"/>
      <c r="X9" s="216"/>
      <c r="Y9" s="216"/>
      <c r="Z9" s="216"/>
      <c r="AA9" s="216"/>
      <c r="AB9" s="216"/>
      <c r="AC9" s="216"/>
      <c r="AD9" s="216"/>
      <c r="AE9" s="216"/>
      <c r="AF9" s="216"/>
      <c r="AG9" s="216"/>
      <c r="AH9" s="216"/>
    </row>
    <row r="10" spans="2:34" ht="20.100000000000001" customHeight="1">
      <c r="B10" s="1014" t="s">
        <v>370</v>
      </c>
      <c r="C10" s="1014" t="s">
        <v>207</v>
      </c>
      <c r="D10" s="218"/>
      <c r="E10" s="219"/>
      <c r="F10" s="219"/>
      <c r="G10" s="220"/>
      <c r="H10" s="216"/>
      <c r="I10" s="720" t="s">
        <v>62</v>
      </c>
      <c r="J10" s="709">
        <f>M52</f>
        <v>6.5794722381017745E-2</v>
      </c>
      <c r="K10" s="886">
        <v>0</v>
      </c>
      <c r="L10" s="868" t="e">
        <f>M53</f>
        <v>#VALUE!</v>
      </c>
      <c r="M10" s="286"/>
      <c r="N10" s="286"/>
      <c r="O10" s="286"/>
      <c r="P10" s="286"/>
      <c r="Q10" s="286"/>
      <c r="R10" s="286"/>
      <c r="S10" s="216"/>
      <c r="T10" s="216"/>
      <c r="U10" s="216"/>
      <c r="V10" s="216"/>
      <c r="W10" s="221"/>
      <c r="X10" s="221"/>
      <c r="Y10" s="221"/>
      <c r="Z10" s="221"/>
      <c r="AA10" s="221"/>
      <c r="AB10" s="221"/>
      <c r="AC10" s="221"/>
      <c r="AD10" s="221"/>
      <c r="AE10" s="221"/>
      <c r="AF10" s="221"/>
      <c r="AG10" s="221"/>
      <c r="AH10" s="221"/>
    </row>
    <row r="11" spans="2:34" ht="40.5">
      <c r="B11" s="1015"/>
      <c r="C11" s="1016"/>
      <c r="D11" s="222"/>
      <c r="E11" s="223" t="s">
        <v>154</v>
      </c>
      <c r="F11" s="224" t="s">
        <v>155</v>
      </c>
      <c r="G11" s="225" t="s">
        <v>156</v>
      </c>
      <c r="H11" s="216"/>
      <c r="I11" s="720" t="s">
        <v>208</v>
      </c>
      <c r="J11" s="216"/>
      <c r="K11" s="216"/>
      <c r="L11" s="216"/>
      <c r="M11" s="216"/>
      <c r="N11" s="216"/>
      <c r="O11" s="216"/>
      <c r="P11" s="216"/>
      <c r="Q11" s="216"/>
      <c r="R11" s="216"/>
      <c r="AH11" s="216"/>
    </row>
    <row r="12" spans="2:34" ht="20.25">
      <c r="B12" s="806">
        <f>'Summary month'!AU55</f>
        <v>-27.709236999998488</v>
      </c>
      <c r="C12" s="806">
        <f>INDEX('Summary month'!$F$55:$H$55,1,MATCH($C$1,'Summary month'!$X$6:$Z$6,0))</f>
        <v>-71.169814299999885</v>
      </c>
      <c r="D12" s="807">
        <f>C12-B12</f>
        <v>-43.460577300001397</v>
      </c>
      <c r="E12" s="808">
        <f>'[14]New KPI vs BP'!$DB$34</f>
        <v>0</v>
      </c>
      <c r="F12" s="808" t="e">
        <f>'Summary month'!AV82-E13</f>
        <v>#VALUE!</v>
      </c>
      <c r="G12" s="809" t="e">
        <f>INDEX('Summary month'!$AV$83,1,MATCH($C$1,'Summary month'!$AV$6,0))-E14</f>
        <v>#N/A</v>
      </c>
      <c r="H12" s="216"/>
      <c r="I12" s="709" t="e">
        <f>SUM(E12:G12)-D12</f>
        <v>#VALUE!</v>
      </c>
      <c r="J12" s="216"/>
      <c r="K12" s="216"/>
      <c r="L12" s="216"/>
      <c r="M12" s="216"/>
      <c r="N12" s="216"/>
      <c r="O12" s="230"/>
      <c r="P12" s="216"/>
      <c r="Q12" s="216"/>
      <c r="R12" s="216"/>
      <c r="AH12" s="230"/>
    </row>
    <row r="13" spans="2:34">
      <c r="B13" s="216"/>
      <c r="C13" s="216"/>
      <c r="D13" s="216"/>
      <c r="E13" s="315" t="e">
        <f>SUM(N9:O9)</f>
        <v>#VALUE!</v>
      </c>
      <c r="F13" s="216" t="s">
        <v>308</v>
      </c>
      <c r="G13" s="216"/>
      <c r="H13" s="216"/>
      <c r="I13" s="216"/>
      <c r="J13" s="216"/>
      <c r="K13" s="216"/>
      <c r="L13" s="216"/>
      <c r="M13" s="216"/>
      <c r="N13" s="720" t="s">
        <v>53</v>
      </c>
      <c r="O13" s="888" t="e">
        <f>-'Summary month'!AV66</f>
        <v>#VALUE!</v>
      </c>
      <c r="Q13" s="216"/>
      <c r="R13" s="216"/>
      <c r="AH13" s="216"/>
    </row>
    <row r="14" spans="2:34">
      <c r="B14" s="216"/>
      <c r="C14" s="216" t="s">
        <v>51</v>
      </c>
      <c r="D14" s="216" t="s">
        <v>50</v>
      </c>
      <c r="E14" s="315" t="e">
        <f>P9</f>
        <v>#VALUE!</v>
      </c>
      <c r="F14" s="216" t="s">
        <v>309</v>
      </c>
      <c r="G14" s="216"/>
      <c r="H14" s="216"/>
      <c r="I14" s="216"/>
      <c r="J14" s="216"/>
      <c r="K14" s="216"/>
      <c r="L14" s="216"/>
      <c r="M14" s="216"/>
      <c r="N14" s="720" t="s">
        <v>54</v>
      </c>
      <c r="O14" s="723" t="e">
        <f>-'Summary month'!AV67</f>
        <v>#VALUE!</v>
      </c>
      <c r="Q14" s="216"/>
      <c r="R14" s="216"/>
      <c r="AH14" s="216"/>
    </row>
    <row r="15" spans="2:34" ht="21" thickBot="1">
      <c r="B15" s="231" t="s">
        <v>157</v>
      </c>
      <c r="C15" s="232" t="s">
        <v>56</v>
      </c>
      <c r="D15" s="232" t="s">
        <v>57</v>
      </c>
      <c r="E15" s="232"/>
      <c r="F15" s="232"/>
      <c r="G15" s="232"/>
      <c r="H15" s="232"/>
      <c r="I15" s="232"/>
      <c r="J15" s="232"/>
      <c r="K15" s="232"/>
      <c r="L15" s="232"/>
      <c r="M15" s="232"/>
      <c r="N15" s="725" t="s">
        <v>55</v>
      </c>
      <c r="O15" s="836" t="e">
        <f>-'Summary month'!AV68</f>
        <v>#VALUE!</v>
      </c>
      <c r="Q15" s="232"/>
      <c r="R15" s="232" t="s">
        <v>60</v>
      </c>
      <c r="AA15" t="s">
        <v>52</v>
      </c>
      <c r="AB15" t="s">
        <v>59</v>
      </c>
      <c r="AH15" s="217" t="s">
        <v>138</v>
      </c>
    </row>
    <row r="16" spans="2:34" ht="21" thickBot="1">
      <c r="B16" s="233"/>
      <c r="C16" s="234" t="s">
        <v>159</v>
      </c>
      <c r="D16" s="234"/>
      <c r="E16" s="234"/>
      <c r="F16" s="234"/>
      <c r="G16" s="234"/>
      <c r="H16" s="234"/>
      <c r="I16" s="234"/>
      <c r="J16" s="234"/>
      <c r="K16" s="234"/>
      <c r="L16" s="234"/>
      <c r="M16" s="234"/>
      <c r="N16" s="234"/>
      <c r="O16" s="234"/>
      <c r="P16" s="234"/>
      <c r="Q16" s="234"/>
      <c r="R16" s="234"/>
      <c r="S16" s="235"/>
      <c r="T16" s="236"/>
      <c r="U16" s="237" t="s">
        <v>160</v>
      </c>
      <c r="V16" s="237"/>
      <c r="W16" s="237"/>
      <c r="X16" s="237"/>
      <c r="Y16" s="237"/>
      <c r="Z16" s="237"/>
      <c r="AA16" s="237"/>
      <c r="AB16" s="237"/>
      <c r="AC16" s="237"/>
      <c r="AD16" s="237"/>
      <c r="AE16" s="237"/>
      <c r="AF16" s="237"/>
      <c r="AG16" s="237"/>
      <c r="AH16" s="238"/>
    </row>
    <row r="17" spans="2:34" ht="20.100000000000001" customHeight="1">
      <c r="B17" s="1027" t="s">
        <v>274</v>
      </c>
      <c r="C17" s="239" t="s">
        <v>161</v>
      </c>
      <c r="D17" s="240"/>
      <c r="E17" s="240"/>
      <c r="F17" s="240"/>
      <c r="G17" s="241"/>
      <c r="H17" s="1017" t="s">
        <v>162</v>
      </c>
      <c r="I17" s="242" t="s">
        <v>163</v>
      </c>
      <c r="J17" s="243"/>
      <c r="K17" s="243"/>
      <c r="L17" s="243"/>
      <c r="M17" s="243"/>
      <c r="N17" s="244"/>
      <c r="O17" s="1019" t="s">
        <v>164</v>
      </c>
      <c r="P17" s="1019" t="s">
        <v>165</v>
      </c>
      <c r="Q17" s="1019" t="s">
        <v>166</v>
      </c>
      <c r="R17" s="1022" t="s">
        <v>167</v>
      </c>
      <c r="S17" s="1023" t="s">
        <v>168</v>
      </c>
      <c r="T17" s="1027" t="s">
        <v>274</v>
      </c>
      <c r="U17" s="245" t="s">
        <v>169</v>
      </c>
      <c r="V17" s="246"/>
      <c r="W17" s="246"/>
      <c r="X17" s="247"/>
      <c r="Y17" s="248" t="s">
        <v>163</v>
      </c>
      <c r="Z17" s="246"/>
      <c r="AA17" s="246"/>
      <c r="AB17" s="246"/>
      <c r="AC17" s="246"/>
      <c r="AD17" s="247"/>
      <c r="AE17" s="1022" t="s">
        <v>166</v>
      </c>
      <c r="AF17" s="1025" t="s">
        <v>167</v>
      </c>
      <c r="AG17" s="311"/>
      <c r="AH17" s="1012" t="s">
        <v>168</v>
      </c>
    </row>
    <row r="18" spans="2:34" ht="77.45" customHeight="1">
      <c r="B18" s="1028"/>
      <c r="C18" s="249" t="s">
        <v>170</v>
      </c>
      <c r="D18" s="250" t="s">
        <v>171</v>
      </c>
      <c r="E18" s="250" t="s">
        <v>172</v>
      </c>
      <c r="F18" s="250" t="s">
        <v>173</v>
      </c>
      <c r="G18" s="251" t="s">
        <v>174</v>
      </c>
      <c r="H18" s="1018"/>
      <c r="I18" s="250" t="s">
        <v>175</v>
      </c>
      <c r="J18" s="250" t="s">
        <v>176</v>
      </c>
      <c r="K18" s="250" t="s">
        <v>177</v>
      </c>
      <c r="L18" s="250" t="s">
        <v>178</v>
      </c>
      <c r="M18" s="250" t="s">
        <v>168</v>
      </c>
      <c r="N18" s="250" t="s">
        <v>179</v>
      </c>
      <c r="O18" s="1020"/>
      <c r="P18" s="1021"/>
      <c r="Q18" s="1021"/>
      <c r="R18" s="1021"/>
      <c r="S18" s="1024"/>
      <c r="T18" s="1028"/>
      <c r="U18" s="307" t="s">
        <v>203</v>
      </c>
      <c r="V18" s="308" t="s">
        <v>180</v>
      </c>
      <c r="W18" s="309" t="s">
        <v>181</v>
      </c>
      <c r="X18" s="310" t="s">
        <v>33</v>
      </c>
      <c r="Y18" s="305" t="s">
        <v>25</v>
      </c>
      <c r="Z18" s="306" t="s">
        <v>183</v>
      </c>
      <c r="AA18" s="306" t="s">
        <v>204</v>
      </c>
      <c r="AB18" s="306" t="s">
        <v>205</v>
      </c>
      <c r="AC18" s="306" t="s">
        <v>184</v>
      </c>
      <c r="AD18" s="306" t="s">
        <v>30</v>
      </c>
      <c r="AE18" s="1021"/>
      <c r="AF18" s="1026"/>
      <c r="AG18" s="312" t="s">
        <v>37</v>
      </c>
      <c r="AH18" s="1013"/>
    </row>
    <row r="19" spans="2:34" ht="21" thickBot="1">
      <c r="B19" s="712" t="e">
        <f>E13</f>
        <v>#VALUE!</v>
      </c>
      <c r="C19" s="713" t="e">
        <f>C61-'Summary month'!AV64-'Summary month'!AV69+J10-N9</f>
        <v>#VALUE!</v>
      </c>
      <c r="D19" s="710">
        <f>S67-INDEX('Summary month'!$BB$17:$BD$74,MATCH(D14,'Summary month'!$D$17:$D$74,0),MATCH($C$1,'Summary month'!$X$6:$Z$6,0))-INDEX('Summary month'!$BB$17:$BD$74,MATCH(D15,'Summary month'!$D$17:$D$74,0),MATCH($C$1,'Summary month'!$X$6:$Z$6,0))-O9</f>
        <v>0.11819637410399697</v>
      </c>
      <c r="E19" s="710">
        <f>E61</f>
        <v>-5.9646358708079878</v>
      </c>
      <c r="F19" s="710">
        <f>F61</f>
        <v>1.9278569361907545</v>
      </c>
      <c r="G19" s="254"/>
      <c r="H19" s="254">
        <f>H61</f>
        <v>0</v>
      </c>
      <c r="I19" s="254">
        <f>I61</f>
        <v>3.359757846626982</v>
      </c>
      <c r="J19" s="255">
        <f>J61</f>
        <v>-3.3346449926149546E-2</v>
      </c>
      <c r="K19" s="255">
        <f>K61</f>
        <v>-2.5560819949625957</v>
      </c>
      <c r="L19" s="255">
        <f>L61</f>
        <v>0</v>
      </c>
      <c r="M19" s="255">
        <f>SUM(M24:M33)</f>
        <v>-1.502634684</v>
      </c>
      <c r="N19" s="255">
        <f>N61</f>
        <v>0</v>
      </c>
      <c r="O19" s="254" t="e">
        <f>SUM(O13:O15)</f>
        <v>#VALUE!</v>
      </c>
      <c r="P19" s="254"/>
      <c r="Q19" s="256"/>
      <c r="R19" s="710">
        <f>R61</f>
        <v>1.0225291820000049</v>
      </c>
      <c r="S19" s="257" t="e">
        <f>F12-SUM(C19:R19)</f>
        <v>#VALUE!</v>
      </c>
      <c r="T19" s="713" t="e">
        <f>E14</f>
        <v>#VALUE!</v>
      </c>
      <c r="U19" s="713" t="e">
        <f>U61</f>
        <v>#VALUE!</v>
      </c>
      <c r="V19" s="715" t="e">
        <f t="shared" ref="V19:AD19" si="0">V61</f>
        <v>#VALUE!</v>
      </c>
      <c r="W19" s="258"/>
      <c r="X19" s="715" t="e">
        <f t="shared" si="0"/>
        <v>#VALUE!</v>
      </c>
      <c r="Y19" s="715" t="e">
        <f t="shared" si="0"/>
        <v>#VALUE!</v>
      </c>
      <c r="Z19" s="715" t="e">
        <f t="shared" si="0"/>
        <v>#VALUE!</v>
      </c>
      <c r="AA19" s="715" t="e">
        <f>AA61-'Summary month'!AV65-AA20</f>
        <v>#VALUE!</v>
      </c>
      <c r="AB19" s="715" t="e">
        <f>AB61-'Summary month'!AV72</f>
        <v>#VALUE!</v>
      </c>
      <c r="AC19" s="715" t="e">
        <f t="shared" si="0"/>
        <v>#VALUE!</v>
      </c>
      <c r="AD19" s="715" t="e">
        <f t="shared" si="0"/>
        <v>#VALUE!</v>
      </c>
      <c r="AE19" s="256"/>
      <c r="AF19" s="259"/>
      <c r="AG19" s="710" t="e">
        <f>AG61</f>
        <v>#VALUE!</v>
      </c>
      <c r="AH19" s="718" t="e">
        <f>G12-SUM(U19:AG19)</f>
        <v>#N/A</v>
      </c>
    </row>
    <row r="20" spans="2:34">
      <c r="B20" s="286" t="e">
        <f>B19-B61</f>
        <v>#VALUE!</v>
      </c>
      <c r="C20" s="286" t="e">
        <f>C19-C61</f>
        <v>#VALUE!</v>
      </c>
      <c r="D20" s="286">
        <f t="shared" ref="D20:S20" si="1">D19-D61</f>
        <v>0.11819637410399697</v>
      </c>
      <c r="E20" s="286">
        <f t="shared" si="1"/>
        <v>0</v>
      </c>
      <c r="F20" s="286">
        <f t="shared" si="1"/>
        <v>0</v>
      </c>
      <c r="G20" s="286">
        <f t="shared" si="1"/>
        <v>0</v>
      </c>
      <c r="H20" s="286">
        <f t="shared" si="1"/>
        <v>0</v>
      </c>
      <c r="I20" s="286">
        <f t="shared" si="1"/>
        <v>0</v>
      </c>
      <c r="J20" s="286">
        <f t="shared" si="1"/>
        <v>0</v>
      </c>
      <c r="K20" s="286">
        <f t="shared" si="1"/>
        <v>0</v>
      </c>
      <c r="L20" s="286">
        <f t="shared" si="1"/>
        <v>0</v>
      </c>
      <c r="M20" s="286">
        <f t="shared" si="1"/>
        <v>16.03766800117873</v>
      </c>
      <c r="N20" s="286">
        <f t="shared" si="1"/>
        <v>0</v>
      </c>
      <c r="O20" s="286" t="e">
        <f t="shared" si="1"/>
        <v>#VALUE!</v>
      </c>
      <c r="P20" s="286">
        <f t="shared" si="1"/>
        <v>0</v>
      </c>
      <c r="Q20" s="286">
        <f t="shared" si="1"/>
        <v>0</v>
      </c>
      <c r="R20" s="286">
        <f t="shared" si="1"/>
        <v>0</v>
      </c>
      <c r="S20" s="286" t="e">
        <f t="shared" si="1"/>
        <v>#VALUE!</v>
      </c>
      <c r="T20" s="286"/>
      <c r="U20" s="216"/>
      <c r="V20" s="216"/>
      <c r="W20" s="216"/>
      <c r="X20" s="216"/>
      <c r="Y20" s="216"/>
      <c r="Z20" s="216"/>
      <c r="AA20" s="720">
        <f>'[14]New KPI vs BP'!$DB$20</f>
        <v>0</v>
      </c>
      <c r="AB20" s="216"/>
      <c r="AC20" s="216"/>
    </row>
    <row r="21" spans="2:34" ht="18">
      <c r="D21" s="262"/>
      <c r="E21" s="262"/>
      <c r="F21" s="262"/>
      <c r="G21" s="262"/>
      <c r="H21" s="262"/>
      <c r="I21" s="262"/>
      <c r="J21" s="262"/>
      <c r="K21" s="262"/>
      <c r="L21" s="262"/>
      <c r="M21" s="262"/>
      <c r="N21" s="262"/>
      <c r="O21" s="262"/>
      <c r="P21" s="262"/>
      <c r="Q21" s="262"/>
      <c r="R21" s="262"/>
      <c r="S21" s="221"/>
      <c r="T21" s="221"/>
      <c r="U21" s="221"/>
      <c r="V21" s="221"/>
      <c r="W21" s="221"/>
      <c r="AC21" s="221"/>
    </row>
    <row r="22" spans="2:34" ht="21" thickBot="1">
      <c r="C22" s="253" t="e">
        <f>C61-INDEX('Summary month'!$AV$17:$AV$74,MATCH(C14,'Summary month'!$D$17:$D$74,0),MATCH($C$1,'Summary month'!$AV$6:$AV$6,0))-INDEX('Summary month'!$AV$17:$AV$74,MATCH(C15,'Summary month'!$D$17:$D$74,0),MATCH($C$1,'Summary month'!$AV$6:$AV$6,0))+J10-N9</f>
        <v>#N/A</v>
      </c>
      <c r="D22" s="267"/>
      <c r="E22" s="267"/>
      <c r="F22" s="267"/>
      <c r="G22" s="267"/>
      <c r="H22" s="267"/>
      <c r="I22" s="267"/>
      <c r="J22" s="267"/>
      <c r="K22" s="267"/>
      <c r="L22" s="267"/>
      <c r="M22" s="267"/>
      <c r="N22" s="267"/>
      <c r="O22" s="267"/>
      <c r="P22" s="267"/>
      <c r="Q22" s="267"/>
      <c r="R22" s="267"/>
      <c r="S22" s="216"/>
      <c r="T22" s="216"/>
      <c r="U22" s="431">
        <f>-S67+S31</f>
        <v>-0.11819637410399697</v>
      </c>
      <c r="V22" s="216"/>
      <c r="W22" s="216"/>
      <c r="AC22" s="216"/>
      <c r="AE22" s="216"/>
      <c r="AF22" t="s">
        <v>262</v>
      </c>
      <c r="AG22" s="216"/>
      <c r="AH22" s="216"/>
    </row>
    <row r="23" spans="2:34" ht="20.25">
      <c r="B23" s="221" t="s">
        <v>277</v>
      </c>
      <c r="C23" s="426">
        <f>C61</f>
        <v>28.712956179940047</v>
      </c>
      <c r="D23" s="216"/>
      <c r="E23" s="216" t="s">
        <v>281</v>
      </c>
      <c r="F23" s="216" t="s">
        <v>274</v>
      </c>
      <c r="G23" s="216"/>
      <c r="H23" s="216"/>
      <c r="I23" s="273" t="s">
        <v>188</v>
      </c>
      <c r="J23" s="274"/>
      <c r="K23" s="274"/>
      <c r="L23" s="274"/>
      <c r="M23" s="275">
        <f>M19</f>
        <v>-1.502634684</v>
      </c>
      <c r="N23" s="216"/>
      <c r="P23" s="273" t="s">
        <v>191</v>
      </c>
      <c r="Q23" s="274"/>
      <c r="R23" s="274"/>
      <c r="S23" s="294" t="e">
        <f>S19</f>
        <v>#VALUE!</v>
      </c>
      <c r="T23" s="216"/>
      <c r="U23" s="216"/>
      <c r="V23" s="216"/>
      <c r="W23" s="216"/>
      <c r="X23" s="263" t="s">
        <v>185</v>
      </c>
      <c r="Y23" s="264"/>
      <c r="Z23" s="264"/>
      <c r="AA23" s="265" t="e">
        <f>AD19</f>
        <v>#VALUE!</v>
      </c>
      <c r="AC23" s="216"/>
      <c r="AE23" s="263" t="s">
        <v>186</v>
      </c>
      <c r="AF23" s="264"/>
      <c r="AG23" s="264"/>
      <c r="AH23" s="265" t="e">
        <f>AH19</f>
        <v>#N/A</v>
      </c>
    </row>
    <row r="24" spans="2:34" ht="18">
      <c r="B24" s="216" t="s">
        <v>278</v>
      </c>
      <c r="C24" s="426" t="e">
        <f>-INDEX('Summary month'!$AV$17:$AV$74,MATCH(C14,'Summary month'!$D$17:$D$74,0),MATCH($C$1,'Summary month'!$AV$6:$AV$6,0))</f>
        <v>#N/A</v>
      </c>
      <c r="D24" s="216"/>
      <c r="E24" s="412" t="e">
        <f>C24-F24</f>
        <v>#N/A</v>
      </c>
      <c r="F24" s="411">
        <v>-0.5</v>
      </c>
      <c r="G24" s="216"/>
      <c r="H24" s="216"/>
      <c r="I24" s="279">
        <v>1</v>
      </c>
      <c r="J24" s="838" t="str">
        <f>J66</f>
        <v>Supplier Claims</v>
      </c>
      <c r="K24" s="270"/>
      <c r="L24" s="270"/>
      <c r="M24" s="280">
        <f>M66</f>
        <v>0</v>
      </c>
      <c r="N24" s="216"/>
      <c r="P24" s="279">
        <v>1</v>
      </c>
      <c r="Q24" s="269" t="str">
        <f>Q66</f>
        <v>UC</v>
      </c>
      <c r="R24" s="270"/>
      <c r="S24" s="280">
        <f>S66</f>
        <v>-0.71949132399999605</v>
      </c>
      <c r="T24" s="216"/>
      <c r="U24" s="216"/>
      <c r="V24" s="216"/>
      <c r="W24" s="216"/>
      <c r="X24" s="268">
        <v>1</v>
      </c>
      <c r="Y24" s="269" t="str">
        <f>Y66</f>
        <v>MFG - out of function scope</v>
      </c>
      <c r="Z24" s="270"/>
      <c r="AA24" s="271">
        <f>AA66</f>
        <v>0.1</v>
      </c>
      <c r="AC24" s="216"/>
      <c r="AE24" s="268">
        <v>1</v>
      </c>
      <c r="AF24" s="269" t="s">
        <v>187</v>
      </c>
      <c r="AG24" s="270"/>
      <c r="AH24" s="271" t="e">
        <f>AH66</f>
        <v>#VALUE!</v>
      </c>
    </row>
    <row r="25" spans="2:34" ht="18">
      <c r="B25" s="216" t="s">
        <v>279</v>
      </c>
      <c r="C25" s="427" t="e">
        <f>-INDEX('Summary month'!$AV$17:$AV$74,MATCH(C15,'Summary month'!$D$17:$D$74,0),MATCH($C$1,'Summary month'!$AV$6:$AV$6,0))</f>
        <v>#N/A</v>
      </c>
      <c r="D25" s="216"/>
      <c r="E25" s="216"/>
      <c r="F25" s="216"/>
      <c r="G25" s="216"/>
      <c r="H25" s="216"/>
      <c r="I25" s="279">
        <v>2</v>
      </c>
      <c r="J25" s="276" t="str">
        <f>J69</f>
        <v>X-badges TP</v>
      </c>
      <c r="K25" s="277"/>
      <c r="L25" s="550"/>
      <c r="M25" s="551">
        <f>M69</f>
        <v>-0.61698985799999995</v>
      </c>
      <c r="N25" s="216"/>
      <c r="P25" s="279">
        <v>2</v>
      </c>
      <c r="Q25" s="276" t="str">
        <f t="shared" ref="Q25:Q30" si="2">Q67</f>
        <v>Export</v>
      </c>
      <c r="R25" s="277"/>
      <c r="S25" s="281">
        <f t="shared" ref="S25:S30" si="3">S67</f>
        <v>0.11819637410399697</v>
      </c>
      <c r="T25" s="216"/>
      <c r="U25" s="216"/>
      <c r="V25" s="216"/>
      <c r="W25" s="216"/>
      <c r="X25" s="268">
        <v>2</v>
      </c>
      <c r="Y25" s="276"/>
      <c r="Z25" s="277"/>
      <c r="AA25" s="278"/>
      <c r="AC25" s="216"/>
      <c r="AE25" s="268">
        <v>2</v>
      </c>
      <c r="AF25" s="276"/>
      <c r="AG25" s="277"/>
      <c r="AH25" s="278"/>
    </row>
    <row r="26" spans="2:34" ht="18">
      <c r="B26" s="216" t="s">
        <v>280</v>
      </c>
      <c r="C26" s="438" t="e">
        <f>(M52-N9)</f>
        <v>#VALUE!</v>
      </c>
      <c r="D26" s="216"/>
      <c r="E26" s="216"/>
      <c r="F26" s="216"/>
      <c r="G26" s="216"/>
      <c r="H26" s="216"/>
      <c r="I26" s="279">
        <v>3</v>
      </c>
      <c r="J26" s="276" t="str">
        <f>J70</f>
        <v>Duties for CBUs</v>
      </c>
      <c r="K26" s="277"/>
      <c r="L26" s="550"/>
      <c r="M26" s="551">
        <f>M70</f>
        <v>0.12608435000000001</v>
      </c>
      <c r="N26" s="216"/>
      <c r="P26" s="279">
        <v>3</v>
      </c>
      <c r="Q26" s="276" t="str">
        <f t="shared" si="2"/>
        <v>NRV</v>
      </c>
      <c r="R26" s="277"/>
      <c r="S26" s="281">
        <f t="shared" si="3"/>
        <v>-6.9545233818230647</v>
      </c>
      <c r="T26" s="216"/>
      <c r="U26" s="216"/>
      <c r="V26" s="216"/>
      <c r="W26" s="216"/>
      <c r="X26" s="268">
        <v>3</v>
      </c>
      <c r="Y26" s="276"/>
      <c r="Z26" s="277"/>
      <c r="AA26" s="278"/>
      <c r="AC26" s="216"/>
      <c r="AE26" s="268">
        <v>3</v>
      </c>
      <c r="AF26" s="276"/>
      <c r="AG26" s="277"/>
      <c r="AH26" s="278"/>
    </row>
    <row r="27" spans="2:34" ht="18">
      <c r="B27" s="216"/>
      <c r="C27" s="216"/>
      <c r="D27" s="272"/>
      <c r="E27" s="272"/>
      <c r="F27" s="272"/>
      <c r="G27" s="272"/>
      <c r="H27" s="272"/>
      <c r="I27" s="279">
        <v>4</v>
      </c>
      <c r="J27" s="276" t="str">
        <f>J71</f>
        <v>Outbound logistics</v>
      </c>
      <c r="K27" s="277"/>
      <c r="L27" s="550"/>
      <c r="M27" s="551">
        <f>M71</f>
        <v>-0.71172917599999996</v>
      </c>
      <c r="N27" s="216"/>
      <c r="P27" s="279">
        <v>4</v>
      </c>
      <c r="Q27" s="276" t="str">
        <f t="shared" si="2"/>
        <v>UP</v>
      </c>
      <c r="R27" s="277"/>
      <c r="S27" s="281">
        <f t="shared" si="3"/>
        <v>-23.741674517280359</v>
      </c>
      <c r="T27" s="216"/>
      <c r="U27" s="216"/>
      <c r="V27" s="216"/>
      <c r="W27" s="216"/>
      <c r="X27" s="268">
        <v>4</v>
      </c>
      <c r="Y27" s="276"/>
      <c r="Z27" s="277"/>
      <c r="AA27" s="278"/>
      <c r="AC27" s="216"/>
      <c r="AE27" s="268">
        <v>4</v>
      </c>
      <c r="AF27" s="276"/>
      <c r="AG27" s="277"/>
      <c r="AH27" s="278"/>
    </row>
    <row r="28" spans="2:34" ht="18">
      <c r="B28" s="216"/>
      <c r="C28" s="427"/>
      <c r="D28" s="330"/>
      <c r="E28" s="216"/>
      <c r="F28" s="216"/>
      <c r="G28" s="216"/>
      <c r="H28" s="216"/>
      <c r="I28" s="279">
        <v>5</v>
      </c>
      <c r="J28" s="276" t="str">
        <f>J72</f>
        <v>MZ Others</v>
      </c>
      <c r="K28" s="277"/>
      <c r="L28" s="550"/>
      <c r="M28" s="839">
        <f>M72</f>
        <v>-0.3</v>
      </c>
      <c r="N28" s="216"/>
      <c r="P28" s="279">
        <v>5</v>
      </c>
      <c r="Q28" s="276" t="str">
        <f>Q69</f>
        <v>UP</v>
      </c>
      <c r="R28" s="277"/>
      <c r="S28" s="281">
        <f>S69</f>
        <v>-23.741674517280359</v>
      </c>
      <c r="T28" s="216"/>
      <c r="U28" s="216"/>
      <c r="V28" s="216"/>
      <c r="W28" s="216"/>
      <c r="X28" s="282">
        <v>5</v>
      </c>
      <c r="Y28" s="283" t="s">
        <v>182</v>
      </c>
      <c r="Z28" s="284"/>
      <c r="AA28" s="285" t="e">
        <f>AA23-SUM(AA24:AA27)</f>
        <v>#VALUE!</v>
      </c>
      <c r="AC28" s="216"/>
      <c r="AE28" s="282">
        <v>5</v>
      </c>
      <c r="AF28" s="283" t="s">
        <v>182</v>
      </c>
      <c r="AG28" s="284"/>
      <c r="AH28" s="285" t="e">
        <f>AH23-SUM(AH24:AH27)</f>
        <v>#N/A</v>
      </c>
    </row>
    <row r="29" spans="2:34" ht="18">
      <c r="B29" s="216"/>
      <c r="C29" s="272"/>
      <c r="D29" s="330"/>
      <c r="E29" s="216"/>
      <c r="F29" s="216"/>
      <c r="G29" s="216"/>
      <c r="H29" s="216"/>
      <c r="I29" s="279">
        <v>6</v>
      </c>
      <c r="J29" s="276"/>
      <c r="K29" s="277"/>
      <c r="L29" s="550"/>
      <c r="M29" s="551"/>
      <c r="N29" s="216"/>
      <c r="P29" s="279">
        <v>6</v>
      </c>
      <c r="Q29" s="276">
        <f t="shared" si="2"/>
        <v>0</v>
      </c>
      <c r="R29" s="277"/>
      <c r="S29" s="281">
        <f t="shared" si="3"/>
        <v>0</v>
      </c>
      <c r="T29" s="216"/>
      <c r="U29" s="216"/>
      <c r="V29" s="216"/>
      <c r="W29" s="216"/>
      <c r="X29" s="216"/>
      <c r="Y29" s="216"/>
      <c r="Z29" s="216"/>
      <c r="AA29" s="286" t="e">
        <f>AA28-AA70</f>
        <v>#VALUE!</v>
      </c>
      <c r="AC29" s="216"/>
      <c r="AD29" s="216"/>
      <c r="AE29" s="216"/>
      <c r="AF29" s="216"/>
      <c r="AG29" s="287"/>
      <c r="AH29" s="286" t="e">
        <f>AH28-AH70</f>
        <v>#N/A</v>
      </c>
    </row>
    <row r="30" spans="2:34" ht="18">
      <c r="B30" s="216"/>
      <c r="C30" s="272"/>
      <c r="D30" s="272"/>
      <c r="E30" s="216"/>
      <c r="F30" s="216"/>
      <c r="G30" s="216"/>
      <c r="H30" s="216"/>
      <c r="I30" s="279">
        <v>7</v>
      </c>
      <c r="J30" s="276"/>
      <c r="K30" s="277"/>
      <c r="L30" s="550"/>
      <c r="M30" s="551"/>
      <c r="N30" s="216"/>
      <c r="P30" s="279">
        <v>7</v>
      </c>
      <c r="Q30" s="276">
        <f t="shared" si="2"/>
        <v>0</v>
      </c>
      <c r="R30" s="277"/>
      <c r="S30" s="281">
        <f t="shared" si="3"/>
        <v>0</v>
      </c>
      <c r="T30" s="216"/>
      <c r="U30" s="216"/>
      <c r="V30" s="216"/>
      <c r="W30" s="216"/>
      <c r="X30" s="216"/>
      <c r="Y30" s="216"/>
      <c r="Z30" s="216"/>
      <c r="AA30" s="216"/>
      <c r="AB30" s="216"/>
      <c r="AC30" s="216"/>
    </row>
    <row r="31" spans="2:34" ht="18">
      <c r="B31" s="216"/>
      <c r="C31" s="291"/>
      <c r="D31" s="216"/>
      <c r="E31" s="216"/>
      <c r="F31" s="292" t="s">
        <v>189</v>
      </c>
      <c r="G31" s="216"/>
      <c r="H31" s="216"/>
      <c r="I31" s="279">
        <v>8</v>
      </c>
      <c r="J31" s="276"/>
      <c r="K31" s="277"/>
      <c r="L31" s="550"/>
      <c r="M31" s="551"/>
      <c r="N31" s="216"/>
      <c r="P31" s="279">
        <v>8</v>
      </c>
      <c r="Q31" s="276"/>
      <c r="R31" s="277"/>
      <c r="S31" s="281"/>
      <c r="T31" s="216"/>
      <c r="U31" s="216"/>
      <c r="V31" s="216"/>
      <c r="W31" s="216"/>
      <c r="X31" s="216"/>
      <c r="Y31" s="216"/>
      <c r="Z31" s="216"/>
      <c r="AA31" s="216"/>
      <c r="AB31" s="216"/>
      <c r="AC31" s="216"/>
      <c r="AD31" s="216"/>
      <c r="AE31" s="216"/>
      <c r="AF31" s="216"/>
      <c r="AG31" s="216"/>
      <c r="AH31" s="216"/>
    </row>
    <row r="32" spans="2:34" ht="18">
      <c r="B32" s="216"/>
      <c r="C32" s="216"/>
      <c r="D32" s="293" t="s">
        <v>370</v>
      </c>
      <c r="E32" s="293" t="s">
        <v>287</v>
      </c>
      <c r="F32" s="293" t="s">
        <v>190</v>
      </c>
      <c r="G32" s="216"/>
      <c r="H32" s="216"/>
      <c r="I32" s="279">
        <v>9</v>
      </c>
      <c r="J32" s="276"/>
      <c r="K32" s="277"/>
      <c r="L32" s="550"/>
      <c r="M32" s="551"/>
      <c r="N32" s="216"/>
      <c r="P32" s="279">
        <v>9</v>
      </c>
      <c r="Q32" s="276"/>
      <c r="R32" s="277"/>
      <c r="S32" s="281"/>
      <c r="T32" s="216"/>
      <c r="U32" s="272"/>
      <c r="V32" s="272"/>
      <c r="W32" s="272"/>
      <c r="X32" s="216"/>
      <c r="Y32" s="216"/>
      <c r="Z32" s="216"/>
      <c r="AA32" s="216"/>
      <c r="AB32" s="216"/>
      <c r="AC32" s="216"/>
      <c r="AD32" s="216"/>
      <c r="AE32" s="216"/>
      <c r="AF32" s="216"/>
      <c r="AG32" s="216"/>
      <c r="AH32" s="216"/>
    </row>
    <row r="33" spans="2:34" ht="20.25">
      <c r="B33" s="216"/>
      <c r="C33" s="295" t="s">
        <v>192</v>
      </c>
      <c r="D33" s="800">
        <f>'[14]P&amp;L vs BP'!BY24</f>
        <v>26416</v>
      </c>
      <c r="E33" s="800">
        <f>'[14]P&amp;L vs BP'!BX24</f>
        <v>28886</v>
      </c>
      <c r="F33" s="800">
        <f>E33-D33</f>
        <v>2470</v>
      </c>
      <c r="G33" s="216"/>
      <c r="H33" s="216"/>
      <c r="I33" s="288">
        <v>10</v>
      </c>
      <c r="J33" s="276"/>
      <c r="K33" s="277"/>
      <c r="L33" s="550"/>
      <c r="M33" s="551"/>
      <c r="N33" s="216"/>
      <c r="P33" s="288">
        <v>10</v>
      </c>
      <c r="Q33" s="283" t="s">
        <v>182</v>
      </c>
      <c r="R33" s="284"/>
      <c r="S33" s="285" t="e">
        <f>S23-SUM(S24:S32)</f>
        <v>#VALUE!</v>
      </c>
      <c r="T33" s="216"/>
      <c r="U33" s="216"/>
      <c r="V33" s="216"/>
      <c r="W33" s="216"/>
      <c r="X33" s="297"/>
      <c r="Y33" s="216"/>
      <c r="Z33" s="216"/>
      <c r="AA33" s="216"/>
      <c r="AB33" s="216"/>
      <c r="AC33" s="216"/>
      <c r="AD33" s="216"/>
      <c r="AE33" s="216"/>
      <c r="AF33" s="216"/>
      <c r="AG33" s="216"/>
      <c r="AH33" s="216"/>
    </row>
    <row r="34" spans="2:34" ht="20.25">
      <c r="B34" s="216"/>
      <c r="C34" s="295" t="s">
        <v>194</v>
      </c>
      <c r="D34" s="800">
        <f>'[14]P&amp;L vs BP'!BY25</f>
        <v>682</v>
      </c>
      <c r="E34" s="800">
        <f>'[14]P&amp;L vs BP'!BX25</f>
        <v>349</v>
      </c>
      <c r="F34" s="800">
        <f>E34-D34</f>
        <v>-333</v>
      </c>
      <c r="G34" s="216"/>
      <c r="H34" s="216"/>
      <c r="I34" s="288">
        <v>11</v>
      </c>
      <c r="J34" s="289" t="s">
        <v>144</v>
      </c>
      <c r="K34" s="284"/>
      <c r="L34" s="284"/>
      <c r="M34" s="290">
        <f>M23-SUM(M24:M33)</f>
        <v>0</v>
      </c>
      <c r="N34" s="216"/>
      <c r="O34" s="216"/>
      <c r="P34" s="216"/>
      <c r="Q34" s="216"/>
      <c r="R34" s="216"/>
      <c r="S34" s="286" t="e">
        <f>S33-S75</f>
        <v>#VALUE!</v>
      </c>
      <c r="T34" s="216"/>
      <c r="U34" s="216"/>
      <c r="V34" s="216"/>
      <c r="W34" s="216"/>
      <c r="X34" s="216"/>
      <c r="Y34" s="216"/>
      <c r="Z34" s="216"/>
      <c r="AA34" s="216"/>
      <c r="AB34" s="216"/>
      <c r="AC34" s="216"/>
      <c r="AD34" s="216"/>
      <c r="AE34" s="216"/>
      <c r="AF34" s="216"/>
      <c r="AG34" s="216"/>
      <c r="AH34" s="216"/>
    </row>
    <row r="35" spans="2:34">
      <c r="B35" s="216"/>
      <c r="C35" s="216"/>
      <c r="D35" s="840"/>
      <c r="E35" s="840"/>
      <c r="F35" s="840"/>
      <c r="G35" s="216"/>
      <c r="H35" s="216"/>
      <c r="I35" s="216"/>
      <c r="J35" s="216"/>
      <c r="K35" s="216"/>
      <c r="L35" s="216"/>
      <c r="M35" s="216"/>
      <c r="N35" s="216"/>
      <c r="U35" s="216"/>
      <c r="V35" s="216"/>
      <c r="W35" s="216"/>
      <c r="X35" s="216"/>
      <c r="Y35" s="216"/>
      <c r="Z35" s="216"/>
      <c r="AA35" s="216"/>
      <c r="AB35" s="216"/>
      <c r="AC35" s="216"/>
      <c r="AD35" s="216"/>
      <c r="AE35" s="216"/>
      <c r="AF35" s="216"/>
      <c r="AG35" s="216"/>
      <c r="AH35" s="216"/>
    </row>
    <row r="36" spans="2:34" ht="20.25">
      <c r="B36" s="216"/>
      <c r="C36" s="295" t="s">
        <v>196</v>
      </c>
      <c r="D36" s="800">
        <f>'[14]P&amp;L vs BP'!$BY$18</f>
        <v>20659</v>
      </c>
      <c r="E36" s="800">
        <f>'[14]P&amp;L vs BP'!$BX$18</f>
        <v>25464</v>
      </c>
      <c r="F36" s="800">
        <f>E36-D36</f>
        <v>4805</v>
      </c>
      <c r="G36" s="216"/>
      <c r="H36" s="216"/>
      <c r="I36" s="216"/>
      <c r="J36" s="216"/>
      <c r="K36" s="216"/>
      <c r="L36" s="216"/>
      <c r="M36" s="216"/>
      <c r="N36" s="216"/>
      <c r="U36" s="216"/>
      <c r="V36" s="216"/>
      <c r="W36" s="216"/>
      <c r="X36" s="216"/>
      <c r="Y36" s="216"/>
      <c r="Z36" s="216"/>
      <c r="AA36" s="216"/>
      <c r="AB36" s="216"/>
      <c r="AC36" s="216"/>
      <c r="AD36" s="216"/>
      <c r="AE36" s="216"/>
      <c r="AF36" s="216"/>
      <c r="AG36" s="216"/>
      <c r="AH36" s="216"/>
    </row>
    <row r="37" spans="2:34">
      <c r="B37" s="216"/>
      <c r="C37" s="216"/>
      <c r="D37" s="216"/>
      <c r="E37" s="216"/>
      <c r="F37" s="216"/>
      <c r="G37" s="216"/>
      <c r="H37" s="216"/>
      <c r="I37" s="216"/>
      <c r="J37" s="216"/>
      <c r="K37" s="216"/>
      <c r="L37" s="216"/>
      <c r="M37" s="216"/>
      <c r="N37" s="216"/>
      <c r="U37" s="216"/>
      <c r="V37" s="216"/>
      <c r="W37" s="216"/>
      <c r="X37" s="216"/>
      <c r="Y37" s="216"/>
      <c r="Z37" s="216"/>
      <c r="AA37" s="216"/>
      <c r="AB37" s="216"/>
      <c r="AC37" s="216"/>
      <c r="AD37" s="216"/>
      <c r="AE37" s="216"/>
      <c r="AF37" s="216"/>
      <c r="AG37" s="216"/>
      <c r="AH37" s="216"/>
    </row>
    <row r="38" spans="2:34">
      <c r="B38" s="216"/>
      <c r="C38" s="216"/>
      <c r="D38" s="216"/>
      <c r="E38" s="216"/>
      <c r="F38" s="216"/>
      <c r="G38" s="216"/>
      <c r="H38" s="216"/>
      <c r="I38" s="216"/>
      <c r="J38" s="216"/>
      <c r="K38" s="216"/>
      <c r="L38" s="216"/>
      <c r="M38" s="216"/>
      <c r="N38" s="216"/>
      <c r="U38" s="216"/>
      <c r="V38" s="216"/>
      <c r="W38" s="216"/>
      <c r="X38" s="216"/>
      <c r="Y38" s="216"/>
      <c r="Z38" s="216"/>
      <c r="AA38" s="216"/>
      <c r="AB38" s="216"/>
      <c r="AC38" s="216"/>
      <c r="AD38" s="216"/>
      <c r="AE38" s="216"/>
      <c r="AF38" s="216"/>
      <c r="AG38" s="216"/>
      <c r="AH38" s="216"/>
    </row>
    <row r="39" spans="2:34">
      <c r="B39" s="216"/>
      <c r="C39" s="216"/>
      <c r="D39" s="216"/>
      <c r="E39" s="216"/>
      <c r="F39" s="216"/>
      <c r="G39" s="216"/>
      <c r="H39" s="216"/>
      <c r="I39" s="216"/>
      <c r="J39" s="216"/>
      <c r="K39" s="216"/>
      <c r="L39" s="216"/>
      <c r="M39" s="216"/>
      <c r="N39" s="216"/>
      <c r="U39" s="216"/>
      <c r="V39" s="216"/>
      <c r="W39" s="216"/>
      <c r="X39" s="216"/>
      <c r="Y39" s="216"/>
      <c r="Z39" s="216"/>
      <c r="AA39" s="216"/>
      <c r="AB39" s="216"/>
      <c r="AC39" s="216"/>
      <c r="AD39" s="216"/>
      <c r="AE39" s="216"/>
      <c r="AF39" s="216"/>
      <c r="AG39" s="216"/>
      <c r="AH39" s="216"/>
    </row>
    <row r="40" spans="2:34">
      <c r="B40" s="216"/>
      <c r="C40" s="216"/>
      <c r="D40" s="216"/>
      <c r="E40" s="216"/>
      <c r="F40" s="216"/>
      <c r="G40" s="216"/>
      <c r="H40" s="216"/>
      <c r="I40" s="216"/>
      <c r="J40" s="216"/>
      <c r="K40" s="216"/>
      <c r="L40" s="216"/>
      <c r="M40" s="216"/>
      <c r="N40" s="216"/>
      <c r="U40" s="216"/>
      <c r="V40" s="216"/>
      <c r="W40" s="216"/>
      <c r="X40" s="216"/>
      <c r="Y40" s="216"/>
      <c r="Z40" s="216"/>
      <c r="AA40" s="216"/>
      <c r="AB40" s="216"/>
      <c r="AC40" s="216"/>
      <c r="AD40" s="216"/>
      <c r="AE40" s="216"/>
      <c r="AF40" s="216"/>
      <c r="AG40" s="216"/>
      <c r="AH40" s="216"/>
    </row>
    <row r="41" spans="2:34">
      <c r="B41" s="216"/>
      <c r="C41" s="216"/>
      <c r="D41" s="216"/>
      <c r="E41" s="216"/>
      <c r="F41" s="216"/>
      <c r="G41" s="216"/>
      <c r="H41" s="216"/>
      <c r="I41" s="216"/>
      <c r="J41" s="216"/>
      <c r="K41" s="216"/>
      <c r="L41" s="216"/>
      <c r="M41" s="216"/>
      <c r="N41" s="216"/>
      <c r="U41" s="216"/>
      <c r="V41" s="216"/>
      <c r="W41" s="216"/>
      <c r="X41" s="216"/>
      <c r="Y41" s="216"/>
      <c r="Z41" s="216"/>
      <c r="AA41" s="216"/>
      <c r="AB41" s="216"/>
      <c r="AC41" s="216"/>
      <c r="AD41" s="216"/>
      <c r="AE41" s="216"/>
      <c r="AF41" s="216"/>
      <c r="AG41" s="216"/>
      <c r="AH41" s="216"/>
    </row>
    <row r="42" spans="2:34">
      <c r="B42" s="216"/>
      <c r="C42" s="216"/>
      <c r="D42" s="216"/>
      <c r="E42" s="216"/>
      <c r="F42" s="216"/>
      <c r="G42" s="216"/>
      <c r="H42" s="216"/>
      <c r="I42" s="216"/>
      <c r="J42" s="216"/>
      <c r="K42" s="216"/>
      <c r="L42" s="216"/>
      <c r="M42" s="216"/>
      <c r="N42" s="216"/>
      <c r="U42" s="216"/>
      <c r="V42" s="216"/>
      <c r="W42" s="216"/>
      <c r="X42" s="216"/>
      <c r="Y42" s="216"/>
      <c r="Z42" s="216"/>
      <c r="AA42" s="216"/>
      <c r="AB42" s="216"/>
      <c r="AC42" s="216"/>
      <c r="AD42" s="216"/>
      <c r="AE42" s="216"/>
      <c r="AF42" s="216"/>
      <c r="AG42" s="216"/>
      <c r="AH42" s="216"/>
    </row>
    <row r="43" spans="2:34">
      <c r="B43" s="216"/>
      <c r="C43" s="216"/>
      <c r="D43" s="216"/>
      <c r="E43" s="216"/>
      <c r="F43" s="216"/>
      <c r="G43" s="216"/>
      <c r="H43" s="216"/>
      <c r="I43" s="216"/>
      <c r="J43" s="216"/>
      <c r="K43" s="216"/>
      <c r="L43" s="216"/>
      <c r="M43" s="216"/>
      <c r="N43" s="216"/>
      <c r="U43" s="216"/>
      <c r="V43" s="216"/>
      <c r="W43" s="216"/>
      <c r="X43" s="216"/>
      <c r="Y43" s="216"/>
      <c r="Z43" s="216"/>
      <c r="AA43" s="216"/>
      <c r="AB43" s="216"/>
      <c r="AC43" s="216"/>
      <c r="AD43" s="216"/>
      <c r="AE43" s="216"/>
      <c r="AF43" s="216"/>
      <c r="AG43" s="216"/>
      <c r="AH43" s="216"/>
    </row>
    <row r="44" spans="2:34" ht="28.5">
      <c r="B44" s="299" t="s">
        <v>197</v>
      </c>
      <c r="C44" s="216"/>
      <c r="D44" s="216"/>
      <c r="E44" s="216"/>
      <c r="F44" s="216"/>
      <c r="G44" s="216"/>
      <c r="H44" s="216"/>
      <c r="I44" s="216"/>
      <c r="J44" s="216"/>
      <c r="K44" s="216"/>
      <c r="L44" s="216"/>
      <c r="M44" s="216"/>
      <c r="N44" s="216"/>
      <c r="O44" s="216"/>
      <c r="P44" s="216"/>
      <c r="Q44" s="216"/>
      <c r="R44" s="216"/>
      <c r="S44" s="216"/>
      <c r="T44" s="216"/>
      <c r="U44" s="216"/>
      <c r="V44" s="216"/>
      <c r="W44" s="216"/>
      <c r="X44" s="216"/>
      <c r="Y44" s="216"/>
      <c r="Z44" s="216"/>
      <c r="AA44" s="216"/>
      <c r="AB44" s="216"/>
      <c r="AC44" s="216"/>
      <c r="AD44" s="216"/>
      <c r="AE44" s="216"/>
      <c r="AF44" s="216"/>
      <c r="AG44" s="216"/>
      <c r="AH44" s="216"/>
    </row>
    <row r="45" spans="2:34">
      <c r="B45" s="216"/>
      <c r="C45" s="216"/>
      <c r="D45" s="216"/>
      <c r="E45" s="216"/>
      <c r="F45" s="216"/>
      <c r="G45" s="216"/>
      <c r="H45" s="216"/>
      <c r="I45" s="216"/>
      <c r="J45" s="216"/>
      <c r="K45" s="216"/>
      <c r="L45" s="216"/>
      <c r="M45" s="216"/>
      <c r="N45" s="216"/>
      <c r="O45" s="216"/>
      <c r="P45" s="216"/>
      <c r="Q45" s="216"/>
      <c r="R45" s="216"/>
      <c r="S45" s="216"/>
      <c r="T45" s="216"/>
      <c r="U45" s="216"/>
      <c r="V45" s="216"/>
      <c r="W45" s="216"/>
      <c r="X45" s="216"/>
      <c r="Y45" s="216"/>
      <c r="Z45" s="216"/>
      <c r="AA45" s="216"/>
      <c r="AB45" s="216"/>
      <c r="AC45" s="216"/>
      <c r="AD45" s="216"/>
      <c r="AE45" s="216"/>
      <c r="AF45" s="216"/>
      <c r="AG45" s="216"/>
      <c r="AH45" s="216"/>
    </row>
    <row r="46" spans="2:34">
      <c r="B46" s="216"/>
      <c r="C46" s="216" t="s">
        <v>86</v>
      </c>
      <c r="D46" s="216" t="s">
        <v>87</v>
      </c>
      <c r="E46" s="216"/>
      <c r="F46" s="216"/>
      <c r="G46" s="216"/>
      <c r="H46" s="216"/>
      <c r="I46" s="216"/>
      <c r="J46" s="216"/>
      <c r="K46" s="216"/>
      <c r="L46" s="216"/>
      <c r="M46" s="216"/>
      <c r="N46" s="216"/>
      <c r="O46" s="216"/>
      <c r="P46" s="216"/>
      <c r="Q46" s="216"/>
      <c r="R46" s="216"/>
      <c r="S46" s="216"/>
      <c r="T46" s="216"/>
      <c r="U46" s="216"/>
      <c r="V46" s="216"/>
      <c r="W46" s="216"/>
      <c r="X46" s="216"/>
      <c r="Y46" s="216"/>
      <c r="Z46" s="216"/>
      <c r="AA46" s="216"/>
      <c r="AB46" s="216"/>
      <c r="AC46" s="216"/>
      <c r="AD46" s="216"/>
      <c r="AE46" s="216"/>
      <c r="AF46" s="216"/>
      <c r="AG46" s="216"/>
      <c r="AH46" s="216"/>
    </row>
    <row r="47" spans="2:34" ht="20.25">
      <c r="B47" s="216"/>
      <c r="C47" s="226" t="str">
        <f>B52</f>
        <v>PM</v>
      </c>
      <c r="D47" s="226" t="str">
        <f>C52</f>
        <v>Act MTD</v>
      </c>
      <c r="E47" s="226" t="s">
        <v>320</v>
      </c>
      <c r="F47" s="226" t="s">
        <v>321</v>
      </c>
      <c r="G47" s="226" t="s">
        <v>322</v>
      </c>
      <c r="H47" s="797" t="s">
        <v>323</v>
      </c>
      <c r="I47" s="216"/>
      <c r="J47" s="216"/>
      <c r="K47" s="216"/>
      <c r="L47" s="216"/>
      <c r="M47" s="216"/>
      <c r="N47" s="216"/>
      <c r="O47" s="216"/>
      <c r="P47" s="216"/>
      <c r="Q47" s="216"/>
      <c r="R47" s="216"/>
      <c r="S47" s="216"/>
      <c r="T47" s="216"/>
      <c r="U47" s="216"/>
      <c r="V47" s="216"/>
      <c r="W47" s="216"/>
      <c r="X47" s="216"/>
      <c r="Y47" s="216"/>
      <c r="Z47" s="216"/>
      <c r="AA47" s="216"/>
      <c r="AB47" s="216"/>
      <c r="AC47" s="216"/>
      <c r="AD47" s="216"/>
      <c r="AE47" s="216"/>
      <c r="AF47" s="216"/>
      <c r="AG47" s="216"/>
      <c r="AH47" s="216"/>
    </row>
    <row r="48" spans="2:34" ht="20.25">
      <c r="B48" s="226" t="s">
        <v>324</v>
      </c>
      <c r="C48" s="809">
        <f>INDEX('Summary month'!$AU$27,1,MATCH($D$1,'Summary month'!$AU$6,0))</f>
        <v>136.57488820071421</v>
      </c>
      <c r="D48" s="809">
        <f>INDEX('Summary month'!$F$27:$H$27,1,MATCH($C$1,'Summary month'!$O$6:$Q$6,0))</f>
        <v>86.083619587646751</v>
      </c>
      <c r="E48" s="806">
        <f>+D48-C48</f>
        <v>-50.491268613067462</v>
      </c>
      <c r="F48" s="226">
        <f>B61</f>
        <v>6.5794722381017745E-2</v>
      </c>
      <c r="G48" s="226">
        <f>SUM(C61:S61)</f>
        <v>-136.64068292309523</v>
      </c>
      <c r="H48" s="803">
        <f>E48-F48-G48</f>
        <v>86.083619587646751</v>
      </c>
      <c r="I48" s="216"/>
      <c r="J48" s="216"/>
      <c r="K48" s="216"/>
      <c r="L48" s="216"/>
      <c r="M48" s="216"/>
      <c r="N48" s="216"/>
      <c r="O48" s="216"/>
      <c r="P48" s="216"/>
      <c r="Q48" s="216"/>
      <c r="R48" s="216"/>
      <c r="S48" s="216"/>
      <c r="T48" s="216"/>
      <c r="U48" s="216"/>
      <c r="V48" s="216"/>
      <c r="W48" s="216"/>
      <c r="X48" s="216"/>
      <c r="Y48" s="216"/>
      <c r="Z48" s="216"/>
      <c r="AA48" s="216"/>
      <c r="AB48" s="216"/>
      <c r="AC48" s="216"/>
      <c r="AD48" s="216"/>
      <c r="AE48" s="216"/>
      <c r="AF48" s="216"/>
      <c r="AG48" s="216"/>
      <c r="AH48" s="216"/>
    </row>
    <row r="49" spans="2:34" ht="20.25">
      <c r="B49" s="226" t="s">
        <v>325</v>
      </c>
      <c r="C49" s="809">
        <f>INDEX('Summary month'!$AU$46,1,MATCH($D$1,'Summary month'!$AU$6,0))</f>
        <v>-105.88469643705881</v>
      </c>
      <c r="D49" s="809">
        <f>INDEX('Summary month'!$F$46:$H$46,1,MATCH($C$1,'Summary month'!$O$6:$Q$6,0))</f>
        <v>-128.47130442265509</v>
      </c>
      <c r="E49" s="806">
        <f>+D49-C49</f>
        <v>-22.586607985596288</v>
      </c>
      <c r="F49" s="226" t="e">
        <f>T61</f>
        <v>#VALUE!</v>
      </c>
      <c r="G49" s="226" t="e">
        <f>SUM(U61:AH61)</f>
        <v>#VALUE!</v>
      </c>
      <c r="H49" s="803" t="e">
        <f>E49-F49-G49</f>
        <v>#VALUE!</v>
      </c>
      <c r="I49" s="216"/>
      <c r="J49" s="216"/>
      <c r="K49" s="216"/>
      <c r="L49" s="216"/>
      <c r="M49" s="216"/>
      <c r="N49" s="216"/>
      <c r="O49" s="216"/>
      <c r="P49" s="216"/>
      <c r="Q49" s="216"/>
      <c r="R49" s="216"/>
      <c r="S49" s="216"/>
      <c r="T49" s="216"/>
      <c r="U49" s="216"/>
      <c r="V49" s="420"/>
      <c r="W49" s="420"/>
      <c r="X49" s="420"/>
      <c r="Y49" s="420"/>
      <c r="Z49" s="420"/>
      <c r="AA49" s="420"/>
      <c r="AB49" s="420"/>
      <c r="AC49" s="420"/>
      <c r="AD49" s="420"/>
      <c r="AE49" s="420"/>
      <c r="AF49" s="216"/>
      <c r="AG49" s="216"/>
      <c r="AH49" s="216"/>
    </row>
    <row r="50" spans="2:34" ht="20.25">
      <c r="B50" s="226" t="s">
        <v>326</v>
      </c>
      <c r="C50" s="806">
        <f>+C48+C49</f>
        <v>30.690191763655406</v>
      </c>
      <c r="D50" s="806">
        <f>+D48+D49</f>
        <v>-42.387684835008343</v>
      </c>
      <c r="E50" s="806">
        <f>+D50-C50</f>
        <v>-73.07787659866375</v>
      </c>
      <c r="F50" s="226" t="e">
        <f>+E50-G50</f>
        <v>#VALUE!</v>
      </c>
      <c r="G50" s="226" t="e">
        <f>+G48+G49</f>
        <v>#VALUE!</v>
      </c>
      <c r="H50" s="803" t="e">
        <f>E50-F50-G50</f>
        <v>#VALUE!</v>
      </c>
      <c r="I50" s="216"/>
      <c r="J50" s="216"/>
      <c r="K50" s="216"/>
      <c r="L50" s="216"/>
      <c r="M50" s="216"/>
      <c r="N50" s="216"/>
      <c r="O50" s="216"/>
      <c r="P50" s="216"/>
      <c r="Q50" s="216"/>
      <c r="R50" s="216"/>
      <c r="S50" s="216"/>
      <c r="T50" s="216"/>
      <c r="U50" s="216"/>
      <c r="V50" s="420"/>
      <c r="W50" s="420"/>
      <c r="X50" s="420"/>
      <c r="Y50" s="420"/>
      <c r="Z50" s="420"/>
      <c r="AA50" s="420"/>
      <c r="AB50" s="420"/>
      <c r="AC50" s="420"/>
      <c r="AD50" s="420"/>
      <c r="AE50" s="420"/>
      <c r="AF50" s="216"/>
      <c r="AG50" s="216"/>
      <c r="AH50" s="216"/>
    </row>
    <row r="51" spans="2:34" ht="18">
      <c r="B51" s="215"/>
      <c r="C51" s="216"/>
      <c r="D51" s="215"/>
      <c r="E51" s="216"/>
      <c r="F51" s="215"/>
      <c r="G51" s="217" t="s">
        <v>138</v>
      </c>
      <c r="H51" s="216"/>
      <c r="I51" s="216"/>
      <c r="J51" s="216"/>
      <c r="K51" s="216"/>
      <c r="L51" s="216"/>
      <c r="M51" s="216"/>
      <c r="N51" s="216"/>
      <c r="O51" s="216"/>
      <c r="P51" s="216"/>
      <c r="Q51" s="216"/>
      <c r="R51" s="216"/>
      <c r="S51" s="216"/>
      <c r="T51" s="216"/>
      <c r="U51" s="216"/>
      <c r="V51" s="420"/>
      <c r="W51" s="420"/>
      <c r="X51" s="420"/>
      <c r="Y51" s="420"/>
      <c r="Z51" s="420"/>
      <c r="AA51" s="420"/>
      <c r="AB51" s="420"/>
      <c r="AC51" s="420"/>
      <c r="AD51" s="420"/>
      <c r="AE51" s="420"/>
      <c r="AF51" s="216"/>
      <c r="AG51" s="216"/>
      <c r="AH51" s="216"/>
    </row>
    <row r="52" spans="2:34" ht="20.100000000000001" customHeight="1">
      <c r="B52" s="1014" t="s">
        <v>370</v>
      </c>
      <c r="C52" s="1014" t="s">
        <v>207</v>
      </c>
      <c r="D52" s="218"/>
      <c r="E52" s="219"/>
      <c r="F52" s="219"/>
      <c r="G52" s="220"/>
      <c r="H52" s="216"/>
      <c r="I52" s="720"/>
      <c r="J52" s="216"/>
      <c r="K52" s="216"/>
      <c r="L52" s="720" t="s">
        <v>301</v>
      </c>
      <c r="M52" s="721">
        <f>SUM(E55:E57,G55)</f>
        <v>6.5794722381017745E-2</v>
      </c>
      <c r="N52" s="216"/>
      <c r="O52" s="221"/>
      <c r="P52" s="221"/>
      <c r="Q52" s="221"/>
      <c r="R52" s="216"/>
      <c r="S52" s="216"/>
      <c r="T52" s="216"/>
      <c r="U52" s="216"/>
      <c r="V52" s="420"/>
      <c r="W52" s="419"/>
      <c r="X52" s="419"/>
      <c r="Y52" s="419"/>
      <c r="Z52" s="419"/>
      <c r="AA52" s="419"/>
      <c r="AB52" s="419"/>
      <c r="AC52" s="419"/>
      <c r="AD52" s="419"/>
      <c r="AE52" s="419"/>
      <c r="AF52" s="221"/>
      <c r="AG52" s="221"/>
      <c r="AH52" s="221"/>
    </row>
    <row r="53" spans="2:34" ht="40.5">
      <c r="B53" s="1015"/>
      <c r="C53" s="1016"/>
      <c r="D53" s="222"/>
      <c r="E53" s="223" t="s">
        <v>154</v>
      </c>
      <c r="F53" s="224" t="s">
        <v>198</v>
      </c>
      <c r="G53" s="225" t="s">
        <v>156</v>
      </c>
      <c r="H53" s="216"/>
      <c r="I53" s="720" t="s">
        <v>208</v>
      </c>
      <c r="J53" s="216"/>
      <c r="K53" s="216"/>
      <c r="L53" s="720" t="s">
        <v>302</v>
      </c>
      <c r="M53" s="722" t="e">
        <f>SUM(U62:AH62,AJ66,AK66)</f>
        <v>#VALUE!</v>
      </c>
      <c r="N53" s="216"/>
      <c r="O53" s="216"/>
      <c r="P53" s="216"/>
      <c r="Q53" s="216"/>
      <c r="R53" s="216"/>
      <c r="S53" s="216"/>
      <c r="T53" s="216"/>
      <c r="V53" s="420"/>
      <c r="W53" s="420"/>
      <c r="X53" s="420"/>
      <c r="Y53" s="420"/>
      <c r="Z53" s="420"/>
      <c r="AA53" s="420"/>
      <c r="AB53" s="420"/>
      <c r="AC53" s="831" t="s">
        <v>266</v>
      </c>
      <c r="AD53" s="864">
        <v>6.9882999999999988</v>
      </c>
      <c r="AE53" s="720" t="s">
        <v>452</v>
      </c>
      <c r="AF53" s="216"/>
      <c r="AG53" s="216"/>
      <c r="AH53" s="216"/>
    </row>
    <row r="54" spans="2:34" ht="20.25">
      <c r="B54" s="806">
        <f>INDEX('Summary month'!$AU$47,1,MATCH($D$1,'Summary month'!$AU$6,0))</f>
        <v>30.690191763655406</v>
      </c>
      <c r="C54" s="830">
        <f>INDEX('Summary month'!$F$47:$H$47,1,MATCH($C$1,'Summary month'!$X$6:$Z$6,0))</f>
        <v>-42.387684835008343</v>
      </c>
      <c r="D54" s="807">
        <f>C54-B54</f>
        <v>-73.07787659866375</v>
      </c>
      <c r="E54" s="228" t="e">
        <f>SUM(M52:M53)</f>
        <v>#VALUE!</v>
      </c>
      <c r="F54" s="229">
        <f>'Summary month'!AV27-M52</f>
        <v>-136.64068292309523</v>
      </c>
      <c r="G54" s="229" t="e">
        <f>INDEX('Summary month'!$AV$46,1,MATCH($C$1,'Summary month'!$AV$6,0))-M53</f>
        <v>#N/A</v>
      </c>
      <c r="H54" s="216"/>
      <c r="I54" s="709" t="e">
        <f>SUM(E54:G54)-D54</f>
        <v>#VALUE!</v>
      </c>
      <c r="J54" s="216"/>
      <c r="K54" s="216"/>
      <c r="L54" s="216"/>
      <c r="M54" s="216"/>
      <c r="N54" s="216"/>
      <c r="O54" s="230"/>
      <c r="P54" s="216"/>
      <c r="Q54" s="216"/>
      <c r="R54" s="216"/>
      <c r="S54" s="216"/>
      <c r="T54" s="216"/>
      <c r="U54" s="216"/>
      <c r="V54" s="420"/>
      <c r="W54" s="421"/>
      <c r="X54" s="420"/>
      <c r="Y54" s="421"/>
      <c r="Z54" s="421"/>
      <c r="AA54" s="421"/>
      <c r="AB54" s="421"/>
      <c r="AC54" s="889" t="s">
        <v>269</v>
      </c>
      <c r="AD54" s="864">
        <f>65/1000</f>
        <v>6.5000000000000002E-2</v>
      </c>
      <c r="AE54" s="727" t="s">
        <v>451</v>
      </c>
      <c r="AF54" s="727"/>
      <c r="AG54" s="727"/>
      <c r="AH54" s="727"/>
    </row>
    <row r="55" spans="2:34" ht="18">
      <c r="B55" s="216"/>
      <c r="C55" s="216"/>
      <c r="D55" s="720" t="s">
        <v>139</v>
      </c>
      <c r="E55" s="723">
        <f>'[15]CMOR_MTD_vs M-1'!$I$154+'[15]CMOR_MTD_vs M-1'!$I$156+'[15]CMOR_MTD_vs M-1'!$I$168</f>
        <v>0.20971079267706044</v>
      </c>
      <c r="F55" s="720" t="s">
        <v>193</v>
      </c>
      <c r="G55" s="724">
        <f>'[15]CMOR_MTD_vs M-1'!$I$169+'[15]CMOR_MTD_vs M-1'!$I$157+'[15]CMOR_MTD_vs M-1'!$I$159</f>
        <v>0</v>
      </c>
      <c r="H55" s="216"/>
      <c r="I55" s="216"/>
      <c r="J55" s="216"/>
      <c r="K55" s="216"/>
      <c r="L55" s="216"/>
      <c r="M55" s="216"/>
      <c r="N55" s="216"/>
      <c r="O55" s="216"/>
      <c r="P55" s="216"/>
      <c r="Q55" s="216"/>
      <c r="R55" s="216"/>
      <c r="S55" s="216"/>
      <c r="T55" s="216"/>
      <c r="U55" s="216"/>
      <c r="V55" s="420"/>
      <c r="W55" s="831" t="s">
        <v>145</v>
      </c>
      <c r="X55" s="832">
        <f>[15]TABLE_MTD!$AF$82-Y55</f>
        <v>0.12882232099999996</v>
      </c>
      <c r="Y55" s="720">
        <f>'[15]CMOR_MTD_vs M-1'!$I$161</f>
        <v>1.3938299999999848E-3</v>
      </c>
      <c r="Z55" s="420"/>
      <c r="AA55" s="420"/>
      <c r="AB55" s="420"/>
      <c r="AC55" s="831" t="s">
        <v>141</v>
      </c>
      <c r="AD55" s="863">
        <v>0.177657327</v>
      </c>
      <c r="AE55" s="216" t="s">
        <v>452</v>
      </c>
      <c r="AF55" s="216"/>
      <c r="AG55" s="216"/>
      <c r="AH55" s="216"/>
    </row>
    <row r="56" spans="2:34">
      <c r="B56" s="216"/>
      <c r="C56" s="216"/>
      <c r="D56" s="720" t="s">
        <v>200</v>
      </c>
      <c r="E56" s="723">
        <f>'[15]CMOR_MTD_vs M-1'!$I$164+'[15]CMOR_MTD_vs M-1'!$I$165</f>
        <v>-9.0140628296044412E-2</v>
      </c>
      <c r="F56" s="720"/>
      <c r="G56" s="720"/>
      <c r="H56" s="216"/>
      <c r="I56" s="216"/>
      <c r="J56" s="216"/>
      <c r="K56" s="216"/>
      <c r="L56" s="216"/>
      <c r="M56" s="216"/>
      <c r="N56" s="216"/>
      <c r="O56" s="216"/>
      <c r="P56" s="216"/>
      <c r="Q56" s="216"/>
      <c r="R56" s="216"/>
      <c r="S56" s="216"/>
      <c r="T56" s="216"/>
      <c r="V56" s="422"/>
      <c r="W56" s="833" t="s">
        <v>193</v>
      </c>
      <c r="X56" s="834">
        <f>[15]TABLE_MTD!$AF$78-Y56</f>
        <v>-0.90108735599999989</v>
      </c>
      <c r="Y56" s="729">
        <f>'[15]CMOR_MTD_vs M-1'!$I$158</f>
        <v>0</v>
      </c>
      <c r="Z56" s="422"/>
      <c r="AA56" s="422"/>
      <c r="AB56" s="422"/>
      <c r="AC56" s="831" t="s">
        <v>144</v>
      </c>
      <c r="AD56" s="890" t="e">
        <f>AD61-SUM(AD53:AD55)</f>
        <v>#VALUE!</v>
      </c>
      <c r="AE56" s="422"/>
      <c r="AH56" s="216"/>
    </row>
    <row r="57" spans="2:34" ht="21" thickBot="1">
      <c r="B57" s="231" t="s">
        <v>157</v>
      </c>
      <c r="C57" s="232"/>
      <c r="D57" s="725" t="s">
        <v>145</v>
      </c>
      <c r="E57" s="726">
        <f>'[15]CMOR_MTD_vs M-1'!$I$160+'[15]CMOR_MTD_vs M-1'!$I$162+'[15]CMOR_MTD_vs M-1'!$I$170</f>
        <v>-5.3775441999998286E-2</v>
      </c>
      <c r="F57" s="725"/>
      <c r="G57" s="725"/>
      <c r="H57" s="232"/>
      <c r="I57" s="232"/>
      <c r="J57" s="232"/>
      <c r="K57" s="232"/>
      <c r="L57" s="232"/>
      <c r="M57" s="232"/>
      <c r="N57" s="232"/>
      <c r="O57" s="232"/>
      <c r="P57" s="232"/>
      <c r="Q57" s="232"/>
      <c r="R57" s="232"/>
      <c r="S57" s="232"/>
      <c r="T57" s="232"/>
      <c r="U57" s="232"/>
      <c r="V57" s="512"/>
      <c r="W57" s="835" t="s">
        <v>144</v>
      </c>
      <c r="X57" s="836" t="e">
        <f>X61-SUM(X55:X56)</f>
        <v>#VALUE!</v>
      </c>
      <c r="Y57" s="512"/>
      <c r="Z57" s="512"/>
      <c r="AA57" s="512"/>
      <c r="AB57" s="512"/>
      <c r="AC57" s="512"/>
      <c r="AD57" s="513"/>
      <c r="AE57" s="512"/>
      <c r="AF57" s="232"/>
      <c r="AG57" s="232"/>
      <c r="AH57" s="217" t="s">
        <v>138</v>
      </c>
    </row>
    <row r="58" spans="2:34" ht="21" thickBot="1">
      <c r="B58" s="233"/>
      <c r="C58" s="234" t="s">
        <v>199</v>
      </c>
      <c r="D58" s="234"/>
      <c r="E58" s="234"/>
      <c r="F58" s="234"/>
      <c r="G58" s="234"/>
      <c r="H58" s="234"/>
      <c r="I58" s="234"/>
      <c r="J58" s="234"/>
      <c r="K58" s="234"/>
      <c r="L58" s="234"/>
      <c r="M58" s="234"/>
      <c r="N58" s="234"/>
      <c r="O58" s="234"/>
      <c r="P58" s="234"/>
      <c r="Q58" s="234"/>
      <c r="R58" s="234"/>
      <c r="S58" s="235"/>
      <c r="T58" s="236"/>
      <c r="U58" s="237" t="s">
        <v>160</v>
      </c>
      <c r="V58" s="237"/>
      <c r="W58" s="237"/>
      <c r="X58" s="237"/>
      <c r="Y58" s="237"/>
      <c r="Z58" s="237"/>
      <c r="AA58" s="237"/>
      <c r="AB58" s="237"/>
      <c r="AC58" s="237"/>
      <c r="AD58" s="237"/>
      <c r="AE58" s="237"/>
      <c r="AF58" s="237"/>
      <c r="AG58" s="237"/>
      <c r="AH58" s="238"/>
    </row>
    <row r="59" spans="2:34" ht="20.25">
      <c r="B59" s="1027" t="s">
        <v>274</v>
      </c>
      <c r="C59" s="239" t="s">
        <v>161</v>
      </c>
      <c r="D59" s="240"/>
      <c r="E59" s="240"/>
      <c r="F59" s="240"/>
      <c r="G59" s="241"/>
      <c r="H59" s="1017" t="s">
        <v>162</v>
      </c>
      <c r="I59" s="242" t="s">
        <v>163</v>
      </c>
      <c r="J59" s="243"/>
      <c r="K59" s="243"/>
      <c r="L59" s="243"/>
      <c r="M59" s="243"/>
      <c r="N59" s="244"/>
      <c r="O59" s="1029" t="s">
        <v>164</v>
      </c>
      <c r="P59" s="1029" t="s">
        <v>165</v>
      </c>
      <c r="Q59" s="1019" t="s">
        <v>166</v>
      </c>
      <c r="R59" s="1022" t="s">
        <v>167</v>
      </c>
      <c r="S59" s="1023" t="s">
        <v>168</v>
      </c>
      <c r="T59" s="1027" t="s">
        <v>274</v>
      </c>
      <c r="U59" s="245" t="s">
        <v>169</v>
      </c>
      <c r="V59" s="246"/>
      <c r="W59" s="246"/>
      <c r="X59" s="247"/>
      <c r="Y59" s="248" t="s">
        <v>163</v>
      </c>
      <c r="Z59" s="246"/>
      <c r="AA59" s="246"/>
      <c r="AB59" s="246"/>
      <c r="AC59" s="246"/>
      <c r="AD59" s="247"/>
      <c r="AE59" s="1022" t="s">
        <v>166</v>
      </c>
      <c r="AF59" s="1025" t="s">
        <v>167</v>
      </c>
      <c r="AG59" s="311"/>
      <c r="AH59" s="1012" t="s">
        <v>168</v>
      </c>
    </row>
    <row r="60" spans="2:34" ht="57">
      <c r="B60" s="1028"/>
      <c r="C60" s="249" t="s">
        <v>170</v>
      </c>
      <c r="D60" s="300" t="s">
        <v>171</v>
      </c>
      <c r="E60" s="250" t="s">
        <v>172</v>
      </c>
      <c r="F60" s="250" t="s">
        <v>173</v>
      </c>
      <c r="G60" s="251" t="s">
        <v>174</v>
      </c>
      <c r="H60" s="1018"/>
      <c r="I60" s="250" t="s">
        <v>175</v>
      </c>
      <c r="J60" s="250" t="s">
        <v>176</v>
      </c>
      <c r="K60" s="250" t="s">
        <v>201</v>
      </c>
      <c r="L60" s="250" t="s">
        <v>178</v>
      </c>
      <c r="M60" s="250" t="s">
        <v>168</v>
      </c>
      <c r="N60" s="250" t="s">
        <v>179</v>
      </c>
      <c r="O60" s="1030"/>
      <c r="P60" s="1031"/>
      <c r="Q60" s="1021"/>
      <c r="R60" s="1021"/>
      <c r="S60" s="1024"/>
      <c r="T60" s="1028"/>
      <c r="U60" s="307" t="s">
        <v>203</v>
      </c>
      <c r="V60" s="308" t="s">
        <v>180</v>
      </c>
      <c r="W60" s="309" t="s">
        <v>181</v>
      </c>
      <c r="X60" s="310" t="s">
        <v>33</v>
      </c>
      <c r="Y60" s="305" t="s">
        <v>25</v>
      </c>
      <c r="Z60" s="306" t="s">
        <v>183</v>
      </c>
      <c r="AA60" s="306" t="s">
        <v>204</v>
      </c>
      <c r="AB60" s="306" t="s">
        <v>205</v>
      </c>
      <c r="AC60" s="306" t="s">
        <v>184</v>
      </c>
      <c r="AD60" s="306" t="s">
        <v>30</v>
      </c>
      <c r="AE60" s="1021"/>
      <c r="AF60" s="1026"/>
      <c r="AG60" s="312" t="s">
        <v>37</v>
      </c>
      <c r="AH60" s="1013"/>
    </row>
    <row r="61" spans="2:34" ht="21" thickBot="1">
      <c r="B61" s="712">
        <f>M52</f>
        <v>6.5794722381017745E-2</v>
      </c>
      <c r="C61" s="713">
        <f>'[15]CMOR_MTD_vs M-1'!$J$22+'[15]CMOR_MTD_vs M-1'!$K$22</f>
        <v>28.712956179940047</v>
      </c>
      <c r="D61" s="302"/>
      <c r="E61" s="710">
        <f>'[15]CMOR_MTD_vs M-1'!$N$22</f>
        <v>-5.9646358708079878</v>
      </c>
      <c r="F61" s="710">
        <f>'[15]CMOR_MTD_vs M-1'!$M$22+'[15]CMOR_MTD_vs M-1'!$L$22</f>
        <v>1.9278569361907545</v>
      </c>
      <c r="G61" s="254"/>
      <c r="H61" s="254"/>
      <c r="I61" s="710">
        <f>I63</f>
        <v>3.359757846626982</v>
      </c>
      <c r="J61" s="710">
        <f>J63</f>
        <v>-3.3346449926149546E-2</v>
      </c>
      <c r="K61" s="710">
        <f>K63</f>
        <v>-2.5560819949625957</v>
      </c>
      <c r="L61" s="710">
        <f>L63</f>
        <v>0</v>
      </c>
      <c r="M61" s="710">
        <f>M63+SUM(M69:M71)</f>
        <v>-17.54030268517873</v>
      </c>
      <c r="N61" s="303"/>
      <c r="O61" s="302"/>
      <c r="P61" s="302"/>
      <c r="Q61" s="256"/>
      <c r="R61" s="710">
        <f>'[15]CMOR_MTD_vs M-1'!$Q$20</f>
        <v>1.0225291820000049</v>
      </c>
      <c r="S61" s="578">
        <f>F54-SUM(C61:R61)</f>
        <v>-145.56941606697754</v>
      </c>
      <c r="T61" s="253" t="e">
        <f>M53</f>
        <v>#VALUE!</v>
      </c>
      <c r="U61" s="713" t="e">
        <f>'Summary month'!AV36-U62</f>
        <v>#VALUE!</v>
      </c>
      <c r="V61" s="757" t="e">
        <f>'Summary month'!AV59-V62</f>
        <v>#VALUE!</v>
      </c>
      <c r="W61" s="715"/>
      <c r="X61" s="715" t="e">
        <f>'Summary month'!AV60-X62</f>
        <v>#VALUE!</v>
      </c>
      <c r="Y61" s="715" t="e">
        <f>'Summary month'!AV29-Y62</f>
        <v>#VALUE!</v>
      </c>
      <c r="Z61" s="715" t="e">
        <f>'Summary month'!AV30-Z62</f>
        <v>#VALUE!</v>
      </c>
      <c r="AA61" s="715" t="e">
        <f>'Summary month'!AV31</f>
        <v>#VALUE!</v>
      </c>
      <c r="AB61" s="739"/>
      <c r="AC61" s="715" t="e">
        <f>'Summary month'!AV32-AC62</f>
        <v>#VALUE!</v>
      </c>
      <c r="AD61" s="715" t="e">
        <f>'Summary month'!AV34</f>
        <v>#VALUE!</v>
      </c>
      <c r="AE61" s="716"/>
      <c r="AF61" s="717"/>
      <c r="AG61" s="710" t="e">
        <f>'Summary month'!AV42-AG62</f>
        <v>#VALUE!</v>
      </c>
      <c r="AH61" s="718" t="e">
        <f>G54-SUM(U61:AG61)</f>
        <v>#N/A</v>
      </c>
    </row>
    <row r="62" spans="2:34" ht="18">
      <c r="B62" s="216"/>
      <c r="C62" s="272"/>
      <c r="D62" s="216"/>
      <c r="E62" s="216"/>
      <c r="F62" s="216"/>
      <c r="G62" s="216"/>
      <c r="H62" s="216"/>
      <c r="I62" s="216"/>
      <c r="J62" s="216"/>
      <c r="K62" s="216"/>
      <c r="L62" s="216"/>
      <c r="M62" s="216"/>
      <c r="N62" s="216"/>
      <c r="O62" s="216"/>
      <c r="P62" s="216"/>
      <c r="Q62" s="216"/>
      <c r="R62" s="216">
        <f>'[15]CMOR_MTD_vs M-1'!$Q$22</f>
        <v>1.0225291820000049</v>
      </c>
      <c r="S62" s="216"/>
      <c r="T62" s="216"/>
      <c r="U62" s="837">
        <f>'[15]CMOR_MTD_vs M-1'!$I$155</f>
        <v>0</v>
      </c>
      <c r="V62" s="837"/>
      <c r="W62" s="720"/>
      <c r="X62" s="720">
        <f>SUM(Y55:Y56)</f>
        <v>1.3938299999999848E-3</v>
      </c>
      <c r="Y62" s="720">
        <f>'[15]CMOR_MTD_vs M-1'!$I$163-Z62</f>
        <v>0.34860026359804952</v>
      </c>
      <c r="Z62" s="720">
        <f>[15]VA_MZ_YTD!$E$10</f>
        <v>1.2444424001964549E-2</v>
      </c>
      <c r="AA62" s="720"/>
      <c r="AB62" s="720"/>
      <c r="AC62" s="720">
        <f>'[15]CMOR_MTD_vs M-1'!$I$167</f>
        <v>0</v>
      </c>
      <c r="AD62" s="720"/>
      <c r="AE62" s="720"/>
      <c r="AF62" s="720"/>
      <c r="AG62" s="722" t="e">
        <f>'[15]CMOR_MTD_vs M-1'!$I$166-AJ66-AK66</f>
        <v>#VALUE!</v>
      </c>
      <c r="AH62" s="720"/>
    </row>
    <row r="63" spans="2:34" ht="21" thickBot="1">
      <c r="B63" s="221"/>
      <c r="C63" s="319"/>
      <c r="D63" s="221"/>
      <c r="E63" s="221"/>
      <c r="F63" s="221"/>
      <c r="H63" s="121"/>
      <c r="I63" s="744">
        <v>3.359757846626982</v>
      </c>
      <c r="J63" s="744">
        <v>-3.3346449926149546E-2</v>
      </c>
      <c r="K63" s="744">
        <v>-2.5560819949625957</v>
      </c>
      <c r="L63" s="744">
        <v>0</v>
      </c>
      <c r="M63" s="744">
        <v>-16.337668001178731</v>
      </c>
      <c r="N63" s="221"/>
      <c r="O63" s="221"/>
      <c r="P63" s="221"/>
      <c r="Q63" s="221"/>
      <c r="R63" s="221"/>
      <c r="S63" s="648"/>
      <c r="T63" s="221"/>
      <c r="U63" s="221"/>
      <c r="V63" s="221"/>
      <c r="W63" s="221"/>
      <c r="AC63" s="221"/>
    </row>
    <row r="64" spans="2:34">
      <c r="I64" s="216"/>
      <c r="J64" s="216"/>
      <c r="K64" s="216"/>
      <c r="L64" s="216"/>
      <c r="M64" s="216"/>
      <c r="N64" s="216"/>
      <c r="P64" s="216"/>
      <c r="Q64" s="216"/>
      <c r="R64" s="216"/>
      <c r="S64" s="216"/>
      <c r="T64" s="216"/>
      <c r="U64" s="216"/>
      <c r="V64" s="216"/>
      <c r="W64" s="216"/>
      <c r="AC64" s="216"/>
      <c r="AD64" s="216"/>
      <c r="AE64" s="216"/>
      <c r="AF64" s="216"/>
      <c r="AH64" s="216"/>
    </row>
    <row r="65" spans="2:37" ht="20.25">
      <c r="B65" s="216"/>
      <c r="C65" s="319"/>
      <c r="D65" s="216"/>
      <c r="E65" s="216"/>
      <c r="F65" s="679" t="s">
        <v>475</v>
      </c>
      <c r="G65" t="s">
        <v>288</v>
      </c>
      <c r="H65" s="865">
        <f>-0.551989858-AD54</f>
        <v>-0.61698985799999995</v>
      </c>
      <c r="I65" s="273" t="s">
        <v>188</v>
      </c>
      <c r="J65" s="274"/>
      <c r="K65" s="274"/>
      <c r="L65" s="274"/>
      <c r="M65" s="275">
        <f>M61</f>
        <v>-17.54030268517873</v>
      </c>
      <c r="N65" s="216"/>
      <c r="P65" s="273" t="s">
        <v>191</v>
      </c>
      <c r="Q65" s="274"/>
      <c r="R65" s="274"/>
      <c r="S65" s="294">
        <f>S61</f>
        <v>-145.56941606697754</v>
      </c>
      <c r="T65" s="216"/>
      <c r="U65" s="272"/>
      <c r="V65" s="272"/>
      <c r="W65" s="272"/>
      <c r="X65" s="263" t="s">
        <v>185</v>
      </c>
      <c r="Y65" s="264"/>
      <c r="Z65" s="264"/>
      <c r="AA65" s="265" t="e">
        <f>AD61</f>
        <v>#VALUE!</v>
      </c>
      <c r="AC65" s="216"/>
      <c r="AE65" s="263" t="s">
        <v>186</v>
      </c>
      <c r="AF65" s="264"/>
      <c r="AG65" s="264"/>
      <c r="AH65" s="265" t="e">
        <f>AH61</f>
        <v>#N/A</v>
      </c>
      <c r="AJ65" t="s">
        <v>262</v>
      </c>
      <c r="AK65" t="s">
        <v>315</v>
      </c>
    </row>
    <row r="66" spans="2:37" ht="18">
      <c r="B66" s="216"/>
      <c r="C66" s="329"/>
      <c r="D66" s="370"/>
      <c r="E66" s="334"/>
      <c r="F66" s="216"/>
      <c r="G66" t="s">
        <v>290</v>
      </c>
      <c r="H66" s="867">
        <v>0.12608435000000001</v>
      </c>
      <c r="I66" s="279">
        <v>1</v>
      </c>
      <c r="J66" s="276" t="s">
        <v>372</v>
      </c>
      <c r="K66" s="277"/>
      <c r="L66" s="277"/>
      <c r="M66" s="736"/>
      <c r="N66" s="216"/>
      <c r="P66" s="279">
        <v>1</v>
      </c>
      <c r="Q66" s="822" t="s">
        <v>193</v>
      </c>
      <c r="R66" s="823"/>
      <c r="S66" s="875">
        <f>'[15]CMOR_MTD_vs M-1'!$O$22</f>
        <v>-0.71949132399999605</v>
      </c>
      <c r="T66" s="216"/>
      <c r="V66" s="216"/>
      <c r="W66" s="216"/>
      <c r="X66" s="268">
        <v>1</v>
      </c>
      <c r="Y66" s="269" t="s">
        <v>30</v>
      </c>
      <c r="Z66" s="270"/>
      <c r="AA66" s="874">
        <v>0.1</v>
      </c>
      <c r="AC66" s="216"/>
      <c r="AE66" s="268">
        <v>1</v>
      </c>
      <c r="AF66" s="269" t="s">
        <v>39</v>
      </c>
      <c r="AG66" s="270"/>
      <c r="AH66" s="874" t="e">
        <f>'Summary month'!AV44-AJ66-AK66</f>
        <v>#VALUE!</v>
      </c>
      <c r="AI66" t="s">
        <v>262</v>
      </c>
      <c r="AJ66" s="801" t="e">
        <f>'Summary month'!AV74</f>
        <v>#VALUE!</v>
      </c>
      <c r="AK66" s="805">
        <f>149858/10^6</f>
        <v>0.14985799999999999</v>
      </c>
    </row>
    <row r="67" spans="2:37" ht="18">
      <c r="B67" s="216"/>
      <c r="C67" s="329"/>
      <c r="D67" s="370"/>
      <c r="E67" s="334"/>
      <c r="F67" s="216"/>
      <c r="G67" s="221" t="s">
        <v>282</v>
      </c>
      <c r="H67" s="865">
        <v>-0.71172917599999996</v>
      </c>
      <c r="I67" s="279">
        <v>2</v>
      </c>
      <c r="J67" s="276" t="s">
        <v>521</v>
      </c>
      <c r="K67" s="277"/>
      <c r="L67" s="277"/>
      <c r="M67" s="736"/>
      <c r="P67" s="279">
        <v>2</v>
      </c>
      <c r="Q67" s="824" t="s">
        <v>143</v>
      </c>
      <c r="R67" s="277"/>
      <c r="S67" s="876">
        <f>'[14]New KPI vs BP'!$CZ$449</f>
        <v>0.11819637410399697</v>
      </c>
      <c r="T67" s="216"/>
      <c r="U67" s="216"/>
      <c r="V67" s="216"/>
      <c r="W67" s="216"/>
      <c r="X67" s="268">
        <v>2</v>
      </c>
      <c r="Y67" s="276"/>
      <c r="Z67" s="277"/>
      <c r="AA67" s="278"/>
      <c r="AC67" s="216"/>
      <c r="AE67" s="268">
        <v>2</v>
      </c>
      <c r="AF67" s="276"/>
      <c r="AG67" s="277"/>
      <c r="AH67" s="278"/>
      <c r="AI67" t="s">
        <v>144</v>
      </c>
      <c r="AJ67" s="506" t="e">
        <f>AH66</f>
        <v>#VALUE!</v>
      </c>
    </row>
    <row r="68" spans="2:37" ht="18">
      <c r="B68" s="216"/>
      <c r="C68" s="329"/>
      <c r="D68" s="370"/>
      <c r="E68" s="334"/>
      <c r="F68" s="221">
        <v>2.4586620180000001</v>
      </c>
      <c r="H68" s="314"/>
      <c r="I68" s="279">
        <v>3</v>
      </c>
      <c r="J68" s="276" t="s">
        <v>523</v>
      </c>
      <c r="K68" s="277"/>
      <c r="L68" s="277"/>
      <c r="M68" s="736"/>
      <c r="N68" s="216"/>
      <c r="P68" s="279">
        <v>3</v>
      </c>
      <c r="Q68" s="824" t="s">
        <v>195</v>
      </c>
      <c r="R68" s="277"/>
      <c r="S68" s="876">
        <f>U75</f>
        <v>-6.9545233818230647</v>
      </c>
      <c r="T68" s="216"/>
      <c r="U68" s="216"/>
      <c r="V68" s="216"/>
      <c r="W68" s="216"/>
      <c r="X68" s="268">
        <v>3</v>
      </c>
      <c r="Y68" s="276"/>
      <c r="Z68" s="277"/>
      <c r="AA68" s="278"/>
      <c r="AC68" s="216"/>
      <c r="AE68" s="268">
        <v>3</v>
      </c>
      <c r="AF68" s="276"/>
      <c r="AG68" s="277"/>
      <c r="AH68" s="278"/>
      <c r="AJ68" s="422"/>
    </row>
    <row r="69" spans="2:37" ht="18">
      <c r="B69" s="216"/>
      <c r="C69" s="329"/>
      <c r="D69" s="370"/>
      <c r="E69" s="334"/>
      <c r="G69" t="s">
        <v>354</v>
      </c>
      <c r="I69" s="279">
        <v>4</v>
      </c>
      <c r="J69" s="276" t="s">
        <v>288</v>
      </c>
      <c r="K69" s="277"/>
      <c r="L69" s="277"/>
      <c r="M69" s="736">
        <f>H65</f>
        <v>-0.61698985799999995</v>
      </c>
      <c r="N69" s="323"/>
      <c r="P69" s="279">
        <v>4</v>
      </c>
      <c r="Q69" s="824" t="s">
        <v>246</v>
      </c>
      <c r="R69" s="277"/>
      <c r="S69" s="876">
        <f>U76</f>
        <v>-23.741674517280359</v>
      </c>
      <c r="T69" s="216"/>
      <c r="X69" s="268">
        <v>4</v>
      </c>
      <c r="Y69" s="276"/>
      <c r="Z69" s="277"/>
      <c r="AA69" s="278"/>
      <c r="AC69" s="216"/>
      <c r="AE69" s="268">
        <v>4</v>
      </c>
      <c r="AF69" s="276"/>
      <c r="AG69" s="277"/>
      <c r="AH69" s="278"/>
    </row>
    <row r="70" spans="2:37" ht="18">
      <c r="B70" s="216"/>
      <c r="C70" s="329"/>
      <c r="D70" s="429"/>
      <c r="E70" s="334"/>
      <c r="G70" s="216"/>
      <c r="H70" s="504"/>
      <c r="I70" s="279">
        <v>5</v>
      </c>
      <c r="J70" s="276" t="s">
        <v>290</v>
      </c>
      <c r="K70" s="277"/>
      <c r="L70" s="277"/>
      <c r="M70" s="736">
        <f>H66</f>
        <v>0.12608435000000001</v>
      </c>
      <c r="N70" s="216"/>
      <c r="P70" s="279">
        <v>5</v>
      </c>
      <c r="Q70" s="824" t="s">
        <v>247</v>
      </c>
      <c r="R70" s="277"/>
      <c r="S70" s="877">
        <f>U74</f>
        <v>71.750639149999998</v>
      </c>
      <c r="X70" s="282">
        <v>5</v>
      </c>
      <c r="Y70" s="283" t="s">
        <v>182</v>
      </c>
      <c r="Z70" s="284"/>
      <c r="AA70" s="285" t="e">
        <f>AA65-SUM(AA66:AA69)</f>
        <v>#VALUE!</v>
      </c>
      <c r="AC70" s="216"/>
      <c r="AE70" s="282">
        <v>5</v>
      </c>
      <c r="AF70" s="283" t="s">
        <v>182</v>
      </c>
      <c r="AG70" s="284"/>
      <c r="AH70" s="285" t="e">
        <f>AH65-SUM(AH66:AH69)</f>
        <v>#N/A</v>
      </c>
    </row>
    <row r="71" spans="2:37" ht="18">
      <c r="B71" s="216"/>
      <c r="C71" s="329"/>
      <c r="D71" s="370"/>
      <c r="E71" s="334"/>
      <c r="F71" s="216"/>
      <c r="G71" s="216"/>
      <c r="H71" s="334"/>
      <c r="I71" s="279">
        <v>6</v>
      </c>
      <c r="J71" s="276" t="s">
        <v>282</v>
      </c>
      <c r="K71" s="277"/>
      <c r="L71" s="277"/>
      <c r="M71" s="736">
        <f>H67</f>
        <v>-0.71172917599999996</v>
      </c>
      <c r="N71" s="216"/>
      <c r="P71" s="279">
        <v>6</v>
      </c>
      <c r="Q71" s="824"/>
      <c r="R71" s="277"/>
      <c r="S71" s="876"/>
      <c r="T71" s="335"/>
      <c r="X71" s="216"/>
      <c r="Y71" s="216"/>
      <c r="Z71" s="216"/>
      <c r="AA71" s="216"/>
      <c r="AB71" s="216"/>
      <c r="AC71" s="216"/>
      <c r="AD71" s="216"/>
      <c r="AE71" s="216"/>
      <c r="AF71" s="216"/>
      <c r="AG71" s="216"/>
      <c r="AH71" s="216"/>
    </row>
    <row r="72" spans="2:37" ht="18">
      <c r="B72" s="216"/>
      <c r="C72" s="272"/>
      <c r="D72" s="216"/>
      <c r="E72" s="334"/>
      <c r="F72" s="216"/>
      <c r="G72" s="216"/>
      <c r="H72" s="216"/>
      <c r="I72" s="279">
        <v>7</v>
      </c>
      <c r="J72" s="276" t="s">
        <v>401</v>
      </c>
      <c r="K72" s="277"/>
      <c r="L72" s="277"/>
      <c r="M72" s="736">
        <v>-0.3</v>
      </c>
      <c r="P72" s="279">
        <v>7</v>
      </c>
      <c r="Q72" s="824"/>
      <c r="R72" s="277"/>
      <c r="S72" s="825"/>
      <c r="X72" s="216"/>
      <c r="Y72" s="216"/>
      <c r="Z72" s="216"/>
      <c r="AA72" s="330"/>
      <c r="AB72" s="216"/>
      <c r="AC72" s="216"/>
      <c r="AD72" s="216"/>
      <c r="AE72" s="216"/>
      <c r="AF72" s="216"/>
      <c r="AG72" s="216"/>
      <c r="AH72" s="216"/>
    </row>
    <row r="73" spans="2:37" ht="18">
      <c r="B73" s="216"/>
      <c r="C73" s="272"/>
      <c r="D73" s="272"/>
      <c r="E73" s="216"/>
      <c r="F73" s="216"/>
      <c r="G73" s="216"/>
      <c r="H73" s="216"/>
      <c r="I73" s="279">
        <v>8</v>
      </c>
      <c r="J73" s="276"/>
      <c r="K73" s="277"/>
      <c r="L73" s="277"/>
      <c r="M73" s="281"/>
      <c r="P73" s="279">
        <v>8</v>
      </c>
      <c r="Q73" s="824"/>
      <c r="R73" s="277"/>
      <c r="S73" s="825"/>
      <c r="T73" s="680" t="s">
        <v>476</v>
      </c>
      <c r="X73" s="216"/>
      <c r="Y73" s="216"/>
      <c r="AB73" s="216"/>
      <c r="AC73" s="216"/>
      <c r="AD73" s="216"/>
      <c r="AE73" s="216"/>
      <c r="AF73" s="216"/>
      <c r="AG73" s="216"/>
      <c r="AH73" s="216"/>
    </row>
    <row r="74" spans="2:37" ht="18">
      <c r="B74" s="216"/>
      <c r="C74" s="216"/>
      <c r="D74" s="216"/>
      <c r="E74" s="216"/>
      <c r="F74" s="216">
        <v>-0.55198985799999978</v>
      </c>
      <c r="G74" s="216"/>
      <c r="H74" s="216"/>
      <c r="I74" s="279">
        <v>9</v>
      </c>
      <c r="J74" s="276"/>
      <c r="K74" s="277"/>
      <c r="L74" s="277"/>
      <c r="M74" s="281"/>
      <c r="N74" s="323"/>
      <c r="P74" s="279">
        <v>9</v>
      </c>
      <c r="Q74" s="824"/>
      <c r="R74" s="277"/>
      <c r="S74" s="826"/>
      <c r="T74" t="s">
        <v>247</v>
      </c>
      <c r="U74" s="317">
        <v>71.750639149999998</v>
      </c>
      <c r="X74" s="216"/>
      <c r="Y74" s="216"/>
      <c r="Z74" s="216"/>
      <c r="AA74" s="216"/>
      <c r="AB74" s="216"/>
      <c r="AC74" s="216"/>
      <c r="AD74" s="216"/>
      <c r="AE74" s="216"/>
      <c r="AF74" s="216"/>
      <c r="AG74" s="216"/>
      <c r="AH74" s="216"/>
    </row>
    <row r="75" spans="2:37" ht="18">
      <c r="B75" s="216"/>
      <c r="C75" s="216"/>
      <c r="D75" s="216"/>
      <c r="E75" s="216"/>
      <c r="F75" s="216"/>
      <c r="G75" s="216"/>
      <c r="H75" s="216"/>
      <c r="I75" s="279">
        <v>11</v>
      </c>
      <c r="J75" s="276"/>
      <c r="K75" s="277"/>
      <c r="L75" s="277"/>
      <c r="M75" s="281"/>
      <c r="N75" s="216"/>
      <c r="P75" s="288">
        <v>10</v>
      </c>
      <c r="Q75" s="827" t="s">
        <v>182</v>
      </c>
      <c r="R75" s="828"/>
      <c r="S75" s="829">
        <f>S65-SUM(S66:S74)</f>
        <v>-186.02256236797811</v>
      </c>
      <c r="T75" s="216" t="s">
        <v>195</v>
      </c>
      <c r="U75" s="753">
        <v>-6.9545233818230647</v>
      </c>
      <c r="X75" s="297"/>
      <c r="Y75" s="216"/>
      <c r="Z75" s="216"/>
      <c r="AA75" s="216"/>
      <c r="AB75" s="216"/>
      <c r="AC75" s="216"/>
      <c r="AD75" s="216"/>
      <c r="AE75" s="216"/>
      <c r="AF75" s="216"/>
      <c r="AG75" s="216"/>
      <c r="AH75" s="216"/>
    </row>
    <row r="76" spans="2:37" ht="18">
      <c r="B76" s="216"/>
      <c r="C76" s="216"/>
      <c r="D76" s="216"/>
      <c r="E76" s="216"/>
      <c r="F76" s="216"/>
      <c r="G76" s="216"/>
      <c r="H76" s="216"/>
      <c r="I76" s="288">
        <v>10</v>
      </c>
      <c r="J76" s="289" t="s">
        <v>144</v>
      </c>
      <c r="K76" s="284"/>
      <c r="L76" s="284"/>
      <c r="M76" s="290">
        <f>M61-SUM(M66:M72)</f>
        <v>-16.03766800117873</v>
      </c>
      <c r="N76" s="216"/>
      <c r="S76" s="317"/>
      <c r="T76" t="s">
        <v>246</v>
      </c>
      <c r="U76" s="810">
        <v>-23.741674517280359</v>
      </c>
      <c r="X76" s="216"/>
      <c r="Y76" s="216"/>
      <c r="Z76" s="216"/>
      <c r="AA76" s="216"/>
      <c r="AB76" s="216"/>
      <c r="AC76" s="216"/>
      <c r="AD76" s="216"/>
      <c r="AE76" s="216"/>
      <c r="AF76" s="216"/>
      <c r="AG76" s="216"/>
      <c r="AH76" s="216"/>
    </row>
    <row r="77" spans="2:37">
      <c r="B77" s="216"/>
      <c r="C77" s="216"/>
      <c r="D77" s="216"/>
      <c r="E77" s="216"/>
      <c r="F77" s="216"/>
      <c r="G77" s="216"/>
      <c r="H77" s="216"/>
      <c r="N77" s="216"/>
      <c r="Q77" s="544">
        <f>SUM(S67:S75)+SUM(H65:H68)-H67</f>
        <v>-145.34083025097752</v>
      </c>
      <c r="S77" s="317">
        <f>S75-S76</f>
        <v>-186.02256236797811</v>
      </c>
      <c r="T77" t="s">
        <v>403</v>
      </c>
      <c r="U77" s="810"/>
      <c r="X77" s="216"/>
      <c r="Y77" s="216"/>
      <c r="Z77" s="216"/>
      <c r="AA77" s="216"/>
      <c r="AB77" s="216"/>
      <c r="AC77" s="216"/>
      <c r="AD77" s="216"/>
      <c r="AE77" s="216"/>
      <c r="AF77" s="216"/>
      <c r="AG77" s="216"/>
      <c r="AH77" s="216"/>
    </row>
    <row r="78" spans="2:37">
      <c r="B78" s="216"/>
      <c r="C78" s="216"/>
      <c r="D78" s="216"/>
      <c r="E78" s="216"/>
      <c r="F78" s="216"/>
      <c r="G78" s="216"/>
      <c r="H78" s="216"/>
      <c r="I78" s="216"/>
      <c r="J78" s="216"/>
      <c r="K78" s="216"/>
      <c r="L78" s="216"/>
      <c r="M78" s="216"/>
      <c r="N78" s="216"/>
      <c r="P78" t="s">
        <v>247</v>
      </c>
      <c r="Q78" s="317">
        <v>-38.658104739000002</v>
      </c>
      <c r="T78" t="s">
        <v>336</v>
      </c>
      <c r="U78" s="866"/>
      <c r="V78" s="216"/>
      <c r="X78" s="216"/>
      <c r="Y78" s="216"/>
      <c r="Z78" s="216"/>
      <c r="AA78" s="216"/>
      <c r="AB78" s="216"/>
      <c r="AC78" s="216"/>
      <c r="AD78" s="216"/>
      <c r="AE78" s="216"/>
      <c r="AF78" s="216"/>
      <c r="AG78" s="216"/>
      <c r="AH78" s="216"/>
    </row>
    <row r="79" spans="2:37">
      <c r="B79" s="216"/>
      <c r="C79" s="216"/>
      <c r="D79" s="216"/>
      <c r="E79" s="216"/>
      <c r="F79" s="216"/>
      <c r="G79" s="216"/>
      <c r="H79" s="216"/>
      <c r="I79" s="216"/>
      <c r="J79" s="216"/>
      <c r="K79" s="216"/>
      <c r="L79" s="216"/>
      <c r="M79" s="216"/>
      <c r="N79" s="216"/>
      <c r="P79" t="s">
        <v>195</v>
      </c>
      <c r="Q79" s="317">
        <v>-8.2006961606304731</v>
      </c>
      <c r="T79" t="s">
        <v>223</v>
      </c>
      <c r="U79" s="317"/>
      <c r="V79" s="369"/>
      <c r="X79" s="216"/>
      <c r="Y79" s="216"/>
      <c r="Z79" s="216"/>
      <c r="AA79" s="216"/>
      <c r="AB79" s="216"/>
      <c r="AC79" s="216"/>
      <c r="AD79" s="216"/>
      <c r="AE79" s="216"/>
      <c r="AF79" s="216"/>
      <c r="AG79" s="216"/>
      <c r="AH79" s="216"/>
    </row>
    <row r="80" spans="2:37">
      <c r="B80" s="216"/>
      <c r="C80" s="216"/>
      <c r="D80" s="216"/>
      <c r="E80" s="216"/>
      <c r="F80" s="216"/>
      <c r="G80" s="216"/>
      <c r="H80" s="216"/>
      <c r="I80" s="216"/>
      <c r="J80" s="216"/>
      <c r="K80" s="216"/>
      <c r="L80" s="216"/>
      <c r="M80" s="216"/>
      <c r="N80" s="216"/>
      <c r="P80" s="221" t="s">
        <v>288</v>
      </c>
      <c r="Q80" s="314">
        <v>0.16025881800000011</v>
      </c>
      <c r="T80" t="s">
        <v>515</v>
      </c>
      <c r="U80" s="865"/>
      <c r="W80" s="529"/>
      <c r="X80" s="216"/>
      <c r="Y80" s="216"/>
      <c r="Z80" s="216"/>
      <c r="AA80" s="216"/>
      <c r="AB80" s="216"/>
      <c r="AC80" s="216"/>
      <c r="AD80" s="216"/>
      <c r="AE80" s="216"/>
      <c r="AF80" s="216"/>
      <c r="AG80" s="216"/>
      <c r="AH80" s="216"/>
    </row>
    <row r="81" spans="2:34">
      <c r="B81" s="216"/>
      <c r="C81" s="216"/>
      <c r="D81" s="216"/>
      <c r="E81" s="216"/>
      <c r="F81" s="216"/>
      <c r="G81" s="216"/>
      <c r="H81" s="216"/>
      <c r="I81" s="216"/>
      <c r="J81" s="216"/>
      <c r="K81" s="216"/>
      <c r="L81" s="216"/>
      <c r="M81" s="216"/>
      <c r="N81" s="216"/>
      <c r="P81" t="s">
        <v>290</v>
      </c>
      <c r="Q81" s="314">
        <v>0.90472770000000002</v>
      </c>
      <c r="T81" t="s">
        <v>339</v>
      </c>
      <c r="U81" s="529"/>
      <c r="V81" s="576"/>
      <c r="X81" s="216"/>
      <c r="Y81" s="216"/>
      <c r="Z81" s="216"/>
      <c r="AA81" s="216"/>
      <c r="AB81" s="216"/>
      <c r="AC81" s="216"/>
      <c r="AD81" s="216"/>
      <c r="AE81" s="216"/>
      <c r="AF81" s="216"/>
      <c r="AG81" s="216"/>
      <c r="AH81" s="216"/>
    </row>
    <row r="82" spans="2:34">
      <c r="B82" s="216"/>
      <c r="C82" s="216"/>
      <c r="D82" s="216"/>
      <c r="E82" s="216"/>
      <c r="F82" s="216"/>
      <c r="G82" s="216"/>
      <c r="H82" s="216"/>
      <c r="I82" s="216"/>
      <c r="J82" s="216"/>
      <c r="K82" s="216"/>
      <c r="L82" s="216"/>
      <c r="M82" s="216"/>
      <c r="N82" s="216"/>
      <c r="Q82" s="317"/>
      <c r="X82" s="216"/>
      <c r="Y82" s="216"/>
      <c r="Z82" s="216"/>
      <c r="AA82" s="216"/>
      <c r="AB82" s="216"/>
      <c r="AC82" s="216"/>
      <c r="AD82" s="216"/>
      <c r="AE82" s="216"/>
      <c r="AF82" s="216"/>
      <c r="AG82" s="216"/>
      <c r="AH82" s="216"/>
    </row>
    <row r="83" spans="2:34">
      <c r="B83" s="216"/>
      <c r="C83" s="216"/>
      <c r="D83" s="216"/>
      <c r="E83" s="216"/>
      <c r="F83" s="216"/>
      <c r="G83" s="216"/>
      <c r="H83" s="216"/>
      <c r="I83" s="216"/>
      <c r="J83" s="216"/>
      <c r="K83" s="216"/>
      <c r="L83" s="216"/>
      <c r="M83" s="216"/>
      <c r="N83" s="216"/>
      <c r="Q83" s="314"/>
      <c r="X83" s="216"/>
      <c r="Y83" s="216"/>
      <c r="Z83" s="216"/>
      <c r="AA83" s="216"/>
      <c r="AB83" s="216"/>
      <c r="AC83" s="216"/>
      <c r="AD83" s="216"/>
      <c r="AE83" s="216"/>
      <c r="AF83" s="216"/>
      <c r="AG83" s="216"/>
      <c r="AH83" s="216"/>
    </row>
    <row r="84" spans="2:34">
      <c r="B84" s="216"/>
      <c r="C84" s="216"/>
      <c r="D84" s="216"/>
      <c r="E84" s="216"/>
      <c r="F84" s="216"/>
      <c r="G84" s="216"/>
      <c r="H84" s="216"/>
      <c r="I84" s="216"/>
      <c r="J84" s="216"/>
      <c r="K84" s="216"/>
      <c r="L84" s="216"/>
      <c r="M84" s="216"/>
      <c r="N84" s="216"/>
      <c r="Q84" s="577">
        <f>Q77-SUM(Q78:Q83)</f>
        <v>-99.547015869347049</v>
      </c>
      <c r="T84" t="s">
        <v>289</v>
      </c>
      <c r="U84" s="682" t="e">
        <f>SUM(U85:U87)</f>
        <v>#VALUE!</v>
      </c>
      <c r="X84" s="216"/>
      <c r="Y84" s="216"/>
      <c r="Z84" s="216"/>
      <c r="AA84" s="216"/>
      <c r="AB84" s="216"/>
      <c r="AC84" s="216"/>
      <c r="AD84" s="216"/>
      <c r="AE84" s="216"/>
      <c r="AF84" s="216"/>
      <c r="AG84" s="216"/>
      <c r="AH84" s="216"/>
    </row>
    <row r="85" spans="2:34">
      <c r="B85" s="216"/>
      <c r="C85" s="216"/>
      <c r="D85" s="216"/>
      <c r="E85" s="216"/>
      <c r="F85" s="216"/>
      <c r="G85" s="216"/>
      <c r="H85" s="216"/>
      <c r="I85" s="216"/>
      <c r="J85" s="216"/>
      <c r="K85" s="216"/>
      <c r="L85" s="216"/>
      <c r="M85" s="216"/>
      <c r="N85" s="216"/>
      <c r="T85" s="423" t="s">
        <v>28</v>
      </c>
      <c r="U85" s="430"/>
      <c r="X85" s="216"/>
      <c r="Y85" s="216"/>
      <c r="Z85" s="216"/>
      <c r="AA85" s="216"/>
      <c r="AB85" s="216"/>
      <c r="AC85" s="216"/>
      <c r="AD85" s="216"/>
      <c r="AE85" s="216"/>
      <c r="AF85" s="216"/>
      <c r="AG85" s="216"/>
      <c r="AH85" s="216"/>
    </row>
    <row r="86" spans="2:34">
      <c r="B86" s="216"/>
      <c r="C86" s="216"/>
      <c r="D86" s="216"/>
      <c r="E86" s="216"/>
      <c r="F86" s="216"/>
      <c r="G86" s="216"/>
      <c r="H86" s="216"/>
      <c r="I86" s="216"/>
      <c r="J86" s="216"/>
      <c r="K86" s="216"/>
      <c r="L86" s="216"/>
      <c r="M86" s="216"/>
      <c r="N86" s="216"/>
      <c r="T86" s="135" t="s">
        <v>144</v>
      </c>
      <c r="U86" s="373" t="e">
        <f>-AD56-AJ67-X57-AK66</f>
        <v>#VALUE!</v>
      </c>
      <c r="V86" s="414"/>
      <c r="W86" s="318"/>
      <c r="X86" s="216"/>
      <c r="Y86" s="216"/>
      <c r="Z86" s="216"/>
      <c r="AA86" s="216"/>
      <c r="AB86" s="216"/>
      <c r="AC86" s="216"/>
      <c r="AD86" s="216"/>
      <c r="AE86" s="216"/>
      <c r="AF86" s="216"/>
      <c r="AG86" s="216"/>
      <c r="AH86" s="216"/>
    </row>
    <row r="87" spans="2:34">
      <c r="T87" s="135" t="s">
        <v>273</v>
      </c>
      <c r="U87" s="432"/>
      <c r="X87" s="314"/>
    </row>
    <row r="88" spans="2:34">
      <c r="U88" s="372"/>
      <c r="V88" s="371"/>
      <c r="X88" s="314"/>
    </row>
    <row r="89" spans="2:34">
      <c r="X89" s="314"/>
    </row>
    <row r="92" spans="2:34">
      <c r="X92" s="318"/>
    </row>
    <row r="455" spans="46:46">
      <c r="AT455" s="533">
        <f>AS455</f>
        <v>0</v>
      </c>
    </row>
  </sheetData>
  <mergeCells count="26">
    <mergeCell ref="T59:T60"/>
    <mergeCell ref="AE59:AE60"/>
    <mergeCell ref="AF59:AF60"/>
    <mergeCell ref="AH59:AH60"/>
    <mergeCell ref="AH17:AH18"/>
    <mergeCell ref="T17:T18"/>
    <mergeCell ref="AE17:AE18"/>
    <mergeCell ref="AF17:AF18"/>
    <mergeCell ref="B52:B53"/>
    <mergeCell ref="C52:C53"/>
    <mergeCell ref="B59:B60"/>
    <mergeCell ref="H59:H60"/>
    <mergeCell ref="O59:O60"/>
    <mergeCell ref="P59:P60"/>
    <mergeCell ref="Q59:Q60"/>
    <mergeCell ref="R59:R60"/>
    <mergeCell ref="S59:S60"/>
    <mergeCell ref="Q17:Q18"/>
    <mergeCell ref="R17:R18"/>
    <mergeCell ref="S17:S18"/>
    <mergeCell ref="P17:P18"/>
    <mergeCell ref="B10:B11"/>
    <mergeCell ref="C10:C11"/>
    <mergeCell ref="B17:B18"/>
    <mergeCell ref="H17:H18"/>
    <mergeCell ref="O17:O18"/>
  </mergeCells>
  <pageMargins left="0.7" right="0.7" top="0.75" bottom="0.75" header="0.3" footer="0.3"/>
  <pageSetup orientation="portrait" r:id="rId1"/>
  <customProperties>
    <customPr name="EpmWorksheetKeyString_GUID" r:id="rId2"/>
  </customProperties>
  <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FE6A8-B668-4972-97C5-B8AC1FB0ABA4}">
  <sheetPr>
    <tabColor rgb="FF00B050"/>
  </sheetPr>
  <dimension ref="A1:AF90"/>
  <sheetViews>
    <sheetView showGridLines="0" tabSelected="1" zoomScale="60" zoomScaleNormal="60" workbookViewId="0">
      <pane xSplit="4" ySplit="5" topLeftCell="E22" activePane="bottomRight" state="frozen"/>
      <selection activeCell="U26" sqref="U26"/>
      <selection pane="topRight" activeCell="U26" sqref="U26"/>
      <selection pane="bottomLeft" activeCell="U26" sqref="U26"/>
      <selection pane="bottomRight" activeCell="O25" sqref="O25"/>
    </sheetView>
  </sheetViews>
  <sheetFormatPr defaultRowHeight="15" outlineLevelRow="1"/>
  <cols>
    <col min="1" max="1" width="2.140625" customWidth="1"/>
    <col min="2" max="2" width="11.42578125" customWidth="1"/>
    <col min="3" max="3" width="51.140625" bestFit="1" customWidth="1"/>
    <col min="4" max="4" width="5.85546875" customWidth="1"/>
    <col min="5" max="5" width="12.42578125" bestFit="1" customWidth="1"/>
    <col min="6" max="6" width="14.140625" bestFit="1" customWidth="1"/>
    <col min="7" max="7" width="13.5703125" bestFit="1" customWidth="1"/>
    <col min="8" max="8" width="11.42578125" bestFit="1" customWidth="1"/>
    <col min="9" max="9" width="9.42578125" bestFit="1" customWidth="1"/>
    <col min="10" max="10" width="11.5703125" bestFit="1" customWidth="1"/>
    <col min="11" max="11" width="10.85546875" bestFit="1" customWidth="1"/>
    <col min="12" max="15" width="10.140625" bestFit="1" customWidth="1"/>
    <col min="16" max="16" width="10.85546875" bestFit="1" customWidth="1"/>
    <col min="17" max="17" width="18" customWidth="1"/>
    <col min="19" max="19" width="9.42578125" bestFit="1" customWidth="1"/>
    <col min="20" max="22" width="11" bestFit="1" customWidth="1"/>
    <col min="24" max="24" width="10.140625" bestFit="1" customWidth="1"/>
    <col min="26" max="29" width="10.140625" bestFit="1" customWidth="1"/>
    <col min="30" max="30" width="11.5703125" bestFit="1" customWidth="1"/>
    <col min="32" max="32" width="11.42578125" bestFit="1" customWidth="1"/>
  </cols>
  <sheetData>
    <row r="1" spans="1:32">
      <c r="B1" s="214" t="str">
        <f>'Summary month'!E2</f>
        <v>Apr</v>
      </c>
      <c r="E1" s="135">
        <v>2</v>
      </c>
      <c r="F1" s="135">
        <f>E1+1</f>
        <v>3</v>
      </c>
      <c r="G1" s="135">
        <f t="shared" ref="G1:P1" si="0">F1+1</f>
        <v>4</v>
      </c>
      <c r="H1" s="135">
        <f t="shared" si="0"/>
        <v>5</v>
      </c>
      <c r="I1" s="135">
        <f t="shared" si="0"/>
        <v>6</v>
      </c>
      <c r="J1" s="135">
        <f t="shared" si="0"/>
        <v>7</v>
      </c>
      <c r="K1" s="135">
        <f t="shared" si="0"/>
        <v>8</v>
      </c>
      <c r="L1" s="135">
        <f t="shared" si="0"/>
        <v>9</v>
      </c>
      <c r="M1" s="135">
        <f t="shared" si="0"/>
        <v>10</v>
      </c>
      <c r="N1" s="135">
        <f t="shared" si="0"/>
        <v>11</v>
      </c>
      <c r="O1" s="135">
        <f t="shared" si="0"/>
        <v>12</v>
      </c>
      <c r="P1" s="135">
        <f t="shared" si="0"/>
        <v>13</v>
      </c>
    </row>
    <row r="2" spans="1:32">
      <c r="A2" s="1" t="s">
        <v>0</v>
      </c>
      <c r="B2" s="1"/>
      <c r="C2" s="1"/>
      <c r="D2" s="1" t="s">
        <v>79</v>
      </c>
      <c r="E2" s="2">
        <f>VLOOKUP($B$1,mapping!$C$15:$O$26,E$1,0)</f>
        <v>1</v>
      </c>
      <c r="F2" s="2">
        <f>VLOOKUP($B$1,mapping!$C$15:$O$26,F$1,0)</f>
        <v>0</v>
      </c>
      <c r="G2" s="2">
        <f>VLOOKUP($B$1,mapping!$C$15:$O$26,G$1,0)</f>
        <v>0</v>
      </c>
      <c r="H2" s="2">
        <f>VLOOKUP($B$1,mapping!$C$15:$O$26,H$1,0)</f>
        <v>0</v>
      </c>
      <c r="I2" s="2">
        <f>VLOOKUP($B$1,mapping!$C$15:$O$26,I$1,0)</f>
        <v>0</v>
      </c>
      <c r="J2" s="2">
        <f>VLOOKUP($B$1,mapping!$C$15:$O$26,J$1,0)</f>
        <v>0</v>
      </c>
      <c r="K2" s="2">
        <f>VLOOKUP($B$1,mapping!$C$15:$O$26,K$1,0)</f>
        <v>0</v>
      </c>
      <c r="L2" s="2">
        <f>VLOOKUP($B$1,mapping!$C$15:$O$26,L$1,0)</f>
        <v>0</v>
      </c>
      <c r="M2" s="2">
        <f>VLOOKUP($B$1,mapping!$C$15:$O$26,M$1,0)</f>
        <v>0</v>
      </c>
      <c r="N2" s="2">
        <f>VLOOKUP($B$1,mapping!$C$15:$O$26,N$1,0)</f>
        <v>0</v>
      </c>
      <c r="O2" s="2">
        <f>VLOOKUP($B$1,mapping!$C$15:$O$26,O$1,0)</f>
        <v>0</v>
      </c>
      <c r="P2" s="2">
        <f>VLOOKUP($B$1,mapping!$C$15:$O$26,P$1,0)</f>
        <v>0</v>
      </c>
      <c r="Q2" s="529">
        <f>[16]Act!$N$6</f>
        <v>928.20633009999892</v>
      </c>
      <c r="S2" s="122"/>
      <c r="T2" s="122"/>
      <c r="U2" s="122"/>
      <c r="V2" s="122"/>
      <c r="Z2" s="122"/>
      <c r="AA2" s="122"/>
      <c r="AB2" s="122"/>
      <c r="AC2" s="122"/>
      <c r="AD2" s="122"/>
      <c r="AF2" s="122"/>
    </row>
    <row r="3" spans="1:32" ht="14.45" customHeight="1">
      <c r="A3" s="3" t="s">
        <v>1</v>
      </c>
      <c r="B3" s="4"/>
      <c r="C3" s="5">
        <f>[1]Others!$M$11</f>
        <v>-0.75551000000000001</v>
      </c>
      <c r="D3" s="5" t="s">
        <v>103</v>
      </c>
      <c r="E3" s="2">
        <f>VLOOKUP($B1,mapping!$C$28:$O$39,E$1,0)</f>
        <v>1</v>
      </c>
      <c r="F3" s="2">
        <f>VLOOKUP($B1,mapping!$C$28:$O$39,F$1,0)</f>
        <v>0</v>
      </c>
      <c r="G3" s="2">
        <f>VLOOKUP($B1,mapping!$C$28:$O$39,G$1,0)</f>
        <v>0</v>
      </c>
      <c r="H3" s="2">
        <f>VLOOKUP($B1,mapping!$C$28:$O$39,H$1,0)</f>
        <v>0</v>
      </c>
      <c r="I3" s="2">
        <f>VLOOKUP($B1,mapping!$C$28:$O$39,I$1,0)</f>
        <v>0</v>
      </c>
      <c r="J3" s="2">
        <f>VLOOKUP($B1,mapping!$C$28:$O$39,J$1,0)</f>
        <v>0</v>
      </c>
      <c r="K3" s="2">
        <f>VLOOKUP($B1,mapping!$C$28:$O$39,K$1,0)</f>
        <v>0</v>
      </c>
      <c r="L3" s="2">
        <f>VLOOKUP($B1,mapping!$C$28:$O$39,L$1,0)</f>
        <v>0</v>
      </c>
      <c r="M3" s="2">
        <f>VLOOKUP($B1,mapping!$C$28:$O$39,M$1,0)</f>
        <v>0</v>
      </c>
      <c r="N3" s="2">
        <f>VLOOKUP($B1,mapping!$C$28:$O$39,N$1,0)</f>
        <v>0</v>
      </c>
      <c r="O3" s="2">
        <f>VLOOKUP($B1,mapping!$C$28:$O$39,O$1,0)</f>
        <v>0</v>
      </c>
      <c r="P3" s="2">
        <f>VLOOKUP($B1,mapping!$C$28:$O$39,P$1,0)</f>
        <v>0</v>
      </c>
      <c r="S3">
        <f>INDEX($E$3:$P$3,1,MATCH(S5,$E$5:$P$5,0))</f>
        <v>1</v>
      </c>
      <c r="T3">
        <f>INDEX($E$3:$P$3,1,MATCH(T5,$E$5:$P$5,0))</f>
        <v>0</v>
      </c>
      <c r="U3">
        <f>INDEX($E$3:$P$3,1,MATCH(U5,$E$5:$P$5,0))</f>
        <v>0</v>
      </c>
      <c r="V3" s="122"/>
      <c r="AB3" s="122"/>
      <c r="AC3" s="122"/>
      <c r="AD3" s="122"/>
    </row>
    <row r="4" spans="1:32" ht="14.45" customHeight="1">
      <c r="A4" s="3"/>
      <c r="B4" s="4"/>
      <c r="C4" s="5" t="s">
        <v>486</v>
      </c>
      <c r="D4" s="5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U4" s="122"/>
      <c r="V4" s="122"/>
      <c r="AB4" s="122"/>
      <c r="AC4" s="122"/>
      <c r="AD4" s="122"/>
    </row>
    <row r="5" spans="1:32">
      <c r="A5" s="4"/>
      <c r="B5" s="4"/>
      <c r="C5" s="5"/>
      <c r="D5" s="5"/>
      <c r="E5" s="100" t="s">
        <v>65</v>
      </c>
      <c r="F5" s="101" t="s">
        <v>66</v>
      </c>
      <c r="G5" s="101" t="s">
        <v>67</v>
      </c>
      <c r="H5" s="101" t="s">
        <v>2</v>
      </c>
      <c r="I5" s="101" t="s">
        <v>3</v>
      </c>
      <c r="J5" s="101" t="s">
        <v>4</v>
      </c>
      <c r="K5" s="101" t="s">
        <v>68</v>
      </c>
      <c r="L5" s="101" t="s">
        <v>69</v>
      </c>
      <c r="M5" s="101" t="s">
        <v>70</v>
      </c>
      <c r="N5" s="101" t="s">
        <v>71</v>
      </c>
      <c r="O5" s="101" t="s">
        <v>72</v>
      </c>
      <c r="P5" s="102" t="s">
        <v>73</v>
      </c>
      <c r="Q5" s="107" t="s">
        <v>74</v>
      </c>
      <c r="S5" s="101" t="str">
        <f>VLOOKUP(VLOOKUP(B1,mapping!$A:$C,2,0),mapping!$B:$C,2,0)</f>
        <v>M01</v>
      </c>
      <c r="T5" s="101" t="str">
        <f>LEFT(S5,2)&amp;(RIGHT(S5,1)+1)</f>
        <v>M02</v>
      </c>
      <c r="U5" s="101" t="str">
        <f>LEFT(T5,2)&amp;(RIGHT(T5,1)+1)</f>
        <v>M03</v>
      </c>
      <c r="V5" s="101" t="str">
        <f>VLOOKUP(B1,mapping!$A$2:$B$13,2,0)</f>
        <v>Q1</v>
      </c>
      <c r="X5" s="101" t="s">
        <v>79</v>
      </c>
      <c r="Z5" s="101" t="s">
        <v>75</v>
      </c>
      <c r="AA5" s="101" t="s">
        <v>76</v>
      </c>
      <c r="AB5" s="101" t="s">
        <v>77</v>
      </c>
      <c r="AC5" s="101" t="s">
        <v>78</v>
      </c>
      <c r="AD5" s="101" t="s">
        <v>74</v>
      </c>
      <c r="AF5" s="101" t="s">
        <v>335</v>
      </c>
    </row>
    <row r="6" spans="1:32">
      <c r="A6" s="6"/>
      <c r="B6" s="7" t="s">
        <v>5</v>
      </c>
      <c r="C6" s="7"/>
      <c r="D6" s="8"/>
      <c r="E6" s="670">
        <f>'[14]P&amp;L Actual'!H9</f>
        <v>1356.722</v>
      </c>
      <c r="F6" s="670">
        <f>'[14]P&amp;L Actual'!I9</f>
        <v>1405.501</v>
      </c>
      <c r="G6" s="670">
        <f>'[14]P&amp;L Actual'!J9</f>
        <v>1565.7449999999999</v>
      </c>
      <c r="H6" s="670">
        <f>'[14]P&amp;L Actual'!K9</f>
        <v>1387.4110000000001</v>
      </c>
      <c r="I6" s="670">
        <f>'[14]P&amp;L Actual'!L9</f>
        <v>1044.5920000000001</v>
      </c>
      <c r="J6" s="10">
        <f>'[14]P&amp;L Actual'!M9</f>
        <v>1548.3879999999999</v>
      </c>
      <c r="K6" s="10">
        <f>'[14]P&amp;L Actual'!N9</f>
        <v>1396.605</v>
      </c>
      <c r="L6" s="10">
        <f>'[14]P&amp;L Actual'!O9</f>
        <v>1406.473</v>
      </c>
      <c r="M6" s="10">
        <f>'[14]P&amp;L Actual'!P9</f>
        <v>1554.838</v>
      </c>
      <c r="N6" s="10">
        <f>'[14]P&amp;L Actual'!Q9</f>
        <v>1238.3779</v>
      </c>
      <c r="O6" s="10">
        <f>'[1]P&amp;L Actual'!R9</f>
        <v>1230.6235999999999</v>
      </c>
      <c r="P6" s="10">
        <f>'[1]P&amp;L Actual'!S9</f>
        <v>0</v>
      </c>
      <c r="Q6" s="105">
        <f>SUM(E6:P6)</f>
        <v>15135.2765</v>
      </c>
      <c r="S6" s="10">
        <f>SUMIFS($E6:$P6,$E$3:$P$3,1,$E$5:$P$5,S$5)</f>
        <v>1356.722</v>
      </c>
      <c r="T6" s="10">
        <f>SUMIFS($E6:$P6,$E$3:$P$3,1,$E$5:$P$5,T$5)</f>
        <v>0</v>
      </c>
      <c r="U6" s="10">
        <f>SUMIFS($E6:$P6,$E$3:$P$3,1,$E$5:$P$5,U$5)</f>
        <v>0</v>
      </c>
      <c r="V6" s="10">
        <f>SUM(S6:U6)</f>
        <v>1356.722</v>
      </c>
      <c r="X6" s="10">
        <f>SUMIF($E$2:$P$2,1,E6:P6)</f>
        <v>1356.722</v>
      </c>
      <c r="Z6" s="10">
        <f>SUM(E6:G6)</f>
        <v>4327.9679999999998</v>
      </c>
      <c r="AA6" s="10">
        <f>SUM(H6:J6)</f>
        <v>3980.3910000000001</v>
      </c>
      <c r="AB6" s="10">
        <f>SUM(K6:M6)</f>
        <v>4357.9160000000002</v>
      </c>
      <c r="AC6" s="10">
        <f>SUM(N6:P6)</f>
        <v>2469.0014999999999</v>
      </c>
      <c r="AD6" s="10">
        <f>SUM(Z6:AC6)</f>
        <v>15135.276500000002</v>
      </c>
      <c r="AF6" s="10">
        <f>AA6-Z6</f>
        <v>-347.57699999999977</v>
      </c>
    </row>
    <row r="7" spans="1:32">
      <c r="A7" s="6"/>
      <c r="B7" s="7" t="s">
        <v>6</v>
      </c>
      <c r="C7" s="7"/>
      <c r="D7" s="8"/>
      <c r="E7" s="9">
        <f>'[14]P&amp;L Actual'!H5/1000</f>
        <v>20.428999999999998</v>
      </c>
      <c r="F7" s="9">
        <f>'[14]P&amp;L Actual'!I5/1000</f>
        <v>26.765000000000001</v>
      </c>
      <c r="G7" s="9">
        <f>'[14]P&amp;L Actual'!J5/1000</f>
        <v>33.113</v>
      </c>
      <c r="H7" s="9">
        <f>'[14]P&amp;L Actual'!K5/1000</f>
        <v>24.555</v>
      </c>
      <c r="I7" s="9">
        <f>'[14]P&amp;L Actual'!L5/1000</f>
        <v>16.222999999999999</v>
      </c>
      <c r="J7" s="10">
        <f>'[14]P&amp;L Actual'!M5/1000</f>
        <v>39.014000000000003</v>
      </c>
      <c r="K7" s="10">
        <f>'[14]P&amp;L Actual'!N5/1000</f>
        <v>26.247</v>
      </c>
      <c r="L7" s="10">
        <f>'[14]P&amp;L Actual'!O5/1000</f>
        <v>28.564</v>
      </c>
      <c r="M7" s="10">
        <f>'[14]P&amp;L Actual'!P5/1000</f>
        <v>23.823</v>
      </c>
      <c r="N7" s="10">
        <f>'[14]P&amp;L Actual'!Q5/1000</f>
        <v>28.803000000000001</v>
      </c>
      <c r="O7" s="10">
        <f>'[1]P&amp;L Actual'!R5/1000</f>
        <v>24.721</v>
      </c>
      <c r="P7" s="10">
        <f>'[1]P&amp;L Actual'!S5/1000</f>
        <v>0</v>
      </c>
      <c r="Q7" s="105">
        <f t="shared" ref="Q7:Q12" si="1">SUM(E7:P7)</f>
        <v>292.25700000000001</v>
      </c>
      <c r="S7" s="10">
        <f t="shared" ref="S7:U13" si="2">SUMIFS($E7:$P7,$E$3:$P$3,1,$E$5:$P$5,S$5)</f>
        <v>20.428999999999998</v>
      </c>
      <c r="T7" s="10">
        <f t="shared" si="2"/>
        <v>0</v>
      </c>
      <c r="U7" s="10">
        <f t="shared" si="2"/>
        <v>0</v>
      </c>
      <c r="V7" s="10">
        <f t="shared" ref="V7:V13" si="3">SUM(S7:U7)</f>
        <v>20.428999999999998</v>
      </c>
      <c r="X7" s="10">
        <f t="shared" ref="X7:X13" si="4">SUMIF($E$2:$P$2,1,E7:P7)</f>
        <v>20.428999999999998</v>
      </c>
      <c r="Z7" s="10">
        <f t="shared" ref="Z7:Z13" si="5">SUM(E7:G7)</f>
        <v>80.307000000000002</v>
      </c>
      <c r="AA7" s="10">
        <f t="shared" ref="AA7:AA13" si="6">SUM(H7:J7)</f>
        <v>79.792000000000002</v>
      </c>
      <c r="AB7" s="10">
        <f t="shared" ref="AB7:AB13" si="7">SUM(K7:M7)</f>
        <v>78.634</v>
      </c>
      <c r="AC7" s="10">
        <f t="shared" ref="AC7:AC13" si="8">SUM(N7:P7)</f>
        <v>53.524000000000001</v>
      </c>
      <c r="AD7" s="10">
        <f t="shared" ref="AD7:AD13" si="9">SUM(Z7:AC7)</f>
        <v>292.25700000000001</v>
      </c>
      <c r="AF7" s="10">
        <f t="shared" ref="AF7:AF13" si="10">AA7-Z7</f>
        <v>-0.51500000000000057</v>
      </c>
    </row>
    <row r="8" spans="1:32">
      <c r="A8" s="6"/>
      <c r="B8" s="7" t="s">
        <v>7</v>
      </c>
      <c r="C8" s="7"/>
      <c r="D8" s="8"/>
      <c r="E8" s="9">
        <f>'[14]P&amp;L Actual'!H6/1000</f>
        <v>0</v>
      </c>
      <c r="F8" s="9">
        <f>'[14]P&amp;L Actual'!I6/1000</f>
        <v>0</v>
      </c>
      <c r="G8" s="9">
        <f>'[14]P&amp;L Actual'!J6/1000</f>
        <v>0</v>
      </c>
      <c r="H8" s="9">
        <f>'[14]P&amp;L Actual'!K6/1000</f>
        <v>0</v>
      </c>
      <c r="I8" s="9">
        <f>'[14]P&amp;L Actual'!L6/1000</f>
        <v>0</v>
      </c>
      <c r="J8" s="10">
        <f>'[14]P&amp;L Actual'!M6/1000</f>
        <v>0</v>
      </c>
      <c r="K8" s="10">
        <f>'[14]P&amp;L Actual'!N6/1000</f>
        <v>0</v>
      </c>
      <c r="L8" s="10">
        <f>'[14]P&amp;L Actual'!O6/1000</f>
        <v>0</v>
      </c>
      <c r="M8" s="10">
        <f>'[14]P&amp;L Actual'!P6/1000</f>
        <v>0</v>
      </c>
      <c r="N8" s="10">
        <f>'[14]P&amp;L Actual'!Q6/1000</f>
        <v>0</v>
      </c>
      <c r="O8" s="10">
        <f>'[1]P&amp;L Actual'!R6/1000</f>
        <v>0</v>
      </c>
      <c r="P8" s="10">
        <f>'[1]P&amp;L Actual'!S6/1000</f>
        <v>0</v>
      </c>
      <c r="Q8" s="105">
        <f t="shared" si="1"/>
        <v>0</v>
      </c>
      <c r="S8" s="10">
        <f t="shared" si="2"/>
        <v>0</v>
      </c>
      <c r="T8" s="10">
        <f t="shared" si="2"/>
        <v>0</v>
      </c>
      <c r="U8" s="10">
        <f t="shared" si="2"/>
        <v>0</v>
      </c>
      <c r="V8" s="10">
        <f t="shared" si="3"/>
        <v>0</v>
      </c>
      <c r="X8" s="10">
        <f t="shared" si="4"/>
        <v>0</v>
      </c>
      <c r="Z8" s="10">
        <f t="shared" si="5"/>
        <v>0</v>
      </c>
      <c r="AA8" s="10">
        <f t="shared" si="6"/>
        <v>0</v>
      </c>
      <c r="AB8" s="10">
        <f t="shared" si="7"/>
        <v>0</v>
      </c>
      <c r="AC8" s="10">
        <f t="shared" si="8"/>
        <v>0</v>
      </c>
      <c r="AD8" s="10">
        <f t="shared" si="9"/>
        <v>0</v>
      </c>
      <c r="AF8" s="10">
        <f t="shared" si="10"/>
        <v>0</v>
      </c>
    </row>
    <row r="9" spans="1:32">
      <c r="A9" s="6"/>
      <c r="B9" s="7" t="s">
        <v>8</v>
      </c>
      <c r="C9" s="7"/>
      <c r="D9" s="8"/>
      <c r="E9" s="9">
        <f>'[14]P&amp;L Actual'!H7/1000</f>
        <v>0</v>
      </c>
      <c r="F9" s="9">
        <f>'[14]P&amp;L Actual'!I7/1000</f>
        <v>0</v>
      </c>
      <c r="G9" s="9">
        <f>'[14]P&amp;L Actual'!J7/1000</f>
        <v>0</v>
      </c>
      <c r="H9" s="9">
        <f>'[14]P&amp;L Actual'!K7/1000</f>
        <v>0</v>
      </c>
      <c r="I9" s="9">
        <f>'[14]P&amp;L Actual'!L7/1000</f>
        <v>0</v>
      </c>
      <c r="J9" s="10">
        <f>'[14]P&amp;L Actual'!M7/1000</f>
        <v>0</v>
      </c>
      <c r="K9" s="10">
        <f>'[14]P&amp;L Actual'!N7/1000</f>
        <v>0</v>
      </c>
      <c r="L9" s="10">
        <f>'[14]P&amp;L Actual'!O7/1000</f>
        <v>0</v>
      </c>
      <c r="M9" s="10">
        <f>'[14]P&amp;L Actual'!P7/1000</f>
        <v>0</v>
      </c>
      <c r="N9" s="10">
        <f>'[14]P&amp;L Actual'!Q7/1000</f>
        <v>0</v>
      </c>
      <c r="O9" s="10">
        <f>'[1]P&amp;L Actual'!R7/1000</f>
        <v>0</v>
      </c>
      <c r="P9" s="10">
        <f>'[1]P&amp;L Actual'!S7/1000</f>
        <v>0</v>
      </c>
      <c r="Q9" s="105">
        <f t="shared" si="1"/>
        <v>0</v>
      </c>
      <c r="S9" s="10">
        <f t="shared" si="2"/>
        <v>0</v>
      </c>
      <c r="T9" s="10">
        <f t="shared" si="2"/>
        <v>0</v>
      </c>
      <c r="U9" s="10">
        <f t="shared" si="2"/>
        <v>0</v>
      </c>
      <c r="V9" s="10">
        <f t="shared" si="3"/>
        <v>0</v>
      </c>
      <c r="X9" s="10">
        <f t="shared" si="4"/>
        <v>0</v>
      </c>
      <c r="Z9" s="10">
        <f t="shared" si="5"/>
        <v>0</v>
      </c>
      <c r="AA9" s="10">
        <f t="shared" si="6"/>
        <v>0</v>
      </c>
      <c r="AB9" s="10">
        <f t="shared" si="7"/>
        <v>0</v>
      </c>
      <c r="AC9" s="10">
        <f t="shared" si="8"/>
        <v>0</v>
      </c>
      <c r="AD9" s="10">
        <f t="shared" si="9"/>
        <v>0</v>
      </c>
      <c r="AF9" s="10">
        <f t="shared" si="10"/>
        <v>0</v>
      </c>
    </row>
    <row r="10" spans="1:32">
      <c r="A10" s="6"/>
      <c r="B10" s="7" t="s">
        <v>9</v>
      </c>
      <c r="C10" s="7"/>
      <c r="D10" s="8"/>
      <c r="E10" s="9">
        <f>'[14]P&amp;L Actual'!H21/1000</f>
        <v>16.117999999999999</v>
      </c>
      <c r="F10" s="9">
        <f>'[14]P&amp;L Actual'!I21/1000</f>
        <v>23.010999999999999</v>
      </c>
      <c r="G10" s="9">
        <f>'[14]P&amp;L Actual'!J21/1000</f>
        <v>30.538</v>
      </c>
      <c r="H10" s="9">
        <f>'[14]P&amp;L Actual'!K21/1000</f>
        <v>21.085999999999999</v>
      </c>
      <c r="I10" s="9">
        <f>'[14]P&amp;L Actual'!L21/1000</f>
        <v>18.341999999999999</v>
      </c>
      <c r="J10" s="10">
        <f>'[14]P&amp;L Actual'!M21/1000</f>
        <v>39.103000000000002</v>
      </c>
      <c r="K10" s="10">
        <f>'[14]P&amp;L Actual'!N21/1000</f>
        <v>22.727</v>
      </c>
      <c r="L10" s="10">
        <f>'[14]P&amp;L Actual'!O21/1000</f>
        <v>31.667000000000002</v>
      </c>
      <c r="M10" s="10">
        <f>'[14]P&amp;L Actual'!P21/1000</f>
        <v>26.382000000000001</v>
      </c>
      <c r="N10" s="10">
        <f>'[14]P&amp;L Actual'!Q21/1000</f>
        <v>28.884</v>
      </c>
      <c r="O10" s="10">
        <f>'[1]P&amp;L Actual'!R21/1000</f>
        <v>28.614000000000001</v>
      </c>
      <c r="P10" s="10">
        <f>'[1]P&amp;L Actual'!S21/1000</f>
        <v>0</v>
      </c>
      <c r="Q10" s="105">
        <f t="shared" si="1"/>
        <v>286.47199999999998</v>
      </c>
      <c r="S10" s="10">
        <f t="shared" si="2"/>
        <v>16.117999999999999</v>
      </c>
      <c r="T10" s="10">
        <f t="shared" si="2"/>
        <v>0</v>
      </c>
      <c r="U10" s="10">
        <f t="shared" si="2"/>
        <v>0</v>
      </c>
      <c r="V10" s="10">
        <f t="shared" si="3"/>
        <v>16.117999999999999</v>
      </c>
      <c r="X10" s="10">
        <f t="shared" si="4"/>
        <v>16.117999999999999</v>
      </c>
      <c r="Z10" s="10">
        <f t="shared" si="5"/>
        <v>69.667000000000002</v>
      </c>
      <c r="AA10" s="10">
        <f t="shared" si="6"/>
        <v>78.531000000000006</v>
      </c>
      <c r="AB10" s="10">
        <f t="shared" si="7"/>
        <v>80.77600000000001</v>
      </c>
      <c r="AC10" s="10">
        <f t="shared" si="8"/>
        <v>57.498000000000005</v>
      </c>
      <c r="AD10" s="10">
        <f t="shared" si="9"/>
        <v>286.47200000000004</v>
      </c>
      <c r="AF10" s="10">
        <f t="shared" si="10"/>
        <v>8.8640000000000043</v>
      </c>
    </row>
    <row r="11" spans="1:32">
      <c r="A11" s="6"/>
      <c r="B11" s="7" t="s">
        <v>10</v>
      </c>
      <c r="C11" s="7"/>
      <c r="D11" s="8"/>
      <c r="E11" s="9">
        <f>'[14]P&amp;L Actual'!H22/1000</f>
        <v>7.0000000000000001E-3</v>
      </c>
      <c r="F11" s="9">
        <f>'[14]P&amp;L Actual'!I22/1000</f>
        <v>1E-3</v>
      </c>
      <c r="G11" s="9">
        <f>'[14]P&amp;L Actual'!J22/1000</f>
        <v>0</v>
      </c>
      <c r="H11" s="9">
        <f>'[14]P&amp;L Actual'!K22/1000</f>
        <v>4.1000000000000002E-2</v>
      </c>
      <c r="I11" s="9">
        <f>'[14]P&amp;L Actual'!L22/1000</f>
        <v>0</v>
      </c>
      <c r="J11" s="10">
        <f>'[14]P&amp;L Actual'!M22/1000</f>
        <v>0</v>
      </c>
      <c r="K11" s="10">
        <f>'[14]P&amp;L Actual'!N22/1000</f>
        <v>0</v>
      </c>
      <c r="L11" s="10">
        <f>'[14]P&amp;L Actual'!O22/1000</f>
        <v>0</v>
      </c>
      <c r="M11" s="10">
        <f>'[14]P&amp;L Actual'!P22/1000</f>
        <v>3.4000000000000002E-2</v>
      </c>
      <c r="N11" s="10">
        <f>'[14]P&amp;L Actual'!Q22/1000</f>
        <v>2E-3</v>
      </c>
      <c r="O11" s="10">
        <f>'[1]P&amp;L Actual'!R22/1000</f>
        <v>4.0000000000000001E-3</v>
      </c>
      <c r="P11" s="10">
        <f>'[1]P&amp;L Actual'!S22/1000</f>
        <v>0</v>
      </c>
      <c r="Q11" s="105">
        <f t="shared" si="1"/>
        <v>8.900000000000001E-2</v>
      </c>
      <c r="S11" s="10">
        <f t="shared" si="2"/>
        <v>7.0000000000000001E-3</v>
      </c>
      <c r="T11" s="10">
        <f t="shared" si="2"/>
        <v>0</v>
      </c>
      <c r="U11" s="10">
        <f t="shared" si="2"/>
        <v>0</v>
      </c>
      <c r="V11" s="10">
        <f t="shared" si="3"/>
        <v>7.0000000000000001E-3</v>
      </c>
      <c r="X11" s="10">
        <f t="shared" si="4"/>
        <v>7.0000000000000001E-3</v>
      </c>
      <c r="Z11" s="10">
        <f t="shared" si="5"/>
        <v>8.0000000000000002E-3</v>
      </c>
      <c r="AA11" s="10">
        <f t="shared" si="6"/>
        <v>4.1000000000000002E-2</v>
      </c>
      <c r="AB11" s="10">
        <f t="shared" si="7"/>
        <v>3.4000000000000002E-2</v>
      </c>
      <c r="AC11" s="10">
        <f t="shared" si="8"/>
        <v>6.0000000000000001E-3</v>
      </c>
      <c r="AD11" s="10">
        <f t="shared" si="9"/>
        <v>8.900000000000001E-2</v>
      </c>
      <c r="AF11" s="10">
        <f t="shared" si="10"/>
        <v>3.3000000000000002E-2</v>
      </c>
    </row>
    <row r="12" spans="1:32">
      <c r="A12" s="6"/>
      <c r="B12" s="7" t="s">
        <v>11</v>
      </c>
      <c r="C12" s="7"/>
      <c r="D12" s="8"/>
      <c r="E12" s="9">
        <f>'[14]P&amp;L Actual'!H23/1000</f>
        <v>0</v>
      </c>
      <c r="F12" s="9">
        <f>'[14]P&amp;L Actual'!I23/1000</f>
        <v>0</v>
      </c>
      <c r="G12" s="9">
        <f>'[14]P&amp;L Actual'!J23/1000</f>
        <v>0</v>
      </c>
      <c r="H12" s="9">
        <f>'[14]P&amp;L Actual'!K23/1000</f>
        <v>0</v>
      </c>
      <c r="I12" s="9">
        <f>'[14]P&amp;L Actual'!L23/1000</f>
        <v>0</v>
      </c>
      <c r="J12" s="10">
        <f>'[14]P&amp;L Actual'!M23/1000</f>
        <v>0</v>
      </c>
      <c r="K12" s="10">
        <f>'[14]P&amp;L Actual'!N23/1000</f>
        <v>0</v>
      </c>
      <c r="L12" s="10">
        <f>'[14]P&amp;L Actual'!O23/1000</f>
        <v>0</v>
      </c>
      <c r="M12" s="10">
        <f>'[14]P&amp;L Actual'!P23/1000</f>
        <v>0</v>
      </c>
      <c r="N12" s="10">
        <f>'[14]P&amp;L Actual'!Q23/1000</f>
        <v>0</v>
      </c>
      <c r="O12" s="10">
        <f>'[1]P&amp;L Actual'!R23/1000</f>
        <v>0</v>
      </c>
      <c r="P12" s="10">
        <f>'[1]P&amp;L Actual'!S23/1000</f>
        <v>0</v>
      </c>
      <c r="Q12" s="106">
        <f t="shared" si="1"/>
        <v>0</v>
      </c>
      <c r="S12" s="10">
        <f t="shared" si="2"/>
        <v>0</v>
      </c>
      <c r="T12" s="10">
        <f t="shared" si="2"/>
        <v>0</v>
      </c>
      <c r="U12" s="10">
        <f t="shared" si="2"/>
        <v>0</v>
      </c>
      <c r="V12" s="10">
        <f t="shared" si="3"/>
        <v>0</v>
      </c>
      <c r="X12" s="10">
        <f t="shared" si="4"/>
        <v>0</v>
      </c>
      <c r="Z12" s="10">
        <f t="shared" si="5"/>
        <v>0</v>
      </c>
      <c r="AA12" s="10">
        <f t="shared" si="6"/>
        <v>0</v>
      </c>
      <c r="AB12" s="10">
        <f t="shared" si="7"/>
        <v>0</v>
      </c>
      <c r="AC12" s="10">
        <f t="shared" si="8"/>
        <v>0</v>
      </c>
      <c r="AD12" s="10">
        <f t="shared" si="9"/>
        <v>0</v>
      </c>
      <c r="AF12" s="10">
        <f t="shared" si="10"/>
        <v>0</v>
      </c>
    </row>
    <row r="13" spans="1:32">
      <c r="A13" s="6"/>
      <c r="B13" s="7" t="s">
        <v>12</v>
      </c>
      <c r="C13" s="7"/>
      <c r="D13" s="8"/>
      <c r="E13" s="11">
        <f>'[14]P&amp;L Actual'!H27/1000</f>
        <v>0.48099999999999998</v>
      </c>
      <c r="F13" s="11">
        <f>'[14]P&amp;L Actual'!I27/1000</f>
        <v>1.4910000000000001</v>
      </c>
      <c r="G13" s="11">
        <f>'[14]P&amp;L Actual'!J27/1000</f>
        <v>1.0249999999999999</v>
      </c>
      <c r="H13" s="11">
        <f>'[14]P&amp;L Actual'!K27/1000</f>
        <v>0.34699999999999998</v>
      </c>
      <c r="I13" s="11">
        <f>'[14]P&amp;L Actual'!L27/1000</f>
        <v>0.53300000000000003</v>
      </c>
      <c r="J13" s="12">
        <f>'[14]P&amp;L Actual'!M27/1000</f>
        <v>0.39200000000000002</v>
      </c>
      <c r="K13" s="12">
        <f>'[14]P&amp;L Actual'!N27/1000</f>
        <v>0.60099999999999998</v>
      </c>
      <c r="L13" s="12">
        <f>'[14]P&amp;L Actual'!O27/1000</f>
        <v>0.625</v>
      </c>
      <c r="M13" s="12">
        <f>'[14]P&amp;L Actual'!P27/1000</f>
        <v>0.68200000000000005</v>
      </c>
      <c r="N13" s="12">
        <f>'[14]P&amp;L Actual'!Q27/1000</f>
        <v>0.34899999999999998</v>
      </c>
      <c r="O13" s="12">
        <f>'[1]P&amp;L Actual'!R27/1000</f>
        <v>0.72699999999999998</v>
      </c>
      <c r="P13" s="12">
        <f>'[1]P&amp;L Actual'!S27/1000</f>
        <v>0</v>
      </c>
      <c r="Q13" s="106">
        <f>SUM(E13:P13)</f>
        <v>7.253000000000001</v>
      </c>
      <c r="S13" s="12">
        <f t="shared" si="2"/>
        <v>0.48099999999999998</v>
      </c>
      <c r="T13" s="12">
        <f t="shared" si="2"/>
        <v>0</v>
      </c>
      <c r="U13" s="12">
        <f t="shared" si="2"/>
        <v>0</v>
      </c>
      <c r="V13" s="12">
        <f t="shared" si="3"/>
        <v>0.48099999999999998</v>
      </c>
      <c r="X13" s="12">
        <f t="shared" si="4"/>
        <v>0.48099999999999998</v>
      </c>
      <c r="Z13" s="10">
        <f t="shared" si="5"/>
        <v>2.9969999999999999</v>
      </c>
      <c r="AA13" s="10">
        <f t="shared" si="6"/>
        <v>1.272</v>
      </c>
      <c r="AB13" s="10">
        <f t="shared" si="7"/>
        <v>1.9079999999999999</v>
      </c>
      <c r="AC13" s="10">
        <f t="shared" si="8"/>
        <v>1.0760000000000001</v>
      </c>
      <c r="AD13" s="10">
        <f t="shared" si="9"/>
        <v>7.2530000000000001</v>
      </c>
      <c r="AF13" s="10">
        <f t="shared" si="10"/>
        <v>-1.7249999999999999</v>
      </c>
    </row>
    <row r="14" spans="1:32">
      <c r="A14" s="13"/>
      <c r="B14" s="14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S14" s="2"/>
      <c r="T14" s="2"/>
      <c r="U14" s="2"/>
      <c r="V14" s="2"/>
      <c r="X14" s="2"/>
      <c r="Z14" s="2"/>
      <c r="AA14" s="2"/>
      <c r="AB14" s="2"/>
      <c r="AC14" s="2"/>
      <c r="AD14" s="2"/>
      <c r="AF14" s="2"/>
    </row>
    <row r="15" spans="1:32">
      <c r="A15" s="13"/>
      <c r="B15" s="14"/>
      <c r="C15" s="14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S15" s="13"/>
      <c r="T15" s="13"/>
      <c r="U15" s="13"/>
      <c r="V15" s="13"/>
      <c r="X15" s="13"/>
      <c r="Z15" s="13"/>
      <c r="AA15" s="13"/>
      <c r="AB15" s="13"/>
      <c r="AC15" s="13"/>
      <c r="AD15" s="13"/>
      <c r="AF15" s="13"/>
    </row>
    <row r="16" spans="1:32">
      <c r="A16" s="16"/>
      <c r="B16" s="16"/>
      <c r="C16" s="17" t="s">
        <v>13</v>
      </c>
      <c r="D16" s="17"/>
      <c r="E16" s="18"/>
      <c r="F16" s="18"/>
      <c r="G16" s="18"/>
      <c r="H16" s="18"/>
      <c r="I16" s="18"/>
      <c r="J16" s="19"/>
      <c r="K16" s="19"/>
      <c r="L16" s="19"/>
      <c r="M16" s="19"/>
      <c r="N16" s="19"/>
      <c r="O16" s="19"/>
      <c r="P16" s="19"/>
      <c r="Q16" s="108">
        <f t="shared" ref="Q16:Q47" si="11">SUM(E16:P16)</f>
        <v>0</v>
      </c>
      <c r="S16" s="19"/>
      <c r="T16" s="19"/>
      <c r="U16" s="19"/>
      <c r="V16" s="19"/>
      <c r="X16" s="19"/>
      <c r="Z16" s="19"/>
      <c r="AA16" s="19"/>
      <c r="AB16" s="19"/>
      <c r="AC16" s="19"/>
      <c r="AD16" s="19"/>
      <c r="AF16" s="19"/>
    </row>
    <row r="17" spans="1:32">
      <c r="A17" s="20"/>
      <c r="B17" s="20"/>
      <c r="C17" s="21" t="s">
        <v>14</v>
      </c>
      <c r="D17" s="21"/>
      <c r="E17" s="22"/>
      <c r="F17" s="22"/>
      <c r="G17" s="22"/>
      <c r="H17" s="22"/>
      <c r="I17" s="22"/>
      <c r="J17" s="23"/>
      <c r="K17" s="23"/>
      <c r="L17" s="23"/>
      <c r="M17" s="23"/>
      <c r="N17" s="23"/>
      <c r="O17" s="23"/>
      <c r="P17" s="23"/>
      <c r="Q17" s="109">
        <f t="shared" si="11"/>
        <v>0</v>
      </c>
      <c r="S17" s="23"/>
      <c r="T17" s="23"/>
      <c r="U17" s="23"/>
      <c r="V17" s="23"/>
      <c r="X17" s="23"/>
      <c r="Z17" s="23"/>
      <c r="AA17" s="23"/>
      <c r="AB17" s="23"/>
      <c r="AC17" s="23"/>
      <c r="AD17" s="23"/>
      <c r="AF17" s="23"/>
    </row>
    <row r="18" spans="1:32">
      <c r="A18" s="24" t="s">
        <v>15</v>
      </c>
      <c r="B18" s="25"/>
      <c r="C18" s="26"/>
      <c r="D18" s="26"/>
      <c r="E18" s="27">
        <f>[16]Act!D222</f>
        <v>612.22646137803633</v>
      </c>
      <c r="F18" s="27">
        <f>[16]Act!E222</f>
        <v>755.94014885834781</v>
      </c>
      <c r="G18" s="27">
        <f>[16]Act!F222</f>
        <v>991.81161270891232</v>
      </c>
      <c r="H18" s="27">
        <f>[16]Act!G222</f>
        <v>752.80413095636118</v>
      </c>
      <c r="I18" s="27">
        <f>[16]Act!H222</f>
        <v>624.40953069327338</v>
      </c>
      <c r="J18" s="29">
        <f>[16]Act!I222</f>
        <v>1224.6119041442605</v>
      </c>
      <c r="K18" s="29">
        <f>[16]Act!J222</f>
        <v>787.44751837815136</v>
      </c>
      <c r="L18" s="29">
        <f>[16]Act!K222</f>
        <v>972.88695918759436</v>
      </c>
      <c r="M18" s="29">
        <f>[16]Act!L222</f>
        <v>887.43538592513426</v>
      </c>
      <c r="N18" s="29">
        <f>[16]Act!M222</f>
        <v>867.43498238986717</v>
      </c>
      <c r="O18" s="29">
        <f>[16]Act!N222</f>
        <v>905.42756402582847</v>
      </c>
      <c r="P18" s="29">
        <f>[16]Act!O222</f>
        <v>0</v>
      </c>
      <c r="Q18" s="108">
        <f t="shared" si="11"/>
        <v>9382.4361986457679</v>
      </c>
      <c r="S18" s="29">
        <f>SUMIFS($E18:$P18,$E$3:$P$3,1,$E$5:$P$5,S$5)</f>
        <v>612.22646137803633</v>
      </c>
      <c r="T18" s="29">
        <f>SUMIFS($E18:$P18,$E$3:$P$3,1,$E$5:$P$5,T$5)</f>
        <v>0</v>
      </c>
      <c r="U18" s="29">
        <f>SUMIFS($E18:$P18,$E$3:$P$3,1,$E$5:$P$5,U$5)</f>
        <v>0</v>
      </c>
      <c r="V18" s="29">
        <f>SUM(S18:U18)</f>
        <v>612.22646137803633</v>
      </c>
      <c r="X18" s="29">
        <f>SUMIF($E$2:$P$2,1,E18:P18)</f>
        <v>612.22646137803633</v>
      </c>
      <c r="Z18" s="29">
        <f>SUM(E18:G18)</f>
        <v>2359.9782229452967</v>
      </c>
      <c r="AA18" s="29">
        <f>SUM(H18:J18)</f>
        <v>2601.8255657938953</v>
      </c>
      <c r="AB18" s="29">
        <f>SUM(K18:M18)</f>
        <v>2647.7698634908797</v>
      </c>
      <c r="AC18" s="29">
        <f>SUM(N18:P18)</f>
        <v>1772.8625464156958</v>
      </c>
      <c r="AD18" s="29">
        <f>SUM(Z18:AC18)</f>
        <v>9382.4361986457679</v>
      </c>
      <c r="AF18" s="29">
        <f>AA18-Z18</f>
        <v>241.8473428485986</v>
      </c>
    </row>
    <row r="19" spans="1:32">
      <c r="A19" s="20"/>
      <c r="B19" s="16"/>
      <c r="C19" s="17" t="s">
        <v>16</v>
      </c>
      <c r="D19" s="17"/>
      <c r="E19" s="18"/>
      <c r="F19" s="18"/>
      <c r="G19" s="18"/>
      <c r="H19" s="18"/>
      <c r="I19" s="18"/>
      <c r="J19" s="19"/>
      <c r="K19" s="19"/>
      <c r="L19" s="19"/>
      <c r="M19" s="19"/>
      <c r="N19" s="19"/>
      <c r="O19" s="19"/>
      <c r="P19" s="19"/>
      <c r="Q19" s="108">
        <f t="shared" si="11"/>
        <v>0</v>
      </c>
      <c r="S19" s="19"/>
      <c r="T19" s="19"/>
      <c r="U19" s="19"/>
      <c r="V19" s="19"/>
      <c r="X19" s="19"/>
      <c r="Z19" s="19"/>
      <c r="AA19" s="19"/>
      <c r="AB19" s="19"/>
      <c r="AC19" s="19"/>
      <c r="AD19" s="19"/>
      <c r="AF19" s="19"/>
    </row>
    <row r="20" spans="1:32">
      <c r="A20" s="20"/>
      <c r="B20" s="30"/>
      <c r="C20" s="31" t="s">
        <v>17</v>
      </c>
      <c r="D20" s="31"/>
      <c r="E20" s="22"/>
      <c r="F20" s="22"/>
      <c r="G20" s="22"/>
      <c r="H20" s="22"/>
      <c r="I20" s="22"/>
      <c r="J20" s="23"/>
      <c r="K20" s="23"/>
      <c r="L20" s="23"/>
      <c r="M20" s="23"/>
      <c r="N20" s="23"/>
      <c r="O20" s="23"/>
      <c r="P20" s="23"/>
      <c r="Q20" s="109">
        <f t="shared" si="11"/>
        <v>0</v>
      </c>
      <c r="S20" s="23"/>
      <c r="T20" s="23"/>
      <c r="U20" s="23"/>
      <c r="V20" s="23"/>
      <c r="X20" s="23"/>
      <c r="Z20" s="23"/>
      <c r="AA20" s="23"/>
      <c r="AB20" s="23"/>
      <c r="AC20" s="23"/>
      <c r="AD20" s="23"/>
      <c r="AF20" s="23"/>
    </row>
    <row r="21" spans="1:32">
      <c r="A21" s="32"/>
      <c r="B21" s="26" t="s">
        <v>18</v>
      </c>
      <c r="C21" s="26"/>
      <c r="D21" s="26"/>
      <c r="E21" s="33">
        <f>[16]Act!D223</f>
        <v>-85.285283100000001</v>
      </c>
      <c r="F21" s="33">
        <f>[16]Act!E223</f>
        <v>-107.1679133</v>
      </c>
      <c r="G21" s="33">
        <f>[16]Act!F223</f>
        <v>-152.92069900000001</v>
      </c>
      <c r="H21" s="33">
        <f>[16]Act!G223</f>
        <v>-107.07472529999997</v>
      </c>
      <c r="I21" s="33">
        <f>[16]Act!H223</f>
        <v>-85.710109700000018</v>
      </c>
      <c r="J21" s="35">
        <f>[16]Act!I223</f>
        <v>-185.77770159999997</v>
      </c>
      <c r="K21" s="35">
        <f>[16]Act!J223</f>
        <v>-121.39486350000004</v>
      </c>
      <c r="L21" s="35">
        <f>[16]Act!K223</f>
        <v>-142.95642530000001</v>
      </c>
      <c r="M21" s="35">
        <f>[16]Act!L223</f>
        <v>-136.85111530000009</v>
      </c>
      <c r="N21" s="35">
        <f>[16]Act!M223</f>
        <v>-134.4247786</v>
      </c>
      <c r="O21" s="35">
        <f>[16]Act!N223</f>
        <v>-142.7528836999999</v>
      </c>
      <c r="P21" s="35">
        <f>[16]Act!O223</f>
        <v>0</v>
      </c>
      <c r="Q21" s="108">
        <f t="shared" si="11"/>
        <v>-1402.3164984000002</v>
      </c>
      <c r="S21" s="35">
        <f>SUMIFS($E21:$P21,$E$3:$P$3,1,$E$5:$P$5,S$5)</f>
        <v>-85.285283100000001</v>
      </c>
      <c r="T21" s="35">
        <f>SUMIFS($E21:$P21,$E$3:$P$3,1,$E$5:$P$5,T$5)</f>
        <v>0</v>
      </c>
      <c r="U21" s="35">
        <f>SUMIFS($E21:$P21,$E$3:$P$3,1,$E$5:$P$5,U$5)</f>
        <v>0</v>
      </c>
      <c r="V21" s="35">
        <f>SUM(S21:U21)</f>
        <v>-85.285283100000001</v>
      </c>
      <c r="X21" s="35">
        <f>SUMIF($E$2:$P$2,1,E21:P21)</f>
        <v>-85.285283100000001</v>
      </c>
      <c r="Z21" s="35">
        <f>SUM(E21:G21)</f>
        <v>-345.37389540000004</v>
      </c>
      <c r="AA21" s="35">
        <f>SUM(H21:J21)</f>
        <v>-378.56253659999993</v>
      </c>
      <c r="AB21" s="35">
        <f>SUM(K21:M21)</f>
        <v>-401.20240410000008</v>
      </c>
      <c r="AC21" s="35">
        <f>SUM(N21:P21)</f>
        <v>-277.17766229999989</v>
      </c>
      <c r="AD21" s="35">
        <f>SUM(Z21:AC21)</f>
        <v>-1402.3164983999998</v>
      </c>
      <c r="AF21" s="35">
        <f>AA21-Z21</f>
        <v>-33.188641199999893</v>
      </c>
    </row>
    <row r="22" spans="1:32">
      <c r="A22" s="36" t="s">
        <v>19</v>
      </c>
      <c r="B22" s="36"/>
      <c r="C22" s="1"/>
      <c r="D22" s="37"/>
      <c r="E22" s="38">
        <f>SUM(E18,E21)</f>
        <v>526.94117827803632</v>
      </c>
      <c r="F22" s="38">
        <f>SUM(F18,F21)</f>
        <v>648.7722355583478</v>
      </c>
      <c r="G22" s="38">
        <f>SUM(G18,G21)</f>
        <v>838.89091370891231</v>
      </c>
      <c r="H22" s="38">
        <f>SUM(H18,H21)</f>
        <v>645.72940565636122</v>
      </c>
      <c r="I22" s="38">
        <f>SUM(I18,I21)</f>
        <v>538.69942099327341</v>
      </c>
      <c r="J22" s="40">
        <f t="shared" ref="J22:P22" si="12">SUM(J18,J21)</f>
        <v>1038.8342025442605</v>
      </c>
      <c r="K22" s="40">
        <f t="shared" si="12"/>
        <v>666.05265487815132</v>
      </c>
      <c r="L22" s="40">
        <f t="shared" si="12"/>
        <v>829.93053388759438</v>
      </c>
      <c r="M22" s="40">
        <f t="shared" si="12"/>
        <v>750.5842706251342</v>
      </c>
      <c r="N22" s="40">
        <f t="shared" si="12"/>
        <v>733.01020378986721</v>
      </c>
      <c r="O22" s="40">
        <f t="shared" si="12"/>
        <v>762.6746803258286</v>
      </c>
      <c r="P22" s="40">
        <f t="shared" si="12"/>
        <v>0</v>
      </c>
      <c r="Q22" s="110">
        <f t="shared" si="11"/>
        <v>7980.1197002457675</v>
      </c>
      <c r="S22" s="40">
        <f>SUM(S18,S21)</f>
        <v>526.94117827803632</v>
      </c>
      <c r="T22" s="40">
        <f>SUM(T18,T21)</f>
        <v>0</v>
      </c>
      <c r="U22" s="40">
        <f>SUM(U18,U21)</f>
        <v>0</v>
      </c>
      <c r="V22" s="40">
        <f>SUM(V18,V21)</f>
        <v>526.94117827803632</v>
      </c>
      <c r="X22" s="40">
        <f>SUM(X18,X21)</f>
        <v>526.94117827803632</v>
      </c>
      <c r="Z22" s="40">
        <f>SUM(Z18,Z21)</f>
        <v>2014.6043275452967</v>
      </c>
      <c r="AA22" s="40">
        <f>SUM(AA18,AA21)</f>
        <v>2223.2630291938954</v>
      </c>
      <c r="AB22" s="40">
        <f>SUM(AB18,AB21)</f>
        <v>2246.5674593908798</v>
      </c>
      <c r="AC22" s="40">
        <f>SUM(AC18,AC21)</f>
        <v>1495.6848841156959</v>
      </c>
      <c r="AD22" s="40">
        <f>SUM(AD18,AD21)</f>
        <v>7980.1197002457684</v>
      </c>
      <c r="AF22" s="40">
        <f>AA22-Z22</f>
        <v>208.65870164859871</v>
      </c>
    </row>
    <row r="23" spans="1:32">
      <c r="A23" s="16"/>
      <c r="B23" s="16"/>
      <c r="C23" s="41" t="s">
        <v>20</v>
      </c>
      <c r="D23" s="42"/>
      <c r="E23" s="18"/>
      <c r="F23" s="18"/>
      <c r="G23" s="18"/>
      <c r="H23" s="18"/>
      <c r="I23" s="18"/>
      <c r="J23" s="19"/>
      <c r="K23" s="19"/>
      <c r="L23" s="19"/>
      <c r="M23" s="19"/>
      <c r="N23" s="19"/>
      <c r="O23" s="19"/>
      <c r="P23" s="19"/>
      <c r="Q23" s="108">
        <f t="shared" si="11"/>
        <v>0</v>
      </c>
      <c r="S23" s="19"/>
      <c r="T23" s="19"/>
      <c r="U23" s="19"/>
      <c r="V23" s="19"/>
      <c r="X23" s="19"/>
      <c r="Z23" s="19"/>
      <c r="AA23" s="19"/>
      <c r="AB23" s="19"/>
      <c r="AC23" s="19"/>
      <c r="AD23" s="19"/>
      <c r="AF23" s="19"/>
    </row>
    <row r="24" spans="1:32">
      <c r="A24" s="20"/>
      <c r="B24" s="30"/>
      <c r="C24" s="43" t="s">
        <v>21</v>
      </c>
      <c r="D24" s="44"/>
      <c r="E24" s="45"/>
      <c r="F24" s="45"/>
      <c r="G24" s="45"/>
      <c r="H24" s="45"/>
      <c r="I24" s="45"/>
      <c r="J24" s="46"/>
      <c r="K24" s="46"/>
      <c r="L24" s="46"/>
      <c r="M24" s="46"/>
      <c r="N24" s="46"/>
      <c r="O24" s="46"/>
      <c r="P24" s="46"/>
      <c r="Q24" s="111">
        <f t="shared" si="11"/>
        <v>0</v>
      </c>
      <c r="S24" s="46"/>
      <c r="T24" s="46"/>
      <c r="U24" s="46"/>
      <c r="V24" s="46"/>
      <c r="X24" s="46"/>
      <c r="Z24" s="46"/>
      <c r="AA24" s="46"/>
      <c r="AB24" s="46"/>
      <c r="AC24" s="46"/>
      <c r="AD24" s="46"/>
      <c r="AF24" s="46"/>
    </row>
    <row r="25" spans="1:32">
      <c r="A25" s="20"/>
      <c r="B25" s="26" t="s">
        <v>22</v>
      </c>
      <c r="C25" s="17"/>
      <c r="D25" s="21"/>
      <c r="E25" s="47">
        <f>[16]Act!D225</f>
        <v>-440.85755869038957</v>
      </c>
      <c r="F25" s="47">
        <f>[16]Act!E225</f>
        <v>-539.65369538426853</v>
      </c>
      <c r="G25" s="47">
        <f>[16]Act!F225</f>
        <v>-732.22379095507551</v>
      </c>
      <c r="H25" s="47">
        <f>[16]Act!G225</f>
        <v>-538.45421144300394</v>
      </c>
      <c r="I25" s="47">
        <f>[16]Act!H225</f>
        <v>-428.30179487885459</v>
      </c>
      <c r="J25" s="49">
        <f>[16]Act!I225</f>
        <v>-814.86479439977643</v>
      </c>
      <c r="K25" s="49">
        <f>[16]Act!J225</f>
        <v>-525.40785305146869</v>
      </c>
      <c r="L25" s="49">
        <f>[16]Act!K225</f>
        <v>-693.35564568688017</v>
      </c>
      <c r="M25" s="49">
        <f>[16]Act!L225</f>
        <v>-556.0361983212232</v>
      </c>
      <c r="N25" s="49">
        <f>[16]Act!M225</f>
        <v>-588.72719208662261</v>
      </c>
      <c r="O25" s="49">
        <f>[16]Act!N225</f>
        <v>-600.45761468169246</v>
      </c>
      <c r="P25" s="49">
        <f>[16]Act!O225</f>
        <v>0</v>
      </c>
      <c r="Q25" s="109">
        <f t="shared" si="11"/>
        <v>-6458.3403495792563</v>
      </c>
      <c r="S25" s="49">
        <f>SUMIFS($E25:$P25,$E$3:$P$3,1,$E$5:$P$5,S$5)</f>
        <v>-440.85755869038957</v>
      </c>
      <c r="T25" s="49">
        <f>SUMIFS($E25:$P25,$E$3:$P$3,1,$E$5:$P$5,T$5)</f>
        <v>0</v>
      </c>
      <c r="U25" s="49">
        <f>SUMIFS($E25:$P25,$E$3:$P$3,1,$E$5:$P$5,U$5)</f>
        <v>0</v>
      </c>
      <c r="V25" s="49">
        <f>SUM(S25:U25)</f>
        <v>-440.85755869038957</v>
      </c>
      <c r="X25" s="49">
        <f>SUMIF($E$2:$P$2,1,E25:P25)</f>
        <v>-440.85755869038957</v>
      </c>
      <c r="Z25" s="49">
        <f>SUM(E25:G25)</f>
        <v>-1712.7350450297336</v>
      </c>
      <c r="AA25" s="49">
        <f>SUM(H25:J25)</f>
        <v>-1781.6208007216351</v>
      </c>
      <c r="AB25" s="49">
        <f>SUM(K25:M25)</f>
        <v>-1774.7996970595723</v>
      </c>
      <c r="AC25" s="49">
        <f>SUM(N25:P25)</f>
        <v>-1189.184806768315</v>
      </c>
      <c r="AD25" s="49">
        <f>SUM(Z25:AC25)</f>
        <v>-6458.3403495792554</v>
      </c>
      <c r="AF25" s="49">
        <f t="shared" ref="AF25:AF38" si="13">AA25-Z25</f>
        <v>-68.885755691901522</v>
      </c>
    </row>
    <row r="26" spans="1:32">
      <c r="A26" s="50" t="s">
        <v>23</v>
      </c>
      <c r="B26" s="50"/>
      <c r="C26" s="37"/>
      <c r="D26" s="37"/>
      <c r="E26" s="51">
        <f>E22+E25</f>
        <v>86.083619587646751</v>
      </c>
      <c r="F26" s="51">
        <f>F22+F25</f>
        <v>109.11854017407927</v>
      </c>
      <c r="G26" s="51">
        <f>G22+G25</f>
        <v>106.66712275383679</v>
      </c>
      <c r="H26" s="51">
        <f>H22+H25</f>
        <v>107.27519421335728</v>
      </c>
      <c r="I26" s="51">
        <f>I22+I25</f>
        <v>110.39762611441881</v>
      </c>
      <c r="J26" s="53">
        <f t="shared" ref="J26:P26" si="14">J22+J25</f>
        <v>223.96940814448408</v>
      </c>
      <c r="K26" s="53">
        <f t="shared" si="14"/>
        <v>140.64480182668262</v>
      </c>
      <c r="L26" s="53">
        <f t="shared" si="14"/>
        <v>136.57488820071421</v>
      </c>
      <c r="M26" s="53">
        <f t="shared" si="14"/>
        <v>194.548072303911</v>
      </c>
      <c r="N26" s="53">
        <f t="shared" si="14"/>
        <v>144.2830117032446</v>
      </c>
      <c r="O26" s="53">
        <f t="shared" si="14"/>
        <v>162.21706564413614</v>
      </c>
      <c r="P26" s="53">
        <f t="shared" si="14"/>
        <v>0</v>
      </c>
      <c r="Q26" s="112">
        <f t="shared" si="11"/>
        <v>1521.7793506665116</v>
      </c>
      <c r="S26" s="40">
        <f>SUM(S22,S25)</f>
        <v>86.083619587646751</v>
      </c>
      <c r="T26" s="40">
        <f>SUM(T22,T25)</f>
        <v>0</v>
      </c>
      <c r="U26" s="40">
        <f>SUM(U22,U25)</f>
        <v>0</v>
      </c>
      <c r="V26" s="40">
        <f>SUM(V22,V25)</f>
        <v>86.083619587646751</v>
      </c>
      <c r="X26" s="53">
        <f>X22+X25</f>
        <v>86.083619587646751</v>
      </c>
      <c r="Z26" s="40">
        <f>SUM(Z22,Z25)</f>
        <v>301.8692825155631</v>
      </c>
      <c r="AA26" s="40">
        <f>SUM(AA22,AA25)</f>
        <v>441.64222847226029</v>
      </c>
      <c r="AB26" s="40">
        <f>SUM(AB22,AB25)</f>
        <v>471.76776233130749</v>
      </c>
      <c r="AC26" s="40">
        <f>SUM(AC22,AC25)</f>
        <v>306.50007734738097</v>
      </c>
      <c r="AD26" s="40">
        <f>SUM(AD22,AD25)</f>
        <v>1521.779350666513</v>
      </c>
      <c r="AF26" s="40">
        <f t="shared" si="13"/>
        <v>139.77294595669719</v>
      </c>
    </row>
    <row r="27" spans="1:32">
      <c r="A27" s="54"/>
      <c r="B27" s="55" t="s">
        <v>24</v>
      </c>
      <c r="C27" s="56"/>
      <c r="D27" s="56"/>
      <c r="E27" s="57">
        <f>E26/E18</f>
        <v>0.14060747945112423</v>
      </c>
      <c r="F27" s="57">
        <f>F26/F18</f>
        <v>0.14434812112952938</v>
      </c>
      <c r="G27" s="57">
        <f>G26/G18</f>
        <v>0.10754776551012478</v>
      </c>
      <c r="H27" s="57">
        <f>H26/H18</f>
        <v>0.14250080439526155</v>
      </c>
      <c r="I27" s="57">
        <f>I26/I18</f>
        <v>0.17680323679852522</v>
      </c>
      <c r="J27" s="59">
        <f t="shared" ref="J27:P27" si="15">J26/J18</f>
        <v>0.18289011186853549</v>
      </c>
      <c r="K27" s="59">
        <f t="shared" si="15"/>
        <v>0.17860847681170999</v>
      </c>
      <c r="L27" s="59">
        <f t="shared" si="15"/>
        <v>0.14038104520874714</v>
      </c>
      <c r="M27" s="59">
        <f t="shared" si="15"/>
        <v>0.21922505614433932</v>
      </c>
      <c r="N27" s="59">
        <f t="shared" si="15"/>
        <v>0.1663329409493389</v>
      </c>
      <c r="O27" s="59">
        <f t="shared" si="15"/>
        <v>0.17916073255254761</v>
      </c>
      <c r="P27" s="59" t="e">
        <f t="shared" si="15"/>
        <v>#DIV/0!</v>
      </c>
      <c r="Q27" s="113" t="e">
        <f t="shared" si="11"/>
        <v>#DIV/0!</v>
      </c>
      <c r="S27" s="59">
        <f>S26/S18</f>
        <v>0.14060747945112423</v>
      </c>
      <c r="T27" s="59">
        <f>IFERROR(T26/T18,0)</f>
        <v>0</v>
      </c>
      <c r="U27" s="59">
        <f>IFERROR(U26/U18,0)</f>
        <v>0</v>
      </c>
      <c r="V27" s="59">
        <f>IFERROR(V26/V18,0)</f>
        <v>0.14060747945112423</v>
      </c>
      <c r="X27" s="59">
        <f>X26/X18</f>
        <v>0.14060747945112423</v>
      </c>
      <c r="Z27" s="59">
        <f>Z26/Z18</f>
        <v>0.12791189324570318</v>
      </c>
      <c r="AA27" s="59">
        <f>IFERROR(AA26/AA18,0)</f>
        <v>0.16974321195029921</v>
      </c>
      <c r="AB27" s="59">
        <f>IFERROR(AB26/AB18,0)</f>
        <v>0.17817551624721575</v>
      </c>
      <c r="AC27" s="59">
        <f>IFERROR(AC26/AC18,0)</f>
        <v>0.17288428703457628</v>
      </c>
      <c r="AD27" s="59">
        <f>AD26/AD18</f>
        <v>0.1621944789655124</v>
      </c>
      <c r="AF27" s="59">
        <f t="shared" si="13"/>
        <v>4.1831318704596027E-2</v>
      </c>
    </row>
    <row r="28" spans="1:32">
      <c r="A28" s="20"/>
      <c r="B28" s="20"/>
      <c r="C28" s="60" t="s">
        <v>25</v>
      </c>
      <c r="D28" s="21"/>
      <c r="E28" s="22">
        <f>[16]Act!D228</f>
        <v>-29.170027381636</v>
      </c>
      <c r="F28" s="22">
        <f>[16]Act!E228</f>
        <v>-21.18745361612903</v>
      </c>
      <c r="G28" s="22">
        <f>[16]Act!F228</f>
        <v>-24.737889650671057</v>
      </c>
      <c r="H28" s="22">
        <f>[16]Act!G228</f>
        <v>-25.384140255491335</v>
      </c>
      <c r="I28" s="22">
        <f>[16]Act!H228</f>
        <v>-21.290418465395721</v>
      </c>
      <c r="J28" s="23">
        <f>[16]Act!I228</f>
        <v>-24.075647198296117</v>
      </c>
      <c r="K28" s="23">
        <f>[16]Act!J228</f>
        <v>-26.894852409046027</v>
      </c>
      <c r="L28" s="23">
        <f>[16]Act!K228</f>
        <v>-23.077292290909099</v>
      </c>
      <c r="M28" s="23">
        <f>[16]Act!L228</f>
        <v>-21.356696631458618</v>
      </c>
      <c r="N28" s="23">
        <f>[16]Act!M228</f>
        <v>-26.612439853284165</v>
      </c>
      <c r="O28" s="23">
        <f>[16]Act!N228</f>
        <v>-27.3513924137931</v>
      </c>
      <c r="P28" s="23">
        <f>[16]Act!O228</f>
        <v>0</v>
      </c>
      <c r="Q28" s="109">
        <f t="shared" si="11"/>
        <v>-271.13825016611025</v>
      </c>
      <c r="S28" s="23">
        <f t="shared" ref="S28:U33" si="16">SUMIFS($E28:$P28,$E$3:$P$3,1,$E$5:$P$5,S$5)</f>
        <v>-29.170027381636</v>
      </c>
      <c r="T28" s="23">
        <f t="shared" si="16"/>
        <v>0</v>
      </c>
      <c r="U28" s="23">
        <f t="shared" si="16"/>
        <v>0</v>
      </c>
      <c r="V28" s="23">
        <f t="shared" ref="V28:V33" si="17">SUM(S28:U28)</f>
        <v>-29.170027381636</v>
      </c>
      <c r="X28" s="23">
        <f t="shared" ref="X28:X33" si="18">SUMIF($E$2:$P$2,1,E28:P28)</f>
        <v>-29.170027381636</v>
      </c>
      <c r="Z28" s="23">
        <f t="shared" ref="Z28:Z33" si="19">SUM(E28:G28)</f>
        <v>-75.095370648436088</v>
      </c>
      <c r="AA28" s="23">
        <f t="shared" ref="AA28:AA33" si="20">SUM(H28:J28)</f>
        <v>-70.750205919183173</v>
      </c>
      <c r="AB28" s="23">
        <f t="shared" ref="AB28:AB33" si="21">SUM(K28:M28)</f>
        <v>-71.328841331413742</v>
      </c>
      <c r="AC28" s="23">
        <f t="shared" ref="AC28:AC33" si="22">SUM(N28:P28)</f>
        <v>-53.963832267077265</v>
      </c>
      <c r="AD28" s="23">
        <f t="shared" ref="AD28:AD33" si="23">SUM(Z28:AC28)</f>
        <v>-271.13825016611031</v>
      </c>
      <c r="AF28" s="23">
        <f t="shared" si="13"/>
        <v>4.3451647292529145</v>
      </c>
    </row>
    <row r="29" spans="1:32">
      <c r="A29" s="20"/>
      <c r="B29" s="20"/>
      <c r="C29" s="60" t="s">
        <v>26</v>
      </c>
      <c r="D29" s="21"/>
      <c r="E29" s="22">
        <f>[16]Act!D229</f>
        <v>-5.2709534000000007</v>
      </c>
      <c r="F29" s="22">
        <f>[16]Act!E229</f>
        <v>5.3323574000000002</v>
      </c>
      <c r="G29" s="22">
        <f>[16]Act!F229</f>
        <v>-3.6496299999999995E-2</v>
      </c>
      <c r="H29" s="22">
        <f>[16]Act!G229</f>
        <v>-0.12485880000000001</v>
      </c>
      <c r="I29" s="22">
        <f>[16]Act!H229</f>
        <v>-8.8965800000000497E-2</v>
      </c>
      <c r="J29" s="23">
        <f>[16]Act!I229</f>
        <v>-0.17154370000000002</v>
      </c>
      <c r="K29" s="23">
        <f>[16]Act!J229</f>
        <v>-0.18595979999999998</v>
      </c>
      <c r="L29" s="23">
        <f>[16]Act!K229</f>
        <v>-0.15909600000000002</v>
      </c>
      <c r="M29" s="23">
        <f>[16]Act!L229</f>
        <v>-0.62641879999999894</v>
      </c>
      <c r="N29" s="23">
        <f>[16]Act!M229</f>
        <v>-1.2445920000000001</v>
      </c>
      <c r="O29" s="23">
        <f>[16]Act!N229</f>
        <v>-1.3072075000000001</v>
      </c>
      <c r="P29" s="23">
        <f>[16]Act!O229</f>
        <v>0</v>
      </c>
      <c r="Q29" s="109">
        <f t="shared" si="11"/>
        <v>-3.8837347000000002</v>
      </c>
      <c r="S29" s="23">
        <f t="shared" si="16"/>
        <v>-5.2709534000000007</v>
      </c>
      <c r="T29" s="23">
        <f t="shared" si="16"/>
        <v>0</v>
      </c>
      <c r="U29" s="23">
        <f t="shared" si="16"/>
        <v>0</v>
      </c>
      <c r="V29" s="23">
        <f t="shared" si="17"/>
        <v>-5.2709534000000007</v>
      </c>
      <c r="X29" s="23">
        <f t="shared" si="18"/>
        <v>-5.2709534000000007</v>
      </c>
      <c r="Z29" s="23">
        <f t="shared" si="19"/>
        <v>2.4907699999999575E-2</v>
      </c>
      <c r="AA29" s="23">
        <f t="shared" si="20"/>
        <v>-0.38536830000000055</v>
      </c>
      <c r="AB29" s="23">
        <f t="shared" si="21"/>
        <v>-0.97147459999999897</v>
      </c>
      <c r="AC29" s="23">
        <f t="shared" si="22"/>
        <v>-2.5517995000000004</v>
      </c>
      <c r="AD29" s="23">
        <f t="shared" si="23"/>
        <v>-3.8837347000000007</v>
      </c>
      <c r="AF29" s="23">
        <f t="shared" si="13"/>
        <v>-0.41027600000000014</v>
      </c>
    </row>
    <row r="30" spans="1:32">
      <c r="A30" s="20"/>
      <c r="B30" s="20"/>
      <c r="C30" s="60" t="s">
        <v>27</v>
      </c>
      <c r="D30" s="21"/>
      <c r="E30" s="22">
        <f>[16]Act!D230</f>
        <v>0</v>
      </c>
      <c r="F30" s="22">
        <f>[16]Act!E230</f>
        <v>0</v>
      </c>
      <c r="G30" s="22">
        <f>[16]Act!F230</f>
        <v>0</v>
      </c>
      <c r="H30" s="22">
        <f>[16]Act!G230</f>
        <v>0</v>
      </c>
      <c r="I30" s="22">
        <f>[16]Act!H230</f>
        <v>0</v>
      </c>
      <c r="J30" s="23">
        <f>[16]Act!I230</f>
        <v>0</v>
      </c>
      <c r="K30" s="23">
        <f>[16]Act!J230</f>
        <v>0</v>
      </c>
      <c r="L30" s="23">
        <f>[16]Act!K230</f>
        <v>0</v>
      </c>
      <c r="M30" s="23">
        <f>[16]Act!L230</f>
        <v>0</v>
      </c>
      <c r="N30" s="23">
        <f>[16]Act!M230</f>
        <v>0</v>
      </c>
      <c r="O30" s="23">
        <f>[16]Act!N230</f>
        <v>0</v>
      </c>
      <c r="P30" s="23">
        <f>[16]Act!O230</f>
        <v>0</v>
      </c>
      <c r="Q30" s="109">
        <f t="shared" si="11"/>
        <v>0</v>
      </c>
      <c r="S30" s="23">
        <f t="shared" si="16"/>
        <v>0</v>
      </c>
      <c r="T30" s="23">
        <f t="shared" si="16"/>
        <v>0</v>
      </c>
      <c r="U30" s="23">
        <f t="shared" si="16"/>
        <v>0</v>
      </c>
      <c r="V30" s="23">
        <f t="shared" si="17"/>
        <v>0</v>
      </c>
      <c r="X30" s="23">
        <f t="shared" si="18"/>
        <v>0</v>
      </c>
      <c r="Z30" s="23">
        <f t="shared" si="19"/>
        <v>0</v>
      </c>
      <c r="AA30" s="23">
        <f t="shared" si="20"/>
        <v>0</v>
      </c>
      <c r="AB30" s="23">
        <f t="shared" si="21"/>
        <v>0</v>
      </c>
      <c r="AC30" s="23">
        <f t="shared" si="22"/>
        <v>0</v>
      </c>
      <c r="AD30" s="23">
        <f t="shared" si="23"/>
        <v>0</v>
      </c>
      <c r="AF30" s="23">
        <f t="shared" si="13"/>
        <v>0</v>
      </c>
    </row>
    <row r="31" spans="1:32">
      <c r="A31" s="20"/>
      <c r="B31" s="20"/>
      <c r="C31" s="60" t="s">
        <v>28</v>
      </c>
      <c r="D31" s="21"/>
      <c r="E31" s="22">
        <f>[16]Act!D232</f>
        <v>-22.075094200000002</v>
      </c>
      <c r="F31" s="22">
        <f>[16]Act!E232</f>
        <v>-7.3505496000000097</v>
      </c>
      <c r="G31" s="22">
        <f>[16]Act!F232</f>
        <v>-8.5696320999999909</v>
      </c>
      <c r="H31" s="22">
        <f>[16]Act!G232</f>
        <v>-8.6392316999999981</v>
      </c>
      <c r="I31" s="22">
        <f>[16]Act!H232</f>
        <v>-7.4864992000000239</v>
      </c>
      <c r="J31" s="23">
        <f>[16]Act!I232</f>
        <v>-9.9282397999999965</v>
      </c>
      <c r="K31" s="23">
        <f>[16]Act!J232</f>
        <v>-10.2821514</v>
      </c>
      <c r="L31" s="23">
        <f>[16]Act!K232</f>
        <v>-9.4293348000000137</v>
      </c>
      <c r="M31" s="23">
        <f>[16]Act!L232</f>
        <v>-10.019160399999958</v>
      </c>
      <c r="N31" s="23">
        <f>[16]Act!M232</f>
        <v>-8.6311958000000288</v>
      </c>
      <c r="O31" s="23">
        <f>[16]Act!N232</f>
        <v>-8.1543116999999903</v>
      </c>
      <c r="P31" s="23">
        <f>[16]Act!O232</f>
        <v>0</v>
      </c>
      <c r="Q31" s="109">
        <f t="shared" si="11"/>
        <v>-110.56540070000001</v>
      </c>
      <c r="S31" s="23">
        <f t="shared" si="16"/>
        <v>-22.075094200000002</v>
      </c>
      <c r="T31" s="23">
        <f t="shared" si="16"/>
        <v>0</v>
      </c>
      <c r="U31" s="23">
        <f t="shared" si="16"/>
        <v>0</v>
      </c>
      <c r="V31" s="23">
        <f t="shared" si="17"/>
        <v>-22.075094200000002</v>
      </c>
      <c r="X31" s="23">
        <f t="shared" si="18"/>
        <v>-22.075094200000002</v>
      </c>
      <c r="Z31" s="23">
        <f t="shared" si="19"/>
        <v>-37.995275900000003</v>
      </c>
      <c r="AA31" s="23">
        <f t="shared" si="20"/>
        <v>-26.053970700000018</v>
      </c>
      <c r="AB31" s="23">
        <f t="shared" si="21"/>
        <v>-29.730646599999972</v>
      </c>
      <c r="AC31" s="23">
        <f t="shared" si="22"/>
        <v>-16.785507500000019</v>
      </c>
      <c r="AD31" s="23">
        <f t="shared" si="23"/>
        <v>-110.56540070000001</v>
      </c>
      <c r="AF31" s="23">
        <f t="shared" si="13"/>
        <v>11.941305199999984</v>
      </c>
    </row>
    <row r="32" spans="1:32">
      <c r="A32" s="20"/>
      <c r="B32" s="20"/>
      <c r="C32" s="60" t="s">
        <v>29</v>
      </c>
      <c r="D32" s="21"/>
      <c r="E32" s="61">
        <f>[16]Act!D233</f>
        <v>0</v>
      </c>
      <c r="F32" s="61">
        <f>[16]Act!E233</f>
        <v>0</v>
      </c>
      <c r="G32" s="61">
        <f>[16]Act!F233</f>
        <v>0</v>
      </c>
      <c r="H32" s="61">
        <f>[16]Act!G233</f>
        <v>0</v>
      </c>
      <c r="I32" s="61">
        <f>[16]Act!H233</f>
        <v>0</v>
      </c>
      <c r="J32" s="62">
        <f>[16]Act!I233</f>
        <v>0</v>
      </c>
      <c r="K32" s="62">
        <f>[16]Act!J233</f>
        <v>0</v>
      </c>
      <c r="L32" s="62">
        <f>[16]Act!K233</f>
        <v>0</v>
      </c>
      <c r="M32" s="62">
        <f>[16]Act!L233</f>
        <v>0</v>
      </c>
      <c r="N32" s="62">
        <f>[16]Act!M233</f>
        <v>0</v>
      </c>
      <c r="O32" s="62">
        <f>[16]Act!N233</f>
        <v>0</v>
      </c>
      <c r="P32" s="62">
        <f>[16]Act!O233</f>
        <v>0</v>
      </c>
      <c r="Q32" s="62">
        <f t="shared" si="11"/>
        <v>0</v>
      </c>
      <c r="S32" s="62">
        <f t="shared" si="16"/>
        <v>0</v>
      </c>
      <c r="T32" s="62">
        <f t="shared" si="16"/>
        <v>0</v>
      </c>
      <c r="U32" s="62">
        <f t="shared" si="16"/>
        <v>0</v>
      </c>
      <c r="V32" s="62">
        <f t="shared" si="17"/>
        <v>0</v>
      </c>
      <c r="X32" s="62">
        <f t="shared" si="18"/>
        <v>0</v>
      </c>
      <c r="Z32" s="62">
        <f t="shared" si="19"/>
        <v>0</v>
      </c>
      <c r="AA32" s="62">
        <f t="shared" si="20"/>
        <v>0</v>
      </c>
      <c r="AB32" s="62">
        <f t="shared" si="21"/>
        <v>0</v>
      </c>
      <c r="AC32" s="62">
        <f t="shared" si="22"/>
        <v>0</v>
      </c>
      <c r="AD32" s="62">
        <f t="shared" si="23"/>
        <v>0</v>
      </c>
      <c r="AF32" s="62">
        <f t="shared" si="13"/>
        <v>0</v>
      </c>
    </row>
    <row r="33" spans="1:32">
      <c r="A33" s="20"/>
      <c r="B33" s="30"/>
      <c r="C33" s="63" t="s">
        <v>30</v>
      </c>
      <c r="D33" s="31"/>
      <c r="E33" s="45">
        <f>[16]Act!D234</f>
        <v>-10.598455638364001</v>
      </c>
      <c r="F33" s="45">
        <f>[16]Act!E234</f>
        <v>-7.2973572198709657</v>
      </c>
      <c r="G33" s="45">
        <f>[16]Act!F234</f>
        <v>-8.2733199583289405</v>
      </c>
      <c r="H33" s="45">
        <f>[16]Act!G234</f>
        <v>-8.8285599855086669</v>
      </c>
      <c r="I33" s="45">
        <f>[16]Act!H234</f>
        <v>-8.1039181756042815</v>
      </c>
      <c r="J33" s="46">
        <f>[16]Act!I234</f>
        <v>-14.384273848703881</v>
      </c>
      <c r="K33" s="46">
        <f>[16]Act!J234</f>
        <v>-11.676647556953974</v>
      </c>
      <c r="L33" s="46">
        <f>[16]Act!K234</f>
        <v>-11.569580245090913</v>
      </c>
      <c r="M33" s="46">
        <f>[16]Act!L234</f>
        <v>-12.343990577541383</v>
      </c>
      <c r="N33" s="46">
        <f>[16]Act!M234</f>
        <v>-12.553721652715831</v>
      </c>
      <c r="O33" s="46">
        <f>[16]Act!N234</f>
        <v>-12.588903107206917</v>
      </c>
      <c r="P33" s="46">
        <f>[16]Act!O234</f>
        <v>0</v>
      </c>
      <c r="Q33" s="111">
        <f t="shared" si="11"/>
        <v>-118.21872796588976</v>
      </c>
      <c r="S33" s="46">
        <f t="shared" si="16"/>
        <v>-10.598455638364001</v>
      </c>
      <c r="T33" s="46">
        <f t="shared" si="16"/>
        <v>0</v>
      </c>
      <c r="U33" s="46">
        <f t="shared" si="16"/>
        <v>0</v>
      </c>
      <c r="V33" s="46">
        <f t="shared" si="17"/>
        <v>-10.598455638364001</v>
      </c>
      <c r="X33" s="46">
        <f t="shared" si="18"/>
        <v>-10.598455638364001</v>
      </c>
      <c r="Z33" s="46">
        <f t="shared" si="19"/>
        <v>-26.169132816563909</v>
      </c>
      <c r="AA33" s="46">
        <f t="shared" si="20"/>
        <v>-31.316752009816827</v>
      </c>
      <c r="AB33" s="46">
        <f t="shared" si="21"/>
        <v>-35.590218379586268</v>
      </c>
      <c r="AC33" s="46">
        <f t="shared" si="22"/>
        <v>-25.142624759922747</v>
      </c>
      <c r="AD33" s="46">
        <f t="shared" si="23"/>
        <v>-118.21872796588974</v>
      </c>
      <c r="AF33" s="46">
        <f t="shared" si="13"/>
        <v>-5.1476191932529183</v>
      </c>
    </row>
    <row r="34" spans="1:32">
      <c r="A34" s="30"/>
      <c r="B34" s="31" t="s">
        <v>31</v>
      </c>
      <c r="C34" s="21"/>
      <c r="D34" s="21"/>
      <c r="E34" s="64">
        <f>SUM(E28:E30,E31:E33)</f>
        <v>-67.114530620000011</v>
      </c>
      <c r="F34" s="64">
        <f>SUM(F28:F30,F31:F33)</f>
        <v>-30.50300303600001</v>
      </c>
      <c r="G34" s="64">
        <f>SUM(G28:G30,G31:G33)</f>
        <v>-41.617338008999987</v>
      </c>
      <c r="H34" s="64">
        <f>SUM(H28:H30,H31:H33)</f>
        <v>-42.976790741000002</v>
      </c>
      <c r="I34" s="64">
        <f>SUM(I28:I30,I31:I33)</f>
        <v>-36.969801641000032</v>
      </c>
      <c r="J34" s="66">
        <f t="shared" ref="J34:O34" si="24">SUM(J28:J30,J31:J33)</f>
        <v>-48.559704546999996</v>
      </c>
      <c r="K34" s="66">
        <f>SUM(K28:K30,K31:K33)</f>
        <v>-49.039611166</v>
      </c>
      <c r="L34" s="66">
        <f t="shared" si="24"/>
        <v>-44.235303336000023</v>
      </c>
      <c r="M34" s="66">
        <f t="shared" si="24"/>
        <v>-44.346266408999959</v>
      </c>
      <c r="N34" s="66">
        <f t="shared" si="24"/>
        <v>-49.041949306000028</v>
      </c>
      <c r="O34" s="66">
        <f t="shared" si="24"/>
        <v>-49.401814721000008</v>
      </c>
      <c r="P34" s="66">
        <f>SUM(P28:P30,P31:P33)</f>
        <v>0</v>
      </c>
      <c r="Q34" s="114">
        <f t="shared" si="11"/>
        <v>-503.80611353200004</v>
      </c>
      <c r="S34" s="66">
        <f>SUM(S28:S30,S31:S33)</f>
        <v>-67.114530620000011</v>
      </c>
      <c r="T34" s="66">
        <f>SUM(T28:T30,T31:T33)</f>
        <v>0</v>
      </c>
      <c r="U34" s="66">
        <f>SUM(U28:U30,U31:U33)</f>
        <v>0</v>
      </c>
      <c r="V34" s="66">
        <f>SUM(V28:V30,V31:V33)</f>
        <v>-67.114530620000011</v>
      </c>
      <c r="X34" s="66">
        <f>SUM(X28:X30,X31:X33)</f>
        <v>-67.114530620000011</v>
      </c>
      <c r="Z34" s="66">
        <f>SUM(Z28:Z30,Z31:Z33)</f>
        <v>-139.23487166500001</v>
      </c>
      <c r="AA34" s="66">
        <f>SUM(AA28:AA30,AA31:AA33)</f>
        <v>-128.50629692900003</v>
      </c>
      <c r="AB34" s="66">
        <f>SUM(AB28:AB30,AB31:AB33)</f>
        <v>-137.62118091099998</v>
      </c>
      <c r="AC34" s="66">
        <f>SUM(AC28:AC30,AC31:AC33)</f>
        <v>-98.443764027000043</v>
      </c>
      <c r="AD34" s="66">
        <f>SUM(AD28:AD30,AD31:AD33)</f>
        <v>-503.80611353200004</v>
      </c>
      <c r="AF34" s="66">
        <f t="shared" si="13"/>
        <v>10.728574735999985</v>
      </c>
    </row>
    <row r="35" spans="1:32">
      <c r="A35" s="20"/>
      <c r="B35" s="20"/>
      <c r="C35" s="67" t="s">
        <v>32</v>
      </c>
      <c r="D35" s="17"/>
      <c r="E35" s="18">
        <f>[16]Act!D236</f>
        <v>-21.268724286000001</v>
      </c>
      <c r="F35" s="18">
        <f>[16]Act!E236</f>
        <v>-29.590592390000001</v>
      </c>
      <c r="G35" s="18">
        <f>[16]Act!F236</f>
        <v>-30.952623228649806</v>
      </c>
      <c r="H35" s="18">
        <f>[16]Act!G236</f>
        <v>-26.437131634000004</v>
      </c>
      <c r="I35" s="18">
        <f>[16]Act!H236</f>
        <v>-21.682589371999999</v>
      </c>
      <c r="J35" s="19">
        <f>[16]Act!I236</f>
        <v>-32.637590355999997</v>
      </c>
      <c r="K35" s="19">
        <f>[16]Act!J236</f>
        <v>-30.529672399999995</v>
      </c>
      <c r="L35" s="19">
        <f>[16]Act!K236</f>
        <v>-23.951743748909092</v>
      </c>
      <c r="M35" s="19">
        <f>[16]Act!L236</f>
        <v>-16.538548377997799</v>
      </c>
      <c r="N35" s="19">
        <f>[16]Act!M236</f>
        <v>-26.036586915000001</v>
      </c>
      <c r="O35" s="19">
        <f>[16]Act!N236</f>
        <v>-24.840268959862069</v>
      </c>
      <c r="P35" s="19">
        <f>[16]Act!O236</f>
        <v>0</v>
      </c>
      <c r="Q35" s="108">
        <f t="shared" si="11"/>
        <v>-284.46607166841869</v>
      </c>
      <c r="R35" s="327"/>
      <c r="S35" s="19">
        <f t="shared" ref="S35:U37" si="25">SUMIFS($E35:$P35,$E$3:$P$3,1,$E$5:$P$5,S$5)</f>
        <v>-21.268724286000001</v>
      </c>
      <c r="T35" s="19">
        <f t="shared" si="25"/>
        <v>0</v>
      </c>
      <c r="U35" s="19">
        <f t="shared" si="25"/>
        <v>0</v>
      </c>
      <c r="V35" s="19">
        <f>SUM(S35:U35)</f>
        <v>-21.268724286000001</v>
      </c>
      <c r="X35" s="19">
        <f>SUMIF($E$2:$P$2,1,E35:P35)</f>
        <v>-21.268724286000001</v>
      </c>
      <c r="Z35" s="19">
        <f>SUM(E35:G35)</f>
        <v>-81.811939904649819</v>
      </c>
      <c r="AA35" s="19">
        <f>SUM(H35:J35)</f>
        <v>-80.757311361999996</v>
      </c>
      <c r="AB35" s="19">
        <f>SUM(K35:M35)</f>
        <v>-71.01996452690689</v>
      </c>
      <c r="AC35" s="19">
        <f>SUM(N35:P35)</f>
        <v>-50.876855874862073</v>
      </c>
      <c r="AD35" s="19">
        <f>SUM(Z35:AC35)</f>
        <v>-284.46607166841881</v>
      </c>
      <c r="AF35" s="19">
        <f t="shared" si="13"/>
        <v>1.054628542649823</v>
      </c>
    </row>
    <row r="36" spans="1:32">
      <c r="A36" s="20"/>
      <c r="B36" s="20"/>
      <c r="C36" s="462" t="s">
        <v>300</v>
      </c>
      <c r="D36" s="21"/>
      <c r="E36" s="22"/>
      <c r="F36" s="22"/>
      <c r="G36" s="22"/>
      <c r="H36" s="22"/>
      <c r="I36" s="22"/>
      <c r="J36" s="23"/>
      <c r="K36" s="23"/>
      <c r="L36" s="23"/>
      <c r="M36" s="23"/>
      <c r="N36" s="23"/>
      <c r="O36" s="23"/>
      <c r="P36" s="23"/>
      <c r="Q36" s="109">
        <f t="shared" si="11"/>
        <v>0</v>
      </c>
      <c r="R36" s="327"/>
      <c r="S36" s="23">
        <f t="shared" si="25"/>
        <v>0</v>
      </c>
      <c r="T36" s="23">
        <f t="shared" si="25"/>
        <v>0</v>
      </c>
      <c r="U36" s="23">
        <f t="shared" si="25"/>
        <v>0</v>
      </c>
      <c r="V36" s="23">
        <f>SUM(S36:U36)</f>
        <v>0</v>
      </c>
      <c r="X36" s="23">
        <f>SUMIF($E$2:$P$2,1,E36:P36)</f>
        <v>0</v>
      </c>
      <c r="Z36" s="23">
        <f>SUM(E36:G36)</f>
        <v>0</v>
      </c>
      <c r="AA36" s="23">
        <f>SUM(H36:J36)</f>
        <v>0</v>
      </c>
      <c r="AB36" s="23">
        <f>SUM(K36:M36)</f>
        <v>0</v>
      </c>
      <c r="AC36" s="23">
        <f>SUM(N36:P36)</f>
        <v>0</v>
      </c>
      <c r="AD36" s="23">
        <f>SUM(Z36:AC36)</f>
        <v>0</v>
      </c>
      <c r="AF36" s="23">
        <f t="shared" si="13"/>
        <v>0</v>
      </c>
    </row>
    <row r="37" spans="1:32">
      <c r="A37" s="20"/>
      <c r="B37" s="30"/>
      <c r="C37" s="463" t="s">
        <v>299</v>
      </c>
      <c r="D37" s="31"/>
      <c r="E37" s="45">
        <f>SUM(E58:E59)</f>
        <v>-4.9093125139999998</v>
      </c>
      <c r="F37" s="45">
        <f>SUM(F58:F59)</f>
        <v>-3.2674163100000051</v>
      </c>
      <c r="G37" s="45">
        <f>SUM(G58:G59)</f>
        <v>-9.4938384713501947</v>
      </c>
      <c r="H37" s="45">
        <f>SUM(H58:H59)</f>
        <v>-5.2961899659999929</v>
      </c>
      <c r="I37" s="45">
        <f>SUM(I58:I59)</f>
        <v>-4.6916916279999974</v>
      </c>
      <c r="J37" s="46">
        <f t="shared" ref="J37:P37" si="26">SUM(J58:J59)</f>
        <v>-10.533788644000005</v>
      </c>
      <c r="K37" s="46">
        <f>SUM(K58:K59)</f>
        <v>-8.4724624819050049</v>
      </c>
      <c r="L37" s="46">
        <f t="shared" si="26"/>
        <v>-4.8106854510909081</v>
      </c>
      <c r="M37" s="46">
        <f t="shared" si="26"/>
        <v>-8.5694506738021907</v>
      </c>
      <c r="N37" s="46">
        <f t="shared" si="26"/>
        <v>-5.7556091849999973</v>
      </c>
      <c r="O37" s="46">
        <f t="shared" si="26"/>
        <v>-6.3003960401379331</v>
      </c>
      <c r="P37" s="46">
        <f t="shared" si="26"/>
        <v>0</v>
      </c>
      <c r="Q37" s="111">
        <f t="shared" si="11"/>
        <v>-72.100841365286243</v>
      </c>
      <c r="R37" s="327"/>
      <c r="S37" s="46">
        <f t="shared" si="25"/>
        <v>-4.9093125139999998</v>
      </c>
      <c r="T37" s="46">
        <f t="shared" si="25"/>
        <v>0</v>
      </c>
      <c r="U37" s="46">
        <f t="shared" si="25"/>
        <v>0</v>
      </c>
      <c r="V37" s="46">
        <f>SUM(S37:U37)</f>
        <v>-4.9093125139999998</v>
      </c>
      <c r="X37" s="46">
        <f>SUMIF($E$2:$P$2,1,E37:P37)</f>
        <v>-4.9093125139999998</v>
      </c>
      <c r="Z37" s="46">
        <f>SUM(E37:G37)</f>
        <v>-17.6705672953502</v>
      </c>
      <c r="AA37" s="46">
        <f>SUM(H37:J37)</f>
        <v>-20.521670237999995</v>
      </c>
      <c r="AB37" s="46">
        <f>SUM(K37:M37)</f>
        <v>-21.852598606798104</v>
      </c>
      <c r="AC37" s="46">
        <f>SUM(N37:P37)</f>
        <v>-12.05600522513793</v>
      </c>
      <c r="AD37" s="46">
        <f>SUM(Z37:AC37)</f>
        <v>-72.100841365286229</v>
      </c>
      <c r="AF37" s="46">
        <f t="shared" si="13"/>
        <v>-2.8511029426497956</v>
      </c>
    </row>
    <row r="38" spans="1:32">
      <c r="A38" s="30"/>
      <c r="B38" s="31" t="s">
        <v>34</v>
      </c>
      <c r="C38" s="21"/>
      <c r="D38" s="21"/>
      <c r="E38" s="68">
        <f>SUM(E35:E37)</f>
        <v>-26.178036800000001</v>
      </c>
      <c r="F38" s="68">
        <f>SUM(F35:F37)</f>
        <v>-32.858008700000006</v>
      </c>
      <c r="G38" s="68">
        <f>SUM(G35:G37)</f>
        <v>-40.4464617</v>
      </c>
      <c r="H38" s="68">
        <f>SUM(H35:H37)</f>
        <v>-31.733321599999996</v>
      </c>
      <c r="I38" s="68">
        <f>SUM(I35:I37)</f>
        <v>-26.374280999999996</v>
      </c>
      <c r="J38" s="70">
        <f t="shared" ref="J38:P38" si="27">SUM(J35:J37)</f>
        <v>-43.171379000000002</v>
      </c>
      <c r="K38" s="70">
        <f t="shared" si="27"/>
        <v>-39.002134881905</v>
      </c>
      <c r="L38" s="70">
        <f t="shared" si="27"/>
        <v>-28.7624292</v>
      </c>
      <c r="M38" s="70">
        <f t="shared" si="27"/>
        <v>-25.10799905179999</v>
      </c>
      <c r="N38" s="70">
        <f t="shared" si="27"/>
        <v>-31.792196099999998</v>
      </c>
      <c r="O38" s="70">
        <f t="shared" si="27"/>
        <v>-31.140665000000002</v>
      </c>
      <c r="P38" s="70">
        <f t="shared" si="27"/>
        <v>0</v>
      </c>
      <c r="Q38" s="114">
        <f t="shared" si="11"/>
        <v>-356.56691303370502</v>
      </c>
      <c r="R38" s="327"/>
      <c r="S38" s="70">
        <f>SUM(S35:S37)</f>
        <v>-26.178036800000001</v>
      </c>
      <c r="T38" s="70">
        <f>SUM(T35:T37)</f>
        <v>0</v>
      </c>
      <c r="U38" s="70">
        <f>SUM(U35:U37)</f>
        <v>0</v>
      </c>
      <c r="V38" s="70">
        <f>SUM(V35:V37)</f>
        <v>-26.178036800000001</v>
      </c>
      <c r="X38" s="70">
        <f>SUM(X35:X37)</f>
        <v>-26.178036800000001</v>
      </c>
      <c r="Z38" s="70">
        <f>SUM(Z35:Z37)</f>
        <v>-99.482507200000015</v>
      </c>
      <c r="AA38" s="70">
        <f>SUM(AA35:AA37)</f>
        <v>-101.27898159999999</v>
      </c>
      <c r="AB38" s="70">
        <f>SUM(AB35:AB37)</f>
        <v>-92.872563133705</v>
      </c>
      <c r="AC38" s="70">
        <f>SUM(AC35:AC37)</f>
        <v>-62.932861100000004</v>
      </c>
      <c r="AD38" s="70">
        <f>SUM(AD35:AD37)</f>
        <v>-356.56691303370502</v>
      </c>
      <c r="AF38" s="70">
        <f t="shared" si="13"/>
        <v>-1.7964743999999797</v>
      </c>
    </row>
    <row r="39" spans="1:32">
      <c r="A39" s="71"/>
      <c r="B39" s="72"/>
      <c r="C39" s="73" t="s">
        <v>35</v>
      </c>
      <c r="D39" s="17"/>
      <c r="E39" s="61"/>
      <c r="F39" s="61"/>
      <c r="G39" s="61"/>
      <c r="H39" s="61"/>
      <c r="I39" s="61"/>
      <c r="J39" s="62"/>
      <c r="K39" s="62"/>
      <c r="L39" s="62"/>
      <c r="M39" s="62"/>
      <c r="N39" s="62"/>
      <c r="O39" s="62"/>
      <c r="P39" s="62"/>
      <c r="Q39" s="115">
        <f t="shared" si="11"/>
        <v>0</v>
      </c>
      <c r="S39" s="62"/>
      <c r="T39" s="62"/>
      <c r="U39" s="62"/>
      <c r="V39" s="62"/>
      <c r="X39" s="62"/>
      <c r="Z39" s="62"/>
      <c r="AA39" s="62"/>
      <c r="AB39" s="62"/>
      <c r="AC39" s="62"/>
      <c r="AD39" s="62"/>
      <c r="AF39" s="62"/>
    </row>
    <row r="40" spans="1:32">
      <c r="A40" s="74"/>
      <c r="B40" s="71"/>
      <c r="C40" s="75" t="s">
        <v>36</v>
      </c>
      <c r="D40" s="21"/>
      <c r="E40" s="22"/>
      <c r="F40" s="22"/>
      <c r="G40" s="22"/>
      <c r="H40" s="22"/>
      <c r="I40" s="22"/>
      <c r="J40" s="23"/>
      <c r="K40" s="23"/>
      <c r="L40" s="23"/>
      <c r="M40" s="23"/>
      <c r="N40" s="23"/>
      <c r="O40" s="23"/>
      <c r="P40" s="23"/>
      <c r="Q40" s="109">
        <f t="shared" si="11"/>
        <v>0</v>
      </c>
      <c r="S40" s="23"/>
      <c r="T40" s="23"/>
      <c r="U40" s="23"/>
      <c r="V40" s="23"/>
      <c r="X40" s="23"/>
      <c r="Z40" s="23"/>
      <c r="AA40" s="23"/>
      <c r="AB40" s="23"/>
      <c r="AC40" s="23"/>
      <c r="AD40" s="23"/>
      <c r="AF40" s="23"/>
    </row>
    <row r="41" spans="1:32">
      <c r="A41" s="74"/>
      <c r="B41" s="71"/>
      <c r="C41" s="60" t="s">
        <v>37</v>
      </c>
      <c r="D41" s="21"/>
      <c r="E41" s="22">
        <f>[16]Act!D240</f>
        <v>-37.389420916999995</v>
      </c>
      <c r="F41" s="22">
        <f>[16]Act!E240</f>
        <v>-29.881607848000002</v>
      </c>
      <c r="G41" s="22">
        <f>[16]Act!F240</f>
        <v>-39.768504309000001</v>
      </c>
      <c r="H41" s="22">
        <f>[16]Act!G240</f>
        <v>-35.318561353</v>
      </c>
      <c r="I41" s="22">
        <f>[16]Act!H240</f>
        <v>-31.778330893000003</v>
      </c>
      <c r="J41" s="23">
        <f>[16]Act!I240</f>
        <v>-35.268115913999999</v>
      </c>
      <c r="K41" s="23">
        <f>[16]Act!J240</f>
        <v>-35.747137813000002</v>
      </c>
      <c r="L41" s="23">
        <f>[16]Act!K240</f>
        <v>-33.939043177999999</v>
      </c>
      <c r="M41" s="23">
        <f>[16]Act!L240</f>
        <v>-32.031065753</v>
      </c>
      <c r="N41" s="23">
        <f>[16]Act!M240</f>
        <v>-34.384496372999998</v>
      </c>
      <c r="O41" s="23">
        <f>[16]Act!N240</f>
        <v>-34.494877772000002</v>
      </c>
      <c r="P41" s="23">
        <f>[16]Act!O240</f>
        <v>0</v>
      </c>
      <c r="Q41" s="109">
        <f t="shared" si="11"/>
        <v>-380.00116212299997</v>
      </c>
      <c r="S41" s="23">
        <f>SUMIFS($E41:$P41,$E$3:$P$3,1,$E$5:$P$5,S$5)</f>
        <v>-37.389420916999995</v>
      </c>
      <c r="T41" s="23">
        <f>SUMIFS($E41:$P41,$E$3:$P$3,1,$E$5:$P$5,T$5)</f>
        <v>0</v>
      </c>
      <c r="U41" s="23">
        <f>SUMIFS($E41:$P41,$E$3:$P$3,1,$E$5:$P$5,U$5)</f>
        <v>0</v>
      </c>
      <c r="V41" s="23">
        <f>SUM(S41:U41)</f>
        <v>-37.389420916999995</v>
      </c>
      <c r="X41" s="23">
        <f>SUMIF($E$2:$P$2,1,E41:P41)</f>
        <v>-37.389420916999995</v>
      </c>
      <c r="Z41" s="23">
        <f>SUM(E41:G41)</f>
        <v>-107.03953307399999</v>
      </c>
      <c r="AA41" s="23">
        <f>SUM(H41:J41)</f>
        <v>-102.36500816</v>
      </c>
      <c r="AB41" s="23">
        <f>SUM(K41:M41)</f>
        <v>-101.71724674399999</v>
      </c>
      <c r="AC41" s="23">
        <f>SUM(N41:P41)</f>
        <v>-68.879374145</v>
      </c>
      <c r="AD41" s="23">
        <f>SUM(Z41:AC41)</f>
        <v>-380.00116212299997</v>
      </c>
      <c r="AF41" s="23">
        <f>AA41-Z41</f>
        <v>4.6745249139999885</v>
      </c>
    </row>
    <row r="42" spans="1:32">
      <c r="A42" s="74"/>
      <c r="B42" s="71"/>
      <c r="C42" s="76" t="s">
        <v>38</v>
      </c>
      <c r="D42" s="21"/>
      <c r="E42" s="22"/>
      <c r="F42" s="22"/>
      <c r="G42" s="22"/>
      <c r="H42" s="22"/>
      <c r="I42" s="22"/>
      <c r="J42" s="23"/>
      <c r="K42" s="23"/>
      <c r="L42" s="23"/>
      <c r="M42" s="23"/>
      <c r="N42" s="23"/>
      <c r="O42" s="23"/>
      <c r="P42" s="23"/>
      <c r="Q42" s="109">
        <f t="shared" si="11"/>
        <v>0</v>
      </c>
      <c r="S42" s="23"/>
      <c r="T42" s="23"/>
      <c r="U42" s="23"/>
      <c r="V42" s="23"/>
      <c r="X42" s="23"/>
      <c r="Z42" s="23"/>
      <c r="AA42" s="23"/>
      <c r="AB42" s="23"/>
      <c r="AC42" s="23"/>
      <c r="AD42" s="23"/>
      <c r="AF42" s="23"/>
    </row>
    <row r="43" spans="1:32">
      <c r="A43" s="74"/>
      <c r="B43" s="71"/>
      <c r="C43" s="60" t="s">
        <v>39</v>
      </c>
      <c r="D43" s="21"/>
      <c r="E43" s="22">
        <f>[16]Act!D241</f>
        <v>2.2106839143449135</v>
      </c>
      <c r="F43" s="22">
        <f>[16]Act!E241</f>
        <v>2.0894766685329129</v>
      </c>
      <c r="G43" s="22">
        <f>[16]Act!F241</f>
        <v>2.2799490982448782</v>
      </c>
      <c r="H43" s="22">
        <f>[16]Act!G241</f>
        <v>2.4858819092374485</v>
      </c>
      <c r="I43" s="22">
        <f>[16]Act!H241</f>
        <v>2.0734510037522687</v>
      </c>
      <c r="J43" s="23">
        <f>[16]Act!I241</f>
        <v>1.9017874999426483</v>
      </c>
      <c r="K43" s="23">
        <f>[16]Act!J241</f>
        <v>-1.7987944870558459</v>
      </c>
      <c r="L43" s="23">
        <f>[16]Act!K241</f>
        <v>1.052079276941204</v>
      </c>
      <c r="M43" s="23">
        <f>[16]Act!L241</f>
        <v>0.99237992570183486</v>
      </c>
      <c r="N43" s="23">
        <f>[16]Act!M241</f>
        <v>1.1941014209842464</v>
      </c>
      <c r="O43" s="23">
        <f>[16]Act!N241</f>
        <v>1.5389608073465981</v>
      </c>
      <c r="P43" s="23">
        <f>[16]Act!O241</f>
        <v>0</v>
      </c>
      <c r="Q43" s="109">
        <f t="shared" si="11"/>
        <v>16.019957037973107</v>
      </c>
      <c r="S43" s="23">
        <f>SUMIFS($E43:$P43,$E$3:$P$3,1,$E$5:$P$5,S$5)</f>
        <v>2.2106839143449135</v>
      </c>
      <c r="T43" s="23">
        <f>SUMIFS($E43:$P43,$E$3:$P$3,1,$E$5:$P$5,T$5)</f>
        <v>0</v>
      </c>
      <c r="U43" s="23">
        <f>SUMIFS($E43:$P43,$E$3:$P$3,1,$E$5:$P$5,U$5)</f>
        <v>0</v>
      </c>
      <c r="V43" s="23">
        <f>SUM(S43:U43)</f>
        <v>2.2106839143449135</v>
      </c>
      <c r="X43" s="23">
        <f>SUMIF($E$2:$P$2,1,E43:P43)</f>
        <v>2.2106839143449135</v>
      </c>
      <c r="Z43" s="23">
        <f>SUM(E43:G43)</f>
        <v>6.5801096811227042</v>
      </c>
      <c r="AA43" s="23">
        <f>SUM(H43:J43)</f>
        <v>6.4611204129323649</v>
      </c>
      <c r="AB43" s="23">
        <f>SUM(K43:M43)</f>
        <v>0.24566471558719294</v>
      </c>
      <c r="AC43" s="23">
        <f>SUM(N43:P43)</f>
        <v>2.7330622283308443</v>
      </c>
      <c r="AD43" s="23">
        <f>SUM(Z43:AC43)</f>
        <v>16.019957037973107</v>
      </c>
      <c r="AF43" s="23">
        <f>AA43-Z43</f>
        <v>-0.11898926819033928</v>
      </c>
    </row>
    <row r="44" spans="1:32">
      <c r="A44" s="77"/>
      <c r="B44" s="17" t="s">
        <v>40</v>
      </c>
      <c r="C44" s="17"/>
      <c r="D44" s="17"/>
      <c r="E44" s="38">
        <f>SUM(E39:E43)</f>
        <v>-35.178737002655083</v>
      </c>
      <c r="F44" s="38">
        <f>SUM(F39:F43)</f>
        <v>-27.792131179467088</v>
      </c>
      <c r="G44" s="38">
        <f>SUM(G39:G43)</f>
        <v>-37.488555210755123</v>
      </c>
      <c r="H44" s="38">
        <f>SUM(H39:H43)</f>
        <v>-32.832679443762551</v>
      </c>
      <c r="I44" s="38">
        <f>SUM(I39:I43)</f>
        <v>-29.704879889247735</v>
      </c>
      <c r="J44" s="40">
        <f t="shared" ref="J44:P44" si="28">SUM(J39:J43)</f>
        <v>-33.36632841405735</v>
      </c>
      <c r="K44" s="40">
        <f t="shared" si="28"/>
        <v>-37.545932300055846</v>
      </c>
      <c r="L44" s="40">
        <f t="shared" si="28"/>
        <v>-32.886963901058792</v>
      </c>
      <c r="M44" s="40">
        <f t="shared" si="28"/>
        <v>-31.038685827298167</v>
      </c>
      <c r="N44" s="40">
        <f t="shared" si="28"/>
        <v>-33.190394952015751</v>
      </c>
      <c r="O44" s="40">
        <f t="shared" si="28"/>
        <v>-32.955916964653404</v>
      </c>
      <c r="P44" s="40">
        <f t="shared" si="28"/>
        <v>0</v>
      </c>
      <c r="Q44" s="110">
        <f t="shared" si="11"/>
        <v>-363.98120508502694</v>
      </c>
      <c r="S44" s="40">
        <f>SUM(S39:S43)</f>
        <v>-35.178737002655083</v>
      </c>
      <c r="T44" s="40">
        <f>SUM(T39:T43)</f>
        <v>0</v>
      </c>
      <c r="U44" s="40">
        <f>SUM(U39:U43)</f>
        <v>0</v>
      </c>
      <c r="V44" s="40">
        <f>SUM(V39:V43)</f>
        <v>-35.178737002655083</v>
      </c>
      <c r="X44" s="40">
        <f>SUM(X39:X43)</f>
        <v>-35.178737002655083</v>
      </c>
      <c r="Z44" s="40">
        <f>SUM(Z39:Z43)</f>
        <v>-100.45942339287728</v>
      </c>
      <c r="AA44" s="40">
        <f>SUM(AA39:AA43)</f>
        <v>-95.903887747067643</v>
      </c>
      <c r="AB44" s="40">
        <f>SUM(AB39:AB43)</f>
        <v>-101.4715820284128</v>
      </c>
      <c r="AC44" s="40">
        <f>SUM(AC39:AC43)</f>
        <v>-66.146311916669163</v>
      </c>
      <c r="AD44" s="40">
        <f>SUM(AD39:AD43)</f>
        <v>-363.98120508502689</v>
      </c>
      <c r="AF44" s="40">
        <f>AA44-Z44</f>
        <v>4.5555356458096412</v>
      </c>
    </row>
    <row r="45" spans="1:32">
      <c r="A45" s="78" t="s">
        <v>41</v>
      </c>
      <c r="B45" s="73"/>
      <c r="C45" s="73"/>
      <c r="D45" s="73"/>
      <c r="E45" s="51">
        <f>SUM(E44,E38,E34)</f>
        <v>-128.47130442265509</v>
      </c>
      <c r="F45" s="51">
        <f>SUM(F44,F38,F34)</f>
        <v>-91.1531429154671</v>
      </c>
      <c r="G45" s="51">
        <f>SUM(G44,G38,G34)</f>
        <v>-119.55235491975512</v>
      </c>
      <c r="H45" s="51">
        <f>SUM(H44,H38,H34)</f>
        <v>-107.54279178476256</v>
      </c>
      <c r="I45" s="51">
        <f>SUM(I44,I38,I34)</f>
        <v>-93.048962530247763</v>
      </c>
      <c r="J45" s="53">
        <f t="shared" ref="J45:P45" si="29">SUM(J44,J38,J34)</f>
        <v>-125.09741196105735</v>
      </c>
      <c r="K45" s="53">
        <f t="shared" si="29"/>
        <v>-125.58767834796085</v>
      </c>
      <c r="L45" s="53">
        <f t="shared" si="29"/>
        <v>-105.88469643705881</v>
      </c>
      <c r="M45" s="53">
        <f t="shared" si="29"/>
        <v>-100.49295128809811</v>
      </c>
      <c r="N45" s="53">
        <f t="shared" si="29"/>
        <v>-114.02454035801577</v>
      </c>
      <c r="O45" s="53">
        <f t="shared" si="29"/>
        <v>-113.49839668565342</v>
      </c>
      <c r="P45" s="53">
        <f t="shared" si="29"/>
        <v>0</v>
      </c>
      <c r="Q45" s="112">
        <f t="shared" si="11"/>
        <v>-1224.3542316507319</v>
      </c>
      <c r="S45" s="53">
        <f>SUM(S44,S38,S34)</f>
        <v>-128.47130442265509</v>
      </c>
      <c r="T45" s="53">
        <f>SUM(T44,T38,T34)</f>
        <v>0</v>
      </c>
      <c r="U45" s="53">
        <f>SUM(U44,U38,U34)</f>
        <v>0</v>
      </c>
      <c r="V45" s="53">
        <f>SUM(V44,V38,V34)</f>
        <v>-128.47130442265509</v>
      </c>
      <c r="X45" s="53">
        <f>SUM(X44,X38,X34)</f>
        <v>-128.47130442265509</v>
      </c>
      <c r="Z45" s="53">
        <f>SUM(Z44,Z38,Z34)</f>
        <v>-339.17680225787728</v>
      </c>
      <c r="AA45" s="53">
        <f>SUM(AA44,AA38,AA34)</f>
        <v>-325.68916627606768</v>
      </c>
      <c r="AB45" s="53">
        <f>SUM(AB44,AB38,AB34)</f>
        <v>-331.96532607311781</v>
      </c>
      <c r="AC45" s="53">
        <f>SUM(AC44,AC38,AC34)</f>
        <v>-227.5229370436692</v>
      </c>
      <c r="AD45" s="53">
        <f>SUM(AD44,AD38,AD34)</f>
        <v>-1224.3542316507319</v>
      </c>
      <c r="AF45" s="53">
        <f>AA45-Z45</f>
        <v>13.487635981809603</v>
      </c>
    </row>
    <row r="46" spans="1:32">
      <c r="A46" s="50" t="s">
        <v>42</v>
      </c>
      <c r="B46" s="50"/>
      <c r="C46" s="37"/>
      <c r="D46" s="37"/>
      <c r="E46" s="51">
        <f>E26+E45</f>
        <v>-42.387684835008343</v>
      </c>
      <c r="F46" s="51">
        <f>F26+F45</f>
        <v>17.965397258612171</v>
      </c>
      <c r="G46" s="51">
        <f>G26+G45</f>
        <v>-12.885232165918325</v>
      </c>
      <c r="H46" s="51">
        <f>H26+H45</f>
        <v>-0.2675975714052754</v>
      </c>
      <c r="I46" s="51">
        <f>I26+I45</f>
        <v>17.348663584171049</v>
      </c>
      <c r="J46" s="53">
        <f t="shared" ref="J46:P46" si="30">J26+J45</f>
        <v>98.871996183426731</v>
      </c>
      <c r="K46" s="53">
        <f t="shared" si="30"/>
        <v>15.057123478721778</v>
      </c>
      <c r="L46" s="53">
        <f t="shared" si="30"/>
        <v>30.690191763655406</v>
      </c>
      <c r="M46" s="53">
        <f t="shared" si="30"/>
        <v>94.055121015812887</v>
      </c>
      <c r="N46" s="53">
        <f t="shared" si="30"/>
        <v>30.258471345228827</v>
      </c>
      <c r="O46" s="53">
        <f t="shared" si="30"/>
        <v>48.718668958482723</v>
      </c>
      <c r="P46" s="53">
        <f t="shared" si="30"/>
        <v>0</v>
      </c>
      <c r="Q46" s="112">
        <f t="shared" si="11"/>
        <v>297.42511901577961</v>
      </c>
      <c r="S46" s="53">
        <f>S26+S45</f>
        <v>-42.387684835008343</v>
      </c>
      <c r="T46" s="53">
        <f>T26+T45</f>
        <v>0</v>
      </c>
      <c r="U46" s="53">
        <f>U26+U45</f>
        <v>0</v>
      </c>
      <c r="V46" s="53">
        <f>V26+V45</f>
        <v>-42.387684835008343</v>
      </c>
      <c r="X46" s="53">
        <f>X26+X45</f>
        <v>-42.387684835008343</v>
      </c>
      <c r="Z46" s="53">
        <f>Z26+Z45</f>
        <v>-37.307519742314184</v>
      </c>
      <c r="AA46" s="53">
        <f>AA26+AA45</f>
        <v>115.9530621961926</v>
      </c>
      <c r="AB46" s="53">
        <f>AB26+AB45</f>
        <v>139.80243625818969</v>
      </c>
      <c r="AC46" s="53">
        <f>AC26+AC45</f>
        <v>78.977140303711764</v>
      </c>
      <c r="AD46" s="53">
        <f>AD26+AD45</f>
        <v>297.42511901578109</v>
      </c>
      <c r="AF46" s="53">
        <f>AA46-Z46</f>
        <v>153.26058193850679</v>
      </c>
    </row>
    <row r="47" spans="1:32">
      <c r="A47" s="54"/>
      <c r="B47" s="55" t="s">
        <v>43</v>
      </c>
      <c r="C47" s="56"/>
      <c r="D47" s="56"/>
      <c r="E47" s="57">
        <f>E46/E22</f>
        <v>-8.0441018053523272E-2</v>
      </c>
      <c r="F47" s="57">
        <f>F46/F22</f>
        <v>2.769137807377153E-2</v>
      </c>
      <c r="G47" s="57">
        <f>G46/G22</f>
        <v>-1.5359842329141482E-2</v>
      </c>
      <c r="H47" s="57">
        <f>H46/H22</f>
        <v>-4.1441131387422549E-4</v>
      </c>
      <c r="I47" s="57">
        <f>I46/I22</f>
        <v>3.2204719196064768E-2</v>
      </c>
      <c r="J47" s="59">
        <f t="shared" ref="J47:P47" si="31">J46/J22</f>
        <v>9.5175915407169312E-2</v>
      </c>
      <c r="K47" s="59">
        <f t="shared" si="31"/>
        <v>2.2606506210047839E-2</v>
      </c>
      <c r="L47" s="59">
        <f t="shared" si="31"/>
        <v>3.6979229598765526E-2</v>
      </c>
      <c r="M47" s="59">
        <f t="shared" si="31"/>
        <v>0.12530920870147974</v>
      </c>
      <c r="N47" s="59">
        <f t="shared" si="31"/>
        <v>4.1279740976024742E-2</v>
      </c>
      <c r="O47" s="59">
        <f t="shared" si="31"/>
        <v>6.3878702434003995E-2</v>
      </c>
      <c r="P47" s="59" t="e">
        <f t="shared" si="31"/>
        <v>#DIV/0!</v>
      </c>
      <c r="Q47" s="116" t="e">
        <f t="shared" si="11"/>
        <v>#DIV/0!</v>
      </c>
      <c r="S47" s="59">
        <f>S46/S22</f>
        <v>-8.0441018053523272E-2</v>
      </c>
      <c r="T47" s="59" t="e">
        <f>T46/T22</f>
        <v>#DIV/0!</v>
      </c>
      <c r="U47" s="59" t="e">
        <f>U46/U22</f>
        <v>#DIV/0!</v>
      </c>
      <c r="V47" s="59">
        <f>V46/V22</f>
        <v>-8.0441018053523272E-2</v>
      </c>
      <c r="X47" s="59">
        <f>X46/X22</f>
        <v>-8.0441018053523272E-2</v>
      </c>
      <c r="Z47" s="59">
        <f>Z46/Z22</f>
        <v>-1.8518534499412941E-2</v>
      </c>
      <c r="AA47" s="59">
        <f>AA46/AA22</f>
        <v>5.2154450766104157E-2</v>
      </c>
      <c r="AB47" s="59">
        <f>AB46/AB22</f>
        <v>6.2229351570904909E-2</v>
      </c>
      <c r="AC47" s="59">
        <f>AC46/AC22</f>
        <v>5.2803328523578656E-2</v>
      </c>
      <c r="AD47" s="59">
        <f>AD46/AD22</f>
        <v>3.7270759109869128E-2</v>
      </c>
      <c r="AF47" s="59">
        <f>AA47-Z47</f>
        <v>7.0672985265517102E-2</v>
      </c>
    </row>
    <row r="48" spans="1:32">
      <c r="A48" s="2"/>
      <c r="B48" s="2"/>
      <c r="C48" s="2"/>
      <c r="D48" s="2"/>
      <c r="E48" s="15"/>
      <c r="F48" s="15"/>
      <c r="G48" s="15"/>
      <c r="H48" s="15"/>
      <c r="I48" s="15"/>
      <c r="J48" s="2"/>
      <c r="K48" s="2"/>
      <c r="L48" s="2"/>
      <c r="M48" s="2"/>
      <c r="N48" s="2"/>
      <c r="O48" s="2"/>
      <c r="P48" s="2"/>
      <c r="Q48" s="117"/>
      <c r="S48" s="2"/>
      <c r="T48" s="2"/>
      <c r="U48" s="2"/>
      <c r="V48" s="2"/>
      <c r="X48" s="2"/>
      <c r="Z48" s="2"/>
      <c r="AA48" s="2"/>
      <c r="AB48" s="2"/>
      <c r="AC48" s="2"/>
      <c r="AD48" s="2"/>
      <c r="AF48" s="2"/>
    </row>
    <row r="49" spans="1:32" hidden="1" outlineLevel="1">
      <c r="A49" s="79"/>
      <c r="B49" s="80" t="s">
        <v>44</v>
      </c>
      <c r="C49" s="81"/>
      <c r="D49" s="81"/>
      <c r="E49" s="82"/>
      <c r="F49" s="82"/>
      <c r="G49" s="82"/>
      <c r="H49" s="82"/>
      <c r="I49" s="82"/>
      <c r="J49" s="83"/>
      <c r="K49" s="83"/>
      <c r="L49" s="83"/>
      <c r="M49" s="83"/>
      <c r="N49" s="83"/>
      <c r="O49" s="83"/>
      <c r="P49" s="83"/>
      <c r="Q49" s="118">
        <f>SUM(E49:P49)</f>
        <v>0</v>
      </c>
      <c r="S49" s="83"/>
      <c r="T49" s="83"/>
      <c r="U49" s="83"/>
      <c r="V49" s="83"/>
      <c r="X49" s="83"/>
      <c r="Z49" s="83"/>
      <c r="AA49" s="83"/>
      <c r="AB49" s="83"/>
      <c r="AC49" s="83"/>
      <c r="AD49" s="83"/>
      <c r="AF49" s="83"/>
    </row>
    <row r="50" spans="1:32" hidden="1" outlineLevel="1">
      <c r="A50" s="84"/>
      <c r="B50" s="80" t="s">
        <v>45</v>
      </c>
      <c r="C50" s="81"/>
      <c r="D50" s="81"/>
      <c r="E50" s="82"/>
      <c r="F50" s="82"/>
      <c r="G50" s="82"/>
      <c r="H50" s="82"/>
      <c r="I50" s="82"/>
      <c r="J50" s="83"/>
      <c r="K50" s="83"/>
      <c r="L50" s="83"/>
      <c r="M50" s="83"/>
      <c r="N50" s="83"/>
      <c r="O50" s="83"/>
      <c r="P50" s="83"/>
      <c r="Q50" s="118">
        <f>SUM(E50:P50)</f>
        <v>0</v>
      </c>
      <c r="S50" s="83"/>
      <c r="T50" s="83"/>
      <c r="U50" s="83"/>
      <c r="V50" s="83"/>
      <c r="X50" s="83"/>
      <c r="Z50" s="83"/>
      <c r="AA50" s="83"/>
      <c r="AB50" s="83"/>
      <c r="AC50" s="83"/>
      <c r="AD50" s="83"/>
      <c r="AF50" s="83"/>
    </row>
    <row r="51" spans="1:32" hidden="1" outlineLevel="1">
      <c r="A51" s="84"/>
      <c r="B51" s="80" t="s">
        <v>46</v>
      </c>
      <c r="C51" s="81"/>
      <c r="D51" s="81"/>
      <c r="E51" s="82"/>
      <c r="F51" s="82"/>
      <c r="G51" s="82"/>
      <c r="H51" s="82"/>
      <c r="I51" s="82"/>
      <c r="J51" s="83"/>
      <c r="K51" s="83"/>
      <c r="L51" s="83"/>
      <c r="M51" s="83"/>
      <c r="N51" s="83"/>
      <c r="O51" s="83"/>
      <c r="P51" s="83"/>
      <c r="Q51" s="118">
        <f>SUM(E51:P51)</f>
        <v>0</v>
      </c>
      <c r="S51" s="83"/>
      <c r="T51" s="83"/>
      <c r="U51" s="83"/>
      <c r="V51" s="83"/>
      <c r="X51" s="83"/>
      <c r="Z51" s="83"/>
      <c r="AA51" s="83"/>
      <c r="AB51" s="83"/>
      <c r="AC51" s="83"/>
      <c r="AD51" s="83"/>
      <c r="AF51" s="83"/>
    </row>
    <row r="52" spans="1:32" hidden="1" outlineLevel="1">
      <c r="A52" s="85" t="s">
        <v>47</v>
      </c>
      <c r="B52" s="86"/>
      <c r="C52" s="86"/>
      <c r="D52" s="86"/>
      <c r="E52" s="82"/>
      <c r="F52" s="82"/>
      <c r="G52" s="82"/>
      <c r="H52" s="82"/>
      <c r="I52" s="82"/>
      <c r="J52" s="83"/>
      <c r="K52" s="83"/>
      <c r="L52" s="83"/>
      <c r="M52" s="83"/>
      <c r="N52" s="83"/>
      <c r="O52" s="83"/>
      <c r="P52" s="83"/>
      <c r="Q52" s="119">
        <f>SUM(E52:P52)</f>
        <v>0</v>
      </c>
      <c r="S52" s="83"/>
      <c r="T52" s="83"/>
      <c r="U52" s="83"/>
      <c r="V52" s="83"/>
      <c r="X52" s="83"/>
      <c r="Z52" s="83"/>
      <c r="AA52" s="83"/>
      <c r="AB52" s="83"/>
      <c r="AC52" s="83"/>
      <c r="AD52" s="83"/>
      <c r="AF52" s="83"/>
    </row>
    <row r="53" spans="1:32" collapsed="1">
      <c r="A53" s="2"/>
      <c r="B53" s="2"/>
      <c r="C53" s="2"/>
      <c r="D53" s="2"/>
      <c r="E53" s="15"/>
      <c r="F53" s="15"/>
      <c r="G53" s="15"/>
      <c r="H53" s="15"/>
      <c r="I53" s="15"/>
      <c r="J53" s="2"/>
      <c r="K53" s="2"/>
      <c r="L53" s="2"/>
      <c r="M53" s="2"/>
      <c r="N53" s="2"/>
      <c r="O53" s="2"/>
      <c r="P53" s="2"/>
      <c r="Q53" s="117"/>
      <c r="S53" s="2"/>
      <c r="T53" s="2"/>
      <c r="U53" s="2"/>
      <c r="V53" s="2"/>
      <c r="X53" s="2"/>
      <c r="Z53" s="2"/>
      <c r="AA53" s="2"/>
      <c r="AB53" s="2"/>
      <c r="AC53" s="2"/>
      <c r="AD53" s="2"/>
      <c r="AF53" s="2"/>
    </row>
    <row r="54" spans="1:32">
      <c r="A54" s="87" t="s">
        <v>48</v>
      </c>
      <c r="B54" s="88"/>
      <c r="C54" s="86"/>
      <c r="D54" s="86"/>
      <c r="E54" s="89">
        <f>[16]Act!D29</f>
        <v>-71.169814299999885</v>
      </c>
      <c r="F54" s="89">
        <f>[16]Act!E29</f>
        <v>-15.481782200000438</v>
      </c>
      <c r="G54" s="89">
        <f>[16]Act!F29</f>
        <v>-49.155462699998822</v>
      </c>
      <c r="H54" s="89">
        <f>[16]Act!G29</f>
        <v>-39.963050500000556</v>
      </c>
      <c r="I54" s="89">
        <f>[16]Act!H29</f>
        <v>-21.139446899999982</v>
      </c>
      <c r="J54" s="90">
        <f>[16]Act!I29</f>
        <v>8.2945073000007596</v>
      </c>
      <c r="K54" s="90">
        <f>[16]Act!J29</f>
        <v>-31.006610800002264</v>
      </c>
      <c r="L54" s="90">
        <f>[16]Act!K29</f>
        <v>-27.709236999998488</v>
      </c>
      <c r="M54" s="90">
        <f>[16]Act!L29</f>
        <v>44.86918159999864</v>
      </c>
      <c r="N54" s="90">
        <f>[16]Act!M29</f>
        <v>-14.941574100003102</v>
      </c>
      <c r="O54" s="90">
        <f>[16]Act!N29</f>
        <v>4.5787192000028369</v>
      </c>
      <c r="P54" s="90">
        <f>[16]Act!O29</f>
        <v>0</v>
      </c>
      <c r="Q54" s="655">
        <f>SUM(E54:P54)</f>
        <v>-212.82457040000131</v>
      </c>
      <c r="S54" s="90">
        <f>SUMIFS($E54:$P54,$E$3:$P$3,1,$E$5:$P$5,S$5)</f>
        <v>-71.169814299999885</v>
      </c>
      <c r="T54" s="90">
        <f>SUMIFS($E54:$P54,$E$3:$P$3,1,$E$5:$P$5,T$5)</f>
        <v>0</v>
      </c>
      <c r="U54" s="90">
        <f>SUMIFS($E54:$P54,$E$3:$P$3,1,$E$5:$P$5,U$5)</f>
        <v>0</v>
      </c>
      <c r="V54" s="90">
        <f>SUM(S54:U54)</f>
        <v>-71.169814299999885</v>
      </c>
      <c r="X54" s="90">
        <f>SUMIF($E$2:$P$2,1,E54:P54)</f>
        <v>-71.169814299999885</v>
      </c>
      <c r="Z54" s="90">
        <f>SUM(E54:G54)</f>
        <v>-135.80705919999914</v>
      </c>
      <c r="AA54" s="90">
        <f>SUM(H54:J54)</f>
        <v>-52.807990099999778</v>
      </c>
      <c r="AB54" s="90">
        <f>SUM(K54:M54)</f>
        <v>-13.846666200002112</v>
      </c>
      <c r="AC54" s="90">
        <f>SUM(N54:P54)</f>
        <v>-10.362854900000265</v>
      </c>
      <c r="AD54" s="90">
        <f>SUM(Z54:AC54)</f>
        <v>-212.82457040000131</v>
      </c>
      <c r="AF54" s="90">
        <f>AA54-Z54</f>
        <v>82.99906909999936</v>
      </c>
    </row>
    <row r="55" spans="1:32">
      <c r="A55" s="2"/>
      <c r="B55" s="2"/>
      <c r="C55" s="2"/>
      <c r="D55" s="2"/>
      <c r="E55" s="15"/>
      <c r="F55" s="15"/>
      <c r="G55" s="15"/>
      <c r="H55" s="15"/>
      <c r="I55" s="15"/>
      <c r="J55" s="2"/>
      <c r="K55" s="2"/>
      <c r="L55" s="2"/>
      <c r="M55" s="2"/>
      <c r="N55" s="2"/>
      <c r="O55" s="2"/>
      <c r="P55" s="2"/>
      <c r="Q55" s="117"/>
      <c r="S55" s="2"/>
      <c r="T55" s="2"/>
      <c r="U55" s="2"/>
      <c r="V55" s="2"/>
      <c r="X55" s="2"/>
      <c r="Z55" s="2"/>
      <c r="AA55" s="2"/>
      <c r="AB55" s="2"/>
      <c r="AC55" s="2"/>
      <c r="AD55" s="2"/>
      <c r="AF55" s="2"/>
    </row>
    <row r="56" spans="1:32" ht="15.75" thickBot="1">
      <c r="A56" s="80" t="s">
        <v>49</v>
      </c>
      <c r="B56" s="91"/>
      <c r="C56" s="81"/>
      <c r="D56" s="91"/>
      <c r="E56" s="92">
        <f>'[14]New KPI Actual'!F33</f>
        <v>-3.1056917000000017E-2</v>
      </c>
      <c r="F56" s="92">
        <f>'[14]New KPI Actual'!G33</f>
        <v>-2.0865730000000002E-2</v>
      </c>
      <c r="G56" s="92">
        <f>'[14]New KPI Actual'!H33</f>
        <v>-1.1517993000000001E-2</v>
      </c>
      <c r="H56" s="92">
        <f>'[14]New KPI Actual'!I33</f>
        <v>0.296928782</v>
      </c>
      <c r="I56" s="92">
        <f>'[14]New KPI Actual'!J33</f>
        <v>-0.149848024</v>
      </c>
      <c r="J56" s="93">
        <f>'[14]New KPI Actual'!K33</f>
        <v>6.1804080000000004E-2</v>
      </c>
      <c r="K56" s="93">
        <f>'[14]New KPI Actual'!L33</f>
        <v>-8.2806230000000008E-3</v>
      </c>
      <c r="L56" s="93">
        <f>'[14]New KPI Actual'!M33</f>
        <v>-7.4329570000000005E-3</v>
      </c>
      <c r="M56" s="93">
        <f>'[14]New KPI Actual'!N33</f>
        <v>-4.1327812999999984E-2</v>
      </c>
      <c r="N56" s="93">
        <f>'[14]New KPI Actual'!O33</f>
        <v>-3.5024863000000003E-2</v>
      </c>
      <c r="O56" s="93">
        <f>'[1]New KPI Actual'!P33</f>
        <v>-5.9481298000000009E-2</v>
      </c>
      <c r="P56" s="93">
        <f>'[1]New KPI Actual'!Q33</f>
        <v>0</v>
      </c>
      <c r="Q56" s="120">
        <f>SUM(E56:P56)</f>
        <v>-6.1033560000000112E-3</v>
      </c>
      <c r="S56" s="93">
        <f>SUMIFS($E56:$P56,$E$3:$P$3,1,$E$5:$P$5,S$5)</f>
        <v>-3.1056917000000017E-2</v>
      </c>
      <c r="T56" s="93">
        <f>SUMIFS($E56:$P56,$E$3:$P$3,1,$E$5:$P$5,T$5)</f>
        <v>0</v>
      </c>
      <c r="U56" s="93">
        <f>SUMIFS($E56:$P56,$E$3:$P$3,1,$E$5:$P$5,U$5)</f>
        <v>0</v>
      </c>
      <c r="V56" s="93">
        <f>SUM(S56:U56)</f>
        <v>-3.1056917000000017E-2</v>
      </c>
      <c r="X56" s="93">
        <f>SUMIF($E$2:$P$2,1,E56:P56)</f>
        <v>-3.1056917000000017E-2</v>
      </c>
      <c r="Z56" s="93">
        <f>SUM(E56:G56)</f>
        <v>-6.344064000000002E-2</v>
      </c>
      <c r="AA56" s="93">
        <f>SUM(H56:J56)</f>
        <v>0.20888483800000002</v>
      </c>
      <c r="AB56" s="93">
        <f>SUM(K56:M56)</f>
        <v>-5.7041392999999982E-2</v>
      </c>
      <c r="AC56" s="93">
        <f>SUM(N56:P56)</f>
        <v>-9.4506161000000005E-2</v>
      </c>
      <c r="AD56" s="93">
        <f>SUM(Z56:AC56)</f>
        <v>-6.1033559999999903E-3</v>
      </c>
      <c r="AF56" s="93">
        <f>AA56-Z56</f>
        <v>0.27232547800000007</v>
      </c>
    </row>
    <row r="57" spans="1:32">
      <c r="A57" s="137"/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</row>
    <row r="58" spans="1:32">
      <c r="A58" s="444"/>
      <c r="B58" s="445" t="s">
        <v>297</v>
      </c>
      <c r="C58" s="446"/>
      <c r="D58" s="453"/>
      <c r="E58" s="456">
        <f>[16]Act!D237</f>
        <v>-1.8589674599999999</v>
      </c>
      <c r="F58" s="456">
        <f>[16]Act!E237</f>
        <v>-0.93709799999999999</v>
      </c>
      <c r="G58" s="456">
        <f>[16]Act!F237</f>
        <v>-1.168674</v>
      </c>
      <c r="H58" s="456">
        <f>[16]Act!G237</f>
        <v>-0.80727700000000002</v>
      </c>
      <c r="I58" s="456">
        <f>[16]Act!H237</f>
        <v>-0.71741299999999997</v>
      </c>
      <c r="J58" s="457">
        <f>[16]Act!I237</f>
        <v>-2.6038790000000001</v>
      </c>
      <c r="K58" s="457">
        <f>[16]Act!J237</f>
        <v>-1.828635</v>
      </c>
      <c r="L58" s="457">
        <f>[16]Act!K237</f>
        <v>-0.80425389000000003</v>
      </c>
      <c r="M58" s="457">
        <f>[16]Act!L237</f>
        <v>-2.2010000000000001</v>
      </c>
      <c r="N58" s="457">
        <f>[16]Act!M237</f>
        <v>-0.86099999999999999</v>
      </c>
      <c r="O58" s="457">
        <f>[16]Act!N237</f>
        <v>-0.78899999999999992</v>
      </c>
      <c r="P58" s="457">
        <f>[16]Act!O237</f>
        <v>0</v>
      </c>
      <c r="Q58" s="120">
        <f>SUM(E58:P58)</f>
        <v>-14.57719735</v>
      </c>
      <c r="S58" s="456">
        <f t="shared" ref="S58:U60" si="32">SUMIFS($E58:$P58,$E$3:$P$3,1,$E$5:$P$5,S$5)</f>
        <v>-1.8589674599999999</v>
      </c>
      <c r="T58" s="457">
        <f t="shared" si="32"/>
        <v>0</v>
      </c>
      <c r="U58" s="457">
        <f t="shared" si="32"/>
        <v>0</v>
      </c>
      <c r="V58" s="458">
        <f t="shared" ref="V58:X60" si="33">SUM(S58:U58)</f>
        <v>-1.8589674599999999</v>
      </c>
      <c r="X58" s="19">
        <f>SUMIF($E$2:$P$2,1,E58:P58)</f>
        <v>-1.8589674599999999</v>
      </c>
      <c r="Z58" s="456">
        <f>SUM(E58:G58)</f>
        <v>-3.9647394599999997</v>
      </c>
      <c r="AA58" s="457">
        <f>SUM(H58:J58)</f>
        <v>-4.1285690000000006</v>
      </c>
      <c r="AB58" s="457">
        <f>SUM(K58:M58)</f>
        <v>-4.8338888900000008</v>
      </c>
      <c r="AC58" s="457">
        <f>SUM(N58:P58)</f>
        <v>-1.65</v>
      </c>
      <c r="AD58" s="458">
        <f>SUM(Z58:AC58)</f>
        <v>-14.57719735</v>
      </c>
      <c r="AF58" s="456">
        <f>AA58-Z58</f>
        <v>-0.16382954000000094</v>
      </c>
    </row>
    <row r="59" spans="1:32">
      <c r="A59" s="447"/>
      <c r="B59" s="448" t="s">
        <v>298</v>
      </c>
      <c r="C59" s="449"/>
      <c r="D59" s="454"/>
      <c r="E59" s="459">
        <f>[16]Act!D238</f>
        <v>-3.0503450540000001</v>
      </c>
      <c r="F59" s="459">
        <f>[16]Act!E238</f>
        <v>-2.3303183100000053</v>
      </c>
      <c r="G59" s="459">
        <f>[16]Act!F238</f>
        <v>-8.3251644713501953</v>
      </c>
      <c r="H59" s="459">
        <f>[16]Act!G238</f>
        <v>-4.4889129659999929</v>
      </c>
      <c r="I59" s="459">
        <f>[16]Act!H238</f>
        <v>-3.9742786279999973</v>
      </c>
      <c r="J59" s="460">
        <f>[16]Act!I238</f>
        <v>-7.9299096440000048</v>
      </c>
      <c r="K59" s="460">
        <f>[16]Act!J238</f>
        <v>-6.6438274819050047</v>
      </c>
      <c r="L59" s="460">
        <f>[16]Act!K238</f>
        <v>-4.006431561090908</v>
      </c>
      <c r="M59" s="460">
        <f>[16]Act!L238</f>
        <v>-6.3684506738021902</v>
      </c>
      <c r="N59" s="460">
        <f>[16]Act!M238</f>
        <v>-4.8946091849999975</v>
      </c>
      <c r="O59" s="460">
        <f>[16]Act!N238</f>
        <v>-5.5113960401379334</v>
      </c>
      <c r="P59" s="460">
        <f>[16]Act!O238</f>
        <v>0</v>
      </c>
      <c r="Q59" s="120">
        <f>SUM(E59:P59)</f>
        <v>-57.523644015286223</v>
      </c>
      <c r="S59" s="459">
        <f t="shared" si="32"/>
        <v>-3.0503450540000001</v>
      </c>
      <c r="T59" s="460">
        <f t="shared" si="32"/>
        <v>0</v>
      </c>
      <c r="U59" s="460">
        <f t="shared" si="32"/>
        <v>0</v>
      </c>
      <c r="V59" s="461">
        <f t="shared" si="33"/>
        <v>-3.0503450540000001</v>
      </c>
      <c r="X59" s="46">
        <f>SUMIF($E$2:$P$2,1,E59:P59)</f>
        <v>-3.0503450540000001</v>
      </c>
      <c r="Z59" s="459">
        <f>SUM(E59:G59)</f>
        <v>-13.705827835350201</v>
      </c>
      <c r="AA59" s="460">
        <f>SUM(H59:J59)</f>
        <v>-16.393101237999996</v>
      </c>
      <c r="AB59" s="460">
        <f>SUM(K59:M59)</f>
        <v>-17.018709716798103</v>
      </c>
      <c r="AC59" s="460">
        <f>SUM(N59:P59)</f>
        <v>-10.406005225137932</v>
      </c>
      <c r="AD59" s="461">
        <f>SUM(Z59:AC59)</f>
        <v>-57.523644015286237</v>
      </c>
      <c r="AF59" s="459">
        <f>AA59-Z59</f>
        <v>-2.6872734026497955</v>
      </c>
    </row>
    <row r="60" spans="1:32">
      <c r="A60" s="450"/>
      <c r="B60" s="451" t="s">
        <v>299</v>
      </c>
      <c r="C60" s="452"/>
      <c r="D60" s="455"/>
      <c r="E60" s="69">
        <f t="shared" ref="E60:J60" si="34">SUM(E58:E59)</f>
        <v>-4.9093125139999998</v>
      </c>
      <c r="F60" s="69">
        <f t="shared" si="34"/>
        <v>-3.2674163100000051</v>
      </c>
      <c r="G60" s="69">
        <f t="shared" si="34"/>
        <v>-9.4938384713501947</v>
      </c>
      <c r="H60" s="69">
        <f t="shared" si="34"/>
        <v>-5.2961899659999929</v>
      </c>
      <c r="I60" s="69">
        <f t="shared" si="34"/>
        <v>-4.6916916279999974</v>
      </c>
      <c r="J60" s="70">
        <f t="shared" si="34"/>
        <v>-10.533788644000005</v>
      </c>
      <c r="K60" s="70">
        <f t="shared" ref="K60:P60" si="35">SUM(K58:K59)</f>
        <v>-8.4724624819050049</v>
      </c>
      <c r="L60" s="70">
        <f t="shared" si="35"/>
        <v>-4.8106854510909081</v>
      </c>
      <c r="M60" s="70">
        <f t="shared" si="35"/>
        <v>-8.5694506738021907</v>
      </c>
      <c r="N60" s="70">
        <f t="shared" si="35"/>
        <v>-5.7556091849999973</v>
      </c>
      <c r="O60" s="70">
        <f t="shared" si="35"/>
        <v>-6.3003960401379331</v>
      </c>
      <c r="P60" s="70">
        <f t="shared" si="35"/>
        <v>0</v>
      </c>
      <c r="Q60" s="119">
        <f>SUM(E60:P60)</f>
        <v>-72.100841365286243</v>
      </c>
      <c r="S60" s="70">
        <f t="shared" si="32"/>
        <v>-4.9093125139999998</v>
      </c>
      <c r="T60" s="70">
        <f t="shared" si="32"/>
        <v>0</v>
      </c>
      <c r="U60" s="70">
        <f t="shared" si="32"/>
        <v>0</v>
      </c>
      <c r="V60" s="70">
        <f t="shared" si="33"/>
        <v>-4.9093125139999998</v>
      </c>
      <c r="X60" s="70">
        <f t="shared" si="33"/>
        <v>-4.9093125139999998</v>
      </c>
      <c r="Z60" s="70">
        <f>SUM(E60:G60)</f>
        <v>-17.6705672953502</v>
      </c>
      <c r="AA60" s="70">
        <f>SUM(H60:J60)</f>
        <v>-20.521670237999995</v>
      </c>
      <c r="AB60" s="70">
        <f>SUM(K60:M60)</f>
        <v>-21.852598606798104</v>
      </c>
      <c r="AC60" s="70">
        <f>SUM(N60:P60)</f>
        <v>-12.05600522513793</v>
      </c>
      <c r="AD60" s="70">
        <f>SUM(Z60:AC60)</f>
        <v>-72.100841365286229</v>
      </c>
      <c r="AF60" s="70">
        <f>AA60-Z60</f>
        <v>-2.8511029426497956</v>
      </c>
    </row>
    <row r="61" spans="1:32">
      <c r="A61" s="94"/>
      <c r="B61" s="94"/>
      <c r="C61" s="94"/>
      <c r="D61" s="94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94"/>
      <c r="S61" s="94"/>
      <c r="T61" s="94"/>
      <c r="U61" s="94"/>
      <c r="V61" s="94"/>
      <c r="X61" s="94"/>
      <c r="Z61" s="94"/>
      <c r="AA61" s="94"/>
      <c r="AB61" s="94"/>
      <c r="AC61" s="94"/>
      <c r="AD61" s="94"/>
      <c r="AF61" s="94"/>
    </row>
    <row r="62" spans="1:32">
      <c r="A62" s="78" t="s">
        <v>50</v>
      </c>
      <c r="B62" s="73"/>
      <c r="C62" s="73"/>
      <c r="D62" s="73"/>
      <c r="E62" s="69">
        <f>[16]Act!D247</f>
        <v>-0.30846766876945769</v>
      </c>
      <c r="F62" s="69">
        <f>[16]Act!E247</f>
        <v>-1.3543336041457679</v>
      </c>
      <c r="G62" s="69">
        <f>[16]Act!F247</f>
        <v>-2.5510260615006883</v>
      </c>
      <c r="H62" s="69">
        <f>[16]Act!G247</f>
        <v>-0.35512855485592282</v>
      </c>
      <c r="I62" s="69">
        <f>[16]Act!H247</f>
        <v>-0.57385849005973366</v>
      </c>
      <c r="J62" s="69">
        <f>[16]Act!I247</f>
        <v>-0.48887213762819715</v>
      </c>
      <c r="K62" s="69">
        <f>[16]Act!J247</f>
        <v>-0.68222628174997924</v>
      </c>
      <c r="L62" s="69">
        <f>[16]Act!K247</f>
        <v>-1.1950801823577795</v>
      </c>
      <c r="M62" s="69">
        <f>[16]Act!L247</f>
        <v>-1.4170519517122959</v>
      </c>
      <c r="N62" s="69">
        <f>[16]Act!M247</f>
        <v>-0.2891209126082982</v>
      </c>
      <c r="O62" s="69">
        <f>[16]Act!N247</f>
        <v>-1.829214495511436</v>
      </c>
      <c r="P62" s="69">
        <f>[16]Act!O247</f>
        <v>0</v>
      </c>
      <c r="Q62" s="119">
        <f t="shared" ref="Q62:Q74" si="36">SUM(E62:P62)</f>
        <v>-11.044380340899558</v>
      </c>
      <c r="S62" s="69">
        <f t="shared" ref="S62:U77" si="37">SUMIFS($E62:$P62,$E$3:$P$3,1,$E$5:$P$5,S$5)</f>
        <v>-0.30846766876945769</v>
      </c>
      <c r="T62" s="69">
        <f t="shared" si="37"/>
        <v>0</v>
      </c>
      <c r="U62" s="69">
        <f t="shared" si="37"/>
        <v>0</v>
      </c>
      <c r="V62" s="69">
        <f t="shared" ref="V62:V72" si="38">SUM(S62:U62)</f>
        <v>-0.30846766876945769</v>
      </c>
      <c r="X62" s="69">
        <f t="shared" ref="X62:X73" si="39">SUMIF($E$2:$P$2,1,E62:P62)</f>
        <v>-0.30846766876945769</v>
      </c>
      <c r="Z62" s="69">
        <f t="shared" ref="Z62:Z72" si="40">SUM(E62:G62)</f>
        <v>-4.2138273344159138</v>
      </c>
      <c r="AA62" s="69">
        <f t="shared" ref="AA62:AA72" si="41">SUM(H62:J62)</f>
        <v>-1.4178591825438538</v>
      </c>
      <c r="AB62" s="69">
        <f t="shared" ref="AB62:AB72" si="42">SUM(K62:M62)</f>
        <v>-3.2943584158200547</v>
      </c>
      <c r="AC62" s="69">
        <f t="shared" ref="AC62:AC72" si="43">SUM(N62:P62)</f>
        <v>-2.1183354081197341</v>
      </c>
      <c r="AD62" s="69">
        <f t="shared" ref="AD62:AD72" si="44">SUM(Z62:AC62)</f>
        <v>-11.044380340899556</v>
      </c>
      <c r="AF62" s="69">
        <f t="shared" ref="AF62:AF75" si="45">AA62-Z62</f>
        <v>2.79596815187206</v>
      </c>
    </row>
    <row r="63" spans="1:32">
      <c r="A63" s="78" t="s">
        <v>51</v>
      </c>
      <c r="B63" s="73"/>
      <c r="C63" s="73"/>
      <c r="D63" s="73"/>
      <c r="E63" s="69">
        <f>[16]Act!D248</f>
        <v>8.7524709494160913</v>
      </c>
      <c r="F63" s="69">
        <f>[16]Act!E248</f>
        <v>12.937461930225558</v>
      </c>
      <c r="G63" s="69">
        <f>[16]Act!F248</f>
        <v>18.985245307490537</v>
      </c>
      <c r="H63" s="69">
        <f>[16]Act!G248</f>
        <v>15.721943676126671</v>
      </c>
      <c r="I63" s="69">
        <f>[16]Act!H248</f>
        <v>16.014433256075634</v>
      </c>
      <c r="J63" s="69">
        <f>[16]Act!I248</f>
        <v>31.961442071772428</v>
      </c>
      <c r="K63" s="69">
        <f>[16]Act!J248</f>
        <v>20.137490229001841</v>
      </c>
      <c r="L63" s="69">
        <f>[16]Act!K248</f>
        <v>24.88120383916127</v>
      </c>
      <c r="M63" s="69">
        <f>[16]Act!L248</f>
        <v>18.474412249817153</v>
      </c>
      <c r="N63" s="69">
        <f>[16]Act!M248</f>
        <v>20.821520692376762</v>
      </c>
      <c r="O63" s="69">
        <f>[16]Act!N248</f>
        <v>24.501378873552966</v>
      </c>
      <c r="P63" s="69">
        <f>[16]Act!O248</f>
        <v>0</v>
      </c>
      <c r="Q63" s="119">
        <f t="shared" si="36"/>
        <v>213.18900307501693</v>
      </c>
      <c r="S63" s="69">
        <f t="shared" si="37"/>
        <v>8.7524709494160913</v>
      </c>
      <c r="T63" s="69">
        <f t="shared" si="37"/>
        <v>0</v>
      </c>
      <c r="U63" s="69">
        <f t="shared" si="37"/>
        <v>0</v>
      </c>
      <c r="V63" s="69">
        <f t="shared" si="38"/>
        <v>8.7524709494160913</v>
      </c>
      <c r="X63" s="69">
        <f t="shared" si="39"/>
        <v>8.7524709494160913</v>
      </c>
      <c r="Z63" s="69">
        <f t="shared" si="40"/>
        <v>40.67517818713219</v>
      </c>
      <c r="AA63" s="69">
        <f t="shared" si="41"/>
        <v>63.697819003974729</v>
      </c>
      <c r="AB63" s="69">
        <f t="shared" si="42"/>
        <v>63.493106317980263</v>
      </c>
      <c r="AC63" s="69">
        <f t="shared" si="43"/>
        <v>45.322899565929731</v>
      </c>
      <c r="AD63" s="69">
        <f t="shared" si="44"/>
        <v>213.1890030750169</v>
      </c>
      <c r="AF63" s="69">
        <f t="shared" si="45"/>
        <v>23.022640816842539</v>
      </c>
    </row>
    <row r="64" spans="1:32">
      <c r="A64" s="78" t="s">
        <v>52</v>
      </c>
      <c r="B64" s="73"/>
      <c r="C64" s="73"/>
      <c r="D64" s="73"/>
      <c r="E64" s="69">
        <f>[16]Act!D250</f>
        <v>5.6350322980000023</v>
      </c>
      <c r="F64" s="69">
        <f>[16]Act!E250</f>
        <v>3.683511836000001</v>
      </c>
      <c r="G64" s="69">
        <f>[16]Act!F250</f>
        <v>-4.7641994999999326E-2</v>
      </c>
      <c r="H64" s="69">
        <f>[16]Act!G250</f>
        <v>6.6480954600000022</v>
      </c>
      <c r="I64" s="69">
        <f>[16]Act!H250</f>
        <v>1.9999212620000009</v>
      </c>
      <c r="J64" s="69">
        <f>[16]Act!I250</f>
        <v>5.4430039739999998</v>
      </c>
      <c r="K64" s="69">
        <f>[16]Act!J250</f>
        <v>4.7834469639999995</v>
      </c>
      <c r="L64" s="69">
        <f>[16]Act!K250</f>
        <v>4.1163949669999997</v>
      </c>
      <c r="M64" s="69">
        <f>[16]Act!L250</f>
        <v>5.1400729799999993</v>
      </c>
      <c r="N64" s="69">
        <f>[16]Act!M250</f>
        <v>6.4000510820000009</v>
      </c>
      <c r="O64" s="69">
        <f>[16]Act!N250</f>
        <v>3.9312561799999983</v>
      </c>
      <c r="P64" s="69">
        <f>[16]Act!O250</f>
        <v>0</v>
      </c>
      <c r="Q64" s="119">
        <f t="shared" si="36"/>
        <v>47.733145008000001</v>
      </c>
      <c r="S64" s="69">
        <f t="shared" si="37"/>
        <v>5.6350322980000023</v>
      </c>
      <c r="T64" s="69">
        <f t="shared" si="37"/>
        <v>0</v>
      </c>
      <c r="U64" s="69">
        <f t="shared" si="37"/>
        <v>0</v>
      </c>
      <c r="V64" s="69">
        <f t="shared" si="38"/>
        <v>5.6350322980000023</v>
      </c>
      <c r="X64" s="69">
        <f t="shared" si="39"/>
        <v>5.6350322980000023</v>
      </c>
      <c r="Z64" s="69">
        <f t="shared" si="40"/>
        <v>9.2709021390000039</v>
      </c>
      <c r="AA64" s="69">
        <f t="shared" si="41"/>
        <v>14.091020696000003</v>
      </c>
      <c r="AB64" s="69">
        <f t="shared" si="42"/>
        <v>14.039914910999999</v>
      </c>
      <c r="AC64" s="69">
        <f t="shared" si="43"/>
        <v>10.331307261999999</v>
      </c>
      <c r="AD64" s="69">
        <f t="shared" si="44"/>
        <v>47.733145008000008</v>
      </c>
      <c r="AF64" s="69">
        <f t="shared" si="45"/>
        <v>4.8201185569999989</v>
      </c>
    </row>
    <row r="65" spans="1:32">
      <c r="A65" s="78" t="s">
        <v>53</v>
      </c>
      <c r="B65" s="73"/>
      <c r="C65" s="73"/>
      <c r="D65" s="73"/>
      <c r="E65" s="69">
        <f>-SUM([14]Relief!E80:E84)</f>
        <v>0</v>
      </c>
      <c r="F65" s="69">
        <f>-SUM([14]Relief!F80:F84)</f>
        <v>0</v>
      </c>
      <c r="G65" s="69">
        <f>-SUM([14]Relief!G80:G84)</f>
        <v>0</v>
      </c>
      <c r="H65" s="69">
        <f>-SUM([14]Relief!H80:H84)</f>
        <v>0</v>
      </c>
      <c r="I65" s="69">
        <f>-SUM([14]Relief!I80:I84)</f>
        <v>2.9381124054970007</v>
      </c>
      <c r="J65" s="70">
        <f>-SUM([14]Relief!J80:J84)</f>
        <v>6.2840509788958006</v>
      </c>
      <c r="K65" s="70">
        <f>-SUM([14]Relief!K80:K84)</f>
        <v>5.3766086880534605</v>
      </c>
      <c r="L65" s="70">
        <f>-SUM([14]Relief!L80:L84)</f>
        <v>5.6592178242072579</v>
      </c>
      <c r="M65" s="70">
        <f>-SUM([14]Relief!M80:M84)</f>
        <v>5.3771757566312353</v>
      </c>
      <c r="N65" s="70">
        <f>-SUM([14]Relief!N80:N84)</f>
        <v>-1.9876000000000005</v>
      </c>
      <c r="O65" s="70">
        <f>-SUM([1]Relief!O80:O84)</f>
        <v>-4.0091302001706541</v>
      </c>
      <c r="P65" s="70">
        <f>-SUM([1]Relief!P80:P84)</f>
        <v>0</v>
      </c>
      <c r="Q65" s="119">
        <f t="shared" si="36"/>
        <v>19.638435453114099</v>
      </c>
      <c r="S65" s="69">
        <f t="shared" si="37"/>
        <v>0</v>
      </c>
      <c r="T65" s="69">
        <f t="shared" si="37"/>
        <v>0</v>
      </c>
      <c r="U65" s="69">
        <f t="shared" si="37"/>
        <v>0</v>
      </c>
      <c r="V65" s="69">
        <f t="shared" si="38"/>
        <v>0</v>
      </c>
      <c r="X65" s="69">
        <f t="shared" si="39"/>
        <v>0</v>
      </c>
      <c r="Z65" s="69">
        <f t="shared" si="40"/>
        <v>0</v>
      </c>
      <c r="AA65" s="69">
        <f t="shared" si="41"/>
        <v>9.2221633843928004</v>
      </c>
      <c r="AB65" s="69">
        <f t="shared" si="42"/>
        <v>16.413002268891955</v>
      </c>
      <c r="AC65" s="69">
        <f t="shared" si="43"/>
        <v>-5.9967302001706546</v>
      </c>
      <c r="AD65" s="69">
        <f t="shared" si="44"/>
        <v>19.638435453114099</v>
      </c>
      <c r="AF65" s="69">
        <f t="shared" si="45"/>
        <v>9.2221633843928004</v>
      </c>
    </row>
    <row r="66" spans="1:32">
      <c r="A66" s="78" t="s">
        <v>54</v>
      </c>
      <c r="B66" s="73"/>
      <c r="C66" s="73"/>
      <c r="D66" s="73"/>
      <c r="E66" s="69">
        <f>-SUM([14]Relief!E96:E97)</f>
        <v>0</v>
      </c>
      <c r="F66" s="69">
        <f>-SUM([14]Relief!F96:F97)</f>
        <v>0</v>
      </c>
      <c r="G66" s="69">
        <f>-SUM([14]Relief!G96:G97)</f>
        <v>0</v>
      </c>
      <c r="H66" s="69">
        <f>-SUM([14]Relief!H96:H97)</f>
        <v>0.84629999999999994</v>
      </c>
      <c r="I66" s="69">
        <f>-SUM([14]Relief!I96:I97)</f>
        <v>1.8121546965801907</v>
      </c>
      <c r="J66" s="70">
        <f>-SUM([14]Relief!J96:J97)</f>
        <v>2.7174581744434483</v>
      </c>
      <c r="K66" s="70">
        <f>-SUM([14]Relief!K96:K97)</f>
        <v>1.9678247681395822</v>
      </c>
      <c r="L66" s="70">
        <f>-SUM([14]Relief!L96:L97)</f>
        <v>1.4279864052818758</v>
      </c>
      <c r="M66" s="70">
        <f>-SUM([14]Relief!M96:M97)</f>
        <v>0.87176765557599067</v>
      </c>
      <c r="N66" s="70">
        <f>-SUM([14]Relief!N96:N97)</f>
        <v>0.48476128947928415</v>
      </c>
      <c r="O66" s="70">
        <f>-SUM([1]Relief!O96:O97)</f>
        <v>1.0830501742622869</v>
      </c>
      <c r="P66" s="70">
        <f>-SUM([1]Relief!P96:P97)</f>
        <v>0</v>
      </c>
      <c r="Q66" s="119">
        <f t="shared" si="36"/>
        <v>11.211303163762658</v>
      </c>
      <c r="S66" s="69">
        <f t="shared" si="37"/>
        <v>0</v>
      </c>
      <c r="T66" s="69">
        <f t="shared" si="37"/>
        <v>0</v>
      </c>
      <c r="U66" s="69">
        <f t="shared" si="37"/>
        <v>0</v>
      </c>
      <c r="V66" s="69">
        <f t="shared" si="38"/>
        <v>0</v>
      </c>
      <c r="X66" s="69">
        <f t="shared" si="39"/>
        <v>0</v>
      </c>
      <c r="Z66" s="69">
        <f t="shared" si="40"/>
        <v>0</v>
      </c>
      <c r="AA66" s="69">
        <f t="shared" si="41"/>
        <v>5.3759128710236386</v>
      </c>
      <c r="AB66" s="69">
        <f t="shared" si="42"/>
        <v>4.2675788289974488</v>
      </c>
      <c r="AC66" s="69">
        <f t="shared" si="43"/>
        <v>1.567811463741571</v>
      </c>
      <c r="AD66" s="69">
        <f t="shared" si="44"/>
        <v>11.211303163762658</v>
      </c>
      <c r="AF66" s="69">
        <f t="shared" si="45"/>
        <v>5.3759128710236386</v>
      </c>
    </row>
    <row r="67" spans="1:32">
      <c r="A67" s="78" t="s">
        <v>55</v>
      </c>
      <c r="B67" s="73"/>
      <c r="C67" s="73"/>
      <c r="D67" s="73"/>
      <c r="E67" s="69">
        <f>-[14]Relief!E95</f>
        <v>0</v>
      </c>
      <c r="F67" s="69">
        <f>-[14]Relief!F95</f>
        <v>0</v>
      </c>
      <c r="G67" s="69">
        <f>-[14]Relief!G95</f>
        <v>-0.30283913715431171</v>
      </c>
      <c r="H67" s="69">
        <f>-[14]Relief!H95</f>
        <v>-0.18245641091273598</v>
      </c>
      <c r="I67" s="69">
        <f>-[14]Relief!I95</f>
        <v>-5.824764674268023E-3</v>
      </c>
      <c r="J67" s="70">
        <f>-[14]Relief!J95</f>
        <v>0</v>
      </c>
      <c r="K67" s="70">
        <f>-[14]Relief!K95</f>
        <v>0</v>
      </c>
      <c r="L67" s="70">
        <f>-[14]Relief!L95</f>
        <v>0</v>
      </c>
      <c r="M67" s="70">
        <f>-[14]Relief!M95</f>
        <v>0</v>
      </c>
      <c r="N67" s="70">
        <f>-[14]Relief!N95</f>
        <v>0</v>
      </c>
      <c r="O67" s="70">
        <f>-[1]Relief!O95</f>
        <v>0</v>
      </c>
      <c r="P67" s="70">
        <f>-[1]Relief!P95</f>
        <v>0</v>
      </c>
      <c r="Q67" s="119">
        <f t="shared" si="36"/>
        <v>-0.49112031274131568</v>
      </c>
      <c r="S67" s="69">
        <f t="shared" si="37"/>
        <v>0</v>
      </c>
      <c r="T67" s="69">
        <f t="shared" si="37"/>
        <v>0</v>
      </c>
      <c r="U67" s="69">
        <f t="shared" si="37"/>
        <v>0</v>
      </c>
      <c r="V67" s="69">
        <f t="shared" si="38"/>
        <v>0</v>
      </c>
      <c r="X67" s="69">
        <f t="shared" si="39"/>
        <v>0</v>
      </c>
      <c r="Z67" s="69">
        <f t="shared" si="40"/>
        <v>-0.30283913715431171</v>
      </c>
      <c r="AA67" s="69">
        <f t="shared" si="41"/>
        <v>-0.188281175587004</v>
      </c>
      <c r="AB67" s="69">
        <f t="shared" si="42"/>
        <v>0</v>
      </c>
      <c r="AC67" s="69">
        <f t="shared" si="43"/>
        <v>0</v>
      </c>
      <c r="AD67" s="69">
        <f t="shared" si="44"/>
        <v>-0.49112031274131573</v>
      </c>
      <c r="AF67" s="69">
        <f t="shared" si="45"/>
        <v>0.11455796156730771</v>
      </c>
    </row>
    <row r="68" spans="1:32">
      <c r="A68" s="78" t="s">
        <v>56</v>
      </c>
      <c r="B68" s="73"/>
      <c r="C68" s="73"/>
      <c r="D68" s="73"/>
      <c r="E68" s="70">
        <f>'[14]New KPI Actual'!F220-E69</f>
        <v>11.986581189000001</v>
      </c>
      <c r="F68" s="70">
        <f>'[14]New KPI Actual'!G220-F69</f>
        <v>12.418130976</v>
      </c>
      <c r="G68" s="70">
        <f>'[14]New KPI Actual'!H220-G69</f>
        <v>14.339531531</v>
      </c>
      <c r="H68" s="70">
        <f>'[14]New KPI Actual'!I220-H69</f>
        <v>11.268922902</v>
      </c>
      <c r="I68" s="70">
        <f>'[14]New KPI Actual'!J220-I69</f>
        <v>9.7634507080000006</v>
      </c>
      <c r="J68" s="70">
        <f>'[14]New KPI Actual'!K220-J69</f>
        <v>16.207437536</v>
      </c>
      <c r="K68" s="70">
        <f>'[14]New KPI Actual'!L220-K69</f>
        <v>12.53863904</v>
      </c>
      <c r="L68" s="70">
        <f>'[14]New KPI Actual'!M220-L69</f>
        <v>17.910946447000001</v>
      </c>
      <c r="M68" s="70">
        <f>'[14]New KPI Actual'!N220-M69</f>
        <v>13.839326565</v>
      </c>
      <c r="N68" s="70">
        <f>'[14]New KPI Actual'!O220-N69</f>
        <v>12.553012989000001</v>
      </c>
      <c r="O68" s="70">
        <f>'[1]New KPI Actual'!P220-O69</f>
        <v>15.001153421</v>
      </c>
      <c r="P68" s="70">
        <f>'[1]New KPI Actual'!Q220-P69</f>
        <v>0</v>
      </c>
      <c r="Q68" s="119">
        <f t="shared" si="36"/>
        <v>147.827133304</v>
      </c>
      <c r="S68" s="69">
        <f t="shared" si="37"/>
        <v>11.986581189000001</v>
      </c>
      <c r="T68" s="69">
        <f t="shared" si="37"/>
        <v>0</v>
      </c>
      <c r="U68" s="69">
        <f t="shared" si="37"/>
        <v>0</v>
      </c>
      <c r="V68" s="69">
        <f t="shared" si="38"/>
        <v>11.986581189000001</v>
      </c>
      <c r="X68" s="69">
        <f t="shared" si="39"/>
        <v>11.986581189000001</v>
      </c>
      <c r="Z68" s="69">
        <f t="shared" si="40"/>
        <v>38.744243695999998</v>
      </c>
      <c r="AA68" s="69">
        <f t="shared" si="41"/>
        <v>37.239811146000001</v>
      </c>
      <c r="AB68" s="69">
        <f t="shared" si="42"/>
        <v>44.288912052000001</v>
      </c>
      <c r="AC68" s="69">
        <f t="shared" si="43"/>
        <v>27.554166410000001</v>
      </c>
      <c r="AD68" s="69">
        <f t="shared" si="44"/>
        <v>147.827133304</v>
      </c>
      <c r="AF68" s="69">
        <f t="shared" si="45"/>
        <v>-1.5044325499999971</v>
      </c>
    </row>
    <row r="69" spans="1:32">
      <c r="A69" s="78" t="s">
        <v>57</v>
      </c>
      <c r="B69" s="73"/>
      <c r="C69" s="73"/>
      <c r="D69" s="73"/>
      <c r="E69" s="70">
        <f>'[14]New KPI Actual'!F201</f>
        <v>0</v>
      </c>
      <c r="F69" s="70">
        <f>'[14]New KPI Actual'!G201</f>
        <v>0</v>
      </c>
      <c r="G69" s="70">
        <f>'[14]New KPI Actual'!H201</f>
        <v>0</v>
      </c>
      <c r="H69" s="70">
        <f>'[14]New KPI Actual'!I201</f>
        <v>0</v>
      </c>
      <c r="I69" s="70">
        <f>'[14]New KPI Actual'!J201</f>
        <v>0</v>
      </c>
      <c r="J69" s="70">
        <f>'[14]New KPI Actual'!K201</f>
        <v>0</v>
      </c>
      <c r="K69" s="70">
        <f>'[14]New KPI Actual'!L201</f>
        <v>0</v>
      </c>
      <c r="L69" s="70">
        <f>'[14]New KPI Actual'!M201</f>
        <v>0</v>
      </c>
      <c r="M69" s="70">
        <f>'[14]New KPI Actual'!N201</f>
        <v>0</v>
      </c>
      <c r="N69" s="70">
        <f>'[14]New KPI Actual'!O201</f>
        <v>0</v>
      </c>
      <c r="O69" s="70">
        <f>'[1]New KPI Actual'!P201</f>
        <v>0</v>
      </c>
      <c r="P69" s="70">
        <f>'[1]New KPI Actual'!Q201</f>
        <v>0</v>
      </c>
      <c r="Q69" s="119">
        <f t="shared" si="36"/>
        <v>0</v>
      </c>
      <c r="S69" s="69">
        <f t="shared" si="37"/>
        <v>0</v>
      </c>
      <c r="T69" s="69">
        <f t="shared" si="37"/>
        <v>0</v>
      </c>
      <c r="U69" s="69">
        <f t="shared" si="37"/>
        <v>0</v>
      </c>
      <c r="V69" s="69">
        <f t="shared" si="38"/>
        <v>0</v>
      </c>
      <c r="X69" s="69">
        <f t="shared" si="39"/>
        <v>0</v>
      </c>
      <c r="Z69" s="69">
        <f t="shared" si="40"/>
        <v>0</v>
      </c>
      <c r="AA69" s="69">
        <f t="shared" si="41"/>
        <v>0</v>
      </c>
      <c r="AB69" s="69">
        <f t="shared" si="42"/>
        <v>0</v>
      </c>
      <c r="AC69" s="69">
        <f t="shared" si="43"/>
        <v>0</v>
      </c>
      <c r="AD69" s="69">
        <f t="shared" si="44"/>
        <v>0</v>
      </c>
      <c r="AF69" s="69">
        <f t="shared" si="45"/>
        <v>0</v>
      </c>
    </row>
    <row r="70" spans="1:32">
      <c r="A70" s="78" t="s">
        <v>58</v>
      </c>
      <c r="B70" s="73"/>
      <c r="C70" s="73"/>
      <c r="D70" s="73"/>
      <c r="E70" s="70">
        <f>-[14]Relief!E87</f>
        <v>2.2744157</v>
      </c>
      <c r="F70" s="70">
        <f>-[14]Relief!F87</f>
        <v>2.6542930999999998</v>
      </c>
      <c r="G70" s="70">
        <f>-[14]Relief!G87</f>
        <v>3.4230191999999997</v>
      </c>
      <c r="H70" s="70">
        <f>-[14]Relief!H87</f>
        <v>2.6512258999999982</v>
      </c>
      <c r="I70" s="70">
        <f>-[14]Relief!I87</f>
        <v>2.2306751000000027</v>
      </c>
      <c r="J70" s="70">
        <f>-[14]Relief!J87</f>
        <v>4.3002925000000012</v>
      </c>
      <c r="K70" s="70">
        <f>-[14]Relief!K87</f>
        <v>3.0895212999999941</v>
      </c>
      <c r="L70" s="70">
        <f>-[14]Relief!L87</f>
        <v>3.5320670200000031</v>
      </c>
      <c r="M70" s="70">
        <f>-[14]Relief!M87</f>
        <v>3.3993533300000038</v>
      </c>
      <c r="N70" s="70">
        <f>-[14]Relief!N87</f>
        <v>3.2673819799999961</v>
      </c>
      <c r="O70" s="70">
        <f>-[1]Relief!O87</f>
        <v>3.5540942700000002</v>
      </c>
      <c r="P70" s="70">
        <f>-[1]Relief!P87</f>
        <v>0</v>
      </c>
      <c r="Q70" s="119">
        <f t="shared" si="36"/>
        <v>34.376339399999999</v>
      </c>
      <c r="S70" s="69">
        <f t="shared" si="37"/>
        <v>2.2744157</v>
      </c>
      <c r="T70" s="69">
        <f t="shared" si="37"/>
        <v>0</v>
      </c>
      <c r="U70" s="69">
        <f t="shared" si="37"/>
        <v>0</v>
      </c>
      <c r="V70" s="69">
        <f t="shared" si="38"/>
        <v>2.2744157</v>
      </c>
      <c r="X70" s="69">
        <f t="shared" si="39"/>
        <v>2.2744157</v>
      </c>
      <c r="Z70" s="69">
        <f t="shared" si="40"/>
        <v>8.3517279999999996</v>
      </c>
      <c r="AA70" s="69">
        <f t="shared" si="41"/>
        <v>9.1821935000000021</v>
      </c>
      <c r="AB70" s="69">
        <f t="shared" si="42"/>
        <v>10.020941650000001</v>
      </c>
      <c r="AC70" s="69">
        <f t="shared" si="43"/>
        <v>6.8214762499999964</v>
      </c>
      <c r="AD70" s="69">
        <f t="shared" si="44"/>
        <v>34.376339399999999</v>
      </c>
      <c r="AF70" s="69">
        <f t="shared" si="45"/>
        <v>0.83046550000000252</v>
      </c>
    </row>
    <row r="71" spans="1:32">
      <c r="A71" s="78" t="s">
        <v>59</v>
      </c>
      <c r="B71" s="73"/>
      <c r="C71" s="73"/>
      <c r="D71" s="73"/>
      <c r="E71" s="70">
        <f>[16]Act!D206</f>
        <v>-1.9535469999999999</v>
      </c>
      <c r="F71" s="70">
        <f>[16]Act!E206</f>
        <v>-5.487479999999989E-2</v>
      </c>
      <c r="G71" s="70">
        <f>[16]Act!F206</f>
        <v>4.8354599999999998E-2</v>
      </c>
      <c r="H71" s="70">
        <f>[16]Act!G206</f>
        <v>7.5404900000000052E-2</v>
      </c>
      <c r="I71" s="70">
        <f>[16]Act!H206</f>
        <v>1.4994999999999998</v>
      </c>
      <c r="J71" s="70">
        <f>[16]Act!I206</f>
        <v>21.500419999999998</v>
      </c>
      <c r="K71" s="70">
        <f>[16]Act!J206</f>
        <v>0.17399999999999993</v>
      </c>
      <c r="L71" s="70">
        <f>[16]Act!K206</f>
        <v>0.61047119999999977</v>
      </c>
      <c r="M71" s="70">
        <f>[16]Act!L206</f>
        <v>0.8468182999999998</v>
      </c>
      <c r="N71" s="70">
        <f>[16]Act!M206</f>
        <v>0.88185000000000002</v>
      </c>
      <c r="O71" s="70">
        <f>[16]Act!N206</f>
        <v>-0.67235550000000011</v>
      </c>
      <c r="P71" s="70">
        <f>[16]Act!O206</f>
        <v>0</v>
      </c>
      <c r="Q71" s="119">
        <f t="shared" si="36"/>
        <v>22.956041699999993</v>
      </c>
      <c r="S71" s="69">
        <f t="shared" si="37"/>
        <v>-1.9535469999999999</v>
      </c>
      <c r="T71" s="69">
        <f t="shared" si="37"/>
        <v>0</v>
      </c>
      <c r="U71" s="69">
        <f t="shared" si="37"/>
        <v>0</v>
      </c>
      <c r="V71" s="69">
        <f t="shared" si="38"/>
        <v>-1.9535469999999999</v>
      </c>
      <c r="X71" s="69">
        <f t="shared" si="39"/>
        <v>-1.9535469999999999</v>
      </c>
      <c r="Z71" s="69">
        <f t="shared" si="40"/>
        <v>-1.9600671999999999</v>
      </c>
      <c r="AA71" s="69">
        <f t="shared" si="41"/>
        <v>23.075324899999998</v>
      </c>
      <c r="AB71" s="69">
        <f t="shared" si="42"/>
        <v>1.6312894999999994</v>
      </c>
      <c r="AC71" s="69">
        <f t="shared" si="43"/>
        <v>0.20949449999999992</v>
      </c>
      <c r="AD71" s="69">
        <f t="shared" si="44"/>
        <v>22.956041699999993</v>
      </c>
      <c r="AF71" s="69">
        <f t="shared" si="45"/>
        <v>25.035392099999999</v>
      </c>
    </row>
    <row r="72" spans="1:32" ht="13.5" customHeight="1">
      <c r="A72" s="78" t="s">
        <v>60</v>
      </c>
      <c r="B72" s="96"/>
      <c r="C72" s="96"/>
      <c r="D72" s="97"/>
      <c r="E72" s="70">
        <f>'[14]New KPI Actual'!F344</f>
        <v>0.14099999999999999</v>
      </c>
      <c r="F72" s="70">
        <f>'[14]New KPI Actual'!G344</f>
        <v>0.92700000000000005</v>
      </c>
      <c r="G72" s="70">
        <f>'[14]New KPI Actual'!H344</f>
        <v>0.183</v>
      </c>
      <c r="H72" s="70">
        <f>'[14]New KPI Actual'!I344</f>
        <v>0.89500000000000002</v>
      </c>
      <c r="I72" s="70">
        <f>'[14]New KPI Actual'!J344</f>
        <v>0.68600000000000005</v>
      </c>
      <c r="J72" s="70">
        <f>'[14]New KPI Actual'!K344</f>
        <v>0.55000000000000004</v>
      </c>
      <c r="K72" s="70">
        <f>'[14]New KPI Actual'!L344</f>
        <v>0.46300000000000002</v>
      </c>
      <c r="L72" s="70">
        <f>'[14]New KPI Actual'!M344</f>
        <v>0.55400000000000005</v>
      </c>
      <c r="M72" s="70">
        <f>'[14]New KPI Actual'!N344</f>
        <v>1.121</v>
      </c>
      <c r="N72" s="70">
        <f>'[14]New KPI Actual'!O344</f>
        <v>1.6693</v>
      </c>
      <c r="O72" s="70">
        <f>'[1]New KPI Actual'!P344</f>
        <v>1.23</v>
      </c>
      <c r="P72" s="70">
        <f>'[1]New KPI Actual'!Q344</f>
        <v>0</v>
      </c>
      <c r="Q72" s="119">
        <f t="shared" si="36"/>
        <v>8.4192999999999998</v>
      </c>
      <c r="S72" s="69">
        <f t="shared" si="37"/>
        <v>0.14099999999999999</v>
      </c>
      <c r="T72" s="69">
        <f t="shared" si="37"/>
        <v>0</v>
      </c>
      <c r="U72" s="69">
        <f t="shared" si="37"/>
        <v>0</v>
      </c>
      <c r="V72" s="69">
        <f t="shared" si="38"/>
        <v>0.14099999999999999</v>
      </c>
      <c r="X72" s="69">
        <f t="shared" si="39"/>
        <v>0.14099999999999999</v>
      </c>
      <c r="Z72" s="69">
        <f t="shared" si="40"/>
        <v>1.2510000000000001</v>
      </c>
      <c r="AA72" s="69">
        <f t="shared" si="41"/>
        <v>2.1310000000000002</v>
      </c>
      <c r="AB72" s="69">
        <f t="shared" si="42"/>
        <v>2.1379999999999999</v>
      </c>
      <c r="AC72" s="69">
        <f t="shared" si="43"/>
        <v>2.8993000000000002</v>
      </c>
      <c r="AD72" s="69">
        <f t="shared" si="44"/>
        <v>8.4192999999999998</v>
      </c>
      <c r="AF72" s="69">
        <f t="shared" si="45"/>
        <v>0.88000000000000012</v>
      </c>
    </row>
    <row r="73" spans="1:32" ht="15.95" customHeight="1">
      <c r="A73" s="78" t="s">
        <v>262</v>
      </c>
      <c r="B73" s="96"/>
      <c r="C73" s="96"/>
      <c r="D73" s="97"/>
      <c r="E73" s="70">
        <f>IFERROR([14]Reclass!C5,0)</f>
        <v>2.2546439973448797</v>
      </c>
      <c r="F73" s="70">
        <f>IFERROR([14]Reclass!D5,0)</f>
        <v>2.2359900205328698</v>
      </c>
      <c r="G73" s="70">
        <f>IFERROR([14]Reclass!E5,0)</f>
        <v>2.1925870892448822</v>
      </c>
      <c r="H73" s="70">
        <f>IFERROR([14]Reclass!F5,0)</f>
        <v>2.1261450562374615</v>
      </c>
      <c r="I73" s="70">
        <f>IFERROR([14]Reclass!G5,0)</f>
        <v>2.1235463107522752</v>
      </c>
      <c r="J73" s="70">
        <f>IFERROR([14]Reclass!H5,0)</f>
        <v>2.1022557859426585</v>
      </c>
      <c r="K73" s="70">
        <f>IFERROR([14]Reclass!I5,0)</f>
        <v>-1.7845704287208499</v>
      </c>
      <c r="L73" s="70">
        <f>IFERROR([14]Reclass!J5,0)</f>
        <v>0.90222124336119403</v>
      </c>
      <c r="M73" s="70">
        <f>IFERROR([14]Reclass!K5,0)</f>
        <v>1.5330645305018482</v>
      </c>
      <c r="N73" s="70">
        <f>IFERROR([14]Reclass!L5,0)</f>
        <v>1.3988883249842416</v>
      </c>
      <c r="O73" s="70">
        <f>IFERROR([1]Reclass!M5,0)</f>
        <v>1.3497170353466006</v>
      </c>
      <c r="P73" s="70">
        <f>IFERROR([1]Reclass!N5,0)</f>
        <v>0</v>
      </c>
      <c r="Q73" s="119">
        <f t="shared" si="36"/>
        <v>16.434488965528061</v>
      </c>
      <c r="S73" s="69">
        <f t="shared" si="37"/>
        <v>2.2546439973448797</v>
      </c>
      <c r="T73" s="69">
        <f t="shared" si="37"/>
        <v>0</v>
      </c>
      <c r="U73" s="69">
        <f t="shared" si="37"/>
        <v>0</v>
      </c>
      <c r="V73" s="69">
        <f>SUM(S73:U73)</f>
        <v>2.2546439973448797</v>
      </c>
      <c r="X73" s="69">
        <f t="shared" si="39"/>
        <v>2.2546439973448797</v>
      </c>
      <c r="Z73" s="69">
        <f>SUM(E73:G73)</f>
        <v>6.6832211071226313</v>
      </c>
      <c r="AA73" s="69">
        <f>SUM(H73:J73)</f>
        <v>6.3519471529323948</v>
      </c>
      <c r="AB73" s="69">
        <f>SUM(K73:M73)</f>
        <v>0.65071534514219231</v>
      </c>
      <c r="AC73" s="69">
        <f>SUM(N73:P73)</f>
        <v>2.748605360330842</v>
      </c>
      <c r="AD73" s="69">
        <f>SUM(Z73:AC73)</f>
        <v>16.434488965528061</v>
      </c>
      <c r="AF73" s="69">
        <f t="shared" si="45"/>
        <v>-0.33127395419023653</v>
      </c>
    </row>
    <row r="74" spans="1:32" ht="15.95" customHeight="1">
      <c r="A74" s="78" t="s">
        <v>425</v>
      </c>
      <c r="B74" s="96"/>
      <c r="C74" s="96"/>
      <c r="D74" s="97"/>
      <c r="E74" s="70">
        <v>0</v>
      </c>
      <c r="F74" s="70">
        <v>0</v>
      </c>
      <c r="G74" s="70">
        <v>0</v>
      </c>
      <c r="H74" s="70">
        <v>0</v>
      </c>
      <c r="I74" s="70">
        <v>0</v>
      </c>
      <c r="J74" s="70">
        <v>0</v>
      </c>
      <c r="K74" s="70">
        <v>0</v>
      </c>
      <c r="L74" s="70">
        <v>0</v>
      </c>
      <c r="M74" s="70">
        <v>0</v>
      </c>
      <c r="N74" s="70">
        <v>0</v>
      </c>
      <c r="O74" s="70">
        <v>0</v>
      </c>
      <c r="P74" s="70">
        <v>0</v>
      </c>
      <c r="Q74" s="119">
        <f t="shared" si="36"/>
        <v>0</v>
      </c>
      <c r="S74" s="69">
        <f t="shared" si="37"/>
        <v>0</v>
      </c>
      <c r="T74" s="69">
        <f t="shared" si="37"/>
        <v>0</v>
      </c>
      <c r="U74" s="69">
        <f t="shared" si="37"/>
        <v>0</v>
      </c>
      <c r="V74" s="69">
        <f>SUM(S74:U74)</f>
        <v>0</v>
      </c>
      <c r="X74" s="69">
        <f>SUMIF($E$2:$P$2,1,E74:P74)</f>
        <v>0</v>
      </c>
      <c r="Z74" s="69">
        <f>SUM(E74:G74)</f>
        <v>0</v>
      </c>
      <c r="AA74" s="69">
        <f>SUM(H74:J74)</f>
        <v>0</v>
      </c>
      <c r="AB74" s="69">
        <f>SUM(K74:M74)</f>
        <v>0</v>
      </c>
      <c r="AC74" s="69">
        <f>SUM(N74:P74)</f>
        <v>0</v>
      </c>
      <c r="AD74" s="69">
        <f>SUM(Z74:AC74)</f>
        <v>0</v>
      </c>
      <c r="AF74" s="69">
        <f>AA74-Z74</f>
        <v>0</v>
      </c>
    </row>
    <row r="75" spans="1:32" ht="15.95" customHeight="1">
      <c r="A75" s="78" t="s">
        <v>423</v>
      </c>
      <c r="B75" s="96"/>
      <c r="C75" s="96"/>
      <c r="D75" s="97"/>
      <c r="E75" s="657">
        <v>0</v>
      </c>
      <c r="F75" s="657">
        <v>0</v>
      </c>
      <c r="G75" s="657">
        <v>0</v>
      </c>
      <c r="H75" s="657">
        <v>0</v>
      </c>
      <c r="I75" s="657">
        <v>0</v>
      </c>
      <c r="J75" s="70">
        <v>0</v>
      </c>
      <c r="K75" s="70">
        <v>0</v>
      </c>
      <c r="L75" s="70">
        <v>0</v>
      </c>
      <c r="M75" s="70">
        <v>0</v>
      </c>
      <c r="N75" s="70">
        <v>0</v>
      </c>
      <c r="O75" s="70">
        <v>0</v>
      </c>
      <c r="P75" s="70">
        <v>0</v>
      </c>
      <c r="Q75" s="658">
        <f>SUM(E75:P75)</f>
        <v>0</v>
      </c>
      <c r="S75" s="69">
        <f t="shared" si="37"/>
        <v>0</v>
      </c>
      <c r="T75" s="69">
        <f t="shared" si="37"/>
        <v>0</v>
      </c>
      <c r="U75" s="69">
        <f t="shared" si="37"/>
        <v>0</v>
      </c>
      <c r="V75" s="69">
        <f>SUM(S75:U75)</f>
        <v>0</v>
      </c>
      <c r="X75" s="69">
        <f>SUMIF($E$2:$P$2,1,E75:P75)</f>
        <v>0</v>
      </c>
      <c r="Z75" s="69">
        <f>SUM(E75:G75)</f>
        <v>0</v>
      </c>
      <c r="AA75" s="69">
        <f>SUM(H75:J75)</f>
        <v>0</v>
      </c>
      <c r="AB75" s="69">
        <f>SUM(K75:M75)</f>
        <v>0</v>
      </c>
      <c r="AC75" s="69">
        <f>SUM(N75:P75)</f>
        <v>0</v>
      </c>
      <c r="AD75" s="69">
        <f>SUM(Z75:AC75)</f>
        <v>0</v>
      </c>
      <c r="AF75" s="69">
        <f t="shared" si="45"/>
        <v>0</v>
      </c>
    </row>
    <row r="76" spans="1:32">
      <c r="A76" s="78" t="s">
        <v>424</v>
      </c>
      <c r="B76" s="96"/>
      <c r="C76" s="96"/>
      <c r="D76" s="97"/>
      <c r="E76" s="657">
        <f>[14]Relief!E93</f>
        <v>0</v>
      </c>
      <c r="F76" s="657">
        <f>[14]Relief!F93</f>
        <v>0</v>
      </c>
      <c r="G76" s="657">
        <f>[14]Relief!G93</f>
        <v>0</v>
      </c>
      <c r="H76" s="657">
        <f>[14]Relief!H93</f>
        <v>0</v>
      </c>
      <c r="I76" s="657">
        <f>[14]Relief!I93</f>
        <v>0</v>
      </c>
      <c r="J76" s="70">
        <f>[14]Relief!J93</f>
        <v>0</v>
      </c>
      <c r="K76" s="70">
        <f>[14]Relief!K93</f>
        <v>0</v>
      </c>
      <c r="L76" s="70">
        <f>[14]Relief!L93</f>
        <v>0</v>
      </c>
      <c r="M76" s="70">
        <f>[14]Relief!M93</f>
        <v>0</v>
      </c>
      <c r="N76" s="70">
        <f>[14]Relief!N93</f>
        <v>0</v>
      </c>
      <c r="O76" s="70">
        <f>[1]Relief!O93</f>
        <v>0</v>
      </c>
      <c r="P76" s="70">
        <f>[1]Relief!P93</f>
        <v>0</v>
      </c>
      <c r="Q76" s="658">
        <f>SUM(E76:P76)</f>
        <v>0</v>
      </c>
      <c r="S76" s="69">
        <f t="shared" si="37"/>
        <v>0</v>
      </c>
      <c r="T76" s="69">
        <f t="shared" si="37"/>
        <v>0</v>
      </c>
      <c r="U76" s="69">
        <f t="shared" si="37"/>
        <v>0</v>
      </c>
      <c r="V76" s="69">
        <f>SUM(S76:U76)</f>
        <v>0</v>
      </c>
      <c r="X76" s="69">
        <f>SUMIF($E$2:$P$2,1,E76:P76)</f>
        <v>0</v>
      </c>
      <c r="Z76" s="69">
        <f>SUM(E76:G76)</f>
        <v>0</v>
      </c>
      <c r="AA76" s="69">
        <f>SUM(H76:J76)</f>
        <v>0</v>
      </c>
      <c r="AB76" s="69">
        <f>SUM(K76:M76)</f>
        <v>0</v>
      </c>
      <c r="AC76" s="69">
        <f>SUM(N76:P76)</f>
        <v>0</v>
      </c>
      <c r="AD76" s="69">
        <f>SUM(Z76:AC76)</f>
        <v>0</v>
      </c>
      <c r="AF76" s="69">
        <f>AA76-Z76</f>
        <v>0</v>
      </c>
    </row>
    <row r="77" spans="1:32">
      <c r="A77" s="78" t="s">
        <v>421</v>
      </c>
      <c r="B77" s="96"/>
      <c r="C77" s="96"/>
      <c r="D77" s="97"/>
      <c r="E77" s="657">
        <f>[14]Relief!E94</f>
        <v>0</v>
      </c>
      <c r="F77" s="657">
        <f>[14]Relief!F94</f>
        <v>0</v>
      </c>
      <c r="G77" s="657">
        <f>[14]Relief!G94</f>
        <v>0</v>
      </c>
      <c r="H77" s="657">
        <f>[14]Relief!H94</f>
        <v>0</v>
      </c>
      <c r="I77" s="657">
        <f>[14]Relief!I94</f>
        <v>0</v>
      </c>
      <c r="J77" s="70">
        <f>[14]Relief!J94</f>
        <v>0</v>
      </c>
      <c r="K77" s="70">
        <f>[14]Relief!K94</f>
        <v>0</v>
      </c>
      <c r="L77" s="70">
        <f>[14]Relief!L94</f>
        <v>0</v>
      </c>
      <c r="M77" s="70">
        <f>[14]Relief!M94</f>
        <v>0</v>
      </c>
      <c r="N77" s="70">
        <f>[14]Relief!N94</f>
        <v>0</v>
      </c>
      <c r="O77" s="70">
        <f>[1]Relief!O94</f>
        <v>0</v>
      </c>
      <c r="P77" s="70">
        <f>[1]Relief!P94</f>
        <v>0</v>
      </c>
      <c r="Q77" s="658">
        <f>SUM(E77:P77)</f>
        <v>0</v>
      </c>
      <c r="S77" s="69">
        <f t="shared" si="37"/>
        <v>0</v>
      </c>
      <c r="T77" s="69">
        <f t="shared" si="37"/>
        <v>0</v>
      </c>
      <c r="U77" s="69">
        <f t="shared" si="37"/>
        <v>0</v>
      </c>
      <c r="V77" s="69">
        <f>SUM(S77:U77)</f>
        <v>0</v>
      </c>
      <c r="X77" s="69">
        <f>SUMIF($E$2:$P$2,1,E77:P77)</f>
        <v>0</v>
      </c>
      <c r="Z77" s="69">
        <f>SUM(E77:G77)</f>
        <v>0</v>
      </c>
      <c r="AA77" s="69">
        <f>SUM(H77:J77)</f>
        <v>0</v>
      </c>
      <c r="AB77" s="69">
        <f>SUM(K77:M77)</f>
        <v>0</v>
      </c>
      <c r="AC77" s="69">
        <f>SUM(N77:P77)</f>
        <v>0</v>
      </c>
      <c r="AD77" s="69">
        <f>SUM(Z77:AC77)</f>
        <v>0</v>
      </c>
      <c r="AF77" s="69">
        <f>AA77-Z77</f>
        <v>0</v>
      </c>
    </row>
    <row r="78" spans="1:32">
      <c r="A78" s="94"/>
      <c r="B78" s="94"/>
      <c r="C78" s="94"/>
      <c r="D78" s="94"/>
      <c r="E78" s="2"/>
      <c r="F78" s="2"/>
      <c r="G78" s="656"/>
      <c r="H78" s="2"/>
      <c r="I78" s="2"/>
      <c r="J78" s="2"/>
      <c r="K78" s="2"/>
      <c r="L78" s="2"/>
      <c r="M78" s="2"/>
      <c r="N78" s="2"/>
      <c r="O78" s="2"/>
      <c r="P78" s="2"/>
      <c r="Q78" s="2"/>
      <c r="S78" s="2"/>
      <c r="T78" s="2"/>
      <c r="U78" s="2"/>
      <c r="V78" s="2"/>
      <c r="X78" s="2"/>
      <c r="Z78" s="2"/>
      <c r="AA78" s="2"/>
      <c r="AB78" s="2"/>
      <c r="AC78" s="2"/>
      <c r="AD78" s="2"/>
      <c r="AF78" s="2"/>
    </row>
    <row r="79" spans="1:32">
      <c r="A79" s="94"/>
      <c r="B79" s="94"/>
      <c r="C79" s="94"/>
      <c r="D79" s="103" t="s">
        <v>61</v>
      </c>
      <c r="E79" s="98">
        <f>E46-SUM(E62:E77)-E54</f>
        <v>0</v>
      </c>
      <c r="F79" s="98">
        <f t="shared" ref="F79:Q79" si="46">F46-SUM(F62:F77)-F54</f>
        <v>-4.9737991503207013E-14</v>
      </c>
      <c r="G79" s="98">
        <f t="shared" si="46"/>
        <v>7.815970093361102E-14</v>
      </c>
      <c r="H79" s="98">
        <f t="shared" si="46"/>
        <v>-1.9895196601282805E-13</v>
      </c>
      <c r="I79" s="98">
        <f t="shared" si="46"/>
        <v>-6.3948846218409017E-14</v>
      </c>
      <c r="J79" s="98">
        <f t="shared" si="46"/>
        <v>-1.5631940186722204E-13</v>
      </c>
      <c r="K79" s="98">
        <f t="shared" si="46"/>
        <v>0</v>
      </c>
      <c r="L79" s="98">
        <f t="shared" si="46"/>
        <v>7.1054273576010019E-14</v>
      </c>
      <c r="M79" s="98">
        <f t="shared" si="46"/>
        <v>3.0553337637684308E-13</v>
      </c>
      <c r="N79" s="98">
        <f t="shared" si="46"/>
        <v>-5.6843418860808015E-14</v>
      </c>
      <c r="O79" s="98">
        <f t="shared" si="46"/>
        <v>1.2789769243681803E-13</v>
      </c>
      <c r="P79" s="98">
        <f t="shared" si="46"/>
        <v>0</v>
      </c>
      <c r="Q79" s="98">
        <f t="shared" si="46"/>
        <v>0</v>
      </c>
      <c r="S79" s="98">
        <f>S46-SUM(S62:S77)-S54</f>
        <v>0</v>
      </c>
      <c r="T79" s="98">
        <f>T46-SUM(T62:T77)-T54</f>
        <v>0</v>
      </c>
      <c r="U79" s="98">
        <f>U46-SUM(U62:U77)-U54</f>
        <v>0</v>
      </c>
      <c r="V79" s="98">
        <f>V46-SUM(V62:V77)-V54</f>
        <v>0</v>
      </c>
      <c r="X79" s="98">
        <f>X46-SUM(X62:X77)-X54</f>
        <v>0</v>
      </c>
      <c r="Z79" s="98">
        <f>Z46-SUM(Z62:Z77)-Z54</f>
        <v>3.694822225952521E-13</v>
      </c>
      <c r="AA79" s="98">
        <f>AA46-SUM(AA62:AA77)-AA54</f>
        <v>-3.1974423109204508E-13</v>
      </c>
      <c r="AB79" s="98">
        <f>AB46-SUM(AB62:AB77)-AB54</f>
        <v>0</v>
      </c>
      <c r="AC79" s="98">
        <f>AC46-SUM(AC62:AC77)-AC54</f>
        <v>2.9132252166164108E-13</v>
      </c>
      <c r="AD79" s="98">
        <f>AD46-SUM(AD62:AD77)-AD54</f>
        <v>1.4495071809506044E-12</v>
      </c>
      <c r="AF79" s="98">
        <f>AF46-SUM(AF62:AF77)-AF54</f>
        <v>-6.8212102632969618E-13</v>
      </c>
    </row>
    <row r="80" spans="1:32">
      <c r="A80" s="94"/>
      <c r="B80" s="94"/>
      <c r="C80" s="94"/>
      <c r="D80" s="103" t="s">
        <v>308</v>
      </c>
      <c r="E80" s="98">
        <f>E26-SUM(E62:E63,E65:E70,E72)</f>
        <v>63.237619418000122</v>
      </c>
      <c r="F80" s="98">
        <f t="shared" ref="F80:Q80" si="47">F26-SUM(F62:F63,F65:F70,F72)</f>
        <v>81.535987771999487</v>
      </c>
      <c r="G80" s="98">
        <f t="shared" si="47"/>
        <v>72.590191914001252</v>
      </c>
      <c r="H80" s="98">
        <f t="shared" si="47"/>
        <v>76.429386700999274</v>
      </c>
      <c r="I80" s="98">
        <f t="shared" si="47"/>
        <v>77.532483202999998</v>
      </c>
      <c r="J80" s="98">
        <f t="shared" si="47"/>
        <v>162.43759902100061</v>
      </c>
      <c r="K80" s="98">
        <f>K26-SUM(K62:K63,K65:K70,K72)</f>
        <v>97.753944083237727</v>
      </c>
      <c r="L80" s="98">
        <f t="shared" si="47"/>
        <v>83.804546847421591</v>
      </c>
      <c r="M80" s="98">
        <f t="shared" si="47"/>
        <v>152.88208869859892</v>
      </c>
      <c r="N80" s="98">
        <f t="shared" si="47"/>
        <v>107.76375566499685</v>
      </c>
      <c r="O80" s="98">
        <f t="shared" si="47"/>
        <v>122.68573360100298</v>
      </c>
      <c r="P80" s="98">
        <f t="shared" si="47"/>
        <v>0</v>
      </c>
      <c r="Q80" s="98">
        <f t="shared" si="47"/>
        <v>1098.6533369242588</v>
      </c>
      <c r="S80" s="98">
        <f>S26-SUM(S62:S63,S65:S70,S72)</f>
        <v>63.237619418000122</v>
      </c>
      <c r="T80" s="98">
        <f>T26-SUM(T62:T63,T65:T70,T72)</f>
        <v>0</v>
      </c>
      <c r="U80" s="98">
        <f>U26-SUM(U62:U63,U65:U70,U72)</f>
        <v>0</v>
      </c>
      <c r="V80" s="98">
        <f>V26-SUM(V62:V63,V65:V70,V72)</f>
        <v>63.237619418000122</v>
      </c>
      <c r="X80" s="98">
        <f>X26-SUM(X62:X63,X65:X70,X72)</f>
        <v>63.237619418000122</v>
      </c>
      <c r="Z80" s="98">
        <f t="shared" ref="Z80:AF80" si="48">Z26-SUM(Z62:Z63,Z65:Z70,Z72)</f>
        <v>217.36379910400115</v>
      </c>
      <c r="AA80" s="98">
        <f t="shared" si="48"/>
        <v>316.39946892499995</v>
      </c>
      <c r="AB80" s="98">
        <f t="shared" si="48"/>
        <v>334.44057962925785</v>
      </c>
      <c r="AC80" s="98">
        <f t="shared" si="48"/>
        <v>230.44948926600006</v>
      </c>
      <c r="AD80" s="98">
        <f t="shared" si="48"/>
        <v>1098.6533369242602</v>
      </c>
      <c r="AF80" s="98">
        <f t="shared" si="48"/>
        <v>99.035669820998834</v>
      </c>
    </row>
    <row r="81" spans="1:32">
      <c r="A81" s="94"/>
      <c r="B81" s="94"/>
      <c r="C81" s="94"/>
      <c r="D81" s="103" t="s">
        <v>63</v>
      </c>
      <c r="E81" s="98">
        <f>E45-E64-E71-E73-E75-E76-E77-E74</f>
        <v>-134.40743371799999</v>
      </c>
      <c r="F81" s="98">
        <f t="shared" ref="F81:Q81" si="49">F45-F64-F71-F73-F75-F76-F77-F74</f>
        <v>-97.017769971999982</v>
      </c>
      <c r="G81" s="98">
        <f t="shared" si="49"/>
        <v>-121.745654614</v>
      </c>
      <c r="H81" s="98">
        <f t="shared" si="49"/>
        <v>-116.39243720100002</v>
      </c>
      <c r="I81" s="98">
        <f t="shared" si="49"/>
        <v>-98.671930103000037</v>
      </c>
      <c r="J81" s="98">
        <f t="shared" si="49"/>
        <v>-154.14309172099999</v>
      </c>
      <c r="K81" s="98">
        <f t="shared" si="49"/>
        <v>-128.76055488323999</v>
      </c>
      <c r="L81" s="98">
        <f t="shared" si="49"/>
        <v>-111.51378384742002</v>
      </c>
      <c r="M81" s="98">
        <f t="shared" si="49"/>
        <v>-108.01290709859995</v>
      </c>
      <c r="N81" s="98">
        <f t="shared" si="49"/>
        <v>-122.70532976500002</v>
      </c>
      <c r="O81" s="98">
        <f t="shared" si="49"/>
        <v>-118.10701440100003</v>
      </c>
      <c r="P81" s="98">
        <f t="shared" si="49"/>
        <v>0</v>
      </c>
      <c r="Q81" s="98">
        <f t="shared" si="49"/>
        <v>-1311.4779073242601</v>
      </c>
      <c r="S81" s="98">
        <f>S45-S64-S71-S73-S75-S76-S77-S74</f>
        <v>-134.40743371799999</v>
      </c>
      <c r="T81" s="98">
        <f>T45-T64-T71-T73-T75-T76-T77-T74</f>
        <v>0</v>
      </c>
      <c r="U81" s="98">
        <f>U45-U64-U71-U73-U75-U76-U77-U74</f>
        <v>0</v>
      </c>
      <c r="V81" s="98">
        <f>V45-V64-V71-V73-V75-V76-V77-V74</f>
        <v>-134.40743371799999</v>
      </c>
      <c r="X81" s="98">
        <f>X45-X64-X71-X73-X75-X76-X77-X74</f>
        <v>-134.40743371799999</v>
      </c>
      <c r="Z81" s="98">
        <f>Z45-Z64-Z71-Z73-Z75-Z76-Z77-Z74</f>
        <v>-353.17085830399986</v>
      </c>
      <c r="AA81" s="98">
        <f>AA45-AA64-AA71-AA73-AA75-AA76-AA77-AA74</f>
        <v>-369.20745902500005</v>
      </c>
      <c r="AB81" s="98">
        <f>AB45-AB64-AB71-AB73-AB75-AB76-AB77-AB74</f>
        <v>-348.28724582925997</v>
      </c>
      <c r="AC81" s="98">
        <f>AC45-AC64-AC71-AC73-AC75-AC76-AC77-AC74</f>
        <v>-240.81234416600006</v>
      </c>
      <c r="AD81" s="98">
        <f>AD45-AD64-AD71-AD73-AD75-AD76-AD77-AD74</f>
        <v>-1311.4779073242601</v>
      </c>
      <c r="AF81" s="98">
        <f>AF45-AF64-AF71-AF73-AF75-AF76-AF77-AF74</f>
        <v>-16.036600721000156</v>
      </c>
    </row>
    <row r="82" spans="1:32">
      <c r="A82" s="2"/>
      <c r="B82" s="2"/>
      <c r="C82" s="2"/>
      <c r="D82" s="104" t="s">
        <v>64</v>
      </c>
      <c r="E82" s="99">
        <f>SUM(E80:E81)-E54</f>
        <v>0</v>
      </c>
      <c r="F82" s="99">
        <f t="shared" ref="F82:Q82" si="50">SUM(F80:F81)-F54</f>
        <v>-5.6843418860808015E-14</v>
      </c>
      <c r="G82" s="99">
        <f t="shared" si="50"/>
        <v>7.1054273576010019E-14</v>
      </c>
      <c r="H82" s="99">
        <f t="shared" si="50"/>
        <v>-1.9184653865522705E-13</v>
      </c>
      <c r="I82" s="99">
        <f t="shared" si="50"/>
        <v>-5.6843418860808015E-14</v>
      </c>
      <c r="J82" s="99">
        <f t="shared" si="50"/>
        <v>-1.4210854715202004E-13</v>
      </c>
      <c r="K82" s="99">
        <f t="shared" si="50"/>
        <v>0</v>
      </c>
      <c r="L82" s="99">
        <f t="shared" si="50"/>
        <v>6.3948846218409017E-14</v>
      </c>
      <c r="M82" s="99">
        <f t="shared" si="50"/>
        <v>3.2684965844964609E-13</v>
      </c>
      <c r="N82" s="99">
        <f t="shared" si="50"/>
        <v>-6.3948846218409017E-14</v>
      </c>
      <c r="O82" s="99">
        <f t="shared" si="50"/>
        <v>1.1368683772161603E-13</v>
      </c>
      <c r="P82" s="99">
        <f t="shared" si="50"/>
        <v>0</v>
      </c>
      <c r="Q82" s="99">
        <f t="shared" si="50"/>
        <v>0</v>
      </c>
      <c r="S82" s="99">
        <f>SUM(S80:S81)-S54</f>
        <v>0</v>
      </c>
      <c r="T82" s="99">
        <f>SUM(T80:T81)-T54</f>
        <v>0</v>
      </c>
      <c r="U82" s="99">
        <f>SUM(U80:U81)-U54</f>
        <v>0</v>
      </c>
      <c r="V82" s="99">
        <f>SUM(V80:V81)-V54</f>
        <v>0</v>
      </c>
      <c r="X82" s="99">
        <f>SUM(X80:X81)-X54</f>
        <v>0</v>
      </c>
      <c r="Z82" s="99">
        <f>SUM(Z80:Z81)-Z54</f>
        <v>4.2632564145606011E-13</v>
      </c>
      <c r="AA82" s="99">
        <f>SUM(AA80:AA81)-AA54</f>
        <v>-3.1974423109204508E-13</v>
      </c>
      <c r="AB82" s="99">
        <f>SUM(AB80:AB81)-AB54</f>
        <v>0</v>
      </c>
      <c r="AC82" s="99">
        <f>SUM(AC80:AC81)-AC54</f>
        <v>2.6290081223123707E-13</v>
      </c>
      <c r="AD82" s="99">
        <f>SUM(AD80:AD81)-AD54</f>
        <v>1.4495071809506044E-12</v>
      </c>
      <c r="AF82" s="99">
        <f>SUM(AF80:AF81)-AF54</f>
        <v>-6.8212102632969618E-13</v>
      </c>
    </row>
    <row r="85" spans="1:32">
      <c r="E85" s="317"/>
      <c r="F85" s="317"/>
      <c r="G85" s="317"/>
      <c r="H85" s="317"/>
      <c r="I85" s="317"/>
      <c r="J85">
        <f>'[14]New KPI Actual'!$R$1</f>
        <v>0</v>
      </c>
    </row>
    <row r="86" spans="1:32">
      <c r="E86" s="317"/>
      <c r="F86" s="317"/>
      <c r="G86" s="317"/>
      <c r="H86" s="317"/>
      <c r="I86" s="317"/>
    </row>
    <row r="87" spans="1:32">
      <c r="E87" s="369"/>
      <c r="F87" s="369"/>
      <c r="G87" s="369"/>
      <c r="H87" s="369"/>
      <c r="I87" s="369"/>
    </row>
    <row r="89" spans="1:32">
      <c r="E89" s="121"/>
      <c r="F89" s="121"/>
      <c r="G89" s="121"/>
      <c r="H89" s="121"/>
      <c r="I89" s="121"/>
    </row>
    <row r="90" spans="1:32">
      <c r="E90" s="121"/>
      <c r="F90" s="121"/>
      <c r="G90" s="121"/>
      <c r="H90" s="121"/>
      <c r="I90" s="121"/>
    </row>
  </sheetData>
  <pageMargins left="0.7" right="0.7" top="0.75" bottom="0.75" header="0.3" footer="0.3"/>
  <pageSetup orientation="portrait" r:id="rId1"/>
  <customProperties>
    <customPr name="_pios_id" r:id="rId2"/>
    <customPr name="EpmWorksheetKeyString_GUID" r:id="rId3"/>
  </customPropertie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1E0E3-30DC-4DB1-A315-9009903D8FC0}">
  <sheetPr>
    <tabColor rgb="FF00B050"/>
  </sheetPr>
  <dimension ref="A1:AF83"/>
  <sheetViews>
    <sheetView showGridLines="0" zoomScale="60" zoomScaleNormal="60" workbookViewId="0">
      <pane ySplit="5" topLeftCell="A12" activePane="bottomLeft" state="frozen"/>
      <selection pane="bottomLeft" activeCell="X18" sqref="X18"/>
    </sheetView>
  </sheetViews>
  <sheetFormatPr defaultRowHeight="15" outlineLevelRow="1"/>
  <cols>
    <col min="1" max="1" width="2.140625" customWidth="1"/>
    <col min="2" max="2" width="11.42578125" customWidth="1"/>
    <col min="3" max="3" width="51.140625" bestFit="1" customWidth="1"/>
    <col min="4" max="4" width="12.85546875" bestFit="1" customWidth="1"/>
    <col min="5" max="5" width="10.42578125" bestFit="1" customWidth="1"/>
    <col min="6" max="9" width="10.140625" bestFit="1" customWidth="1"/>
    <col min="10" max="10" width="10.5703125" bestFit="1" customWidth="1"/>
    <col min="11" max="12" width="10.140625" bestFit="1" customWidth="1"/>
    <col min="13" max="13" width="10.85546875" bestFit="1" customWidth="1"/>
    <col min="14" max="15" width="10.5703125" bestFit="1" customWidth="1"/>
    <col min="16" max="16" width="10.85546875" bestFit="1" customWidth="1"/>
    <col min="17" max="17" width="12.140625" bestFit="1" customWidth="1"/>
    <col min="19" max="19" width="10.42578125" bestFit="1" customWidth="1"/>
    <col min="20" max="21" width="11.42578125" bestFit="1" customWidth="1"/>
    <col min="22" max="22" width="10.42578125" bestFit="1" customWidth="1"/>
    <col min="24" max="24" width="10.42578125" bestFit="1" customWidth="1"/>
    <col min="26" max="29" width="10.85546875" bestFit="1" customWidth="1"/>
    <col min="30" max="30" width="12.140625" bestFit="1" customWidth="1"/>
  </cols>
  <sheetData>
    <row r="1" spans="1:30">
      <c r="B1" s="214" t="str">
        <f>'Summary month'!E2</f>
        <v>Apr</v>
      </c>
      <c r="E1" s="135">
        <v>2</v>
      </c>
      <c r="F1" s="135">
        <f>E1+1</f>
        <v>3</v>
      </c>
      <c r="G1" s="135">
        <f t="shared" ref="G1:P1" si="0">F1+1</f>
        <v>4</v>
      </c>
      <c r="H1" s="135">
        <f t="shared" si="0"/>
        <v>5</v>
      </c>
      <c r="I1" s="135">
        <f t="shared" si="0"/>
        <v>6</v>
      </c>
      <c r="J1" s="135">
        <f t="shared" si="0"/>
        <v>7</v>
      </c>
      <c r="K1" s="135">
        <f t="shared" si="0"/>
        <v>8</v>
      </c>
      <c r="L1" s="135">
        <f t="shared" si="0"/>
        <v>9</v>
      </c>
      <c r="M1" s="135">
        <f t="shared" si="0"/>
        <v>10</v>
      </c>
      <c r="N1" s="135">
        <f t="shared" si="0"/>
        <v>11</v>
      </c>
      <c r="O1" s="135">
        <f t="shared" si="0"/>
        <v>12</v>
      </c>
      <c r="P1" s="135">
        <f t="shared" si="0"/>
        <v>13</v>
      </c>
    </row>
    <row r="2" spans="1:30">
      <c r="A2" s="1" t="s">
        <v>0</v>
      </c>
      <c r="B2" s="1"/>
      <c r="C2" s="1"/>
      <c r="D2" s="136" t="s">
        <v>79</v>
      </c>
      <c r="E2" s="2">
        <f>VLOOKUP($B$1,mapping!$C$15:$O$26,E$1,0)</f>
        <v>1</v>
      </c>
      <c r="F2" s="2">
        <f>VLOOKUP($B$1,mapping!$C$15:$O$26,F$1,0)</f>
        <v>0</v>
      </c>
      <c r="G2" s="2">
        <f>VLOOKUP($B$1,mapping!$C$15:$O$26,G$1,0)</f>
        <v>0</v>
      </c>
      <c r="H2" s="2">
        <f>VLOOKUP($B$1,mapping!$C$15:$O$26,H$1,0)</f>
        <v>0</v>
      </c>
      <c r="I2" s="2">
        <f>VLOOKUP($B$1,mapping!$C$15:$O$26,I$1,0)</f>
        <v>0</v>
      </c>
      <c r="J2" s="2">
        <f>VLOOKUP($B$1,mapping!$C$15:$O$26,J$1,0)</f>
        <v>0</v>
      </c>
      <c r="K2" s="2">
        <f>VLOOKUP($B$1,mapping!$C$15:$O$26,K$1,0)</f>
        <v>0</v>
      </c>
      <c r="L2" s="2">
        <f>VLOOKUP($B$1,mapping!$C$15:$O$26,L$1,0)</f>
        <v>0</v>
      </c>
      <c r="M2" s="2">
        <f>VLOOKUP($B$1,mapping!$C$15:$O$26,M$1,0)</f>
        <v>0</v>
      </c>
      <c r="N2" s="2">
        <f>VLOOKUP($B$1,mapping!$C$15:$O$26,N$1,0)</f>
        <v>0</v>
      </c>
      <c r="O2" s="2">
        <f>VLOOKUP($B$1,mapping!$C$15:$O$26,O$1,0)</f>
        <v>0</v>
      </c>
      <c r="P2" s="2">
        <f>VLOOKUP($B$1,mapping!$C$15:$O$26,P$1,0)</f>
        <v>0</v>
      </c>
      <c r="S2" s="122"/>
      <c r="T2" s="122"/>
      <c r="U2" s="122"/>
      <c r="V2" s="122"/>
      <c r="Z2" s="122"/>
      <c r="AA2" s="122"/>
      <c r="AB2" s="122"/>
      <c r="AC2" s="122"/>
      <c r="AD2" s="122"/>
    </row>
    <row r="3" spans="1:30" ht="14.45" customHeight="1">
      <c r="A3" s="3" t="s">
        <v>1</v>
      </c>
      <c r="B3" s="4"/>
      <c r="C3" s="5"/>
      <c r="D3" s="5" t="s">
        <v>103</v>
      </c>
      <c r="E3" s="2">
        <f>VLOOKUP($B1,mapping!$C$28:$O$39,E$1,0)</f>
        <v>1</v>
      </c>
      <c r="F3" s="2">
        <f>VLOOKUP($B1,mapping!$C$28:$O$39,F$1,0)</f>
        <v>0</v>
      </c>
      <c r="G3" s="2">
        <f>VLOOKUP($B1,mapping!$C$28:$O$39,G$1,0)</f>
        <v>0</v>
      </c>
      <c r="H3" s="2">
        <f>VLOOKUP($B1,mapping!$C$28:$O$39,H$1,0)</f>
        <v>0</v>
      </c>
      <c r="I3" s="2">
        <f>VLOOKUP($B1,mapping!$C$28:$O$39,I$1,0)</f>
        <v>0</v>
      </c>
      <c r="J3" s="2">
        <f>VLOOKUP($B1,mapping!$C$28:$O$39,J$1,0)</f>
        <v>0</v>
      </c>
      <c r="K3" s="2">
        <f>VLOOKUP($B1,mapping!$C$28:$O$39,K$1,0)</f>
        <v>0</v>
      </c>
      <c r="L3" s="2">
        <f>VLOOKUP($B1,mapping!$C$28:$O$39,L$1,0)</f>
        <v>0</v>
      </c>
      <c r="M3" s="2">
        <f>VLOOKUP($B1,mapping!$C$28:$O$39,M$1,0)</f>
        <v>0</v>
      </c>
      <c r="N3" s="2">
        <f>VLOOKUP($B1,mapping!$C$28:$O$39,N$1,0)</f>
        <v>0</v>
      </c>
      <c r="O3" s="2">
        <f>VLOOKUP($B1,mapping!$C$28:$O$39,O$1,0)</f>
        <v>0</v>
      </c>
      <c r="P3" s="2">
        <f>VLOOKUP($B1,mapping!$C$28:$O$39,P$1,0)</f>
        <v>0</v>
      </c>
      <c r="S3">
        <f>INDEX($E$3:$P$3,1,MATCH(S5,$E$5:$P$5,0))</f>
        <v>1</v>
      </c>
      <c r="T3">
        <f>INDEX($E$3:$P$3,1,MATCH(T5,$E$5:$P$5,0))</f>
        <v>0</v>
      </c>
      <c r="U3">
        <f>INDEX($E$3:$P$3,1,MATCH(U5,$E$5:$P$5,0))</f>
        <v>0</v>
      </c>
      <c r="V3" s="122"/>
      <c r="AB3" s="122"/>
      <c r="AC3" s="122"/>
      <c r="AD3" s="122"/>
    </row>
    <row r="4" spans="1:30" ht="14.45" customHeight="1">
      <c r="A4" s="3"/>
      <c r="B4" s="4"/>
      <c r="C4" s="5"/>
      <c r="D4" s="5"/>
      <c r="E4" s="2"/>
      <c r="F4" s="2"/>
      <c r="G4" s="2"/>
      <c r="U4" s="122"/>
      <c r="V4" s="122"/>
      <c r="AB4" s="122"/>
      <c r="AC4" s="122"/>
      <c r="AD4" s="122"/>
    </row>
    <row r="5" spans="1:30">
      <c r="A5" s="4"/>
      <c r="B5" s="4"/>
      <c r="C5" s="5">
        <f>[17]Act!$C$3</f>
        <v>0</v>
      </c>
      <c r="D5" s="5"/>
      <c r="E5" s="100" t="s">
        <v>65</v>
      </c>
      <c r="F5" s="101" t="s">
        <v>66</v>
      </c>
      <c r="G5" s="101" t="s">
        <v>67</v>
      </c>
      <c r="H5" s="101" t="s">
        <v>2</v>
      </c>
      <c r="I5" s="101" t="s">
        <v>3</v>
      </c>
      <c r="J5" s="101" t="s">
        <v>4</v>
      </c>
      <c r="K5" s="101" t="s">
        <v>68</v>
      </c>
      <c r="L5" s="101" t="s">
        <v>69</v>
      </c>
      <c r="M5" s="101" t="s">
        <v>70</v>
      </c>
      <c r="N5" s="101" t="s">
        <v>71</v>
      </c>
      <c r="O5" s="101" t="s">
        <v>72</v>
      </c>
      <c r="P5" s="102" t="s">
        <v>73</v>
      </c>
      <c r="Q5" s="107" t="s">
        <v>74</v>
      </c>
      <c r="S5" s="101" t="str">
        <f>VLOOKUP(VLOOKUP(B1,mapping!$A:$C,2,0),mapping!$B:$C,2,0)</f>
        <v>M01</v>
      </c>
      <c r="T5" s="101" t="str">
        <f>LEFT(S5,2)&amp;(RIGHT(S5,1)+1)</f>
        <v>M02</v>
      </c>
      <c r="U5" s="101" t="str">
        <f>LEFT(T5,2)&amp;(RIGHT(T5,1)+1)</f>
        <v>M03</v>
      </c>
      <c r="V5" s="101" t="str">
        <f>VLOOKUP(B1,mapping!$A$2:$B$13,2,0)</f>
        <v>Q1</v>
      </c>
      <c r="X5" s="101" t="s">
        <v>79</v>
      </c>
      <c r="Z5" s="101" t="s">
        <v>75</v>
      </c>
      <c r="AA5" s="101" t="s">
        <v>76</v>
      </c>
      <c r="AB5" s="101" t="s">
        <v>77</v>
      </c>
      <c r="AC5" s="101" t="s">
        <v>78</v>
      </c>
      <c r="AD5" s="101" t="s">
        <v>74</v>
      </c>
    </row>
    <row r="6" spans="1:30">
      <c r="A6" s="6"/>
      <c r="B6" s="7" t="s">
        <v>5</v>
      </c>
      <c r="C6" s="7"/>
      <c r="D6" s="8"/>
      <c r="E6" s="9">
        <f>'[18]P&amp;L Actual'!H9</f>
        <v>1306.0789219569999</v>
      </c>
      <c r="F6" s="10">
        <f>'[18]P&amp;L Actual'!I9</f>
        <v>1374.003164709</v>
      </c>
      <c r="G6" s="10">
        <f>'[18]P&amp;L Actual'!J9</f>
        <v>1555.05350763</v>
      </c>
      <c r="H6" s="10">
        <f>'[18]P&amp;L Actual'!K9</f>
        <v>1291.526768444</v>
      </c>
      <c r="I6" s="10">
        <f>'[18]P&amp;L Actual'!L9</f>
        <v>1021.022039586</v>
      </c>
      <c r="J6" s="10">
        <f>'[18]P&amp;L Actual'!M9</f>
        <v>1407.0675892459999</v>
      </c>
      <c r="K6" s="10">
        <f>'[18]P&amp;L Actual'!N9</f>
        <v>1282.646605333</v>
      </c>
      <c r="L6" s="10">
        <f>'[18]P&amp;L Actual'!O9</f>
        <v>1329.786406019</v>
      </c>
      <c r="M6" s="10">
        <f>'[18]P&amp;L Actual'!P9</f>
        <v>1344.4612814520001</v>
      </c>
      <c r="N6" s="10">
        <f>'[18]P&amp;L Actual'!Q9</f>
        <v>1281.398471814</v>
      </c>
      <c r="O6" s="10">
        <f>'[18]P&amp;L Actual'!R9</f>
        <v>1233.350903433</v>
      </c>
      <c r="P6" s="10">
        <f>'[18]P&amp;L Actual'!S9</f>
        <v>1751.193490377</v>
      </c>
      <c r="Q6" s="105">
        <f>SUM(E6:P6)</f>
        <v>16177.589150000002</v>
      </c>
      <c r="R6" s="327">
        <v>0</v>
      </c>
      <c r="S6" s="10">
        <f>SUMIFS($E6:$P6,$E$3:$P$3,1,$E$5:$P$5,S$5)</f>
        <v>1306.0789219569999</v>
      </c>
      <c r="T6" s="10">
        <f>SUMIFS($E6:$P6,$E$3:$P$3,1,$E$5:$P$5,T$5)</f>
        <v>0</v>
      </c>
      <c r="U6" s="10">
        <f>SUMIFS($E6:$P6,$E$3:$P$3,1,$E$5:$P$5,U$5)</f>
        <v>0</v>
      </c>
      <c r="V6" s="10">
        <f>SUM(S6:U6)</f>
        <v>1306.0789219569999</v>
      </c>
      <c r="X6" s="10">
        <f>SUMIF($E$2:$P$2,1,E6:P6)</f>
        <v>1306.0789219569999</v>
      </c>
      <c r="Z6" s="10">
        <f>SUM(E6:G6)</f>
        <v>4235.1355942959999</v>
      </c>
      <c r="AA6" s="10">
        <f>SUM(H6:J6)</f>
        <v>3719.616397276</v>
      </c>
      <c r="AB6" s="10">
        <f>SUM(K6:M6)</f>
        <v>3956.8942928040001</v>
      </c>
      <c r="AC6" s="10">
        <f>SUM(N6:P6)</f>
        <v>4265.9428656239998</v>
      </c>
      <c r="AD6" s="10">
        <f>SUM(Z6:AC6)</f>
        <v>16177.58915</v>
      </c>
    </row>
    <row r="7" spans="1:30">
      <c r="A7" s="6"/>
      <c r="B7" s="7" t="s">
        <v>6</v>
      </c>
      <c r="C7" s="7"/>
      <c r="D7" s="8"/>
      <c r="E7" s="9">
        <f>'[18]P&amp;L Actual'!H5/1000</f>
        <v>21.907</v>
      </c>
      <c r="F7" s="10">
        <f>'[18]P&amp;L Actual'!I5/1000</f>
        <v>26.448</v>
      </c>
      <c r="G7" s="10">
        <f>'[18]P&amp;L Actual'!J5/1000</f>
        <v>33.902999999999999</v>
      </c>
      <c r="H7" s="10">
        <f>'[18]P&amp;L Actual'!K5/1000</f>
        <v>26.937000000000001</v>
      </c>
      <c r="I7" s="10">
        <f>'[18]P&amp;L Actual'!L5/1000</f>
        <v>18.969000000000001</v>
      </c>
      <c r="J7" s="10">
        <f>'[18]P&amp;L Actual'!M5/1000</f>
        <v>36.091999999999999</v>
      </c>
      <c r="K7" s="10">
        <f>'[18]P&amp;L Actual'!N5/1000</f>
        <v>28.155999999999999</v>
      </c>
      <c r="L7" s="10">
        <f>'[18]P&amp;L Actual'!O5/1000</f>
        <v>30.315000000000001</v>
      </c>
      <c r="M7" s="10">
        <f>'[18]P&amp;L Actual'!P5/1000</f>
        <v>31.093</v>
      </c>
      <c r="N7" s="10">
        <f>'[18]P&amp;L Actual'!Q5/1000</f>
        <v>34.765999999999998</v>
      </c>
      <c r="O7" s="10">
        <f>'[18]P&amp;L Actual'!R5/1000</f>
        <v>35.582000000000001</v>
      </c>
      <c r="P7" s="10">
        <f>'[18]P&amp;L Actual'!S5/1000</f>
        <v>58.209000000000003</v>
      </c>
      <c r="Q7" s="105">
        <f t="shared" ref="Q7:Q12" si="1">SUM(E7:P7)</f>
        <v>382.37700000000001</v>
      </c>
      <c r="R7" s="327">
        <v>0</v>
      </c>
      <c r="S7" s="10">
        <f t="shared" ref="S7:U13" si="2">SUMIFS($E7:$P7,$E$3:$P$3,1,$E$5:$P$5,S$5)</f>
        <v>21.907</v>
      </c>
      <c r="T7" s="10">
        <f t="shared" si="2"/>
        <v>0</v>
      </c>
      <c r="U7" s="10">
        <f t="shared" si="2"/>
        <v>0</v>
      </c>
      <c r="V7" s="10">
        <f t="shared" ref="V7:V13" si="3">SUM(S7:U7)</f>
        <v>21.907</v>
      </c>
      <c r="X7" s="10">
        <f t="shared" ref="X7:X13" si="4">SUMIF($E$2:$P$2,1,E7:P7)</f>
        <v>21.907</v>
      </c>
      <c r="Z7" s="10">
        <f t="shared" ref="Z7:Z13" si="5">SUM(E7:G7)</f>
        <v>82.25800000000001</v>
      </c>
      <c r="AA7" s="10">
        <f t="shared" ref="AA7:AA13" si="6">SUM(H7:J7)</f>
        <v>81.998000000000005</v>
      </c>
      <c r="AB7" s="10">
        <f t="shared" ref="AB7:AB13" si="7">SUM(K7:M7)</f>
        <v>89.564000000000007</v>
      </c>
      <c r="AC7" s="10">
        <f t="shared" ref="AC7:AC13" si="8">SUM(N7:P7)</f>
        <v>128.55700000000002</v>
      </c>
      <c r="AD7" s="10">
        <f t="shared" ref="AD7:AD13" si="9">SUM(Z7:AC7)</f>
        <v>382.37700000000007</v>
      </c>
    </row>
    <row r="8" spans="1:30">
      <c r="A8" s="6"/>
      <c r="B8" s="7" t="s">
        <v>7</v>
      </c>
      <c r="C8" s="7"/>
      <c r="D8" s="8"/>
      <c r="E8" s="9">
        <f>'[18]P&amp;L Actual'!H6/1000</f>
        <v>0</v>
      </c>
      <c r="F8" s="10">
        <f>'[18]P&amp;L Actual'!I6/1000</f>
        <v>0</v>
      </c>
      <c r="G8" s="10">
        <f>'[18]P&amp;L Actual'!J6/1000</f>
        <v>0</v>
      </c>
      <c r="H8" s="10">
        <f>'[18]P&amp;L Actual'!K6/1000</f>
        <v>0</v>
      </c>
      <c r="I8" s="10">
        <f>'[18]P&amp;L Actual'!L6/1000</f>
        <v>0</v>
      </c>
      <c r="J8" s="10">
        <f>'[18]P&amp;L Actual'!M6/1000</f>
        <v>0</v>
      </c>
      <c r="K8" s="10">
        <f>'[18]P&amp;L Actual'!N6/1000</f>
        <v>0</v>
      </c>
      <c r="L8" s="10">
        <f>'[18]P&amp;L Actual'!O6/1000</f>
        <v>0</v>
      </c>
      <c r="M8" s="10">
        <f>'[18]P&amp;L Actual'!P6/1000</f>
        <v>0</v>
      </c>
      <c r="N8" s="10">
        <f>'[18]P&amp;L Actual'!Q6/1000</f>
        <v>0</v>
      </c>
      <c r="O8" s="10">
        <f>'[18]P&amp;L Actual'!R6/1000</f>
        <v>0</v>
      </c>
      <c r="P8" s="10">
        <f>'[18]P&amp;L Actual'!S6/1000</f>
        <v>0</v>
      </c>
      <c r="Q8" s="105">
        <f t="shared" si="1"/>
        <v>0</v>
      </c>
      <c r="R8" s="327">
        <v>0</v>
      </c>
      <c r="S8" s="10">
        <f t="shared" si="2"/>
        <v>0</v>
      </c>
      <c r="T8" s="10">
        <f t="shared" si="2"/>
        <v>0</v>
      </c>
      <c r="U8" s="10">
        <f t="shared" si="2"/>
        <v>0</v>
      </c>
      <c r="V8" s="10">
        <f t="shared" si="3"/>
        <v>0</v>
      </c>
      <c r="X8" s="10">
        <f t="shared" si="4"/>
        <v>0</v>
      </c>
      <c r="Z8" s="10">
        <f t="shared" si="5"/>
        <v>0</v>
      </c>
      <c r="AA8" s="10">
        <f t="shared" si="6"/>
        <v>0</v>
      </c>
      <c r="AB8" s="10">
        <f t="shared" si="7"/>
        <v>0</v>
      </c>
      <c r="AC8" s="10">
        <f t="shared" si="8"/>
        <v>0</v>
      </c>
      <c r="AD8" s="10">
        <f t="shared" si="9"/>
        <v>0</v>
      </c>
    </row>
    <row r="9" spans="1:30">
      <c r="A9" s="6"/>
      <c r="B9" s="7" t="s">
        <v>8</v>
      </c>
      <c r="C9" s="7"/>
      <c r="D9" s="8"/>
      <c r="E9" s="9">
        <f>'[18]P&amp;L Actual'!H7/1000</f>
        <v>0</v>
      </c>
      <c r="F9" s="10">
        <f>'[18]P&amp;L Actual'!I7/1000</f>
        <v>0</v>
      </c>
      <c r="G9" s="10">
        <f>'[18]P&amp;L Actual'!J7/1000</f>
        <v>0</v>
      </c>
      <c r="H9" s="10">
        <f>'[18]P&amp;L Actual'!K7/1000</f>
        <v>0</v>
      </c>
      <c r="I9" s="10">
        <f>'[18]P&amp;L Actual'!L7/1000</f>
        <v>0</v>
      </c>
      <c r="J9" s="10">
        <f>'[18]P&amp;L Actual'!M7/1000</f>
        <v>0</v>
      </c>
      <c r="K9" s="10">
        <f>'[18]P&amp;L Actual'!N7/1000</f>
        <v>0</v>
      </c>
      <c r="L9" s="10">
        <f>'[18]P&amp;L Actual'!O7/1000</f>
        <v>0</v>
      </c>
      <c r="M9" s="10">
        <f>'[18]P&amp;L Actual'!P7/1000</f>
        <v>0</v>
      </c>
      <c r="N9" s="10">
        <f>'[18]P&amp;L Actual'!Q7/1000</f>
        <v>0</v>
      </c>
      <c r="O9" s="10">
        <f>'[18]P&amp;L Actual'!R7/1000</f>
        <v>0</v>
      </c>
      <c r="P9" s="10">
        <f>'[18]P&amp;L Actual'!S7/1000</f>
        <v>0</v>
      </c>
      <c r="Q9" s="105">
        <f t="shared" si="1"/>
        <v>0</v>
      </c>
      <c r="R9" s="327">
        <v>0</v>
      </c>
      <c r="S9" s="10">
        <f t="shared" si="2"/>
        <v>0</v>
      </c>
      <c r="T9" s="10">
        <f t="shared" si="2"/>
        <v>0</v>
      </c>
      <c r="U9" s="10">
        <f t="shared" si="2"/>
        <v>0</v>
      </c>
      <c r="V9" s="10">
        <f t="shared" si="3"/>
        <v>0</v>
      </c>
      <c r="X9" s="10">
        <f t="shared" si="4"/>
        <v>0</v>
      </c>
      <c r="Z9" s="10">
        <f t="shared" si="5"/>
        <v>0</v>
      </c>
      <c r="AA9" s="10">
        <f t="shared" si="6"/>
        <v>0</v>
      </c>
      <c r="AB9" s="10">
        <f t="shared" si="7"/>
        <v>0</v>
      </c>
      <c r="AC9" s="10">
        <f t="shared" si="8"/>
        <v>0</v>
      </c>
      <c r="AD9" s="10">
        <f t="shared" si="9"/>
        <v>0</v>
      </c>
    </row>
    <row r="10" spans="1:30">
      <c r="A10" s="6"/>
      <c r="B10" s="7" t="s">
        <v>9</v>
      </c>
      <c r="C10" s="7"/>
      <c r="D10" s="8"/>
      <c r="E10" s="9">
        <f>'[18]P&amp;L Actual'!H21/1000</f>
        <v>15.356999999999999</v>
      </c>
      <c r="F10" s="10">
        <f>'[18]P&amp;L Actual'!I21/1000</f>
        <v>21.783000000000001</v>
      </c>
      <c r="G10" s="10">
        <f>'[18]P&amp;L Actual'!J21/1000</f>
        <v>27.646000000000001</v>
      </c>
      <c r="H10" s="10">
        <f>'[18]P&amp;L Actual'!K21/1000</f>
        <v>26.571999999999999</v>
      </c>
      <c r="I10" s="10">
        <f>'[18]P&amp;L Actual'!L21/1000</f>
        <v>20.391999999999999</v>
      </c>
      <c r="J10" s="10">
        <f>'[18]P&amp;L Actual'!M21/1000</f>
        <v>35.658999999999999</v>
      </c>
      <c r="K10" s="10">
        <f>'[18]P&amp;L Actual'!N21/1000</f>
        <v>29.643000000000001</v>
      </c>
      <c r="L10" s="10">
        <f>'[18]P&amp;L Actual'!O21/1000</f>
        <v>31.934000000000001</v>
      </c>
      <c r="M10" s="10">
        <f>'[18]P&amp;L Actual'!P21/1000</f>
        <v>36.533000000000001</v>
      </c>
      <c r="N10" s="10">
        <f>'[18]P&amp;L Actual'!Q21/1000</f>
        <v>36.118000000000002</v>
      </c>
      <c r="O10" s="10">
        <f>'[18]P&amp;L Actual'!R21/1000</f>
        <v>36.347999999999999</v>
      </c>
      <c r="P10" s="10">
        <f>'[18]P&amp;L Actual'!S21/1000</f>
        <v>54</v>
      </c>
      <c r="Q10" s="105">
        <f t="shared" si="1"/>
        <v>371.98500000000001</v>
      </c>
      <c r="R10" s="327">
        <v>0</v>
      </c>
      <c r="S10" s="10">
        <f t="shared" si="2"/>
        <v>15.356999999999999</v>
      </c>
      <c r="T10" s="10">
        <f t="shared" si="2"/>
        <v>0</v>
      </c>
      <c r="U10" s="10">
        <f t="shared" si="2"/>
        <v>0</v>
      </c>
      <c r="V10" s="10">
        <f t="shared" si="3"/>
        <v>15.356999999999999</v>
      </c>
      <c r="X10" s="10">
        <f t="shared" si="4"/>
        <v>15.356999999999999</v>
      </c>
      <c r="Z10" s="10">
        <f t="shared" si="5"/>
        <v>64.786000000000001</v>
      </c>
      <c r="AA10" s="10">
        <f t="shared" si="6"/>
        <v>82.62299999999999</v>
      </c>
      <c r="AB10" s="10">
        <f t="shared" si="7"/>
        <v>98.11</v>
      </c>
      <c r="AC10" s="10">
        <f t="shared" si="8"/>
        <v>126.46600000000001</v>
      </c>
      <c r="AD10" s="10">
        <f t="shared" si="9"/>
        <v>371.98500000000001</v>
      </c>
    </row>
    <row r="11" spans="1:30">
      <c r="A11" s="6"/>
      <c r="B11" s="7" t="s">
        <v>10</v>
      </c>
      <c r="C11" s="7"/>
      <c r="D11" s="8"/>
      <c r="E11" s="9">
        <f>'[18]P&amp;L Actual'!H22/1000</f>
        <v>8.9999999999999993E-3</v>
      </c>
      <c r="F11" s="10">
        <f>'[18]P&amp;L Actual'!I22/1000</f>
        <v>1.0999999999999999E-2</v>
      </c>
      <c r="G11" s="10">
        <f>'[18]P&amp;L Actual'!J22/1000</f>
        <v>1.2E-2</v>
      </c>
      <c r="H11" s="10">
        <f>'[18]P&amp;L Actual'!K22/1000</f>
        <v>0.01</v>
      </c>
      <c r="I11" s="10">
        <f>'[18]P&amp;L Actual'!L22/1000</f>
        <v>0.01</v>
      </c>
      <c r="J11" s="10">
        <f>'[18]P&amp;L Actual'!M22/1000</f>
        <v>1.2E-2</v>
      </c>
      <c r="K11" s="10">
        <f>'[18]P&amp;L Actual'!N22/1000</f>
        <v>1.2999999999999999E-2</v>
      </c>
      <c r="L11" s="10">
        <f>'[18]P&amp;L Actual'!O22/1000</f>
        <v>1.4E-2</v>
      </c>
      <c r="M11" s="10">
        <f>'[18]P&amp;L Actual'!P22/1000</f>
        <v>1.4E-2</v>
      </c>
      <c r="N11" s="10">
        <f>'[18]P&amp;L Actual'!Q22/1000</f>
        <v>0</v>
      </c>
      <c r="O11" s="10">
        <f>'[18]P&amp;L Actual'!R22/1000</f>
        <v>0</v>
      </c>
      <c r="P11" s="10">
        <f>'[18]P&amp;L Actual'!S22/1000</f>
        <v>0</v>
      </c>
      <c r="Q11" s="105">
        <f t="shared" si="1"/>
        <v>0.105</v>
      </c>
      <c r="R11" s="327">
        <v>0</v>
      </c>
      <c r="S11" s="10">
        <f t="shared" si="2"/>
        <v>8.9999999999999993E-3</v>
      </c>
      <c r="T11" s="10">
        <f t="shared" si="2"/>
        <v>0</v>
      </c>
      <c r="U11" s="10">
        <f t="shared" si="2"/>
        <v>0</v>
      </c>
      <c r="V11" s="10">
        <f t="shared" si="3"/>
        <v>8.9999999999999993E-3</v>
      </c>
      <c r="X11" s="10">
        <f t="shared" si="4"/>
        <v>8.9999999999999993E-3</v>
      </c>
      <c r="Z11" s="10">
        <f t="shared" si="5"/>
        <v>3.2000000000000001E-2</v>
      </c>
      <c r="AA11" s="10">
        <f t="shared" si="6"/>
        <v>3.2000000000000001E-2</v>
      </c>
      <c r="AB11" s="10">
        <f t="shared" si="7"/>
        <v>4.1000000000000002E-2</v>
      </c>
      <c r="AC11" s="10">
        <f t="shared" si="8"/>
        <v>0</v>
      </c>
      <c r="AD11" s="10">
        <f t="shared" si="9"/>
        <v>0.10500000000000001</v>
      </c>
    </row>
    <row r="12" spans="1:30">
      <c r="A12" s="6"/>
      <c r="B12" s="7" t="s">
        <v>11</v>
      </c>
      <c r="C12" s="7"/>
      <c r="D12" s="8"/>
      <c r="E12" s="9">
        <f>'[18]P&amp;L Actual'!H23/1000</f>
        <v>0</v>
      </c>
      <c r="F12" s="10">
        <f>'[18]P&amp;L Actual'!I23/1000</f>
        <v>0</v>
      </c>
      <c r="G12" s="10">
        <f>'[18]P&amp;L Actual'!J23/1000</f>
        <v>0</v>
      </c>
      <c r="H12" s="10">
        <f>'[18]P&amp;L Actual'!K23/1000</f>
        <v>0</v>
      </c>
      <c r="I12" s="10">
        <f>'[18]P&amp;L Actual'!L23/1000</f>
        <v>0</v>
      </c>
      <c r="J12" s="10">
        <f>'[18]P&amp;L Actual'!M23/1000</f>
        <v>0</v>
      </c>
      <c r="K12" s="10">
        <f>'[18]P&amp;L Actual'!N23/1000</f>
        <v>0</v>
      </c>
      <c r="L12" s="10">
        <f>'[18]P&amp;L Actual'!O23/1000</f>
        <v>0</v>
      </c>
      <c r="M12" s="10">
        <f>'[18]P&amp;L Actual'!P23/1000</f>
        <v>0</v>
      </c>
      <c r="N12" s="10">
        <f>'[18]P&amp;L Actual'!Q23/1000</f>
        <v>0</v>
      </c>
      <c r="O12" s="10">
        <f>'[18]P&amp;L Actual'!R23/1000</f>
        <v>0</v>
      </c>
      <c r="P12" s="10">
        <f>'[18]P&amp;L Actual'!S23/1000</f>
        <v>0</v>
      </c>
      <c r="Q12" s="106">
        <f t="shared" si="1"/>
        <v>0</v>
      </c>
      <c r="R12" s="327">
        <v>0</v>
      </c>
      <c r="S12" s="10">
        <f t="shared" si="2"/>
        <v>0</v>
      </c>
      <c r="T12" s="10">
        <f t="shared" si="2"/>
        <v>0</v>
      </c>
      <c r="U12" s="10">
        <f t="shared" si="2"/>
        <v>0</v>
      </c>
      <c r="V12" s="10">
        <f t="shared" si="3"/>
        <v>0</v>
      </c>
      <c r="X12" s="10">
        <f t="shared" si="4"/>
        <v>0</v>
      </c>
      <c r="Z12" s="10">
        <f t="shared" si="5"/>
        <v>0</v>
      </c>
      <c r="AA12" s="10">
        <f t="shared" si="6"/>
        <v>0</v>
      </c>
      <c r="AB12" s="10">
        <f t="shared" si="7"/>
        <v>0</v>
      </c>
      <c r="AC12" s="10">
        <f t="shared" si="8"/>
        <v>0</v>
      </c>
      <c r="AD12" s="10">
        <f t="shared" si="9"/>
        <v>0</v>
      </c>
    </row>
    <row r="13" spans="1:30">
      <c r="A13" s="6"/>
      <c r="B13" s="7" t="s">
        <v>12</v>
      </c>
      <c r="C13" s="7"/>
      <c r="D13" s="8"/>
      <c r="E13" s="11">
        <f>'[18]P&amp;L Actual'!H27/1000</f>
        <v>1.0620000000000001</v>
      </c>
      <c r="F13" s="12">
        <f>'[18]P&amp;L Actual'!I27/1000</f>
        <v>0.86699999999999999</v>
      </c>
      <c r="G13" s="12">
        <f>'[18]P&amp;L Actual'!J27/1000</f>
        <v>1.0449999999999999</v>
      </c>
      <c r="H13" s="12">
        <f>'[18]P&amp;L Actual'!K27/1000</f>
        <v>1.222</v>
      </c>
      <c r="I13" s="12">
        <f>'[18]P&amp;L Actual'!L27/1000</f>
        <v>1.5009999999999999</v>
      </c>
      <c r="J13" s="12">
        <f>'[18]P&amp;L Actual'!M27/1000</f>
        <v>1.3069999999999999</v>
      </c>
      <c r="K13" s="12">
        <f>'[18]P&amp;L Actual'!N27/1000</f>
        <v>1.135</v>
      </c>
      <c r="L13" s="12">
        <f>'[18]P&amp;L Actual'!O27/1000</f>
        <v>1.4810000000000001</v>
      </c>
      <c r="M13" s="12">
        <f>'[18]P&amp;L Actual'!P27/1000</f>
        <v>1.462</v>
      </c>
      <c r="N13" s="12">
        <f>'[18]P&amp;L Actual'!Q27/1000</f>
        <v>1.3220000000000001</v>
      </c>
      <c r="O13" s="12">
        <f>'[18]P&amp;L Actual'!R27/1000</f>
        <v>1.042</v>
      </c>
      <c r="P13" s="12">
        <f>'[18]P&amp;L Actual'!S27/1000</f>
        <v>1.2370000000000001</v>
      </c>
      <c r="Q13" s="106">
        <f>SUM(E13:P13)</f>
        <v>14.683</v>
      </c>
      <c r="R13" s="327">
        <v>0</v>
      </c>
      <c r="S13" s="12">
        <f t="shared" si="2"/>
        <v>1.0620000000000001</v>
      </c>
      <c r="T13" s="12">
        <f t="shared" si="2"/>
        <v>0</v>
      </c>
      <c r="U13" s="12">
        <f t="shared" si="2"/>
        <v>0</v>
      </c>
      <c r="V13" s="12">
        <f t="shared" si="3"/>
        <v>1.0620000000000001</v>
      </c>
      <c r="X13" s="12">
        <f t="shared" si="4"/>
        <v>1.0620000000000001</v>
      </c>
      <c r="Z13" s="10">
        <f t="shared" si="5"/>
        <v>2.9740000000000002</v>
      </c>
      <c r="AA13" s="10">
        <f t="shared" si="6"/>
        <v>4.0299999999999994</v>
      </c>
      <c r="AB13" s="10">
        <f t="shared" si="7"/>
        <v>4.0780000000000003</v>
      </c>
      <c r="AC13" s="10">
        <f t="shared" si="8"/>
        <v>3.601</v>
      </c>
      <c r="AD13" s="10">
        <f t="shared" si="9"/>
        <v>14.683</v>
      </c>
    </row>
    <row r="14" spans="1:30">
      <c r="A14" s="13"/>
      <c r="B14" s="14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R14" s="327">
        <v>0</v>
      </c>
      <c r="S14" s="2"/>
      <c r="T14" s="2"/>
      <c r="U14" s="2"/>
      <c r="V14" s="2"/>
      <c r="X14" s="2"/>
      <c r="Z14" s="2"/>
      <c r="AA14" s="2"/>
      <c r="AB14" s="2"/>
      <c r="AC14" s="2"/>
      <c r="AD14" s="2"/>
    </row>
    <row r="15" spans="1:30">
      <c r="A15" s="13"/>
      <c r="B15" s="14"/>
      <c r="C15" s="14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R15" s="327">
        <v>0</v>
      </c>
      <c r="S15" s="13"/>
      <c r="T15" s="13"/>
      <c r="U15" s="13"/>
      <c r="V15" s="13"/>
      <c r="X15" s="13"/>
      <c r="Z15" s="13"/>
      <c r="AA15" s="13"/>
      <c r="AB15" s="13"/>
      <c r="AC15" s="13"/>
      <c r="AD15" s="13"/>
    </row>
    <row r="16" spans="1:30">
      <c r="A16" s="16"/>
      <c r="B16" s="16"/>
      <c r="C16" s="17" t="s">
        <v>13</v>
      </c>
      <c r="D16" s="17"/>
      <c r="E16" s="18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08">
        <f t="shared" ref="Q16:Q47" si="10">SUM(E16:P16)</f>
        <v>0</v>
      </c>
      <c r="R16" s="327">
        <v>0</v>
      </c>
      <c r="S16" s="19"/>
      <c r="T16" s="19"/>
      <c r="U16" s="19"/>
      <c r="V16" s="19"/>
      <c r="X16" s="19"/>
      <c r="Z16" s="19"/>
      <c r="AA16" s="19"/>
      <c r="AB16" s="19"/>
      <c r="AC16" s="19"/>
      <c r="AD16" s="19"/>
    </row>
    <row r="17" spans="1:30">
      <c r="A17" s="20"/>
      <c r="B17" s="20"/>
      <c r="C17" s="21" t="s">
        <v>14</v>
      </c>
      <c r="D17" s="21"/>
      <c r="E17" s="22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109">
        <f t="shared" si="10"/>
        <v>0</v>
      </c>
      <c r="R17" s="327">
        <v>0</v>
      </c>
      <c r="S17" s="23"/>
      <c r="T17" s="23"/>
      <c r="U17" s="23"/>
      <c r="V17" s="23"/>
      <c r="X17" s="23"/>
      <c r="Z17" s="23"/>
      <c r="AA17" s="23"/>
      <c r="AB17" s="23"/>
      <c r="AC17" s="23"/>
      <c r="AD17" s="23"/>
    </row>
    <row r="18" spans="1:30">
      <c r="A18" s="24" t="s">
        <v>463</v>
      </c>
      <c r="B18" s="25"/>
      <c r="C18" s="26"/>
      <c r="D18" s="26"/>
      <c r="E18" s="27">
        <f>[17]Act!D222</f>
        <v>647.19887781926582</v>
      </c>
      <c r="F18" s="28">
        <f>[17]Act!E222</f>
        <v>679.59059304880225</v>
      </c>
      <c r="G18" s="29">
        <f>[17]Act!F222</f>
        <v>1035.5574177726976</v>
      </c>
      <c r="H18" s="29">
        <f>[17]Act!G222</f>
        <v>925.80431669062864</v>
      </c>
      <c r="I18" s="29">
        <f>[17]Act!H222</f>
        <v>821.118143102614</v>
      </c>
      <c r="J18" s="29">
        <f>[17]Act!I222</f>
        <v>1168.676836440595</v>
      </c>
      <c r="K18" s="29">
        <f>[17]Act!J222</f>
        <v>1024.7006060368813</v>
      </c>
      <c r="L18" s="29">
        <f>[17]Act!K222</f>
        <v>1066.2312255483751</v>
      </c>
      <c r="M18" s="29">
        <f>[17]Act!L222</f>
        <v>1468.1918394751567</v>
      </c>
      <c r="N18" s="29">
        <f>[17]Act!M222</f>
        <v>1161.6573736139853</v>
      </c>
      <c r="O18" s="29">
        <f>[17]Act!N222</f>
        <v>1222.462947288413</v>
      </c>
      <c r="P18" s="29">
        <f>[17]Act!O222</f>
        <v>1781.540259721738</v>
      </c>
      <c r="Q18" s="108">
        <f t="shared" si="10"/>
        <v>13002.730436559154</v>
      </c>
      <c r="R18" s="327">
        <v>-30.917921455520627</v>
      </c>
      <c r="S18" s="29">
        <f>SUMIFS($E18:$P18,$E$3:$P$3,1,$E$5:$P$5,S$5)</f>
        <v>647.19887781926582</v>
      </c>
      <c r="T18" s="29">
        <f>SUMIFS($E18:$P18,$E$3:$P$3,1,$E$5:$P$5,T$5)</f>
        <v>0</v>
      </c>
      <c r="U18" s="29">
        <f>SUMIFS($E18:$P18,$E$3:$P$3,1,$E$5:$P$5,U$5)</f>
        <v>0</v>
      </c>
      <c r="V18" s="29">
        <f>SUM(S18:U18)</f>
        <v>647.19887781926582</v>
      </c>
      <c r="X18" s="29">
        <f>SUMIF($E$2:$P$2,1,E18:P18)</f>
        <v>647.19887781926582</v>
      </c>
      <c r="Z18" s="29">
        <f>SUM(E18:G18)</f>
        <v>2362.3468886407654</v>
      </c>
      <c r="AA18" s="29">
        <f>SUM(H18:J18)</f>
        <v>2915.5992962338378</v>
      </c>
      <c r="AB18" s="29">
        <f>SUM(K18:M18)</f>
        <v>3559.1236710604126</v>
      </c>
      <c r="AC18" s="29">
        <f>SUM(N18:P18)</f>
        <v>4165.6605806241369</v>
      </c>
      <c r="AD18" s="29">
        <f>SUM(Z18:AC18)</f>
        <v>13002.730436559154</v>
      </c>
    </row>
    <row r="19" spans="1:30">
      <c r="A19" s="20"/>
      <c r="B19" s="16"/>
      <c r="C19" s="17" t="s">
        <v>16</v>
      </c>
      <c r="D19" s="17"/>
      <c r="E19" s="18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08">
        <f t="shared" si="10"/>
        <v>0</v>
      </c>
      <c r="R19" s="327">
        <v>0</v>
      </c>
      <c r="S19" s="19"/>
      <c r="T19" s="19"/>
      <c r="U19" s="19"/>
      <c r="V19" s="19"/>
      <c r="X19" s="19"/>
      <c r="Z19" s="19"/>
      <c r="AA19" s="19"/>
      <c r="AB19" s="19"/>
      <c r="AC19" s="19"/>
      <c r="AD19" s="19"/>
    </row>
    <row r="20" spans="1:30">
      <c r="A20" s="20"/>
      <c r="B20" s="30"/>
      <c r="C20" s="31" t="s">
        <v>17</v>
      </c>
      <c r="D20" s="31"/>
      <c r="E20" s="22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109">
        <f t="shared" si="10"/>
        <v>0</v>
      </c>
      <c r="R20" s="327">
        <v>0</v>
      </c>
      <c r="S20" s="23"/>
      <c r="T20" s="23"/>
      <c r="U20" s="23"/>
      <c r="V20" s="23"/>
      <c r="X20" s="23"/>
      <c r="Z20" s="23"/>
      <c r="AA20" s="23"/>
      <c r="AB20" s="23"/>
      <c r="AC20" s="23"/>
      <c r="AD20" s="23"/>
    </row>
    <row r="21" spans="1:30">
      <c r="A21" s="32"/>
      <c r="B21" s="26" t="s">
        <v>464</v>
      </c>
      <c r="C21" s="26"/>
      <c r="D21" s="26"/>
      <c r="E21" s="33">
        <f>[17]Act!D223</f>
        <v>-76.40651055420831</v>
      </c>
      <c r="F21" s="34">
        <f>[17]Act!E223</f>
        <v>-82.725029462041547</v>
      </c>
      <c r="G21" s="35">
        <f>[17]Act!F223</f>
        <v>-146.39541155019484</v>
      </c>
      <c r="H21" s="35">
        <f>[17]Act!G223</f>
        <v>-123.04374284375255</v>
      </c>
      <c r="I21" s="35">
        <f>[17]Act!H223</f>
        <v>-109.57786500114372</v>
      </c>
      <c r="J21" s="35">
        <f>[17]Act!I223</f>
        <v>-170.44753119207553</v>
      </c>
      <c r="K21" s="35">
        <f>[17]Act!J223</f>
        <v>-140.16845363905242</v>
      </c>
      <c r="L21" s="35">
        <f>[17]Act!K223</f>
        <v>-147.44875666025061</v>
      </c>
      <c r="M21" s="35">
        <f>[17]Act!L223</f>
        <v>-214.90494900820363</v>
      </c>
      <c r="N21" s="35">
        <f>[17]Act!M223</f>
        <v>-156.66709878021899</v>
      </c>
      <c r="O21" s="35">
        <f>[17]Act!N223</f>
        <v>-162.04739701812673</v>
      </c>
      <c r="P21" s="35">
        <f>[17]Act!O223</f>
        <v>-261.20508643885427</v>
      </c>
      <c r="Q21" s="108">
        <f t="shared" si="10"/>
        <v>-1791.0378321481232</v>
      </c>
      <c r="R21" s="327">
        <v>0</v>
      </c>
      <c r="S21" s="35">
        <f>SUMIFS($E21:$P21,$E$3:$P$3,1,$E$5:$P$5,S$5)</f>
        <v>-76.40651055420831</v>
      </c>
      <c r="T21" s="35">
        <f>SUMIFS($E21:$P21,$E$3:$P$3,1,$E$5:$P$5,T$5)</f>
        <v>0</v>
      </c>
      <c r="U21" s="35">
        <f>SUMIFS($E21:$P21,$E$3:$P$3,1,$E$5:$P$5,U$5)</f>
        <v>0</v>
      </c>
      <c r="V21" s="35">
        <f>SUM(S21:U21)</f>
        <v>-76.40651055420831</v>
      </c>
      <c r="X21" s="35">
        <f>SUMIF($E$2:$P$2,1,E21:P21)</f>
        <v>-76.40651055420831</v>
      </c>
      <c r="Z21" s="35">
        <f>SUM(E21:G21)</f>
        <v>-305.52695156644472</v>
      </c>
      <c r="AA21" s="35">
        <f>SUM(H21:J21)</f>
        <v>-403.06913903697182</v>
      </c>
      <c r="AB21" s="35">
        <f>SUM(K21:M21)</f>
        <v>-502.52215930750663</v>
      </c>
      <c r="AC21" s="35">
        <f>SUM(N21:P21)</f>
        <v>-579.91958223720007</v>
      </c>
      <c r="AD21" s="35">
        <f>SUM(Z21:AC21)</f>
        <v>-1791.0378321481232</v>
      </c>
    </row>
    <row r="22" spans="1:30">
      <c r="A22" s="36" t="s">
        <v>19</v>
      </c>
      <c r="B22" s="36"/>
      <c r="C22" s="1"/>
      <c r="D22" s="37"/>
      <c r="E22" s="38">
        <f>SUM(E18,E21)</f>
        <v>570.79236726505746</v>
      </c>
      <c r="F22" s="39">
        <f t="shared" ref="F22:P22" si="11">SUM(F18,F21)</f>
        <v>596.86556358676069</v>
      </c>
      <c r="G22" s="40">
        <f t="shared" si="11"/>
        <v>889.16200622250278</v>
      </c>
      <c r="H22" s="40">
        <f t="shared" si="11"/>
        <v>802.76057384687613</v>
      </c>
      <c r="I22" s="40">
        <f t="shared" si="11"/>
        <v>711.54027810147022</v>
      </c>
      <c r="J22" s="40">
        <f t="shared" si="11"/>
        <v>998.22930524851949</v>
      </c>
      <c r="K22" s="40">
        <f t="shared" si="11"/>
        <v>884.5321523978289</v>
      </c>
      <c r="L22" s="40">
        <f t="shared" si="11"/>
        <v>918.78246888812441</v>
      </c>
      <c r="M22" s="40">
        <f t="shared" si="11"/>
        <v>1253.2868904669531</v>
      </c>
      <c r="N22" s="40">
        <f t="shared" si="11"/>
        <v>1004.9902748337663</v>
      </c>
      <c r="O22" s="40">
        <f t="shared" si="11"/>
        <v>1060.4155502702863</v>
      </c>
      <c r="P22" s="40">
        <f t="shared" si="11"/>
        <v>1520.3351732828837</v>
      </c>
      <c r="Q22" s="110">
        <f t="shared" si="10"/>
        <v>11211.69260441103</v>
      </c>
      <c r="R22" s="327">
        <v>-30.917921455520627</v>
      </c>
      <c r="S22" s="40">
        <f>SUM(S18,S21)</f>
        <v>570.79236726505746</v>
      </c>
      <c r="T22" s="40">
        <f>SUM(T18,T21)</f>
        <v>0</v>
      </c>
      <c r="U22" s="40">
        <f>SUM(U18,U21)</f>
        <v>0</v>
      </c>
      <c r="V22" s="40">
        <f>SUM(V18,V21)</f>
        <v>570.79236726505746</v>
      </c>
      <c r="X22" s="40">
        <f>SUM(X18,X21)</f>
        <v>570.79236726505746</v>
      </c>
      <c r="Z22" s="40">
        <f>SUM(Z18,Z21)</f>
        <v>2056.8199370743205</v>
      </c>
      <c r="AA22" s="40">
        <f>SUM(AA18,AA21)</f>
        <v>2512.5301571968657</v>
      </c>
      <c r="AB22" s="40">
        <f>SUM(AB18,AB21)</f>
        <v>3056.6015117529059</v>
      </c>
      <c r="AC22" s="40">
        <f>SUM(AC18,AC21)</f>
        <v>3585.7409983869366</v>
      </c>
      <c r="AD22" s="40">
        <f>SUM(AD18,AD21)</f>
        <v>11211.69260441103</v>
      </c>
    </row>
    <row r="23" spans="1:30">
      <c r="A23" s="16"/>
      <c r="B23" s="16"/>
      <c r="C23" s="41" t="s">
        <v>20</v>
      </c>
      <c r="D23" s="42"/>
      <c r="E23" s="18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08">
        <f t="shared" si="10"/>
        <v>0</v>
      </c>
      <c r="R23" s="327">
        <v>0</v>
      </c>
      <c r="S23" s="19"/>
      <c r="T23" s="19"/>
      <c r="U23" s="19"/>
      <c r="V23" s="19"/>
      <c r="X23" s="19"/>
      <c r="Z23" s="19"/>
      <c r="AA23" s="19"/>
      <c r="AB23" s="19"/>
      <c r="AC23" s="19"/>
      <c r="AD23" s="19"/>
    </row>
    <row r="24" spans="1:30">
      <c r="A24" s="20"/>
      <c r="B24" s="30"/>
      <c r="C24" s="43" t="s">
        <v>21</v>
      </c>
      <c r="D24" s="44"/>
      <c r="E24" s="45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111">
        <f t="shared" si="10"/>
        <v>0</v>
      </c>
      <c r="R24" s="327">
        <v>0</v>
      </c>
      <c r="S24" s="46"/>
      <c r="T24" s="46"/>
      <c r="U24" s="46"/>
      <c r="V24" s="46"/>
      <c r="X24" s="46"/>
      <c r="Z24" s="46"/>
      <c r="AA24" s="46"/>
      <c r="AB24" s="46"/>
      <c r="AC24" s="46"/>
      <c r="AD24" s="46"/>
    </row>
    <row r="25" spans="1:30">
      <c r="A25" s="20"/>
      <c r="B25" s="26" t="s">
        <v>465</v>
      </c>
      <c r="C25" s="17"/>
      <c r="D25" s="21"/>
      <c r="E25" s="47">
        <f>[17]Act!D225</f>
        <v>-483.27573988985631</v>
      </c>
      <c r="F25" s="48">
        <f>[17]Act!E225</f>
        <v>-460.05878550782677</v>
      </c>
      <c r="G25" s="49">
        <f>[17]Act!F225</f>
        <v>-775.62924474517683</v>
      </c>
      <c r="H25" s="49">
        <f>[17]Act!G225</f>
        <v>-653.5894796310323</v>
      </c>
      <c r="I25" s="49">
        <f>[17]Act!H225</f>
        <v>-605.43039307726929</v>
      </c>
      <c r="J25" s="49">
        <f>[17]Act!I225</f>
        <v>-846.18235150334624</v>
      </c>
      <c r="K25" s="49">
        <f>[17]Act!J225</f>
        <v>-704.58885571920121</v>
      </c>
      <c r="L25" s="49">
        <f>[17]Act!K225</f>
        <v>-737.91069127487697</v>
      </c>
      <c r="M25" s="49">
        <f>[17]Act!L225</f>
        <v>-1066.4771380727448</v>
      </c>
      <c r="N25" s="49">
        <f>[17]Act!M225</f>
        <v>-825.35865608450729</v>
      </c>
      <c r="O25" s="49">
        <f>[17]Act!N225</f>
        <v>-880.08810629266452</v>
      </c>
      <c r="P25" s="49">
        <f>[17]Act!O225</f>
        <v>-1273.1170268160683</v>
      </c>
      <c r="Q25" s="109">
        <f t="shared" si="10"/>
        <v>-9311.7064686145713</v>
      </c>
      <c r="R25" s="327">
        <v>-22.203780088057101</v>
      </c>
      <c r="S25" s="49">
        <f>SUMIFS($E25:$P25,$E$3:$P$3,1,$E$5:$P$5,S$5)</f>
        <v>-483.27573988985631</v>
      </c>
      <c r="T25" s="49">
        <f>SUMIFS($E25:$P25,$E$3:$P$3,1,$E$5:$P$5,T$5)</f>
        <v>0</v>
      </c>
      <c r="U25" s="49">
        <f>SUMIFS($E25:$P25,$E$3:$P$3,1,$E$5:$P$5,U$5)</f>
        <v>0</v>
      </c>
      <c r="V25" s="49">
        <f>SUM(S25:U25)</f>
        <v>-483.27573988985631</v>
      </c>
      <c r="X25" s="49">
        <f>SUMIF($E$2:$P$2,1,E25:P25)</f>
        <v>-483.27573988985631</v>
      </c>
      <c r="Z25" s="49">
        <f>SUM(E25:G25)</f>
        <v>-1718.9637701428601</v>
      </c>
      <c r="AA25" s="49">
        <f>SUM(H25:J25)</f>
        <v>-2105.2022242116477</v>
      </c>
      <c r="AB25" s="49">
        <f>SUM(K25:M25)</f>
        <v>-2508.9766850668229</v>
      </c>
      <c r="AC25" s="49">
        <f>SUM(N25:P25)</f>
        <v>-2978.5637891932402</v>
      </c>
      <c r="AD25" s="49">
        <f>SUM(Z25:AC25)</f>
        <v>-9311.7064686145713</v>
      </c>
    </row>
    <row r="26" spans="1:30">
      <c r="A26" s="50" t="s">
        <v>23</v>
      </c>
      <c r="B26" s="50"/>
      <c r="C26" s="37"/>
      <c r="D26" s="37"/>
      <c r="E26" s="51">
        <f t="shared" ref="E26:P26" si="12">E22+E25</f>
        <v>87.516627375201153</v>
      </c>
      <c r="F26" s="52">
        <f t="shared" si="12"/>
        <v>136.80677807893392</v>
      </c>
      <c r="G26" s="53">
        <f t="shared" si="12"/>
        <v>113.53276147732595</v>
      </c>
      <c r="H26" s="53">
        <f t="shared" si="12"/>
        <v>149.17109421584382</v>
      </c>
      <c r="I26" s="53">
        <f t="shared" si="12"/>
        <v>106.10988502420093</v>
      </c>
      <c r="J26" s="53">
        <f t="shared" si="12"/>
        <v>152.04695374517325</v>
      </c>
      <c r="K26" s="53">
        <f t="shared" si="12"/>
        <v>179.94329667862769</v>
      </c>
      <c r="L26" s="53">
        <f t="shared" si="12"/>
        <v>180.87177761324745</v>
      </c>
      <c r="M26" s="53">
        <f t="shared" si="12"/>
        <v>186.80975239420832</v>
      </c>
      <c r="N26" s="53">
        <f t="shared" si="12"/>
        <v>179.63161874925902</v>
      </c>
      <c r="O26" s="53">
        <f t="shared" si="12"/>
        <v>180.32744397762178</v>
      </c>
      <c r="P26" s="53">
        <f t="shared" si="12"/>
        <v>247.21814646681537</v>
      </c>
      <c r="Q26" s="112">
        <f t="shared" si="10"/>
        <v>1899.9861357964585</v>
      </c>
      <c r="R26" s="327">
        <v>-53.121701543578183</v>
      </c>
      <c r="S26" s="40">
        <f>SUM(S22,S25)</f>
        <v>87.516627375201153</v>
      </c>
      <c r="T26" s="40">
        <f>SUM(T22,T25)</f>
        <v>0</v>
      </c>
      <c r="U26" s="40">
        <f>SUM(U22,U25)</f>
        <v>0</v>
      </c>
      <c r="V26" s="40">
        <f>SUM(V22,V25)</f>
        <v>87.516627375201153</v>
      </c>
      <c r="X26" s="53">
        <f>X22+X25</f>
        <v>87.516627375201153</v>
      </c>
      <c r="Z26" s="40">
        <f>SUM(Z22,Z25)</f>
        <v>337.85616693146039</v>
      </c>
      <c r="AA26" s="40">
        <f>SUM(AA22,AA25)</f>
        <v>407.32793298521801</v>
      </c>
      <c r="AB26" s="40">
        <f>SUM(AB22,AB25)</f>
        <v>547.624826686083</v>
      </c>
      <c r="AC26" s="40">
        <f>SUM(AC22,AC25)</f>
        <v>607.1772091936964</v>
      </c>
      <c r="AD26" s="40">
        <f>SUM(AD22,AD25)</f>
        <v>1899.9861357964583</v>
      </c>
    </row>
    <row r="27" spans="1:30">
      <c r="A27" s="54"/>
      <c r="B27" s="55" t="s">
        <v>24</v>
      </c>
      <c r="C27" s="56"/>
      <c r="D27" s="56"/>
      <c r="E27" s="57">
        <f>E26/E18</f>
        <v>0.13522370074263432</v>
      </c>
      <c r="F27" s="58">
        <f>F26/F18</f>
        <v>0.20130763944978511</v>
      </c>
      <c r="G27" s="59">
        <f>G26/G18</f>
        <v>0.10963444375833356</v>
      </c>
      <c r="H27" s="59">
        <f t="shared" ref="H27:Q27" si="13">H26/H18</f>
        <v>0.16112594370813629</v>
      </c>
      <c r="I27" s="59">
        <f t="shared" si="13"/>
        <v>0.12922608751922382</v>
      </c>
      <c r="J27" s="59">
        <f t="shared" si="13"/>
        <v>0.13010179461437624</v>
      </c>
      <c r="K27" s="59">
        <f t="shared" si="13"/>
        <v>0.17560572875483507</v>
      </c>
      <c r="L27" s="59">
        <f t="shared" si="13"/>
        <v>0.16963654156744754</v>
      </c>
      <c r="M27" s="59">
        <f t="shared" si="13"/>
        <v>0.12723797215831706</v>
      </c>
      <c r="N27" s="59">
        <f t="shared" si="13"/>
        <v>0.15463390740628999</v>
      </c>
      <c r="O27" s="59">
        <f t="shared" si="13"/>
        <v>0.14751158256175556</v>
      </c>
      <c r="P27" s="59">
        <f t="shared" si="13"/>
        <v>0.13876652246154056</v>
      </c>
      <c r="Q27" s="113">
        <f t="shared" si="13"/>
        <v>0.1461220891309381</v>
      </c>
      <c r="R27" s="327">
        <v>-3.729110141215658E-3</v>
      </c>
      <c r="S27" s="59">
        <f>S26/S18</f>
        <v>0.13522370074263432</v>
      </c>
      <c r="T27" s="59">
        <f>IFERROR(T26/T18,0)</f>
        <v>0</v>
      </c>
      <c r="U27" s="59">
        <f>IFERROR(U26/U18,0)</f>
        <v>0</v>
      </c>
      <c r="V27" s="59">
        <f>IFERROR(V26/V18,0)</f>
        <v>0.13522370074263432</v>
      </c>
      <c r="X27" s="59">
        <f>X26/X18</f>
        <v>0.13522370074263432</v>
      </c>
      <c r="Z27" s="59">
        <f>Z26/Z18</f>
        <v>0.14301717015228627</v>
      </c>
      <c r="AA27" s="59">
        <f>IFERROR(AA26/AA18,0)</f>
        <v>0.13970641765189581</v>
      </c>
      <c r="AB27" s="59">
        <f>IFERROR(AB26/AB18,0)</f>
        <v>0.15386507390537585</v>
      </c>
      <c r="AC27" s="59">
        <f>IFERROR(AC26/AC18,0)</f>
        <v>0.14575772496152906</v>
      </c>
      <c r="AD27" s="59">
        <f>AD26/AD18</f>
        <v>0.1461220891309381</v>
      </c>
    </row>
    <row r="28" spans="1:30">
      <c r="A28" s="20"/>
      <c r="B28" s="20"/>
      <c r="C28" s="60" t="s">
        <v>25</v>
      </c>
      <c r="D28" s="21"/>
      <c r="E28" s="22">
        <f>[17]Act!D228</f>
        <v>-30.776830314468711</v>
      </c>
      <c r="F28" s="23">
        <f>[17]Act!E228</f>
        <v>-29.166383353576467</v>
      </c>
      <c r="G28" s="23">
        <f>[17]Act!F228</f>
        <v>-31.112064569909226</v>
      </c>
      <c r="H28" s="23">
        <f>[17]Act!G228</f>
        <v>-27.177077497921172</v>
      </c>
      <c r="I28" s="23">
        <f>[17]Act!H228</f>
        <v>-27.678805369959889</v>
      </c>
      <c r="J28" s="23">
        <f>[17]Act!I228</f>
        <v>-30.932300672301544</v>
      </c>
      <c r="K28" s="23">
        <f>[17]Act!J228</f>
        <v>-36.286611842778093</v>
      </c>
      <c r="L28" s="23">
        <f>[17]Act!K228</f>
        <v>-30.654572788938975</v>
      </c>
      <c r="M28" s="23">
        <f>[17]Act!L228</f>
        <v>-25.473141557161362</v>
      </c>
      <c r="N28" s="23">
        <f>[17]Act!M228</f>
        <v>-30.45838521647638</v>
      </c>
      <c r="O28" s="23">
        <f>[17]Act!N228</f>
        <v>-30.048862830515542</v>
      </c>
      <c r="P28" s="23">
        <f>[17]Act!O228</f>
        <v>-30.683027441913779</v>
      </c>
      <c r="Q28" s="109">
        <f t="shared" ref="Q28:Q33" si="14">SUM(E28:P28)</f>
        <v>-360.4480634559211</v>
      </c>
      <c r="R28" s="327">
        <v>0</v>
      </c>
      <c r="S28" s="23">
        <f t="shared" ref="S28:U33" si="15">SUMIFS($E28:$P28,$E$3:$P$3,1,$E$5:$P$5,S$5)</f>
        <v>-30.776830314468711</v>
      </c>
      <c r="T28" s="23">
        <f t="shared" si="15"/>
        <v>0</v>
      </c>
      <c r="U28" s="23">
        <f t="shared" si="15"/>
        <v>0</v>
      </c>
      <c r="V28" s="23">
        <f t="shared" ref="V28:V33" si="16">SUM(S28:U28)</f>
        <v>-30.776830314468711</v>
      </c>
      <c r="X28" s="23">
        <f t="shared" ref="X28:X33" si="17">SUMIF($E$2:$P$2,1,E28:P28)</f>
        <v>-30.776830314468711</v>
      </c>
      <c r="Z28" s="23">
        <f t="shared" ref="Z28:Z33" si="18">SUM(E28:G28)</f>
        <v>-91.055278237954397</v>
      </c>
      <c r="AA28" s="23">
        <f t="shared" ref="AA28:AA33" si="19">SUM(H28:J28)</f>
        <v>-85.788183540182615</v>
      </c>
      <c r="AB28" s="23">
        <f t="shared" ref="AB28:AB33" si="20">SUM(K28:M28)</f>
        <v>-92.41432618887842</v>
      </c>
      <c r="AC28" s="23">
        <f t="shared" ref="AC28:AC33" si="21">SUM(N28:P28)</f>
        <v>-91.190275488905698</v>
      </c>
      <c r="AD28" s="23">
        <f t="shared" ref="AD28:AD33" si="22">SUM(Z28:AC28)</f>
        <v>-360.4480634559211</v>
      </c>
    </row>
    <row r="29" spans="1:30">
      <c r="A29" s="20"/>
      <c r="B29" s="20"/>
      <c r="C29" s="60" t="s">
        <v>26</v>
      </c>
      <c r="D29" s="21"/>
      <c r="E29" s="22">
        <f>[17]Act!D229</f>
        <v>-5.1304774386536698</v>
      </c>
      <c r="F29" s="23">
        <f>[17]Act!E229</f>
        <v>-3.5258352141871692</v>
      </c>
      <c r="G29" s="23">
        <f>[17]Act!F229</f>
        <v>-3.771342395473861</v>
      </c>
      <c r="H29" s="23">
        <f>[17]Act!G229</f>
        <v>-3.5711862671925991</v>
      </c>
      <c r="I29" s="23">
        <f>[17]Act!H229</f>
        <v>-2.6120718128674016</v>
      </c>
      <c r="J29" s="23">
        <f>[17]Act!I229</f>
        <v>-4.1847997665121985</v>
      </c>
      <c r="K29" s="23">
        <f>[17]Act!J229</f>
        <v>-6.712199166017399</v>
      </c>
      <c r="L29" s="23">
        <f>[17]Act!K229</f>
        <v>-6.015083272935601</v>
      </c>
      <c r="M29" s="23">
        <f>[17]Act!L229</f>
        <v>-4.4648701656152046</v>
      </c>
      <c r="N29" s="23">
        <f>[17]Act!M229</f>
        <v>-6.0336043455409962</v>
      </c>
      <c r="O29" s="23">
        <f>[17]Act!N229</f>
        <v>-6.0477556862978021</v>
      </c>
      <c r="P29" s="23">
        <f>[17]Act!O229</f>
        <v>-6.6962116185795022</v>
      </c>
      <c r="Q29" s="109">
        <f t="shared" si="14"/>
        <v>-58.765437149873406</v>
      </c>
      <c r="R29" s="327">
        <v>0</v>
      </c>
      <c r="S29" s="23">
        <f t="shared" si="15"/>
        <v>-5.1304774386536698</v>
      </c>
      <c r="T29" s="23">
        <f t="shared" si="15"/>
        <v>0</v>
      </c>
      <c r="U29" s="23">
        <f t="shared" si="15"/>
        <v>0</v>
      </c>
      <c r="V29" s="23">
        <f t="shared" si="16"/>
        <v>-5.1304774386536698</v>
      </c>
      <c r="X29" s="23">
        <f t="shared" si="17"/>
        <v>-5.1304774386536698</v>
      </c>
      <c r="Z29" s="23">
        <f t="shared" si="18"/>
        <v>-12.427655048314699</v>
      </c>
      <c r="AA29" s="23">
        <f t="shared" si="19"/>
        <v>-10.368057846572199</v>
      </c>
      <c r="AB29" s="23">
        <f t="shared" si="20"/>
        <v>-17.192152604568207</v>
      </c>
      <c r="AC29" s="23">
        <f t="shared" si="21"/>
        <v>-18.777571650418302</v>
      </c>
      <c r="AD29" s="23">
        <f t="shared" si="22"/>
        <v>-58.765437149873406</v>
      </c>
    </row>
    <row r="30" spans="1:30">
      <c r="A30" s="20"/>
      <c r="B30" s="20"/>
      <c r="C30" s="60" t="s">
        <v>204</v>
      </c>
      <c r="D30" s="21"/>
      <c r="E30" s="22">
        <f>[17]Act!D230</f>
        <v>-1.0794793314293116E-2</v>
      </c>
      <c r="F30" s="23">
        <f>[17]Act!E230</f>
        <v>-1.0854253079290999E-2</v>
      </c>
      <c r="G30" s="23">
        <f>[17]Act!F230</f>
        <v>-9.5769158100225127E-3</v>
      </c>
      <c r="H30" s="23">
        <f>[17]Act!G230</f>
        <v>-1.070132695790349E-2</v>
      </c>
      <c r="I30" s="23">
        <f>[17]Act!H230</f>
        <v>-1.1125388637097444E-2</v>
      </c>
      <c r="J30" s="23">
        <f>[17]Act!I230</f>
        <v>-1.0697025296099838E-2</v>
      </c>
      <c r="K30" s="23">
        <f>[17]Act!J230</f>
        <v>-1.0995292837904458E-2</v>
      </c>
      <c r="L30" s="23">
        <f>[17]Act!K230</f>
        <v>-1.0529984825513594E-2</v>
      </c>
      <c r="M30" s="23">
        <f>[17]Act!L230</f>
        <v>-1.0258599484588515E-2</v>
      </c>
      <c r="N30" s="23">
        <f>[17]Act!M230</f>
        <v>-1.0589537015111006E-2</v>
      </c>
      <c r="O30" s="23">
        <f>[17]Act!N230</f>
        <v>-1.0358472704396604E-2</v>
      </c>
      <c r="P30" s="23">
        <f>[17]Act!O230</f>
        <v>-9.8324999332852769E-3</v>
      </c>
      <c r="Q30" s="109">
        <f t="shared" si="14"/>
        <v>-0.12631408989550685</v>
      </c>
      <c r="R30" s="327">
        <v>0</v>
      </c>
      <c r="S30" s="23">
        <f t="shared" si="15"/>
        <v>-1.0794793314293116E-2</v>
      </c>
      <c r="T30" s="23">
        <f t="shared" si="15"/>
        <v>0</v>
      </c>
      <c r="U30" s="23">
        <f t="shared" si="15"/>
        <v>0</v>
      </c>
      <c r="V30" s="23">
        <f t="shared" si="16"/>
        <v>-1.0794793314293116E-2</v>
      </c>
      <c r="X30" s="23">
        <f t="shared" si="17"/>
        <v>-1.0794793314293116E-2</v>
      </c>
      <c r="Z30" s="23">
        <f t="shared" si="18"/>
        <v>-3.1225962203606628E-2</v>
      </c>
      <c r="AA30" s="23">
        <f t="shared" si="19"/>
        <v>-3.2523740891100772E-2</v>
      </c>
      <c r="AB30" s="23">
        <f t="shared" si="20"/>
        <v>-3.1783877148006567E-2</v>
      </c>
      <c r="AC30" s="23">
        <f t="shared" si="21"/>
        <v>-3.0780509652792887E-2</v>
      </c>
      <c r="AD30" s="23">
        <f t="shared" si="22"/>
        <v>-0.12631408989550685</v>
      </c>
    </row>
    <row r="31" spans="1:30">
      <c r="A31" s="20"/>
      <c r="B31" s="20"/>
      <c r="C31" s="60" t="s">
        <v>28</v>
      </c>
      <c r="D31" s="21"/>
      <c r="E31" s="22">
        <f>[17]Act!D232</f>
        <v>-20.539578819208952</v>
      </c>
      <c r="F31" s="23">
        <f>[17]Act!E232</f>
        <v>-7.5139371909580417</v>
      </c>
      <c r="G31" s="23">
        <f>[17]Act!F232</f>
        <v>-8.3965247029182013</v>
      </c>
      <c r="H31" s="23">
        <f>[17]Act!G232</f>
        <v>-8.2267811774108921</v>
      </c>
      <c r="I31" s="23">
        <f>[17]Act!H232</f>
        <v>-7.6293519455301171</v>
      </c>
      <c r="J31" s="23">
        <f>[17]Act!I232</f>
        <v>-8.6117486072482201</v>
      </c>
      <c r="K31" s="23">
        <f>[17]Act!J232</f>
        <v>-11.112463497350582</v>
      </c>
      <c r="L31" s="23">
        <f>[17]Act!K232</f>
        <v>-9.3801173715943005</v>
      </c>
      <c r="M31" s="23">
        <f>[17]Act!L232</f>
        <v>-11.216274798907484</v>
      </c>
      <c r="N31" s="23">
        <f>[17]Act!M232</f>
        <v>-12.167504675059304</v>
      </c>
      <c r="O31" s="23">
        <f>[17]Act!N232</f>
        <v>-11.297827359439397</v>
      </c>
      <c r="P31" s="23">
        <f>[17]Act!O232</f>
        <v>-12.793723180884525</v>
      </c>
      <c r="Q31" s="109">
        <f t="shared" si="14"/>
        <v>-128.88583332651001</v>
      </c>
      <c r="R31" s="327">
        <v>0</v>
      </c>
      <c r="S31" s="23">
        <f t="shared" si="15"/>
        <v>-20.539578819208952</v>
      </c>
      <c r="T31" s="23">
        <f t="shared" si="15"/>
        <v>0</v>
      </c>
      <c r="U31" s="23">
        <f t="shared" si="15"/>
        <v>0</v>
      </c>
      <c r="V31" s="23">
        <f t="shared" si="16"/>
        <v>-20.539578819208952</v>
      </c>
      <c r="X31" s="23">
        <f t="shared" si="17"/>
        <v>-20.539578819208952</v>
      </c>
      <c r="Z31" s="23">
        <f t="shared" si="18"/>
        <v>-36.450040713085194</v>
      </c>
      <c r="AA31" s="23">
        <f t="shared" si="19"/>
        <v>-24.46788173018923</v>
      </c>
      <c r="AB31" s="23">
        <f t="shared" si="20"/>
        <v>-31.708855667852369</v>
      </c>
      <c r="AC31" s="23">
        <f t="shared" si="21"/>
        <v>-36.259055215383228</v>
      </c>
      <c r="AD31" s="23">
        <f t="shared" si="22"/>
        <v>-128.88583332651001</v>
      </c>
    </row>
    <row r="32" spans="1:30">
      <c r="A32" s="20"/>
      <c r="B32" s="20"/>
      <c r="C32" s="60" t="s">
        <v>205</v>
      </c>
      <c r="D32" s="21"/>
      <c r="E32" s="61">
        <f>[17]Act!D233</f>
        <v>0</v>
      </c>
      <c r="F32" s="62">
        <f>[17]Act!E233</f>
        <v>0</v>
      </c>
      <c r="G32" s="62">
        <f>[17]Act!F233</f>
        <v>0</v>
      </c>
      <c r="H32" s="62">
        <f>[17]Act!G233</f>
        <v>0</v>
      </c>
      <c r="I32" s="62">
        <f>[17]Act!H233</f>
        <v>0</v>
      </c>
      <c r="J32" s="62">
        <f>[17]Act!I233</f>
        <v>0</v>
      </c>
      <c r="K32" s="62">
        <f>[17]Act!J233</f>
        <v>0</v>
      </c>
      <c r="L32" s="62">
        <f>[17]Act!K233</f>
        <v>0</v>
      </c>
      <c r="M32" s="62">
        <f>[17]Act!L233</f>
        <v>0</v>
      </c>
      <c r="N32" s="62">
        <f>[17]Act!M233</f>
        <v>0</v>
      </c>
      <c r="O32" s="62">
        <f>[17]Act!N233</f>
        <v>0</v>
      </c>
      <c r="P32" s="62">
        <f>[17]Act!O233</f>
        <v>0</v>
      </c>
      <c r="Q32" s="62">
        <f t="shared" si="14"/>
        <v>0</v>
      </c>
      <c r="R32" s="327">
        <v>0</v>
      </c>
      <c r="S32" s="62">
        <f t="shared" si="15"/>
        <v>0</v>
      </c>
      <c r="T32" s="62">
        <f t="shared" si="15"/>
        <v>0</v>
      </c>
      <c r="U32" s="62">
        <f t="shared" si="15"/>
        <v>0</v>
      </c>
      <c r="V32" s="62">
        <f t="shared" si="16"/>
        <v>0</v>
      </c>
      <c r="X32" s="62">
        <f t="shared" si="17"/>
        <v>0</v>
      </c>
      <c r="Z32" s="62">
        <f t="shared" si="18"/>
        <v>0</v>
      </c>
      <c r="AA32" s="62">
        <f t="shared" si="19"/>
        <v>0</v>
      </c>
      <c r="AB32" s="62">
        <f t="shared" si="20"/>
        <v>0</v>
      </c>
      <c r="AC32" s="62">
        <f t="shared" si="21"/>
        <v>0</v>
      </c>
      <c r="AD32" s="62">
        <f t="shared" si="22"/>
        <v>0</v>
      </c>
    </row>
    <row r="33" spans="1:30">
      <c r="A33" s="20"/>
      <c r="B33" s="30"/>
      <c r="C33" s="63" t="s">
        <v>30</v>
      </c>
      <c r="D33" s="31"/>
      <c r="E33" s="45">
        <f>[17]Act!D234</f>
        <v>-28.939301343479638</v>
      </c>
      <c r="F33" s="46">
        <f>[17]Act!E234</f>
        <v>-10.641872811789629</v>
      </c>
      <c r="G33" s="46">
        <f>[17]Act!F234</f>
        <v>-15.98765640352689</v>
      </c>
      <c r="H33" s="46">
        <f>[17]Act!G234</f>
        <v>-11.180948446664638</v>
      </c>
      <c r="I33" s="46">
        <f>[17]Act!H234</f>
        <v>-13.55580486300852</v>
      </c>
      <c r="J33" s="46">
        <f>[17]Act!I234</f>
        <v>-14.018121716362344</v>
      </c>
      <c r="K33" s="46">
        <f>[17]Act!J234</f>
        <v>-14.135413038361701</v>
      </c>
      <c r="L33" s="46">
        <f>[17]Act!K234</f>
        <v>-13.897233676678741</v>
      </c>
      <c r="M33" s="46">
        <f>[17]Act!L234</f>
        <v>-14.947232317108924</v>
      </c>
      <c r="N33" s="46">
        <f>[17]Act!M234</f>
        <v>-14.490571491947156</v>
      </c>
      <c r="O33" s="46">
        <f>[17]Act!N234</f>
        <v>-14.60104221753153</v>
      </c>
      <c r="P33" s="46">
        <f>[17]Act!O234</f>
        <v>-16.897503334238149</v>
      </c>
      <c r="Q33" s="111">
        <f t="shared" si="14"/>
        <v>-183.29270166069784</v>
      </c>
      <c r="R33" s="327">
        <v>0</v>
      </c>
      <c r="S33" s="46">
        <f t="shared" si="15"/>
        <v>-28.939301343479638</v>
      </c>
      <c r="T33" s="46">
        <f t="shared" si="15"/>
        <v>0</v>
      </c>
      <c r="U33" s="46">
        <f t="shared" si="15"/>
        <v>0</v>
      </c>
      <c r="V33" s="46">
        <f t="shared" si="16"/>
        <v>-28.939301343479638</v>
      </c>
      <c r="X33" s="46">
        <f t="shared" si="17"/>
        <v>-28.939301343479638</v>
      </c>
      <c r="Z33" s="46">
        <f t="shared" si="18"/>
        <v>-55.568830558796158</v>
      </c>
      <c r="AA33" s="46">
        <f t="shared" si="19"/>
        <v>-38.754875026035506</v>
      </c>
      <c r="AB33" s="46">
        <f t="shared" si="20"/>
        <v>-42.97987903214937</v>
      </c>
      <c r="AC33" s="46">
        <f t="shared" si="21"/>
        <v>-45.989117043716831</v>
      </c>
      <c r="AD33" s="46">
        <f t="shared" si="22"/>
        <v>-183.29270166069784</v>
      </c>
    </row>
    <row r="34" spans="1:30">
      <c r="A34" s="30"/>
      <c r="B34" s="31" t="s">
        <v>31</v>
      </c>
      <c r="C34" s="21"/>
      <c r="D34" s="21"/>
      <c r="E34" s="64">
        <f>SUM(E28:E30,E31:E33)</f>
        <v>-85.396982709125268</v>
      </c>
      <c r="F34" s="65">
        <f t="shared" ref="F34:P34" si="23">SUM(F28:F30,F31:F33)</f>
        <v>-50.858882823590605</v>
      </c>
      <c r="G34" s="66">
        <f t="shared" si="23"/>
        <v>-59.277164987638201</v>
      </c>
      <c r="H34" s="66">
        <f t="shared" si="23"/>
        <v>-50.166694716147198</v>
      </c>
      <c r="I34" s="66">
        <f t="shared" si="23"/>
        <v>-51.487159380003021</v>
      </c>
      <c r="J34" s="66">
        <f t="shared" si="23"/>
        <v>-57.757667787720408</v>
      </c>
      <c r="K34" s="66">
        <f t="shared" si="23"/>
        <v>-68.257682837345683</v>
      </c>
      <c r="L34" s="66">
        <f t="shared" si="23"/>
        <v>-59.957537094973134</v>
      </c>
      <c r="M34" s="66">
        <f t="shared" si="23"/>
        <v>-56.111777438277556</v>
      </c>
      <c r="N34" s="66">
        <f t="shared" si="23"/>
        <v>-63.160655266038951</v>
      </c>
      <c r="O34" s="66">
        <f t="shared" si="23"/>
        <v>-62.005846566488664</v>
      </c>
      <c r="P34" s="66">
        <f t="shared" si="23"/>
        <v>-67.080298075549251</v>
      </c>
      <c r="Q34" s="114">
        <f t="shared" si="10"/>
        <v>-731.51834968289791</v>
      </c>
      <c r="R34" s="327">
        <v>0</v>
      </c>
      <c r="S34" s="66">
        <f>SUM(S28:S30,S31:S33)</f>
        <v>-85.396982709125268</v>
      </c>
      <c r="T34" s="66">
        <f>SUM(T28:T30,T31:T33)</f>
        <v>0</v>
      </c>
      <c r="U34" s="66">
        <f>SUM(U28:U30,U31:U33)</f>
        <v>0</v>
      </c>
      <c r="V34" s="66">
        <f>SUM(V28:V30,V31:V33)</f>
        <v>-85.396982709125268</v>
      </c>
      <c r="X34" s="66">
        <f>SUM(X28:X30,X31:X33)</f>
        <v>-85.396982709125268</v>
      </c>
      <c r="Z34" s="66">
        <f>SUM(Z28:Z30,Z31:Z33)</f>
        <v>-195.53303052035406</v>
      </c>
      <c r="AA34" s="66">
        <f>SUM(AA28:AA30,AA31:AA33)</f>
        <v>-159.41152188387065</v>
      </c>
      <c r="AB34" s="66">
        <f>SUM(AB28:AB30,AB31:AB33)</f>
        <v>-184.32699737059636</v>
      </c>
      <c r="AC34" s="66">
        <f>SUM(AC28:AC30,AC31:AC33)</f>
        <v>-192.24679990807687</v>
      </c>
      <c r="AD34" s="66">
        <f>SUM(AD28:AD30,AD31:AD33)</f>
        <v>-731.51834968289779</v>
      </c>
    </row>
    <row r="35" spans="1:30">
      <c r="A35" s="20"/>
      <c r="B35" s="20"/>
      <c r="C35" s="67" t="s">
        <v>203</v>
      </c>
      <c r="D35" s="17"/>
      <c r="E35" s="18">
        <f>[17]Act!D236</f>
        <v>-24.460347858954336</v>
      </c>
      <c r="F35" s="19">
        <f>[17]Act!E236</f>
        <v>-29.194733988213439</v>
      </c>
      <c r="G35" s="19">
        <f>[17]Act!F236</f>
        <v>-32.065791922077544</v>
      </c>
      <c r="H35" s="19">
        <f>[17]Act!G236</f>
        <v>-23.325187102791414</v>
      </c>
      <c r="I35" s="19">
        <f>[17]Act!H236</f>
        <v>-17.309387199420868</v>
      </c>
      <c r="J35" s="19">
        <f>[17]Act!I236</f>
        <v>-42.576449114540424</v>
      </c>
      <c r="K35" s="19">
        <f>[17]Act!J236</f>
        <v>-34.280535430376496</v>
      </c>
      <c r="L35" s="19">
        <f>[17]Act!K236</f>
        <v>-29.903179313188005</v>
      </c>
      <c r="M35" s="19">
        <f>[17]Act!L236</f>
        <v>-25.136187066895495</v>
      </c>
      <c r="N35" s="19">
        <f>[17]Act!M236</f>
        <v>-31.223107475573446</v>
      </c>
      <c r="O35" s="19">
        <f>[17]Act!N236</f>
        <v>-25.706738071110678</v>
      </c>
      <c r="P35" s="19">
        <f>[17]Act!O236</f>
        <v>-29.165064897555737</v>
      </c>
      <c r="Q35" s="108">
        <f t="shared" si="10"/>
        <v>-344.34670944069791</v>
      </c>
      <c r="R35" s="327">
        <v>-1.9099079999591595E-3</v>
      </c>
      <c r="S35" s="19">
        <f>SUMIFS($E35:$P35,$E$3:$P$3,1,$E$5:$P$5,S$5)</f>
        <v>-24.460347858954336</v>
      </c>
      <c r="T35" s="19">
        <f>SUMIFS($E35:$P35,$E$3:$P$3,1,$E$5:$P$5,T$5)</f>
        <v>0</v>
      </c>
      <c r="U35" s="19">
        <f>SUMIFS($E35:$P35,$E$3:$P$3,1,$E$5:$P$5,U$5)</f>
        <v>0</v>
      </c>
      <c r="V35" s="19">
        <f>SUM(S35:U35)</f>
        <v>-24.460347858954336</v>
      </c>
      <c r="X35" s="19">
        <f>SUMIF($E$2:$P$2,1,E35:P35)</f>
        <v>-24.460347858954336</v>
      </c>
      <c r="Z35" s="19">
        <f>SUM(E35:G35)</f>
        <v>-85.720873769245316</v>
      </c>
      <c r="AA35" s="19">
        <f>SUM(H35:J35)</f>
        <v>-83.21102341675271</v>
      </c>
      <c r="AB35" s="19">
        <f>SUM(K35:M35)</f>
        <v>-89.31990181046001</v>
      </c>
      <c r="AC35" s="19">
        <f>SUM(N35:P35)</f>
        <v>-86.094910444239858</v>
      </c>
      <c r="AD35" s="19">
        <f>SUM(Z35:AC35)</f>
        <v>-344.34670944069791</v>
      </c>
    </row>
    <row r="36" spans="1:30">
      <c r="A36" s="20"/>
      <c r="B36" s="20"/>
      <c r="C36" s="462" t="s">
        <v>300</v>
      </c>
      <c r="D36" s="21"/>
      <c r="E36" s="22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109">
        <f t="shared" si="10"/>
        <v>0</v>
      </c>
      <c r="R36" s="327">
        <v>0</v>
      </c>
      <c r="S36" s="23">
        <f t="shared" ref="S36:U37" si="24">SUMIFS($E36:$P36,$E$3:$P$3,1,$E$5:$P$5,S$5)</f>
        <v>0</v>
      </c>
      <c r="T36" s="23">
        <f t="shared" si="24"/>
        <v>0</v>
      </c>
      <c r="U36" s="23">
        <f t="shared" si="24"/>
        <v>0</v>
      </c>
      <c r="V36" s="23">
        <f>SUM(S36:U36)</f>
        <v>0</v>
      </c>
      <c r="X36" s="23">
        <f>SUMIF($E$2:$P$2,1,E36:P36)</f>
        <v>0</v>
      </c>
      <c r="Z36" s="23">
        <f>SUM(E36:G36)</f>
        <v>0</v>
      </c>
      <c r="AA36" s="23">
        <f>SUM(H36:J36)</f>
        <v>0</v>
      </c>
      <c r="AB36" s="23">
        <f>SUM(K36:M36)</f>
        <v>0</v>
      </c>
      <c r="AC36" s="23">
        <f>SUM(N36:P36)</f>
        <v>0</v>
      </c>
      <c r="AD36" s="23">
        <f>SUM(Z36:AC36)</f>
        <v>0</v>
      </c>
    </row>
    <row r="37" spans="1:30">
      <c r="A37" s="20"/>
      <c r="B37" s="30"/>
      <c r="C37" s="463" t="s">
        <v>466</v>
      </c>
      <c r="D37" s="31"/>
      <c r="E37" s="45">
        <f>SUM(E58:E59)</f>
        <v>-5.1334380068634538</v>
      </c>
      <c r="F37" s="46">
        <f t="shared" ref="F37:P37" si="25">SUM(F58:F59)</f>
        <v>-4.3994531526043481</v>
      </c>
      <c r="G37" s="46">
        <f t="shared" si="25"/>
        <v>-6.9884496137401584</v>
      </c>
      <c r="H37" s="46">
        <f t="shared" si="25"/>
        <v>-4.9698757350263918</v>
      </c>
      <c r="I37" s="46">
        <f t="shared" si="25"/>
        <v>-4.3943168873968368</v>
      </c>
      <c r="J37" s="46">
        <f t="shared" si="25"/>
        <v>-6.5127434782776774</v>
      </c>
      <c r="K37" s="46">
        <f t="shared" si="25"/>
        <v>-5.5114106884413943</v>
      </c>
      <c r="L37" s="46">
        <f t="shared" si="25"/>
        <v>-6.5280612706299834</v>
      </c>
      <c r="M37" s="46">
        <f t="shared" si="25"/>
        <v>-6.1965759169225194</v>
      </c>
      <c r="N37" s="46">
        <f t="shared" si="25"/>
        <v>-5.3408660312446408</v>
      </c>
      <c r="O37" s="46">
        <f t="shared" si="25"/>
        <v>-4.848834955707364</v>
      </c>
      <c r="P37" s="46">
        <f t="shared" si="25"/>
        <v>-8.1687354912623746</v>
      </c>
      <c r="Q37" s="111">
        <f t="shared" si="10"/>
        <v>-68.992761228117132</v>
      </c>
      <c r="R37" s="327">
        <v>1.9099080000160029E-3</v>
      </c>
      <c r="S37" s="46">
        <f t="shared" si="24"/>
        <v>-5.1334380068634538</v>
      </c>
      <c r="T37" s="46">
        <f t="shared" si="24"/>
        <v>0</v>
      </c>
      <c r="U37" s="46">
        <f t="shared" si="24"/>
        <v>0</v>
      </c>
      <c r="V37" s="46">
        <f>SUM(S37:U37)</f>
        <v>-5.1334380068634538</v>
      </c>
      <c r="X37" s="46">
        <f>SUMIF($E$2:$P$2,1,E37:P37)</f>
        <v>-5.1334380068634538</v>
      </c>
      <c r="Z37" s="46">
        <f>SUM(E37:G37)</f>
        <v>-16.52134077320796</v>
      </c>
      <c r="AA37" s="46">
        <f>SUM(H37:J37)</f>
        <v>-15.876936100700906</v>
      </c>
      <c r="AB37" s="46">
        <f>SUM(K37:M37)</f>
        <v>-18.236047875993897</v>
      </c>
      <c r="AC37" s="46">
        <f>SUM(N37:P37)</f>
        <v>-18.358436478214379</v>
      </c>
      <c r="AD37" s="46">
        <f>SUM(Z37:AC37)</f>
        <v>-68.992761228117146</v>
      </c>
    </row>
    <row r="38" spans="1:30">
      <c r="A38" s="30"/>
      <c r="B38" s="31" t="s">
        <v>34</v>
      </c>
      <c r="C38" s="21"/>
      <c r="D38" s="21"/>
      <c r="E38" s="68">
        <f t="shared" ref="E38:P38" si="26">SUM(E35:E37)</f>
        <v>-29.593785865817789</v>
      </c>
      <c r="F38" s="69">
        <f t="shared" si="26"/>
        <v>-33.594187140817787</v>
      </c>
      <c r="G38" s="70">
        <f t="shared" si="26"/>
        <v>-39.054241535817702</v>
      </c>
      <c r="H38" s="70">
        <f t="shared" si="26"/>
        <v>-28.295062837817806</v>
      </c>
      <c r="I38" s="70">
        <f t="shared" si="26"/>
        <v>-21.703704086817705</v>
      </c>
      <c r="J38" s="70">
        <f t="shared" si="26"/>
        <v>-49.089192592818101</v>
      </c>
      <c r="K38" s="70">
        <f t="shared" si="26"/>
        <v>-39.79194611881789</v>
      </c>
      <c r="L38" s="70">
        <f t="shared" si="26"/>
        <v>-36.431240583817988</v>
      </c>
      <c r="M38" s="70">
        <f t="shared" si="26"/>
        <v>-31.332762983818014</v>
      </c>
      <c r="N38" s="70">
        <f t="shared" si="26"/>
        <v>-36.563973506818087</v>
      </c>
      <c r="O38" s="70">
        <f t="shared" si="26"/>
        <v>-30.555573026818042</v>
      </c>
      <c r="P38" s="70">
        <f t="shared" si="26"/>
        <v>-37.333800388818112</v>
      </c>
      <c r="Q38" s="114">
        <f t="shared" si="10"/>
        <v>-413.33947066881507</v>
      </c>
      <c r="R38" s="327">
        <v>0</v>
      </c>
      <c r="S38" s="70">
        <f>SUM(S35:S37)</f>
        <v>-29.593785865817789</v>
      </c>
      <c r="T38" s="70">
        <f>SUM(T35:T37)</f>
        <v>0</v>
      </c>
      <c r="U38" s="70">
        <f>SUM(U35:U37)</f>
        <v>0</v>
      </c>
      <c r="V38" s="70">
        <f>SUM(V35:V37)</f>
        <v>-29.593785865817789</v>
      </c>
      <c r="X38" s="70">
        <f>SUM(X35:X37)</f>
        <v>-29.593785865817789</v>
      </c>
      <c r="Z38" s="70">
        <f>SUM(Z35:Z37)</f>
        <v>-102.24221454245327</v>
      </c>
      <c r="AA38" s="70">
        <f>SUM(AA35:AA37)</f>
        <v>-99.087959517453612</v>
      </c>
      <c r="AB38" s="70">
        <f>SUM(AB35:AB37)</f>
        <v>-107.55594968645391</v>
      </c>
      <c r="AC38" s="70">
        <f>SUM(AC35:AC37)</f>
        <v>-104.45334692245424</v>
      </c>
      <c r="AD38" s="70">
        <f>SUM(AD35:AD37)</f>
        <v>-413.33947066881507</v>
      </c>
    </row>
    <row r="39" spans="1:30">
      <c r="A39" s="71"/>
      <c r="B39" s="72"/>
      <c r="C39" s="73" t="s">
        <v>35</v>
      </c>
      <c r="D39" s="17"/>
      <c r="E39" s="61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115">
        <f t="shared" si="10"/>
        <v>0</v>
      </c>
      <c r="R39" s="327">
        <v>0</v>
      </c>
      <c r="S39" s="62"/>
      <c r="T39" s="62"/>
      <c r="U39" s="62"/>
      <c r="V39" s="62"/>
      <c r="X39" s="62"/>
      <c r="Z39" s="62"/>
      <c r="AA39" s="62"/>
      <c r="AB39" s="62"/>
      <c r="AC39" s="62"/>
      <c r="AD39" s="62"/>
    </row>
    <row r="40" spans="1:30">
      <c r="A40" s="74"/>
      <c r="B40" s="71"/>
      <c r="C40" s="75" t="s">
        <v>36</v>
      </c>
      <c r="D40" s="21"/>
      <c r="E40" s="22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109">
        <f t="shared" si="10"/>
        <v>0</v>
      </c>
      <c r="R40" s="327">
        <v>0</v>
      </c>
      <c r="S40" s="23"/>
      <c r="T40" s="23"/>
      <c r="U40" s="23"/>
      <c r="V40" s="23"/>
      <c r="X40" s="23"/>
      <c r="Z40" s="23"/>
      <c r="AA40" s="23"/>
      <c r="AB40" s="23"/>
      <c r="AC40" s="23"/>
      <c r="AD40" s="23"/>
    </row>
    <row r="41" spans="1:30">
      <c r="A41" s="74"/>
      <c r="B41" s="71"/>
      <c r="C41" s="60" t="s">
        <v>37</v>
      </c>
      <c r="D41" s="21"/>
      <c r="E41" s="22">
        <f>[17]Act!D240</f>
        <v>-33.444605725999999</v>
      </c>
      <c r="F41" s="23">
        <f>[17]Act!E240</f>
        <v>-31.706652923000004</v>
      </c>
      <c r="G41" s="23">
        <f>[17]Act!F240</f>
        <v>-37.482926645000006</v>
      </c>
      <c r="H41" s="23">
        <f>[17]Act!G240</f>
        <v>-32.839480346999999</v>
      </c>
      <c r="I41" s="23">
        <f>[17]Act!H240</f>
        <v>-30.149758719000005</v>
      </c>
      <c r="J41" s="23">
        <f>[17]Act!I240</f>
        <v>-33.532954402999998</v>
      </c>
      <c r="K41" s="23">
        <f>[17]Act!J240</f>
        <v>-34.357201031999992</v>
      </c>
      <c r="L41" s="23">
        <f>[17]Act!K240</f>
        <v>-33.495615153999999</v>
      </c>
      <c r="M41" s="23">
        <f>[17]Act!L240</f>
        <v>-34.284595887000002</v>
      </c>
      <c r="N41" s="23">
        <f>[17]Act!M240</f>
        <v>-33.334538484000007</v>
      </c>
      <c r="O41" s="23">
        <f>[17]Act!N240</f>
        <v>-32.189423051000006</v>
      </c>
      <c r="P41" s="23">
        <f>[17]Act!O240</f>
        <v>-32.600752865000004</v>
      </c>
      <c r="Q41" s="109">
        <f t="shared" si="10"/>
        <v>-399.41850523600004</v>
      </c>
      <c r="R41" s="327">
        <v>0</v>
      </c>
      <c r="S41" s="23">
        <f>SUMIFS($E41:$P41,$E$3:$P$3,1,$E$5:$P$5,S$5)</f>
        <v>-33.444605725999999</v>
      </c>
      <c r="T41" s="23">
        <f>SUMIFS($E41:$P41,$E$3:$P$3,1,$E$5:$P$5,T$5)</f>
        <v>0</v>
      </c>
      <c r="U41" s="23">
        <f>SUMIFS($E41:$P41,$E$3:$P$3,1,$E$5:$P$5,U$5)</f>
        <v>0</v>
      </c>
      <c r="V41" s="23">
        <f>SUM(S41:U41)</f>
        <v>-33.444605725999999</v>
      </c>
      <c r="X41" s="23">
        <f>SUMIF($E$2:$P$2,1,E41:P41)</f>
        <v>-33.444605725999999</v>
      </c>
      <c r="Z41" s="23">
        <f>SUM(E41:G41)</f>
        <v>-102.63418529400001</v>
      </c>
      <c r="AA41" s="23">
        <f>SUM(H41:J41)</f>
        <v>-96.522193469000001</v>
      </c>
      <c r="AB41" s="23">
        <f>SUM(K41:M41)</f>
        <v>-102.13741207299998</v>
      </c>
      <c r="AC41" s="23">
        <f>SUM(N41:P41)</f>
        <v>-98.124714400000016</v>
      </c>
      <c r="AD41" s="23">
        <f>SUM(Z41:AC41)</f>
        <v>-399.41850523599999</v>
      </c>
    </row>
    <row r="42" spans="1:30">
      <c r="A42" s="74"/>
      <c r="B42" s="71"/>
      <c r="C42" s="76" t="s">
        <v>38</v>
      </c>
      <c r="D42" s="21"/>
      <c r="E42" s="22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109">
        <f t="shared" si="10"/>
        <v>0</v>
      </c>
      <c r="R42" s="327">
        <v>0</v>
      </c>
      <c r="S42" s="23"/>
      <c r="T42" s="23"/>
      <c r="U42" s="23"/>
      <c r="V42" s="23"/>
      <c r="X42" s="23"/>
      <c r="Z42" s="23"/>
      <c r="AA42" s="23"/>
      <c r="AB42" s="23"/>
      <c r="AC42" s="23"/>
      <c r="AD42" s="23"/>
    </row>
    <row r="43" spans="1:30">
      <c r="A43" s="74"/>
      <c r="B43" s="71"/>
      <c r="C43" s="60" t="s">
        <v>39</v>
      </c>
      <c r="D43" s="21"/>
      <c r="E43" s="22">
        <f>[17]Act!D241</f>
        <v>2.967261417728039</v>
      </c>
      <c r="F43" s="23">
        <f>[17]Act!E241</f>
        <v>2.9672614178958869</v>
      </c>
      <c r="G43" s="23">
        <f>[17]Act!F241</f>
        <v>2.9672614146331919</v>
      </c>
      <c r="H43" s="23">
        <f>[17]Act!G241</f>
        <v>2.9672614187518458</v>
      </c>
      <c r="I43" s="23">
        <f>[17]Act!H241</f>
        <v>2.9672614186583668</v>
      </c>
      <c r="J43" s="23">
        <f>[17]Act!I241</f>
        <v>2.9672614187050566</v>
      </c>
      <c r="K43" s="23">
        <f>[17]Act!J241</f>
        <v>2.9672614175454011</v>
      </c>
      <c r="L43" s="23">
        <f>[17]Act!K241</f>
        <v>2.9672614222793068</v>
      </c>
      <c r="M43" s="23">
        <f>[17]Act!L241</f>
        <v>2.9672614177919097</v>
      </c>
      <c r="N43" s="23">
        <f>[17]Act!M241</f>
        <v>2.9672614199656233</v>
      </c>
      <c r="O43" s="23">
        <f>[17]Act!N241</f>
        <v>2.9672614196324782</v>
      </c>
      <c r="P43" s="23">
        <f>[17]Act!O241</f>
        <v>2.9209587336572578</v>
      </c>
      <c r="Q43" s="109">
        <f t="shared" si="10"/>
        <v>35.560834337244366</v>
      </c>
      <c r="R43" s="327">
        <v>0</v>
      </c>
      <c r="S43" s="23">
        <f>SUMIFS($E43:$P43,$E$3:$P$3,1,$E$5:$P$5,S$5)</f>
        <v>2.967261417728039</v>
      </c>
      <c r="T43" s="23">
        <f>SUMIFS($E43:$P43,$E$3:$P$3,1,$E$5:$P$5,T$5)</f>
        <v>0</v>
      </c>
      <c r="U43" s="23">
        <f>SUMIFS($E43:$P43,$E$3:$P$3,1,$E$5:$P$5,U$5)</f>
        <v>0</v>
      </c>
      <c r="V43" s="23">
        <f>SUM(S43:U43)</f>
        <v>2.967261417728039</v>
      </c>
      <c r="X43" s="23">
        <f>SUMIF($E$2:$P$2,1,E43:P43)</f>
        <v>2.967261417728039</v>
      </c>
      <c r="Z43" s="23">
        <f>SUM(E43:G43)</f>
        <v>8.9017842502571174</v>
      </c>
      <c r="AA43" s="23">
        <f>SUM(H43:J43)</f>
        <v>8.9017842561152687</v>
      </c>
      <c r="AB43" s="23">
        <f>SUM(K43:M43)</f>
        <v>8.9017842576166171</v>
      </c>
      <c r="AC43" s="23">
        <f>SUM(N43:P43)</f>
        <v>8.8554815732553589</v>
      </c>
      <c r="AD43" s="23">
        <f>SUM(Z43:AC43)</f>
        <v>35.560834337244366</v>
      </c>
    </row>
    <row r="44" spans="1:30">
      <c r="A44" s="77"/>
      <c r="B44" s="17" t="s">
        <v>40</v>
      </c>
      <c r="C44" s="17"/>
      <c r="D44" s="17"/>
      <c r="E44" s="38">
        <f>SUM(E39:E43)</f>
        <v>-30.47734430827196</v>
      </c>
      <c r="F44" s="39">
        <f t="shared" ref="F44:P44" si="27">SUM(F39:F43)</f>
        <v>-28.739391505104116</v>
      </c>
      <c r="G44" s="40">
        <f t="shared" si="27"/>
        <v>-34.515665230366814</v>
      </c>
      <c r="H44" s="40">
        <f t="shared" si="27"/>
        <v>-29.872218928248152</v>
      </c>
      <c r="I44" s="40">
        <f t="shared" si="27"/>
        <v>-27.182497300341637</v>
      </c>
      <c r="J44" s="40">
        <f t="shared" si="27"/>
        <v>-30.565692984294941</v>
      </c>
      <c r="K44" s="40">
        <f t="shared" si="27"/>
        <v>-31.38993961445459</v>
      </c>
      <c r="L44" s="40">
        <f t="shared" si="27"/>
        <v>-30.528353731720692</v>
      </c>
      <c r="M44" s="40">
        <f t="shared" si="27"/>
        <v>-31.317334469208092</v>
      </c>
      <c r="N44" s="40">
        <f t="shared" si="27"/>
        <v>-30.367277064034383</v>
      </c>
      <c r="O44" s="40">
        <f t="shared" si="27"/>
        <v>-29.222161631367527</v>
      </c>
      <c r="P44" s="40">
        <f t="shared" si="27"/>
        <v>-29.679794131342746</v>
      </c>
      <c r="Q44" s="110">
        <f t="shared" si="10"/>
        <v>-363.85767089875571</v>
      </c>
      <c r="R44" s="327">
        <v>0</v>
      </c>
      <c r="S44" s="40">
        <f>SUM(S39:S43)</f>
        <v>-30.47734430827196</v>
      </c>
      <c r="T44" s="40">
        <f>SUM(T39:T43)</f>
        <v>0</v>
      </c>
      <c r="U44" s="40">
        <f>SUM(U39:U43)</f>
        <v>0</v>
      </c>
      <c r="V44" s="40">
        <f>SUM(V39:V43)</f>
        <v>-30.47734430827196</v>
      </c>
      <c r="X44" s="40">
        <f>SUM(X39:X43)</f>
        <v>-30.47734430827196</v>
      </c>
      <c r="Z44" s="40">
        <f>SUM(Z39:Z43)</f>
        <v>-93.732401043742883</v>
      </c>
      <c r="AA44" s="40">
        <f>SUM(AA39:AA43)</f>
        <v>-87.620409212884738</v>
      </c>
      <c r="AB44" s="40">
        <f>SUM(AB39:AB43)</f>
        <v>-93.235627815383367</v>
      </c>
      <c r="AC44" s="40">
        <f>SUM(AC39:AC43)</f>
        <v>-89.269232826744656</v>
      </c>
      <c r="AD44" s="40">
        <f>SUM(AD39:AD43)</f>
        <v>-363.8576708987556</v>
      </c>
    </row>
    <row r="45" spans="1:30">
      <c r="A45" s="78" t="s">
        <v>41</v>
      </c>
      <c r="B45" s="73"/>
      <c r="C45" s="73"/>
      <c r="D45" s="73"/>
      <c r="E45" s="51">
        <f>SUM(E44,E38,E34)</f>
        <v>-145.46811288321501</v>
      </c>
      <c r="F45" s="52">
        <f t="shared" ref="F45:P45" si="28">SUM(F44,F38,F34)</f>
        <v>-113.19246146951251</v>
      </c>
      <c r="G45" s="53">
        <f t="shared" si="28"/>
        <v>-132.84707175382272</v>
      </c>
      <c r="H45" s="53">
        <f t="shared" si="28"/>
        <v>-108.33397648221316</v>
      </c>
      <c r="I45" s="53">
        <f t="shared" si="28"/>
        <v>-100.37336076716237</v>
      </c>
      <c r="J45" s="53">
        <f t="shared" si="28"/>
        <v>-137.41255336483346</v>
      </c>
      <c r="K45" s="53">
        <f t="shared" si="28"/>
        <v>-139.43956857061818</v>
      </c>
      <c r="L45" s="53">
        <f t="shared" si="28"/>
        <v>-126.91713141051181</v>
      </c>
      <c r="M45" s="53">
        <f t="shared" si="28"/>
        <v>-118.76187489130366</v>
      </c>
      <c r="N45" s="53">
        <f t="shared" si="28"/>
        <v>-130.09190583689141</v>
      </c>
      <c r="O45" s="53">
        <f t="shared" si="28"/>
        <v>-121.78358122467424</v>
      </c>
      <c r="P45" s="53">
        <f t="shared" si="28"/>
        <v>-134.09389259571012</v>
      </c>
      <c r="Q45" s="112">
        <f t="shared" si="10"/>
        <v>-1508.7154912504684</v>
      </c>
      <c r="R45" s="327">
        <v>0</v>
      </c>
      <c r="S45" s="53">
        <f>SUM(S44,S38,S34)</f>
        <v>-145.46811288321501</v>
      </c>
      <c r="T45" s="53">
        <f>SUM(T44,T38,T34)</f>
        <v>0</v>
      </c>
      <c r="U45" s="53">
        <f>SUM(U44,U38,U34)</f>
        <v>0</v>
      </c>
      <c r="V45" s="53">
        <f>SUM(V44,V38,V34)</f>
        <v>-145.46811288321501</v>
      </c>
      <c r="X45" s="53">
        <f>SUM(X44,X38,X34)</f>
        <v>-145.46811288321501</v>
      </c>
      <c r="Z45" s="53">
        <f>SUM(Z44,Z38,Z34)</f>
        <v>-391.50764610655017</v>
      </c>
      <c r="AA45" s="53">
        <f>SUM(AA44,AA38,AA34)</f>
        <v>-346.119890614209</v>
      </c>
      <c r="AB45" s="53">
        <f>SUM(AB44,AB38,AB34)</f>
        <v>-385.11857487243367</v>
      </c>
      <c r="AC45" s="53">
        <f>SUM(AC44,AC38,AC34)</f>
        <v>-385.96937965727579</v>
      </c>
      <c r="AD45" s="53">
        <f>SUM(AD44,AD38,AD34)</f>
        <v>-1508.7154912504684</v>
      </c>
    </row>
    <row r="46" spans="1:30">
      <c r="A46" s="50" t="s">
        <v>42</v>
      </c>
      <c r="B46" s="50"/>
      <c r="C46" s="37"/>
      <c r="D46" s="37"/>
      <c r="E46" s="51">
        <f>E26+E45</f>
        <v>-57.95148550801386</v>
      </c>
      <c r="F46" s="52">
        <f t="shared" ref="F46:P46" si="29">F26+F45</f>
        <v>23.614316609421408</v>
      </c>
      <c r="G46" s="53">
        <f t="shared" si="29"/>
        <v>-19.314310276496769</v>
      </c>
      <c r="H46" s="53">
        <f t="shared" si="29"/>
        <v>40.837117733630663</v>
      </c>
      <c r="I46" s="53">
        <f t="shared" si="29"/>
        <v>5.7365242570385675</v>
      </c>
      <c r="J46" s="53">
        <f t="shared" si="29"/>
        <v>14.634400380339798</v>
      </c>
      <c r="K46" s="53">
        <f t="shared" si="29"/>
        <v>40.503728108009511</v>
      </c>
      <c r="L46" s="53">
        <f t="shared" si="29"/>
        <v>53.954646202735631</v>
      </c>
      <c r="M46" s="53">
        <f t="shared" si="29"/>
        <v>68.047877502904655</v>
      </c>
      <c r="N46" s="53">
        <f t="shared" si="29"/>
        <v>49.539712912367605</v>
      </c>
      <c r="O46" s="53">
        <f t="shared" si="29"/>
        <v>58.543862752947547</v>
      </c>
      <c r="P46" s="53">
        <f t="shared" si="29"/>
        <v>113.12425387110525</v>
      </c>
      <c r="Q46" s="112">
        <f t="shared" si="10"/>
        <v>391.27064454598997</v>
      </c>
      <c r="R46" s="327">
        <v>-53.121701543577956</v>
      </c>
      <c r="S46" s="53">
        <f t="shared" ref="S46:X46" si="30">S26+S45</f>
        <v>-57.95148550801386</v>
      </c>
      <c r="T46" s="53">
        <f t="shared" si="30"/>
        <v>0</v>
      </c>
      <c r="U46" s="53">
        <f t="shared" si="30"/>
        <v>0</v>
      </c>
      <c r="V46" s="53">
        <f t="shared" si="30"/>
        <v>-57.95148550801386</v>
      </c>
      <c r="X46" s="53">
        <f t="shared" si="30"/>
        <v>-57.95148550801386</v>
      </c>
      <c r="Z46" s="53">
        <f>Z26+Z45</f>
        <v>-53.651479175089776</v>
      </c>
      <c r="AA46" s="53">
        <f>AA26+AA45</f>
        <v>61.208042371009014</v>
      </c>
      <c r="AB46" s="53">
        <f>AB26+AB45</f>
        <v>162.50625181364933</v>
      </c>
      <c r="AC46" s="53">
        <f>AC26+AC45</f>
        <v>221.2078295364206</v>
      </c>
      <c r="AD46" s="53">
        <f>AD26+AD45</f>
        <v>391.27064454598985</v>
      </c>
    </row>
    <row r="47" spans="1:30">
      <c r="A47" s="54"/>
      <c r="B47" s="55" t="s">
        <v>43</v>
      </c>
      <c r="C47" s="56"/>
      <c r="D47" s="56"/>
      <c r="E47" s="57">
        <f>E46/E22</f>
        <v>-0.10152813672980156</v>
      </c>
      <c r="F47" s="58">
        <f t="shared" ref="F47:P47" si="31">F46/F22</f>
        <v>3.9563878451146089E-2</v>
      </c>
      <c r="G47" s="59">
        <f t="shared" si="31"/>
        <v>-2.1721924847589114E-2</v>
      </c>
      <c r="H47" s="59">
        <f t="shared" si="31"/>
        <v>5.0870856222966679E-2</v>
      </c>
      <c r="I47" s="59">
        <f t="shared" si="31"/>
        <v>8.0621216164245054E-3</v>
      </c>
      <c r="J47" s="59">
        <f t="shared" si="31"/>
        <v>1.4660359401787362E-2</v>
      </c>
      <c r="K47" s="59">
        <f t="shared" si="31"/>
        <v>4.5791131501789067E-2</v>
      </c>
      <c r="L47" s="59">
        <f t="shared" si="31"/>
        <v>5.8724070201327951E-2</v>
      </c>
      <c r="M47" s="59">
        <f t="shared" si="31"/>
        <v>5.4295531231122338E-2</v>
      </c>
      <c r="N47" s="59">
        <f t="shared" si="31"/>
        <v>4.9293723683606676E-2</v>
      </c>
      <c r="O47" s="59">
        <f t="shared" si="31"/>
        <v>5.5208415925271433E-2</v>
      </c>
      <c r="P47" s="59">
        <f t="shared" si="31"/>
        <v>7.4407443739418502E-2</v>
      </c>
      <c r="Q47" s="116">
        <f t="shared" si="10"/>
        <v>0.32762747039746992</v>
      </c>
      <c r="R47" s="327">
        <v>-4.5105435352206125E-2</v>
      </c>
      <c r="S47" s="59">
        <f t="shared" ref="S47:X47" si="32">S46/S22</f>
        <v>-0.10152813672980156</v>
      </c>
      <c r="T47" s="59" t="e">
        <f t="shared" si="32"/>
        <v>#DIV/0!</v>
      </c>
      <c r="U47" s="59" t="e">
        <f t="shared" si="32"/>
        <v>#DIV/0!</v>
      </c>
      <c r="V47" s="59">
        <f t="shared" si="32"/>
        <v>-0.10152813672980156</v>
      </c>
      <c r="X47" s="59">
        <f t="shared" si="32"/>
        <v>-0.10152813672980156</v>
      </c>
      <c r="Z47" s="59">
        <f>Z46/Z22</f>
        <v>-2.6084674797252877E-2</v>
      </c>
      <c r="AA47" s="59">
        <f>AA46/AA22</f>
        <v>2.4361117495718537E-2</v>
      </c>
      <c r="AB47" s="59">
        <f>AB46/AB22</f>
        <v>5.316566493499341E-2</v>
      </c>
      <c r="AC47" s="59">
        <f>AC46/AC22</f>
        <v>6.1690966981701144E-2</v>
      </c>
      <c r="AD47" s="59">
        <f>AD46/AD22</f>
        <v>3.4898445609546212E-2</v>
      </c>
    </row>
    <row r="48" spans="1:30">
      <c r="A48" s="2"/>
      <c r="B48" s="2"/>
      <c r="C48" s="2"/>
      <c r="D48" s="2"/>
      <c r="E48" s="15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117"/>
      <c r="R48" s="327">
        <v>0</v>
      </c>
      <c r="S48" s="2"/>
      <c r="T48" s="2"/>
      <c r="U48" s="2"/>
      <c r="V48" s="2"/>
      <c r="X48" s="2"/>
      <c r="Z48" s="2"/>
      <c r="AA48" s="2"/>
      <c r="AB48" s="2"/>
      <c r="AC48" s="2"/>
      <c r="AD48" s="2"/>
    </row>
    <row r="49" spans="1:30" hidden="1" outlineLevel="1">
      <c r="A49" s="79"/>
      <c r="B49" s="80" t="s">
        <v>44</v>
      </c>
      <c r="C49" s="81"/>
      <c r="D49" s="81"/>
      <c r="E49" s="82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118">
        <f>SUM(E49:P49)</f>
        <v>0</v>
      </c>
      <c r="R49" s="327">
        <v>0</v>
      </c>
      <c r="S49" s="83"/>
      <c r="T49" s="83"/>
      <c r="U49" s="83"/>
      <c r="V49" s="83"/>
      <c r="X49" s="83"/>
      <c r="Z49" s="83"/>
      <c r="AA49" s="83"/>
      <c r="AB49" s="83"/>
      <c r="AC49" s="83"/>
      <c r="AD49" s="83"/>
    </row>
    <row r="50" spans="1:30" hidden="1" outlineLevel="1">
      <c r="A50" s="84"/>
      <c r="B50" s="80" t="s">
        <v>45</v>
      </c>
      <c r="C50" s="81"/>
      <c r="D50" s="81"/>
      <c r="E50" s="82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118">
        <f>SUM(E50:P50)</f>
        <v>0</v>
      </c>
      <c r="R50" s="327">
        <v>0</v>
      </c>
      <c r="S50" s="83"/>
      <c r="T50" s="83"/>
      <c r="U50" s="83"/>
      <c r="V50" s="83"/>
      <c r="X50" s="83"/>
      <c r="Z50" s="83"/>
      <c r="AA50" s="83"/>
      <c r="AB50" s="83"/>
      <c r="AC50" s="83"/>
      <c r="AD50" s="83"/>
    </row>
    <row r="51" spans="1:30" hidden="1" outlineLevel="1">
      <c r="A51" s="84"/>
      <c r="B51" s="80" t="s">
        <v>46</v>
      </c>
      <c r="C51" s="81"/>
      <c r="D51" s="81"/>
      <c r="E51" s="82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118">
        <f>SUM(E51:P51)</f>
        <v>0</v>
      </c>
      <c r="R51" s="327">
        <v>0</v>
      </c>
      <c r="S51" s="83"/>
      <c r="T51" s="83"/>
      <c r="U51" s="83"/>
      <c r="V51" s="83"/>
      <c r="X51" s="83"/>
      <c r="Z51" s="83"/>
      <c r="AA51" s="83"/>
      <c r="AB51" s="83"/>
      <c r="AC51" s="83"/>
      <c r="AD51" s="83"/>
    </row>
    <row r="52" spans="1:30" hidden="1" outlineLevel="1">
      <c r="A52" s="85" t="s">
        <v>47</v>
      </c>
      <c r="B52" s="86"/>
      <c r="C52" s="86"/>
      <c r="D52" s="86"/>
      <c r="E52" s="82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119">
        <f>SUM(E52:P52)</f>
        <v>0</v>
      </c>
      <c r="R52" s="327">
        <v>0</v>
      </c>
      <c r="S52" s="83"/>
      <c r="T52" s="83"/>
      <c r="U52" s="83"/>
      <c r="V52" s="83"/>
      <c r="X52" s="83"/>
      <c r="Z52" s="83"/>
      <c r="AA52" s="83"/>
      <c r="AB52" s="83"/>
      <c r="AC52" s="83"/>
      <c r="AD52" s="83"/>
    </row>
    <row r="53" spans="1:30" collapsed="1">
      <c r="A53" s="2"/>
      <c r="B53" s="2"/>
      <c r="C53" s="2"/>
      <c r="D53" s="2"/>
      <c r="E53" s="15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117"/>
      <c r="R53" s="327">
        <v>0</v>
      </c>
      <c r="S53" s="2"/>
      <c r="T53" s="2"/>
      <c r="U53" s="2"/>
      <c r="V53" s="2"/>
      <c r="X53" s="2"/>
      <c r="Z53" s="2"/>
      <c r="AA53" s="2"/>
      <c r="AB53" s="2"/>
      <c r="AC53" s="2"/>
      <c r="AD53" s="2"/>
    </row>
    <row r="54" spans="1:30">
      <c r="A54" s="87" t="s">
        <v>468</v>
      </c>
      <c r="B54" s="88"/>
      <c r="C54" s="86"/>
      <c r="D54" s="86"/>
      <c r="E54" s="89">
        <f>[17]Act!D29</f>
        <v>-88.502035834526794</v>
      </c>
      <c r="F54" s="90">
        <f>[17]Act!E29</f>
        <v>-12.389227710226308</v>
      </c>
      <c r="G54" s="90">
        <f>[17]Act!F29</f>
        <v>-59.483429287639467</v>
      </c>
      <c r="H54" s="90">
        <f>[17]Act!G29</f>
        <v>9.7683885143146512</v>
      </c>
      <c r="I54" s="90">
        <f>[17]Act!H29</f>
        <v>-26.044159044874071</v>
      </c>
      <c r="J54" s="90">
        <f>[17]Act!I29</f>
        <v>-28.199105414974341</v>
      </c>
      <c r="K54" s="90">
        <f>[17]Act!J29</f>
        <v>-8.3261509251968278</v>
      </c>
      <c r="L54" s="90">
        <f>[17]Act!K29</f>
        <v>6.6246669664854494</v>
      </c>
      <c r="M54" s="90">
        <f>[17]Act!L29</f>
        <v>18.759555756564311</v>
      </c>
      <c r="N54" s="90">
        <f>[17]Act!M29</f>
        <v>-1.7825240696100764</v>
      </c>
      <c r="O54" s="90">
        <f>[17]Act!N29</f>
        <v>6.4636244441059461</v>
      </c>
      <c r="P54" s="90">
        <f>[17]Act!O29</f>
        <v>51.342734734799507</v>
      </c>
      <c r="Q54" s="119">
        <f>SUM(E54:P54)</f>
        <v>-131.76766187077803</v>
      </c>
      <c r="R54" s="327">
        <v>0</v>
      </c>
      <c r="S54" s="90">
        <f>SUMIFS($E54:$P54,$E$3:$P$3,1,$E$5:$P$5,S$5)</f>
        <v>-88.502035834526794</v>
      </c>
      <c r="T54" s="90">
        <f>SUMIFS($E54:$P54,$E$3:$P$3,1,$E$5:$P$5,T$5)</f>
        <v>0</v>
      </c>
      <c r="U54" s="90">
        <f>SUMIFS($E54:$P54,$E$3:$P$3,1,$E$5:$P$5,U$5)</f>
        <v>0</v>
      </c>
      <c r="V54" s="90">
        <f>SUM(S54:U54)</f>
        <v>-88.502035834526794</v>
      </c>
      <c r="X54" s="90">
        <f>SUMIF($E$2:$P$2,1,E54:P54)</f>
        <v>-88.502035834526794</v>
      </c>
      <c r="Z54" s="90">
        <f>SUM(E54:G54)</f>
        <v>-160.37469283239255</v>
      </c>
      <c r="AA54" s="90">
        <f>SUM(H54:J54)</f>
        <v>-44.474875945533761</v>
      </c>
      <c r="AB54" s="90">
        <f>SUM(K54:M54)</f>
        <v>17.058071797852932</v>
      </c>
      <c r="AC54" s="90">
        <f>SUM(N54:P54)</f>
        <v>56.023835109295376</v>
      </c>
      <c r="AD54" s="90">
        <f>SUM(Z54:AC54)</f>
        <v>-131.767661870778</v>
      </c>
    </row>
    <row r="55" spans="1:30">
      <c r="A55" s="2"/>
      <c r="B55" s="2"/>
      <c r="C55" s="2"/>
      <c r="D55" s="2"/>
      <c r="E55" s="15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117"/>
      <c r="R55" s="327">
        <v>0</v>
      </c>
      <c r="S55" s="2"/>
      <c r="T55" s="2"/>
      <c r="U55" s="2"/>
      <c r="V55" s="2"/>
      <c r="X55" s="2"/>
      <c r="Z55" s="2"/>
      <c r="AA55" s="2"/>
      <c r="AB55" s="2"/>
      <c r="AC55" s="2"/>
      <c r="AD55" s="2"/>
    </row>
    <row r="56" spans="1:30" ht="15.75" thickBot="1">
      <c r="A56" s="80" t="s">
        <v>49</v>
      </c>
      <c r="B56" s="91"/>
      <c r="C56" s="81"/>
      <c r="D56" s="91"/>
      <c r="E56" s="92">
        <f>'[18]New KPI Actual'!F33</f>
        <v>-5.8145287999999989E-2</v>
      </c>
      <c r="F56" s="93">
        <f>'[18]New KPI Actual'!G33</f>
        <v>-7.0540558999999961E-2</v>
      </c>
      <c r="G56" s="93">
        <f>'[18]New KPI Actual'!H33</f>
        <v>-7.8258734000000066E-2</v>
      </c>
      <c r="H56" s="93">
        <f>'[18]New KPI Actual'!I33</f>
        <v>-6.2798802000000015E-2</v>
      </c>
      <c r="I56" s="93">
        <f>'[18]New KPI Actual'!J33</f>
        <v>-6.2798802999999986E-2</v>
      </c>
      <c r="J56" s="93">
        <f>'[18]New KPI Actual'!K33</f>
        <v>-7.5086940000000074E-2</v>
      </c>
      <c r="K56" s="93">
        <f>'[18]New KPI Actual'!L33</f>
        <v>-8.0682422999999961E-2</v>
      </c>
      <c r="L56" s="93">
        <f>'[18]New KPI Actual'!M33</f>
        <v>-8.7636010999999944E-2</v>
      </c>
      <c r="M56" s="93">
        <f>'[18]New KPI Actual'!N33</f>
        <v>-8.8980814000000005E-2</v>
      </c>
      <c r="N56" s="93">
        <f>'[18]New KPI Actual'!O33</f>
        <v>0</v>
      </c>
      <c r="O56" s="93">
        <f>'[18]New KPI Actual'!P33</f>
        <v>0</v>
      </c>
      <c r="P56" s="93">
        <f>'[18]New KPI Actual'!Q33</f>
        <v>0</v>
      </c>
      <c r="Q56" s="120">
        <f>SUM(E56:P56)</f>
        <v>-0.66492837399999993</v>
      </c>
      <c r="R56" s="327">
        <v>2.0000000544584395E-9</v>
      </c>
      <c r="S56" s="93">
        <f>SUMIFS($E56:$P56,$E$3:$P$3,1,$E$5:$P$5,S$5)</f>
        <v>-5.8145287999999989E-2</v>
      </c>
      <c r="T56" s="93">
        <f>SUMIFS($E56:$P56,$E$3:$P$3,1,$E$5:$P$5,T$5)</f>
        <v>0</v>
      </c>
      <c r="U56" s="93">
        <f>SUMIFS($E56:$P56,$E$3:$P$3,1,$E$5:$P$5,U$5)</f>
        <v>0</v>
      </c>
      <c r="V56" s="93">
        <f>SUM(S56:U56)</f>
        <v>-5.8145287999999989E-2</v>
      </c>
      <c r="X56" s="93">
        <f>SUMIF($E$2:$P$2,1,E56:P56)</f>
        <v>-5.8145287999999989E-2</v>
      </c>
      <c r="Z56" s="93">
        <f>SUM(E56:G56)</f>
        <v>-0.20694458100000002</v>
      </c>
      <c r="AA56" s="93">
        <f>SUM(H56:J56)</f>
        <v>-0.20068454500000008</v>
      </c>
      <c r="AB56" s="93">
        <f>SUM(K56:M56)</f>
        <v>-0.25729924799999992</v>
      </c>
      <c r="AC56" s="93">
        <f>SUM(N56:P56)</f>
        <v>0</v>
      </c>
      <c r="AD56" s="93">
        <f>SUM(Z56:AC56)</f>
        <v>-0.66492837400000004</v>
      </c>
    </row>
    <row r="57" spans="1:30">
      <c r="A57" s="137"/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327">
        <v>0</v>
      </c>
    </row>
    <row r="58" spans="1:30">
      <c r="A58" s="444"/>
      <c r="B58" s="445" t="s">
        <v>467</v>
      </c>
      <c r="C58" s="446"/>
      <c r="D58" s="453"/>
      <c r="E58" s="456">
        <f>[17]Act!D237</f>
        <v>-1.9284679710456645</v>
      </c>
      <c r="F58" s="457">
        <f>[17]Act!E237</f>
        <v>-0.93709822478656313</v>
      </c>
      <c r="G58" s="457">
        <f>[17]Act!F237</f>
        <v>-3.3629486279224587</v>
      </c>
      <c r="H58" s="457">
        <f>[17]Act!G237</f>
        <v>-1.0090165362085834</v>
      </c>
      <c r="I58" s="457">
        <f>[17]Act!H237</f>
        <v>-0.9296211215791329</v>
      </c>
      <c r="J58" s="457">
        <f>[17]Act!I237</f>
        <v>-2.6916782994595718</v>
      </c>
      <c r="K58" s="457">
        <f>[17]Act!J237</f>
        <v>-1.2729168156235029</v>
      </c>
      <c r="L58" s="457">
        <f>[17]Act!K237</f>
        <v>-2.6029922188119921</v>
      </c>
      <c r="M58" s="457">
        <f>[17]Act!L237</f>
        <v>-2.9530949651045049</v>
      </c>
      <c r="N58" s="457">
        <f>[17]Act!M237</f>
        <v>-1.2878602354265518</v>
      </c>
      <c r="O58" s="457">
        <f>[17]Act!N237</f>
        <v>-1.2011321528893206</v>
      </c>
      <c r="P58" s="458">
        <f>[17]Act!O237</f>
        <v>-4.0282872614442642</v>
      </c>
      <c r="Q58" s="120">
        <f>SUM(E58:P58)</f>
        <v>-24.20511443030211</v>
      </c>
      <c r="R58" s="327">
        <v>0</v>
      </c>
      <c r="S58" s="456">
        <f t="shared" ref="S58:U59" si="33">SUMIFS($E58:$P58,$E$3:$P$3,1,$E$5:$P$5,S$5)</f>
        <v>-1.9284679710456645</v>
      </c>
      <c r="T58" s="457">
        <f t="shared" si="33"/>
        <v>0</v>
      </c>
      <c r="U58" s="457">
        <f t="shared" si="33"/>
        <v>0</v>
      </c>
      <c r="V58" s="458">
        <f>SUM(S58:U58)</f>
        <v>-1.9284679710456645</v>
      </c>
      <c r="X58" s="19">
        <f>SUMIF($E$2:$P$2,1,E58:P58)</f>
        <v>-1.9284679710456645</v>
      </c>
      <c r="Z58" s="456">
        <f>SUM(E58:G58)</f>
        <v>-6.2285148237546863</v>
      </c>
      <c r="AA58" s="457">
        <f>SUM(H58:J58)</f>
        <v>-4.6303159572472881</v>
      </c>
      <c r="AB58" s="457">
        <f>SUM(K58:M58)</f>
        <v>-6.8290039995399994</v>
      </c>
      <c r="AC58" s="457">
        <f>SUM(N58:P58)</f>
        <v>-6.5172796497601366</v>
      </c>
      <c r="AD58" s="458">
        <f>SUM(Z58:AC58)</f>
        <v>-24.20511443030211</v>
      </c>
    </row>
    <row r="59" spans="1:30">
      <c r="A59" s="447"/>
      <c r="B59" s="448" t="s">
        <v>268</v>
      </c>
      <c r="C59" s="449"/>
      <c r="D59" s="454"/>
      <c r="E59" s="459">
        <f>[17]Act!D238</f>
        <v>-3.2049700358177891</v>
      </c>
      <c r="F59" s="460">
        <f>[17]Act!E238</f>
        <v>-3.4623549278177848</v>
      </c>
      <c r="G59" s="460">
        <f>[17]Act!F238</f>
        <v>-3.6255009858176996</v>
      </c>
      <c r="H59" s="460">
        <f>[17]Act!G238</f>
        <v>-3.9608591988178086</v>
      </c>
      <c r="I59" s="460">
        <f>[17]Act!H238</f>
        <v>-3.4646957658177038</v>
      </c>
      <c r="J59" s="460">
        <f>[17]Act!I238</f>
        <v>-3.8210651788181056</v>
      </c>
      <c r="K59" s="460">
        <f>[17]Act!J238</f>
        <v>-4.2384938728178909</v>
      </c>
      <c r="L59" s="460">
        <f>[17]Act!K238</f>
        <v>-3.9250690518179914</v>
      </c>
      <c r="M59" s="460">
        <f>[17]Act!L238</f>
        <v>-3.2434809518180145</v>
      </c>
      <c r="N59" s="460">
        <f>[17]Act!M238</f>
        <v>-4.0530057958180894</v>
      </c>
      <c r="O59" s="460">
        <f>[17]Act!N238</f>
        <v>-3.6477028028180434</v>
      </c>
      <c r="P59" s="461">
        <f>[17]Act!O238</f>
        <v>-4.1404482298181104</v>
      </c>
      <c r="Q59" s="120">
        <f>SUM(E59:P59)</f>
        <v>-44.787646797815036</v>
      </c>
      <c r="R59" s="327">
        <v>1.9099080000088975E-3</v>
      </c>
      <c r="S59" s="459">
        <f t="shared" si="33"/>
        <v>-3.2049700358177891</v>
      </c>
      <c r="T59" s="460">
        <f t="shared" si="33"/>
        <v>0</v>
      </c>
      <c r="U59" s="460">
        <f t="shared" si="33"/>
        <v>0</v>
      </c>
      <c r="V59" s="461">
        <f>SUM(S59:U59)</f>
        <v>-3.2049700358177891</v>
      </c>
      <c r="X59" s="46">
        <f>SUMIF($E$2:$P$2,1,E59:P59)</f>
        <v>-3.2049700358177891</v>
      </c>
      <c r="Z59" s="459">
        <f>SUM(E59:G59)</f>
        <v>-10.292825949453274</v>
      </c>
      <c r="AA59" s="460">
        <f>SUM(H59:J59)</f>
        <v>-11.246620143453619</v>
      </c>
      <c r="AB59" s="460">
        <f>SUM(K59:M59)</f>
        <v>-11.407043876453898</v>
      </c>
      <c r="AC59" s="460">
        <f>SUM(N59:P59)</f>
        <v>-11.841156828454244</v>
      </c>
      <c r="AD59" s="461">
        <f>SUM(Z59:AC59)</f>
        <v>-44.787646797815036</v>
      </c>
    </row>
    <row r="60" spans="1:30">
      <c r="A60" s="450"/>
      <c r="B60" s="451" t="s">
        <v>299</v>
      </c>
      <c r="C60" s="452"/>
      <c r="D60" s="455"/>
      <c r="E60" s="69">
        <f>SUM(E58:E59)</f>
        <v>-5.1334380068634538</v>
      </c>
      <c r="F60" s="69">
        <f t="shared" ref="F60:P60" si="34">SUM(F58:F59)</f>
        <v>-4.3994531526043481</v>
      </c>
      <c r="G60" s="70">
        <f t="shared" si="34"/>
        <v>-6.9884496137401584</v>
      </c>
      <c r="H60" s="70">
        <f t="shared" si="34"/>
        <v>-4.9698757350263918</v>
      </c>
      <c r="I60" s="70">
        <f t="shared" si="34"/>
        <v>-4.3943168873968368</v>
      </c>
      <c r="J60" s="70">
        <f t="shared" si="34"/>
        <v>-6.5127434782776774</v>
      </c>
      <c r="K60" s="70">
        <f t="shared" si="34"/>
        <v>-5.5114106884413943</v>
      </c>
      <c r="L60" s="70">
        <f t="shared" si="34"/>
        <v>-6.5280612706299834</v>
      </c>
      <c r="M60" s="70">
        <f t="shared" si="34"/>
        <v>-6.1965759169225194</v>
      </c>
      <c r="N60" s="70">
        <f t="shared" si="34"/>
        <v>-5.3408660312446408</v>
      </c>
      <c r="O60" s="70">
        <f t="shared" si="34"/>
        <v>-4.848834955707364</v>
      </c>
      <c r="P60" s="70">
        <f t="shared" si="34"/>
        <v>-8.1687354912623746</v>
      </c>
      <c r="Q60" s="119">
        <f>SUM(E60:P60)</f>
        <v>-68.992761228117132</v>
      </c>
      <c r="R60" s="327">
        <v>1.9099080000160029E-3</v>
      </c>
      <c r="S60" s="70">
        <f>SUMIFS($E60:$P60,$E$3:$P$3,1,$E$5:$P$5,S$5)</f>
        <v>-5.1334380068634538</v>
      </c>
      <c r="T60" s="70">
        <f>SUMIFS($E60:$P60,$E$3:$P$3,1,$E$5:$P$5,T$5)</f>
        <v>0</v>
      </c>
      <c r="U60" s="70">
        <f>SUMIFS($E60:$P60,$E$3:$P$3,1,$E$5:$P$5,U$5)</f>
        <v>0</v>
      </c>
      <c r="V60" s="70">
        <f>SUM(S60:U60)</f>
        <v>-5.1334380068634538</v>
      </c>
      <c r="X60" s="70">
        <f>SUM(U60:W60)</f>
        <v>-5.1334380068634538</v>
      </c>
      <c r="Z60" s="70">
        <f>SUM(E60:G60)</f>
        <v>-16.52134077320796</v>
      </c>
      <c r="AA60" s="70">
        <f>SUM(H60:J60)</f>
        <v>-15.876936100700906</v>
      </c>
      <c r="AB60" s="70">
        <f>SUM(K60:M60)</f>
        <v>-18.236047875993897</v>
      </c>
      <c r="AC60" s="70">
        <f>SUM(N60:P60)</f>
        <v>-18.358436478214379</v>
      </c>
      <c r="AD60" s="70">
        <f>SUM(Z60:AC60)</f>
        <v>-68.992761228117146</v>
      </c>
    </row>
    <row r="61" spans="1:30">
      <c r="A61" s="94"/>
      <c r="B61" s="94"/>
      <c r="C61" s="94"/>
      <c r="D61" s="94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94"/>
      <c r="R61" s="327">
        <v>0</v>
      </c>
      <c r="S61" s="94"/>
      <c r="T61" s="94"/>
      <c r="U61" s="94"/>
      <c r="V61" s="94"/>
      <c r="X61" s="94"/>
      <c r="Z61" s="94"/>
      <c r="AA61" s="94"/>
      <c r="AB61" s="94"/>
      <c r="AC61" s="94"/>
      <c r="AD61" s="94"/>
    </row>
    <row r="62" spans="1:30">
      <c r="A62" s="78" t="s">
        <v>50</v>
      </c>
      <c r="B62" s="73"/>
      <c r="C62" s="73"/>
      <c r="D62" s="73"/>
      <c r="E62" s="69">
        <f>[17]Act!D248</f>
        <v>-1.8855914316298077</v>
      </c>
      <c r="F62" s="69">
        <f>[17]Act!E248</f>
        <v>-1.8814630211607986</v>
      </c>
      <c r="G62" s="69">
        <f>[17]Act!F248</f>
        <v>-1.7258874780720157</v>
      </c>
      <c r="H62" s="69">
        <f>[17]Act!G248</f>
        <v>-2.3321073611296854</v>
      </c>
      <c r="I62" s="69">
        <f>[17]Act!H248</f>
        <v>-2.1276679998189056</v>
      </c>
      <c r="J62" s="69">
        <f>[17]Act!I248</f>
        <v>-2.6436539411820483</v>
      </c>
      <c r="K62" s="69">
        <f>[17]Act!J248</f>
        <v>-1.683672899876046</v>
      </c>
      <c r="L62" s="69">
        <f>[17]Act!K248</f>
        <v>-2.0530375301504389</v>
      </c>
      <c r="M62" s="69">
        <f>[17]Act!L248</f>
        <v>-1.9977807046855431</v>
      </c>
      <c r="N62" s="69">
        <f>[17]Act!M248</f>
        <v>-2.0573639297491026</v>
      </c>
      <c r="O62" s="69">
        <f>[17]Act!N248</f>
        <v>-2.0473029461520333</v>
      </c>
      <c r="P62" s="69">
        <f>[17]Act!O248</f>
        <v>-2.2934809162852932</v>
      </c>
      <c r="Q62" s="119">
        <f>SUM(E62:P62)</f>
        <v>-24.729010159891718</v>
      </c>
      <c r="R62" s="327">
        <v>6.9016267986885786</v>
      </c>
      <c r="S62" s="69">
        <f t="shared" ref="S62:U64" si="35">SUMIFS($E62:$P62,$E$3:$P$3,1,$E$5:$P$5,S$5)</f>
        <v>-1.8855914316298077</v>
      </c>
      <c r="T62" s="69">
        <f t="shared" si="35"/>
        <v>0</v>
      </c>
      <c r="U62" s="69">
        <f t="shared" si="35"/>
        <v>0</v>
      </c>
      <c r="V62" s="69">
        <f>SUM(S62:U62)</f>
        <v>-1.8855914316298077</v>
      </c>
      <c r="X62" s="69">
        <f>SUMIF($E$2:$P$2,1,E62:P62)</f>
        <v>-1.8855914316298077</v>
      </c>
      <c r="Z62" s="69">
        <f>SUM(E62:G62)</f>
        <v>-5.4929419308626217</v>
      </c>
      <c r="AA62" s="69">
        <f>SUM(H62:J62)</f>
        <v>-7.1034293021306389</v>
      </c>
      <c r="AB62" s="69">
        <f>SUM(K62:M62)</f>
        <v>-5.7344911347120284</v>
      </c>
      <c r="AC62" s="69">
        <f>SUM(N62:P62)</f>
        <v>-6.39814779218643</v>
      </c>
      <c r="AD62" s="69">
        <f>SUM(Z62:AC62)</f>
        <v>-24.729010159891715</v>
      </c>
    </row>
    <row r="63" spans="1:30">
      <c r="A63" s="78" t="s">
        <v>51</v>
      </c>
      <c r="B63" s="73"/>
      <c r="C63" s="73"/>
      <c r="D63" s="73"/>
      <c r="E63" s="69">
        <f>[17]Act!D249</f>
        <v>9.9425425774371732</v>
      </c>
      <c r="F63" s="95">
        <f>[17]Act!E249</f>
        <v>14.242264738867982</v>
      </c>
      <c r="G63" s="69">
        <f>[17]Act!F249</f>
        <v>14.74199493700479</v>
      </c>
      <c r="H63" s="69">
        <f>[17]Act!G249</f>
        <v>12.739033678383795</v>
      </c>
      <c r="I63" s="69">
        <f>[17]Act!H249</f>
        <v>10.758771066348816</v>
      </c>
      <c r="J63" s="69">
        <f>[17]Act!I249</f>
        <v>20.262902077772161</v>
      </c>
      <c r="K63" s="69">
        <f>[17]Act!J249</f>
        <v>16.923046282900266</v>
      </c>
      <c r="L63" s="69">
        <f>[17]Act!K249</f>
        <v>16.823852499206197</v>
      </c>
      <c r="M63" s="69">
        <f>[17]Act!L249</f>
        <v>19.353565638490334</v>
      </c>
      <c r="N63" s="69">
        <f>[17]Act!M249</f>
        <v>17.963961307721753</v>
      </c>
      <c r="O63" s="69">
        <f>[17]Act!N249</f>
        <v>17.715282174678119</v>
      </c>
      <c r="P63" s="69">
        <f>[17]Act!O249</f>
        <v>25.394014760504419</v>
      </c>
      <c r="Q63" s="119">
        <f>SUM(E63:P63)</f>
        <v>196.86123173931577</v>
      </c>
      <c r="R63" s="327">
        <v>-56.14359172277301</v>
      </c>
      <c r="S63" s="69">
        <f t="shared" si="35"/>
        <v>9.9425425774371732</v>
      </c>
      <c r="T63" s="69">
        <f t="shared" si="35"/>
        <v>0</v>
      </c>
      <c r="U63" s="69">
        <f t="shared" si="35"/>
        <v>0</v>
      </c>
      <c r="V63" s="69">
        <f>SUM(S63:U63)</f>
        <v>9.9425425774371732</v>
      </c>
      <c r="X63" s="69">
        <f>SUMIF($E$2:$P$2,1,E63:P63)</f>
        <v>9.9425425774371732</v>
      </c>
      <c r="Z63" s="69">
        <f>SUM(E63:G63)</f>
        <v>38.926802253309944</v>
      </c>
      <c r="AA63" s="69">
        <f>SUM(H63:J63)</f>
        <v>43.760706822504773</v>
      </c>
      <c r="AB63" s="69">
        <f>SUM(K63:M63)</f>
        <v>53.100464420596794</v>
      </c>
      <c r="AC63" s="69">
        <f>SUM(N63:P63)</f>
        <v>61.073258242904288</v>
      </c>
      <c r="AD63" s="69">
        <f>SUM(Z63:AC63)</f>
        <v>196.86123173931577</v>
      </c>
    </row>
    <row r="64" spans="1:30">
      <c r="A64" s="78" t="s">
        <v>52</v>
      </c>
      <c r="B64" s="73"/>
      <c r="C64" s="73"/>
      <c r="D64" s="73"/>
      <c r="E64" s="69">
        <f>[17]Act!D251</f>
        <v>4.8602805066857062</v>
      </c>
      <c r="F64" s="69">
        <f>[17]Act!E251</f>
        <v>4.6811576919207063</v>
      </c>
      <c r="G64" s="69">
        <f>[17]Act!F251</f>
        <v>6.2468692321899777</v>
      </c>
      <c r="H64" s="69">
        <f>[17]Act!G251</f>
        <v>3.191111639042095</v>
      </c>
      <c r="I64" s="69">
        <f>[17]Act!H251</f>
        <v>4.8942549653629026</v>
      </c>
      <c r="J64" s="69">
        <f>[17]Act!I251</f>
        <v>2.3342361517039016</v>
      </c>
      <c r="K64" s="69">
        <f>[17]Act!J251</f>
        <v>6.3630003431620974</v>
      </c>
      <c r="L64" s="69">
        <f>[17]Act!K251</f>
        <v>6.2647154201744861</v>
      </c>
      <c r="M64" s="69">
        <f>[17]Act!L251</f>
        <v>3.47672545151541</v>
      </c>
      <c r="N64" s="69">
        <f>[17]Act!M251</f>
        <v>6.3783135999848906</v>
      </c>
      <c r="O64" s="69">
        <f>[17]Act!N251</f>
        <v>6.5421776642956075</v>
      </c>
      <c r="P64" s="69">
        <f>[17]Act!O251</f>
        <v>5.3500116590667144</v>
      </c>
      <c r="Q64" s="119">
        <f>SUM(E64:P64)</f>
        <v>60.582854325104499</v>
      </c>
      <c r="R64" s="327">
        <v>0</v>
      </c>
      <c r="S64" s="69">
        <f t="shared" si="35"/>
        <v>4.8602805066857062</v>
      </c>
      <c r="T64" s="69">
        <f t="shared" si="35"/>
        <v>0</v>
      </c>
      <c r="U64" s="69">
        <f t="shared" si="35"/>
        <v>0</v>
      </c>
      <c r="V64" s="69">
        <f>SUM(S64:U64)</f>
        <v>4.8602805066857062</v>
      </c>
      <c r="X64" s="69">
        <f>SUMIF($E$2:$P$2,1,E64:P64)</f>
        <v>4.8602805066857062</v>
      </c>
      <c r="Z64" s="69">
        <f>SUM(E64:G64)</f>
        <v>15.78830743079639</v>
      </c>
      <c r="AA64" s="69">
        <f>SUM(H64:J64)</f>
        <v>10.419602756108899</v>
      </c>
      <c r="AB64" s="69">
        <f>SUM(K64:M64)</f>
        <v>16.104441214851995</v>
      </c>
      <c r="AC64" s="69">
        <f>SUM(N64:P64)</f>
        <v>18.270502923347212</v>
      </c>
      <c r="AD64" s="69">
        <f>SUM(Z64:AC64)</f>
        <v>60.582854325104492</v>
      </c>
    </row>
    <row r="65" spans="1:32">
      <c r="A65" s="78" t="s">
        <v>53</v>
      </c>
      <c r="B65" s="73"/>
      <c r="C65" s="73"/>
      <c r="D65" s="73"/>
      <c r="E65" s="69">
        <f>-SUM([18]Relief!E80:E84)</f>
        <v>0</v>
      </c>
      <c r="F65" s="69">
        <f>-SUM([18]Relief!F80:F84)</f>
        <v>0</v>
      </c>
      <c r="G65" s="69">
        <f>-SUM([18]Relief!G80:G84)</f>
        <v>0</v>
      </c>
      <c r="H65" s="69">
        <f>-SUM([18]Relief!H80:H84)</f>
        <v>0</v>
      </c>
      <c r="I65" s="69">
        <f>-SUM([18]Relief!I80:I84)</f>
        <v>0</v>
      </c>
      <c r="J65" s="69">
        <f>-SUM([18]Relief!J80:J84)</f>
        <v>0</v>
      </c>
      <c r="K65" s="69">
        <f>-SUM([18]Relief!K80:K84)</f>
        <v>0</v>
      </c>
      <c r="L65" s="69">
        <f>-SUM([18]Relief!L80:L84)</f>
        <v>0</v>
      </c>
      <c r="M65" s="69">
        <f>-SUM([18]Relief!M80:M84)</f>
        <v>0</v>
      </c>
      <c r="N65" s="69">
        <f>-SUM([18]Relief!N80:N84)</f>
        <v>0</v>
      </c>
      <c r="O65" s="69">
        <f>-SUM([18]Relief!O80:O84)</f>
        <v>0</v>
      </c>
      <c r="P65" s="69">
        <f>-SUM([18]Relief!P80:P84)</f>
        <v>0</v>
      </c>
      <c r="Q65" s="119">
        <f t="shared" ref="Q65:Q74" si="36">SUM(E65:P65)</f>
        <v>0</v>
      </c>
      <c r="R65" s="327">
        <v>-37.33332281892487</v>
      </c>
      <c r="S65" s="69">
        <f t="shared" ref="S65:U75" si="37">SUMIFS($E65:$P65,$E$3:$P$3,1,$E$5:$P$5,S$5)</f>
        <v>0</v>
      </c>
      <c r="T65" s="69">
        <f t="shared" si="37"/>
        <v>0</v>
      </c>
      <c r="U65" s="69">
        <f t="shared" si="37"/>
        <v>0</v>
      </c>
      <c r="V65" s="69">
        <f t="shared" ref="V65:V73" si="38">SUM(S65:U65)</f>
        <v>0</v>
      </c>
      <c r="X65" s="69">
        <f t="shared" ref="X65:X74" si="39">SUMIF($E$2:$P$2,1,E65:P65)</f>
        <v>0</v>
      </c>
      <c r="Z65" s="69">
        <f t="shared" ref="Z65:Z73" si="40">SUM(E65:G65)</f>
        <v>0</v>
      </c>
      <c r="AA65" s="69">
        <f t="shared" ref="AA65:AA73" si="41">SUM(H65:J65)</f>
        <v>0</v>
      </c>
      <c r="AB65" s="69">
        <f t="shared" ref="AB65:AB73" si="42">SUM(K65:M65)</f>
        <v>0</v>
      </c>
      <c r="AC65" s="69">
        <f t="shared" ref="AC65:AC73" si="43">SUM(N65:P65)</f>
        <v>0</v>
      </c>
      <c r="AD65" s="69">
        <f t="shared" ref="AD65:AD73" si="44">SUM(Z65:AC65)</f>
        <v>0</v>
      </c>
    </row>
    <row r="66" spans="1:32">
      <c r="A66" s="78" t="s">
        <v>54</v>
      </c>
      <c r="B66" s="73"/>
      <c r="C66" s="73"/>
      <c r="D66" s="73"/>
      <c r="E66" s="69">
        <f>-SUM([18]Relief!E96:E97)</f>
        <v>0</v>
      </c>
      <c r="F66" s="69">
        <f>-SUM([18]Relief!F96:F97)</f>
        <v>0</v>
      </c>
      <c r="G66" s="69">
        <f>-SUM([18]Relief!G96:G97)</f>
        <v>0</v>
      </c>
      <c r="H66" s="69">
        <f>-SUM([18]Relief!H96:H97)</f>
        <v>0</v>
      </c>
      <c r="I66" s="69">
        <f>-SUM([18]Relief!I96:I97)</f>
        <v>0</v>
      </c>
      <c r="J66" s="69">
        <f>-SUM([18]Relief!J96:J97)</f>
        <v>0</v>
      </c>
      <c r="K66" s="69">
        <f>-SUM([18]Relief!K96:K97)</f>
        <v>0</v>
      </c>
      <c r="L66" s="69">
        <f>-SUM([18]Relief!L96:L97)</f>
        <v>0</v>
      </c>
      <c r="M66" s="69">
        <f>-SUM([18]Relief!M96:M97)</f>
        <v>0</v>
      </c>
      <c r="N66" s="69">
        <f>-SUM([18]Relief!N96:N97)</f>
        <v>0</v>
      </c>
      <c r="O66" s="69">
        <f>-SUM([18]Relief!O96:O97)</f>
        <v>0</v>
      </c>
      <c r="P66" s="69">
        <f>-SUM([18]Relief!P96:P97)</f>
        <v>0</v>
      </c>
      <c r="Q66" s="119">
        <f t="shared" si="36"/>
        <v>0</v>
      </c>
      <c r="R66" s="327">
        <v>27.581778819914931</v>
      </c>
      <c r="S66" s="69">
        <f t="shared" si="37"/>
        <v>0</v>
      </c>
      <c r="T66" s="69">
        <f t="shared" si="37"/>
        <v>0</v>
      </c>
      <c r="U66" s="69">
        <f t="shared" si="37"/>
        <v>0</v>
      </c>
      <c r="V66" s="69">
        <f t="shared" si="38"/>
        <v>0</v>
      </c>
      <c r="X66" s="69">
        <f t="shared" si="39"/>
        <v>0</v>
      </c>
      <c r="Z66" s="69">
        <f t="shared" si="40"/>
        <v>0</v>
      </c>
      <c r="AA66" s="69">
        <f t="shared" si="41"/>
        <v>0</v>
      </c>
      <c r="AB66" s="69">
        <f t="shared" si="42"/>
        <v>0</v>
      </c>
      <c r="AC66" s="69">
        <f t="shared" si="43"/>
        <v>0</v>
      </c>
      <c r="AD66" s="69">
        <f t="shared" si="44"/>
        <v>0</v>
      </c>
    </row>
    <row r="67" spans="1:32">
      <c r="A67" s="78" t="s">
        <v>55</v>
      </c>
      <c r="B67" s="73"/>
      <c r="C67" s="73"/>
      <c r="D67" s="73"/>
      <c r="E67" s="69">
        <f>-[18]Relief!E95</f>
        <v>0</v>
      </c>
      <c r="F67" s="69">
        <f>-[18]Relief!F95</f>
        <v>0</v>
      </c>
      <c r="G67" s="69">
        <f>-[18]Relief!G95</f>
        <v>0</v>
      </c>
      <c r="H67" s="69">
        <f>-[18]Relief!H95</f>
        <v>0</v>
      </c>
      <c r="I67" s="69">
        <f>-[18]Relief!I95</f>
        <v>0</v>
      </c>
      <c r="J67" s="69">
        <f>-[18]Relief!J95</f>
        <v>0</v>
      </c>
      <c r="K67" s="69">
        <f>-[18]Relief!K95</f>
        <v>0</v>
      </c>
      <c r="L67" s="69">
        <f>-[18]Relief!L95</f>
        <v>0</v>
      </c>
      <c r="M67" s="69">
        <f>-[18]Relief!M95</f>
        <v>0</v>
      </c>
      <c r="N67" s="69">
        <f>-[18]Relief!N95</f>
        <v>0</v>
      </c>
      <c r="O67" s="69">
        <f>-[18]Relief!O95</f>
        <v>0</v>
      </c>
      <c r="P67" s="69">
        <f>-[18]Relief!P95</f>
        <v>0</v>
      </c>
      <c r="Q67" s="119">
        <f t="shared" si="36"/>
        <v>0</v>
      </c>
      <c r="R67" s="327">
        <v>5.8718073795163406</v>
      </c>
      <c r="S67" s="69">
        <f t="shared" si="37"/>
        <v>0</v>
      </c>
      <c r="T67" s="69">
        <f t="shared" si="37"/>
        <v>0</v>
      </c>
      <c r="U67" s="69">
        <f t="shared" si="37"/>
        <v>0</v>
      </c>
      <c r="V67" s="69">
        <f t="shared" si="38"/>
        <v>0</v>
      </c>
      <c r="X67" s="69">
        <f t="shared" si="39"/>
        <v>0</v>
      </c>
      <c r="Z67" s="69">
        <f t="shared" si="40"/>
        <v>0</v>
      </c>
      <c r="AA67" s="69">
        <f t="shared" si="41"/>
        <v>0</v>
      </c>
      <c r="AB67" s="69">
        <f t="shared" si="42"/>
        <v>0</v>
      </c>
      <c r="AC67" s="69">
        <f t="shared" si="43"/>
        <v>0</v>
      </c>
      <c r="AD67" s="69">
        <f t="shared" si="44"/>
        <v>0</v>
      </c>
    </row>
    <row r="68" spans="1:32">
      <c r="A68" s="78" t="s">
        <v>56</v>
      </c>
      <c r="B68" s="73"/>
      <c r="C68" s="73"/>
      <c r="D68" s="73"/>
      <c r="E68" s="70">
        <f>'[18]New KPI Actual'!F220-E69</f>
        <v>12.788907688</v>
      </c>
      <c r="F68" s="70">
        <f>'[18]New KPI Actual'!G220-F69</f>
        <v>13.502309724</v>
      </c>
      <c r="G68" s="69">
        <f>'[18]New KPI Actual'!H220-G69</f>
        <v>14.537263533999999</v>
      </c>
      <c r="H68" s="69">
        <f>'[18]New KPI Actual'!I220-H69</f>
        <v>11.127726177</v>
      </c>
      <c r="I68" s="69">
        <f>'[18]New KPI Actual'!J220-I69</f>
        <v>12.708866084</v>
      </c>
      <c r="J68" s="69">
        <f>'[18]New KPI Actual'!K220-J69</f>
        <v>15.178715220999999</v>
      </c>
      <c r="K68" s="69">
        <f>'[18]New KPI Actual'!L220-K69</f>
        <v>19.932643421000002</v>
      </c>
      <c r="L68" s="69">
        <f>'[18]New KPI Actual'!M220-L69</f>
        <v>18.725641160999999</v>
      </c>
      <c r="M68" s="69">
        <f>'[18]New KPI Actual'!N220-M69</f>
        <v>20.184162274999998</v>
      </c>
      <c r="N68" s="69">
        <f>'[18]New KPI Actual'!O220-N69</f>
        <v>20.519229218</v>
      </c>
      <c r="O68" s="69">
        <f>'[18]New KPI Actual'!P220-O69</f>
        <v>21.44963383</v>
      </c>
      <c r="P68" s="69">
        <f>'[18]New KPI Actual'!Q220-P69</f>
        <v>22.108346047000001</v>
      </c>
      <c r="Q68" s="119">
        <f t="shared" si="36"/>
        <v>202.76344438000001</v>
      </c>
      <c r="R68" s="327">
        <v>0</v>
      </c>
      <c r="S68" s="69">
        <f t="shared" si="37"/>
        <v>12.788907688</v>
      </c>
      <c r="T68" s="69">
        <f t="shared" si="37"/>
        <v>0</v>
      </c>
      <c r="U68" s="69">
        <f t="shared" si="37"/>
        <v>0</v>
      </c>
      <c r="V68" s="69">
        <f t="shared" si="38"/>
        <v>12.788907688</v>
      </c>
      <c r="X68" s="69">
        <f t="shared" si="39"/>
        <v>12.788907688</v>
      </c>
      <c r="Z68" s="69">
        <f t="shared" si="40"/>
        <v>40.828480945999999</v>
      </c>
      <c r="AA68" s="69">
        <f t="shared" si="41"/>
        <v>39.015307481999997</v>
      </c>
      <c r="AB68" s="69">
        <f t="shared" si="42"/>
        <v>58.842446856999999</v>
      </c>
      <c r="AC68" s="69">
        <f t="shared" si="43"/>
        <v>64.077209095000001</v>
      </c>
      <c r="AD68" s="69">
        <f t="shared" si="44"/>
        <v>202.76344438000001</v>
      </c>
    </row>
    <row r="69" spans="1:32">
      <c r="A69" s="78" t="s">
        <v>57</v>
      </c>
      <c r="B69" s="73"/>
      <c r="C69" s="73"/>
      <c r="D69" s="73"/>
      <c r="E69" s="70">
        <f>'[18]New KPI Actual'!F201</f>
        <v>0</v>
      </c>
      <c r="F69" s="70">
        <f>'[18]New KPI Actual'!G201</f>
        <v>0</v>
      </c>
      <c r="G69" s="69">
        <f>'[18]New KPI Actual'!H201</f>
        <v>0</v>
      </c>
      <c r="H69" s="69">
        <f>'[18]New KPI Actual'!I201</f>
        <v>0</v>
      </c>
      <c r="I69" s="69">
        <f>'[18]New KPI Actual'!J201</f>
        <v>0</v>
      </c>
      <c r="J69" s="69">
        <f>'[18]New KPI Actual'!K201</f>
        <v>0</v>
      </c>
      <c r="K69" s="69">
        <f>'[18]New KPI Actual'!L201</f>
        <v>0</v>
      </c>
      <c r="L69" s="69">
        <f>'[18]New KPI Actual'!M201</f>
        <v>0</v>
      </c>
      <c r="M69" s="69">
        <f>'[18]New KPI Actual'!N201</f>
        <v>0</v>
      </c>
      <c r="N69" s="69">
        <f>'[18]New KPI Actual'!O201</f>
        <v>0</v>
      </c>
      <c r="O69" s="69">
        <f>'[18]New KPI Actual'!P201</f>
        <v>0</v>
      </c>
      <c r="P69" s="69">
        <f>'[18]New KPI Actual'!Q201</f>
        <v>0</v>
      </c>
      <c r="Q69" s="119">
        <f t="shared" si="36"/>
        <v>0</v>
      </c>
      <c r="R69" s="327">
        <v>0</v>
      </c>
      <c r="S69" s="69">
        <f t="shared" si="37"/>
        <v>0</v>
      </c>
      <c r="T69" s="69">
        <f t="shared" si="37"/>
        <v>0</v>
      </c>
      <c r="U69" s="69">
        <f t="shared" si="37"/>
        <v>0</v>
      </c>
      <c r="V69" s="69">
        <f t="shared" si="38"/>
        <v>0</v>
      </c>
      <c r="X69" s="69">
        <f t="shared" si="39"/>
        <v>0</v>
      </c>
      <c r="Z69" s="69">
        <f t="shared" si="40"/>
        <v>0</v>
      </c>
      <c r="AA69" s="69">
        <f t="shared" si="41"/>
        <v>0</v>
      </c>
      <c r="AB69" s="69">
        <f t="shared" si="42"/>
        <v>0</v>
      </c>
      <c r="AC69" s="69">
        <f t="shared" si="43"/>
        <v>0</v>
      </c>
      <c r="AD69" s="69">
        <f t="shared" si="44"/>
        <v>0</v>
      </c>
    </row>
    <row r="70" spans="1:32">
      <c r="A70" s="78" t="s">
        <v>58</v>
      </c>
      <c r="B70" s="73"/>
      <c r="C70" s="73"/>
      <c r="D70" s="73"/>
      <c r="E70" s="70">
        <f>-[18]Relief!E87</f>
        <v>1.9631086</v>
      </c>
      <c r="F70" s="70">
        <f>-[18]Relief!F87</f>
        <v>2.5459728000000004</v>
      </c>
      <c r="G70" s="69">
        <f>-[18]Relief!G87</f>
        <v>3.4225764000000001</v>
      </c>
      <c r="H70" s="69">
        <f>-[18]Relief!H87</f>
        <v>3.3596627000000003</v>
      </c>
      <c r="I70" s="69">
        <f>-[18]Relief!I87</f>
        <v>2.5221567999999999</v>
      </c>
      <c r="J70" s="69">
        <f>-[18]Relief!J87</f>
        <v>4.6320039000000008</v>
      </c>
      <c r="K70" s="69">
        <f>-[18]Relief!K87</f>
        <v>4.1765595000000006</v>
      </c>
      <c r="L70" s="69">
        <f>-[18]Relief!L87</f>
        <v>4.3975052999999997</v>
      </c>
      <c r="M70" s="69">
        <f>-[18]Relief!M87</f>
        <v>5.0443467000000002</v>
      </c>
      <c r="N70" s="69">
        <f>-[18]Relief!N87</f>
        <v>5.2297943999999985</v>
      </c>
      <c r="O70" s="69">
        <f>-[18]Relief!O87</f>
        <v>5.0681452</v>
      </c>
      <c r="P70" s="69">
        <f>-[18]Relief!P87</f>
        <v>7.8023252000000003</v>
      </c>
      <c r="Q70" s="119">
        <f t="shared" si="36"/>
        <v>50.164157500000002</v>
      </c>
      <c r="R70" s="327">
        <v>0</v>
      </c>
      <c r="S70" s="69">
        <f t="shared" si="37"/>
        <v>1.9631086</v>
      </c>
      <c r="T70" s="69">
        <f t="shared" si="37"/>
        <v>0</v>
      </c>
      <c r="U70" s="69">
        <f t="shared" si="37"/>
        <v>0</v>
      </c>
      <c r="V70" s="69">
        <f t="shared" si="38"/>
        <v>1.9631086</v>
      </c>
      <c r="X70" s="69">
        <f t="shared" si="39"/>
        <v>1.9631086</v>
      </c>
      <c r="Z70" s="69">
        <f t="shared" si="40"/>
        <v>7.9316578</v>
      </c>
      <c r="AA70" s="69">
        <f t="shared" si="41"/>
        <v>10.513823400000001</v>
      </c>
      <c r="AB70" s="69">
        <f t="shared" si="42"/>
        <v>13.618411500000001</v>
      </c>
      <c r="AC70" s="69">
        <f t="shared" si="43"/>
        <v>18.100264799999998</v>
      </c>
      <c r="AD70" s="69">
        <f t="shared" si="44"/>
        <v>50.164157500000002</v>
      </c>
    </row>
    <row r="71" spans="1:32">
      <c r="A71" s="78" t="s">
        <v>59</v>
      </c>
      <c r="B71" s="73"/>
      <c r="C71" s="73"/>
      <c r="D71" s="73"/>
      <c r="E71" s="70">
        <f>[17]Act!D206</f>
        <v>0</v>
      </c>
      <c r="F71" s="70">
        <f>[17]Act!E206</f>
        <v>0</v>
      </c>
      <c r="G71" s="69">
        <f>[17]Act!F206</f>
        <v>0</v>
      </c>
      <c r="H71" s="69">
        <f>[17]Act!G206</f>
        <v>0</v>
      </c>
      <c r="I71" s="69">
        <f>[17]Act!H206</f>
        <v>0</v>
      </c>
      <c r="J71" s="69">
        <f>[17]Act!I206</f>
        <v>0</v>
      </c>
      <c r="K71" s="69">
        <f>[17]Act!J206</f>
        <v>0</v>
      </c>
      <c r="L71" s="69">
        <f>[17]Act!K206</f>
        <v>0</v>
      </c>
      <c r="M71" s="69">
        <f>[17]Act!L206</f>
        <v>0</v>
      </c>
      <c r="N71" s="69">
        <f>[17]Act!M206</f>
        <v>0</v>
      </c>
      <c r="O71" s="69">
        <f>[17]Act!N206</f>
        <v>0</v>
      </c>
      <c r="P71" s="69">
        <f>[17]Act!O206</f>
        <v>0</v>
      </c>
      <c r="Q71" s="119">
        <f t="shared" si="36"/>
        <v>0</v>
      </c>
      <c r="R71" s="327">
        <v>0</v>
      </c>
      <c r="S71" s="69">
        <f t="shared" si="37"/>
        <v>0</v>
      </c>
      <c r="T71" s="69">
        <f t="shared" si="37"/>
        <v>0</v>
      </c>
      <c r="U71" s="69">
        <f t="shared" si="37"/>
        <v>0</v>
      </c>
      <c r="V71" s="69">
        <f t="shared" si="38"/>
        <v>0</v>
      </c>
      <c r="X71" s="69">
        <f t="shared" si="39"/>
        <v>0</v>
      </c>
      <c r="Z71" s="69">
        <f t="shared" si="40"/>
        <v>0</v>
      </c>
      <c r="AA71" s="69">
        <f t="shared" si="41"/>
        <v>0</v>
      </c>
      <c r="AB71" s="69">
        <f t="shared" si="42"/>
        <v>0</v>
      </c>
      <c r="AC71" s="69">
        <f t="shared" si="43"/>
        <v>0</v>
      </c>
      <c r="AD71" s="69">
        <f t="shared" si="44"/>
        <v>0</v>
      </c>
    </row>
    <row r="72" spans="1:32">
      <c r="A72" s="78" t="s">
        <v>60</v>
      </c>
      <c r="B72" s="96"/>
      <c r="C72" s="96"/>
      <c r="D72" s="97"/>
      <c r="E72" s="70">
        <f>'[18]New KPI Actual'!F344</f>
        <v>0.41615999999999997</v>
      </c>
      <c r="F72" s="70">
        <f>'[18]New KPI Actual'!G344</f>
        <v>0.44816</v>
      </c>
      <c r="G72" s="69">
        <f>'[18]New KPI Actual'!H344</f>
        <v>0.48115999999999998</v>
      </c>
      <c r="H72" s="69">
        <f>'[18]New KPI Actual'!I344</f>
        <v>0.51815999999999995</v>
      </c>
      <c r="I72" s="69">
        <f>'[18]New KPI Actual'!J344</f>
        <v>0.55915999999999999</v>
      </c>
      <c r="J72" s="69">
        <f>'[18]New KPI Actual'!K344</f>
        <v>0.60416000000000003</v>
      </c>
      <c r="K72" s="69">
        <f>'[18]New KPI Actual'!L344</f>
        <v>0.65315999999999996</v>
      </c>
      <c r="L72" s="69">
        <f>'[18]New KPI Actual'!M344</f>
        <v>0.70616000000000001</v>
      </c>
      <c r="M72" s="69">
        <f>'[18]New KPI Actual'!N344</f>
        <v>0.76215999999999995</v>
      </c>
      <c r="N72" s="69">
        <f>'[18]New KPI Actual'!O344</f>
        <v>0.82316</v>
      </c>
      <c r="O72" s="69">
        <f>'[18]New KPI Actual'!P344</f>
        <v>0.88715999999999995</v>
      </c>
      <c r="P72" s="69">
        <f>'[18]New KPI Actual'!Q344</f>
        <v>0.95516000000000001</v>
      </c>
      <c r="Q72" s="119">
        <f t="shared" si="36"/>
        <v>7.8139199999999986</v>
      </c>
      <c r="R72" s="327">
        <v>0</v>
      </c>
      <c r="S72" s="69">
        <f t="shared" si="37"/>
        <v>0.41615999999999997</v>
      </c>
      <c r="T72" s="69">
        <f t="shared" si="37"/>
        <v>0</v>
      </c>
      <c r="U72" s="69">
        <f t="shared" si="37"/>
        <v>0</v>
      </c>
      <c r="V72" s="69">
        <f t="shared" si="38"/>
        <v>0.41615999999999997</v>
      </c>
      <c r="X72" s="69">
        <f t="shared" si="39"/>
        <v>0.41615999999999997</v>
      </c>
      <c r="Z72" s="69">
        <f t="shared" si="40"/>
        <v>1.34548</v>
      </c>
      <c r="AA72" s="69">
        <f t="shared" si="41"/>
        <v>1.6814799999999999</v>
      </c>
      <c r="AB72" s="69">
        <f t="shared" si="42"/>
        <v>2.12148</v>
      </c>
      <c r="AC72" s="69">
        <f t="shared" si="43"/>
        <v>2.6654799999999996</v>
      </c>
      <c r="AD72" s="69">
        <f t="shared" si="44"/>
        <v>7.8139199999999995</v>
      </c>
    </row>
    <row r="73" spans="1:32" ht="15.95" customHeight="1">
      <c r="A73" s="78" t="s">
        <v>262</v>
      </c>
      <c r="B73" s="96"/>
      <c r="C73" s="96"/>
      <c r="D73" s="97"/>
      <c r="E73" s="70">
        <f>'[18]New KPI Actual'!F45</f>
        <v>2.4651423860199198</v>
      </c>
      <c r="F73" s="70">
        <f>'[18]New KPI Actual'!G45</f>
        <v>2.4651423860199198</v>
      </c>
      <c r="G73" s="70">
        <f>'[18]New KPI Actual'!H45</f>
        <v>2.4651423860199198</v>
      </c>
      <c r="H73" s="70">
        <f>'[18]New KPI Actual'!I45</f>
        <v>2.4651423860199198</v>
      </c>
      <c r="I73" s="70">
        <f>'[18]New KPI Actual'!J45</f>
        <v>2.4651423860199198</v>
      </c>
      <c r="J73" s="70">
        <f>'[18]New KPI Actual'!K45</f>
        <v>2.4651423860199198</v>
      </c>
      <c r="K73" s="70">
        <f>'[18]New KPI Actual'!L45</f>
        <v>2.4651423860199198</v>
      </c>
      <c r="L73" s="70">
        <f>'[18]New KPI Actual'!M45</f>
        <v>2.4651423860199198</v>
      </c>
      <c r="M73" s="70">
        <f>'[18]New KPI Actual'!N45</f>
        <v>2.4651423860199198</v>
      </c>
      <c r="N73" s="70">
        <f>'[18]New KPI Actual'!O45</f>
        <v>2.4651423860199198</v>
      </c>
      <c r="O73" s="70">
        <f>'[18]New KPI Actual'!P45</f>
        <v>2.4651423860199198</v>
      </c>
      <c r="P73" s="70">
        <f>'[18]New KPI Actual'!Q45</f>
        <v>2.4651423860199198</v>
      </c>
      <c r="Q73" s="119">
        <f t="shared" si="36"/>
        <v>29.581708632239039</v>
      </c>
      <c r="R73" s="327">
        <v>0</v>
      </c>
      <c r="S73" s="69">
        <f t="shared" si="37"/>
        <v>2.4651423860199198</v>
      </c>
      <c r="T73" s="69">
        <f t="shared" si="37"/>
        <v>0</v>
      </c>
      <c r="U73" s="69">
        <f t="shared" si="37"/>
        <v>0</v>
      </c>
      <c r="V73" s="69">
        <f t="shared" si="38"/>
        <v>2.4651423860199198</v>
      </c>
      <c r="X73" s="69">
        <f t="shared" si="39"/>
        <v>2.4651423860199198</v>
      </c>
      <c r="Z73" s="69">
        <f t="shared" si="40"/>
        <v>7.3954271580597588</v>
      </c>
      <c r="AA73" s="69">
        <f t="shared" si="41"/>
        <v>7.3954271580597588</v>
      </c>
      <c r="AB73" s="69">
        <f t="shared" si="42"/>
        <v>7.3954271580597588</v>
      </c>
      <c r="AC73" s="69">
        <f t="shared" si="43"/>
        <v>7.3954271580597588</v>
      </c>
      <c r="AD73" s="69">
        <f t="shared" si="44"/>
        <v>29.581708632239035</v>
      </c>
    </row>
    <row r="74" spans="1:32" ht="15.95" customHeight="1">
      <c r="A74" s="78" t="s">
        <v>425</v>
      </c>
      <c r="B74" s="96"/>
      <c r="C74" s="96"/>
      <c r="D74" s="97"/>
      <c r="E74" s="70">
        <v>0</v>
      </c>
      <c r="F74" s="70">
        <v>0</v>
      </c>
      <c r="G74" s="70">
        <v>0</v>
      </c>
      <c r="H74" s="70">
        <v>0</v>
      </c>
      <c r="I74" s="70">
        <v>0</v>
      </c>
      <c r="J74" s="70">
        <v>0</v>
      </c>
      <c r="K74" s="70">
        <v>0</v>
      </c>
      <c r="L74" s="70">
        <v>0</v>
      </c>
      <c r="M74" s="70">
        <v>0</v>
      </c>
      <c r="N74" s="70">
        <v>0</v>
      </c>
      <c r="O74" s="70">
        <v>0</v>
      </c>
      <c r="P74" s="70">
        <v>0</v>
      </c>
      <c r="Q74" s="119">
        <f t="shared" si="36"/>
        <v>0</v>
      </c>
      <c r="R74" s="327">
        <v>0</v>
      </c>
      <c r="S74" s="69">
        <f t="shared" si="37"/>
        <v>0</v>
      </c>
      <c r="T74" s="69">
        <f t="shared" si="37"/>
        <v>0</v>
      </c>
      <c r="U74" s="69">
        <f t="shared" si="37"/>
        <v>0</v>
      </c>
      <c r="V74" s="69">
        <f>SUM(S74:U74)</f>
        <v>0</v>
      </c>
      <c r="X74" s="69">
        <f t="shared" si="39"/>
        <v>0</v>
      </c>
      <c r="Z74" s="69">
        <f>SUM(E74:G74)</f>
        <v>0</v>
      </c>
      <c r="AA74" s="69">
        <f>SUM(H74:J74)</f>
        <v>0</v>
      </c>
      <c r="AB74" s="69">
        <f>SUM(K74:M74)</f>
        <v>0</v>
      </c>
      <c r="AC74" s="69">
        <f>SUM(N74:P74)</f>
        <v>0</v>
      </c>
      <c r="AD74" s="69">
        <f>SUM(Z74:AC74)</f>
        <v>0</v>
      </c>
      <c r="AF74" s="69">
        <f>AA74-Z74</f>
        <v>0</v>
      </c>
    </row>
    <row r="75" spans="1:32" ht="15.95" customHeight="1">
      <c r="A75" s="78" t="s">
        <v>423</v>
      </c>
      <c r="B75" s="96"/>
      <c r="C75" s="96"/>
      <c r="D75" s="97"/>
      <c r="E75" s="70">
        <v>0</v>
      </c>
      <c r="F75" s="70">
        <v>0</v>
      </c>
      <c r="G75" s="70">
        <v>0</v>
      </c>
      <c r="H75" s="70">
        <v>0</v>
      </c>
      <c r="I75" s="70">
        <v>0</v>
      </c>
      <c r="J75" s="70">
        <v>0</v>
      </c>
      <c r="K75" s="70">
        <v>0</v>
      </c>
      <c r="L75" s="70">
        <v>0</v>
      </c>
      <c r="M75" s="70">
        <v>0</v>
      </c>
      <c r="N75" s="70">
        <v>0</v>
      </c>
      <c r="O75" s="70">
        <v>0</v>
      </c>
      <c r="P75" s="70">
        <v>0</v>
      </c>
      <c r="Q75" s="119">
        <f>SUM(E75:P75)</f>
        <v>0</v>
      </c>
      <c r="R75" s="327">
        <v>0</v>
      </c>
      <c r="S75" s="69">
        <f t="shared" si="37"/>
        <v>0</v>
      </c>
      <c r="T75" s="69">
        <f t="shared" si="37"/>
        <v>0</v>
      </c>
      <c r="U75" s="69">
        <f t="shared" si="37"/>
        <v>0</v>
      </c>
      <c r="V75" s="69">
        <f>SUM(S75:U75)</f>
        <v>0</v>
      </c>
      <c r="X75" s="69">
        <f>SUMIF($E$2:$P$2,1,E75:P75)</f>
        <v>0</v>
      </c>
      <c r="Z75" s="69">
        <f>SUM(E75:G75)</f>
        <v>0</v>
      </c>
      <c r="AA75" s="69">
        <f>SUM(H75:J75)</f>
        <v>0</v>
      </c>
      <c r="AB75" s="69">
        <f>SUM(K75:M75)</f>
        <v>0</v>
      </c>
      <c r="AC75" s="69">
        <f>SUM(N75:P75)</f>
        <v>0</v>
      </c>
      <c r="AD75" s="69">
        <f>SUM(Z75:AC75)</f>
        <v>0</v>
      </c>
    </row>
    <row r="76" spans="1:32" ht="15.95" customHeight="1">
      <c r="A76" s="78" t="s">
        <v>424</v>
      </c>
      <c r="B76" s="96"/>
      <c r="C76" s="96"/>
      <c r="D76" s="97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119"/>
      <c r="R76" s="327">
        <v>0</v>
      </c>
      <c r="S76" s="69"/>
      <c r="T76" s="69"/>
      <c r="U76" s="69"/>
      <c r="V76" s="69"/>
      <c r="X76" s="69"/>
      <c r="Z76" s="69"/>
      <c r="AA76" s="69"/>
      <c r="AB76" s="69"/>
      <c r="AC76" s="69"/>
      <c r="AD76" s="69"/>
    </row>
    <row r="77" spans="1:32" ht="15.95" customHeight="1">
      <c r="A77" s="78" t="s">
        <v>421</v>
      </c>
      <c r="B77" s="96"/>
      <c r="C77" s="96"/>
      <c r="D77" s="97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119"/>
      <c r="R77" s="327">
        <v>0</v>
      </c>
      <c r="S77" s="69"/>
      <c r="T77" s="69"/>
      <c r="U77" s="69"/>
      <c r="V77" s="69"/>
      <c r="X77" s="69"/>
      <c r="Z77" s="69"/>
      <c r="AA77" s="69"/>
      <c r="AB77" s="69"/>
      <c r="AC77" s="69"/>
      <c r="AD77" s="69"/>
    </row>
    <row r="78" spans="1:32" ht="15.95" customHeight="1">
      <c r="A78" s="376"/>
      <c r="B78" s="60"/>
      <c r="C78" s="60"/>
      <c r="D78" s="60"/>
      <c r="E78" s="377"/>
      <c r="F78" s="377"/>
      <c r="G78" s="377"/>
      <c r="H78" s="377"/>
      <c r="I78" s="377"/>
      <c r="J78" s="377"/>
      <c r="K78" s="377"/>
      <c r="L78" s="377"/>
      <c r="M78" s="377"/>
      <c r="N78" s="377"/>
      <c r="O78" s="377"/>
      <c r="P78" s="377"/>
      <c r="Q78" s="638"/>
      <c r="S78" s="378"/>
      <c r="T78" s="378"/>
      <c r="U78" s="378"/>
      <c r="V78" s="378"/>
      <c r="X78" s="378"/>
      <c r="Z78" s="378"/>
      <c r="AA78" s="378"/>
      <c r="AB78" s="378"/>
      <c r="AC78" s="378"/>
      <c r="AD78" s="378"/>
    </row>
    <row r="79" spans="1:32">
      <c r="A79" s="94"/>
      <c r="B79" s="94"/>
      <c r="C79" s="94"/>
      <c r="D79" s="94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S79" s="2"/>
      <c r="T79" s="2"/>
      <c r="U79" s="2"/>
      <c r="V79" s="2"/>
      <c r="X79" s="2"/>
      <c r="Z79" s="2"/>
      <c r="AA79" s="2"/>
      <c r="AB79" s="2"/>
      <c r="AC79" s="2"/>
      <c r="AD79" s="2"/>
    </row>
    <row r="80" spans="1:32">
      <c r="A80" s="94"/>
      <c r="B80" s="94"/>
      <c r="C80" s="94"/>
      <c r="D80" s="103" t="s">
        <v>61</v>
      </c>
      <c r="E80" s="98">
        <f>E46-SUM(E62:E77)-E54</f>
        <v>0</v>
      </c>
      <c r="F80" s="98">
        <f t="shared" ref="F80:Q80" si="45">F46-SUM(F62:F77)-F54</f>
        <v>-9.2370555648813024E-14</v>
      </c>
      <c r="G80" s="98">
        <f t="shared" si="45"/>
        <v>0</v>
      </c>
      <c r="H80" s="98">
        <f t="shared" si="45"/>
        <v>-1.1368683772161603E-13</v>
      </c>
      <c r="I80" s="98">
        <f t="shared" si="45"/>
        <v>-9.5923269327613525E-14</v>
      </c>
      <c r="J80" s="98">
        <f t="shared" si="45"/>
        <v>2.0605739337042905E-13</v>
      </c>
      <c r="K80" s="98">
        <f t="shared" si="45"/>
        <v>9.2370555648813024E-14</v>
      </c>
      <c r="L80" s="98">
        <f t="shared" si="45"/>
        <v>2.1316282072803006E-14</v>
      </c>
      <c r="M80" s="98">
        <f t="shared" si="45"/>
        <v>2.2737367544323206E-13</v>
      </c>
      <c r="N80" s="98">
        <f t="shared" si="45"/>
        <v>2.2026824808563106E-13</v>
      </c>
      <c r="O80" s="98">
        <f t="shared" si="45"/>
        <v>-2.1316282072803006E-14</v>
      </c>
      <c r="P80" s="98">
        <f t="shared" si="45"/>
        <v>0</v>
      </c>
      <c r="Q80" s="98">
        <f t="shared" si="45"/>
        <v>4.2632564145606011E-13</v>
      </c>
      <c r="S80" s="98">
        <f>S46-SUM(S62:S77)-S54</f>
        <v>0</v>
      </c>
      <c r="T80" s="98">
        <f>T46-SUM(T62:T77)-T54</f>
        <v>0</v>
      </c>
      <c r="U80" s="98">
        <f>U46-SUM(U62:U77)-U54</f>
        <v>0</v>
      </c>
      <c r="V80" s="98">
        <f>V46-SUM(V62:V77)-V54</f>
        <v>0</v>
      </c>
      <c r="X80" s="98">
        <f>X46-SUM(X62:X77)-X54</f>
        <v>0</v>
      </c>
      <c r="Z80" s="98">
        <f>Z46-SUM(Z62:Z77)-Z54</f>
        <v>-6.8212102632969618E-13</v>
      </c>
      <c r="AA80" s="98">
        <f>AA46-SUM(AA62:AA77)-AA54</f>
        <v>0</v>
      </c>
      <c r="AB80" s="98">
        <f>AB46-SUM(AB62:AB77)-AB54</f>
        <v>-1.1368683772161603E-13</v>
      </c>
      <c r="AC80" s="98">
        <f>AC46-SUM(AC62:AC77)-AC54</f>
        <v>3.836930773104541E-13</v>
      </c>
      <c r="AD80" s="98">
        <f>AD46-SUM(AD62:AD77)-AD54</f>
        <v>2.8421709430404007E-13</v>
      </c>
    </row>
    <row r="81" spans="1:30">
      <c r="A81" s="94"/>
      <c r="B81" s="94"/>
      <c r="C81" s="94"/>
      <c r="D81" s="103" t="s">
        <v>62</v>
      </c>
      <c r="E81" s="98">
        <f>E26-SUM(E62:E63,E65:E70,E72)</f>
        <v>64.291499941393781</v>
      </c>
      <c r="F81" s="98">
        <f t="shared" ref="F81:Q81" si="46">F26-SUM(F62:F63,F65:F70,F72)</f>
        <v>107.94953383722674</v>
      </c>
      <c r="G81" s="98">
        <f t="shared" si="46"/>
        <v>82.075654084393179</v>
      </c>
      <c r="H81" s="98">
        <f t="shared" si="46"/>
        <v>123.75861902158971</v>
      </c>
      <c r="I81" s="98">
        <f t="shared" si="46"/>
        <v>81.688599073671028</v>
      </c>
      <c r="J81" s="98">
        <f t="shared" si="46"/>
        <v>114.01282648758314</v>
      </c>
      <c r="K81" s="98">
        <f t="shared" si="46"/>
        <v>139.94156037460345</v>
      </c>
      <c r="L81" s="98">
        <f t="shared" si="46"/>
        <v>142.27165618319168</v>
      </c>
      <c r="M81" s="98">
        <f t="shared" si="46"/>
        <v>143.46329848540353</v>
      </c>
      <c r="N81" s="98">
        <f t="shared" si="46"/>
        <v>137.15283775328638</v>
      </c>
      <c r="O81" s="98">
        <f t="shared" si="46"/>
        <v>137.25452571909568</v>
      </c>
      <c r="P81" s="98">
        <f t="shared" si="46"/>
        <v>193.25178137559624</v>
      </c>
      <c r="Q81" s="98">
        <f t="shared" si="46"/>
        <v>1467.1123923370344</v>
      </c>
      <c r="S81" s="98">
        <f>S26-SUM(S62:S63,S65:S70,S72)</f>
        <v>64.291499941393781</v>
      </c>
      <c r="T81" s="98">
        <f>T26-SUM(T62:T63,T65:T70,T72)</f>
        <v>0</v>
      </c>
      <c r="U81" s="98">
        <f>U26-SUM(U62:U63,U65:U70,U72)</f>
        <v>0</v>
      </c>
      <c r="V81" s="98">
        <f>V26-SUM(V62:V63,V65:V70,V72)</f>
        <v>64.291499941393781</v>
      </c>
      <c r="X81" s="98">
        <f>X26-SUM(X62:X63,X65:X70,X72)</f>
        <v>64.291499941393781</v>
      </c>
      <c r="Z81" s="98">
        <f>Z26-SUM(Z62:Z63,Z65:Z70,Z72)</f>
        <v>254.31668786301307</v>
      </c>
      <c r="AA81" s="98">
        <f>AA26-SUM(AA62:AA63,AA65:AA70,AA72)</f>
        <v>319.46004458284386</v>
      </c>
      <c r="AB81" s="98">
        <f>AB26-SUM(AB62:AB63,AB65:AB70,AB72)</f>
        <v>425.67651504319821</v>
      </c>
      <c r="AC81" s="98">
        <f>AC26-SUM(AC62:AC63,AC65:AC70,AC72)</f>
        <v>467.65914484797855</v>
      </c>
      <c r="AD81" s="98">
        <f>AD26-SUM(AD62:AD63,AD65:AD70,AD72)</f>
        <v>1467.1123923370342</v>
      </c>
    </row>
    <row r="82" spans="1:30">
      <c r="A82" s="94"/>
      <c r="B82" s="94"/>
      <c r="C82" s="94"/>
      <c r="D82" s="103" t="s">
        <v>63</v>
      </c>
      <c r="E82" s="98">
        <f>E45-E64-E71-E73-E75-E76-E77-E74</f>
        <v>-152.79353577592065</v>
      </c>
      <c r="F82" s="98">
        <f t="shared" ref="F82:Q82" si="47">F45-F64-F71-F73-F75-F76-F77-F74</f>
        <v>-120.33876154745313</v>
      </c>
      <c r="G82" s="98">
        <f t="shared" si="47"/>
        <v>-141.5590833720326</v>
      </c>
      <c r="H82" s="98">
        <f t="shared" si="47"/>
        <v>-113.99023050727517</v>
      </c>
      <c r="I82" s="98">
        <f t="shared" si="47"/>
        <v>-107.73275811854519</v>
      </c>
      <c r="J82" s="98">
        <f t="shared" si="47"/>
        <v>-142.21193190255727</v>
      </c>
      <c r="K82" s="98">
        <f t="shared" si="47"/>
        <v>-148.2677112998002</v>
      </c>
      <c r="L82" s="98">
        <f t="shared" si="47"/>
        <v>-135.64698921670623</v>
      </c>
      <c r="M82" s="98">
        <f t="shared" si="47"/>
        <v>-124.70374272883899</v>
      </c>
      <c r="N82" s="98">
        <f t="shared" si="47"/>
        <v>-138.93536182289623</v>
      </c>
      <c r="O82" s="98">
        <f t="shared" si="47"/>
        <v>-130.79090127498978</v>
      </c>
      <c r="P82" s="98">
        <f t="shared" si="47"/>
        <v>-141.90904664079676</v>
      </c>
      <c r="Q82" s="98">
        <f t="shared" si="47"/>
        <v>-1598.880054207812</v>
      </c>
      <c r="S82" s="98">
        <f>S45-S64-S71-S73-S75-S76-S77-S74</f>
        <v>-152.79353577592065</v>
      </c>
      <c r="T82" s="98">
        <f>T45-T64-T71-T73-T75-T76-T77-T74</f>
        <v>0</v>
      </c>
      <c r="U82" s="98">
        <f>U45-U64-U71-U73-U75-U76-U77-U74</f>
        <v>0</v>
      </c>
      <c r="V82" s="98">
        <f>V45-V64-V71-V73-V75-V76-V77-V74</f>
        <v>-152.79353577592065</v>
      </c>
      <c r="X82" s="98">
        <f>X45-X64-X71-X73-X75-X76-X77-X74</f>
        <v>-152.79353577592065</v>
      </c>
      <c r="Z82" s="98">
        <f>Z45-Z64-Z71-Z73-Z75-Z76-Z77-Z74</f>
        <v>-414.69138069540634</v>
      </c>
      <c r="AA82" s="98">
        <f>AA45-AA64-AA71-AA73-AA75-AA76-AA77-AA74</f>
        <v>-363.93492052837763</v>
      </c>
      <c r="AB82" s="98">
        <f>AB45-AB64-AB71-AB73-AB75-AB76-AB77-AB74</f>
        <v>-408.61844324534542</v>
      </c>
      <c r="AC82" s="98">
        <f>AC45-AC64-AC71-AC73-AC75-AC76-AC77-AC74</f>
        <v>-411.63530973868279</v>
      </c>
      <c r="AD82" s="98">
        <f>AD45-AD64-AD71-AD73-AD75-AD76-AD77-AD74</f>
        <v>-1598.880054207812</v>
      </c>
    </row>
    <row r="83" spans="1:30">
      <c r="A83" s="2"/>
      <c r="B83" s="2"/>
      <c r="C83" s="2"/>
      <c r="D83" s="104" t="s">
        <v>64</v>
      </c>
      <c r="E83" s="99">
        <f>SUM(E81:E82)-E54</f>
        <v>0</v>
      </c>
      <c r="F83" s="99">
        <f t="shared" ref="F83:Q83" si="48">SUM(F81:F82)-F54</f>
        <v>-8.5265128291212022E-14</v>
      </c>
      <c r="G83" s="99">
        <f t="shared" si="48"/>
        <v>0</v>
      </c>
      <c r="H83" s="99">
        <f t="shared" si="48"/>
        <v>-1.1368683772161603E-13</v>
      </c>
      <c r="I83" s="99">
        <f t="shared" si="48"/>
        <v>-9.2370555648813024E-14</v>
      </c>
      <c r="J83" s="99">
        <f t="shared" si="48"/>
        <v>2.1316282072803006E-13</v>
      </c>
      <c r="K83" s="99">
        <f t="shared" si="48"/>
        <v>8.5265128291212022E-14</v>
      </c>
      <c r="L83" s="99">
        <f t="shared" si="48"/>
        <v>0</v>
      </c>
      <c r="M83" s="99">
        <f t="shared" si="48"/>
        <v>2.2737367544323206E-13</v>
      </c>
      <c r="N83" s="99">
        <f t="shared" si="48"/>
        <v>2.2737367544323206E-13</v>
      </c>
      <c r="O83" s="99">
        <f t="shared" si="48"/>
        <v>-4.2632564145606011E-14</v>
      </c>
      <c r="P83" s="99">
        <f t="shared" si="48"/>
        <v>0</v>
      </c>
      <c r="Q83" s="99">
        <f t="shared" si="48"/>
        <v>4.2632564145606011E-13</v>
      </c>
      <c r="S83" s="99">
        <f>SUM(S81:S82)-S54</f>
        <v>0</v>
      </c>
      <c r="T83" s="99">
        <f>SUM(T81:T82)-T54</f>
        <v>0</v>
      </c>
      <c r="U83" s="99">
        <f>SUM(U81:U82)-U54</f>
        <v>0</v>
      </c>
      <c r="V83" s="99">
        <f>SUM(V81:V82)-V54</f>
        <v>0</v>
      </c>
      <c r="X83" s="99">
        <f>SUM(X81:X82)-X54</f>
        <v>0</v>
      </c>
      <c r="Z83" s="99">
        <f>SUM(Z81:Z82)-Z54</f>
        <v>-7.1054273576010019E-13</v>
      </c>
      <c r="AA83" s="99">
        <f>SUM(AA81:AA82)-AA54</f>
        <v>0</v>
      </c>
      <c r="AB83" s="99">
        <f>SUM(AB81:AB82)-AB54</f>
        <v>-1.4210854715202004E-13</v>
      </c>
      <c r="AC83" s="99">
        <f>SUM(AC81:AC82)-AC54</f>
        <v>3.836930773104541E-13</v>
      </c>
      <c r="AD83" s="99">
        <f>SUM(AD81:AD82)-AD54</f>
        <v>0</v>
      </c>
    </row>
  </sheetData>
  <phoneticPr fontId="16" type="noConversion"/>
  <pageMargins left="0.7" right="0.7" top="0.75" bottom="0.75" header="0.3" footer="0.3"/>
  <customProperties>
    <customPr name="_pios_id" r:id="rId1"/>
    <customPr name="EpmWorksheetKeyString_GUID" r:id="rId2"/>
  </customPropertie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D937E-64F7-43DB-8389-D65D0DBF7B54}">
  <sheetPr>
    <tabColor rgb="FF00B050"/>
  </sheetPr>
  <dimension ref="A1:AD83"/>
  <sheetViews>
    <sheetView showGridLines="0" zoomScale="70" zoomScaleNormal="70" workbookViewId="0"/>
  </sheetViews>
  <sheetFormatPr defaultRowHeight="15" outlineLevelRow="1"/>
  <cols>
    <col min="1" max="1" width="2.140625" customWidth="1"/>
    <col min="2" max="2" width="11.42578125" customWidth="1"/>
    <col min="3" max="3" width="51.140625" bestFit="1" customWidth="1"/>
    <col min="4" max="4" width="5.85546875" customWidth="1"/>
    <col min="5" max="6" width="10.140625" bestFit="1" customWidth="1"/>
    <col min="7" max="7" width="11" bestFit="1" customWidth="1"/>
    <col min="8" max="9" width="10.140625" bestFit="1" customWidth="1"/>
    <col min="10" max="10" width="10.5703125" bestFit="1" customWidth="1"/>
    <col min="11" max="15" width="10.140625" bestFit="1" customWidth="1"/>
    <col min="16" max="16" width="10.85546875" bestFit="1" customWidth="1"/>
    <col min="17" max="17" width="12.140625" bestFit="1" customWidth="1"/>
    <col min="19" max="19" width="9.42578125" bestFit="1" customWidth="1"/>
    <col min="20" max="22" width="11" bestFit="1" customWidth="1"/>
    <col min="24" max="24" width="9.42578125" bestFit="1" customWidth="1"/>
    <col min="26" max="26" width="9.42578125" bestFit="1" customWidth="1"/>
    <col min="27" max="30" width="11" bestFit="1" customWidth="1"/>
  </cols>
  <sheetData>
    <row r="1" spans="1:30">
      <c r="B1" s="214" t="str">
        <f>'Summary month'!E2</f>
        <v>Apr</v>
      </c>
      <c r="E1" s="135">
        <v>2</v>
      </c>
      <c r="F1" s="135">
        <f>E1+1</f>
        <v>3</v>
      </c>
      <c r="G1" s="135">
        <f t="shared" ref="G1:P1" si="0">F1+1</f>
        <v>4</v>
      </c>
      <c r="H1" s="135">
        <f t="shared" si="0"/>
        <v>5</v>
      </c>
      <c r="I1" s="135">
        <f t="shared" si="0"/>
        <v>6</v>
      </c>
      <c r="J1" s="135">
        <f t="shared" si="0"/>
        <v>7</v>
      </c>
      <c r="K1" s="135">
        <f t="shared" si="0"/>
        <v>8</v>
      </c>
      <c r="L1" s="135">
        <f t="shared" si="0"/>
        <v>9</v>
      </c>
      <c r="M1" s="135">
        <f t="shared" si="0"/>
        <v>10</v>
      </c>
      <c r="N1" s="135">
        <f t="shared" si="0"/>
        <v>11</v>
      </c>
      <c r="O1" s="135">
        <f t="shared" si="0"/>
        <v>12</v>
      </c>
      <c r="P1" s="135">
        <f t="shared" si="0"/>
        <v>13</v>
      </c>
    </row>
    <row r="2" spans="1:30">
      <c r="A2" s="1" t="s">
        <v>0</v>
      </c>
      <c r="B2" s="1"/>
      <c r="C2" s="1"/>
      <c r="D2" s="1" t="s">
        <v>79</v>
      </c>
      <c r="E2" s="2">
        <f>VLOOKUP($B$1,mapping!$C$15:$O$26,E$1,0)</f>
        <v>1</v>
      </c>
      <c r="F2" s="2">
        <f>VLOOKUP($B$1,mapping!$C$15:$O$26,F$1,0)</f>
        <v>0</v>
      </c>
      <c r="G2" s="2">
        <f>VLOOKUP($B$1,mapping!$C$15:$O$26,G$1,0)</f>
        <v>0</v>
      </c>
      <c r="H2" s="2">
        <f>VLOOKUP($B$1,mapping!$C$15:$O$26,H$1,0)</f>
        <v>0</v>
      </c>
      <c r="I2" s="2">
        <f>VLOOKUP($B$1,mapping!$C$15:$O$26,I$1,0)</f>
        <v>0</v>
      </c>
      <c r="J2" s="2">
        <f>VLOOKUP($B$1,mapping!$C$15:$O$26,J$1,0)</f>
        <v>0</v>
      </c>
      <c r="K2" s="2">
        <f>VLOOKUP($B$1,mapping!$C$15:$O$26,K$1,0)</f>
        <v>0</v>
      </c>
      <c r="L2" s="2">
        <f>VLOOKUP($B$1,mapping!$C$15:$O$26,L$1,0)</f>
        <v>0</v>
      </c>
      <c r="M2" s="2">
        <f>VLOOKUP($B$1,mapping!$C$15:$O$26,M$1,0)</f>
        <v>0</v>
      </c>
      <c r="N2" s="2">
        <f>VLOOKUP($B$1,mapping!$C$15:$O$26,N$1,0)</f>
        <v>0</v>
      </c>
      <c r="O2" s="2">
        <f>VLOOKUP($B$1,mapping!$C$15:$O$26,O$1,0)</f>
        <v>0</v>
      </c>
      <c r="P2" s="2">
        <f>VLOOKUP($B$1,mapping!$C$15:$O$26,P$1,0)</f>
        <v>0</v>
      </c>
      <c r="S2" s="122"/>
      <c r="T2" s="122"/>
      <c r="U2" s="122"/>
      <c r="V2" s="122"/>
      <c r="Z2" s="122"/>
      <c r="AA2" s="122"/>
      <c r="AB2" s="122"/>
      <c r="AC2" s="122"/>
      <c r="AD2" s="122"/>
    </row>
    <row r="3" spans="1:30" ht="14.45" customHeight="1">
      <c r="A3" s="3" t="s">
        <v>1</v>
      </c>
      <c r="B3" s="4"/>
      <c r="C3" s="5"/>
      <c r="D3" s="5" t="s">
        <v>103</v>
      </c>
      <c r="E3" s="2">
        <f>VLOOKUP($B1,mapping!$C$28:$O$39,E$1,0)</f>
        <v>1</v>
      </c>
      <c r="F3" s="2">
        <f>VLOOKUP($B1,mapping!$C$28:$O$39,F$1,0)</f>
        <v>0</v>
      </c>
      <c r="G3" s="2">
        <f>VLOOKUP($B1,mapping!$C$28:$O$39,G$1,0)</f>
        <v>0</v>
      </c>
      <c r="H3" s="2">
        <f>VLOOKUP($B1,mapping!$C$28:$O$39,H$1,0)</f>
        <v>0</v>
      </c>
      <c r="I3" s="2">
        <f>VLOOKUP($B1,mapping!$C$28:$O$39,I$1,0)</f>
        <v>0</v>
      </c>
      <c r="J3" s="2">
        <f>VLOOKUP($B1,mapping!$C$28:$O$39,J$1,0)</f>
        <v>0</v>
      </c>
      <c r="K3" s="2">
        <f>VLOOKUP($B1,mapping!$C$28:$O$39,K$1,0)</f>
        <v>0</v>
      </c>
      <c r="L3" s="2">
        <f>VLOOKUP($B1,mapping!$C$28:$O$39,L$1,0)</f>
        <v>0</v>
      </c>
      <c r="M3" s="2">
        <f>VLOOKUP($B1,mapping!$C$28:$O$39,M$1,0)</f>
        <v>0</v>
      </c>
      <c r="N3" s="2">
        <f>VLOOKUP($B1,mapping!$C$28:$O$39,N$1,0)</f>
        <v>0</v>
      </c>
      <c r="O3" s="2">
        <f>VLOOKUP($B1,mapping!$C$28:$O$39,O$1,0)</f>
        <v>0</v>
      </c>
      <c r="P3" s="2">
        <f>VLOOKUP($B1,mapping!$C$28:$O$39,P$1,0)</f>
        <v>0</v>
      </c>
      <c r="S3">
        <f>INDEX($E$3:$P$3,1,MATCH(S5,$E$5:$P$5,0))</f>
        <v>1</v>
      </c>
      <c r="T3">
        <f>INDEX($E$3:$P$3,1,MATCH(T5,$E$5:$P$5,0))</f>
        <v>0</v>
      </c>
      <c r="U3">
        <f>INDEX($E$3:$P$3,1,MATCH(U5,$E$5:$P$5,0))</f>
        <v>0</v>
      </c>
      <c r="V3" s="122"/>
      <c r="AB3" s="122"/>
      <c r="AC3" s="122"/>
      <c r="AD3" s="122"/>
    </row>
    <row r="4" spans="1:30" ht="14.45" customHeight="1">
      <c r="A4" s="3"/>
      <c r="B4" s="4"/>
      <c r="C4" s="5"/>
      <c r="D4" s="5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U4" s="122"/>
      <c r="V4" s="122"/>
      <c r="AB4" s="122"/>
      <c r="AC4" s="122"/>
      <c r="AD4" s="122"/>
    </row>
    <row r="5" spans="1:30">
      <c r="A5" s="4"/>
      <c r="B5" s="4"/>
      <c r="C5" s="5">
        <f>[19]Act!$C$264</f>
        <v>0</v>
      </c>
      <c r="D5" s="5"/>
      <c r="E5" s="100" t="s">
        <v>65</v>
      </c>
      <c r="F5" s="101" t="s">
        <v>66</v>
      </c>
      <c r="G5" s="101" t="s">
        <v>67</v>
      </c>
      <c r="H5" s="101" t="s">
        <v>2</v>
      </c>
      <c r="I5" s="101" t="s">
        <v>3</v>
      </c>
      <c r="J5" s="101" t="s">
        <v>4</v>
      </c>
      <c r="K5" s="101" t="s">
        <v>68</v>
      </c>
      <c r="L5" s="101" t="s">
        <v>69</v>
      </c>
      <c r="M5" s="101" t="s">
        <v>70</v>
      </c>
      <c r="N5" s="101" t="s">
        <v>71</v>
      </c>
      <c r="O5" s="101" t="s">
        <v>72</v>
      </c>
      <c r="P5" s="102" t="s">
        <v>73</v>
      </c>
      <c r="Q5" s="107" t="s">
        <v>74</v>
      </c>
      <c r="S5" s="101" t="str">
        <f>VLOOKUP(VLOOKUP(B1,mapping!$A:$C,2,0),mapping!$B:$C,2,0)</f>
        <v>M01</v>
      </c>
      <c r="T5" s="101" t="str">
        <f>LEFT(S5,2)&amp;(RIGHT(S5,1)+1)</f>
        <v>M02</v>
      </c>
      <c r="U5" s="101" t="str">
        <f>LEFT(T5,2)&amp;(RIGHT(T5,1)+1)</f>
        <v>M03</v>
      </c>
      <c r="V5" s="101" t="str">
        <f>VLOOKUP(B1,mapping!$A$2:$B$13,2,0)</f>
        <v>Q1</v>
      </c>
      <c r="X5" s="101" t="s">
        <v>79</v>
      </c>
      <c r="Z5" s="101" t="s">
        <v>75</v>
      </c>
      <c r="AA5" s="101" t="s">
        <v>76</v>
      </c>
      <c r="AB5" s="101" t="s">
        <v>77</v>
      </c>
      <c r="AC5" s="101" t="s">
        <v>78</v>
      </c>
      <c r="AD5" s="101" t="s">
        <v>74</v>
      </c>
    </row>
    <row r="6" spans="1:30">
      <c r="A6" s="6"/>
      <c r="B6" s="7" t="s">
        <v>5</v>
      </c>
      <c r="C6" s="7"/>
      <c r="D6" s="8"/>
      <c r="E6" s="9">
        <v>1354.65</v>
      </c>
      <c r="F6" s="10">
        <v>1399.432</v>
      </c>
      <c r="G6" s="10">
        <v>1670.394</v>
      </c>
      <c r="H6" s="10">
        <f>'[9]P&amp;L Actual'!K9</f>
        <v>1314.5139999999999</v>
      </c>
      <c r="I6" s="10">
        <f>'[9]P&amp;L Actual'!L9</f>
        <v>995.69500000000005</v>
      </c>
      <c r="J6" s="10">
        <f>'[9]P&amp;L Actual'!M9</f>
        <v>1410.3340000000001</v>
      </c>
      <c r="K6" s="10">
        <f>'[9]P&amp;L Actual'!N9</f>
        <v>1325.761</v>
      </c>
      <c r="L6" s="10">
        <f>'[9]P&amp;L Actual'!O9</f>
        <v>1374.731</v>
      </c>
      <c r="M6" s="10">
        <f>'[9]P&amp;L Actual'!P9</f>
        <v>1492.8671200000001</v>
      </c>
      <c r="N6" s="10">
        <f>'[9]P&amp;L Actual'!Q9</f>
        <v>1255.134</v>
      </c>
      <c r="O6" s="10">
        <f>'[9]P&amp;L Actual'!R9</f>
        <v>1224.683</v>
      </c>
      <c r="P6" s="10">
        <f>'[9]P&amp;L Actual'!S9</f>
        <v>1749.1785</v>
      </c>
      <c r="Q6" s="105">
        <f>SUM(E6:P6)</f>
        <v>16567.373619999998</v>
      </c>
      <c r="S6" s="10">
        <f>SUMIFS($E6:$P6,$E$3:$P$3,1,$E$5:$P$5,S$5)</f>
        <v>1354.65</v>
      </c>
      <c r="T6" s="10">
        <f>SUMIFS($E6:$P6,$E$3:$P$3,1,$E$5:$P$5,T$5)</f>
        <v>0</v>
      </c>
      <c r="U6" s="10">
        <f>SUMIFS($E6:$P6,$E$3:$P$3,1,$E$5:$P$5,U$5)</f>
        <v>0</v>
      </c>
      <c r="V6" s="10">
        <f>SUM(S6:U6)</f>
        <v>1354.65</v>
      </c>
      <c r="X6" s="10">
        <f>SUMIF($E$2:$P$2,1,E6:P6)</f>
        <v>1354.65</v>
      </c>
      <c r="Z6" s="10">
        <f>SUM(E6:G6)</f>
        <v>4424.4760000000006</v>
      </c>
      <c r="AA6" s="10">
        <f>SUM(H6:J6)</f>
        <v>3720.5429999999997</v>
      </c>
      <c r="AB6" s="10">
        <f>SUM(K6:M6)</f>
        <v>4193.3591200000001</v>
      </c>
      <c r="AC6" s="10">
        <f>SUM(N6:P6)</f>
        <v>4228.9955</v>
      </c>
      <c r="AD6" s="10">
        <f>SUM(Z6:AC6)</f>
        <v>16567.373620000002</v>
      </c>
    </row>
    <row r="7" spans="1:30">
      <c r="A7" s="6"/>
      <c r="B7" s="7" t="s">
        <v>6</v>
      </c>
      <c r="C7" s="7"/>
      <c r="D7" s="8"/>
      <c r="E7" s="9">
        <v>22.135000000000002</v>
      </c>
      <c r="F7" s="10">
        <v>26.58</v>
      </c>
      <c r="G7" s="10">
        <v>35.018999999999998</v>
      </c>
      <c r="H7" s="10">
        <f>'[9]P&amp;L Actual'!K5/1000</f>
        <v>27.681999999999999</v>
      </c>
      <c r="I7" s="10">
        <f>'[9]P&amp;L Actual'!L5/1000</f>
        <v>19.140999999999998</v>
      </c>
      <c r="J7" s="10">
        <f>'[9]P&amp;L Actual'!M5/1000</f>
        <v>41.185000000000002</v>
      </c>
      <c r="K7" s="10">
        <f>'[9]P&amp;L Actual'!N5/1000</f>
        <v>24.805</v>
      </c>
      <c r="L7" s="10">
        <f>'[9]P&amp;L Actual'!O5/1000</f>
        <v>29.928000000000001</v>
      </c>
      <c r="M7" s="10">
        <f>'[9]P&amp;L Actual'!P5/1000</f>
        <v>33.008000000000003</v>
      </c>
      <c r="N7" s="10">
        <f>'[9]P&amp;L Actual'!Q5/1000</f>
        <v>31.613</v>
      </c>
      <c r="O7" s="10">
        <f>'[9]P&amp;L Actual'!R5/1000</f>
        <v>31.645</v>
      </c>
      <c r="P7" s="10">
        <f>'[9]P&amp;L Actual'!S5/1000</f>
        <v>56.146999999999998</v>
      </c>
      <c r="Q7" s="105">
        <f t="shared" ref="Q7:Q12" si="1">SUM(E7:P7)</f>
        <v>378.88799999999998</v>
      </c>
      <c r="S7" s="10">
        <f t="shared" ref="S7:U13" si="2">SUMIFS($E7:$P7,$E$3:$P$3,1,$E$5:$P$5,S$5)</f>
        <v>22.135000000000002</v>
      </c>
      <c r="T7" s="10">
        <f t="shared" si="2"/>
        <v>0</v>
      </c>
      <c r="U7" s="10">
        <f t="shared" si="2"/>
        <v>0</v>
      </c>
      <c r="V7" s="10">
        <f t="shared" ref="V7:V13" si="3">SUM(S7:U7)</f>
        <v>22.135000000000002</v>
      </c>
      <c r="X7" s="10">
        <f t="shared" ref="X7:X13" si="4">SUMIF($E$2:$P$2,1,E7:P7)</f>
        <v>22.135000000000002</v>
      </c>
      <c r="Z7" s="10">
        <f t="shared" ref="Z7:Z13" si="5">SUM(E7:G7)</f>
        <v>83.734000000000009</v>
      </c>
      <c r="AA7" s="10">
        <f t="shared" ref="AA7:AA13" si="6">SUM(H7:J7)</f>
        <v>88.007999999999996</v>
      </c>
      <c r="AB7" s="10">
        <f t="shared" ref="AB7:AB13" si="7">SUM(K7:M7)</f>
        <v>87.741000000000014</v>
      </c>
      <c r="AC7" s="10">
        <f t="shared" ref="AC7:AC13" si="8">SUM(N7:P7)</f>
        <v>119.405</v>
      </c>
      <c r="AD7" s="10">
        <f t="shared" ref="AD7:AD13" si="9">SUM(Z7:AC7)</f>
        <v>378.88800000000003</v>
      </c>
    </row>
    <row r="8" spans="1:30">
      <c r="A8" s="6"/>
      <c r="B8" s="7" t="s">
        <v>7</v>
      </c>
      <c r="C8" s="7"/>
      <c r="D8" s="8"/>
      <c r="E8" s="9">
        <v>0</v>
      </c>
      <c r="F8" s="10">
        <v>0</v>
      </c>
      <c r="G8" s="10">
        <v>0</v>
      </c>
      <c r="H8" s="10">
        <f>'[9]P&amp;L Actual'!K6/1000</f>
        <v>0</v>
      </c>
      <c r="I8" s="10">
        <f>'[9]P&amp;L Actual'!L6/1000</f>
        <v>0</v>
      </c>
      <c r="J8" s="10">
        <f>'[9]P&amp;L Actual'!M6/1000</f>
        <v>0</v>
      </c>
      <c r="K8" s="10">
        <f>'[9]P&amp;L Actual'!N6/1000</f>
        <v>0</v>
      </c>
      <c r="L8" s="10">
        <f>'[9]P&amp;L Actual'!O6/1000</f>
        <v>0</v>
      </c>
      <c r="M8" s="10">
        <f>'[9]P&amp;L Actual'!P6/1000</f>
        <v>0</v>
      </c>
      <c r="N8" s="10">
        <f>'[9]P&amp;L Actual'!Q6/1000</f>
        <v>0</v>
      </c>
      <c r="O8" s="10">
        <f>'[9]P&amp;L Actual'!R6/1000</f>
        <v>0</v>
      </c>
      <c r="P8" s="10">
        <f>'[9]P&amp;L Actual'!S6/1000</f>
        <v>0</v>
      </c>
      <c r="Q8" s="105">
        <f t="shared" si="1"/>
        <v>0</v>
      </c>
      <c r="S8" s="10">
        <f t="shared" si="2"/>
        <v>0</v>
      </c>
      <c r="T8" s="10">
        <f t="shared" si="2"/>
        <v>0</v>
      </c>
      <c r="U8" s="10">
        <f t="shared" si="2"/>
        <v>0</v>
      </c>
      <c r="V8" s="10">
        <f t="shared" si="3"/>
        <v>0</v>
      </c>
      <c r="X8" s="10">
        <f t="shared" si="4"/>
        <v>0</v>
      </c>
      <c r="Z8" s="10">
        <f t="shared" si="5"/>
        <v>0</v>
      </c>
      <c r="AA8" s="10">
        <f t="shared" si="6"/>
        <v>0</v>
      </c>
      <c r="AB8" s="10">
        <f t="shared" si="7"/>
        <v>0</v>
      </c>
      <c r="AC8" s="10">
        <f t="shared" si="8"/>
        <v>0</v>
      </c>
      <c r="AD8" s="10">
        <f t="shared" si="9"/>
        <v>0</v>
      </c>
    </row>
    <row r="9" spans="1:30">
      <c r="A9" s="6"/>
      <c r="B9" s="7" t="s">
        <v>8</v>
      </c>
      <c r="C9" s="7"/>
      <c r="D9" s="8"/>
      <c r="E9" s="9">
        <v>0</v>
      </c>
      <c r="F9" s="10">
        <v>0</v>
      </c>
      <c r="G9" s="10">
        <v>0</v>
      </c>
      <c r="H9" s="10">
        <f>'[9]P&amp;L Actual'!K7/1000</f>
        <v>0</v>
      </c>
      <c r="I9" s="10">
        <f>'[9]P&amp;L Actual'!L7/1000</f>
        <v>0</v>
      </c>
      <c r="J9" s="10">
        <f>'[9]P&amp;L Actual'!M7/1000</f>
        <v>0</v>
      </c>
      <c r="K9" s="10">
        <f>'[9]P&amp;L Actual'!N7/1000</f>
        <v>0</v>
      </c>
      <c r="L9" s="10">
        <f>'[9]P&amp;L Actual'!O7/1000</f>
        <v>0</v>
      </c>
      <c r="M9" s="10">
        <f>'[9]P&amp;L Actual'!P7/1000</f>
        <v>0</v>
      </c>
      <c r="N9" s="10">
        <f>'[9]P&amp;L Actual'!Q7/1000</f>
        <v>0</v>
      </c>
      <c r="O9" s="10">
        <f>'[9]P&amp;L Actual'!R7/1000</f>
        <v>0</v>
      </c>
      <c r="P9" s="10">
        <f>'[9]P&amp;L Actual'!S7/1000</f>
        <v>0</v>
      </c>
      <c r="Q9" s="105">
        <f t="shared" si="1"/>
        <v>0</v>
      </c>
      <c r="S9" s="10">
        <f t="shared" si="2"/>
        <v>0</v>
      </c>
      <c r="T9" s="10">
        <f t="shared" si="2"/>
        <v>0</v>
      </c>
      <c r="U9" s="10">
        <f t="shared" si="2"/>
        <v>0</v>
      </c>
      <c r="V9" s="10">
        <f t="shared" si="3"/>
        <v>0</v>
      </c>
      <c r="X9" s="10">
        <f t="shared" si="4"/>
        <v>0</v>
      </c>
      <c r="Z9" s="10">
        <f t="shared" si="5"/>
        <v>0</v>
      </c>
      <c r="AA9" s="10">
        <f t="shared" si="6"/>
        <v>0</v>
      </c>
      <c r="AB9" s="10">
        <f t="shared" si="7"/>
        <v>0</v>
      </c>
      <c r="AC9" s="10">
        <f t="shared" si="8"/>
        <v>0</v>
      </c>
      <c r="AD9" s="10">
        <f t="shared" si="9"/>
        <v>0</v>
      </c>
    </row>
    <row r="10" spans="1:30">
      <c r="A10" s="6"/>
      <c r="B10" s="7" t="s">
        <v>9</v>
      </c>
      <c r="C10" s="7"/>
      <c r="D10" s="8"/>
      <c r="E10" s="9">
        <v>21.245000000000001</v>
      </c>
      <c r="F10" s="10">
        <v>20.728000000000002</v>
      </c>
      <c r="G10" s="10">
        <v>34.185000000000002</v>
      </c>
      <c r="H10" s="10">
        <f>'[9]P&amp;L Actual'!K21/1000</f>
        <v>31.286999999999999</v>
      </c>
      <c r="I10" s="10">
        <f>'[9]P&amp;L Actual'!L21/1000</f>
        <v>23.530999999999999</v>
      </c>
      <c r="J10" s="10">
        <f>'[9]P&amp;L Actual'!M21/1000</f>
        <v>36.960999999999999</v>
      </c>
      <c r="K10" s="10">
        <f>'[9]P&amp;L Actual'!N21/1000</f>
        <v>24.908999999999999</v>
      </c>
      <c r="L10" s="10">
        <f>'[9]P&amp;L Actual'!O21/1000</f>
        <v>28.47</v>
      </c>
      <c r="M10" s="10">
        <f>'[9]P&amp;L Actual'!P21/1000</f>
        <v>29.431999999999999</v>
      </c>
      <c r="N10" s="10">
        <f>'[9]P&amp;L Actual'!Q21/1000</f>
        <v>28.094000000000001</v>
      </c>
      <c r="O10" s="10">
        <f>'[9]P&amp;L Actual'!R21/1000</f>
        <v>33.4</v>
      </c>
      <c r="P10" s="10">
        <f>'[9]P&amp;L Actual'!S21/1000</f>
        <v>52.536000000000001</v>
      </c>
      <c r="Q10" s="105">
        <f t="shared" si="1"/>
        <v>364.77799999999996</v>
      </c>
      <c r="S10" s="10">
        <f t="shared" si="2"/>
        <v>21.245000000000001</v>
      </c>
      <c r="T10" s="10">
        <f t="shared" si="2"/>
        <v>0</v>
      </c>
      <c r="U10" s="10">
        <f t="shared" si="2"/>
        <v>0</v>
      </c>
      <c r="V10" s="10">
        <f t="shared" si="3"/>
        <v>21.245000000000001</v>
      </c>
      <c r="X10" s="10">
        <f t="shared" si="4"/>
        <v>21.245000000000001</v>
      </c>
      <c r="Z10" s="10">
        <f t="shared" si="5"/>
        <v>76.158000000000001</v>
      </c>
      <c r="AA10" s="10">
        <f t="shared" si="6"/>
        <v>91.778999999999996</v>
      </c>
      <c r="AB10" s="10">
        <f t="shared" si="7"/>
        <v>82.810999999999993</v>
      </c>
      <c r="AC10" s="10">
        <f t="shared" si="8"/>
        <v>114.03</v>
      </c>
      <c r="AD10" s="10">
        <f t="shared" si="9"/>
        <v>364.77800000000002</v>
      </c>
    </row>
    <row r="11" spans="1:30">
      <c r="A11" s="6"/>
      <c r="B11" s="7" t="s">
        <v>10</v>
      </c>
      <c r="C11" s="7"/>
      <c r="D11" s="8"/>
      <c r="E11" s="9">
        <v>8.0000000000000002E-3</v>
      </c>
      <c r="F11" s="10">
        <v>8.9999999999999993E-3</v>
      </c>
      <c r="G11" s="10">
        <v>6.0000000000000001E-3</v>
      </c>
      <c r="H11" s="10">
        <f>'[9]P&amp;L Actual'!K22/1000</f>
        <v>7.0000000000000001E-3</v>
      </c>
      <c r="I11" s="10">
        <f>'[9]P&amp;L Actual'!L22/1000</f>
        <v>5.0000000000000001E-3</v>
      </c>
      <c r="J11" s="10">
        <f>'[9]P&amp;L Actual'!M22/1000</f>
        <v>8.0000000000000002E-3</v>
      </c>
      <c r="K11" s="10">
        <f>'[9]P&amp;L Actual'!N22/1000</f>
        <v>8.9999999999999993E-3</v>
      </c>
      <c r="L11" s="10">
        <f>'[9]P&amp;L Actual'!O22/1000</f>
        <v>1.7999999999999999E-2</v>
      </c>
      <c r="M11" s="10">
        <f>'[9]P&amp;L Actual'!P22/1000</f>
        <v>8.0000000000000002E-3</v>
      </c>
      <c r="N11" s="10">
        <f>'[9]P&amp;L Actual'!Q22/1000</f>
        <v>1.0999999999999999E-2</v>
      </c>
      <c r="O11" s="10">
        <f>'[9]P&amp;L Actual'!R22/1000</f>
        <v>8.0000000000000002E-3</v>
      </c>
      <c r="P11" s="10">
        <f>'[9]P&amp;L Actual'!S22/1000</f>
        <v>2.8000000000000001E-2</v>
      </c>
      <c r="Q11" s="105">
        <f t="shared" si="1"/>
        <v>0.12499999999999997</v>
      </c>
      <c r="S11" s="10">
        <f t="shared" si="2"/>
        <v>8.0000000000000002E-3</v>
      </c>
      <c r="T11" s="10">
        <f t="shared" si="2"/>
        <v>0</v>
      </c>
      <c r="U11" s="10">
        <f t="shared" si="2"/>
        <v>0</v>
      </c>
      <c r="V11" s="10">
        <f t="shared" si="3"/>
        <v>8.0000000000000002E-3</v>
      </c>
      <c r="X11" s="10">
        <f t="shared" si="4"/>
        <v>8.0000000000000002E-3</v>
      </c>
      <c r="Z11" s="10">
        <f t="shared" si="5"/>
        <v>2.3E-2</v>
      </c>
      <c r="AA11" s="10">
        <f t="shared" si="6"/>
        <v>0.02</v>
      </c>
      <c r="AB11" s="10">
        <f t="shared" si="7"/>
        <v>3.4999999999999996E-2</v>
      </c>
      <c r="AC11" s="10">
        <f t="shared" si="8"/>
        <v>4.7E-2</v>
      </c>
      <c r="AD11" s="10">
        <f t="shared" si="9"/>
        <v>0.12499999999999999</v>
      </c>
    </row>
    <row r="12" spans="1:30">
      <c r="A12" s="6"/>
      <c r="B12" s="7" t="s">
        <v>11</v>
      </c>
      <c r="C12" s="7"/>
      <c r="D12" s="8"/>
      <c r="E12" s="9">
        <v>0</v>
      </c>
      <c r="F12" s="10">
        <v>0</v>
      </c>
      <c r="G12" s="10">
        <v>0</v>
      </c>
      <c r="H12" s="10">
        <f>'[9]P&amp;L Actual'!K23/1000</f>
        <v>0</v>
      </c>
      <c r="I12" s="10">
        <f>'[9]P&amp;L Actual'!L23/1000</f>
        <v>0</v>
      </c>
      <c r="J12" s="10">
        <f>'[9]P&amp;L Actual'!M23/1000</f>
        <v>0</v>
      </c>
      <c r="K12" s="10">
        <f>'[9]P&amp;L Actual'!N23/1000</f>
        <v>0</v>
      </c>
      <c r="L12" s="10">
        <f>'[9]P&amp;L Actual'!O23/1000</f>
        <v>0</v>
      </c>
      <c r="M12" s="10">
        <f>'[9]P&amp;L Actual'!P23/1000</f>
        <v>0</v>
      </c>
      <c r="N12" s="10">
        <f>'[9]P&amp;L Actual'!Q23/1000</f>
        <v>0</v>
      </c>
      <c r="O12" s="10">
        <f>'[9]P&amp;L Actual'!R23/1000</f>
        <v>0</v>
      </c>
      <c r="P12" s="10">
        <f>'[9]P&amp;L Actual'!S23/1000</f>
        <v>0</v>
      </c>
      <c r="Q12" s="106">
        <f t="shared" si="1"/>
        <v>0</v>
      </c>
      <c r="S12" s="10">
        <f t="shared" si="2"/>
        <v>0</v>
      </c>
      <c r="T12" s="10">
        <f t="shared" si="2"/>
        <v>0</v>
      </c>
      <c r="U12" s="10">
        <f t="shared" si="2"/>
        <v>0</v>
      </c>
      <c r="V12" s="10">
        <f t="shared" si="3"/>
        <v>0</v>
      </c>
      <c r="X12" s="10">
        <f t="shared" si="4"/>
        <v>0</v>
      </c>
      <c r="Z12" s="10">
        <f t="shared" si="5"/>
        <v>0</v>
      </c>
      <c r="AA12" s="10">
        <f t="shared" si="6"/>
        <v>0</v>
      </c>
      <c r="AB12" s="10">
        <f t="shared" si="7"/>
        <v>0</v>
      </c>
      <c r="AC12" s="10">
        <f t="shared" si="8"/>
        <v>0</v>
      </c>
      <c r="AD12" s="10">
        <f t="shared" si="9"/>
        <v>0</v>
      </c>
    </row>
    <row r="13" spans="1:30">
      <c r="A13" s="6"/>
      <c r="B13" s="7" t="s">
        <v>12</v>
      </c>
      <c r="C13" s="7"/>
      <c r="D13" s="8"/>
      <c r="E13" s="11">
        <v>1.903</v>
      </c>
      <c r="F13" s="12">
        <v>1.7869999999999999</v>
      </c>
      <c r="G13" s="12">
        <v>0.71299999999999997</v>
      </c>
      <c r="H13" s="12">
        <f>'[9]P&amp;L Actual'!K27/1000</f>
        <v>0.219</v>
      </c>
      <c r="I13" s="12">
        <f>'[9]P&amp;L Actual'!L27/1000</f>
        <v>0.129</v>
      </c>
      <c r="J13" s="12">
        <f>'[9]P&amp;L Actual'!M27/1000</f>
        <v>2.3879999999999999</v>
      </c>
      <c r="K13" s="12">
        <f>'[9]P&amp;L Actual'!N27/1000</f>
        <v>1.9159999999999999</v>
      </c>
      <c r="L13" s="12">
        <f>'[9]P&amp;L Actual'!O27/1000</f>
        <v>0.64800000000000002</v>
      </c>
      <c r="M13" s="12">
        <f>'[9]P&amp;L Actual'!P27/1000</f>
        <v>0.38900000000000001</v>
      </c>
      <c r="N13" s="12">
        <f>'[9]P&amp;L Actual'!Q27/1000</f>
        <v>0.75900000000000001</v>
      </c>
      <c r="O13" s="12">
        <f>'[9]P&amp;L Actual'!R27/1000</f>
        <v>0.85</v>
      </c>
      <c r="P13" s="12">
        <f>'[9]P&amp;L Actual'!S27/1000</f>
        <v>1.0680000000000001</v>
      </c>
      <c r="Q13" s="106">
        <f>SUM(E13:P13)</f>
        <v>12.768999999999998</v>
      </c>
      <c r="S13" s="12">
        <f t="shared" si="2"/>
        <v>1.903</v>
      </c>
      <c r="T13" s="12">
        <f t="shared" si="2"/>
        <v>0</v>
      </c>
      <c r="U13" s="12">
        <f t="shared" si="2"/>
        <v>0</v>
      </c>
      <c r="V13" s="12">
        <f t="shared" si="3"/>
        <v>1.903</v>
      </c>
      <c r="X13" s="12">
        <f t="shared" si="4"/>
        <v>1.903</v>
      </c>
      <c r="Z13" s="10">
        <f t="shared" si="5"/>
        <v>4.4029999999999996</v>
      </c>
      <c r="AA13" s="10">
        <f t="shared" si="6"/>
        <v>2.7359999999999998</v>
      </c>
      <c r="AB13" s="10">
        <f t="shared" si="7"/>
        <v>2.9530000000000003</v>
      </c>
      <c r="AC13" s="10">
        <f t="shared" si="8"/>
        <v>2.677</v>
      </c>
      <c r="AD13" s="10">
        <f t="shared" si="9"/>
        <v>12.768999999999998</v>
      </c>
    </row>
    <row r="14" spans="1:30">
      <c r="A14" s="13"/>
      <c r="B14" s="14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S14" s="2"/>
      <c r="T14" s="2"/>
      <c r="U14" s="2"/>
      <c r="V14" s="2"/>
      <c r="X14" s="2"/>
      <c r="Z14" s="2"/>
      <c r="AA14" s="2"/>
      <c r="AB14" s="2"/>
      <c r="AC14" s="2"/>
      <c r="AD14" s="2"/>
    </row>
    <row r="15" spans="1:30">
      <c r="A15" s="13"/>
      <c r="B15" s="14"/>
      <c r="C15" s="14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S15" s="13"/>
      <c r="T15" s="13"/>
      <c r="U15" s="13"/>
      <c r="V15" s="13"/>
      <c r="X15" s="13"/>
      <c r="Z15" s="13"/>
      <c r="AA15" s="13"/>
      <c r="AB15" s="13"/>
      <c r="AC15" s="13"/>
      <c r="AD15" s="13"/>
    </row>
    <row r="16" spans="1:30">
      <c r="A16" s="16"/>
      <c r="B16" s="16"/>
      <c r="C16" s="17" t="s">
        <v>13</v>
      </c>
      <c r="D16" s="17"/>
      <c r="E16" s="18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08">
        <f t="shared" ref="Q16:Q47" si="10">SUM(E16:P16)</f>
        <v>0</v>
      </c>
      <c r="S16" s="19"/>
      <c r="T16" s="19"/>
      <c r="U16" s="19"/>
      <c r="V16" s="19"/>
      <c r="X16" s="19"/>
      <c r="Z16" s="19"/>
      <c r="AA16" s="19"/>
      <c r="AB16" s="19"/>
      <c r="AC16" s="19"/>
      <c r="AD16" s="19"/>
    </row>
    <row r="17" spans="1:30">
      <c r="A17" s="20"/>
      <c r="B17" s="20"/>
      <c r="C17" s="21" t="s">
        <v>14</v>
      </c>
      <c r="D17" s="21"/>
      <c r="E17" s="22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109">
        <f t="shared" si="10"/>
        <v>0</v>
      </c>
      <c r="S17" s="23"/>
      <c r="T17" s="23"/>
      <c r="U17" s="23"/>
      <c r="V17" s="23"/>
      <c r="X17" s="23"/>
      <c r="Z17" s="23"/>
      <c r="AA17" s="23"/>
      <c r="AB17" s="23"/>
      <c r="AC17" s="23"/>
      <c r="AD17" s="23"/>
    </row>
    <row r="18" spans="1:30">
      <c r="A18" s="24" t="s">
        <v>15</v>
      </c>
      <c r="B18" s="25"/>
      <c r="C18" s="26"/>
      <c r="D18" s="26"/>
      <c r="E18" s="27">
        <f>[19]Act!D222</f>
        <v>750.84895130224743</v>
      </c>
      <c r="F18" s="28">
        <f>[19]Act!E222</f>
        <v>723.94107062458897</v>
      </c>
      <c r="G18" s="29">
        <f>[19]Act!F222</f>
        <v>1123.029114691343</v>
      </c>
      <c r="H18" s="29">
        <f>[20]Act!G222</f>
        <v>1049.0641820730095</v>
      </c>
      <c r="I18" s="29">
        <f>[20]Act!H222</f>
        <v>804.5541489522484</v>
      </c>
      <c r="J18" s="29">
        <f>[20]Act!I222</f>
        <v>1228.904662579504</v>
      </c>
      <c r="K18" s="29">
        <f>[20]Act!J222</f>
        <v>883.76280707043975</v>
      </c>
      <c r="L18" s="29">
        <f>[20]Act!K222</f>
        <v>958.38489560854521</v>
      </c>
      <c r="M18" s="29">
        <f>[20]Act!L222</f>
        <v>961.26983402655071</v>
      </c>
      <c r="N18" s="29">
        <f>[20]Act!M222</f>
        <v>916.31424625114596</v>
      </c>
      <c r="O18" s="29">
        <f>[20]Act!N222</f>
        <v>1042.4731386127964</v>
      </c>
      <c r="P18" s="29">
        <f>[20]Act!O222</f>
        <v>1616.3177714249018</v>
      </c>
      <c r="Q18" s="108">
        <f t="shared" si="10"/>
        <v>12058.864823217322</v>
      </c>
      <c r="S18" s="29">
        <f>SUMIFS($E18:$P18,$E$3:$P$3,1,$E$5:$P$5,S$5)</f>
        <v>750.84895130224743</v>
      </c>
      <c r="T18" s="29">
        <f>SUMIFS($E18:$P18,$E$3:$P$3,1,$E$5:$P$5,T$5)</f>
        <v>0</v>
      </c>
      <c r="U18" s="29">
        <f>SUMIFS($E18:$P18,$E$3:$P$3,1,$E$5:$P$5,U$5)</f>
        <v>0</v>
      </c>
      <c r="V18" s="29">
        <f>SUM(S18:U18)</f>
        <v>750.84895130224743</v>
      </c>
      <c r="X18" s="29">
        <f>SUMIF($E$2:$P$2,1,E18:P18)</f>
        <v>750.84895130224743</v>
      </c>
      <c r="Z18" s="29">
        <f>SUM(E18:G18)</f>
        <v>2597.8191366181791</v>
      </c>
      <c r="AA18" s="29">
        <f>SUM(H18:J18)</f>
        <v>3082.5229936047617</v>
      </c>
      <c r="AB18" s="29">
        <f>SUM(K18:M18)</f>
        <v>2803.4175367055354</v>
      </c>
      <c r="AC18" s="29">
        <f>SUM(N18:P18)</f>
        <v>3575.1051562888442</v>
      </c>
      <c r="AD18" s="29">
        <f>SUM(Z18:AC18)</f>
        <v>12058.86482321732</v>
      </c>
    </row>
    <row r="19" spans="1:30">
      <c r="A19" s="20"/>
      <c r="B19" s="16"/>
      <c r="C19" s="17" t="s">
        <v>16</v>
      </c>
      <c r="D19" s="17"/>
      <c r="E19" s="18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08">
        <f t="shared" si="10"/>
        <v>0</v>
      </c>
      <c r="S19" s="19"/>
      <c r="T19" s="19"/>
      <c r="U19" s="19"/>
      <c r="V19" s="19"/>
      <c r="X19" s="19"/>
      <c r="Z19" s="19"/>
      <c r="AA19" s="19"/>
      <c r="AB19" s="19"/>
      <c r="AC19" s="19"/>
      <c r="AD19" s="19"/>
    </row>
    <row r="20" spans="1:30">
      <c r="A20" s="20"/>
      <c r="B20" s="30"/>
      <c r="C20" s="31" t="s">
        <v>17</v>
      </c>
      <c r="D20" s="31"/>
      <c r="E20" s="22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109">
        <f t="shared" si="10"/>
        <v>0</v>
      </c>
      <c r="S20" s="23"/>
      <c r="T20" s="23"/>
      <c r="U20" s="23"/>
      <c r="V20" s="23"/>
      <c r="X20" s="23"/>
      <c r="Z20" s="23"/>
      <c r="AA20" s="23"/>
      <c r="AB20" s="23"/>
      <c r="AC20" s="23"/>
      <c r="AD20" s="23"/>
    </row>
    <row r="21" spans="1:30">
      <c r="A21" s="32"/>
      <c r="B21" s="26" t="s">
        <v>18</v>
      </c>
      <c r="C21" s="26"/>
      <c r="D21" s="26"/>
      <c r="E21" s="33">
        <f>[19]Act!D223</f>
        <v>-97.808222400000005</v>
      </c>
      <c r="F21" s="34">
        <f>[19]Act!E223</f>
        <v>-106.8160403</v>
      </c>
      <c r="G21" s="35">
        <f>[19]Act!F223</f>
        <v>-157.38319379999999</v>
      </c>
      <c r="H21" s="35">
        <f>[20]Act!G223</f>
        <v>-132.58758320000004</v>
      </c>
      <c r="I21" s="35">
        <f>[20]Act!H223</f>
        <v>-110.13883599999998</v>
      </c>
      <c r="J21" s="35">
        <f>[20]Act!I223</f>
        <v>-184.82706699999997</v>
      </c>
      <c r="K21" s="35">
        <f>[20]Act!J223</f>
        <v>-119.79246490000003</v>
      </c>
      <c r="L21" s="35">
        <f>[20]Act!K223</f>
        <v>-134.88029499999999</v>
      </c>
      <c r="M21" s="35">
        <f>[20]Act!L223</f>
        <v>-136.60981640000003</v>
      </c>
      <c r="N21" s="35">
        <f>[20]Act!M223</f>
        <v>-143.78218410000002</v>
      </c>
      <c r="O21" s="35">
        <f>[20]Act!N223</f>
        <v>-163.45916939999987</v>
      </c>
      <c r="P21" s="35">
        <f>[20]Act!O223</f>
        <v>-227.8076374</v>
      </c>
      <c r="Q21" s="108">
        <f t="shared" si="10"/>
        <v>-1715.8925098999998</v>
      </c>
      <c r="S21" s="35">
        <f>SUMIFS($E21:$P21,$E$3:$P$3,1,$E$5:$P$5,S$5)</f>
        <v>-97.808222400000005</v>
      </c>
      <c r="T21" s="35">
        <f>SUMIFS($E21:$P21,$E$3:$P$3,1,$E$5:$P$5,T$5)</f>
        <v>0</v>
      </c>
      <c r="U21" s="35">
        <f>SUMIFS($E21:$P21,$E$3:$P$3,1,$E$5:$P$5,U$5)</f>
        <v>0</v>
      </c>
      <c r="V21" s="35">
        <f>SUM(S21:U21)</f>
        <v>-97.808222400000005</v>
      </c>
      <c r="X21" s="35">
        <f>SUMIF($E$2:$P$2,1,E21:P21)</f>
        <v>-97.808222400000005</v>
      </c>
      <c r="Z21" s="35">
        <f>SUM(E21:G21)</f>
        <v>-362.00745649999999</v>
      </c>
      <c r="AA21" s="35">
        <f>SUM(H21:J21)</f>
        <v>-427.55348619999995</v>
      </c>
      <c r="AB21" s="35">
        <f>SUM(K21:M21)</f>
        <v>-391.28257630000007</v>
      </c>
      <c r="AC21" s="35">
        <f>SUM(N21:P21)</f>
        <v>-535.04899089999992</v>
      </c>
      <c r="AD21" s="35">
        <f>SUM(Z21:AC21)</f>
        <v>-1715.8925098999998</v>
      </c>
    </row>
    <row r="22" spans="1:30">
      <c r="A22" s="36" t="s">
        <v>19</v>
      </c>
      <c r="B22" s="36"/>
      <c r="C22" s="1"/>
      <c r="D22" s="37"/>
      <c r="E22" s="38">
        <f>SUM(E18,E21)</f>
        <v>653.04072890224745</v>
      </c>
      <c r="F22" s="39">
        <f t="shared" ref="F22:P22" si="11">SUM(F18,F21)</f>
        <v>617.12503032458903</v>
      </c>
      <c r="G22" s="40">
        <f t="shared" si="11"/>
        <v>965.64592089134305</v>
      </c>
      <c r="H22" s="40">
        <f t="shared" si="11"/>
        <v>916.47659887300949</v>
      </c>
      <c r="I22" s="40">
        <f t="shared" si="11"/>
        <v>694.41531295224843</v>
      </c>
      <c r="J22" s="40">
        <f t="shared" si="11"/>
        <v>1044.0775955795041</v>
      </c>
      <c r="K22" s="40">
        <f t="shared" si="11"/>
        <v>763.97034217043972</v>
      </c>
      <c r="L22" s="40">
        <f t="shared" si="11"/>
        <v>823.50460060854516</v>
      </c>
      <c r="M22" s="40">
        <f t="shared" si="11"/>
        <v>824.66001762655071</v>
      </c>
      <c r="N22" s="40">
        <f t="shared" si="11"/>
        <v>772.53206215114596</v>
      </c>
      <c r="O22" s="40">
        <f t="shared" si="11"/>
        <v>879.01396921279661</v>
      </c>
      <c r="P22" s="40">
        <f t="shared" si="11"/>
        <v>1388.5101340249018</v>
      </c>
      <c r="Q22" s="110">
        <f t="shared" si="10"/>
        <v>10342.972313317321</v>
      </c>
      <c r="S22" s="40">
        <f>SUM(S18,S21)</f>
        <v>653.04072890224745</v>
      </c>
      <c r="T22" s="40">
        <f>SUM(T18,T21)</f>
        <v>0</v>
      </c>
      <c r="U22" s="40">
        <f>SUM(U18,U21)</f>
        <v>0</v>
      </c>
      <c r="V22" s="40">
        <f>SUM(V18,V21)</f>
        <v>653.04072890224745</v>
      </c>
      <c r="X22" s="40">
        <f>SUM(X18,X21)</f>
        <v>653.04072890224745</v>
      </c>
      <c r="Z22" s="40">
        <f>SUM(Z18,Z21)</f>
        <v>2235.8116801181791</v>
      </c>
      <c r="AA22" s="40">
        <f>SUM(AA18,AA21)</f>
        <v>2654.9695074047618</v>
      </c>
      <c r="AB22" s="40">
        <f>SUM(AB18,AB21)</f>
        <v>2412.1349604055354</v>
      </c>
      <c r="AC22" s="40">
        <f>SUM(AC18,AC21)</f>
        <v>3040.0561653888444</v>
      </c>
      <c r="AD22" s="40">
        <f>SUM(AD18,AD21)</f>
        <v>10342.972313317321</v>
      </c>
    </row>
    <row r="23" spans="1:30">
      <c r="A23" s="16"/>
      <c r="B23" s="16"/>
      <c r="C23" s="41" t="s">
        <v>20</v>
      </c>
      <c r="D23" s="42"/>
      <c r="E23" s="18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08">
        <f t="shared" si="10"/>
        <v>0</v>
      </c>
      <c r="S23" s="19"/>
      <c r="T23" s="19"/>
      <c r="U23" s="19"/>
      <c r="V23" s="19"/>
      <c r="X23" s="19"/>
      <c r="Z23" s="19"/>
      <c r="AA23" s="19"/>
      <c r="AB23" s="19"/>
      <c r="AC23" s="19"/>
      <c r="AD23" s="19"/>
    </row>
    <row r="24" spans="1:30">
      <c r="A24" s="20"/>
      <c r="B24" s="30"/>
      <c r="C24" s="43" t="s">
        <v>21</v>
      </c>
      <c r="D24" s="44"/>
      <c r="E24" s="45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111">
        <f t="shared" si="10"/>
        <v>0</v>
      </c>
      <c r="S24" s="46"/>
      <c r="T24" s="46"/>
      <c r="U24" s="46"/>
      <c r="V24" s="46"/>
      <c r="X24" s="46"/>
      <c r="Z24" s="46"/>
      <c r="AA24" s="46"/>
      <c r="AB24" s="46"/>
      <c r="AC24" s="46"/>
      <c r="AD24" s="46"/>
    </row>
    <row r="25" spans="1:30">
      <c r="A25" s="20"/>
      <c r="B25" s="26" t="s">
        <v>22</v>
      </c>
      <c r="C25" s="17"/>
      <c r="D25" s="21"/>
      <c r="E25" s="47">
        <f>[19]Act!D225</f>
        <v>-496.47291143857882</v>
      </c>
      <c r="F25" s="48">
        <f>[19]Act!E225</f>
        <v>-484.55504553229218</v>
      </c>
      <c r="G25" s="49">
        <f>[19]Act!F225</f>
        <v>-775.0850813746473</v>
      </c>
      <c r="H25" s="49">
        <f>[20]Act!G225</f>
        <v>-766.05134965950322</v>
      </c>
      <c r="I25" s="49">
        <f>[20]Act!H225</f>
        <v>-579.29892499670893</v>
      </c>
      <c r="J25" s="49">
        <f>[20]Act!I225</f>
        <v>-898.32200815128886</v>
      </c>
      <c r="K25" s="49">
        <f>[20]Act!J225</f>
        <v>-579.45948837188303</v>
      </c>
      <c r="L25" s="49">
        <f>[20]Act!K225</f>
        <v>-704.78380378935879</v>
      </c>
      <c r="M25" s="49">
        <f>[20]Act!L225</f>
        <v>-748.19443321018593</v>
      </c>
      <c r="N25" s="49">
        <f>[20]Act!M225</f>
        <v>-630.97209604436148</v>
      </c>
      <c r="O25" s="49">
        <f>[20]Act!N225</f>
        <v>-714.781088057641</v>
      </c>
      <c r="P25" s="49">
        <f>[20]Act!O225</f>
        <v>-1192.8564459429901</v>
      </c>
      <c r="Q25" s="109">
        <f t="shared" si="10"/>
        <v>-8570.8326765694383</v>
      </c>
      <c r="S25" s="49">
        <f>SUMIFS($E25:$P25,$E$3:$P$3,1,$E$5:$P$5,S$5)</f>
        <v>-496.47291143857882</v>
      </c>
      <c r="T25" s="49">
        <f>SUMIFS($E25:$P25,$E$3:$P$3,1,$E$5:$P$5,T$5)</f>
        <v>0</v>
      </c>
      <c r="U25" s="49">
        <f>SUMIFS($E25:$P25,$E$3:$P$3,1,$E$5:$P$5,U$5)</f>
        <v>0</v>
      </c>
      <c r="V25" s="49">
        <f>SUM(S25:U25)</f>
        <v>-496.47291143857882</v>
      </c>
      <c r="X25" s="49">
        <f>SUMIF($E$2:$P$2,1,E25:P25)</f>
        <v>-496.47291143857882</v>
      </c>
      <c r="Z25" s="49">
        <f>SUM(E25:G25)</f>
        <v>-1756.1130383455184</v>
      </c>
      <c r="AA25" s="49">
        <f>SUM(H25:J25)</f>
        <v>-2243.6722828075008</v>
      </c>
      <c r="AB25" s="49">
        <f>SUM(K25:M25)</f>
        <v>-2032.4377253714276</v>
      </c>
      <c r="AC25" s="49">
        <f>SUM(N25:P25)</f>
        <v>-2538.6096300449926</v>
      </c>
      <c r="AD25" s="49">
        <f>SUM(Z25:AC25)</f>
        <v>-8570.8326765694401</v>
      </c>
    </row>
    <row r="26" spans="1:30">
      <c r="A26" s="50" t="s">
        <v>23</v>
      </c>
      <c r="B26" s="50"/>
      <c r="C26" s="37"/>
      <c r="D26" s="37"/>
      <c r="E26" s="51">
        <f t="shared" ref="E26:P26" si="12">E22+E25</f>
        <v>156.56781746366863</v>
      </c>
      <c r="F26" s="52">
        <f t="shared" si="12"/>
        <v>132.56998479229685</v>
      </c>
      <c r="G26" s="53">
        <f t="shared" si="12"/>
        <v>190.56083951669575</v>
      </c>
      <c r="H26" s="53">
        <f t="shared" si="12"/>
        <v>150.42524921350628</v>
      </c>
      <c r="I26" s="53">
        <f t="shared" si="12"/>
        <v>115.11638795553949</v>
      </c>
      <c r="J26" s="53">
        <f t="shared" si="12"/>
        <v>145.75558742821522</v>
      </c>
      <c r="K26" s="53">
        <f t="shared" si="12"/>
        <v>184.5108537985567</v>
      </c>
      <c r="L26" s="53">
        <f t="shared" si="12"/>
        <v>118.72079681918638</v>
      </c>
      <c r="M26" s="53">
        <f t="shared" si="12"/>
        <v>76.465584416364777</v>
      </c>
      <c r="N26" s="53">
        <f t="shared" si="12"/>
        <v>141.55996610678449</v>
      </c>
      <c r="O26" s="53">
        <f t="shared" si="12"/>
        <v>164.23288115515561</v>
      </c>
      <c r="P26" s="53">
        <f t="shared" si="12"/>
        <v>195.6536880819117</v>
      </c>
      <c r="Q26" s="112">
        <f t="shared" si="10"/>
        <v>1772.1396367478819</v>
      </c>
      <c r="S26" s="40">
        <f>SUM(S22,S25)</f>
        <v>156.56781746366863</v>
      </c>
      <c r="T26" s="40">
        <f>SUM(T22,T25)</f>
        <v>0</v>
      </c>
      <c r="U26" s="40">
        <f>SUM(U22,U25)</f>
        <v>0</v>
      </c>
      <c r="V26" s="40">
        <f>SUM(V22,V25)</f>
        <v>156.56781746366863</v>
      </c>
      <c r="X26" s="53">
        <f>X22+X25</f>
        <v>156.56781746366863</v>
      </c>
      <c r="Z26" s="40">
        <f>SUM(Z22,Z25)</f>
        <v>479.69864177266072</v>
      </c>
      <c r="AA26" s="40">
        <f>SUM(AA22,AA25)</f>
        <v>411.29722459726099</v>
      </c>
      <c r="AB26" s="40">
        <f>SUM(AB22,AB25)</f>
        <v>379.69723503410773</v>
      </c>
      <c r="AC26" s="40">
        <f>SUM(AC22,AC25)</f>
        <v>501.44653534385179</v>
      </c>
      <c r="AD26" s="40">
        <f>SUM(AD22,AD25)</f>
        <v>1772.139636747881</v>
      </c>
    </row>
    <row r="27" spans="1:30">
      <c r="A27" s="54"/>
      <c r="B27" s="55" t="s">
        <v>24</v>
      </c>
      <c r="C27" s="56"/>
      <c r="D27" s="56"/>
      <c r="E27" s="57">
        <f>E26/E18</f>
        <v>0.20852105765363677</v>
      </c>
      <c r="F27" s="58">
        <f>F26/F18</f>
        <v>0.18312261891416173</v>
      </c>
      <c r="G27" s="59">
        <f>G26/G18</f>
        <v>0.16968468316965238</v>
      </c>
      <c r="H27" s="59">
        <f t="shared" ref="H27:P27" si="13">H26/H18</f>
        <v>0.14338993913247286</v>
      </c>
      <c r="I27" s="59">
        <f t="shared" si="13"/>
        <v>0.14308096988307475</v>
      </c>
      <c r="J27" s="59">
        <f t="shared" si="13"/>
        <v>0.11860609847656556</v>
      </c>
      <c r="K27" s="59">
        <f t="shared" si="13"/>
        <v>0.20877870433378667</v>
      </c>
      <c r="L27" s="59">
        <f t="shared" si="13"/>
        <v>0.12387590556068007</v>
      </c>
      <c r="M27" s="59">
        <f t="shared" si="13"/>
        <v>7.9546430887222408E-2</v>
      </c>
      <c r="N27" s="59">
        <f t="shared" si="13"/>
        <v>0.15448844835266845</v>
      </c>
      <c r="O27" s="59">
        <f t="shared" si="13"/>
        <v>0.15754159514718805</v>
      </c>
      <c r="P27" s="59">
        <f t="shared" si="13"/>
        <v>0.12104902361460068</v>
      </c>
      <c r="Q27" s="113">
        <f t="shared" si="10"/>
        <v>1.8116854751257105</v>
      </c>
      <c r="S27" s="59">
        <f>S26/S18</f>
        <v>0.20852105765363677</v>
      </c>
      <c r="T27" s="59">
        <f>IFERROR(T26/T18,0)</f>
        <v>0</v>
      </c>
      <c r="U27" s="59">
        <f>IFERROR(U26/U18,0)</f>
        <v>0</v>
      </c>
      <c r="V27" s="59">
        <f>IFERROR(V26/V18,0)</f>
        <v>0.20852105765363677</v>
      </c>
      <c r="X27" s="59">
        <f>X26/X18</f>
        <v>0.20852105765363677</v>
      </c>
      <c r="Z27" s="59">
        <f>Z26/Z18</f>
        <v>0.18465436450557859</v>
      </c>
      <c r="AA27" s="59">
        <f>IFERROR(AA26/AA18,0)</f>
        <v>0.13342876126165798</v>
      </c>
      <c r="AB27" s="59">
        <f>IFERROR(AB26/AB18,0)</f>
        <v>0.13544084320750621</v>
      </c>
      <c r="AC27" s="59">
        <f>IFERROR(AC26/AC18,0)</f>
        <v>0.14026063945609391</v>
      </c>
      <c r="AD27" s="59">
        <f>AD26/AD18</f>
        <v>0.14695741786042113</v>
      </c>
    </row>
    <row r="28" spans="1:30">
      <c r="A28" s="20"/>
      <c r="B28" s="20"/>
      <c r="C28" s="60" t="s">
        <v>25</v>
      </c>
      <c r="D28" s="21"/>
      <c r="E28" s="22">
        <f>[19]Act!D228</f>
        <v>-28.523003541549954</v>
      </c>
      <c r="F28" s="23">
        <f>[19]Act!E228</f>
        <v>-31.905083214871976</v>
      </c>
      <c r="G28" s="23">
        <f>[19]Act!F228</f>
        <v>-30.692205037751002</v>
      </c>
      <c r="H28" s="23">
        <f>[20]Act!G228</f>
        <v>-29.861620902228545</v>
      </c>
      <c r="I28" s="23">
        <f>[20]Act!H228</f>
        <v>-22.648482471693693</v>
      </c>
      <c r="J28" s="23">
        <f>[20]Act!I228</f>
        <v>-31.042269700761544</v>
      </c>
      <c r="K28" s="23">
        <f>[20]Act!J228</f>
        <v>-30.88255331562425</v>
      </c>
      <c r="L28" s="23">
        <f>[20]Act!K228</f>
        <v>-31.578760627255278</v>
      </c>
      <c r="M28" s="23">
        <f>[20]Act!L228</f>
        <v>-25.886592376457816</v>
      </c>
      <c r="N28" s="23">
        <f>[20]Act!M228</f>
        <v>-36.400534906533125</v>
      </c>
      <c r="O28" s="23">
        <f>[20]Act!N228</f>
        <v>-34.143011226748555</v>
      </c>
      <c r="P28" s="23">
        <f>[20]Act!O228</f>
        <v>-34.930787484160184</v>
      </c>
      <c r="Q28" s="109">
        <f t="shared" si="10"/>
        <v>-368.49490480563594</v>
      </c>
      <c r="S28" s="23">
        <f t="shared" ref="S28:U33" si="14">SUMIFS($E28:$P28,$E$3:$P$3,1,$E$5:$P$5,S$5)</f>
        <v>-28.523003541549954</v>
      </c>
      <c r="T28" s="23">
        <f t="shared" si="14"/>
        <v>0</v>
      </c>
      <c r="U28" s="23">
        <f t="shared" si="14"/>
        <v>0</v>
      </c>
      <c r="V28" s="23">
        <f t="shared" ref="V28:V33" si="15">SUM(S28:U28)</f>
        <v>-28.523003541549954</v>
      </c>
      <c r="X28" s="23">
        <f t="shared" ref="X28:X33" si="16">SUMIF($E$2:$P$2,1,E28:P28)</f>
        <v>-28.523003541549954</v>
      </c>
      <c r="Z28" s="23">
        <f t="shared" ref="Z28:Z33" si="17">SUM(E28:G28)</f>
        <v>-91.120291794172942</v>
      </c>
      <c r="AA28" s="23">
        <f t="shared" ref="AA28:AA33" si="18">SUM(H28:J28)</f>
        <v>-83.552373074683771</v>
      </c>
      <c r="AB28" s="23">
        <f t="shared" ref="AB28:AB33" si="19">SUM(K28:M28)</f>
        <v>-88.347906319337341</v>
      </c>
      <c r="AC28" s="23">
        <f t="shared" ref="AC28:AC33" si="20">SUM(N28:P28)</f>
        <v>-105.47433361744186</v>
      </c>
      <c r="AD28" s="23">
        <f t="shared" ref="AD28:AD33" si="21">SUM(Z28:AC28)</f>
        <v>-368.49490480563588</v>
      </c>
    </row>
    <row r="29" spans="1:30">
      <c r="A29" s="20"/>
      <c r="B29" s="20"/>
      <c r="C29" s="60" t="s">
        <v>26</v>
      </c>
      <c r="D29" s="21"/>
      <c r="E29" s="22">
        <f>[19]Act!D229</f>
        <v>-6.6325747000000002</v>
      </c>
      <c r="F29" s="23">
        <f>[19]Act!E229</f>
        <v>-6.7073812000000004</v>
      </c>
      <c r="G29" s="23">
        <f>[19]Act!F229</f>
        <v>-6.0285504000000003</v>
      </c>
      <c r="H29" s="23">
        <f>[20]Act!G229</f>
        <v>-6.1027474000000002</v>
      </c>
      <c r="I29" s="23">
        <f>[20]Act!H229</f>
        <v>-4.2604749999999987</v>
      </c>
      <c r="J29" s="23">
        <f>[20]Act!I229</f>
        <v>-6.0150049999999977</v>
      </c>
      <c r="K29" s="23">
        <f>[20]Act!J229</f>
        <v>-6.693239300000001</v>
      </c>
      <c r="L29" s="23">
        <f>[20]Act!K229</f>
        <v>-6.1320020000000008</v>
      </c>
      <c r="M29" s="23">
        <f>[20]Act!L229</f>
        <v>-4.394988000000005</v>
      </c>
      <c r="N29" s="23">
        <f>[20]Act!M229</f>
        <v>-5.3427997999999937</v>
      </c>
      <c r="O29" s="23">
        <f>[20]Act!N229</f>
        <v>-5.4030136000000057</v>
      </c>
      <c r="P29" s="23">
        <f>[20]Act!O229</f>
        <v>-5.6453000000000033</v>
      </c>
      <c r="Q29" s="109">
        <f t="shared" si="10"/>
        <v>-69.358076400000002</v>
      </c>
      <c r="S29" s="23">
        <f t="shared" si="14"/>
        <v>-6.6325747000000002</v>
      </c>
      <c r="T29" s="23">
        <f t="shared" si="14"/>
        <v>0</v>
      </c>
      <c r="U29" s="23">
        <f t="shared" si="14"/>
        <v>0</v>
      </c>
      <c r="V29" s="23">
        <f t="shared" si="15"/>
        <v>-6.6325747000000002</v>
      </c>
      <c r="X29" s="23">
        <f t="shared" si="16"/>
        <v>-6.6325747000000002</v>
      </c>
      <c r="Z29" s="23">
        <f t="shared" si="17"/>
        <v>-19.3685063</v>
      </c>
      <c r="AA29" s="23">
        <f t="shared" si="18"/>
        <v>-16.378227399999997</v>
      </c>
      <c r="AB29" s="23">
        <f t="shared" si="19"/>
        <v>-17.220229300000007</v>
      </c>
      <c r="AC29" s="23">
        <f t="shared" si="20"/>
        <v>-16.391113400000002</v>
      </c>
      <c r="AD29" s="23">
        <f t="shared" si="21"/>
        <v>-69.358076400000002</v>
      </c>
    </row>
    <row r="30" spans="1:30">
      <c r="A30" s="20"/>
      <c r="B30" s="20"/>
      <c r="C30" s="60" t="s">
        <v>27</v>
      </c>
      <c r="D30" s="21"/>
      <c r="E30" s="22">
        <f>[19]Act!D230</f>
        <v>0</v>
      </c>
      <c r="F30" s="23">
        <f>[19]Act!E230</f>
        <v>0</v>
      </c>
      <c r="G30" s="23">
        <f>[19]Act!F230</f>
        <v>0</v>
      </c>
      <c r="H30" s="23">
        <f>[20]Act!G230</f>
        <v>0</v>
      </c>
      <c r="I30" s="23">
        <f>[20]Act!H230</f>
        <v>0</v>
      </c>
      <c r="J30" s="23">
        <f>[20]Act!I230</f>
        <v>0</v>
      </c>
      <c r="K30" s="23">
        <f>[20]Act!J230</f>
        <v>0</v>
      </c>
      <c r="L30" s="23">
        <f>[20]Act!K230</f>
        <v>0</v>
      </c>
      <c r="M30" s="23">
        <f>[20]Act!L230</f>
        <v>0</v>
      </c>
      <c r="N30" s="23">
        <f>[20]Act!M230</f>
        <v>0</v>
      </c>
      <c r="O30" s="23">
        <f>[20]Act!N230</f>
        <v>0</v>
      </c>
      <c r="P30" s="23">
        <f>[20]Act!O230</f>
        <v>0</v>
      </c>
      <c r="Q30" s="109">
        <f t="shared" si="10"/>
        <v>0</v>
      </c>
      <c r="S30" s="23">
        <f t="shared" si="14"/>
        <v>0</v>
      </c>
      <c r="T30" s="23">
        <f t="shared" si="14"/>
        <v>0</v>
      </c>
      <c r="U30" s="23">
        <f t="shared" si="14"/>
        <v>0</v>
      </c>
      <c r="V30" s="23">
        <f t="shared" si="15"/>
        <v>0</v>
      </c>
      <c r="X30" s="23">
        <f t="shared" si="16"/>
        <v>0</v>
      </c>
      <c r="Z30" s="23">
        <f t="shared" si="17"/>
        <v>0</v>
      </c>
      <c r="AA30" s="23">
        <f t="shared" si="18"/>
        <v>0</v>
      </c>
      <c r="AB30" s="23">
        <f t="shared" si="19"/>
        <v>0</v>
      </c>
      <c r="AC30" s="23">
        <f t="shared" si="20"/>
        <v>0</v>
      </c>
      <c r="AD30" s="23">
        <f t="shared" si="21"/>
        <v>0</v>
      </c>
    </row>
    <row r="31" spans="1:30">
      <c r="A31" s="20"/>
      <c r="B31" s="20"/>
      <c r="C31" s="60" t="s">
        <v>28</v>
      </c>
      <c r="D31" s="21"/>
      <c r="E31" s="22">
        <f>[19]Act!D232</f>
        <v>-7.1486412999999995</v>
      </c>
      <c r="F31" s="23">
        <f>[19]Act!E232</f>
        <v>-9.152375100000004</v>
      </c>
      <c r="G31" s="23">
        <f>[19]Act!F232</f>
        <v>-9.2702604000000122</v>
      </c>
      <c r="H31" s="23">
        <f>[20]Act!G232</f>
        <v>-9.3714208999999808</v>
      </c>
      <c r="I31" s="23">
        <f>[20]Act!H232</f>
        <v>-5.9368564999999851</v>
      </c>
      <c r="J31" s="23">
        <f>[20]Act!I232</f>
        <v>1.9941848999999889</v>
      </c>
      <c r="K31" s="23">
        <f>[20]Act!J232</f>
        <v>-10.911580700000034</v>
      </c>
      <c r="L31" s="23">
        <f>[20]Act!K232</f>
        <v>-7.3505720999999689</v>
      </c>
      <c r="M31" s="23">
        <f>[20]Act!L232</f>
        <v>-7.8287118999999983</v>
      </c>
      <c r="N31" s="23">
        <f>[20]Act!M232</f>
        <v>-7.3043687000000022</v>
      </c>
      <c r="O31" s="23">
        <f>[20]Act!N232</f>
        <v>-8.6691244000000367</v>
      </c>
      <c r="P31" s="23">
        <f>[20]Act!O232</f>
        <v>-8.8790290000000098</v>
      </c>
      <c r="Q31" s="109">
        <f t="shared" si="10"/>
        <v>-89.828756100000021</v>
      </c>
      <c r="S31" s="23">
        <f t="shared" si="14"/>
        <v>-7.1486412999999995</v>
      </c>
      <c r="T31" s="23">
        <f t="shared" si="14"/>
        <v>0</v>
      </c>
      <c r="U31" s="23">
        <f t="shared" si="14"/>
        <v>0</v>
      </c>
      <c r="V31" s="23">
        <f t="shared" si="15"/>
        <v>-7.1486412999999995</v>
      </c>
      <c r="X31" s="23">
        <f t="shared" si="16"/>
        <v>-7.1486412999999995</v>
      </c>
      <c r="Z31" s="23">
        <f t="shared" si="17"/>
        <v>-25.571276800000014</v>
      </c>
      <c r="AA31" s="23">
        <f t="shared" si="18"/>
        <v>-13.314092499999976</v>
      </c>
      <c r="AB31" s="23">
        <f t="shared" si="19"/>
        <v>-26.090864700000001</v>
      </c>
      <c r="AC31" s="23">
        <f t="shared" si="20"/>
        <v>-24.852522100000048</v>
      </c>
      <c r="AD31" s="23">
        <f t="shared" si="21"/>
        <v>-89.828756100000035</v>
      </c>
    </row>
    <row r="32" spans="1:30">
      <c r="A32" s="20"/>
      <c r="B32" s="20"/>
      <c r="C32" s="60" t="s">
        <v>29</v>
      </c>
      <c r="D32" s="21"/>
      <c r="E32" s="61">
        <f>[19]Act!D233</f>
        <v>0</v>
      </c>
      <c r="F32" s="62">
        <f>[19]Act!E233</f>
        <v>0</v>
      </c>
      <c r="G32" s="62">
        <f>[19]Act!F233</f>
        <v>0</v>
      </c>
      <c r="H32" s="62">
        <f>[20]Act!G233</f>
        <v>0</v>
      </c>
      <c r="I32" s="62">
        <f>[20]Act!H233</f>
        <v>0</v>
      </c>
      <c r="J32" s="62">
        <f>[20]Act!I233</f>
        <v>0</v>
      </c>
      <c r="K32" s="62">
        <f>[20]Act!J233</f>
        <v>0</v>
      </c>
      <c r="L32" s="62">
        <f>[20]Act!K233</f>
        <v>0</v>
      </c>
      <c r="M32" s="62">
        <f>[20]Act!L233</f>
        <v>0</v>
      </c>
      <c r="N32" s="62">
        <f>[20]Act!M233</f>
        <v>0</v>
      </c>
      <c r="O32" s="62">
        <f>[20]Act!N233</f>
        <v>0</v>
      </c>
      <c r="P32" s="62">
        <f>[20]Act!O233</f>
        <v>0</v>
      </c>
      <c r="Q32" s="62">
        <f t="shared" si="10"/>
        <v>0</v>
      </c>
      <c r="S32" s="62">
        <f t="shared" si="14"/>
        <v>0</v>
      </c>
      <c r="T32" s="62">
        <f t="shared" si="14"/>
        <v>0</v>
      </c>
      <c r="U32" s="62">
        <f t="shared" si="14"/>
        <v>0</v>
      </c>
      <c r="V32" s="62">
        <f t="shared" si="15"/>
        <v>0</v>
      </c>
      <c r="X32" s="62">
        <f t="shared" si="16"/>
        <v>0</v>
      </c>
      <c r="Z32" s="62">
        <f t="shared" si="17"/>
        <v>0</v>
      </c>
      <c r="AA32" s="62">
        <f t="shared" si="18"/>
        <v>0</v>
      </c>
      <c r="AB32" s="62">
        <f t="shared" si="19"/>
        <v>0</v>
      </c>
      <c r="AC32" s="62">
        <f t="shared" si="20"/>
        <v>0</v>
      </c>
      <c r="AD32" s="62">
        <f t="shared" si="21"/>
        <v>0</v>
      </c>
    </row>
    <row r="33" spans="1:30">
      <c r="A33" s="20"/>
      <c r="B33" s="30"/>
      <c r="C33" s="63" t="s">
        <v>30</v>
      </c>
      <c r="D33" s="31"/>
      <c r="E33" s="45">
        <f>[19]Act!D234</f>
        <v>-10.486303654450047</v>
      </c>
      <c r="F33" s="46">
        <f>[19]Act!E234</f>
        <v>-11.271968424128039</v>
      </c>
      <c r="G33" s="46">
        <f>[19]Act!F234</f>
        <v>-10.696280675248991</v>
      </c>
      <c r="H33" s="46">
        <f>[20]Act!G234</f>
        <v>-9.4264963047714527</v>
      </c>
      <c r="I33" s="46">
        <f>[20]Act!H234</f>
        <v>-9.9384452563063164</v>
      </c>
      <c r="J33" s="46">
        <f>[20]Act!I234</f>
        <v>-10.577545029238454</v>
      </c>
      <c r="K33" s="46">
        <f>[20]Act!J234</f>
        <v>-9.8798569403757472</v>
      </c>
      <c r="L33" s="46">
        <f>[20]Act!K234</f>
        <v>-10.478759801744715</v>
      </c>
      <c r="M33" s="46">
        <f>[20]Act!L234</f>
        <v>-9.3959903955421851</v>
      </c>
      <c r="N33" s="46">
        <f>[20]Act!M234</f>
        <v>-9.8862858384668613</v>
      </c>
      <c r="O33" s="46">
        <f>[20]Act!N234</f>
        <v>-9.8213667512514515</v>
      </c>
      <c r="P33" s="46">
        <f>[20]Act!O234</f>
        <v>-13.095754918839814</v>
      </c>
      <c r="Q33" s="111">
        <f t="shared" si="10"/>
        <v>-124.95505399036408</v>
      </c>
      <c r="S33" s="46">
        <f t="shared" si="14"/>
        <v>-10.486303654450047</v>
      </c>
      <c r="T33" s="46">
        <f t="shared" si="14"/>
        <v>0</v>
      </c>
      <c r="U33" s="46">
        <f t="shared" si="14"/>
        <v>0</v>
      </c>
      <c r="V33" s="46">
        <f t="shared" si="15"/>
        <v>-10.486303654450047</v>
      </c>
      <c r="X33" s="46">
        <f t="shared" si="16"/>
        <v>-10.486303654450047</v>
      </c>
      <c r="Z33" s="46">
        <f t="shared" si="17"/>
        <v>-32.45455275382708</v>
      </c>
      <c r="AA33" s="46">
        <f t="shared" si="18"/>
        <v>-29.942486590316225</v>
      </c>
      <c r="AB33" s="46">
        <f t="shared" si="19"/>
        <v>-29.754607137662646</v>
      </c>
      <c r="AC33" s="46">
        <f t="shared" si="20"/>
        <v>-32.803407508558131</v>
      </c>
      <c r="AD33" s="46">
        <f t="shared" si="21"/>
        <v>-124.95505399036409</v>
      </c>
    </row>
    <row r="34" spans="1:30">
      <c r="A34" s="30"/>
      <c r="B34" s="31" t="s">
        <v>31</v>
      </c>
      <c r="C34" s="21"/>
      <c r="D34" s="21"/>
      <c r="E34" s="64">
        <f>SUM(E28:E30,E31:E33)</f>
        <v>-52.790523196000002</v>
      </c>
      <c r="F34" s="65">
        <f t="shared" ref="F34:P34" si="22">SUM(F28:F30,F31:F33)</f>
        <v>-59.03680793900002</v>
      </c>
      <c r="G34" s="66">
        <f t="shared" si="22"/>
        <v>-56.687296513000007</v>
      </c>
      <c r="H34" s="66">
        <f t="shared" si="22"/>
        <v>-54.76228550699998</v>
      </c>
      <c r="I34" s="66">
        <f t="shared" si="22"/>
        <v>-42.784259227999996</v>
      </c>
      <c r="J34" s="66">
        <f t="shared" si="22"/>
        <v>-45.64063483000001</v>
      </c>
      <c r="K34" s="66">
        <f t="shared" si="22"/>
        <v>-58.367230256000028</v>
      </c>
      <c r="L34" s="66">
        <f t="shared" si="22"/>
        <v>-55.540094528999958</v>
      </c>
      <c r="M34" s="66">
        <f t="shared" si="22"/>
        <v>-47.506282672000005</v>
      </c>
      <c r="N34" s="66">
        <f t="shared" si="22"/>
        <v>-58.933989244999985</v>
      </c>
      <c r="O34" s="66">
        <f t="shared" si="22"/>
        <v>-58.036515978000054</v>
      </c>
      <c r="P34" s="66">
        <f t="shared" si="22"/>
        <v>-62.550871403000016</v>
      </c>
      <c r="Q34" s="114">
        <f t="shared" si="10"/>
        <v>-652.63679129599996</v>
      </c>
      <c r="S34" s="66">
        <f>SUM(S28:S30,S31:S33)</f>
        <v>-52.790523196000002</v>
      </c>
      <c r="T34" s="66">
        <f>SUM(T28:T30,T31:T33)</f>
        <v>0</v>
      </c>
      <c r="U34" s="66">
        <f>SUM(U28:U30,U31:U33)</f>
        <v>0</v>
      </c>
      <c r="V34" s="66">
        <f>SUM(V28:V30,V31:V33)</f>
        <v>-52.790523196000002</v>
      </c>
      <c r="X34" s="66">
        <f>SUM(X28:X30,X31:X33)</f>
        <v>-52.790523196000002</v>
      </c>
      <c r="Z34" s="66">
        <f>SUM(Z28:Z30,Z31:Z33)</f>
        <v>-168.51462764800004</v>
      </c>
      <c r="AA34" s="66">
        <f>SUM(AA28:AA30,AA31:AA33)</f>
        <v>-143.18717956499998</v>
      </c>
      <c r="AB34" s="66">
        <f>SUM(AB28:AB30,AB31:AB33)</f>
        <v>-161.41360745699998</v>
      </c>
      <c r="AC34" s="66">
        <f>SUM(AC28:AC30,AC31:AC33)</f>
        <v>-179.52137662600003</v>
      </c>
      <c r="AD34" s="66">
        <f>SUM(AD28:AD30,AD31:AD33)</f>
        <v>-652.63679129599996</v>
      </c>
    </row>
    <row r="35" spans="1:30">
      <c r="A35" s="20"/>
      <c r="B35" s="20"/>
      <c r="C35" s="67" t="s">
        <v>32</v>
      </c>
      <c r="D35" s="17"/>
      <c r="E35" s="18">
        <f>[19]Act!D236</f>
        <v>-29.814473399000001</v>
      </c>
      <c r="F35" s="19">
        <f>[19]Act!E236</f>
        <v>-34.435520066000002</v>
      </c>
      <c r="G35" s="19">
        <f>[19]Act!F236</f>
        <v>-33.081165972000001</v>
      </c>
      <c r="H35" s="19">
        <f>[20]Act!G236</f>
        <v>-32.276115421</v>
      </c>
      <c r="I35" s="19">
        <f>[20]Act!H236</f>
        <v>-20.808532034999999</v>
      </c>
      <c r="J35" s="19">
        <f>[20]Act!I236</f>
        <v>-48.108369082000003</v>
      </c>
      <c r="K35" s="19">
        <f>[20]Act!J236</f>
        <v>-39.144860524999999</v>
      </c>
      <c r="L35" s="19">
        <f>[20]Act!K236</f>
        <v>-31.375714225000003</v>
      </c>
      <c r="M35" s="19">
        <f>[20]Act!L236</f>
        <v>-21.265990687999999</v>
      </c>
      <c r="N35" s="19">
        <f>[20]Act!M236</f>
        <v>-29.037719057999997</v>
      </c>
      <c r="O35" s="19">
        <f>[20]Act!N236</f>
        <v>-28.215209445999999</v>
      </c>
      <c r="P35" s="19">
        <f>[20]Act!O236</f>
        <v>-17.456538890000001</v>
      </c>
      <c r="Q35" s="108">
        <f t="shared" si="10"/>
        <v>-365.02020880699996</v>
      </c>
      <c r="S35" s="19">
        <f t="shared" ref="S35:U37" si="23">SUMIFS($E35:$P35,$E$3:$P$3,1,$E$5:$P$5,S$5)</f>
        <v>-29.814473399000001</v>
      </c>
      <c r="T35" s="19">
        <f t="shared" si="23"/>
        <v>0</v>
      </c>
      <c r="U35" s="19">
        <f t="shared" si="23"/>
        <v>0</v>
      </c>
      <c r="V35" s="19">
        <f>SUM(S35:U35)</f>
        <v>-29.814473399000001</v>
      </c>
      <c r="X35" s="19">
        <f>SUMIF($E$2:$P$2,1,E35:P35)</f>
        <v>-29.814473399000001</v>
      </c>
      <c r="Z35" s="19">
        <f>SUM(E35:G35)</f>
        <v>-97.331159436999997</v>
      </c>
      <c r="AA35" s="19">
        <f>SUM(H35:J35)</f>
        <v>-101.19301653799999</v>
      </c>
      <c r="AB35" s="19">
        <f>SUM(K35:M35)</f>
        <v>-91.786565438000011</v>
      </c>
      <c r="AC35" s="19">
        <f>SUM(N35:P35)</f>
        <v>-74.709467394000001</v>
      </c>
      <c r="AD35" s="19">
        <f>SUM(Z35:AC35)</f>
        <v>-365.02020880700002</v>
      </c>
    </row>
    <row r="36" spans="1:30">
      <c r="A36" s="20"/>
      <c r="B36" s="20"/>
      <c r="C36" s="462" t="s">
        <v>300</v>
      </c>
      <c r="D36" s="21"/>
      <c r="E36" s="22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109">
        <f t="shared" si="10"/>
        <v>0</v>
      </c>
      <c r="S36" s="23">
        <f t="shared" si="23"/>
        <v>0</v>
      </c>
      <c r="T36" s="23">
        <f t="shared" si="23"/>
        <v>0</v>
      </c>
      <c r="U36" s="23">
        <f t="shared" si="23"/>
        <v>0</v>
      </c>
      <c r="V36" s="23">
        <f>SUM(S36:U36)</f>
        <v>0</v>
      </c>
      <c r="X36" s="23">
        <f>SUMIF($E$2:$P$2,1,E36:P36)</f>
        <v>0</v>
      </c>
      <c r="Z36" s="23">
        <f>SUM(E36:G36)</f>
        <v>0</v>
      </c>
      <c r="AA36" s="23">
        <f>SUM(H36:J36)</f>
        <v>0</v>
      </c>
      <c r="AB36" s="23">
        <f>SUM(K36:M36)</f>
        <v>0</v>
      </c>
      <c r="AC36" s="23">
        <f>SUM(N36:P36)</f>
        <v>0</v>
      </c>
      <c r="AD36" s="23">
        <f>SUM(Z36:AC36)</f>
        <v>0</v>
      </c>
    </row>
    <row r="37" spans="1:30">
      <c r="A37" s="20"/>
      <c r="B37" s="30"/>
      <c r="C37" s="463" t="s">
        <v>299</v>
      </c>
      <c r="D37" s="31"/>
      <c r="E37" s="45">
        <f>SUM(E58:E59)</f>
        <v>-4.2758629010000035</v>
      </c>
      <c r="F37" s="46">
        <f t="shared" ref="F37:P37" si="24">SUM(F58:F59)</f>
        <v>-4.8827481339999963</v>
      </c>
      <c r="G37" s="46">
        <f t="shared" si="24"/>
        <v>-5.9172562279999923</v>
      </c>
      <c r="H37" s="46">
        <f t="shared" si="24"/>
        <v>-4.8381555790000021</v>
      </c>
      <c r="I37" s="46">
        <f t="shared" si="24"/>
        <v>-4.1074654649999971</v>
      </c>
      <c r="J37" s="46">
        <f t="shared" si="24"/>
        <v>-8.0580106179999902</v>
      </c>
      <c r="K37" s="46">
        <f t="shared" si="24"/>
        <v>-5.2327339750000093</v>
      </c>
      <c r="L37" s="46">
        <f t="shared" si="24"/>
        <v>-5.4436967749999923</v>
      </c>
      <c r="M37" s="46">
        <f t="shared" si="24"/>
        <v>-7.1065105119999856</v>
      </c>
      <c r="N37" s="46">
        <f t="shared" si="24"/>
        <v>-4.3154530420000121</v>
      </c>
      <c r="O37" s="46">
        <f t="shared" si="24"/>
        <v>-3.4837217540000189</v>
      </c>
      <c r="P37" s="46">
        <f t="shared" si="24"/>
        <v>-5.6695253099999938</v>
      </c>
      <c r="Q37" s="111">
        <f t="shared" si="10"/>
        <v>-63.33114029299999</v>
      </c>
      <c r="S37" s="46">
        <f t="shared" si="23"/>
        <v>-4.2758629010000035</v>
      </c>
      <c r="T37" s="46">
        <f t="shared" si="23"/>
        <v>0</v>
      </c>
      <c r="U37" s="46">
        <f t="shared" si="23"/>
        <v>0</v>
      </c>
      <c r="V37" s="46">
        <f>SUM(S37:U37)</f>
        <v>-4.2758629010000035</v>
      </c>
      <c r="X37" s="46">
        <f>SUMIF($E$2:$P$2,1,E37:P37)</f>
        <v>-4.2758629010000035</v>
      </c>
      <c r="Z37" s="46">
        <f>SUM(E37:G37)</f>
        <v>-15.075867262999992</v>
      </c>
      <c r="AA37" s="46">
        <f>SUM(H37:J37)</f>
        <v>-17.003631661999989</v>
      </c>
      <c r="AB37" s="46">
        <f>SUM(K37:M37)</f>
        <v>-17.782941261999987</v>
      </c>
      <c r="AC37" s="46">
        <f>SUM(N37:P37)</f>
        <v>-13.468700106000025</v>
      </c>
      <c r="AD37" s="46">
        <f>SUM(Z37:AC37)</f>
        <v>-63.33114029299999</v>
      </c>
    </row>
    <row r="38" spans="1:30">
      <c r="A38" s="30"/>
      <c r="B38" s="31" t="s">
        <v>34</v>
      </c>
      <c r="C38" s="21"/>
      <c r="D38" s="21"/>
      <c r="E38" s="68">
        <f t="shared" ref="E38:P38" si="25">SUM(E35:E37)</f>
        <v>-34.090336300000004</v>
      </c>
      <c r="F38" s="69">
        <f t="shared" si="25"/>
        <v>-39.318268199999999</v>
      </c>
      <c r="G38" s="70">
        <f t="shared" si="25"/>
        <v>-38.998422199999993</v>
      </c>
      <c r="H38" s="70">
        <f t="shared" si="25"/>
        <v>-37.114271000000002</v>
      </c>
      <c r="I38" s="70">
        <f t="shared" si="25"/>
        <v>-24.915997499999996</v>
      </c>
      <c r="J38" s="70">
        <f t="shared" si="25"/>
        <v>-56.166379699999993</v>
      </c>
      <c r="K38" s="70">
        <f t="shared" si="25"/>
        <v>-44.377594500000008</v>
      </c>
      <c r="L38" s="70">
        <f t="shared" si="25"/>
        <v>-36.819410999999995</v>
      </c>
      <c r="M38" s="70">
        <f t="shared" si="25"/>
        <v>-28.372501199999984</v>
      </c>
      <c r="N38" s="70">
        <f t="shared" si="25"/>
        <v>-33.353172100000009</v>
      </c>
      <c r="O38" s="70">
        <f t="shared" si="25"/>
        <v>-31.698931200000018</v>
      </c>
      <c r="P38" s="70">
        <f t="shared" si="25"/>
        <v>-23.126064199999995</v>
      </c>
      <c r="Q38" s="114">
        <f t="shared" si="10"/>
        <v>-428.35134909999994</v>
      </c>
      <c r="S38" s="70">
        <f>SUM(S35:S37)</f>
        <v>-34.090336300000004</v>
      </c>
      <c r="T38" s="70">
        <f>SUM(T35:T37)</f>
        <v>0</v>
      </c>
      <c r="U38" s="70">
        <f>SUM(U35:U37)</f>
        <v>0</v>
      </c>
      <c r="V38" s="70">
        <f>SUM(V35:V37)</f>
        <v>-34.090336300000004</v>
      </c>
      <c r="X38" s="70">
        <f>SUM(X35:X37)</f>
        <v>-34.090336300000004</v>
      </c>
      <c r="Z38" s="70">
        <f>SUM(Z35:Z37)</f>
        <v>-112.40702669999999</v>
      </c>
      <c r="AA38" s="70">
        <f>SUM(AA35:AA37)</f>
        <v>-118.19664819999998</v>
      </c>
      <c r="AB38" s="70">
        <f>SUM(AB35:AB37)</f>
        <v>-109.56950670000001</v>
      </c>
      <c r="AC38" s="70">
        <f>SUM(AC35:AC37)</f>
        <v>-88.178167500000029</v>
      </c>
      <c r="AD38" s="70">
        <f>SUM(AD35:AD37)</f>
        <v>-428.35134909999999</v>
      </c>
    </row>
    <row r="39" spans="1:30">
      <c r="A39" s="71"/>
      <c r="B39" s="72"/>
      <c r="C39" s="73" t="s">
        <v>35</v>
      </c>
      <c r="D39" s="17"/>
      <c r="E39" s="61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115">
        <f t="shared" si="10"/>
        <v>0</v>
      </c>
      <c r="S39" s="62"/>
      <c r="T39" s="62"/>
      <c r="U39" s="62"/>
      <c r="V39" s="62"/>
      <c r="X39" s="62"/>
      <c r="Z39" s="62"/>
      <c r="AA39" s="62"/>
      <c r="AB39" s="62"/>
      <c r="AC39" s="62"/>
      <c r="AD39" s="62"/>
    </row>
    <row r="40" spans="1:30">
      <c r="A40" s="74"/>
      <c r="B40" s="71"/>
      <c r="C40" s="75" t="s">
        <v>36</v>
      </c>
      <c r="D40" s="21"/>
      <c r="E40" s="22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109">
        <f t="shared" si="10"/>
        <v>0</v>
      </c>
      <c r="S40" s="23"/>
      <c r="T40" s="23"/>
      <c r="U40" s="23"/>
      <c r="V40" s="23"/>
      <c r="X40" s="23"/>
      <c r="Z40" s="23"/>
      <c r="AA40" s="23"/>
      <c r="AB40" s="23"/>
      <c r="AC40" s="23"/>
      <c r="AD40" s="23"/>
    </row>
    <row r="41" spans="1:30">
      <c r="A41" s="74"/>
      <c r="B41" s="71"/>
      <c r="C41" s="60" t="s">
        <v>37</v>
      </c>
      <c r="D41" s="21"/>
      <c r="E41" s="22">
        <f>[19]Act!D240</f>
        <v>-36.348637458000006</v>
      </c>
      <c r="F41" s="23">
        <f>[19]Act!E240</f>
        <v>-39.951275388999996</v>
      </c>
      <c r="G41" s="23">
        <f>[19]Act!F240</f>
        <v>-39.744175093999999</v>
      </c>
      <c r="H41" s="23">
        <f>[20]Act!G240</f>
        <v>-37.149596024999994</v>
      </c>
      <c r="I41" s="23">
        <f>[20]Act!H240</f>
        <v>-34.751440039999999</v>
      </c>
      <c r="J41" s="23">
        <f>[20]Act!I240</f>
        <v>-36.044201073000004</v>
      </c>
      <c r="K41" s="23">
        <f>[20]Act!J240</f>
        <v>-37.524980339000003</v>
      </c>
      <c r="L41" s="23">
        <f>[20]Act!K240</f>
        <v>-36.784135112000001</v>
      </c>
      <c r="M41" s="23">
        <f>[20]Act!L240</f>
        <v>-35.264799113000002</v>
      </c>
      <c r="N41" s="23">
        <f>[20]Act!M240</f>
        <v>-39.808074235999996</v>
      </c>
      <c r="O41" s="23">
        <f>[20]Act!N240</f>
        <v>-36.815216778</v>
      </c>
      <c r="P41" s="23">
        <f>[20]Act!O240</f>
        <v>-57.798913637999995</v>
      </c>
      <c r="Q41" s="109">
        <f t="shared" si="10"/>
        <v>-467.98544429499992</v>
      </c>
      <c r="S41" s="23">
        <f>SUMIFS($E41:$P41,$E$3:$P$3,1,$E$5:$P$5,S$5)</f>
        <v>-36.348637458000006</v>
      </c>
      <c r="T41" s="23">
        <f>SUMIFS($E41:$P41,$E$3:$P$3,1,$E$5:$P$5,T$5)</f>
        <v>0</v>
      </c>
      <c r="U41" s="23">
        <f>SUMIFS($E41:$P41,$E$3:$P$3,1,$E$5:$P$5,U$5)</f>
        <v>0</v>
      </c>
      <c r="V41" s="23">
        <f>SUM(S41:U41)</f>
        <v>-36.348637458000006</v>
      </c>
      <c r="X41" s="23">
        <f>SUMIF($E$2:$P$2,1,E41:P41)</f>
        <v>-36.348637458000006</v>
      </c>
      <c r="Z41" s="23">
        <f>SUM(E41:G41)</f>
        <v>-116.044087941</v>
      </c>
      <c r="AA41" s="23">
        <f>SUM(H41:J41)</f>
        <v>-107.94523713800001</v>
      </c>
      <c r="AB41" s="23">
        <f>SUM(K41:M41)</f>
        <v>-109.57391456400001</v>
      </c>
      <c r="AC41" s="23">
        <f>SUM(N41:P41)</f>
        <v>-134.42220465199998</v>
      </c>
      <c r="AD41" s="23">
        <f>SUM(Z41:AC41)</f>
        <v>-467.98544429499998</v>
      </c>
    </row>
    <row r="42" spans="1:30">
      <c r="A42" s="74"/>
      <c r="B42" s="71"/>
      <c r="C42" s="76" t="s">
        <v>38</v>
      </c>
      <c r="D42" s="21"/>
      <c r="E42" s="22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109">
        <f t="shared" si="10"/>
        <v>0</v>
      </c>
      <c r="S42" s="23"/>
      <c r="T42" s="23"/>
      <c r="U42" s="23"/>
      <c r="V42" s="23"/>
      <c r="X42" s="23"/>
      <c r="Z42" s="23"/>
      <c r="AA42" s="23"/>
      <c r="AB42" s="23"/>
      <c r="AC42" s="23"/>
      <c r="AD42" s="23"/>
    </row>
    <row r="43" spans="1:30">
      <c r="A43" s="74"/>
      <c r="B43" s="71"/>
      <c r="C43" s="60" t="s">
        <v>39</v>
      </c>
      <c r="D43" s="21"/>
      <c r="E43" s="22">
        <f>[19]Act!D241</f>
        <v>2.2319049163122133</v>
      </c>
      <c r="F43" s="23">
        <f>[19]Act!E241</f>
        <v>2.2086723731920186</v>
      </c>
      <c r="G43" s="23">
        <f>[19]Act!F241</f>
        <v>1.7335982606785239</v>
      </c>
      <c r="H43" s="23">
        <f>[20]Act!G241</f>
        <v>2.1233124972890436</v>
      </c>
      <c r="I43" s="23">
        <f>[20]Act!H241</f>
        <v>2.4383551399401782</v>
      </c>
      <c r="J43" s="23">
        <f>[20]Act!I241</f>
        <v>1.5872996375009372</v>
      </c>
      <c r="K43" s="23">
        <f>[20]Act!J241</f>
        <v>2.2986567975120833</v>
      </c>
      <c r="L43" s="23">
        <f>[20]Act!K241</f>
        <v>2.0378816427760653</v>
      </c>
      <c r="M43" s="23">
        <f>[20]Act!L241</f>
        <v>1.5180221188498346</v>
      </c>
      <c r="N43" s="23">
        <f>[20]Act!M241</f>
        <v>2.7949258952424012</v>
      </c>
      <c r="O43" s="23">
        <f>[20]Act!N241</f>
        <v>1.8210457557982509</v>
      </c>
      <c r="P43" s="23">
        <f>[20]Act!O241</f>
        <v>-6.9255646586067012</v>
      </c>
      <c r="Q43" s="109">
        <f t="shared" si="10"/>
        <v>15.868110376484848</v>
      </c>
      <c r="S43" s="23">
        <f>SUMIFS($E43:$P43,$E$3:$P$3,1,$E$5:$P$5,S$5)</f>
        <v>2.2319049163122133</v>
      </c>
      <c r="T43" s="23">
        <f>SUMIFS($E43:$P43,$E$3:$P$3,1,$E$5:$P$5,T$5)</f>
        <v>0</v>
      </c>
      <c r="U43" s="23">
        <f>SUMIFS($E43:$P43,$E$3:$P$3,1,$E$5:$P$5,U$5)</f>
        <v>0</v>
      </c>
      <c r="V43" s="23">
        <f>SUM(S43:U43)</f>
        <v>2.2319049163122133</v>
      </c>
      <c r="X43" s="23">
        <f>SUMIF($E$2:$P$2,1,E43:P43)</f>
        <v>2.2319049163122133</v>
      </c>
      <c r="Z43" s="23">
        <f>SUM(E43:G43)</f>
        <v>6.1741755501827553</v>
      </c>
      <c r="AA43" s="23">
        <f>SUM(H43:J43)</f>
        <v>6.1489672747301594</v>
      </c>
      <c r="AB43" s="23">
        <f>SUM(K43:M43)</f>
        <v>5.8545605591379832</v>
      </c>
      <c r="AC43" s="23">
        <f>SUM(N43:P43)</f>
        <v>-2.3095930075660487</v>
      </c>
      <c r="AD43" s="23">
        <f>SUM(Z43:AC43)</f>
        <v>15.868110376484848</v>
      </c>
    </row>
    <row r="44" spans="1:30">
      <c r="A44" s="77"/>
      <c r="B44" s="17" t="s">
        <v>40</v>
      </c>
      <c r="C44" s="17"/>
      <c r="D44" s="17"/>
      <c r="E44" s="38">
        <f t="shared" ref="E44:P44" si="26">SUM(E39:E43)</f>
        <v>-34.116732541687796</v>
      </c>
      <c r="F44" s="39">
        <f t="shared" si="26"/>
        <v>-37.74260301580798</v>
      </c>
      <c r="G44" s="40">
        <f t="shared" si="26"/>
        <v>-38.010576833321473</v>
      </c>
      <c r="H44" s="40">
        <f t="shared" si="26"/>
        <v>-35.026283527710952</v>
      </c>
      <c r="I44" s="40">
        <f t="shared" si="26"/>
        <v>-32.31308490005982</v>
      </c>
      <c r="J44" s="40">
        <f t="shared" si="26"/>
        <v>-34.456901435499063</v>
      </c>
      <c r="K44" s="40">
        <f t="shared" si="26"/>
        <v>-35.226323541487922</v>
      </c>
      <c r="L44" s="40">
        <f t="shared" si="26"/>
        <v>-34.746253469223937</v>
      </c>
      <c r="M44" s="40">
        <f t="shared" si="26"/>
        <v>-33.746776994150167</v>
      </c>
      <c r="N44" s="40">
        <f t="shared" si="26"/>
        <v>-37.013148340757596</v>
      </c>
      <c r="O44" s="40">
        <f t="shared" si="26"/>
        <v>-34.994171022201748</v>
      </c>
      <c r="P44" s="40">
        <f t="shared" si="26"/>
        <v>-64.724478296606691</v>
      </c>
      <c r="Q44" s="110">
        <f t="shared" si="10"/>
        <v>-452.1173339185151</v>
      </c>
      <c r="S44" s="40">
        <f>SUM(S39:S43)</f>
        <v>-34.116732541687796</v>
      </c>
      <c r="T44" s="40">
        <f>SUM(T39:T43)</f>
        <v>0</v>
      </c>
      <c r="U44" s="40">
        <f>SUM(U39:U43)</f>
        <v>0</v>
      </c>
      <c r="V44" s="40">
        <f>SUM(V39:V43)</f>
        <v>-34.116732541687796</v>
      </c>
      <c r="X44" s="40">
        <f>SUM(X39:X43)</f>
        <v>-34.116732541687796</v>
      </c>
      <c r="Z44" s="40">
        <f>SUM(Z39:Z43)</f>
        <v>-109.86991239081725</v>
      </c>
      <c r="AA44" s="40">
        <f>SUM(AA39:AA43)</f>
        <v>-101.79626986326986</v>
      </c>
      <c r="AB44" s="40">
        <f>SUM(AB39:AB43)</f>
        <v>-103.71935400486203</v>
      </c>
      <c r="AC44" s="40">
        <f>SUM(AC39:AC43)</f>
        <v>-136.73179765956601</v>
      </c>
      <c r="AD44" s="40">
        <f>SUM(AD39:AD43)</f>
        <v>-452.11733391851516</v>
      </c>
    </row>
    <row r="45" spans="1:30">
      <c r="A45" s="78" t="s">
        <v>41</v>
      </c>
      <c r="B45" s="73"/>
      <c r="C45" s="73"/>
      <c r="D45" s="73"/>
      <c r="E45" s="51">
        <f t="shared" ref="E45:P45" si="27">SUM(E44,E38,E34)</f>
        <v>-120.99759203768781</v>
      </c>
      <c r="F45" s="52">
        <f t="shared" si="27"/>
        <v>-136.09767915480799</v>
      </c>
      <c r="G45" s="53">
        <f t="shared" si="27"/>
        <v>-133.69629554632147</v>
      </c>
      <c r="H45" s="53">
        <f t="shared" si="27"/>
        <v>-126.90284003471092</v>
      </c>
      <c r="I45" s="53">
        <f t="shared" si="27"/>
        <v>-100.01334162805981</v>
      </c>
      <c r="J45" s="53">
        <f t="shared" si="27"/>
        <v>-136.26391596549905</v>
      </c>
      <c r="K45" s="53">
        <f t="shared" si="27"/>
        <v>-137.97114829748796</v>
      </c>
      <c r="L45" s="53">
        <f t="shared" si="27"/>
        <v>-127.10575899822389</v>
      </c>
      <c r="M45" s="53">
        <f t="shared" si="27"/>
        <v>-109.62556086615015</v>
      </c>
      <c r="N45" s="53">
        <f t="shared" si="27"/>
        <v>-129.30030968575758</v>
      </c>
      <c r="O45" s="53">
        <f t="shared" si="27"/>
        <v>-124.72961820020181</v>
      </c>
      <c r="P45" s="53">
        <f t="shared" si="27"/>
        <v>-150.40141389960672</v>
      </c>
      <c r="Q45" s="112">
        <f t="shared" si="10"/>
        <v>-1533.1054743145155</v>
      </c>
      <c r="S45" s="53">
        <f>SUM(S44,S38,S34)</f>
        <v>-120.99759203768781</v>
      </c>
      <c r="T45" s="53">
        <f>SUM(T44,T38,T34)</f>
        <v>0</v>
      </c>
      <c r="U45" s="53">
        <f>SUM(U44,U38,U34)</f>
        <v>0</v>
      </c>
      <c r="V45" s="53">
        <f>SUM(V44,V38,V34)</f>
        <v>-120.99759203768781</v>
      </c>
      <c r="X45" s="53">
        <f>SUM(X44,X38,X34)</f>
        <v>-120.99759203768781</v>
      </c>
      <c r="Z45" s="53">
        <f>SUM(Z44,Z38,Z34)</f>
        <v>-390.79156673881727</v>
      </c>
      <c r="AA45" s="53">
        <f>SUM(AA44,AA38,AA34)</f>
        <v>-363.18009762826978</v>
      </c>
      <c r="AB45" s="53">
        <f>SUM(AB44,AB38,AB34)</f>
        <v>-374.70246816186204</v>
      </c>
      <c r="AC45" s="53">
        <f>SUM(AC44,AC38,AC34)</f>
        <v>-404.43134178556608</v>
      </c>
      <c r="AD45" s="53">
        <f>SUM(AD44,AD38,AD34)</f>
        <v>-1533.105474314515</v>
      </c>
    </row>
    <row r="46" spans="1:30">
      <c r="A46" s="50" t="s">
        <v>0</v>
      </c>
      <c r="B46" s="50"/>
      <c r="C46" s="37"/>
      <c r="D46" s="37"/>
      <c r="E46" s="51">
        <f>E26+E45</f>
        <v>35.570225425980823</v>
      </c>
      <c r="F46" s="52">
        <f t="shared" ref="F46:P46" si="28">F26+F45</f>
        <v>-3.5276943625111414</v>
      </c>
      <c r="G46" s="53">
        <f t="shared" si="28"/>
        <v>56.864543970374285</v>
      </c>
      <c r="H46" s="53">
        <f t="shared" si="28"/>
        <v>23.522409178795357</v>
      </c>
      <c r="I46" s="53">
        <f t="shared" si="28"/>
        <v>15.103046327479689</v>
      </c>
      <c r="J46" s="53">
        <f t="shared" si="28"/>
        <v>9.4916714627161696</v>
      </c>
      <c r="K46" s="53">
        <f t="shared" si="28"/>
        <v>46.539705501068738</v>
      </c>
      <c r="L46" s="53">
        <f t="shared" si="28"/>
        <v>-8.3849621790375153</v>
      </c>
      <c r="M46" s="53">
        <f t="shared" si="28"/>
        <v>-33.159976449785376</v>
      </c>
      <c r="N46" s="53">
        <f t="shared" si="28"/>
        <v>12.259656421026904</v>
      </c>
      <c r="O46" s="53">
        <f t="shared" si="28"/>
        <v>39.503262954953797</v>
      </c>
      <c r="P46" s="53">
        <f t="shared" si="28"/>
        <v>45.252274182304973</v>
      </c>
      <c r="Q46" s="112">
        <f t="shared" si="10"/>
        <v>239.0341624333667</v>
      </c>
      <c r="S46" s="53">
        <f t="shared" ref="S46:X46" si="29">S26+S45</f>
        <v>35.570225425980823</v>
      </c>
      <c r="T46" s="53">
        <f t="shared" si="29"/>
        <v>0</v>
      </c>
      <c r="U46" s="53">
        <f t="shared" si="29"/>
        <v>0</v>
      </c>
      <c r="V46" s="53">
        <f t="shared" si="29"/>
        <v>35.570225425980823</v>
      </c>
      <c r="X46" s="53">
        <f t="shared" si="29"/>
        <v>35.570225425980823</v>
      </c>
      <c r="Z46" s="53">
        <f>Z26+Z45</f>
        <v>88.907075033843455</v>
      </c>
      <c r="AA46" s="53">
        <f>AA26+AA45</f>
        <v>48.117126968991215</v>
      </c>
      <c r="AB46" s="53">
        <f>AB26+AB45</f>
        <v>4.994766872245691</v>
      </c>
      <c r="AC46" s="53">
        <f>AC26+AC45</f>
        <v>97.015193558285716</v>
      </c>
      <c r="AD46" s="53">
        <f>AD26+AD45</f>
        <v>239.03416243336596</v>
      </c>
    </row>
    <row r="47" spans="1:30">
      <c r="A47" s="54"/>
      <c r="B47" s="55" t="s">
        <v>43</v>
      </c>
      <c r="C47" s="56"/>
      <c r="D47" s="56"/>
      <c r="E47" s="57">
        <f>E46/E22</f>
        <v>5.4468617119446575E-2</v>
      </c>
      <c r="F47" s="58">
        <f t="shared" ref="F47:P47" si="30">F46/F22</f>
        <v>-5.7163365431080982E-3</v>
      </c>
      <c r="G47" s="59">
        <f t="shared" si="30"/>
        <v>5.8887572287247128E-2</v>
      </c>
      <c r="H47" s="59">
        <f t="shared" si="30"/>
        <v>2.5666131800550985E-2</v>
      </c>
      <c r="I47" s="59">
        <f t="shared" si="30"/>
        <v>2.1749299080503215E-2</v>
      </c>
      <c r="J47" s="59">
        <f t="shared" si="30"/>
        <v>9.0909636437969139E-3</v>
      </c>
      <c r="K47" s="59">
        <f t="shared" si="30"/>
        <v>6.0918209689723606E-2</v>
      </c>
      <c r="L47" s="59">
        <f t="shared" si="30"/>
        <v>-1.0182046551824095E-2</v>
      </c>
      <c r="M47" s="59">
        <f t="shared" si="30"/>
        <v>-4.0210481581516362E-2</v>
      </c>
      <c r="N47" s="59">
        <f t="shared" si="30"/>
        <v>1.5869446747477908E-2</v>
      </c>
      <c r="O47" s="59">
        <f t="shared" si="30"/>
        <v>4.4940426817483975E-2</v>
      </c>
      <c r="P47" s="59">
        <f t="shared" si="30"/>
        <v>3.2590524961550918E-2</v>
      </c>
      <c r="Q47" s="116">
        <f t="shared" si="10"/>
        <v>0.26807232747133269</v>
      </c>
      <c r="S47" s="59">
        <f t="shared" ref="S47:X47" si="31">S46/S22</f>
        <v>5.4468617119446575E-2</v>
      </c>
      <c r="T47" s="59" t="e">
        <f t="shared" si="31"/>
        <v>#DIV/0!</v>
      </c>
      <c r="U47" s="59" t="e">
        <f t="shared" si="31"/>
        <v>#DIV/0!</v>
      </c>
      <c r="V47" s="59">
        <f t="shared" si="31"/>
        <v>5.4468617119446575E-2</v>
      </c>
      <c r="X47" s="59">
        <f t="shared" si="31"/>
        <v>5.4468617119446575E-2</v>
      </c>
      <c r="Z47" s="59">
        <f>Z46/Z22</f>
        <v>3.976501054379681E-2</v>
      </c>
      <c r="AA47" s="59">
        <f>AA46/AA22</f>
        <v>1.8123419811335539E-2</v>
      </c>
      <c r="AB47" s="59">
        <f>AB46/AB22</f>
        <v>2.0706830066448503E-3</v>
      </c>
      <c r="AC47" s="59">
        <f>AC46/AC22</f>
        <v>3.1912303023479437E-2</v>
      </c>
      <c r="AD47" s="59">
        <f>AD46/AD22</f>
        <v>2.3110780459654937E-2</v>
      </c>
    </row>
    <row r="48" spans="1:30">
      <c r="A48" s="2"/>
      <c r="B48" s="2"/>
      <c r="C48" s="2"/>
      <c r="D48" s="2"/>
      <c r="E48" s="15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117"/>
      <c r="S48" s="2"/>
      <c r="T48" s="2"/>
      <c r="U48" s="2"/>
      <c r="V48" s="2"/>
      <c r="X48" s="2"/>
      <c r="Z48" s="2"/>
      <c r="AA48" s="2"/>
      <c r="AB48" s="2"/>
      <c r="AC48" s="2"/>
      <c r="AD48" s="2"/>
    </row>
    <row r="49" spans="1:30" hidden="1" outlineLevel="1">
      <c r="A49" s="79"/>
      <c r="B49" s="80" t="s">
        <v>44</v>
      </c>
      <c r="C49" s="81"/>
      <c r="D49" s="81"/>
      <c r="E49" s="82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118">
        <f>SUM(E49:P49)</f>
        <v>0</v>
      </c>
      <c r="S49" s="83"/>
      <c r="T49" s="83"/>
      <c r="U49" s="83"/>
      <c r="V49" s="83"/>
      <c r="X49" s="83"/>
      <c r="Z49" s="83"/>
      <c r="AA49" s="83"/>
      <c r="AB49" s="83"/>
      <c r="AC49" s="83"/>
      <c r="AD49" s="83"/>
    </row>
    <row r="50" spans="1:30" hidden="1" outlineLevel="1">
      <c r="A50" s="84"/>
      <c r="B50" s="80" t="s">
        <v>45</v>
      </c>
      <c r="C50" s="81"/>
      <c r="D50" s="81"/>
      <c r="E50" s="82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118">
        <f>SUM(E50:P50)</f>
        <v>0</v>
      </c>
      <c r="S50" s="83"/>
      <c r="T50" s="83"/>
      <c r="U50" s="83"/>
      <c r="V50" s="83"/>
      <c r="X50" s="83"/>
      <c r="Z50" s="83"/>
      <c r="AA50" s="83"/>
      <c r="AB50" s="83"/>
      <c r="AC50" s="83"/>
      <c r="AD50" s="83"/>
    </row>
    <row r="51" spans="1:30" hidden="1" outlineLevel="1">
      <c r="A51" s="84"/>
      <c r="B51" s="80" t="s">
        <v>46</v>
      </c>
      <c r="C51" s="81"/>
      <c r="D51" s="81"/>
      <c r="E51" s="82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118">
        <f>SUM(E51:P51)</f>
        <v>0</v>
      </c>
      <c r="S51" s="83"/>
      <c r="T51" s="83"/>
      <c r="U51" s="83"/>
      <c r="V51" s="83"/>
      <c r="X51" s="83"/>
      <c r="Z51" s="83"/>
      <c r="AA51" s="83"/>
      <c r="AB51" s="83"/>
      <c r="AC51" s="83"/>
      <c r="AD51" s="83"/>
    </row>
    <row r="52" spans="1:30" hidden="1" outlineLevel="1">
      <c r="A52" s="85" t="s">
        <v>47</v>
      </c>
      <c r="B52" s="86"/>
      <c r="C52" s="86"/>
      <c r="D52" s="86"/>
      <c r="E52" s="82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119">
        <f>SUM(E52:P52)</f>
        <v>0</v>
      </c>
      <c r="S52" s="83"/>
      <c r="T52" s="83"/>
      <c r="U52" s="83"/>
      <c r="V52" s="83"/>
      <c r="X52" s="83"/>
      <c r="Z52" s="83"/>
      <c r="AA52" s="83"/>
      <c r="AB52" s="83"/>
      <c r="AC52" s="83"/>
      <c r="AD52" s="83"/>
    </row>
    <row r="53" spans="1:30" collapsed="1">
      <c r="A53" s="2"/>
      <c r="B53" s="2"/>
      <c r="C53" s="2"/>
      <c r="D53" s="2"/>
      <c r="E53" s="15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117"/>
      <c r="S53" s="2"/>
      <c r="T53" s="2"/>
      <c r="U53" s="2"/>
      <c r="V53" s="2"/>
      <c r="X53" s="2"/>
      <c r="Z53" s="2"/>
      <c r="AA53" s="2"/>
      <c r="AB53" s="2"/>
      <c r="AC53" s="2"/>
      <c r="AD53" s="2"/>
    </row>
    <row r="54" spans="1:30">
      <c r="A54" s="87" t="s">
        <v>48</v>
      </c>
      <c r="B54" s="88"/>
      <c r="C54" s="86"/>
      <c r="D54" s="86"/>
      <c r="E54" s="89">
        <f>[19]Act!D29</f>
        <v>-36.381775600000196</v>
      </c>
      <c r="F54" s="90">
        <f>[19]Act!E29</f>
        <v>-62.48078140000024</v>
      </c>
      <c r="G54" s="90">
        <f>[19]Act!F29</f>
        <v>-99.437037699998854</v>
      </c>
      <c r="H54" s="90">
        <f>[20]Act!G29</f>
        <v>-48.297738999998941</v>
      </c>
      <c r="I54" s="90">
        <f>[20]Act!H29</f>
        <v>-38.735970999999722</v>
      </c>
      <c r="J54" s="90">
        <f>[20]Act!I29</f>
        <v>-60.082103255757325</v>
      </c>
      <c r="K54" s="90">
        <f>[20]Act!J29</f>
        <v>-7.3954627963715041</v>
      </c>
      <c r="L54" s="90">
        <f>[20]Act!K29</f>
        <v>-73.657835399997111</v>
      </c>
      <c r="M54" s="90">
        <f>[20]Act!L29</f>
        <v>-85.638214900001344</v>
      </c>
      <c r="N54" s="90">
        <f>[20]Act!M29</f>
        <v>-48.705261599999638</v>
      </c>
      <c r="O54" s="90">
        <f>[20]Act!N29</f>
        <v>-27.698845799998935</v>
      </c>
      <c r="P54" s="90">
        <f>[20]Act!O29</f>
        <v>-57.209725357837279</v>
      </c>
      <c r="Q54" s="119">
        <f>SUM(E54:P54)</f>
        <v>-645.72075380996114</v>
      </c>
      <c r="S54" s="90">
        <f>SUMIFS($E54:$P54,$E$3:$P$3,1,$E$5:$P$5,S$5)</f>
        <v>-36.381775600000196</v>
      </c>
      <c r="T54" s="90">
        <f>SUMIFS($E54:$P54,$E$3:$P$3,1,$E$5:$P$5,T$5)</f>
        <v>0</v>
      </c>
      <c r="U54" s="90">
        <f>SUMIFS($E54:$P54,$E$3:$P$3,1,$E$5:$P$5,U$5)</f>
        <v>0</v>
      </c>
      <c r="V54" s="90">
        <f>SUM(S54:U54)</f>
        <v>-36.381775600000196</v>
      </c>
      <c r="X54" s="90">
        <f>SUMIF($E$2:$P$2,1,E54:P54)</f>
        <v>-36.381775600000196</v>
      </c>
      <c r="Z54" s="90">
        <f>SUM(E54:G54)</f>
        <v>-198.29959469999929</v>
      </c>
      <c r="AA54" s="90">
        <f>SUM(H54:J54)</f>
        <v>-147.115813255756</v>
      </c>
      <c r="AB54" s="90">
        <f>SUM(K54:M54)</f>
        <v>-166.69151309636996</v>
      </c>
      <c r="AC54" s="90">
        <f>SUM(N54:P54)</f>
        <v>-133.61383275783584</v>
      </c>
      <c r="AD54" s="90">
        <f>SUM(Z54:AC54)</f>
        <v>-645.72075380996102</v>
      </c>
    </row>
    <row r="55" spans="1:30">
      <c r="A55" s="2"/>
      <c r="B55" s="2"/>
      <c r="C55" s="2"/>
      <c r="D55" s="2"/>
      <c r="E55" s="15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117"/>
      <c r="S55" s="2"/>
      <c r="T55" s="2"/>
      <c r="U55" s="2"/>
      <c r="V55" s="2"/>
      <c r="X55" s="2"/>
      <c r="Z55" s="2"/>
      <c r="AA55" s="2"/>
      <c r="AB55" s="2"/>
      <c r="AC55" s="2"/>
      <c r="AD55" s="2"/>
    </row>
    <row r="56" spans="1:30" ht="15.75" thickBot="1">
      <c r="A56" s="80" t="s">
        <v>49</v>
      </c>
      <c r="B56" s="91"/>
      <c r="C56" s="81"/>
      <c r="D56" s="91"/>
      <c r="E56" s="92">
        <f>'[9]New KPI Actual'!F33</f>
        <v>7.0850710000000096E-3</v>
      </c>
      <c r="F56" s="93">
        <f>'[9]New KPI Actual'!G33</f>
        <v>1.1014685999999984E-2</v>
      </c>
      <c r="G56" s="93">
        <f>'[9]New KPI Actual'!H33</f>
        <v>6.9790899999999751E-3</v>
      </c>
      <c r="H56" s="93">
        <f>'[9]New KPI Actual'!I33</f>
        <v>9.189711999999987E-3</v>
      </c>
      <c r="I56" s="93">
        <f>'[9]New KPI Actual'!J33</f>
        <v>-5.8174600000002728E-4</v>
      </c>
      <c r="J56" s="93">
        <f>'[9]New KPI Actual'!K33</f>
        <v>2.6843040000000297E-3</v>
      </c>
      <c r="K56" s="93">
        <f>'[9]New KPI Actual'!L33</f>
        <v>1.2504663999999967E-2</v>
      </c>
      <c r="L56" s="93">
        <f>'[9]New KPI Actual'!M33</f>
        <v>-0.13960334599999993</v>
      </c>
      <c r="M56" s="93">
        <f>'[9]New KPI Actual'!N33</f>
        <v>-1.5409752000000009E-2</v>
      </c>
      <c r="N56" s="93">
        <f>'[9]New KPI Actual'!O33</f>
        <v>-5.8807732999999959E-2</v>
      </c>
      <c r="O56" s="93">
        <f>'[9]New KPI Actual'!P33</f>
        <v>-6.4752796999999959E-2</v>
      </c>
      <c r="P56" s="93">
        <f>'[9]New KPI Actual'!Q33</f>
        <v>-0.17459667000000006</v>
      </c>
      <c r="Q56" s="120">
        <f>SUM(E56:P56)</f>
        <v>-0.40429451700000002</v>
      </c>
      <c r="S56" s="93">
        <f>SUMIFS($E56:$P56,$E$3:$P$3,1,$E$5:$P$5,S$5)</f>
        <v>7.0850710000000096E-3</v>
      </c>
      <c r="T56" s="93">
        <f>SUMIFS($E56:$P56,$E$3:$P$3,1,$E$5:$P$5,T$5)</f>
        <v>0</v>
      </c>
      <c r="U56" s="93">
        <f>SUMIFS($E56:$P56,$E$3:$P$3,1,$E$5:$P$5,U$5)</f>
        <v>0</v>
      </c>
      <c r="V56" s="93">
        <f>SUM(S56:U56)</f>
        <v>7.0850710000000096E-3</v>
      </c>
      <c r="X56" s="93">
        <f>SUMIF($E$2:$P$2,1,E56:P56)</f>
        <v>7.0850710000000096E-3</v>
      </c>
      <c r="Z56" s="93">
        <f>SUM(E56:G56)</f>
        <v>2.507884699999997E-2</v>
      </c>
      <c r="AA56" s="93">
        <f>SUM(H56:J56)</f>
        <v>1.129226999999999E-2</v>
      </c>
      <c r="AB56" s="93">
        <f>SUM(K56:M56)</f>
        <v>-0.14250843399999996</v>
      </c>
      <c r="AC56" s="93">
        <f>SUM(N56:P56)</f>
        <v>-0.29815720000000001</v>
      </c>
      <c r="AD56" s="93">
        <f>SUM(Z56:AC56)</f>
        <v>-0.40429451700000002</v>
      </c>
    </row>
    <row r="57" spans="1:30">
      <c r="A57" s="137"/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</row>
    <row r="58" spans="1:30">
      <c r="A58" s="444"/>
      <c r="B58" s="445" t="s">
        <v>297</v>
      </c>
      <c r="C58" s="446"/>
      <c r="D58" s="453"/>
      <c r="E58" s="456">
        <f>[19]Act!D237</f>
        <v>-2.0801910000000001</v>
      </c>
      <c r="F58" s="457">
        <f>[19]Act!E237</f>
        <v>-1.9341790000000001</v>
      </c>
      <c r="G58" s="457">
        <f>[19]Act!F237</f>
        <v>-2.5246279999999999</v>
      </c>
      <c r="H58" s="457">
        <f>[20]Act!G237</f>
        <v>-1.890639</v>
      </c>
      <c r="I58" s="457">
        <f>[20]Act!H237</f>
        <v>-1.112649</v>
      </c>
      <c r="J58" s="457">
        <f>[20]Act!I237</f>
        <v>-3.4755739999999999</v>
      </c>
      <c r="K58" s="457">
        <f>[20]Act!J237</f>
        <v>-1.72201195</v>
      </c>
      <c r="L58" s="457">
        <f>[20]Act!K237</f>
        <v>-1.481142</v>
      </c>
      <c r="M58" s="457">
        <f>[20]Act!L237</f>
        <v>-2.8288396800000002</v>
      </c>
      <c r="N58" s="457">
        <f>[20]Act!M237</f>
        <v>-1.605626</v>
      </c>
      <c r="O58" s="457">
        <f>[20]Act!N237</f>
        <v>-1.344217</v>
      </c>
      <c r="P58" s="458">
        <f>[20]Act!O237</f>
        <v>-2.066897</v>
      </c>
      <c r="Q58" s="120">
        <f>SUM(E58:P58)</f>
        <v>-24.066593630000003</v>
      </c>
      <c r="S58" s="456">
        <f t="shared" ref="S58:U60" si="32">SUMIFS($E58:$P58,$E$3:$P$3,1,$E$5:$P$5,S$5)</f>
        <v>-2.0801910000000001</v>
      </c>
      <c r="T58" s="457">
        <f t="shared" si="32"/>
        <v>0</v>
      </c>
      <c r="U58" s="457">
        <f t="shared" si="32"/>
        <v>0</v>
      </c>
      <c r="V58" s="458">
        <f t="shared" ref="V58:X60" si="33">SUM(S58:U58)</f>
        <v>-2.0801910000000001</v>
      </c>
      <c r="X58" s="19">
        <f>SUMIF($E$2:$P$2,1,E58:P58)</f>
        <v>-2.0801910000000001</v>
      </c>
      <c r="Z58" s="456">
        <f>SUM(E58:G58)</f>
        <v>-6.5389980000000003</v>
      </c>
      <c r="AA58" s="457">
        <f>SUM(H58:J58)</f>
        <v>-6.4788619999999995</v>
      </c>
      <c r="AB58" s="457">
        <f>SUM(K58:M58)</f>
        <v>-6.0319936300000006</v>
      </c>
      <c r="AC58" s="457">
        <f>SUM(N58:P58)</f>
        <v>-5.0167400000000004</v>
      </c>
      <c r="AD58" s="458">
        <f>SUM(Z58:AC58)</f>
        <v>-24.06659363</v>
      </c>
    </row>
    <row r="59" spans="1:30">
      <c r="A59" s="447"/>
      <c r="B59" s="448" t="s">
        <v>298</v>
      </c>
      <c r="C59" s="449"/>
      <c r="D59" s="454"/>
      <c r="E59" s="459">
        <f>[19]Act!D238</f>
        <v>-2.1956719010000034</v>
      </c>
      <c r="F59" s="460">
        <f>[19]Act!E238</f>
        <v>-2.948569133999996</v>
      </c>
      <c r="G59" s="460">
        <f>[19]Act!F238</f>
        <v>-3.3926282279999924</v>
      </c>
      <c r="H59" s="460">
        <f>[20]Act!G238</f>
        <v>-2.947516579000002</v>
      </c>
      <c r="I59" s="460">
        <f>[20]Act!H238</f>
        <v>-2.9948164649999969</v>
      </c>
      <c r="J59" s="460">
        <f>[20]Act!I238</f>
        <v>-4.5824366179999902</v>
      </c>
      <c r="K59" s="460">
        <f>[20]Act!J238</f>
        <v>-3.5107220250000095</v>
      </c>
      <c r="L59" s="460">
        <f>[20]Act!K238</f>
        <v>-3.9625547749999921</v>
      </c>
      <c r="M59" s="460">
        <f>[20]Act!L238</f>
        <v>-4.2776708319999859</v>
      </c>
      <c r="N59" s="460">
        <f>[20]Act!M238</f>
        <v>-2.7098270420000121</v>
      </c>
      <c r="O59" s="460">
        <f>[20]Act!N238</f>
        <v>-2.1395047540000189</v>
      </c>
      <c r="P59" s="461">
        <f>[20]Act!O238</f>
        <v>-3.6026283099999938</v>
      </c>
      <c r="Q59" s="120">
        <f>SUM(E59:P59)</f>
        <v>-39.264546662999997</v>
      </c>
      <c r="S59" s="459">
        <f t="shared" si="32"/>
        <v>-2.1956719010000034</v>
      </c>
      <c r="T59" s="460">
        <f t="shared" si="32"/>
        <v>0</v>
      </c>
      <c r="U59" s="460">
        <f t="shared" si="32"/>
        <v>0</v>
      </c>
      <c r="V59" s="461">
        <f t="shared" si="33"/>
        <v>-2.1956719010000034</v>
      </c>
      <c r="X59" s="46">
        <f>SUMIF($E$2:$P$2,1,E59:P59)</f>
        <v>-2.1956719010000034</v>
      </c>
      <c r="Z59" s="459">
        <f>SUM(E59:G59)</f>
        <v>-8.5368692629999927</v>
      </c>
      <c r="AA59" s="460">
        <f>SUM(H59:J59)</f>
        <v>-10.52476966199999</v>
      </c>
      <c r="AB59" s="460">
        <f>SUM(K59:M59)</f>
        <v>-11.750947631999988</v>
      </c>
      <c r="AC59" s="460">
        <f>SUM(N59:P59)</f>
        <v>-8.4519601060000262</v>
      </c>
      <c r="AD59" s="461">
        <f>SUM(Z59:AC59)</f>
        <v>-39.264546662999997</v>
      </c>
    </row>
    <row r="60" spans="1:30">
      <c r="A60" s="450"/>
      <c r="B60" s="451" t="s">
        <v>299</v>
      </c>
      <c r="C60" s="452"/>
      <c r="D60" s="455"/>
      <c r="E60" s="69">
        <f>SUM(E58:E59)</f>
        <v>-4.2758629010000035</v>
      </c>
      <c r="F60" s="69">
        <f t="shared" ref="F60:P60" si="34">SUM(F58:F59)</f>
        <v>-4.8827481339999963</v>
      </c>
      <c r="G60" s="70">
        <f t="shared" si="34"/>
        <v>-5.9172562279999923</v>
      </c>
      <c r="H60" s="70">
        <f t="shared" si="34"/>
        <v>-4.8381555790000021</v>
      </c>
      <c r="I60" s="70">
        <f t="shared" si="34"/>
        <v>-4.1074654649999971</v>
      </c>
      <c r="J60" s="70">
        <f t="shared" si="34"/>
        <v>-8.0580106179999902</v>
      </c>
      <c r="K60" s="70">
        <f t="shared" si="34"/>
        <v>-5.2327339750000093</v>
      </c>
      <c r="L60" s="70">
        <f t="shared" si="34"/>
        <v>-5.4436967749999923</v>
      </c>
      <c r="M60" s="70">
        <f t="shared" si="34"/>
        <v>-7.1065105119999856</v>
      </c>
      <c r="N60" s="70">
        <f t="shared" si="34"/>
        <v>-4.3154530420000121</v>
      </c>
      <c r="O60" s="70">
        <f t="shared" si="34"/>
        <v>-3.4837217540000189</v>
      </c>
      <c r="P60" s="70">
        <f t="shared" si="34"/>
        <v>-5.6695253099999938</v>
      </c>
      <c r="Q60" s="119">
        <f>SUM(E60:P60)</f>
        <v>-63.33114029299999</v>
      </c>
      <c r="S60" s="70">
        <f t="shared" si="32"/>
        <v>-4.2758629010000035</v>
      </c>
      <c r="T60" s="70">
        <f t="shared" si="32"/>
        <v>0</v>
      </c>
      <c r="U60" s="70">
        <f t="shared" si="32"/>
        <v>0</v>
      </c>
      <c r="V60" s="70">
        <f t="shared" si="33"/>
        <v>-4.2758629010000035</v>
      </c>
      <c r="X60" s="70">
        <f t="shared" si="33"/>
        <v>-4.2758629010000035</v>
      </c>
      <c r="Z60" s="70">
        <f>SUM(E60:G60)</f>
        <v>-15.075867262999992</v>
      </c>
      <c r="AA60" s="70">
        <f>SUM(H60:J60)</f>
        <v>-17.003631661999989</v>
      </c>
      <c r="AB60" s="70">
        <f>SUM(K60:M60)</f>
        <v>-17.782941261999987</v>
      </c>
      <c r="AC60" s="70">
        <f>SUM(N60:P60)</f>
        <v>-13.468700106000025</v>
      </c>
      <c r="AD60" s="70">
        <f>SUM(Z60:AC60)</f>
        <v>-63.33114029299999</v>
      </c>
    </row>
    <row r="61" spans="1:30">
      <c r="A61" s="94"/>
      <c r="B61" s="94"/>
      <c r="C61" s="94"/>
      <c r="D61" s="94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94"/>
      <c r="S61" s="94"/>
      <c r="T61" s="94"/>
      <c r="U61" s="94"/>
      <c r="V61" s="94"/>
      <c r="X61" s="94"/>
      <c r="Z61" s="94"/>
      <c r="AA61" s="94"/>
      <c r="AB61" s="94"/>
      <c r="AC61" s="94"/>
      <c r="AD61" s="94"/>
    </row>
    <row r="62" spans="1:30">
      <c r="A62" s="78" t="s">
        <v>50</v>
      </c>
      <c r="B62" s="73"/>
      <c r="C62" s="73"/>
      <c r="D62" s="73"/>
      <c r="E62" s="69">
        <f>[19]Act!D247</f>
        <v>-1.9522354038620318</v>
      </c>
      <c r="F62" s="69">
        <f>[19]Act!E247</f>
        <v>-2.3000379977887495</v>
      </c>
      <c r="G62" s="69">
        <f>[19]Act!F247</f>
        <v>-0.79226787790688746</v>
      </c>
      <c r="H62" s="69">
        <f>[20]Act!G247</f>
        <v>-0.15565503004117495</v>
      </c>
      <c r="I62" s="69">
        <f>[20]Act!H247</f>
        <v>-4.6346042265364477E-2</v>
      </c>
      <c r="J62" s="69">
        <f>[20]Act!I247</f>
        <v>-4.0560216647827536</v>
      </c>
      <c r="K62" s="69">
        <f>[20]Act!J247</f>
        <v>-3.8909724931799916</v>
      </c>
      <c r="L62" s="69">
        <f>[20]Act!K247</f>
        <v>-1.3054233384053646</v>
      </c>
      <c r="M62" s="69">
        <f>[20]Act!L247</f>
        <v>-0.16008973961306139</v>
      </c>
      <c r="N62" s="69">
        <f>[20]Act!M247</f>
        <v>-1.4197714045076917</v>
      </c>
      <c r="O62" s="69">
        <f>[20]Act!N247</f>
        <v>-1.7189130779928081</v>
      </c>
      <c r="P62" s="69">
        <f>[20]Act!O247</f>
        <v>-2.3144523225574916</v>
      </c>
      <c r="Q62" s="119">
        <f t="shared" ref="Q62:Q78" si="35">SUM(E62:P62)</f>
        <v>-20.112186392903372</v>
      </c>
      <c r="S62" s="69">
        <f t="shared" ref="S62:U77" si="36">SUMIFS($E62:$P62,$E$3:$P$3,1,$E$5:$P$5,S$5)</f>
        <v>-1.9522354038620318</v>
      </c>
      <c r="T62" s="69">
        <f t="shared" si="36"/>
        <v>0</v>
      </c>
      <c r="U62" s="69">
        <f t="shared" si="36"/>
        <v>0</v>
      </c>
      <c r="V62" s="69">
        <f t="shared" ref="V62:V72" si="37">SUM(S62:U62)</f>
        <v>-1.9522354038620318</v>
      </c>
      <c r="X62" s="69">
        <f t="shared" ref="X62:X74" si="38">SUMIF($E$2:$P$2,1,E62:P62)</f>
        <v>-1.9522354038620318</v>
      </c>
      <c r="Z62" s="69">
        <f t="shared" ref="Z62:Z72" si="39">SUM(E62:G62)</f>
        <v>-5.0445412795576683</v>
      </c>
      <c r="AA62" s="69">
        <f t="shared" ref="AA62:AA72" si="40">SUM(H62:J62)</f>
        <v>-4.2580227370892931</v>
      </c>
      <c r="AB62" s="69">
        <f t="shared" ref="AB62:AB72" si="41">SUM(K62:M62)</f>
        <v>-5.3564855711984176</v>
      </c>
      <c r="AC62" s="69">
        <f t="shared" ref="AC62:AC72" si="42">SUM(N62:P62)</f>
        <v>-5.4531368050579907</v>
      </c>
      <c r="AD62" s="69">
        <f t="shared" ref="AD62:AD72" si="43">SUM(Z62:AC62)</f>
        <v>-20.112186392903368</v>
      </c>
    </row>
    <row r="63" spans="1:30">
      <c r="A63" s="78" t="s">
        <v>51</v>
      </c>
      <c r="B63" s="73"/>
      <c r="C63" s="73"/>
      <c r="D63" s="73"/>
      <c r="E63" s="69">
        <f>[19]Act!D248</f>
        <v>42.988954795866356</v>
      </c>
      <c r="F63" s="95">
        <f>[19]Act!E248</f>
        <v>32.424686553190192</v>
      </c>
      <c r="G63" s="69">
        <f>[19]Act!F248</f>
        <v>71.710016433660087</v>
      </c>
      <c r="H63" s="69">
        <f>[20]Act!G248</f>
        <v>37.748381448136335</v>
      </c>
      <c r="I63" s="69">
        <f>[20]Act!H248</f>
        <v>28.438884202475275</v>
      </c>
      <c r="J63" s="69">
        <f>[20]Act!I248</f>
        <v>41.146104790435125</v>
      </c>
      <c r="K63" s="69">
        <f>[20]Act!J248</f>
        <v>28.974001343002339</v>
      </c>
      <c r="L63" s="69">
        <f>[20]Act!K248</f>
        <v>33.619642971258656</v>
      </c>
      <c r="M63" s="69">
        <f>[20]Act!L248</f>
        <v>31.979487370018987</v>
      </c>
      <c r="N63" s="69">
        <f>[20]Act!M248</f>
        <v>33.778944907592496</v>
      </c>
      <c r="O63" s="69">
        <f>[20]Act!N248</f>
        <v>37.394048359359708</v>
      </c>
      <c r="P63" s="69">
        <f>[20]Act!O248</f>
        <v>58.508297423579506</v>
      </c>
      <c r="Q63" s="119">
        <f t="shared" si="35"/>
        <v>478.71145059857508</v>
      </c>
      <c r="S63" s="69">
        <f t="shared" si="36"/>
        <v>42.988954795866356</v>
      </c>
      <c r="T63" s="69">
        <f t="shared" si="36"/>
        <v>0</v>
      </c>
      <c r="U63" s="69">
        <f t="shared" si="36"/>
        <v>0</v>
      </c>
      <c r="V63" s="69">
        <f t="shared" si="37"/>
        <v>42.988954795866356</v>
      </c>
      <c r="X63" s="69">
        <f t="shared" si="38"/>
        <v>42.988954795866356</v>
      </c>
      <c r="Z63" s="69">
        <f t="shared" si="39"/>
        <v>147.12365778271663</v>
      </c>
      <c r="AA63" s="69">
        <f t="shared" si="40"/>
        <v>107.33337044104672</v>
      </c>
      <c r="AB63" s="69">
        <f t="shared" si="41"/>
        <v>94.573131684279986</v>
      </c>
      <c r="AC63" s="69">
        <f t="shared" si="42"/>
        <v>129.68129069053171</v>
      </c>
      <c r="AD63" s="69">
        <f t="shared" si="43"/>
        <v>478.71145059857508</v>
      </c>
    </row>
    <row r="64" spans="1:30">
      <c r="A64" s="78" t="s">
        <v>52</v>
      </c>
      <c r="B64" s="73"/>
      <c r="C64" s="73"/>
      <c r="D64" s="73"/>
      <c r="E64" s="69">
        <f>[19]Act!D250</f>
        <v>7.2111129989999991</v>
      </c>
      <c r="F64" s="69">
        <f>[19]Act!E250</f>
        <v>4.763490550000002</v>
      </c>
      <c r="G64" s="69">
        <f>[19]Act!F250</f>
        <v>3.5625261789999971</v>
      </c>
      <c r="H64" s="69">
        <f>[20]Act!G250</f>
        <v>6.1607688060000001</v>
      </c>
      <c r="I64" s="69">
        <f>[20]Act!H250</f>
        <v>6.7048005549999985</v>
      </c>
      <c r="J64" s="69">
        <f>[20]Act!I250</f>
        <v>2.8243018030000027</v>
      </c>
      <c r="K64" s="69">
        <f>[20]Act!J250</f>
        <v>6.3794551440000022</v>
      </c>
      <c r="L64" s="69">
        <f>[20]Act!K250</f>
        <v>7.8764968469999985</v>
      </c>
      <c r="M64" s="69">
        <f>[20]Act!L250</f>
        <v>1.4111497269999997</v>
      </c>
      <c r="N64" s="69">
        <f>[20]Act!M250</f>
        <v>5.9974327239999994</v>
      </c>
      <c r="O64" s="69">
        <f>[20]Act!N250</f>
        <v>6.4193249829999957</v>
      </c>
      <c r="P64" s="69">
        <f>[20]Act!O250</f>
        <v>19.386060388999997</v>
      </c>
      <c r="Q64" s="119">
        <f t="shared" si="35"/>
        <v>78.696920706</v>
      </c>
      <c r="S64" s="69">
        <f t="shared" si="36"/>
        <v>7.2111129989999991</v>
      </c>
      <c r="T64" s="69">
        <f t="shared" si="36"/>
        <v>0</v>
      </c>
      <c r="U64" s="69">
        <f t="shared" si="36"/>
        <v>0</v>
      </c>
      <c r="V64" s="69">
        <f t="shared" si="37"/>
        <v>7.2111129989999991</v>
      </c>
      <c r="X64" s="69">
        <f t="shared" si="38"/>
        <v>7.2111129989999991</v>
      </c>
      <c r="Z64" s="69">
        <f t="shared" si="39"/>
        <v>15.537129727999998</v>
      </c>
      <c r="AA64" s="69">
        <f t="shared" si="40"/>
        <v>15.689871164000001</v>
      </c>
      <c r="AB64" s="69">
        <f t="shared" si="41"/>
        <v>15.667101718</v>
      </c>
      <c r="AC64" s="69">
        <f t="shared" si="42"/>
        <v>31.802818095999992</v>
      </c>
      <c r="AD64" s="69">
        <f t="shared" si="43"/>
        <v>78.696920705999986</v>
      </c>
    </row>
    <row r="65" spans="1:30">
      <c r="A65" s="78" t="s">
        <v>53</v>
      </c>
      <c r="B65" s="73"/>
      <c r="C65" s="73"/>
      <c r="D65" s="73"/>
      <c r="E65" s="69">
        <v>-7.7550386182731463</v>
      </c>
      <c r="F65" s="69">
        <v>-4.5465287876428455</v>
      </c>
      <c r="G65" s="69">
        <v>-8.1508398170145178</v>
      </c>
      <c r="H65" s="69">
        <f>-SUM([9]Relief!H80:H84)</f>
        <v>5.1283091812804544</v>
      </c>
      <c r="I65" s="69">
        <f>-SUM([9]Relief!I80:I84)</f>
        <v>0.91771985618463503</v>
      </c>
      <c r="J65" s="69">
        <f>-SUM([9]Relief!J80:J84)</f>
        <v>2.2726155077946197</v>
      </c>
      <c r="K65" s="69">
        <f>-SUM([9]Relief!K80:K84)</f>
        <v>2.3427481469641185</v>
      </c>
      <c r="L65" s="69">
        <f>-SUM([9]Relief!L80:L84)</f>
        <v>2.2769179597429154</v>
      </c>
      <c r="M65" s="69">
        <f>-SUM([9]Relief!M80:M84)</f>
        <v>1.39981435272</v>
      </c>
      <c r="N65" s="69">
        <f>-SUM([9]Relief!N80:N84)</f>
        <v>1.6316138274346592</v>
      </c>
      <c r="O65" s="69">
        <f>-SUM([9]Relief!O80:O84)</f>
        <v>1.0512761239713377</v>
      </c>
      <c r="P65" s="69">
        <f>-SUM([9]Relief!P80:P84)</f>
        <v>0.76033431761751402</v>
      </c>
      <c r="Q65" s="119">
        <f t="shared" si="35"/>
        <v>-2.6710579492202564</v>
      </c>
      <c r="S65" s="69">
        <f t="shared" si="36"/>
        <v>-7.7550386182731463</v>
      </c>
      <c r="T65" s="69">
        <f t="shared" si="36"/>
        <v>0</v>
      </c>
      <c r="U65" s="69">
        <f t="shared" si="36"/>
        <v>0</v>
      </c>
      <c r="V65" s="69">
        <f t="shared" si="37"/>
        <v>-7.7550386182731463</v>
      </c>
      <c r="X65" s="69">
        <f t="shared" si="38"/>
        <v>-7.7550386182731463</v>
      </c>
      <c r="Z65" s="69">
        <f t="shared" si="39"/>
        <v>-20.45240722293051</v>
      </c>
      <c r="AA65" s="69">
        <f t="shared" si="40"/>
        <v>8.3186445452597084</v>
      </c>
      <c r="AB65" s="69">
        <f t="shared" si="41"/>
        <v>6.0194804594270339</v>
      </c>
      <c r="AC65" s="69">
        <f t="shared" si="42"/>
        <v>3.4432242690235109</v>
      </c>
      <c r="AD65" s="69">
        <f t="shared" si="43"/>
        <v>-2.6710579492202573</v>
      </c>
    </row>
    <row r="66" spans="1:30">
      <c r="A66" s="78" t="s">
        <v>54</v>
      </c>
      <c r="B66" s="73"/>
      <c r="C66" s="73"/>
      <c r="D66" s="73"/>
      <c r="E66" s="69">
        <v>14.308090452968873</v>
      </c>
      <c r="F66" s="69">
        <v>7.9189805637444612</v>
      </c>
      <c r="G66" s="69">
        <v>11.458057243468422</v>
      </c>
      <c r="H66" s="69">
        <f>-SUM([9]Relief!H96:H97)</f>
        <v>0.19531996195854537</v>
      </c>
      <c r="I66" s="69">
        <f>-SUM([9]Relief!I96:I97)</f>
        <v>3.9290099835542907</v>
      </c>
      <c r="J66" s="69">
        <f>-SUM([9]Relief!J96:J97)</f>
        <v>3.6113828977221818</v>
      </c>
      <c r="K66" s="69">
        <f>-SUM([9]Relief!K96:K97)</f>
        <v>1.7559118949856027</v>
      </c>
      <c r="L66" s="69">
        <f>-SUM([9]Relief!L96:L97)</f>
        <v>1.7190175173336006</v>
      </c>
      <c r="M66" s="69">
        <f>-SUM([9]Relief!M96:M97)</f>
        <v>1.3410007528134187</v>
      </c>
      <c r="N66" s="69">
        <f>-SUM([9]Relief!N96:N97)</f>
        <v>0.82103448583950589</v>
      </c>
      <c r="O66" s="69">
        <f>-SUM([9]Relief!O96:O97)</f>
        <v>0.62064874497956501</v>
      </c>
      <c r="P66" s="69">
        <f>-SUM([9]Relief!P96:P97)</f>
        <v>0.59868025710943029</v>
      </c>
      <c r="Q66" s="119">
        <f t="shared" si="35"/>
        <v>48.277134756477885</v>
      </c>
      <c r="S66" s="69">
        <f t="shared" si="36"/>
        <v>14.308090452968873</v>
      </c>
      <c r="T66" s="69">
        <f t="shared" si="36"/>
        <v>0</v>
      </c>
      <c r="U66" s="69">
        <f t="shared" si="36"/>
        <v>0</v>
      </c>
      <c r="V66" s="69">
        <f t="shared" si="37"/>
        <v>14.308090452968873</v>
      </c>
      <c r="X66" s="69">
        <f t="shared" si="38"/>
        <v>14.308090452968873</v>
      </c>
      <c r="Z66" s="69">
        <f t="shared" si="39"/>
        <v>33.685128260181756</v>
      </c>
      <c r="AA66" s="69">
        <f t="shared" si="40"/>
        <v>7.7357128432350182</v>
      </c>
      <c r="AB66" s="69">
        <f t="shared" si="41"/>
        <v>4.8159301651326221</v>
      </c>
      <c r="AC66" s="69">
        <f t="shared" si="42"/>
        <v>2.0403634879285013</v>
      </c>
      <c r="AD66" s="69">
        <f t="shared" si="43"/>
        <v>48.277134756477899</v>
      </c>
    </row>
    <row r="67" spans="1:30">
      <c r="A67" s="78" t="s">
        <v>55</v>
      </c>
      <c r="B67" s="73"/>
      <c r="C67" s="73"/>
      <c r="D67" s="73"/>
      <c r="E67" s="69">
        <v>-3.337221031150573E-3</v>
      </c>
      <c r="F67" s="69">
        <v>-0.33090160620585596</v>
      </c>
      <c r="G67" s="69">
        <v>-0.22180637051145588</v>
      </c>
      <c r="H67" s="69">
        <f>-[9]Relief!H95</f>
        <v>3.0814887171211055E-2</v>
      </c>
      <c r="I67" s="69">
        <f>-[9]Relief!I95</f>
        <v>5.0857686590288088E-2</v>
      </c>
      <c r="J67" s="69">
        <f>-[9]Relief!J95</f>
        <v>0.29027615380331251</v>
      </c>
      <c r="K67" s="69">
        <f>-[9]Relief!K95</f>
        <v>-0.35189730484405168</v>
      </c>
      <c r="L67" s="69">
        <f>-[9]Relief!L95</f>
        <v>-2.5544617746404857E-2</v>
      </c>
      <c r="M67" s="69">
        <f>-[9]Relief!M95</f>
        <v>-1.7591962573304212E-2</v>
      </c>
      <c r="N67" s="69">
        <f>-[9]Relief!N95</f>
        <v>-1.5760963575000002E-2</v>
      </c>
      <c r="O67" s="69">
        <f>-[9]Relief!O95</f>
        <v>2.2854144836531348E-2</v>
      </c>
      <c r="P67" s="69">
        <f>-[9]Relief!P95</f>
        <v>0</v>
      </c>
      <c r="Q67" s="119">
        <f t="shared" si="35"/>
        <v>-0.57203717408588006</v>
      </c>
      <c r="S67" s="69">
        <f t="shared" si="36"/>
        <v>-3.337221031150573E-3</v>
      </c>
      <c r="T67" s="69">
        <f t="shared" si="36"/>
        <v>0</v>
      </c>
      <c r="U67" s="69">
        <f t="shared" si="36"/>
        <v>0</v>
      </c>
      <c r="V67" s="69">
        <f t="shared" si="37"/>
        <v>-3.337221031150573E-3</v>
      </c>
      <c r="X67" s="69">
        <f t="shared" si="38"/>
        <v>-3.337221031150573E-3</v>
      </c>
      <c r="Z67" s="69">
        <f t="shared" si="39"/>
        <v>-0.55604519774846239</v>
      </c>
      <c r="AA67" s="69">
        <f t="shared" si="40"/>
        <v>0.37194872756481168</v>
      </c>
      <c r="AB67" s="69">
        <f t="shared" si="41"/>
        <v>-0.39503388516376076</v>
      </c>
      <c r="AC67" s="69">
        <f t="shared" si="42"/>
        <v>7.0931812615313457E-3</v>
      </c>
      <c r="AD67" s="69">
        <f t="shared" si="43"/>
        <v>-0.57203717408588006</v>
      </c>
    </row>
    <row r="68" spans="1:30">
      <c r="A68" s="78" t="s">
        <v>56</v>
      </c>
      <c r="B68" s="73"/>
      <c r="C68" s="73"/>
      <c r="D68" s="73"/>
      <c r="E68" s="70">
        <f>'[9]New KPI Actual'!F220-E69</f>
        <v>11.462629563</v>
      </c>
      <c r="F68" s="70">
        <f>'[9]New KPI Actual'!G220-F69</f>
        <v>15.683576177999999</v>
      </c>
      <c r="G68" s="69">
        <f>'[9]New KPI Actual'!H220-G69</f>
        <v>18.996647313</v>
      </c>
      <c r="H68" s="69">
        <f>'[9]New KPI Actual'!I220-H69</f>
        <v>17.198817552000001</v>
      </c>
      <c r="I68" s="69">
        <f>'[9]New KPI Actual'!J220-I69</f>
        <v>7.9432912719999997</v>
      </c>
      <c r="J68" s="69">
        <f>'[9]New KPI Actual'!K220-J69</f>
        <v>16.703197015000001</v>
      </c>
      <c r="K68" s="69">
        <f>'[9]New KPI Actual'!L220-K69</f>
        <v>13.290232613000001</v>
      </c>
      <c r="L68" s="69">
        <f>'[9]New KPI Actual'!M220-L69</f>
        <v>12.007307150999999</v>
      </c>
      <c r="M68" s="69">
        <f>'[9]New KPI Actual'!N220-M69</f>
        <v>9.3709870439999996</v>
      </c>
      <c r="N68" s="69">
        <f>'[9]New KPI Actual'!O220-N69</f>
        <v>12.806457585</v>
      </c>
      <c r="O68" s="69">
        <f>'[9]New KPI Actual'!P220-O69</f>
        <v>15.282943532999999</v>
      </c>
      <c r="P68" s="69">
        <f>'[9]New KPI Actual'!Q220-P69</f>
        <v>18.586043938</v>
      </c>
      <c r="Q68" s="119">
        <f t="shared" si="35"/>
        <v>169.33213075700002</v>
      </c>
      <c r="S68" s="69">
        <f t="shared" si="36"/>
        <v>11.462629563</v>
      </c>
      <c r="T68" s="69">
        <f t="shared" si="36"/>
        <v>0</v>
      </c>
      <c r="U68" s="69">
        <f t="shared" si="36"/>
        <v>0</v>
      </c>
      <c r="V68" s="69">
        <f t="shared" si="37"/>
        <v>11.462629563</v>
      </c>
      <c r="X68" s="69">
        <f t="shared" si="38"/>
        <v>11.462629563</v>
      </c>
      <c r="Z68" s="69">
        <f t="shared" si="39"/>
        <v>46.142853054</v>
      </c>
      <c r="AA68" s="69">
        <f t="shared" si="40"/>
        <v>41.845305839000005</v>
      </c>
      <c r="AB68" s="69">
        <f t="shared" si="41"/>
        <v>34.668526807999996</v>
      </c>
      <c r="AC68" s="69">
        <f t="shared" si="42"/>
        <v>46.675445056000001</v>
      </c>
      <c r="AD68" s="69">
        <f t="shared" si="43"/>
        <v>169.33213075700002</v>
      </c>
    </row>
    <row r="69" spans="1:30">
      <c r="A69" s="78" t="s">
        <v>57</v>
      </c>
      <c r="B69" s="73"/>
      <c r="C69" s="73"/>
      <c r="D69" s="73"/>
      <c r="E69" s="70">
        <f>'[9]New KPI Actual'!F201</f>
        <v>0</v>
      </c>
      <c r="F69" s="70">
        <f>'[9]New KPI Actual'!G201</f>
        <v>0</v>
      </c>
      <c r="G69" s="69">
        <f>'[9]New KPI Actual'!H201</f>
        <v>0</v>
      </c>
      <c r="H69" s="69">
        <f>'[9]New KPI Actual'!I201</f>
        <v>0</v>
      </c>
      <c r="I69" s="69">
        <f>'[9]New KPI Actual'!J201</f>
        <v>0</v>
      </c>
      <c r="J69" s="69">
        <f>'[9]New KPI Actual'!K201</f>
        <v>0</v>
      </c>
      <c r="K69" s="69">
        <f>'[9]New KPI Actual'!L201</f>
        <v>0</v>
      </c>
      <c r="L69" s="69">
        <f>'[9]New KPI Actual'!M201</f>
        <v>0</v>
      </c>
      <c r="M69" s="69">
        <f>'[9]New KPI Actual'!N201</f>
        <v>0</v>
      </c>
      <c r="N69" s="69">
        <f>'[9]New KPI Actual'!O201</f>
        <v>0</v>
      </c>
      <c r="O69" s="69">
        <f>'[9]New KPI Actual'!P201</f>
        <v>0</v>
      </c>
      <c r="P69" s="69">
        <f>'[9]New KPI Actual'!Q201</f>
        <v>0</v>
      </c>
      <c r="Q69" s="119">
        <f t="shared" si="35"/>
        <v>0</v>
      </c>
      <c r="S69" s="69">
        <f t="shared" si="36"/>
        <v>0</v>
      </c>
      <c r="T69" s="69">
        <f t="shared" si="36"/>
        <v>0</v>
      </c>
      <c r="U69" s="69">
        <f t="shared" si="36"/>
        <v>0</v>
      </c>
      <c r="V69" s="69">
        <f t="shared" si="37"/>
        <v>0</v>
      </c>
      <c r="X69" s="69">
        <f t="shared" si="38"/>
        <v>0</v>
      </c>
      <c r="Z69" s="69">
        <f t="shared" si="39"/>
        <v>0</v>
      </c>
      <c r="AA69" s="69">
        <f t="shared" si="40"/>
        <v>0</v>
      </c>
      <c r="AB69" s="69">
        <f t="shared" si="41"/>
        <v>0</v>
      </c>
      <c r="AC69" s="69">
        <f t="shared" si="42"/>
        <v>0</v>
      </c>
      <c r="AD69" s="69">
        <f t="shared" si="43"/>
        <v>0</v>
      </c>
    </row>
    <row r="70" spans="1:30">
      <c r="A70" s="78" t="s">
        <v>58</v>
      </c>
      <c r="B70" s="73"/>
      <c r="C70" s="73"/>
      <c r="D70" s="73"/>
      <c r="E70" s="70">
        <v>2.4191639000000005</v>
      </c>
      <c r="F70" s="70">
        <v>2.4201842</v>
      </c>
      <c r="G70" s="69">
        <v>4.3653879999999994</v>
      </c>
      <c r="H70" s="69">
        <f>-[9]Relief!H87</f>
        <v>3.4991478000000011</v>
      </c>
      <c r="I70" s="69">
        <f>-[9]Relief!I87</f>
        <v>2.9039804</v>
      </c>
      <c r="J70" s="69">
        <f>-[9]Relief!J87</f>
        <v>4.1277583999999994</v>
      </c>
      <c r="K70" s="69">
        <f>-[9]Relief!K87</f>
        <v>2.8059273999999981</v>
      </c>
      <c r="L70" s="69">
        <f>-[9]Relief!L87</f>
        <v>5.8237323000000032</v>
      </c>
      <c r="M70" s="69">
        <f>-[9]Relief!M87</f>
        <v>3.5976196999999956</v>
      </c>
      <c r="N70" s="69">
        <f>-[9]Relief!N87</f>
        <v>3.5285989000000022</v>
      </c>
      <c r="O70" s="69">
        <f>-[9]Relief!O87</f>
        <v>3.6887386000000006</v>
      </c>
      <c r="P70" s="69">
        <f>-[9]Relief!P87</f>
        <v>6.235380499999998</v>
      </c>
      <c r="Q70" s="119">
        <f t="shared" si="35"/>
        <v>45.415620099999998</v>
      </c>
      <c r="S70" s="69">
        <f t="shared" si="36"/>
        <v>2.4191639000000005</v>
      </c>
      <c r="T70" s="69">
        <f t="shared" si="36"/>
        <v>0</v>
      </c>
      <c r="U70" s="69">
        <f t="shared" si="36"/>
        <v>0</v>
      </c>
      <c r="V70" s="69">
        <f t="shared" si="37"/>
        <v>2.4191639000000005</v>
      </c>
      <c r="X70" s="69">
        <f t="shared" si="38"/>
        <v>2.4191639000000005</v>
      </c>
      <c r="Z70" s="69">
        <f t="shared" si="39"/>
        <v>9.2047360999999999</v>
      </c>
      <c r="AA70" s="69">
        <f t="shared" si="40"/>
        <v>10.530886600000001</v>
      </c>
      <c r="AB70" s="69">
        <f t="shared" si="41"/>
        <v>12.227279399999997</v>
      </c>
      <c r="AC70" s="69">
        <f t="shared" si="42"/>
        <v>13.452718000000001</v>
      </c>
      <c r="AD70" s="69">
        <f t="shared" si="43"/>
        <v>45.415620099999998</v>
      </c>
    </row>
    <row r="71" spans="1:30">
      <c r="A71" s="78" t="s">
        <v>59</v>
      </c>
      <c r="B71" s="73"/>
      <c r="C71" s="73"/>
      <c r="D71" s="73"/>
      <c r="E71" s="70">
        <f>[19]Act!D206</f>
        <v>0.11997990000000003</v>
      </c>
      <c r="F71" s="70">
        <f>[19]Act!E206</f>
        <v>7.9248400000000052E-2</v>
      </c>
      <c r="G71" s="69">
        <f>[19]Act!F206</f>
        <v>0.70479359999999991</v>
      </c>
      <c r="H71" s="69">
        <f>[20]Act!G206</f>
        <v>-0.2693823999999998</v>
      </c>
      <c r="I71" s="69">
        <f>[20]Act!H206</f>
        <v>0.29328199999999999</v>
      </c>
      <c r="J71" s="69">
        <f>[20]Act!I206</f>
        <v>0.1099</v>
      </c>
      <c r="K71" s="69">
        <f>[20]Act!J206</f>
        <v>0.56099999999999994</v>
      </c>
      <c r="L71" s="69">
        <f>[20]Act!K206</f>
        <v>0.11052679999999998</v>
      </c>
      <c r="M71" s="69">
        <f>[20]Act!L206</f>
        <v>0.96099999999999997</v>
      </c>
      <c r="N71" s="69">
        <f>[20]Act!M206</f>
        <v>0.59259000000000006</v>
      </c>
      <c r="O71" s="69">
        <f>[20]Act!N206</f>
        <v>1.5589891999999996</v>
      </c>
      <c r="P71" s="69">
        <f>[20]Act!O206</f>
        <v>2.2766269999999995</v>
      </c>
      <c r="Q71" s="119">
        <f t="shared" si="35"/>
        <v>7.0985544999999988</v>
      </c>
      <c r="S71" s="69">
        <f t="shared" si="36"/>
        <v>0.11997990000000003</v>
      </c>
      <c r="T71" s="69">
        <f t="shared" si="36"/>
        <v>0</v>
      </c>
      <c r="U71" s="69">
        <f t="shared" si="36"/>
        <v>0</v>
      </c>
      <c r="V71" s="69">
        <f t="shared" si="37"/>
        <v>0.11997990000000003</v>
      </c>
      <c r="X71" s="69">
        <f t="shared" si="38"/>
        <v>0.11997990000000003</v>
      </c>
      <c r="Z71" s="69">
        <f t="shared" si="39"/>
        <v>0.90402190000000004</v>
      </c>
      <c r="AA71" s="69">
        <f t="shared" si="40"/>
        <v>0.13379960000000019</v>
      </c>
      <c r="AB71" s="69">
        <f t="shared" si="41"/>
        <v>1.6325267999999999</v>
      </c>
      <c r="AC71" s="69">
        <f t="shared" si="42"/>
        <v>4.4282061999999991</v>
      </c>
      <c r="AD71" s="69">
        <f t="shared" si="43"/>
        <v>7.0985544999999988</v>
      </c>
    </row>
    <row r="72" spans="1:30" ht="13.5" customHeight="1">
      <c r="A72" s="78" t="s">
        <v>60</v>
      </c>
      <c r="B72" s="96"/>
      <c r="C72" s="96"/>
      <c r="D72" s="97"/>
      <c r="E72" s="70">
        <f>'[9]New KPI Actual'!F344</f>
        <v>0.93799999999999994</v>
      </c>
      <c r="F72" s="70">
        <f>'[9]New KPI Actual'!G344</f>
        <v>0.68</v>
      </c>
      <c r="G72" s="69">
        <f>'[9]New KPI Actual'!H344</f>
        <v>0.68899999999999995</v>
      </c>
      <c r="H72" s="69">
        <f>'[9]New KPI Actual'!I344</f>
        <v>0.155</v>
      </c>
      <c r="I72" s="69">
        <f>'[9]New KPI Actual'!J344</f>
        <v>0.44232581399999998</v>
      </c>
      <c r="J72" s="69">
        <f>'[9]New KPI Actual'!K344</f>
        <v>0.25380535100000001</v>
      </c>
      <c r="K72" s="69">
        <f>'[9]New KPI Actual'!L344</f>
        <v>-0.16654350500000001</v>
      </c>
      <c r="L72" s="69">
        <f>'[9]New KPI Actual'!M344</f>
        <v>0.93803999999999998</v>
      </c>
      <c r="M72" s="69">
        <f>'[9]New KPI Actual'!N344</f>
        <v>0.33</v>
      </c>
      <c r="N72" s="69">
        <f>'[9]New KPI Actual'!O344</f>
        <v>0.99399999999999999</v>
      </c>
      <c r="O72" s="69">
        <f>'[9]New KPI Actual'!P344</f>
        <v>0.576836766</v>
      </c>
      <c r="P72" s="69">
        <f>'[9]New KPI Actual'!Q344</f>
        <v>3.8211632340000001</v>
      </c>
      <c r="Q72" s="119">
        <f t="shared" si="35"/>
        <v>9.6516276599999991</v>
      </c>
      <c r="S72" s="69">
        <f t="shared" si="36"/>
        <v>0.93799999999999994</v>
      </c>
      <c r="T72" s="69">
        <f t="shared" si="36"/>
        <v>0</v>
      </c>
      <c r="U72" s="69">
        <f t="shared" si="36"/>
        <v>0</v>
      </c>
      <c r="V72" s="69">
        <f t="shared" si="37"/>
        <v>0.93799999999999994</v>
      </c>
      <c r="X72" s="69">
        <f t="shared" si="38"/>
        <v>0.93799999999999994</v>
      </c>
      <c r="Z72" s="69">
        <f t="shared" si="39"/>
        <v>2.3069999999999999</v>
      </c>
      <c r="AA72" s="69">
        <f t="shared" si="40"/>
        <v>0.85113116499999997</v>
      </c>
      <c r="AB72" s="69">
        <f t="shared" si="41"/>
        <v>1.1014964949999999</v>
      </c>
      <c r="AC72" s="69">
        <f t="shared" si="42"/>
        <v>5.3920000000000003</v>
      </c>
      <c r="AD72" s="69">
        <f t="shared" si="43"/>
        <v>9.6516276599999991</v>
      </c>
    </row>
    <row r="73" spans="1:30" ht="15.95" customHeight="1">
      <c r="A73" s="78" t="s">
        <v>262</v>
      </c>
      <c r="B73" s="96"/>
      <c r="C73" s="96"/>
      <c r="D73" s="97"/>
      <c r="E73" s="70">
        <f>'[9]New KPI Actual'!F45</f>
        <v>2.214680658312179</v>
      </c>
      <c r="F73" s="70">
        <f>'[9]New KPI Actual'!G45</f>
        <v>2.1603889841920205</v>
      </c>
      <c r="G73" s="70">
        <f>'[9]New KPI Actual'!H45</f>
        <v>2.1457771666785179</v>
      </c>
      <c r="H73" s="70">
        <f>'[9]New KPI Actual'!I45</f>
        <v>2.1286259722890803</v>
      </c>
      <c r="I73" s="70">
        <f>'[9]New KPI Actual'!J45</f>
        <v>2.2612115999401823</v>
      </c>
      <c r="J73" s="70">
        <f>'[9]New KPI Actual'!K45</f>
        <v>2.2904544645009004</v>
      </c>
      <c r="K73" s="70">
        <f>'[9]New KPI Actual'!L45</f>
        <v>2.2353050585121208</v>
      </c>
      <c r="L73" s="70">
        <f>'[9]New KPI Actual'!M45</f>
        <v>2.2321596307760685</v>
      </c>
      <c r="M73" s="70">
        <f>'[9]New KPI Actual'!N45</f>
        <v>2.2648612058498254</v>
      </c>
      <c r="N73" s="70">
        <f>'[9]New KPI Actual'!O45</f>
        <v>2.2497779592424516</v>
      </c>
      <c r="O73" s="70">
        <f>'[9]New KPI Actual'!P45</f>
        <v>2.3053613777982336</v>
      </c>
      <c r="P73" s="70">
        <f>'[9]New KPI Actual'!Q45</f>
        <v>-5.3961351966067266</v>
      </c>
      <c r="Q73" s="119">
        <f t="shared" si="35"/>
        <v>19.092468881484855</v>
      </c>
      <c r="S73" s="69">
        <f t="shared" si="36"/>
        <v>2.214680658312179</v>
      </c>
      <c r="T73" s="69">
        <f t="shared" si="36"/>
        <v>0</v>
      </c>
      <c r="U73" s="69">
        <f t="shared" si="36"/>
        <v>0</v>
      </c>
      <c r="V73" s="69">
        <f t="shared" ref="V73:V78" si="44">SUM(S73:U73)</f>
        <v>2.214680658312179</v>
      </c>
      <c r="X73" s="69">
        <f t="shared" si="38"/>
        <v>2.214680658312179</v>
      </c>
      <c r="Z73" s="69">
        <f t="shared" ref="Z73:Z78" si="45">SUM(E73:G73)</f>
        <v>6.520846809182717</v>
      </c>
      <c r="AA73" s="69">
        <f t="shared" ref="AA73:AA78" si="46">SUM(H73:J73)</f>
        <v>6.6802920367301635</v>
      </c>
      <c r="AB73" s="69">
        <f t="shared" ref="AB73:AB78" si="47">SUM(K73:M73)</f>
        <v>6.7323258951380147</v>
      </c>
      <c r="AC73" s="69">
        <f t="shared" ref="AC73:AC78" si="48">SUM(N73:P73)</f>
        <v>-0.84099585956604095</v>
      </c>
      <c r="AD73" s="69">
        <f t="shared" ref="AD73:AD78" si="49">SUM(Z73:AC73)</f>
        <v>19.092468881484855</v>
      </c>
    </row>
    <row r="74" spans="1:30" ht="15.95" customHeight="1">
      <c r="A74" s="78" t="s">
        <v>425</v>
      </c>
      <c r="B74" s="96"/>
      <c r="C74" s="96"/>
      <c r="D74" s="97"/>
      <c r="E74" s="70">
        <f>'[9]New KPI Actual'!F65-'[9]New KPI Actual'!F45</f>
        <v>0</v>
      </c>
      <c r="F74" s="70">
        <f>'[9]New KPI Actual'!G65-'[9]New KPI Actual'!G45</f>
        <v>0</v>
      </c>
      <c r="G74" s="70">
        <f>'[9]New KPI Actual'!H65-'[9]New KPI Actual'!H45</f>
        <v>51.834289799999006</v>
      </c>
      <c r="H74" s="70">
        <f>'[9]New KPI Actual'!I65-'[9]New KPI Actual'!I45</f>
        <v>0</v>
      </c>
      <c r="I74" s="70">
        <f>'[9]New KPI Actual'!J65-'[9]New KPI Actual'!J45</f>
        <v>0</v>
      </c>
      <c r="J74" s="70">
        <f>'[9]New KPI Actual'!K65-'[9]New KPI Actual'!K45</f>
        <v>0</v>
      </c>
      <c r="K74" s="70">
        <f>'[9]New KPI Actual'!L65-'[9]New KPI Actual'!L45</f>
        <v>0</v>
      </c>
      <c r="L74" s="70">
        <f>'[9]New KPI Actual'!M65-'[9]New KPI Actual'!M45</f>
        <v>0</v>
      </c>
      <c r="M74" s="70">
        <f>'[9]New KPI Actual'!N65-'[9]New KPI Actual'!N45</f>
        <v>0</v>
      </c>
      <c r="N74" s="70">
        <f>'[9]New KPI Actual'!O65-'[9]New KPI Actual'!O45</f>
        <v>0</v>
      </c>
      <c r="O74" s="70">
        <f>'[9]New KPI Actual'!P65-'[9]New KPI Actual'!P45</f>
        <v>0</v>
      </c>
      <c r="P74" s="70">
        <f>'[9]New KPI Actual'!Q65-'[9]New KPI Actual'!Q45</f>
        <v>0</v>
      </c>
      <c r="Q74" s="119">
        <f t="shared" si="35"/>
        <v>51.834289799999006</v>
      </c>
      <c r="S74" s="69">
        <f t="shared" si="36"/>
        <v>0</v>
      </c>
      <c r="T74" s="69">
        <f t="shared" si="36"/>
        <v>0</v>
      </c>
      <c r="U74" s="69">
        <f t="shared" si="36"/>
        <v>0</v>
      </c>
      <c r="V74" s="69">
        <f t="shared" si="44"/>
        <v>0</v>
      </c>
      <c r="X74" s="69">
        <f t="shared" si="38"/>
        <v>0</v>
      </c>
      <c r="Z74" s="69">
        <f t="shared" si="45"/>
        <v>51.834289799999006</v>
      </c>
      <c r="AA74" s="69">
        <f t="shared" si="46"/>
        <v>0</v>
      </c>
      <c r="AB74" s="69">
        <f t="shared" si="47"/>
        <v>0</v>
      </c>
      <c r="AC74" s="69">
        <f t="shared" si="48"/>
        <v>0</v>
      </c>
      <c r="AD74" s="69">
        <f t="shared" si="49"/>
        <v>51.834289799999006</v>
      </c>
    </row>
    <row r="75" spans="1:30" ht="15.95" customHeight="1">
      <c r="A75" s="78" t="s">
        <v>423</v>
      </c>
      <c r="B75" s="96"/>
      <c r="C75" s="96"/>
      <c r="D75" s="97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119">
        <f t="shared" si="35"/>
        <v>0</v>
      </c>
      <c r="S75" s="69">
        <f t="shared" si="36"/>
        <v>0</v>
      </c>
      <c r="T75" s="69">
        <f t="shared" si="36"/>
        <v>0</v>
      </c>
      <c r="U75" s="69">
        <f t="shared" si="36"/>
        <v>0</v>
      </c>
      <c r="V75" s="69">
        <f t="shared" si="44"/>
        <v>0</v>
      </c>
      <c r="X75" s="69">
        <f>SUMIF($E$2:$P$2,1,E75:P75)</f>
        <v>0</v>
      </c>
      <c r="Z75" s="69">
        <f t="shared" si="45"/>
        <v>0</v>
      </c>
      <c r="AA75" s="69">
        <f t="shared" si="46"/>
        <v>0</v>
      </c>
      <c r="AB75" s="69">
        <f t="shared" si="47"/>
        <v>0</v>
      </c>
      <c r="AC75" s="69">
        <f t="shared" si="48"/>
        <v>0</v>
      </c>
      <c r="AD75" s="69">
        <f t="shared" si="49"/>
        <v>0</v>
      </c>
    </row>
    <row r="76" spans="1:30" ht="15.95" customHeight="1">
      <c r="A76" s="78" t="s">
        <v>424</v>
      </c>
      <c r="B76" s="96"/>
      <c r="C76" s="96"/>
      <c r="D76" s="97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119">
        <f t="shared" si="35"/>
        <v>0</v>
      </c>
      <c r="S76" s="69">
        <f t="shared" si="36"/>
        <v>0</v>
      </c>
      <c r="T76" s="69">
        <f t="shared" si="36"/>
        <v>0</v>
      </c>
      <c r="U76" s="69">
        <f t="shared" si="36"/>
        <v>0</v>
      </c>
      <c r="V76" s="69">
        <f t="shared" si="44"/>
        <v>0</v>
      </c>
      <c r="X76" s="69">
        <f>SUMIF($E$2:$P$2,1,E76:P76)</f>
        <v>0</v>
      </c>
      <c r="Z76" s="69">
        <f t="shared" si="45"/>
        <v>0</v>
      </c>
      <c r="AA76" s="69">
        <f t="shared" si="46"/>
        <v>0</v>
      </c>
      <c r="AB76" s="69">
        <f t="shared" si="47"/>
        <v>0</v>
      </c>
      <c r="AC76" s="69">
        <f t="shared" si="48"/>
        <v>0</v>
      </c>
      <c r="AD76" s="69">
        <f t="shared" si="49"/>
        <v>0</v>
      </c>
    </row>
    <row r="77" spans="1:30" ht="15.95" customHeight="1">
      <c r="A77" s="78" t="s">
        <v>421</v>
      </c>
      <c r="B77" s="60"/>
      <c r="C77" s="60"/>
      <c r="D77" s="60"/>
      <c r="E77" s="377"/>
      <c r="F77" s="377"/>
      <c r="G77" s="377"/>
      <c r="H77" s="377"/>
      <c r="I77" s="377"/>
      <c r="J77" s="377"/>
      <c r="K77" s="377"/>
      <c r="L77" s="377"/>
      <c r="M77" s="377"/>
      <c r="N77" s="377"/>
      <c r="O77" s="377"/>
      <c r="P77" s="377"/>
      <c r="Q77" s="119">
        <f t="shared" si="35"/>
        <v>0</v>
      </c>
      <c r="S77" s="378">
        <f t="shared" si="36"/>
        <v>0</v>
      </c>
      <c r="T77" s="378">
        <f t="shared" si="36"/>
        <v>0</v>
      </c>
      <c r="U77" s="378">
        <f t="shared" si="36"/>
        <v>0</v>
      </c>
      <c r="V77" s="378">
        <f t="shared" si="44"/>
        <v>0</v>
      </c>
      <c r="X77" s="378">
        <f>SUMIF($E$2:$P$2,1,E77:P77)</f>
        <v>0</v>
      </c>
      <c r="Z77" s="378">
        <f t="shared" si="45"/>
        <v>0</v>
      </c>
      <c r="AA77" s="378">
        <f t="shared" si="46"/>
        <v>0</v>
      </c>
      <c r="AB77" s="378">
        <f t="shared" si="47"/>
        <v>0</v>
      </c>
      <c r="AC77" s="378">
        <f t="shared" si="48"/>
        <v>0</v>
      </c>
      <c r="AD77" s="378">
        <f t="shared" si="49"/>
        <v>0</v>
      </c>
    </row>
    <row r="78" spans="1:30" ht="15.95" customHeight="1">
      <c r="A78" s="376" t="s">
        <v>401</v>
      </c>
      <c r="B78" s="60"/>
      <c r="C78" s="60"/>
      <c r="D78" s="60"/>
      <c r="E78" s="377"/>
      <c r="F78" s="377"/>
      <c r="G78" s="377"/>
      <c r="H78" s="377"/>
      <c r="I78" s="377"/>
      <c r="J78" s="377"/>
      <c r="K78" s="377"/>
      <c r="L78" s="377"/>
      <c r="M78" s="377"/>
      <c r="N78" s="377"/>
      <c r="O78" s="377"/>
      <c r="P78" s="377"/>
      <c r="Q78" s="119">
        <f t="shared" si="35"/>
        <v>0</v>
      </c>
      <c r="S78" s="378">
        <f>SUMIFS($E78:$P78,$E$3:$P$3,1,$E$5:$P$5,S$5)</f>
        <v>0</v>
      </c>
      <c r="T78" s="378">
        <f>SUMIFS($E78:$P78,$E$3:$P$3,1,$E$5:$P$5,T$5)</f>
        <v>0</v>
      </c>
      <c r="U78" s="378">
        <f>SUMIFS($E78:$P78,$E$3:$P$3,1,$E$5:$P$5,U$5)</f>
        <v>0</v>
      </c>
      <c r="V78" s="378">
        <f t="shared" si="44"/>
        <v>0</v>
      </c>
      <c r="X78" s="378">
        <f>SUMIF($E$2:$P$2,1,E78:P78)</f>
        <v>0</v>
      </c>
      <c r="Z78" s="378">
        <f t="shared" si="45"/>
        <v>0</v>
      </c>
      <c r="AA78" s="378">
        <f t="shared" si="46"/>
        <v>0</v>
      </c>
      <c r="AB78" s="378">
        <f t="shared" si="47"/>
        <v>0</v>
      </c>
      <c r="AC78" s="378">
        <f t="shared" si="48"/>
        <v>0</v>
      </c>
      <c r="AD78" s="378">
        <f t="shared" si="49"/>
        <v>0</v>
      </c>
    </row>
    <row r="79" spans="1:30">
      <c r="A79" s="94"/>
      <c r="B79" s="94"/>
      <c r="C79" s="94"/>
      <c r="D79" s="94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S79" s="2"/>
      <c r="T79" s="2"/>
      <c r="U79" s="2"/>
      <c r="V79" s="2"/>
      <c r="X79" s="2"/>
      <c r="Z79" s="2"/>
      <c r="AA79" s="2"/>
      <c r="AB79" s="2"/>
      <c r="AC79" s="2"/>
      <c r="AD79" s="2"/>
    </row>
    <row r="80" spans="1:30">
      <c r="A80" s="94"/>
      <c r="B80" s="94"/>
      <c r="C80" s="94"/>
      <c r="D80" s="103" t="s">
        <v>61</v>
      </c>
      <c r="E80" s="98">
        <f>E46-SUM(E62:E76)-E54</f>
        <v>-5.6843418860808015E-14</v>
      </c>
      <c r="F80" s="98">
        <f>F46-SUM(F62:F76)-F54</f>
        <v>-1.2079226507921703E-13</v>
      </c>
      <c r="G80" s="98">
        <f>G46-SUM(G62:G78)-G54</f>
        <v>0</v>
      </c>
      <c r="H80" s="98">
        <f t="shared" ref="H80:Q80" si="50">H46-SUM(H62:H78)-H54</f>
        <v>-1.7053025658242404E-13</v>
      </c>
      <c r="I80" s="98">
        <f t="shared" si="50"/>
        <v>1.1368683772161603E-13</v>
      </c>
      <c r="J80" s="98">
        <f t="shared" si="50"/>
        <v>1.2079226507921703E-13</v>
      </c>
      <c r="K80" s="98">
        <f t="shared" si="50"/>
        <v>1.0658141036401503E-13</v>
      </c>
      <c r="L80" s="98">
        <f t="shared" si="50"/>
        <v>1.1368683772161603E-13</v>
      </c>
      <c r="M80" s="98">
        <f t="shared" si="50"/>
        <v>1.1368683772161603E-13</v>
      </c>
      <c r="N80" s="98">
        <f t="shared" si="50"/>
        <v>1.2079226507921703E-13</v>
      </c>
      <c r="O80" s="98">
        <f t="shared" si="50"/>
        <v>1.7053025658242404E-13</v>
      </c>
      <c r="P80" s="98">
        <f t="shared" si="50"/>
        <v>0</v>
      </c>
      <c r="Q80" s="98">
        <f t="shared" si="50"/>
        <v>0</v>
      </c>
      <c r="R80">
        <f t="shared" ref="R80:AD80" si="51">R46-SUM(R62:R78)-R54</f>
        <v>0</v>
      </c>
      <c r="S80" s="98">
        <f t="shared" si="51"/>
        <v>-5.6843418860808015E-14</v>
      </c>
      <c r="T80" s="98">
        <f t="shared" si="51"/>
        <v>0</v>
      </c>
      <c r="U80" s="98">
        <f t="shared" si="51"/>
        <v>0</v>
      </c>
      <c r="V80" s="98">
        <f t="shared" si="51"/>
        <v>-5.6843418860808015E-14</v>
      </c>
      <c r="W80">
        <f t="shared" si="51"/>
        <v>0</v>
      </c>
      <c r="X80" s="98">
        <f t="shared" si="51"/>
        <v>-5.6843418860808015E-14</v>
      </c>
      <c r="Y80">
        <f t="shared" si="51"/>
        <v>0</v>
      </c>
      <c r="Z80" s="98">
        <f t="shared" si="51"/>
        <v>-7.1054273576010019E-13</v>
      </c>
      <c r="AA80" s="98">
        <f t="shared" si="51"/>
        <v>0</v>
      </c>
      <c r="AB80" s="98">
        <f t="shared" si="51"/>
        <v>0</v>
      </c>
      <c r="AC80" s="98">
        <f t="shared" si="51"/>
        <v>3.694822225952521E-13</v>
      </c>
      <c r="AD80" s="98">
        <f t="shared" si="51"/>
        <v>0</v>
      </c>
    </row>
    <row r="81" spans="1:30">
      <c r="A81" s="94"/>
      <c r="B81" s="94"/>
      <c r="C81" s="94"/>
      <c r="D81" s="103" t="s">
        <v>62</v>
      </c>
      <c r="E81" s="98">
        <f>E26-SUM(E62:E63,E65:E70,E72)</f>
        <v>94.16158999499973</v>
      </c>
      <c r="F81" s="98">
        <f>F26-SUM(F62:F63,F65:F70,F72)</f>
        <v>80.620025688999647</v>
      </c>
      <c r="G81" s="98">
        <f>G26-SUM(G62:G63,G65:G70,G72)</f>
        <v>92.506644592000114</v>
      </c>
      <c r="H81" s="98">
        <f t="shared" ref="H81:Q81" si="52">H26-SUM(H62:H63,H65:H70,H72)</f>
        <v>86.625113413000889</v>
      </c>
      <c r="I81" s="98">
        <f t="shared" si="52"/>
        <v>70.536664783000361</v>
      </c>
      <c r="J81" s="98">
        <f t="shared" si="52"/>
        <v>81.406468977242739</v>
      </c>
      <c r="K81" s="98">
        <f t="shared" si="52"/>
        <v>139.75144570362869</v>
      </c>
      <c r="L81" s="98">
        <f t="shared" si="52"/>
        <v>63.667106876002968</v>
      </c>
      <c r="M81" s="98">
        <f t="shared" si="52"/>
        <v>28.624356898998741</v>
      </c>
      <c r="N81" s="98">
        <f t="shared" si="52"/>
        <v>89.43484876900051</v>
      </c>
      <c r="O81" s="98">
        <f t="shared" si="52"/>
        <v>107.31444796100128</v>
      </c>
      <c r="P81" s="98">
        <f t="shared" si="52"/>
        <v>109.45824073416274</v>
      </c>
      <c r="Q81" s="98">
        <f t="shared" si="52"/>
        <v>1044.1069543920385</v>
      </c>
      <c r="R81">
        <f t="shared" ref="R81:AD81" si="53">R26-SUM(R62:R63,R65:R70,R72)</f>
        <v>0</v>
      </c>
      <c r="S81" s="98">
        <f t="shared" si="53"/>
        <v>94.16158999499973</v>
      </c>
      <c r="T81" s="98">
        <f t="shared" si="53"/>
        <v>0</v>
      </c>
      <c r="U81" s="98">
        <f t="shared" si="53"/>
        <v>0</v>
      </c>
      <c r="V81" s="98">
        <f t="shared" si="53"/>
        <v>94.16158999499973</v>
      </c>
      <c r="W81">
        <f t="shared" si="53"/>
        <v>0</v>
      </c>
      <c r="X81" s="98">
        <f t="shared" si="53"/>
        <v>94.16158999499973</v>
      </c>
      <c r="Y81">
        <f t="shared" si="53"/>
        <v>0</v>
      </c>
      <c r="Z81" s="98">
        <f t="shared" si="53"/>
        <v>267.28826027599899</v>
      </c>
      <c r="AA81" s="98">
        <f t="shared" si="53"/>
        <v>238.568247173244</v>
      </c>
      <c r="AB81" s="98">
        <f t="shared" si="53"/>
        <v>232.04290947863029</v>
      </c>
      <c r="AC81" s="98">
        <f t="shared" si="53"/>
        <v>306.20753746416455</v>
      </c>
      <c r="AD81" s="98">
        <f t="shared" si="53"/>
        <v>1044.1069543920376</v>
      </c>
    </row>
    <row r="82" spans="1:30">
      <c r="A82" s="94"/>
      <c r="B82" s="94"/>
      <c r="C82" s="94"/>
      <c r="D82" s="103" t="s">
        <v>63</v>
      </c>
      <c r="E82" s="98">
        <f>E45-E64-E71-E73-E74-E75-E76</f>
        <v>-130.54336559499998</v>
      </c>
      <c r="F82" s="98">
        <f>F45-F64-F71-F73-F74-F75-F76</f>
        <v>-143.10080708900003</v>
      </c>
      <c r="G82" s="98">
        <f>G45-G64-G71-G73-G74-G75-G76-G78</f>
        <v>-191.94368229199898</v>
      </c>
      <c r="H82" s="98">
        <f t="shared" ref="H82:Q82" si="54">H45-H64-H71-H73-H74-H75-H76-H78</f>
        <v>-134.92285241299999</v>
      </c>
      <c r="I82" s="98">
        <f t="shared" si="54"/>
        <v>-109.27263578299998</v>
      </c>
      <c r="J82" s="98">
        <f t="shared" si="54"/>
        <v>-141.48857223299996</v>
      </c>
      <c r="K82" s="98">
        <f t="shared" si="54"/>
        <v>-147.14690850000008</v>
      </c>
      <c r="L82" s="98">
        <f t="shared" si="54"/>
        <v>-137.32494227599997</v>
      </c>
      <c r="M82" s="98">
        <f t="shared" si="54"/>
        <v>-114.26257179899997</v>
      </c>
      <c r="N82" s="98">
        <f t="shared" si="54"/>
        <v>-138.14011036900004</v>
      </c>
      <c r="O82" s="98">
        <f t="shared" si="54"/>
        <v>-135.01329376100006</v>
      </c>
      <c r="P82" s="98">
        <f t="shared" si="54"/>
        <v>-166.66796609199997</v>
      </c>
      <c r="Q82" s="98">
        <f t="shared" si="54"/>
        <v>-1689.8277082019993</v>
      </c>
      <c r="R82">
        <f t="shared" ref="R82:AD82" si="55">R45-R64-R71-R73-R74-R75-R76-R78</f>
        <v>0</v>
      </c>
      <c r="S82" s="98">
        <f t="shared" si="55"/>
        <v>-130.54336559499998</v>
      </c>
      <c r="T82" s="98">
        <f t="shared" si="55"/>
        <v>0</v>
      </c>
      <c r="U82" s="98">
        <f t="shared" si="55"/>
        <v>0</v>
      </c>
      <c r="V82" s="98">
        <f t="shared" si="55"/>
        <v>-130.54336559499998</v>
      </c>
      <c r="W82">
        <f t="shared" si="55"/>
        <v>0</v>
      </c>
      <c r="X82" s="98">
        <f t="shared" si="55"/>
        <v>-130.54336559499998</v>
      </c>
      <c r="Y82">
        <f t="shared" si="55"/>
        <v>0</v>
      </c>
      <c r="Z82" s="98">
        <f t="shared" si="55"/>
        <v>-465.58785497599899</v>
      </c>
      <c r="AA82" s="98">
        <f t="shared" si="55"/>
        <v>-385.68406042899994</v>
      </c>
      <c r="AB82" s="98">
        <f t="shared" si="55"/>
        <v>-398.73442257500005</v>
      </c>
      <c r="AC82" s="98">
        <f t="shared" si="55"/>
        <v>-439.82137022200004</v>
      </c>
      <c r="AD82" s="98">
        <f t="shared" si="55"/>
        <v>-1689.8277082019988</v>
      </c>
    </row>
    <row r="83" spans="1:30">
      <c r="A83" s="2"/>
      <c r="B83" s="2"/>
      <c r="C83" s="2"/>
      <c r="D83" s="104" t="s">
        <v>64</v>
      </c>
      <c r="E83" s="99">
        <f>SUM(E81:E82)-E54</f>
        <v>-5.6843418860808015E-14</v>
      </c>
      <c r="F83" s="99">
        <f>SUM(F81:F82)-F54</f>
        <v>-1.4210854715202004E-13</v>
      </c>
      <c r="G83" s="99">
        <f>SUM(G81:G82)-G54</f>
        <v>0</v>
      </c>
      <c r="H83" s="99">
        <f t="shared" ref="H83:Q83" si="56">SUM(H81:H82)-H54</f>
        <v>-1.5631940186722204E-13</v>
      </c>
      <c r="I83" s="99">
        <f t="shared" si="56"/>
        <v>9.9475983006414026E-14</v>
      </c>
      <c r="J83" s="99">
        <f t="shared" si="56"/>
        <v>1.0658141036401503E-13</v>
      </c>
      <c r="K83" s="99">
        <f t="shared" si="56"/>
        <v>1.1368683772161603E-13</v>
      </c>
      <c r="L83" s="99">
        <f t="shared" si="56"/>
        <v>1.1368683772161603E-13</v>
      </c>
      <c r="M83" s="99">
        <f t="shared" si="56"/>
        <v>1.1368683772161603E-13</v>
      </c>
      <c r="N83" s="99">
        <f t="shared" si="56"/>
        <v>1.0658141036401503E-13</v>
      </c>
      <c r="O83" s="99">
        <f t="shared" si="56"/>
        <v>1.5631940186722204E-13</v>
      </c>
      <c r="P83" s="99">
        <f t="shared" si="56"/>
        <v>0</v>
      </c>
      <c r="Q83" s="99">
        <f t="shared" si="56"/>
        <v>0</v>
      </c>
      <c r="R83">
        <f t="shared" ref="R83:AD83" si="57">SUM(R81:R82)-R54</f>
        <v>0</v>
      </c>
      <c r="S83" s="99">
        <f t="shared" si="57"/>
        <v>-5.6843418860808015E-14</v>
      </c>
      <c r="T83" s="99">
        <f t="shared" si="57"/>
        <v>0</v>
      </c>
      <c r="U83" s="99">
        <f t="shared" si="57"/>
        <v>0</v>
      </c>
      <c r="V83" s="99">
        <f t="shared" si="57"/>
        <v>-5.6843418860808015E-14</v>
      </c>
      <c r="W83">
        <f t="shared" si="57"/>
        <v>0</v>
      </c>
      <c r="X83" s="99">
        <f t="shared" si="57"/>
        <v>-5.6843418860808015E-14</v>
      </c>
      <c r="Y83">
        <f t="shared" si="57"/>
        <v>0</v>
      </c>
      <c r="Z83" s="99">
        <f t="shared" si="57"/>
        <v>-7.1054273576010019E-13</v>
      </c>
      <c r="AA83" s="99">
        <f t="shared" si="57"/>
        <v>0</v>
      </c>
      <c r="AB83" s="99">
        <f t="shared" si="57"/>
        <v>0</v>
      </c>
      <c r="AC83" s="99">
        <f t="shared" si="57"/>
        <v>3.4106051316484809E-13</v>
      </c>
      <c r="AD83" s="99">
        <f t="shared" si="57"/>
        <v>0</v>
      </c>
    </row>
  </sheetData>
  <pageMargins left="0.7" right="0.7" top="0.75" bottom="0.75" header="0.3" footer="0.3"/>
  <customProperties>
    <customPr name="_pios_id" r:id="rId1"/>
    <customPr name="EpmWorksheetKeyString_GUID" r:id="rId2"/>
  </customPropertie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055A6-BEDF-49C6-9B2C-37F6158C2EBF}">
  <sheetPr>
    <tabColor rgb="FF00B050"/>
  </sheetPr>
  <dimension ref="A1:AF87"/>
  <sheetViews>
    <sheetView showGridLines="0" zoomScale="70" zoomScaleNormal="70" workbookViewId="0">
      <selection activeCell="O6" sqref="O6"/>
    </sheetView>
  </sheetViews>
  <sheetFormatPr defaultRowHeight="15" outlineLevelRow="1"/>
  <cols>
    <col min="1" max="1" width="2.140625" customWidth="1"/>
    <col min="2" max="2" width="11.42578125" customWidth="1"/>
    <col min="3" max="3" width="51.140625" bestFit="1" customWidth="1"/>
    <col min="4" max="4" width="12.85546875" bestFit="1" customWidth="1"/>
    <col min="5" max="15" width="9.42578125" bestFit="1" customWidth="1"/>
    <col min="16" max="16" width="10.140625" bestFit="1" customWidth="1"/>
    <col min="17" max="17" width="11.5703125" bestFit="1" customWidth="1"/>
    <col min="19" max="19" width="9.42578125" bestFit="1" customWidth="1"/>
    <col min="20" max="22" width="11" bestFit="1" customWidth="1"/>
    <col min="24" max="24" width="10.5703125" bestFit="1" customWidth="1"/>
    <col min="26" max="26" width="9.42578125" bestFit="1" customWidth="1"/>
    <col min="27" max="30" width="11" bestFit="1" customWidth="1"/>
  </cols>
  <sheetData>
    <row r="1" spans="1:30">
      <c r="B1" s="214" t="str">
        <f>'Summary month'!E2</f>
        <v>Apr</v>
      </c>
      <c r="E1" s="135">
        <v>2</v>
      </c>
      <c r="F1" s="135">
        <f>E1+1</f>
        <v>3</v>
      </c>
      <c r="G1" s="135">
        <f t="shared" ref="G1:P1" si="0">F1+1</f>
        <v>4</v>
      </c>
      <c r="H1" s="135">
        <f t="shared" si="0"/>
        <v>5</v>
      </c>
      <c r="I1" s="135">
        <f t="shared" si="0"/>
        <v>6</v>
      </c>
      <c r="J1" s="135">
        <f t="shared" si="0"/>
        <v>7</v>
      </c>
      <c r="K1" s="135">
        <f t="shared" si="0"/>
        <v>8</v>
      </c>
      <c r="L1" s="135">
        <f t="shared" si="0"/>
        <v>9</v>
      </c>
      <c r="M1" s="135">
        <f t="shared" si="0"/>
        <v>10</v>
      </c>
      <c r="N1" s="135">
        <f t="shared" si="0"/>
        <v>11</v>
      </c>
      <c r="O1" s="135">
        <f t="shared" si="0"/>
        <v>12</v>
      </c>
      <c r="P1" s="135">
        <f t="shared" si="0"/>
        <v>13</v>
      </c>
    </row>
    <row r="2" spans="1:30">
      <c r="A2" s="1" t="s">
        <v>0</v>
      </c>
      <c r="B2" s="1"/>
      <c r="C2" s="1"/>
      <c r="D2" s="136" t="s">
        <v>79</v>
      </c>
      <c r="E2" s="2">
        <f>VLOOKUP($B$1,mapping!$C$15:$O$26,E$1,0)</f>
        <v>1</v>
      </c>
      <c r="F2" s="2">
        <f>VLOOKUP($B$1,mapping!$C$15:$O$26,F$1,0)</f>
        <v>0</v>
      </c>
      <c r="G2" s="2">
        <f>VLOOKUP($B$1,mapping!$C$15:$O$26,G$1,0)</f>
        <v>0</v>
      </c>
      <c r="H2" s="2">
        <f>VLOOKUP($B$1,mapping!$C$15:$O$26,H$1,0)</f>
        <v>0</v>
      </c>
      <c r="I2" s="2">
        <f>VLOOKUP($B$1,mapping!$C$15:$O$26,I$1,0)</f>
        <v>0</v>
      </c>
      <c r="J2" s="2">
        <f>VLOOKUP($B$1,mapping!$C$15:$O$26,J$1,0)</f>
        <v>0</v>
      </c>
      <c r="K2" s="2">
        <f>VLOOKUP($B$1,mapping!$C$15:$O$26,K$1,0)</f>
        <v>0</v>
      </c>
      <c r="L2" s="2">
        <f>VLOOKUP($B$1,mapping!$C$15:$O$26,L$1,0)</f>
        <v>0</v>
      </c>
      <c r="M2" s="2">
        <f>VLOOKUP($B$1,mapping!$C$15:$O$26,M$1,0)</f>
        <v>0</v>
      </c>
      <c r="N2" s="2">
        <f>VLOOKUP($B$1,mapping!$C$15:$O$26,N$1,0)</f>
        <v>0</v>
      </c>
      <c r="O2" s="2">
        <f>VLOOKUP($B$1,mapping!$C$15:$O$26,O$1,0)</f>
        <v>0</v>
      </c>
      <c r="P2" s="2">
        <f>VLOOKUP($B$1,mapping!$C$15:$O$26,P$1,0)</f>
        <v>0</v>
      </c>
      <c r="S2" s="122"/>
      <c r="T2" s="122"/>
      <c r="U2" s="122"/>
      <c r="V2" s="122"/>
      <c r="Z2" s="122"/>
      <c r="AA2" s="122"/>
      <c r="AB2" s="122"/>
      <c r="AC2" s="122"/>
      <c r="AD2" s="122"/>
    </row>
    <row r="3" spans="1:30" ht="14.45" customHeight="1">
      <c r="A3" s="3" t="s">
        <v>1</v>
      </c>
      <c r="B3" s="4"/>
      <c r="C3" s="5"/>
      <c r="D3" s="5" t="s">
        <v>103</v>
      </c>
      <c r="E3" s="2">
        <f>VLOOKUP($B1,mapping!$C$28:$O$39,E$1,0)</f>
        <v>1</v>
      </c>
      <c r="F3" s="2">
        <f>VLOOKUP($B1,mapping!$C$28:$O$39,F$1,0)</f>
        <v>0</v>
      </c>
      <c r="G3" s="2">
        <f>VLOOKUP($B1,mapping!$C$28:$O$39,G$1,0)</f>
        <v>0</v>
      </c>
      <c r="H3" s="2">
        <f>VLOOKUP($B1,mapping!$C$28:$O$39,H$1,0)</f>
        <v>0</v>
      </c>
      <c r="I3" s="2">
        <f>VLOOKUP($B1,mapping!$C$28:$O$39,I$1,0)</f>
        <v>0</v>
      </c>
      <c r="J3" s="2">
        <f>VLOOKUP($B1,mapping!$C$28:$O$39,J$1,0)</f>
        <v>0</v>
      </c>
      <c r="K3" s="2">
        <f>VLOOKUP($B1,mapping!$C$28:$O$39,K$1,0)</f>
        <v>0</v>
      </c>
      <c r="L3" s="2">
        <f>VLOOKUP($B1,mapping!$C$28:$O$39,L$1,0)</f>
        <v>0</v>
      </c>
      <c r="M3" s="2">
        <f>VLOOKUP($B1,mapping!$C$28:$O$39,M$1,0)</f>
        <v>0</v>
      </c>
      <c r="N3" s="2">
        <f>VLOOKUP($B1,mapping!$C$28:$O$39,N$1,0)</f>
        <v>0</v>
      </c>
      <c r="O3" s="2">
        <f>VLOOKUP($B1,mapping!$C$28:$O$39,O$1,0)</f>
        <v>0</v>
      </c>
      <c r="P3" s="2">
        <f>VLOOKUP($B1,mapping!$C$28:$O$39,P$1,0)</f>
        <v>0</v>
      </c>
      <c r="S3">
        <f>INDEX($E$3:$P$3,1,MATCH(S5,$E$5:$P$5,0))</f>
        <v>1</v>
      </c>
      <c r="T3">
        <f>INDEX($E$3:$P$3,1,MATCH(T5,$E$5:$P$5,0))</f>
        <v>0</v>
      </c>
      <c r="U3">
        <f>INDEX($E$3:$P$3,1,MATCH(U5,$E$5:$P$5,0))</f>
        <v>0</v>
      </c>
      <c r="V3" s="122"/>
      <c r="AB3" s="122"/>
      <c r="AC3" s="122"/>
      <c r="AD3" s="122"/>
    </row>
    <row r="4" spans="1:30" ht="14.45" customHeight="1">
      <c r="A4" s="3"/>
      <c r="B4" s="4"/>
      <c r="C4" s="5">
        <f>'[10]New KPI vs BP'!$BX$445</f>
        <v>-38.510354258999996</v>
      </c>
      <c r="D4" s="5"/>
      <c r="E4" s="2"/>
      <c r="F4" s="2"/>
      <c r="G4" s="2"/>
      <c r="U4" s="122"/>
      <c r="V4" s="122"/>
      <c r="AB4" s="122" t="s">
        <v>505</v>
      </c>
      <c r="AC4" s="122"/>
      <c r="AD4" s="122"/>
    </row>
    <row r="5" spans="1:30">
      <c r="A5" s="4"/>
      <c r="B5" s="4"/>
      <c r="C5" s="5"/>
      <c r="D5" s="5"/>
      <c r="E5" s="100" t="s">
        <v>65</v>
      </c>
      <c r="F5" s="101" t="s">
        <v>66</v>
      </c>
      <c r="G5" s="101" t="s">
        <v>67</v>
      </c>
      <c r="H5" s="101" t="s">
        <v>2</v>
      </c>
      <c r="I5" s="101" t="s">
        <v>3</v>
      </c>
      <c r="J5" s="101" t="s">
        <v>4</v>
      </c>
      <c r="K5" s="101" t="s">
        <v>68</v>
      </c>
      <c r="L5" s="101" t="s">
        <v>69</v>
      </c>
      <c r="M5" s="101" t="s">
        <v>70</v>
      </c>
      <c r="N5" s="101" t="s">
        <v>71</v>
      </c>
      <c r="O5" s="101" t="s">
        <v>72</v>
      </c>
      <c r="P5" s="102" t="s">
        <v>73</v>
      </c>
      <c r="Q5" s="107" t="s">
        <v>74</v>
      </c>
      <c r="S5" s="101" t="str">
        <f>VLOOKUP(VLOOKUP(B1,mapping!$A:$C,2,0),mapping!$B:$C,2,0)</f>
        <v>M01</v>
      </c>
      <c r="T5" s="101" t="str">
        <f>LEFT(S5,2)&amp;(RIGHT(S5,1)+1)</f>
        <v>M02</v>
      </c>
      <c r="U5" s="101" t="str">
        <f>LEFT(T5,2)&amp;(RIGHT(T5,1)+1)</f>
        <v>M03</v>
      </c>
      <c r="V5" s="101" t="str">
        <f>VLOOKUP(B1,mapping!$A$2:$B$13,2,0)</f>
        <v>Q1</v>
      </c>
      <c r="X5" s="101" t="s">
        <v>79</v>
      </c>
      <c r="Z5" s="101" t="s">
        <v>75</v>
      </c>
      <c r="AA5" s="101" t="s">
        <v>76</v>
      </c>
      <c r="AB5" s="101" t="s">
        <v>77</v>
      </c>
      <c r="AC5" s="101" t="s">
        <v>78</v>
      </c>
      <c r="AD5" s="101" t="s">
        <v>74</v>
      </c>
    </row>
    <row r="6" spans="1:30">
      <c r="A6" s="6"/>
      <c r="B6" s="7" t="s">
        <v>5</v>
      </c>
      <c r="C6" s="7"/>
      <c r="D6" s="8"/>
      <c r="E6" s="9">
        <f>'[21]P&amp;L Actual'!H9</f>
        <v>1356.721</v>
      </c>
      <c r="F6" s="10">
        <f>'[21]P&amp;L Actual'!I9</f>
        <v>1405.502</v>
      </c>
      <c r="G6" s="10">
        <f>'[21]P&amp;L Actual'!J9</f>
        <v>1563.373</v>
      </c>
      <c r="H6" s="10">
        <f>'[21]P&amp;L Actual'!K9</f>
        <v>1384.665</v>
      </c>
      <c r="I6" s="10">
        <f>'[21]P&amp;L Actual'!L9</f>
        <v>1039.9190000000001</v>
      </c>
      <c r="J6" s="10">
        <f>'[21]P&amp;L Actual'!M9</f>
        <v>1483.7677047520001</v>
      </c>
      <c r="K6" s="10">
        <f>'[21]P&amp;L Actual'!N9</f>
        <v>1317.028802782</v>
      </c>
      <c r="L6" s="10">
        <f>'[21]P&amp;L Actual'!O9</f>
        <v>1347.6546445490001</v>
      </c>
      <c r="M6" s="10">
        <f>'[21]P&amp;L Actual'!P9</f>
        <v>1373.631592385</v>
      </c>
      <c r="N6" s="10">
        <f>'[21]P&amp;L Actual'!Q9</f>
        <v>1261.0728018780001</v>
      </c>
      <c r="O6" s="10">
        <f>'[21]P&amp;L Actual'!R9</f>
        <v>1233.257302109</v>
      </c>
      <c r="P6" s="10">
        <f>'[21]P&amp;L Actual'!S9</f>
        <v>1779.591807928</v>
      </c>
      <c r="Q6" s="105">
        <f>SUM(E6:P6)</f>
        <v>16546.184656382997</v>
      </c>
      <c r="S6" s="10">
        <f>SUMIFS($E6:$P6,$E$3:$P$3,1,$E$5:$P$5,S$5)</f>
        <v>1356.721</v>
      </c>
      <c r="T6" s="10">
        <f>SUMIFS($E6:$P6,$E$3:$P$3,1,$E$5:$P$5,T$5)</f>
        <v>0</v>
      </c>
      <c r="U6" s="10">
        <f>SUMIFS($E6:$P6,$E$3:$P$3,1,$E$5:$P$5,U$5)</f>
        <v>0</v>
      </c>
      <c r="V6" s="10">
        <f>SUM(S6:U6)</f>
        <v>1356.721</v>
      </c>
      <c r="X6" s="10">
        <f>SUMIF($E$2:$P$2,1,E6:P6)</f>
        <v>1356.721</v>
      </c>
      <c r="Z6" s="10">
        <f>SUM(E6:G6)</f>
        <v>4325.5959999999995</v>
      </c>
      <c r="AA6" s="10">
        <f>SUM(H6:J6)</f>
        <v>3908.3517047519999</v>
      </c>
      <c r="AB6" s="10">
        <f>SUM(K6:M6)</f>
        <v>4038.3150397159998</v>
      </c>
      <c r="AC6" s="10">
        <f>SUM(N6:P6)</f>
        <v>4273.9219119150002</v>
      </c>
      <c r="AD6" s="10">
        <f>SUM(Z6:AC6)</f>
        <v>16546.184656383</v>
      </c>
    </row>
    <row r="7" spans="1:30">
      <c r="A7" s="6"/>
      <c r="B7" s="7" t="s">
        <v>6</v>
      </c>
      <c r="C7" s="7"/>
      <c r="D7" s="8"/>
      <c r="E7" s="9">
        <f>'[21]P&amp;L Actual'!H5/1000</f>
        <v>20.428999999999998</v>
      </c>
      <c r="F7" s="10">
        <f>'[21]P&amp;L Actual'!I5/1000</f>
        <v>26.765000000000001</v>
      </c>
      <c r="G7" s="10">
        <f>'[21]P&amp;L Actual'!J5/1000</f>
        <v>33.113</v>
      </c>
      <c r="H7" s="10">
        <f>'[21]P&amp;L Actual'!K5/1000</f>
        <v>24.553999999999998</v>
      </c>
      <c r="I7" s="10">
        <f>'[21]P&amp;L Actual'!L5/1000</f>
        <v>16.222999999999999</v>
      </c>
      <c r="J7" s="10">
        <f>'[21]P&amp;L Actual'!M5/1000</f>
        <v>37.125999999999998</v>
      </c>
      <c r="K7" s="10">
        <f>'[21]P&amp;L Actual'!N5/1000</f>
        <v>27.367999999999999</v>
      </c>
      <c r="L7" s="10">
        <f>'[21]P&amp;L Actual'!O5/1000</f>
        <v>30.733000000000001</v>
      </c>
      <c r="M7" s="10">
        <f>'[21]P&amp;L Actual'!P5/1000</f>
        <v>29.832000000000001</v>
      </c>
      <c r="N7" s="10">
        <f>'[21]P&amp;L Actual'!Q5/1000</f>
        <v>29.72</v>
      </c>
      <c r="O7" s="10">
        <f>'[21]P&amp;L Actual'!R5/1000</f>
        <v>31.792999999999999</v>
      </c>
      <c r="P7" s="10">
        <f>'[21]P&amp;L Actual'!S5/1000</f>
        <v>49.542999999999999</v>
      </c>
      <c r="Q7" s="105">
        <f t="shared" ref="Q7:Q12" si="1">SUM(E7:P7)</f>
        <v>357.19900000000001</v>
      </c>
      <c r="S7" s="10">
        <f t="shared" ref="S7:U13" si="2">SUMIFS($E7:$P7,$E$3:$P$3,1,$E$5:$P$5,S$5)</f>
        <v>20.428999999999998</v>
      </c>
      <c r="T7" s="10">
        <f t="shared" si="2"/>
        <v>0</v>
      </c>
      <c r="U7" s="10">
        <f t="shared" si="2"/>
        <v>0</v>
      </c>
      <c r="V7" s="10">
        <f t="shared" ref="V7:V13" si="3">SUM(S7:U7)</f>
        <v>20.428999999999998</v>
      </c>
      <c r="X7" s="10">
        <f t="shared" ref="X7:X13" si="4">SUMIF($E$2:$P$2,1,E7:P7)</f>
        <v>20.428999999999998</v>
      </c>
      <c r="Z7" s="10">
        <f t="shared" ref="Z7:Z13" si="5">SUM(E7:G7)</f>
        <v>80.307000000000002</v>
      </c>
      <c r="AA7" s="10">
        <f t="shared" ref="AA7:AA13" si="6">SUM(H7:J7)</f>
        <v>77.902999999999992</v>
      </c>
      <c r="AB7" s="10">
        <f t="shared" ref="AB7:AB13" si="7">SUM(K7:M7)</f>
        <v>87.932999999999993</v>
      </c>
      <c r="AC7" s="10">
        <f t="shared" ref="AC7:AC13" si="8">SUM(N7:P7)</f>
        <v>111.056</v>
      </c>
      <c r="AD7" s="10">
        <f t="shared" ref="AD7:AD13" si="9">SUM(Z7:AC7)</f>
        <v>357.19899999999996</v>
      </c>
    </row>
    <row r="8" spans="1:30">
      <c r="A8" s="6"/>
      <c r="B8" s="7" t="s">
        <v>7</v>
      </c>
      <c r="C8" s="7"/>
      <c r="D8" s="8"/>
      <c r="E8" s="9">
        <f>'[21]P&amp;L Actual'!H6/1000</f>
        <v>0</v>
      </c>
      <c r="F8" s="10">
        <f>'[21]P&amp;L Actual'!I6/1000</f>
        <v>0</v>
      </c>
      <c r="G8" s="10">
        <f>'[21]P&amp;L Actual'!J6/1000</f>
        <v>0</v>
      </c>
      <c r="H8" s="10">
        <f>'[21]P&amp;L Actual'!K6/1000</f>
        <v>0</v>
      </c>
      <c r="I8" s="10">
        <f>'[21]P&amp;L Actual'!L6/1000</f>
        <v>0</v>
      </c>
      <c r="J8" s="10">
        <f>'[21]P&amp;L Actual'!M6/1000</f>
        <v>0</v>
      </c>
      <c r="K8" s="10">
        <f>'[21]P&amp;L Actual'!N6/1000</f>
        <v>0</v>
      </c>
      <c r="L8" s="10">
        <f>'[21]P&amp;L Actual'!O6/1000</f>
        <v>0</v>
      </c>
      <c r="M8" s="10">
        <f>'[21]P&amp;L Actual'!P6/1000</f>
        <v>0</v>
      </c>
      <c r="N8" s="10">
        <f>'[21]P&amp;L Actual'!Q6/1000</f>
        <v>0</v>
      </c>
      <c r="O8" s="10">
        <f>'[21]P&amp;L Actual'!R6/1000</f>
        <v>0</v>
      </c>
      <c r="P8" s="10">
        <f>'[21]P&amp;L Actual'!S6/1000</f>
        <v>0</v>
      </c>
      <c r="Q8" s="105">
        <f t="shared" si="1"/>
        <v>0</v>
      </c>
      <c r="S8" s="10">
        <f t="shared" si="2"/>
        <v>0</v>
      </c>
      <c r="T8" s="10">
        <f t="shared" si="2"/>
        <v>0</v>
      </c>
      <c r="U8" s="10">
        <f t="shared" si="2"/>
        <v>0</v>
      </c>
      <c r="V8" s="10">
        <f t="shared" si="3"/>
        <v>0</v>
      </c>
      <c r="X8" s="10">
        <f t="shared" si="4"/>
        <v>0</v>
      </c>
      <c r="Z8" s="10">
        <f t="shared" si="5"/>
        <v>0</v>
      </c>
      <c r="AA8" s="10">
        <f t="shared" si="6"/>
        <v>0</v>
      </c>
      <c r="AB8" s="10">
        <f t="shared" si="7"/>
        <v>0</v>
      </c>
      <c r="AC8" s="10">
        <f t="shared" si="8"/>
        <v>0</v>
      </c>
      <c r="AD8" s="10">
        <f t="shared" si="9"/>
        <v>0</v>
      </c>
    </row>
    <row r="9" spans="1:30">
      <c r="A9" s="6"/>
      <c r="B9" s="7" t="s">
        <v>8</v>
      </c>
      <c r="C9" s="7"/>
      <c r="D9" s="8"/>
      <c r="E9" s="9">
        <f>'[21]P&amp;L Actual'!H7/1000</f>
        <v>0</v>
      </c>
      <c r="F9" s="10">
        <f>'[21]P&amp;L Actual'!I7/1000</f>
        <v>0</v>
      </c>
      <c r="G9" s="10">
        <f>'[21]P&amp;L Actual'!J7/1000</f>
        <v>0</v>
      </c>
      <c r="H9" s="10">
        <f>'[21]P&amp;L Actual'!K7/1000</f>
        <v>0</v>
      </c>
      <c r="I9" s="10">
        <f>'[21]P&amp;L Actual'!L7/1000</f>
        <v>0</v>
      </c>
      <c r="J9" s="10">
        <f>'[21]P&amp;L Actual'!M7/1000</f>
        <v>0</v>
      </c>
      <c r="K9" s="10">
        <f>'[21]P&amp;L Actual'!N7/1000</f>
        <v>0</v>
      </c>
      <c r="L9" s="10">
        <f>'[21]P&amp;L Actual'!O7/1000</f>
        <v>0</v>
      </c>
      <c r="M9" s="10">
        <f>'[21]P&amp;L Actual'!P7/1000</f>
        <v>0</v>
      </c>
      <c r="N9" s="10">
        <f>'[21]P&amp;L Actual'!Q7/1000</f>
        <v>0</v>
      </c>
      <c r="O9" s="10">
        <f>'[21]P&amp;L Actual'!R7/1000</f>
        <v>0</v>
      </c>
      <c r="P9" s="10">
        <f>'[21]P&amp;L Actual'!S7/1000</f>
        <v>0</v>
      </c>
      <c r="Q9" s="105">
        <f t="shared" si="1"/>
        <v>0</v>
      </c>
      <c r="S9" s="10">
        <f t="shared" si="2"/>
        <v>0</v>
      </c>
      <c r="T9" s="10">
        <f t="shared" si="2"/>
        <v>0</v>
      </c>
      <c r="U9" s="10">
        <f t="shared" si="2"/>
        <v>0</v>
      </c>
      <c r="V9" s="10">
        <f t="shared" si="3"/>
        <v>0</v>
      </c>
      <c r="X9" s="10">
        <f t="shared" si="4"/>
        <v>0</v>
      </c>
      <c r="Z9" s="10">
        <f t="shared" si="5"/>
        <v>0</v>
      </c>
      <c r="AA9" s="10">
        <f t="shared" si="6"/>
        <v>0</v>
      </c>
      <c r="AB9" s="10">
        <f t="shared" si="7"/>
        <v>0</v>
      </c>
      <c r="AC9" s="10">
        <f t="shared" si="8"/>
        <v>0</v>
      </c>
      <c r="AD9" s="10">
        <f t="shared" si="9"/>
        <v>0</v>
      </c>
    </row>
    <row r="10" spans="1:30">
      <c r="A10" s="6"/>
      <c r="B10" s="7" t="s">
        <v>9</v>
      </c>
      <c r="C10" s="7"/>
      <c r="D10" s="8"/>
      <c r="E10" s="9">
        <f>'[21]P&amp;L Actual'!H21/1000</f>
        <v>16.117999999999999</v>
      </c>
      <c r="F10" s="10">
        <f>'[21]P&amp;L Actual'!I21/1000</f>
        <v>23.010999999999999</v>
      </c>
      <c r="G10" s="10">
        <f>'[21]P&amp;L Actual'!J21/1000</f>
        <v>30.538</v>
      </c>
      <c r="H10" s="10">
        <f>'[21]P&amp;L Actual'!K21/1000</f>
        <v>21.085999999999999</v>
      </c>
      <c r="I10" s="10">
        <f>'[21]P&amp;L Actual'!L21/1000</f>
        <v>18.341999999999999</v>
      </c>
      <c r="J10" s="10">
        <f>'[21]P&amp;L Actual'!M21/1000</f>
        <v>36.319000000000003</v>
      </c>
      <c r="K10" s="10">
        <f>'[21]P&amp;L Actual'!N21/1000</f>
        <v>26.574999999999999</v>
      </c>
      <c r="L10" s="10">
        <f>'[21]P&amp;L Actual'!O21/1000</f>
        <v>30.48</v>
      </c>
      <c r="M10" s="10">
        <f>'[21]P&amp;L Actual'!P21/1000</f>
        <v>31.149000000000001</v>
      </c>
      <c r="N10" s="10">
        <f>'[21]P&amp;L Actual'!Q21/1000</f>
        <v>30.05</v>
      </c>
      <c r="O10" s="10">
        <f>'[21]P&amp;L Actual'!R21/1000</f>
        <v>35.488999999999997</v>
      </c>
      <c r="P10" s="10">
        <f>'[21]P&amp;L Actual'!S21/1000</f>
        <v>50.835000000000001</v>
      </c>
      <c r="Q10" s="105">
        <f t="shared" si="1"/>
        <v>349.9919999999999</v>
      </c>
      <c r="S10" s="10">
        <f t="shared" si="2"/>
        <v>16.117999999999999</v>
      </c>
      <c r="T10" s="10">
        <f t="shared" si="2"/>
        <v>0</v>
      </c>
      <c r="U10" s="10">
        <f t="shared" si="2"/>
        <v>0</v>
      </c>
      <c r="V10" s="10">
        <f t="shared" si="3"/>
        <v>16.117999999999999</v>
      </c>
      <c r="X10" s="10">
        <f t="shared" si="4"/>
        <v>16.117999999999999</v>
      </c>
      <c r="Z10" s="10">
        <f t="shared" si="5"/>
        <v>69.667000000000002</v>
      </c>
      <c r="AA10" s="10">
        <f t="shared" si="6"/>
        <v>75.747</v>
      </c>
      <c r="AB10" s="10">
        <f t="shared" si="7"/>
        <v>88.204000000000008</v>
      </c>
      <c r="AC10" s="10">
        <f t="shared" si="8"/>
        <v>116.374</v>
      </c>
      <c r="AD10" s="10">
        <f t="shared" si="9"/>
        <v>349.99199999999996</v>
      </c>
    </row>
    <row r="11" spans="1:30">
      <c r="A11" s="6"/>
      <c r="B11" s="7" t="s">
        <v>10</v>
      </c>
      <c r="C11" s="7"/>
      <c r="D11" s="8"/>
      <c r="E11" s="9">
        <f>'[21]P&amp;L Actual'!H22/1000</f>
        <v>7.0000000000000001E-3</v>
      </c>
      <c r="F11" s="10">
        <f>'[21]P&amp;L Actual'!I22/1000</f>
        <v>1E-3</v>
      </c>
      <c r="G11" s="10">
        <f>'[21]P&amp;L Actual'!J22/1000</f>
        <v>0</v>
      </c>
      <c r="H11" s="10">
        <f>'[21]P&amp;L Actual'!K22/1000</f>
        <v>4.1000000000000002E-2</v>
      </c>
      <c r="I11" s="10">
        <f>'[21]P&amp;L Actual'!L22/1000</f>
        <v>0</v>
      </c>
      <c r="J11" s="10">
        <f>'[21]P&amp;L Actual'!M22/1000</f>
        <v>1.2E-2</v>
      </c>
      <c r="K11" s="10">
        <f>'[21]P&amp;L Actual'!N22/1000</f>
        <v>1.0999999999999999E-2</v>
      </c>
      <c r="L11" s="10">
        <f>'[21]P&amp;L Actual'!O22/1000</f>
        <v>1.2E-2</v>
      </c>
      <c r="M11" s="10">
        <f>'[21]P&amp;L Actual'!P22/1000</f>
        <v>0.01</v>
      </c>
      <c r="N11" s="10">
        <f>'[21]P&amp;L Actual'!Q22/1000</f>
        <v>5.0000000000000001E-3</v>
      </c>
      <c r="O11" s="10">
        <f>'[21]P&amp;L Actual'!R22/1000</f>
        <v>7.0000000000000001E-3</v>
      </c>
      <c r="P11" s="10">
        <f>'[21]P&amp;L Actual'!S22/1000</f>
        <v>1.4999999999999999E-2</v>
      </c>
      <c r="Q11" s="105">
        <f t="shared" si="1"/>
        <v>0.121</v>
      </c>
      <c r="S11" s="10">
        <f t="shared" si="2"/>
        <v>7.0000000000000001E-3</v>
      </c>
      <c r="T11" s="10">
        <f t="shared" si="2"/>
        <v>0</v>
      </c>
      <c r="U11" s="10">
        <f t="shared" si="2"/>
        <v>0</v>
      </c>
      <c r="V11" s="10">
        <f t="shared" si="3"/>
        <v>7.0000000000000001E-3</v>
      </c>
      <c r="X11" s="10">
        <f t="shared" si="4"/>
        <v>7.0000000000000001E-3</v>
      </c>
      <c r="Z11" s="10">
        <f t="shared" si="5"/>
        <v>8.0000000000000002E-3</v>
      </c>
      <c r="AA11" s="10">
        <f t="shared" si="6"/>
        <v>5.3000000000000005E-2</v>
      </c>
      <c r="AB11" s="10">
        <f t="shared" si="7"/>
        <v>3.3000000000000002E-2</v>
      </c>
      <c r="AC11" s="10">
        <f t="shared" si="8"/>
        <v>2.7E-2</v>
      </c>
      <c r="AD11" s="10">
        <f t="shared" si="9"/>
        <v>0.121</v>
      </c>
    </row>
    <row r="12" spans="1:30">
      <c r="A12" s="6"/>
      <c r="B12" s="7" t="s">
        <v>11</v>
      </c>
      <c r="C12" s="7"/>
      <c r="D12" s="8"/>
      <c r="E12" s="9">
        <f>'[21]P&amp;L Actual'!H23/1000</f>
        <v>0</v>
      </c>
      <c r="F12" s="10">
        <f>'[21]P&amp;L Actual'!I23/1000</f>
        <v>0</v>
      </c>
      <c r="G12" s="10">
        <f>'[21]P&amp;L Actual'!J23/1000</f>
        <v>0</v>
      </c>
      <c r="H12" s="10">
        <f>'[21]P&amp;L Actual'!K23/1000</f>
        <v>0</v>
      </c>
      <c r="I12" s="10">
        <f>'[21]P&amp;L Actual'!L23/1000</f>
        <v>0</v>
      </c>
      <c r="J12" s="10">
        <f>'[21]P&amp;L Actual'!M23/1000</f>
        <v>0</v>
      </c>
      <c r="K12" s="10">
        <f>'[21]P&amp;L Actual'!N23/1000</f>
        <v>0</v>
      </c>
      <c r="L12" s="10">
        <f>'[21]P&amp;L Actual'!O23/1000</f>
        <v>0</v>
      </c>
      <c r="M12" s="10">
        <f>'[21]P&amp;L Actual'!P23/1000</f>
        <v>0</v>
      </c>
      <c r="N12" s="10">
        <f>'[21]P&amp;L Actual'!Q23/1000</f>
        <v>0</v>
      </c>
      <c r="O12" s="10">
        <f>'[21]P&amp;L Actual'!R23/1000</f>
        <v>0</v>
      </c>
      <c r="P12" s="10">
        <f>'[21]P&amp;L Actual'!S23/1000</f>
        <v>0</v>
      </c>
      <c r="Q12" s="106">
        <f t="shared" si="1"/>
        <v>0</v>
      </c>
      <c r="S12" s="10">
        <f t="shared" si="2"/>
        <v>0</v>
      </c>
      <c r="T12" s="10">
        <f t="shared" si="2"/>
        <v>0</v>
      </c>
      <c r="U12" s="10">
        <f t="shared" si="2"/>
        <v>0</v>
      </c>
      <c r="V12" s="10">
        <f t="shared" si="3"/>
        <v>0</v>
      </c>
      <c r="X12" s="10">
        <f t="shared" si="4"/>
        <v>0</v>
      </c>
      <c r="Z12" s="10">
        <f t="shared" si="5"/>
        <v>0</v>
      </c>
      <c r="AA12" s="10">
        <f t="shared" si="6"/>
        <v>0</v>
      </c>
      <c r="AB12" s="10">
        <f t="shared" si="7"/>
        <v>0</v>
      </c>
      <c r="AC12" s="10">
        <f t="shared" si="8"/>
        <v>0</v>
      </c>
      <c r="AD12" s="10">
        <f t="shared" si="9"/>
        <v>0</v>
      </c>
    </row>
    <row r="13" spans="1:30">
      <c r="A13" s="6"/>
      <c r="B13" s="7" t="s">
        <v>12</v>
      </c>
      <c r="C13" s="7"/>
      <c r="D13" s="8"/>
      <c r="E13" s="11">
        <f>'[21]P&amp;L Actual'!H27/1000</f>
        <v>0.48099999999999998</v>
      </c>
      <c r="F13" s="12">
        <f>'[21]P&amp;L Actual'!I27/1000</f>
        <v>1.4910000000000001</v>
      </c>
      <c r="G13" s="12">
        <f>'[21]P&amp;L Actual'!J27/1000</f>
        <v>1.0249999999999999</v>
      </c>
      <c r="H13" s="12">
        <f>'[21]P&amp;L Actual'!K27/1000</f>
        <v>0.34699999999999998</v>
      </c>
      <c r="I13" s="12">
        <f>'[21]P&amp;L Actual'!L27/1000</f>
        <v>0.53300000000000003</v>
      </c>
      <c r="J13" s="12">
        <f>'[21]P&amp;L Actual'!M27/1000</f>
        <v>0.79</v>
      </c>
      <c r="K13" s="12">
        <f>'[21]P&amp;L Actual'!N27/1000</f>
        <v>0.52800000000000002</v>
      </c>
      <c r="L13" s="12">
        <f>'[21]P&amp;L Actual'!O27/1000</f>
        <v>0.99</v>
      </c>
      <c r="M13" s="12">
        <f>'[21]P&amp;L Actual'!P27/1000</f>
        <v>1.2310000000000001</v>
      </c>
      <c r="N13" s="12">
        <f>'[21]P&amp;L Actual'!Q27/1000</f>
        <v>0.98099999999999998</v>
      </c>
      <c r="O13" s="12">
        <f>'[21]P&amp;L Actual'!R27/1000</f>
        <v>1.1080000000000001</v>
      </c>
      <c r="P13" s="12">
        <f>'[21]P&amp;L Actual'!S27/1000</f>
        <v>0.78</v>
      </c>
      <c r="Q13" s="106">
        <f>SUM(E13:P13)</f>
        <v>10.285</v>
      </c>
      <c r="S13" s="12">
        <f t="shared" si="2"/>
        <v>0.48099999999999998</v>
      </c>
      <c r="T13" s="12">
        <f t="shared" si="2"/>
        <v>0</v>
      </c>
      <c r="U13" s="12">
        <f t="shared" si="2"/>
        <v>0</v>
      </c>
      <c r="V13" s="12">
        <f t="shared" si="3"/>
        <v>0.48099999999999998</v>
      </c>
      <c r="X13" s="12">
        <f t="shared" si="4"/>
        <v>0.48099999999999998</v>
      </c>
      <c r="Z13" s="10">
        <f t="shared" si="5"/>
        <v>2.9969999999999999</v>
      </c>
      <c r="AA13" s="10">
        <f t="shared" si="6"/>
        <v>1.67</v>
      </c>
      <c r="AB13" s="10">
        <f t="shared" si="7"/>
        <v>2.7490000000000001</v>
      </c>
      <c r="AC13" s="10">
        <f t="shared" si="8"/>
        <v>2.8689999999999998</v>
      </c>
      <c r="AD13" s="10">
        <f t="shared" si="9"/>
        <v>10.285</v>
      </c>
    </row>
    <row r="14" spans="1:30">
      <c r="A14" s="13"/>
      <c r="B14" s="14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S14" s="2"/>
      <c r="T14" s="2"/>
      <c r="U14" s="2"/>
      <c r="V14" s="2"/>
      <c r="X14" s="2"/>
      <c r="Z14" s="2"/>
      <c r="AA14" s="2"/>
      <c r="AB14" s="2"/>
      <c r="AC14" s="2"/>
      <c r="AD14" s="2"/>
    </row>
    <row r="15" spans="1:30">
      <c r="A15" s="13"/>
      <c r="B15" s="14"/>
      <c r="C15" s="14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S15" s="13"/>
      <c r="T15" s="13"/>
      <c r="U15" s="13"/>
      <c r="V15" s="13"/>
      <c r="X15" s="13"/>
      <c r="Z15" s="13"/>
      <c r="AA15" s="13"/>
      <c r="AB15" s="13"/>
      <c r="AC15" s="13"/>
      <c r="AD15" s="13"/>
    </row>
    <row r="16" spans="1:30">
      <c r="A16" s="16"/>
      <c r="B16" s="16"/>
      <c r="C16" s="17" t="s">
        <v>13</v>
      </c>
      <c r="D16" s="17"/>
      <c r="E16" s="18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08">
        <f t="shared" ref="Q16:Q46" si="10">SUM(E16:P16)</f>
        <v>0</v>
      </c>
      <c r="S16" s="19"/>
      <c r="T16" s="19"/>
      <c r="U16" s="19"/>
      <c r="V16" s="19"/>
      <c r="X16" s="19"/>
      <c r="Z16" s="19"/>
      <c r="AA16" s="19"/>
      <c r="AB16" s="19"/>
      <c r="AC16" s="19"/>
      <c r="AD16" s="19"/>
    </row>
    <row r="17" spans="1:30">
      <c r="A17" s="20"/>
      <c r="B17" s="20"/>
      <c r="C17" s="21" t="s">
        <v>14</v>
      </c>
      <c r="D17" s="21"/>
      <c r="E17" s="22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109">
        <f t="shared" si="10"/>
        <v>0</v>
      </c>
      <c r="S17" s="23"/>
      <c r="T17" s="23"/>
      <c r="U17" s="23"/>
      <c r="V17" s="23"/>
      <c r="X17" s="23"/>
      <c r="Z17" s="23"/>
      <c r="AA17" s="23"/>
      <c r="AB17" s="23"/>
      <c r="AC17" s="23"/>
      <c r="AD17" s="23"/>
    </row>
    <row r="18" spans="1:30">
      <c r="A18" s="24" t="s">
        <v>15</v>
      </c>
      <c r="B18" s="25"/>
      <c r="C18" s="26"/>
      <c r="D18" s="26"/>
      <c r="E18" s="27">
        <f>[22]Act!D222</f>
        <v>612.22646137803633</v>
      </c>
      <c r="F18" s="28">
        <f>[22]Act!E222</f>
        <v>755.9401488583477</v>
      </c>
      <c r="G18" s="29">
        <f>[22]Act!F222</f>
        <v>991.81161270891232</v>
      </c>
      <c r="H18" s="29">
        <f>[22]Act!G222</f>
        <v>752.80413095636118</v>
      </c>
      <c r="I18" s="29">
        <f>[22]Act!H222</f>
        <v>624.40953069327338</v>
      </c>
      <c r="J18" s="29">
        <f>[22]Act!I222</f>
        <v>1173.6255728524438</v>
      </c>
      <c r="K18" s="29">
        <f>[22]Act!J222</f>
        <v>902.86522552711392</v>
      </c>
      <c r="L18" s="29">
        <f>[22]Act!K222</f>
        <v>1003.1392360883528</v>
      </c>
      <c r="M18" s="29">
        <f>[22]Act!L222</f>
        <v>1004.0396179397036</v>
      </c>
      <c r="N18" s="29">
        <f>[22]Act!M222</f>
        <v>972.03011379459099</v>
      </c>
      <c r="O18" s="29">
        <f>[22]Act!N222</f>
        <v>1131.4637987576864</v>
      </c>
      <c r="P18" s="29">
        <f>[22]Act!O222</f>
        <v>1569.4458389386452</v>
      </c>
      <c r="Q18" s="108">
        <f t="shared" si="10"/>
        <v>11493.801288493467</v>
      </c>
      <c r="S18" s="29">
        <f>SUMIFS($E18:$P18,$E$3:$P$3,1,$E$5:$P$5,S$5)</f>
        <v>612.22646137803633</v>
      </c>
      <c r="T18" s="29">
        <f>SUMIFS($E18:$P18,$E$3:$P$3,1,$E$5:$P$5,T$5)</f>
        <v>0</v>
      </c>
      <c r="U18" s="29">
        <f>SUMIFS($E18:$P18,$E$3:$P$3,1,$E$5:$P$5,U$5)</f>
        <v>0</v>
      </c>
      <c r="V18" s="29">
        <f>SUM(S18:U18)</f>
        <v>612.22646137803633</v>
      </c>
      <c r="X18" s="29">
        <f>SUMIF($E$2:$P$2,1,E18:P18)</f>
        <v>612.22646137803633</v>
      </c>
      <c r="Z18" s="29">
        <f>SUM(E18:G18)</f>
        <v>2359.9782229452962</v>
      </c>
      <c r="AA18" s="29">
        <f>SUM(H18:J18)</f>
        <v>2550.8392345020784</v>
      </c>
      <c r="AB18" s="29">
        <f>SUM(K18:M18)</f>
        <v>2910.0440795551704</v>
      </c>
      <c r="AC18" s="29">
        <f>SUM(N18:P18)</f>
        <v>3672.9397514909224</v>
      </c>
      <c r="AD18" s="29">
        <f>SUM(Z18:AC18)</f>
        <v>11493.801288493467</v>
      </c>
    </row>
    <row r="19" spans="1:30">
      <c r="A19" s="20"/>
      <c r="B19" s="16"/>
      <c r="C19" s="17" t="s">
        <v>16</v>
      </c>
      <c r="D19" s="17"/>
      <c r="E19" s="18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08">
        <f t="shared" si="10"/>
        <v>0</v>
      </c>
      <c r="S19" s="19"/>
      <c r="T19" s="19"/>
      <c r="U19" s="19"/>
      <c r="V19" s="19"/>
      <c r="X19" s="19"/>
      <c r="Z19" s="19"/>
      <c r="AA19" s="19"/>
      <c r="AB19" s="19"/>
      <c r="AC19" s="19"/>
      <c r="AD19" s="19"/>
    </row>
    <row r="20" spans="1:30">
      <c r="A20" s="20"/>
      <c r="B20" s="30"/>
      <c r="C20" s="31" t="s">
        <v>17</v>
      </c>
      <c r="D20" s="31"/>
      <c r="E20" s="22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109">
        <f t="shared" si="10"/>
        <v>0</v>
      </c>
      <c r="S20" s="23"/>
      <c r="T20" s="23"/>
      <c r="U20" s="23"/>
      <c r="V20" s="23"/>
      <c r="X20" s="23"/>
      <c r="Z20" s="23"/>
      <c r="AA20" s="23"/>
      <c r="AB20" s="23"/>
      <c r="AC20" s="23"/>
      <c r="AD20" s="23"/>
    </row>
    <row r="21" spans="1:30">
      <c r="A21" s="32"/>
      <c r="B21" s="26" t="s">
        <v>18</v>
      </c>
      <c r="C21" s="26"/>
      <c r="D21" s="26"/>
      <c r="E21" s="33">
        <f>[22]Act!D223</f>
        <v>-85.285283100000001</v>
      </c>
      <c r="F21" s="34">
        <f>[22]Act!E223</f>
        <v>-107.1679133</v>
      </c>
      <c r="G21" s="35">
        <f>[22]Act!F223</f>
        <v>-152.92069900000001</v>
      </c>
      <c r="H21" s="35">
        <f>[22]Act!G223</f>
        <v>-107.07472529999997</v>
      </c>
      <c r="I21" s="35">
        <f>[22]Act!H223</f>
        <v>-85.710109700000018</v>
      </c>
      <c r="J21" s="35">
        <f>[22]Act!I223</f>
        <v>-176.79216133630072</v>
      </c>
      <c r="K21" s="35">
        <f>[22]Act!J223</f>
        <v>-129.92824154684936</v>
      </c>
      <c r="L21" s="35">
        <f>[22]Act!K223</f>
        <v>-147.65830407586895</v>
      </c>
      <c r="M21" s="35">
        <f>[22]Act!L223</f>
        <v>-148.69209040627999</v>
      </c>
      <c r="N21" s="35">
        <f>[22]Act!M223</f>
        <v>-135.92402764255607</v>
      </c>
      <c r="O21" s="35">
        <f>[22]Act!N223</f>
        <v>-162.43910706469819</v>
      </c>
      <c r="P21" s="35">
        <f>[22]Act!O223</f>
        <v>-229.8664649995788</v>
      </c>
      <c r="Q21" s="108">
        <f t="shared" si="10"/>
        <v>-1669.459127472132</v>
      </c>
      <c r="S21" s="35">
        <f>SUMIFS($E21:$P21,$E$3:$P$3,1,$E$5:$P$5,S$5)</f>
        <v>-85.285283100000001</v>
      </c>
      <c r="T21" s="35">
        <f>SUMIFS($E21:$P21,$E$3:$P$3,1,$E$5:$P$5,T$5)</f>
        <v>0</v>
      </c>
      <c r="U21" s="35">
        <f>SUMIFS($E21:$P21,$E$3:$P$3,1,$E$5:$P$5,U$5)</f>
        <v>0</v>
      </c>
      <c r="V21" s="35">
        <f>SUM(S21:U21)</f>
        <v>-85.285283100000001</v>
      </c>
      <c r="X21" s="35">
        <f>SUMIF($E$2:$P$2,1,E21:P21)</f>
        <v>-85.285283100000001</v>
      </c>
      <c r="Z21" s="35">
        <f>SUM(E21:G21)</f>
        <v>-345.37389540000004</v>
      </c>
      <c r="AA21" s="35">
        <f>SUM(H21:J21)</f>
        <v>-369.57699633630068</v>
      </c>
      <c r="AB21" s="35">
        <f>SUM(K21:M21)</f>
        <v>-426.27863602899828</v>
      </c>
      <c r="AC21" s="35">
        <f>SUM(N21:P21)</f>
        <v>-528.22959970683314</v>
      </c>
      <c r="AD21" s="35">
        <f>SUM(Z21:AC21)</f>
        <v>-1669.4591274721322</v>
      </c>
    </row>
    <row r="22" spans="1:30">
      <c r="A22" s="36" t="s">
        <v>19</v>
      </c>
      <c r="B22" s="36"/>
      <c r="C22" s="1"/>
      <c r="D22" s="37"/>
      <c r="E22" s="38">
        <f>SUM(E18,E21)</f>
        <v>526.94117827803632</v>
      </c>
      <c r="F22" s="39">
        <f t="shared" ref="F22:P22" si="11">SUM(F18,F21)</f>
        <v>648.77223555834769</v>
      </c>
      <c r="G22" s="40">
        <f t="shared" si="11"/>
        <v>838.89091370891231</v>
      </c>
      <c r="H22" s="40">
        <f t="shared" si="11"/>
        <v>645.72940565636122</v>
      </c>
      <c r="I22" s="40">
        <f t="shared" si="11"/>
        <v>538.69942099327341</v>
      </c>
      <c r="J22" s="40">
        <f t="shared" si="11"/>
        <v>996.83341151614309</v>
      </c>
      <c r="K22" s="40">
        <f t="shared" si="11"/>
        <v>772.93698398026459</v>
      </c>
      <c r="L22" s="40">
        <f t="shared" si="11"/>
        <v>855.48093201248389</v>
      </c>
      <c r="M22" s="40">
        <f t="shared" si="11"/>
        <v>855.34752753342354</v>
      </c>
      <c r="N22" s="40">
        <f t="shared" si="11"/>
        <v>836.10608615203489</v>
      </c>
      <c r="O22" s="40">
        <f t="shared" si="11"/>
        <v>969.0246916929882</v>
      </c>
      <c r="P22" s="40">
        <f t="shared" si="11"/>
        <v>1339.5793739390665</v>
      </c>
      <c r="Q22" s="110">
        <f t="shared" si="10"/>
        <v>9824.3421610213354</v>
      </c>
      <c r="S22" s="40">
        <f>SUM(S18,S21)</f>
        <v>526.94117827803632</v>
      </c>
      <c r="T22" s="40">
        <f>SUM(T18,T21)</f>
        <v>0</v>
      </c>
      <c r="U22" s="40">
        <f>SUM(U18,U21)</f>
        <v>0</v>
      </c>
      <c r="V22" s="40">
        <f>SUM(V18,V21)</f>
        <v>526.94117827803632</v>
      </c>
      <c r="X22" s="40">
        <f>SUM(X18,X21)</f>
        <v>526.94117827803632</v>
      </c>
      <c r="Z22" s="40">
        <f>SUM(Z18,Z21)</f>
        <v>2014.6043275452962</v>
      </c>
      <c r="AA22" s="40">
        <f>SUM(AA18,AA21)</f>
        <v>2181.2622381657775</v>
      </c>
      <c r="AB22" s="40">
        <f>SUM(AB18,AB21)</f>
        <v>2483.765443526172</v>
      </c>
      <c r="AC22" s="40">
        <f>SUM(AC18,AC21)</f>
        <v>3144.7101517840892</v>
      </c>
      <c r="AD22" s="40">
        <f>SUM(AD18,AD21)</f>
        <v>9824.3421610213354</v>
      </c>
    </row>
    <row r="23" spans="1:30">
      <c r="A23" s="16"/>
      <c r="B23" s="16"/>
      <c r="C23" s="41" t="s">
        <v>20</v>
      </c>
      <c r="D23" s="42"/>
      <c r="E23" s="18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08">
        <f t="shared" si="10"/>
        <v>0</v>
      </c>
      <c r="S23" s="19"/>
      <c r="T23" s="19"/>
      <c r="U23" s="19"/>
      <c r="V23" s="19"/>
      <c r="X23" s="19"/>
      <c r="Z23" s="19"/>
      <c r="AA23" s="19"/>
      <c r="AB23" s="19"/>
      <c r="AC23" s="19"/>
      <c r="AD23" s="19"/>
    </row>
    <row r="24" spans="1:30">
      <c r="A24" s="20"/>
      <c r="B24" s="30"/>
      <c r="C24" s="43" t="s">
        <v>21</v>
      </c>
      <c r="D24" s="44"/>
      <c r="E24" s="45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111">
        <f t="shared" si="10"/>
        <v>0</v>
      </c>
      <c r="S24" s="46"/>
      <c r="T24" s="46"/>
      <c r="U24" s="46"/>
      <c r="V24" s="46"/>
      <c r="X24" s="46"/>
      <c r="Z24" s="46"/>
      <c r="AA24" s="46"/>
      <c r="AB24" s="46"/>
      <c r="AC24" s="46"/>
      <c r="AD24" s="46"/>
    </row>
    <row r="25" spans="1:30">
      <c r="A25" s="20"/>
      <c r="B25" s="26" t="s">
        <v>22</v>
      </c>
      <c r="C25" s="17"/>
      <c r="D25" s="21"/>
      <c r="E25" s="47">
        <f>[22]Act!D225</f>
        <v>-440.85755869038957</v>
      </c>
      <c r="F25" s="48">
        <f>[22]Act!E225</f>
        <v>-539.65369538426853</v>
      </c>
      <c r="G25" s="49">
        <f>[22]Act!F225</f>
        <v>-732.22379095507574</v>
      </c>
      <c r="H25" s="49">
        <f>[22]Act!G225</f>
        <v>-538.45421144300394</v>
      </c>
      <c r="I25" s="49">
        <f>[22]Act!H225</f>
        <v>-428.30179487885459</v>
      </c>
      <c r="J25" s="49">
        <f>[22]Act!I225</f>
        <v>-797.57154953632676</v>
      </c>
      <c r="K25" s="49">
        <f>[22]Act!J225</f>
        <v>-625.26779357505825</v>
      </c>
      <c r="L25" s="49">
        <f>[22]Act!K225</f>
        <v>-701.49809436330497</v>
      </c>
      <c r="M25" s="49">
        <f>[22]Act!L225</f>
        <v>-632.46252409298393</v>
      </c>
      <c r="N25" s="49">
        <f>[22]Act!M225</f>
        <v>-676.99132868426511</v>
      </c>
      <c r="O25" s="49">
        <f>[22]Act!N225</f>
        <v>-814.01261605990703</v>
      </c>
      <c r="P25" s="49">
        <f>[22]Act!O225</f>
        <v>-1101.6832051644876</v>
      </c>
      <c r="Q25" s="109">
        <f t="shared" si="10"/>
        <v>-8028.9781628279261</v>
      </c>
      <c r="S25" s="49">
        <f>SUMIFS($E25:$P25,$E$3:$P$3,1,$E$5:$P$5,S$5)</f>
        <v>-440.85755869038957</v>
      </c>
      <c r="T25" s="49">
        <f>SUMIFS($E25:$P25,$E$3:$P$3,1,$E$5:$P$5,T$5)</f>
        <v>0</v>
      </c>
      <c r="U25" s="49">
        <f>SUMIFS($E25:$P25,$E$3:$P$3,1,$E$5:$P$5,U$5)</f>
        <v>0</v>
      </c>
      <c r="V25" s="49">
        <f>SUM(S25:U25)</f>
        <v>-440.85755869038957</v>
      </c>
      <c r="X25" s="49">
        <f>SUMIF($E$2:$P$2,1,E25:P25)</f>
        <v>-440.85755869038957</v>
      </c>
      <c r="Z25" s="49">
        <f>SUM(E25:G25)</f>
        <v>-1712.735045029734</v>
      </c>
      <c r="AA25" s="49">
        <f>SUM(H25:J25)</f>
        <v>-1764.3275558581854</v>
      </c>
      <c r="AB25" s="49">
        <f>SUM(K25:M25)</f>
        <v>-1959.228412031347</v>
      </c>
      <c r="AC25" s="49">
        <f>SUM(N25:P25)</f>
        <v>-2592.6871499086601</v>
      </c>
      <c r="AD25" s="49">
        <f>SUM(Z25:AC25)</f>
        <v>-8028.9781628279261</v>
      </c>
    </row>
    <row r="26" spans="1:30">
      <c r="A26" s="50" t="s">
        <v>23</v>
      </c>
      <c r="B26" s="50"/>
      <c r="C26" s="37"/>
      <c r="D26" s="37"/>
      <c r="E26" s="51">
        <f t="shared" ref="E26:P26" si="12">E22+E25</f>
        <v>86.083619587646751</v>
      </c>
      <c r="F26" s="52">
        <f t="shared" si="12"/>
        <v>109.11854017407916</v>
      </c>
      <c r="G26" s="53">
        <f t="shared" si="12"/>
        <v>106.66712275383657</v>
      </c>
      <c r="H26" s="53">
        <f t="shared" si="12"/>
        <v>107.27519421335728</v>
      </c>
      <c r="I26" s="53">
        <f t="shared" si="12"/>
        <v>110.39762611441881</v>
      </c>
      <c r="J26" s="53">
        <f t="shared" si="12"/>
        <v>199.26186197981633</v>
      </c>
      <c r="K26" s="53">
        <f t="shared" si="12"/>
        <v>147.66919040520634</v>
      </c>
      <c r="L26" s="53">
        <f t="shared" si="12"/>
        <v>153.98283764917892</v>
      </c>
      <c r="M26" s="53">
        <f t="shared" si="12"/>
        <v>222.88500344043962</v>
      </c>
      <c r="N26" s="53">
        <f t="shared" si="12"/>
        <v>159.11475746776978</v>
      </c>
      <c r="O26" s="53">
        <f t="shared" si="12"/>
        <v>155.01207563308117</v>
      </c>
      <c r="P26" s="53">
        <f t="shared" si="12"/>
        <v>237.89616877457888</v>
      </c>
      <c r="Q26" s="112">
        <f t="shared" si="10"/>
        <v>1795.3639981934095</v>
      </c>
      <c r="S26" s="40">
        <f>SUM(S22,S25)</f>
        <v>86.083619587646751</v>
      </c>
      <c r="T26" s="40">
        <f>SUM(T22,T25)</f>
        <v>0</v>
      </c>
      <c r="U26" s="40">
        <f>SUM(U22,U25)</f>
        <v>0</v>
      </c>
      <c r="V26" s="40">
        <f>SUM(V22,V25)</f>
        <v>86.083619587646751</v>
      </c>
      <c r="X26" s="53">
        <f>X22+X25</f>
        <v>86.083619587646751</v>
      </c>
      <c r="Z26" s="40">
        <f>SUM(Z22,Z25)</f>
        <v>301.86928251556219</v>
      </c>
      <c r="AA26" s="40">
        <f>SUM(AA22,AA25)</f>
        <v>416.93468230759208</v>
      </c>
      <c r="AB26" s="40">
        <f>SUM(AB22,AB25)</f>
        <v>524.53703149482499</v>
      </c>
      <c r="AC26" s="40">
        <f>SUM(AC22,AC25)</f>
        <v>552.02300187542915</v>
      </c>
      <c r="AD26" s="40">
        <f>SUM(AD22,AD25)</f>
        <v>1795.3639981934093</v>
      </c>
    </row>
    <row r="27" spans="1:30">
      <c r="A27" s="54"/>
      <c r="B27" s="55" t="s">
        <v>24</v>
      </c>
      <c r="C27" s="56"/>
      <c r="D27" s="56"/>
      <c r="E27" s="57">
        <f>E26/E18</f>
        <v>0.14060747945112423</v>
      </c>
      <c r="F27" s="58">
        <f>F26/F18</f>
        <v>0.14434812112952927</v>
      </c>
      <c r="G27" s="59">
        <f>G26/G18</f>
        <v>0.10754776551012454</v>
      </c>
      <c r="H27" s="59">
        <f t="shared" ref="H27:Q27" si="13">H26/H18</f>
        <v>0.14250080439526155</v>
      </c>
      <c r="I27" s="59">
        <f t="shared" si="13"/>
        <v>0.17680323679852522</v>
      </c>
      <c r="J27" s="59">
        <f t="shared" si="13"/>
        <v>0.16978316303684435</v>
      </c>
      <c r="K27" s="59">
        <f t="shared" si="13"/>
        <v>0.16355618339270248</v>
      </c>
      <c r="L27" s="59">
        <f t="shared" si="13"/>
        <v>0.15350096189001691</v>
      </c>
      <c r="M27" s="59">
        <f t="shared" si="13"/>
        <v>0.22198825570030914</v>
      </c>
      <c r="N27" s="59">
        <f t="shared" si="13"/>
        <v>0.16369323872757491</v>
      </c>
      <c r="O27" s="59">
        <f t="shared" si="13"/>
        <v>0.13700135682933898</v>
      </c>
      <c r="P27" s="59">
        <f t="shared" si="13"/>
        <v>0.1515797250674536</v>
      </c>
      <c r="Q27" s="113">
        <f t="shared" si="13"/>
        <v>0.1562028047231652</v>
      </c>
      <c r="S27" s="59">
        <f>S26/S18</f>
        <v>0.14060747945112423</v>
      </c>
      <c r="T27" s="59">
        <f>IFERROR(T26/T18,0)</f>
        <v>0</v>
      </c>
      <c r="U27" s="59">
        <f>IFERROR(U26/U18,0)</f>
        <v>0</v>
      </c>
      <c r="V27" s="59">
        <f>IFERROR(V26/V18,0)</f>
        <v>0.14060747945112423</v>
      </c>
      <c r="X27" s="59">
        <f>X26/X18</f>
        <v>0.14060747945112423</v>
      </c>
      <c r="Z27" s="59">
        <f>Z26/Z18</f>
        <v>0.12791189324570282</v>
      </c>
      <c r="AA27" s="59">
        <f>IFERROR(AA26/AA18,0)</f>
        <v>0.16345000369612764</v>
      </c>
      <c r="AB27" s="59">
        <f>IFERROR(AB26/AB18,0)</f>
        <v>0.18025054506219224</v>
      </c>
      <c r="AC27" s="59">
        <f>IFERROR(AC26/AC18,0)</f>
        <v>0.15029459757714556</v>
      </c>
      <c r="AD27" s="59">
        <f>AD26/AD18</f>
        <v>0.15620280472316517</v>
      </c>
    </row>
    <row r="28" spans="1:30">
      <c r="A28" s="20"/>
      <c r="B28" s="20"/>
      <c r="C28" s="60" t="s">
        <v>25</v>
      </c>
      <c r="D28" s="21"/>
      <c r="E28" s="22">
        <f>[22]Act!D228</f>
        <v>-29.170027381636</v>
      </c>
      <c r="F28" s="23">
        <f>[22]Act!E228</f>
        <v>-21.18745361612903</v>
      </c>
      <c r="G28" s="23">
        <f>[22]Act!F228</f>
        <v>-24.737889650671057</v>
      </c>
      <c r="H28" s="23">
        <f>[22]Act!G228</f>
        <v>-25.384140255491335</v>
      </c>
      <c r="I28" s="23">
        <f>[22]Act!H228</f>
        <v>-21.290418465395721</v>
      </c>
      <c r="J28" s="23">
        <f>[22]Act!I228</f>
        <v>-25.73400774697954</v>
      </c>
      <c r="K28" s="23">
        <f>[22]Act!J228</f>
        <v>-26.7773552091246</v>
      </c>
      <c r="L28" s="23">
        <f>[22]Act!K228</f>
        <v>-29.796384001290015</v>
      </c>
      <c r="M28" s="23">
        <f>[22]Act!L228</f>
        <v>-23.768882705502438</v>
      </c>
      <c r="N28" s="23">
        <f>[22]Act!M228</f>
        <v>-25.128230461665623</v>
      </c>
      <c r="O28" s="23">
        <f>[22]Act!N228</f>
        <v>-25.409152780533987</v>
      </c>
      <c r="P28" s="23">
        <f>[22]Act!O228</f>
        <v>-23.807450519941057</v>
      </c>
      <c r="Q28" s="109">
        <f t="shared" si="10"/>
        <v>-302.19139279436047</v>
      </c>
      <c r="S28" s="23">
        <f t="shared" ref="S28:U33" si="14">SUMIFS($E28:$P28,$E$3:$P$3,1,$E$5:$P$5,S$5)</f>
        <v>-29.170027381636</v>
      </c>
      <c r="T28" s="23">
        <f t="shared" si="14"/>
        <v>0</v>
      </c>
      <c r="U28" s="23">
        <f t="shared" si="14"/>
        <v>0</v>
      </c>
      <c r="V28" s="23">
        <f t="shared" ref="V28:V33" si="15">SUM(S28:U28)</f>
        <v>-29.170027381636</v>
      </c>
      <c r="X28" s="23">
        <f t="shared" ref="X28:X33" si="16">SUMIF($E$2:$P$2,1,E28:P28)</f>
        <v>-29.170027381636</v>
      </c>
      <c r="Z28" s="23">
        <f t="shared" ref="Z28:Z33" si="17">SUM(E28:G28)</f>
        <v>-75.095370648436088</v>
      </c>
      <c r="AA28" s="23">
        <f t="shared" ref="AA28:AA33" si="18">SUM(H28:J28)</f>
        <v>-72.408566467866592</v>
      </c>
      <c r="AB28" s="23">
        <f t="shared" ref="AB28:AB33" si="19">SUM(K28:M28)</f>
        <v>-80.34262191591705</v>
      </c>
      <c r="AC28" s="23">
        <f t="shared" ref="AC28:AC33" si="20">SUM(N28:P28)</f>
        <v>-74.344833762140667</v>
      </c>
      <c r="AD28" s="23">
        <f t="shared" ref="AD28:AD33" si="21">SUM(Z28:AC28)</f>
        <v>-302.19139279436035</v>
      </c>
    </row>
    <row r="29" spans="1:30">
      <c r="A29" s="20"/>
      <c r="B29" s="20"/>
      <c r="C29" s="60" t="s">
        <v>26</v>
      </c>
      <c r="D29" s="21"/>
      <c r="E29" s="22">
        <f>[22]Act!D229</f>
        <v>-5.2709534000000007</v>
      </c>
      <c r="F29" s="23">
        <f>[22]Act!E229</f>
        <v>5.3323574000000002</v>
      </c>
      <c r="G29" s="23">
        <f>[22]Act!F229</f>
        <v>-3.6496299999999995E-2</v>
      </c>
      <c r="H29" s="23">
        <f>[22]Act!G229</f>
        <v>-0.12485880000000001</v>
      </c>
      <c r="I29" s="23">
        <f>[22]Act!H229</f>
        <v>-8.8965800000000497E-2</v>
      </c>
      <c r="J29" s="23">
        <f>[22]Act!I229</f>
        <v>-0.20399856124442503</v>
      </c>
      <c r="K29" s="23">
        <f>[22]Act!J229</f>
        <v>-0.22204693273641005</v>
      </c>
      <c r="L29" s="23">
        <f>[22]Act!K229</f>
        <v>-0.23046503607701493</v>
      </c>
      <c r="M29" s="23">
        <f>[22]Act!L229</f>
        <v>-1.1345248926339591</v>
      </c>
      <c r="N29" s="23">
        <f>[22]Act!M229</f>
        <v>-1.70289030821585</v>
      </c>
      <c r="O29" s="23">
        <f>[22]Act!N229</f>
        <v>-1.7733443304865499</v>
      </c>
      <c r="P29" s="23">
        <f>[22]Act!O229</f>
        <v>-2.0103304391690897</v>
      </c>
      <c r="Q29" s="109">
        <f t="shared" si="10"/>
        <v>-7.4665174005632995</v>
      </c>
      <c r="S29" s="23">
        <f t="shared" si="14"/>
        <v>-5.2709534000000007</v>
      </c>
      <c r="T29" s="23">
        <f t="shared" si="14"/>
        <v>0</v>
      </c>
      <c r="U29" s="23">
        <f t="shared" si="14"/>
        <v>0</v>
      </c>
      <c r="V29" s="23">
        <f t="shared" si="15"/>
        <v>-5.2709534000000007</v>
      </c>
      <c r="X29" s="23">
        <f t="shared" si="16"/>
        <v>-5.2709534000000007</v>
      </c>
      <c r="Z29" s="23">
        <f t="shared" si="17"/>
        <v>2.4907699999999575E-2</v>
      </c>
      <c r="AA29" s="23">
        <f t="shared" si="18"/>
        <v>-0.41782316124442553</v>
      </c>
      <c r="AB29" s="23">
        <f t="shared" si="19"/>
        <v>-1.587036861447384</v>
      </c>
      <c r="AC29" s="23">
        <f t="shared" si="20"/>
        <v>-5.4865650778714894</v>
      </c>
      <c r="AD29" s="23">
        <f t="shared" si="21"/>
        <v>-7.4665174005632995</v>
      </c>
    </row>
    <row r="30" spans="1:30">
      <c r="A30" s="20"/>
      <c r="B30" s="20"/>
      <c r="C30" s="60" t="s">
        <v>27</v>
      </c>
      <c r="D30" s="21"/>
      <c r="E30" s="22">
        <f>[22]Act!D230</f>
        <v>0</v>
      </c>
      <c r="F30" s="23">
        <f>[22]Act!E230</f>
        <v>0</v>
      </c>
      <c r="G30" s="23">
        <f>[22]Act!F230</f>
        <v>0</v>
      </c>
      <c r="H30" s="23">
        <f>[22]Act!G230</f>
        <v>0</v>
      </c>
      <c r="I30" s="23">
        <f>[22]Act!H230</f>
        <v>0</v>
      </c>
      <c r="J30" s="23">
        <f>[22]Act!I230</f>
        <v>0</v>
      </c>
      <c r="K30" s="23">
        <f>[22]Act!J230</f>
        <v>0</v>
      </c>
      <c r="L30" s="23">
        <f>[22]Act!K230</f>
        <v>0</v>
      </c>
      <c r="M30" s="23">
        <f>[22]Act!L230</f>
        <v>0</v>
      </c>
      <c r="N30" s="23">
        <f>[22]Act!M230</f>
        <v>0</v>
      </c>
      <c r="O30" s="23">
        <f>[22]Act!N230</f>
        <v>0</v>
      </c>
      <c r="P30" s="23">
        <f>[22]Act!O230</f>
        <v>0</v>
      </c>
      <c r="Q30" s="109">
        <f t="shared" si="10"/>
        <v>0</v>
      </c>
      <c r="S30" s="23">
        <f t="shared" si="14"/>
        <v>0</v>
      </c>
      <c r="T30" s="23">
        <f t="shared" si="14"/>
        <v>0</v>
      </c>
      <c r="U30" s="23">
        <f t="shared" si="14"/>
        <v>0</v>
      </c>
      <c r="V30" s="23">
        <f t="shared" si="15"/>
        <v>0</v>
      </c>
      <c r="X30" s="23">
        <f t="shared" si="16"/>
        <v>0</v>
      </c>
      <c r="Z30" s="23">
        <f t="shared" si="17"/>
        <v>0</v>
      </c>
      <c r="AA30" s="23">
        <f t="shared" si="18"/>
        <v>0</v>
      </c>
      <c r="AB30" s="23">
        <f t="shared" si="19"/>
        <v>0</v>
      </c>
      <c r="AC30" s="23">
        <f t="shared" si="20"/>
        <v>0</v>
      </c>
      <c r="AD30" s="23">
        <f t="shared" si="21"/>
        <v>0</v>
      </c>
    </row>
    <row r="31" spans="1:30">
      <c r="A31" s="20"/>
      <c r="B31" s="20"/>
      <c r="C31" s="60" t="s">
        <v>28</v>
      </c>
      <c r="D31" s="21"/>
      <c r="E31" s="22">
        <f>[22]Act!D232</f>
        <v>-22.075094200000002</v>
      </c>
      <c r="F31" s="23">
        <f>[22]Act!E232</f>
        <v>-7.3505496000000097</v>
      </c>
      <c r="G31" s="23">
        <f>[22]Act!F232</f>
        <v>-8.5696320999999909</v>
      </c>
      <c r="H31" s="23">
        <f>[22]Act!G232</f>
        <v>-8.6392316999999981</v>
      </c>
      <c r="I31" s="23">
        <f>[22]Act!H232</f>
        <v>-7.4864992000000239</v>
      </c>
      <c r="J31" s="23">
        <f>[22]Act!I232</f>
        <v>-11.50355447467707</v>
      </c>
      <c r="K31" s="23">
        <f>[22]Act!J232</f>
        <v>-8.9493338648555731</v>
      </c>
      <c r="L31" s="23">
        <f>[22]Act!K232</f>
        <v>-9.0458944333870317</v>
      </c>
      <c r="M31" s="23">
        <f>[22]Act!L232</f>
        <v>-10.728191392250491</v>
      </c>
      <c r="N31" s="23">
        <f>[22]Act!M232</f>
        <v>-9.171214139945004</v>
      </c>
      <c r="O31" s="23">
        <f>[22]Act!N232</f>
        <v>-9.7134592213744906</v>
      </c>
      <c r="P31" s="23">
        <f>[22]Act!O232</f>
        <v>-10.992718997364223</v>
      </c>
      <c r="Q31" s="109">
        <f t="shared" si="10"/>
        <v>-124.22537332385392</v>
      </c>
      <c r="S31" s="23">
        <f t="shared" si="14"/>
        <v>-22.075094200000002</v>
      </c>
      <c r="T31" s="23">
        <f t="shared" si="14"/>
        <v>0</v>
      </c>
      <c r="U31" s="23">
        <f t="shared" si="14"/>
        <v>0</v>
      </c>
      <c r="V31" s="23">
        <f t="shared" si="15"/>
        <v>-22.075094200000002</v>
      </c>
      <c r="X31" s="23">
        <f t="shared" si="16"/>
        <v>-22.075094200000002</v>
      </c>
      <c r="Z31" s="23">
        <f t="shared" si="17"/>
        <v>-37.995275900000003</v>
      </c>
      <c r="AA31" s="23">
        <f t="shared" si="18"/>
        <v>-27.629285374677092</v>
      </c>
      <c r="AB31" s="23">
        <f t="shared" si="19"/>
        <v>-28.723419690493095</v>
      </c>
      <c r="AC31" s="23">
        <f t="shared" si="20"/>
        <v>-29.877392358683714</v>
      </c>
      <c r="AD31" s="23">
        <f t="shared" si="21"/>
        <v>-124.22537332385392</v>
      </c>
    </row>
    <row r="32" spans="1:30">
      <c r="A32" s="20"/>
      <c r="B32" s="20"/>
      <c r="C32" s="60" t="s">
        <v>29</v>
      </c>
      <c r="D32" s="21"/>
      <c r="E32" s="61">
        <f>[22]Act!D233</f>
        <v>0</v>
      </c>
      <c r="F32" s="62">
        <f>[22]Act!E233</f>
        <v>0</v>
      </c>
      <c r="G32" s="62">
        <f>[22]Act!F233</f>
        <v>0</v>
      </c>
      <c r="H32" s="62">
        <f>[22]Act!G233</f>
        <v>0</v>
      </c>
      <c r="I32" s="62">
        <f>[22]Act!H233</f>
        <v>0</v>
      </c>
      <c r="J32" s="62">
        <f>[22]Act!I233</f>
        <v>0</v>
      </c>
      <c r="K32" s="62">
        <f>[22]Act!J233</f>
        <v>0</v>
      </c>
      <c r="L32" s="62">
        <f>[22]Act!K233</f>
        <v>0</v>
      </c>
      <c r="M32" s="62">
        <f>[22]Act!L233</f>
        <v>0</v>
      </c>
      <c r="N32" s="62">
        <f>[22]Act!M233</f>
        <v>0</v>
      </c>
      <c r="O32" s="62">
        <f>[22]Act!N233</f>
        <v>0</v>
      </c>
      <c r="P32" s="62">
        <f>[22]Act!O233</f>
        <v>0</v>
      </c>
      <c r="Q32" s="62">
        <f t="shared" si="10"/>
        <v>0</v>
      </c>
      <c r="S32" s="62">
        <f t="shared" si="14"/>
        <v>0</v>
      </c>
      <c r="T32" s="62">
        <f t="shared" si="14"/>
        <v>0</v>
      </c>
      <c r="U32" s="62">
        <f t="shared" si="14"/>
        <v>0</v>
      </c>
      <c r="V32" s="62">
        <f t="shared" si="15"/>
        <v>0</v>
      </c>
      <c r="X32" s="62">
        <f t="shared" si="16"/>
        <v>0</v>
      </c>
      <c r="Z32" s="62">
        <f t="shared" si="17"/>
        <v>0</v>
      </c>
      <c r="AA32" s="62">
        <f t="shared" si="18"/>
        <v>0</v>
      </c>
      <c r="AB32" s="62">
        <f t="shared" si="19"/>
        <v>0</v>
      </c>
      <c r="AC32" s="62">
        <f t="shared" si="20"/>
        <v>0</v>
      </c>
      <c r="AD32" s="62">
        <f t="shared" si="21"/>
        <v>0</v>
      </c>
    </row>
    <row r="33" spans="1:30">
      <c r="A33" s="20"/>
      <c r="B33" s="30"/>
      <c r="C33" s="63" t="s">
        <v>30</v>
      </c>
      <c r="D33" s="31"/>
      <c r="E33" s="45">
        <f>[22]Act!D234</f>
        <v>-10.598455638364001</v>
      </c>
      <c r="F33" s="46">
        <f>[22]Act!E234</f>
        <v>-7.2973572198709657</v>
      </c>
      <c r="G33" s="46">
        <f>[22]Act!F234</f>
        <v>-8.2733199583289405</v>
      </c>
      <c r="H33" s="46">
        <f>[22]Act!G234</f>
        <v>-8.8285599855086669</v>
      </c>
      <c r="I33" s="46">
        <f>[22]Act!H234</f>
        <v>-8.1039181756042815</v>
      </c>
      <c r="J33" s="46">
        <f>[22]Act!I234</f>
        <v>-12.391783867794913</v>
      </c>
      <c r="K33" s="46">
        <f>[22]Act!J234</f>
        <v>-14.571097513551933</v>
      </c>
      <c r="L33" s="46">
        <f>[22]Act!K234</f>
        <v>-19.960888238569801</v>
      </c>
      <c r="M33" s="46">
        <f>[22]Act!L234</f>
        <v>-12.828271380490177</v>
      </c>
      <c r="N33" s="46">
        <f>[22]Act!M234</f>
        <v>-12.931243323021524</v>
      </c>
      <c r="O33" s="46">
        <f>[22]Act!N234</f>
        <v>-14.859925576946152</v>
      </c>
      <c r="P33" s="46">
        <f>[22]Act!O234</f>
        <v>-13.748131080340828</v>
      </c>
      <c r="Q33" s="111">
        <f t="shared" si="10"/>
        <v>-144.39295195839219</v>
      </c>
      <c r="S33" s="46">
        <f t="shared" si="14"/>
        <v>-10.598455638364001</v>
      </c>
      <c r="T33" s="46">
        <f t="shared" si="14"/>
        <v>0</v>
      </c>
      <c r="U33" s="46">
        <f t="shared" si="14"/>
        <v>0</v>
      </c>
      <c r="V33" s="46">
        <f t="shared" si="15"/>
        <v>-10.598455638364001</v>
      </c>
      <c r="X33" s="46">
        <f t="shared" si="16"/>
        <v>-10.598455638364001</v>
      </c>
      <c r="Z33" s="46">
        <f t="shared" si="17"/>
        <v>-26.169132816563909</v>
      </c>
      <c r="AA33" s="46">
        <f t="shared" si="18"/>
        <v>-29.32426202890786</v>
      </c>
      <c r="AB33" s="46">
        <f t="shared" si="19"/>
        <v>-47.360257132611913</v>
      </c>
      <c r="AC33" s="46">
        <f t="shared" si="20"/>
        <v>-41.539299980308506</v>
      </c>
      <c r="AD33" s="46">
        <f t="shared" si="21"/>
        <v>-144.39295195839219</v>
      </c>
    </row>
    <row r="34" spans="1:30">
      <c r="A34" s="30"/>
      <c r="B34" s="31" t="s">
        <v>31</v>
      </c>
      <c r="C34" s="21"/>
      <c r="D34" s="21"/>
      <c r="E34" s="64">
        <f>SUM(E28:E30,E31:E33)</f>
        <v>-67.114530620000011</v>
      </c>
      <c r="F34" s="65">
        <f t="shared" ref="F34:P34" si="22">SUM(F28:F30,F31:F33)</f>
        <v>-30.50300303600001</v>
      </c>
      <c r="G34" s="66">
        <f t="shared" si="22"/>
        <v>-41.617338008999987</v>
      </c>
      <c r="H34" s="66">
        <f t="shared" si="22"/>
        <v>-42.976790741000002</v>
      </c>
      <c r="I34" s="66">
        <f t="shared" si="22"/>
        <v>-36.969801641000032</v>
      </c>
      <c r="J34" s="66">
        <f t="shared" si="22"/>
        <v>-49.833344650695949</v>
      </c>
      <c r="K34" s="66">
        <f t="shared" si="22"/>
        <v>-50.51983352026852</v>
      </c>
      <c r="L34" s="66">
        <f t="shared" si="22"/>
        <v>-59.033631709323863</v>
      </c>
      <c r="M34" s="66">
        <f t="shared" si="22"/>
        <v>-48.45987037087707</v>
      </c>
      <c r="N34" s="66">
        <f t="shared" si="22"/>
        <v>-48.933578232847999</v>
      </c>
      <c r="O34" s="66">
        <f t="shared" si="22"/>
        <v>-51.755881909341184</v>
      </c>
      <c r="P34" s="66">
        <f t="shared" si="22"/>
        <v>-50.558631036815193</v>
      </c>
      <c r="Q34" s="114">
        <f t="shared" si="10"/>
        <v>-578.27623547716985</v>
      </c>
      <c r="S34" s="66">
        <f>SUM(S28:S30,S31:S33)</f>
        <v>-67.114530620000011</v>
      </c>
      <c r="T34" s="66">
        <f>SUM(T28:T30,T31:T33)</f>
        <v>0</v>
      </c>
      <c r="U34" s="66">
        <f>SUM(U28:U30,U31:U33)</f>
        <v>0</v>
      </c>
      <c r="V34" s="66">
        <f>SUM(V28:V30,V31:V33)</f>
        <v>-67.114530620000011</v>
      </c>
      <c r="X34" s="66">
        <f>SUM(X28:X30,X31:X33)</f>
        <v>-67.114530620000011</v>
      </c>
      <c r="Z34" s="66">
        <f>SUM(Z28:Z30,Z31:Z33)</f>
        <v>-139.23487166500001</v>
      </c>
      <c r="AA34" s="66">
        <f>SUM(AA28:AA30,AA31:AA33)</f>
        <v>-129.77993703269598</v>
      </c>
      <c r="AB34" s="66">
        <f>SUM(AB28:AB30,AB31:AB33)</f>
        <v>-158.01333560046945</v>
      </c>
      <c r="AC34" s="66">
        <f>SUM(AC28:AC30,AC31:AC33)</f>
        <v>-151.24809117900438</v>
      </c>
      <c r="AD34" s="66">
        <f>SUM(AD28:AD30,AD31:AD33)</f>
        <v>-578.27623547716985</v>
      </c>
    </row>
    <row r="35" spans="1:30">
      <c r="A35" s="20"/>
      <c r="B35" s="20"/>
      <c r="C35" s="67" t="s">
        <v>32</v>
      </c>
      <c r="D35" s="17"/>
      <c r="E35" s="18">
        <f>[22]Act!D236</f>
        <v>-21.268724286000001</v>
      </c>
      <c r="F35" s="19">
        <f>[22]Act!E236</f>
        <v>-29.590592390000001</v>
      </c>
      <c r="G35" s="19">
        <f>[22]Act!F236</f>
        <v>-30.952623228649806</v>
      </c>
      <c r="H35" s="19">
        <f>[22]Act!G236</f>
        <v>-26.437131634000004</v>
      </c>
      <c r="I35" s="19">
        <f>[22]Act!H236</f>
        <v>-21.682589371999999</v>
      </c>
      <c r="J35" s="19">
        <f>[22]Act!I236</f>
        <v>-32.61818498150582</v>
      </c>
      <c r="K35" s="19">
        <f>[22]Act!J236</f>
        <v>-34.712828052307216</v>
      </c>
      <c r="L35" s="19">
        <f>[22]Act!K236</f>
        <v>-30.912647315636583</v>
      </c>
      <c r="M35" s="19">
        <f>[22]Act!L236</f>
        <v>-19.312322111462013</v>
      </c>
      <c r="N35" s="19">
        <f>[22]Act!M236</f>
        <v>-26.743406856941725</v>
      </c>
      <c r="O35" s="19">
        <f>[22]Act!N236</f>
        <v>-26.007837216757952</v>
      </c>
      <c r="P35" s="19">
        <f>[22]Act!O236</f>
        <v>-12.857628522168774</v>
      </c>
      <c r="Q35" s="108">
        <f t="shared" si="10"/>
        <v>-313.09651596742987</v>
      </c>
      <c r="S35" s="19">
        <f t="shared" ref="S35:U37" si="23">SUMIFS($E35:$P35,$E$3:$P$3,1,$E$5:$P$5,S$5)</f>
        <v>-21.268724286000001</v>
      </c>
      <c r="T35" s="19">
        <f t="shared" si="23"/>
        <v>0</v>
      </c>
      <c r="U35" s="19">
        <f t="shared" si="23"/>
        <v>0</v>
      </c>
      <c r="V35" s="19">
        <f>SUM(S35:U35)</f>
        <v>-21.268724286000001</v>
      </c>
      <c r="X35" s="19">
        <f>SUMIF($E$2:$P$2,1,E35:P35)</f>
        <v>-21.268724286000001</v>
      </c>
      <c r="Z35" s="19">
        <f>SUM(E35:G35)</f>
        <v>-81.811939904649819</v>
      </c>
      <c r="AA35" s="19">
        <f>SUM(H35:J35)</f>
        <v>-80.737905987505826</v>
      </c>
      <c r="AB35" s="19">
        <f>SUM(K35:M35)</f>
        <v>-84.937797479405816</v>
      </c>
      <c r="AC35" s="19">
        <f>SUM(N35:P35)</f>
        <v>-65.608872595868462</v>
      </c>
      <c r="AD35" s="19">
        <f>SUM(Z35:AC35)</f>
        <v>-313.09651596742992</v>
      </c>
    </row>
    <row r="36" spans="1:30">
      <c r="A36" s="20"/>
      <c r="B36" s="20"/>
      <c r="C36" s="462" t="s">
        <v>300</v>
      </c>
      <c r="D36" s="21"/>
      <c r="E36" s="22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109">
        <f t="shared" si="10"/>
        <v>0</v>
      </c>
      <c r="S36" s="23">
        <f t="shared" si="23"/>
        <v>0</v>
      </c>
      <c r="T36" s="23">
        <f t="shared" si="23"/>
        <v>0</v>
      </c>
      <c r="U36" s="23">
        <f t="shared" si="23"/>
        <v>0</v>
      </c>
      <c r="V36" s="23">
        <f>SUM(S36:U36)</f>
        <v>0</v>
      </c>
      <c r="X36" s="23">
        <f>SUMIF($E$2:$P$2,1,E36:P36)</f>
        <v>0</v>
      </c>
      <c r="Z36" s="23">
        <f>SUM(E36:G36)</f>
        <v>0</v>
      </c>
      <c r="AA36" s="23">
        <f>SUM(H36:J36)</f>
        <v>0</v>
      </c>
      <c r="AB36" s="23">
        <f>SUM(K36:M36)</f>
        <v>0</v>
      </c>
      <c r="AC36" s="23">
        <f>SUM(N36:P36)</f>
        <v>0</v>
      </c>
      <c r="AD36" s="23">
        <f>SUM(Z36:AC36)</f>
        <v>0</v>
      </c>
    </row>
    <row r="37" spans="1:30">
      <c r="A37" s="20"/>
      <c r="B37" s="30"/>
      <c r="C37" s="463" t="s">
        <v>299</v>
      </c>
      <c r="D37" s="31"/>
      <c r="E37" s="45">
        <f>SUM(E58:E59)</f>
        <v>-4.9093125139999998</v>
      </c>
      <c r="F37" s="46">
        <f t="shared" ref="F37:P37" si="24">SUM(F58:F59)</f>
        <v>-3.2674163100000051</v>
      </c>
      <c r="G37" s="46">
        <f t="shared" si="24"/>
        <v>-9.4938384713501947</v>
      </c>
      <c r="H37" s="46">
        <f t="shared" si="24"/>
        <v>-5.2961899659999929</v>
      </c>
      <c r="I37" s="46">
        <f t="shared" si="24"/>
        <v>-4.6916916279999974</v>
      </c>
      <c r="J37" s="46">
        <f t="shared" si="24"/>
        <v>-11.907978938494153</v>
      </c>
      <c r="K37" s="46">
        <f t="shared" si="24"/>
        <v>-8.0787279896928936</v>
      </c>
      <c r="L37" s="46">
        <f t="shared" si="24"/>
        <v>-6.7105509413635147</v>
      </c>
      <c r="M37" s="46">
        <f t="shared" si="24"/>
        <v>-9.4532632015380784</v>
      </c>
      <c r="N37" s="46">
        <f t="shared" si="24"/>
        <v>-6.6758651050582003</v>
      </c>
      <c r="O37" s="46">
        <f t="shared" si="24"/>
        <v>-6.2196740392420473</v>
      </c>
      <c r="P37" s="46">
        <f t="shared" si="24"/>
        <v>-9.8378918258312744</v>
      </c>
      <c r="Q37" s="111">
        <f t="shared" si="10"/>
        <v>-86.542400930570366</v>
      </c>
      <c r="S37" s="46">
        <f t="shared" si="23"/>
        <v>-4.9093125139999998</v>
      </c>
      <c r="T37" s="46">
        <f t="shared" si="23"/>
        <v>0</v>
      </c>
      <c r="U37" s="46">
        <f t="shared" si="23"/>
        <v>0</v>
      </c>
      <c r="V37" s="46">
        <f>SUM(S37:U37)</f>
        <v>-4.9093125139999998</v>
      </c>
      <c r="X37" s="46">
        <f>SUMIF($E$2:$P$2,1,E37:P37)</f>
        <v>-4.9093125139999998</v>
      </c>
      <c r="Z37" s="46">
        <f>SUM(E37:G37)</f>
        <v>-17.6705672953502</v>
      </c>
      <c r="AA37" s="46">
        <f>SUM(H37:J37)</f>
        <v>-21.895860532494144</v>
      </c>
      <c r="AB37" s="46">
        <f>SUM(K37:M37)</f>
        <v>-24.242542132594487</v>
      </c>
      <c r="AC37" s="46">
        <f>SUM(N37:P37)</f>
        <v>-22.733430970131522</v>
      </c>
      <c r="AD37" s="46">
        <f>SUM(Z37:AC37)</f>
        <v>-86.542400930570352</v>
      </c>
    </row>
    <row r="38" spans="1:30">
      <c r="A38" s="30"/>
      <c r="B38" s="31" t="s">
        <v>34</v>
      </c>
      <c r="C38" s="21"/>
      <c r="D38" s="21"/>
      <c r="E38" s="68">
        <f t="shared" ref="E38:P38" si="25">SUM(E35:E37)</f>
        <v>-26.178036800000001</v>
      </c>
      <c r="F38" s="69">
        <f t="shared" si="25"/>
        <v>-32.858008700000006</v>
      </c>
      <c r="G38" s="70">
        <f t="shared" si="25"/>
        <v>-40.4464617</v>
      </c>
      <c r="H38" s="70">
        <f t="shared" si="25"/>
        <v>-31.733321599999996</v>
      </c>
      <c r="I38" s="70">
        <f t="shared" si="25"/>
        <v>-26.374280999999996</v>
      </c>
      <c r="J38" s="70">
        <f t="shared" si="25"/>
        <v>-44.526163919999973</v>
      </c>
      <c r="K38" s="70">
        <f t="shared" si="25"/>
        <v>-42.79155604200011</v>
      </c>
      <c r="L38" s="70">
        <f t="shared" si="25"/>
        <v>-37.623198257000098</v>
      </c>
      <c r="M38" s="70">
        <f t="shared" si="25"/>
        <v>-28.765585313000091</v>
      </c>
      <c r="N38" s="70">
        <f t="shared" si="25"/>
        <v>-33.419271961999925</v>
      </c>
      <c r="O38" s="70">
        <f t="shared" si="25"/>
        <v>-32.227511256</v>
      </c>
      <c r="P38" s="70">
        <f t="shared" si="25"/>
        <v>-22.695520348000048</v>
      </c>
      <c r="Q38" s="114">
        <f t="shared" si="10"/>
        <v>-399.63891689800028</v>
      </c>
      <c r="S38" s="70">
        <f>SUM(S35:S37)</f>
        <v>-26.178036800000001</v>
      </c>
      <c r="T38" s="70">
        <f>SUM(T35:T37)</f>
        <v>0</v>
      </c>
      <c r="U38" s="70">
        <f>SUM(U35:U37)</f>
        <v>0</v>
      </c>
      <c r="V38" s="70">
        <f>SUM(V35:V37)</f>
        <v>-26.178036800000001</v>
      </c>
      <c r="X38" s="70">
        <f>SUM(X35:X37)</f>
        <v>-26.178036800000001</v>
      </c>
      <c r="Z38" s="70">
        <f>SUM(Z35:Z37)</f>
        <v>-99.482507200000015</v>
      </c>
      <c r="AA38" s="70">
        <f>SUM(AA35:AA37)</f>
        <v>-102.63376651999997</v>
      </c>
      <c r="AB38" s="70">
        <f>SUM(AB35:AB37)</f>
        <v>-109.1803396120003</v>
      </c>
      <c r="AC38" s="70">
        <f>SUM(AC35:AC37)</f>
        <v>-88.342303565999984</v>
      </c>
      <c r="AD38" s="70">
        <f>SUM(AD35:AD37)</f>
        <v>-399.63891689800028</v>
      </c>
    </row>
    <row r="39" spans="1:30">
      <c r="A39" s="71"/>
      <c r="B39" s="72"/>
      <c r="C39" s="73" t="s">
        <v>35</v>
      </c>
      <c r="D39" s="17"/>
      <c r="E39" s="61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115">
        <f t="shared" si="10"/>
        <v>0</v>
      </c>
      <c r="S39" s="62"/>
      <c r="T39" s="62"/>
      <c r="U39" s="62"/>
      <c r="V39" s="62"/>
      <c r="X39" s="62"/>
      <c r="Z39" s="62"/>
      <c r="AA39" s="62"/>
      <c r="AB39" s="62"/>
      <c r="AC39" s="62"/>
      <c r="AD39" s="62"/>
    </row>
    <row r="40" spans="1:30">
      <c r="A40" s="74"/>
      <c r="B40" s="71"/>
      <c r="C40" s="75" t="s">
        <v>36</v>
      </c>
      <c r="D40" s="21"/>
      <c r="E40" s="22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109">
        <f t="shared" si="10"/>
        <v>0</v>
      </c>
      <c r="S40" s="23"/>
      <c r="T40" s="23"/>
      <c r="U40" s="23"/>
      <c r="V40" s="23"/>
      <c r="X40" s="23"/>
      <c r="Z40" s="23"/>
      <c r="AA40" s="23"/>
      <c r="AB40" s="23"/>
      <c r="AC40" s="23"/>
      <c r="AD40" s="23"/>
    </row>
    <row r="41" spans="1:30">
      <c r="A41" s="74"/>
      <c r="B41" s="71"/>
      <c r="C41" s="60" t="s">
        <v>37</v>
      </c>
      <c r="D41" s="21"/>
      <c r="E41" s="22">
        <f>[22]Act!D240</f>
        <v>-37.389420916999995</v>
      </c>
      <c r="F41" s="23">
        <f>[22]Act!E240</f>
        <v>-29.881607848000002</v>
      </c>
      <c r="G41" s="23">
        <f>[22]Act!F240</f>
        <v>-39.768504309000001</v>
      </c>
      <c r="H41" s="23">
        <f>[22]Act!G240</f>
        <v>-35.318561353</v>
      </c>
      <c r="I41" s="23">
        <f>[22]Act!H240</f>
        <v>-31.778330893000003</v>
      </c>
      <c r="J41" s="23">
        <f>[22]Act!I240</f>
        <v>-29.066978169999999</v>
      </c>
      <c r="K41" s="23">
        <f>[22]Act!J240</f>
        <v>-30.482307319</v>
      </c>
      <c r="L41" s="23">
        <f>[22]Act!K240</f>
        <v>-30.078009203000001</v>
      </c>
      <c r="M41" s="23">
        <f>[22]Act!L240</f>
        <v>-29.096600758999998</v>
      </c>
      <c r="N41" s="23">
        <f>[22]Act!M240</f>
        <v>-28.667374469000006</v>
      </c>
      <c r="O41" s="23">
        <f>[22]Act!N240</f>
        <v>-27.967542151000004</v>
      </c>
      <c r="P41" s="23">
        <f>[22]Act!O240</f>
        <v>-30.023016151999997</v>
      </c>
      <c r="Q41" s="109">
        <f t="shared" si="10"/>
        <v>-379.51825354300001</v>
      </c>
      <c r="S41" s="23">
        <f>SUMIFS($E41:$P41,$E$3:$P$3,1,$E$5:$P$5,S$5)</f>
        <v>-37.389420916999995</v>
      </c>
      <c r="T41" s="23">
        <f>SUMIFS($E41:$P41,$E$3:$P$3,1,$E$5:$P$5,T$5)</f>
        <v>0</v>
      </c>
      <c r="U41" s="23">
        <f>SUMIFS($E41:$P41,$E$3:$P$3,1,$E$5:$P$5,U$5)</f>
        <v>0</v>
      </c>
      <c r="V41" s="23">
        <f>SUM(S41:U41)</f>
        <v>-37.389420916999995</v>
      </c>
      <c r="X41" s="23">
        <f>SUMIF($E$2:$P$2,1,E41:P41)</f>
        <v>-37.389420916999995</v>
      </c>
      <c r="Z41" s="23">
        <f>SUM(E41:G41)</f>
        <v>-107.03953307399999</v>
      </c>
      <c r="AA41" s="23">
        <f>SUM(H41:J41)</f>
        <v>-96.163870416000009</v>
      </c>
      <c r="AB41" s="23">
        <f>SUM(K41:M41)</f>
        <v>-89.656917281000005</v>
      </c>
      <c r="AC41" s="23">
        <f>SUM(N41:P41)</f>
        <v>-86.657932772000009</v>
      </c>
      <c r="AD41" s="23">
        <f>SUM(Z41:AC41)</f>
        <v>-379.51825354300001</v>
      </c>
    </row>
    <row r="42" spans="1:30">
      <c r="A42" s="74"/>
      <c r="B42" s="71"/>
      <c r="C42" s="76" t="s">
        <v>38</v>
      </c>
      <c r="D42" s="21"/>
      <c r="E42" s="22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109">
        <f t="shared" si="10"/>
        <v>0</v>
      </c>
      <c r="S42" s="23"/>
      <c r="T42" s="23"/>
      <c r="U42" s="23"/>
      <c r="V42" s="23"/>
      <c r="X42" s="23"/>
      <c r="Z42" s="23"/>
      <c r="AA42" s="23"/>
      <c r="AB42" s="23"/>
      <c r="AC42" s="23"/>
      <c r="AD42" s="23"/>
    </row>
    <row r="43" spans="1:30">
      <c r="A43" s="74"/>
      <c r="B43" s="71"/>
      <c r="C43" s="60" t="s">
        <v>39</v>
      </c>
      <c r="D43" s="21"/>
      <c r="E43" s="22">
        <f>[22]Act!D241</f>
        <v>2.2106839143448709</v>
      </c>
      <c r="F43" s="23">
        <f>[22]Act!E241</f>
        <v>2.0894766685329129</v>
      </c>
      <c r="G43" s="23">
        <f>[22]Act!F241</f>
        <v>2.2799490982448782</v>
      </c>
      <c r="H43" s="23">
        <f>[22]Act!G241</f>
        <v>2.4858819092374485</v>
      </c>
      <c r="I43" s="23">
        <f>[22]Act!H241</f>
        <v>2.0734510037522829</v>
      </c>
      <c r="J43" s="23">
        <f>[22]Act!I241</f>
        <v>2.1680656087764358</v>
      </c>
      <c r="K43" s="23">
        <f>[22]Act!J241</f>
        <v>2.1680656078855147</v>
      </c>
      <c r="L43" s="23">
        <f>[22]Act!K241</f>
        <v>2.1680656071918509</v>
      </c>
      <c r="M43" s="23">
        <f>[22]Act!L241</f>
        <v>2.1680656114166741</v>
      </c>
      <c r="N43" s="23">
        <f>[22]Act!M241</f>
        <v>2.168065602974421</v>
      </c>
      <c r="O43" s="23">
        <f>[22]Act!N241</f>
        <v>2.1680656111712704</v>
      </c>
      <c r="P43" s="23">
        <f>[22]Act!O241</f>
        <v>-5.5393740803733076</v>
      </c>
      <c r="Q43" s="109">
        <f t="shared" si="10"/>
        <v>18.608462163155252</v>
      </c>
      <c r="S43" s="23">
        <f>SUMIFS($E43:$P43,$E$3:$P$3,1,$E$5:$P$5,S$5)</f>
        <v>2.2106839143448709</v>
      </c>
      <c r="T43" s="23">
        <f>SUMIFS($E43:$P43,$E$3:$P$3,1,$E$5:$P$5,T$5)</f>
        <v>0</v>
      </c>
      <c r="U43" s="23">
        <f>SUMIFS($E43:$P43,$E$3:$P$3,1,$E$5:$P$5,U$5)</f>
        <v>0</v>
      </c>
      <c r="V43" s="23">
        <f>SUM(S43:U43)</f>
        <v>2.2106839143448709</v>
      </c>
      <c r="X43" s="23">
        <f>SUMIF($E$2:$P$2,1,E43:P43)</f>
        <v>2.2106839143448709</v>
      </c>
      <c r="Z43" s="23">
        <f>SUM(E43:G43)</f>
        <v>6.5801096811226616</v>
      </c>
      <c r="AA43" s="23">
        <f>SUM(H43:J43)</f>
        <v>6.7273985217661671</v>
      </c>
      <c r="AB43" s="23">
        <f>SUM(K43:M43)</f>
        <v>6.5041968264940397</v>
      </c>
      <c r="AC43" s="23">
        <f>SUM(N43:P43)</f>
        <v>-1.2032428662276162</v>
      </c>
      <c r="AD43" s="23">
        <f>SUM(Z43:AC43)</f>
        <v>18.608462163155256</v>
      </c>
    </row>
    <row r="44" spans="1:30">
      <c r="A44" s="77"/>
      <c r="B44" s="17" t="s">
        <v>40</v>
      </c>
      <c r="C44" s="17"/>
      <c r="D44" s="17"/>
      <c r="E44" s="38">
        <f t="shared" ref="E44:P44" si="26">SUM(E39:E43)</f>
        <v>-35.178737002655126</v>
      </c>
      <c r="F44" s="39">
        <f t="shared" si="26"/>
        <v>-27.792131179467088</v>
      </c>
      <c r="G44" s="40">
        <f t="shared" si="26"/>
        <v>-37.488555210755123</v>
      </c>
      <c r="H44" s="40">
        <f t="shared" si="26"/>
        <v>-32.832679443762551</v>
      </c>
      <c r="I44" s="40">
        <f t="shared" si="26"/>
        <v>-29.704879889247721</v>
      </c>
      <c r="J44" s="40">
        <f t="shared" si="26"/>
        <v>-26.898912561223561</v>
      </c>
      <c r="K44" s="40">
        <f t="shared" si="26"/>
        <v>-28.314241711114484</v>
      </c>
      <c r="L44" s="40">
        <f t="shared" si="26"/>
        <v>-27.909943595808151</v>
      </c>
      <c r="M44" s="40">
        <f t="shared" si="26"/>
        <v>-26.928535147583325</v>
      </c>
      <c r="N44" s="40">
        <f t="shared" si="26"/>
        <v>-26.499308866025586</v>
      </c>
      <c r="O44" s="40">
        <f t="shared" si="26"/>
        <v>-25.799476539828731</v>
      </c>
      <c r="P44" s="40">
        <f t="shared" si="26"/>
        <v>-35.562390232373303</v>
      </c>
      <c r="Q44" s="110">
        <f t="shared" si="10"/>
        <v>-360.90979137984471</v>
      </c>
      <c r="S44" s="40">
        <f>SUM(S39:S43)</f>
        <v>-35.178737002655126</v>
      </c>
      <c r="T44" s="40">
        <f>SUM(T39:T43)</f>
        <v>0</v>
      </c>
      <c r="U44" s="40">
        <f>SUM(U39:U43)</f>
        <v>0</v>
      </c>
      <c r="V44" s="40">
        <f>SUM(V39:V43)</f>
        <v>-35.178737002655126</v>
      </c>
      <c r="X44" s="40">
        <f>SUM(X39:X43)</f>
        <v>-35.178737002655126</v>
      </c>
      <c r="Z44" s="40">
        <f>SUM(Z39:Z43)</f>
        <v>-100.45942339287733</v>
      </c>
      <c r="AA44" s="40">
        <f>SUM(AA39:AA43)</f>
        <v>-89.436471894233847</v>
      </c>
      <c r="AB44" s="40">
        <f>SUM(AB39:AB43)</f>
        <v>-83.152720454505967</v>
      </c>
      <c r="AC44" s="40">
        <f>SUM(AC39:AC43)</f>
        <v>-87.861175638227621</v>
      </c>
      <c r="AD44" s="40">
        <f>SUM(AD39:AD43)</f>
        <v>-360.90979137984476</v>
      </c>
    </row>
    <row r="45" spans="1:30">
      <c r="A45" s="78" t="s">
        <v>41</v>
      </c>
      <c r="B45" s="73"/>
      <c r="C45" s="73"/>
      <c r="D45" s="73"/>
      <c r="E45" s="51">
        <f t="shared" ref="E45:P45" si="27">SUM(E44,E38,E34)</f>
        <v>-128.47130442265512</v>
      </c>
      <c r="F45" s="52">
        <f t="shared" si="27"/>
        <v>-91.1531429154671</v>
      </c>
      <c r="G45" s="53">
        <f t="shared" si="27"/>
        <v>-119.55235491975512</v>
      </c>
      <c r="H45" s="53">
        <f t="shared" si="27"/>
        <v>-107.54279178476256</v>
      </c>
      <c r="I45" s="53">
        <f t="shared" si="27"/>
        <v>-93.048962530247749</v>
      </c>
      <c r="J45" s="53">
        <f t="shared" si="27"/>
        <v>-121.25842113191948</v>
      </c>
      <c r="K45" s="53">
        <f t="shared" si="27"/>
        <v>-121.62563127338311</v>
      </c>
      <c r="L45" s="53">
        <f t="shared" si="27"/>
        <v>-124.56677356213211</v>
      </c>
      <c r="M45" s="53">
        <f t="shared" si="27"/>
        <v>-104.15399083146049</v>
      </c>
      <c r="N45" s="53">
        <f t="shared" si="27"/>
        <v>-108.8521590608735</v>
      </c>
      <c r="O45" s="53">
        <f t="shared" si="27"/>
        <v>-109.78286970516992</v>
      </c>
      <c r="P45" s="53">
        <f t="shared" si="27"/>
        <v>-108.81654161718853</v>
      </c>
      <c r="Q45" s="112">
        <f t="shared" si="10"/>
        <v>-1338.8249437550148</v>
      </c>
      <c r="S45" s="53">
        <f>SUM(S44,S38,S34)</f>
        <v>-128.47130442265512</v>
      </c>
      <c r="T45" s="53">
        <f>SUM(T44,T38,T34)</f>
        <v>0</v>
      </c>
      <c r="U45" s="53">
        <f>SUM(U44,U38,U34)</f>
        <v>0</v>
      </c>
      <c r="V45" s="53">
        <f>SUM(V44,V38,V34)</f>
        <v>-128.47130442265512</v>
      </c>
      <c r="X45" s="53">
        <f>SUM(X44,X38,X34)</f>
        <v>-128.47130442265512</v>
      </c>
      <c r="Z45" s="53">
        <f>SUM(Z44,Z38,Z34)</f>
        <v>-339.17680225787734</v>
      </c>
      <c r="AA45" s="53">
        <f>SUM(AA44,AA38,AA34)</f>
        <v>-321.85017544692982</v>
      </c>
      <c r="AB45" s="53">
        <f>SUM(AB44,AB38,AB34)</f>
        <v>-350.3463956669757</v>
      </c>
      <c r="AC45" s="53">
        <f>SUM(AC44,AC38,AC34)</f>
        <v>-327.45157038323202</v>
      </c>
      <c r="AD45" s="53">
        <f>SUM(AD44,AD38,AD34)</f>
        <v>-1338.8249437550148</v>
      </c>
    </row>
    <row r="46" spans="1:30">
      <c r="A46" s="50" t="s">
        <v>0</v>
      </c>
      <c r="B46" s="50"/>
      <c r="C46" s="37"/>
      <c r="D46" s="37"/>
      <c r="E46" s="51">
        <f>E26+E45</f>
        <v>-42.387684835008372</v>
      </c>
      <c r="F46" s="52">
        <f t="shared" ref="F46:P46" si="28">F26+F45</f>
        <v>17.965397258612057</v>
      </c>
      <c r="G46" s="53">
        <f t="shared" si="28"/>
        <v>-12.885232165918552</v>
      </c>
      <c r="H46" s="53">
        <f t="shared" si="28"/>
        <v>-0.2675975714052754</v>
      </c>
      <c r="I46" s="53">
        <f t="shared" si="28"/>
        <v>17.348663584171064</v>
      </c>
      <c r="J46" s="53">
        <f t="shared" si="28"/>
        <v>78.003440847896854</v>
      </c>
      <c r="K46" s="53">
        <f t="shared" si="28"/>
        <v>26.04355913182323</v>
      </c>
      <c r="L46" s="53">
        <f t="shared" si="28"/>
        <v>29.416064087046806</v>
      </c>
      <c r="M46" s="53">
        <f t="shared" si="28"/>
        <v>118.73101260897913</v>
      </c>
      <c r="N46" s="53">
        <f t="shared" si="28"/>
        <v>50.262598406896274</v>
      </c>
      <c r="O46" s="53">
        <f t="shared" si="28"/>
        <v>45.229205927911252</v>
      </c>
      <c r="P46" s="53">
        <f t="shared" si="28"/>
        <v>129.07962715739035</v>
      </c>
      <c r="Q46" s="112">
        <f t="shared" si="10"/>
        <v>456.53905443839483</v>
      </c>
      <c r="S46" s="53">
        <f t="shared" ref="S46:X46" si="29">S26+S45</f>
        <v>-42.387684835008372</v>
      </c>
      <c r="T46" s="53">
        <f t="shared" si="29"/>
        <v>0</v>
      </c>
      <c r="U46" s="53">
        <f t="shared" si="29"/>
        <v>0</v>
      </c>
      <c r="V46" s="53">
        <f t="shared" si="29"/>
        <v>-42.387684835008372</v>
      </c>
      <c r="X46" s="53">
        <f t="shared" si="29"/>
        <v>-42.387684835008372</v>
      </c>
      <c r="Z46" s="53">
        <f>Z26+Z45</f>
        <v>-37.307519742315151</v>
      </c>
      <c r="AA46" s="53">
        <f>AA26+AA45</f>
        <v>95.084506860662259</v>
      </c>
      <c r="AB46" s="53">
        <f>AB26+AB45</f>
        <v>174.19063582784929</v>
      </c>
      <c r="AC46" s="53">
        <f>AC26+AC45</f>
        <v>224.57143149219712</v>
      </c>
      <c r="AD46" s="53">
        <f>AD26+AD45</f>
        <v>456.53905443839449</v>
      </c>
    </row>
    <row r="47" spans="1:30">
      <c r="A47" s="54"/>
      <c r="B47" s="55" t="s">
        <v>43</v>
      </c>
      <c r="C47" s="56"/>
      <c r="D47" s="56"/>
      <c r="E47" s="57">
        <f>E46/E22</f>
        <v>-8.0441018053523328E-2</v>
      </c>
      <c r="F47" s="58">
        <f t="shared" ref="F47:Q47" si="30">F46/F22</f>
        <v>2.769137807377136E-2</v>
      </c>
      <c r="G47" s="59">
        <f t="shared" si="30"/>
        <v>-1.5359842329141752E-2</v>
      </c>
      <c r="H47" s="59">
        <f t="shared" si="30"/>
        <v>-4.1441131387422549E-4</v>
      </c>
      <c r="I47" s="59">
        <f t="shared" si="30"/>
        <v>3.2204719196064796E-2</v>
      </c>
      <c r="J47" s="59">
        <f t="shared" si="30"/>
        <v>7.8251230292589E-2</v>
      </c>
      <c r="K47" s="59">
        <f t="shared" si="30"/>
        <v>3.3694285137853101E-2</v>
      </c>
      <c r="L47" s="59">
        <f t="shared" si="30"/>
        <v>3.4385411744767613E-2</v>
      </c>
      <c r="M47" s="59">
        <f t="shared" si="30"/>
        <v>0.13881025990846696</v>
      </c>
      <c r="N47" s="59">
        <f t="shared" si="30"/>
        <v>6.0115096922947982E-2</v>
      </c>
      <c r="O47" s="59">
        <f t="shared" si="30"/>
        <v>4.6674977754066378E-2</v>
      </c>
      <c r="P47" s="59">
        <f t="shared" si="30"/>
        <v>9.6358326851382084E-2</v>
      </c>
      <c r="Q47" s="116">
        <f t="shared" si="30"/>
        <v>4.6470190772644381E-2</v>
      </c>
      <c r="S47" s="59">
        <f t="shared" ref="S47:X47" si="31">S46/S22</f>
        <v>-8.0441018053523328E-2</v>
      </c>
      <c r="T47" s="59" t="e">
        <f t="shared" si="31"/>
        <v>#DIV/0!</v>
      </c>
      <c r="U47" s="59" t="e">
        <f t="shared" si="31"/>
        <v>#DIV/0!</v>
      </c>
      <c r="V47" s="59">
        <f t="shared" si="31"/>
        <v>-8.0441018053523328E-2</v>
      </c>
      <c r="X47" s="59">
        <f t="shared" si="31"/>
        <v>-8.0441018053523328E-2</v>
      </c>
      <c r="Z47" s="59">
        <f>Z46/Z22</f>
        <v>-1.8518534499413423E-2</v>
      </c>
      <c r="AA47" s="59">
        <f>AA46/AA22</f>
        <v>4.3591506420896362E-2</v>
      </c>
      <c r="AB47" s="59">
        <f>AB46/AB22</f>
        <v>7.0131676999480655E-2</v>
      </c>
      <c r="AC47" s="59">
        <f>AC46/AC22</f>
        <v>7.1412442054410302E-2</v>
      </c>
      <c r="AD47" s="59">
        <f>AD46/AD22</f>
        <v>4.6470190772644346E-2</v>
      </c>
    </row>
    <row r="48" spans="1:30">
      <c r="A48" s="2"/>
      <c r="B48" s="2"/>
      <c r="C48" s="2"/>
      <c r="D48" s="2"/>
      <c r="E48" s="15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321"/>
      <c r="S48" s="321"/>
      <c r="T48" s="321"/>
      <c r="U48" s="321"/>
      <c r="V48" s="321"/>
      <c r="X48" s="2"/>
      <c r="Z48" s="321"/>
      <c r="AA48" s="321"/>
      <c r="AB48" s="321"/>
      <c r="AC48" s="321"/>
      <c r="AD48" s="2"/>
    </row>
    <row r="49" spans="1:30" hidden="1" outlineLevel="1">
      <c r="A49" s="79"/>
      <c r="B49" s="80" t="s">
        <v>44</v>
      </c>
      <c r="C49" s="81"/>
      <c r="D49" s="81"/>
      <c r="E49" s="82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118">
        <f>SUM(E49:P49)</f>
        <v>0</v>
      </c>
      <c r="S49" s="83"/>
      <c r="T49" s="83"/>
      <c r="U49" s="83"/>
      <c r="V49" s="83"/>
      <c r="X49" s="83"/>
      <c r="Z49" s="83"/>
      <c r="AA49" s="83"/>
      <c r="AB49" s="83"/>
      <c r="AC49" s="83"/>
      <c r="AD49" s="83"/>
    </row>
    <row r="50" spans="1:30" hidden="1" outlineLevel="1">
      <c r="A50" s="84"/>
      <c r="B50" s="80" t="s">
        <v>45</v>
      </c>
      <c r="C50" s="81"/>
      <c r="D50" s="81"/>
      <c r="E50" s="82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118">
        <f>SUM(E50:P50)</f>
        <v>0</v>
      </c>
      <c r="S50" s="83"/>
      <c r="T50" s="83"/>
      <c r="U50" s="83"/>
      <c r="V50" s="83"/>
      <c r="X50" s="83"/>
      <c r="Z50" s="83"/>
      <c r="AA50" s="83"/>
      <c r="AB50" s="83"/>
      <c r="AC50" s="83"/>
      <c r="AD50" s="83"/>
    </row>
    <row r="51" spans="1:30" hidden="1" outlineLevel="1">
      <c r="A51" s="84"/>
      <c r="B51" s="80" t="s">
        <v>46</v>
      </c>
      <c r="C51" s="81"/>
      <c r="D51" s="81"/>
      <c r="E51" s="82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118">
        <f>SUM(E51:P51)</f>
        <v>0</v>
      </c>
      <c r="S51" s="83"/>
      <c r="T51" s="83"/>
      <c r="U51" s="83"/>
      <c r="V51" s="83"/>
      <c r="X51" s="83"/>
      <c r="Z51" s="83"/>
      <c r="AA51" s="83"/>
      <c r="AB51" s="83"/>
      <c r="AC51" s="83"/>
      <c r="AD51" s="83"/>
    </row>
    <row r="52" spans="1:30" hidden="1" outlineLevel="1">
      <c r="A52" s="85" t="s">
        <v>47</v>
      </c>
      <c r="B52" s="86"/>
      <c r="C52" s="86"/>
      <c r="D52" s="86"/>
      <c r="E52" s="82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119">
        <f>SUM(E52:P52)</f>
        <v>0</v>
      </c>
      <c r="S52" s="83"/>
      <c r="T52" s="83"/>
      <c r="U52" s="83"/>
      <c r="V52" s="83"/>
      <c r="X52" s="83"/>
      <c r="Z52" s="83"/>
      <c r="AA52" s="83"/>
      <c r="AB52" s="83"/>
      <c r="AC52" s="83"/>
      <c r="AD52" s="83"/>
    </row>
    <row r="53" spans="1:30" collapsed="1">
      <c r="A53" s="2"/>
      <c r="B53" s="2"/>
      <c r="C53" s="2"/>
      <c r="D53" s="2"/>
      <c r="E53" s="15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117"/>
      <c r="S53" s="2"/>
      <c r="T53" s="2"/>
      <c r="U53" s="2"/>
      <c r="V53" s="2"/>
      <c r="X53" s="2"/>
      <c r="Z53" s="2"/>
      <c r="AA53" s="2"/>
      <c r="AB53" s="2"/>
      <c r="AC53" s="2"/>
      <c r="AD53" s="2"/>
    </row>
    <row r="54" spans="1:30">
      <c r="A54" s="87" t="s">
        <v>48</v>
      </c>
      <c r="B54" s="88"/>
      <c r="C54" s="86"/>
      <c r="D54" s="86"/>
      <c r="E54" s="89">
        <f>[22]Act!D29</f>
        <v>-71.169814299999885</v>
      </c>
      <c r="F54" s="90">
        <f>[22]Act!E29</f>
        <v>-15.481782200000438</v>
      </c>
      <c r="G54" s="90">
        <f>[22]Act!F29</f>
        <v>-49.155462699999049</v>
      </c>
      <c r="H54" s="90">
        <f>[22]Act!G29</f>
        <v>-39.963050500000556</v>
      </c>
      <c r="I54" s="90">
        <f>[22]Act!H29</f>
        <v>-21.139446899999982</v>
      </c>
      <c r="J54" s="90">
        <f>[22]Act!I29</f>
        <v>18.467999080699485</v>
      </c>
      <c r="K54" s="90">
        <f>[22]Act!J29</f>
        <v>-22.341972959319477</v>
      </c>
      <c r="L54" s="90">
        <f>[22]Act!K29</f>
        <v>-18.333471076639263</v>
      </c>
      <c r="M54" s="90">
        <f>[22]Act!L29</f>
        <v>67.830788572745163</v>
      </c>
      <c r="N54" s="90">
        <f>[22]Act!M29</f>
        <v>-2.9721803495988723</v>
      </c>
      <c r="O54" s="90">
        <f>[22]Act!N29</f>
        <v>-6.3684385534043528</v>
      </c>
      <c r="P54" s="90">
        <f>[22]Act!O29</f>
        <v>58.834458590440029</v>
      </c>
      <c r="Q54" s="119">
        <f>SUM(E54:P54)</f>
        <v>-101.79237329507725</v>
      </c>
      <c r="S54" s="90">
        <f>SUMIFS($E54:$P54,$E$3:$P$3,1,$E$5:$P$5,S$5)</f>
        <v>-71.169814299999885</v>
      </c>
      <c r="T54" s="90">
        <f>SUMIFS($E54:$P54,$E$3:$P$3,1,$E$5:$P$5,T$5)</f>
        <v>0</v>
      </c>
      <c r="U54" s="90">
        <f>SUMIFS($E54:$P54,$E$3:$P$3,1,$E$5:$P$5,U$5)</f>
        <v>0</v>
      </c>
      <c r="V54" s="90">
        <f>SUM(S54:U54)</f>
        <v>-71.169814299999885</v>
      </c>
      <c r="X54" s="90">
        <f>SUMIF($E$2:$P$2,1,E54:P54)</f>
        <v>-71.169814299999885</v>
      </c>
      <c r="Z54" s="90">
        <f>SUM(E54:G54)</f>
        <v>-135.80705919999937</v>
      </c>
      <c r="AA54" s="90">
        <f>SUM(H54:J54)</f>
        <v>-42.634498319301052</v>
      </c>
      <c r="AB54" s="90">
        <f>SUM(K54:M54)</f>
        <v>27.155344536786423</v>
      </c>
      <c r="AC54" s="90">
        <f>SUM(N54:P54)</f>
        <v>49.493839687436804</v>
      </c>
      <c r="AD54" s="90">
        <f>SUM(Z54:AC54)</f>
        <v>-101.7923732950772</v>
      </c>
    </row>
    <row r="55" spans="1:30">
      <c r="A55" s="2"/>
      <c r="B55" s="2"/>
      <c r="C55" s="2"/>
      <c r="D55" s="2"/>
      <c r="E55" s="15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117"/>
      <c r="S55" s="2"/>
      <c r="T55" s="2"/>
      <c r="U55" s="2"/>
      <c r="V55" s="2"/>
      <c r="X55" s="320">
        <v>0.8712751609999998</v>
      </c>
      <c r="Z55" s="2"/>
      <c r="AA55" s="2"/>
      <c r="AB55" s="2"/>
      <c r="AC55" s="2"/>
      <c r="AD55" s="2"/>
    </row>
    <row r="56" spans="1:30" ht="15.75" thickBot="1">
      <c r="A56" s="80" t="s">
        <v>49</v>
      </c>
      <c r="B56" s="91"/>
      <c r="C56" s="81"/>
      <c r="D56" s="91"/>
      <c r="E56" s="92">
        <f>'[21]New KPI Actual'!F33</f>
        <v>-3.1056917000000017E-2</v>
      </c>
      <c r="F56" s="93">
        <f>'[21]New KPI Actual'!G33</f>
        <v>-2.0865730000000002E-2</v>
      </c>
      <c r="G56" s="93">
        <f>'[21]New KPI Actual'!H33</f>
        <v>-1.1517993000000001E-2</v>
      </c>
      <c r="H56" s="93">
        <f>'[21]New KPI Actual'!I33</f>
        <v>0.296928782</v>
      </c>
      <c r="I56" s="93">
        <f>'[21]New KPI Actual'!J33</f>
        <v>-0.149848024</v>
      </c>
      <c r="J56" s="93">
        <f>'[21]New KPI Actual'!K33</f>
        <v>1.6140064000000034E-2</v>
      </c>
      <c r="K56" s="93">
        <f>'[21]New KPI Actual'!L33</f>
        <v>-4.6725712000000003E-2</v>
      </c>
      <c r="L56" s="93">
        <f>'[21]New KPI Actual'!M33</f>
        <v>-5.1032060000000025E-2</v>
      </c>
      <c r="M56" s="93">
        <f>'[21]New KPI Actual'!N33</f>
        <v>-4.2409751999999981E-2</v>
      </c>
      <c r="N56" s="93">
        <f>'[21]New KPI Actual'!O33</f>
        <v>-2.1830320000000007E-2</v>
      </c>
      <c r="O56" s="93">
        <f>'[21]New KPI Actual'!P33</f>
        <v>-3.0350284000000012E-2</v>
      </c>
      <c r="P56" s="93">
        <f>'[21]New KPI Actual'!Q33</f>
        <v>-6.4430146000000049E-2</v>
      </c>
      <c r="Q56" s="120">
        <f>SUM(E56:P56)</f>
        <v>-0.15699809200000006</v>
      </c>
      <c r="S56" s="93">
        <f>SUMIFS($E56:$P56,$E$3:$P$3,1,$E$5:$P$5,S$5)</f>
        <v>-3.1056917000000017E-2</v>
      </c>
      <c r="T56" s="93">
        <f>SUMIFS($E56:$P56,$E$3:$P$3,1,$E$5:$P$5,T$5)</f>
        <v>0</v>
      </c>
      <c r="U56" s="93">
        <f>SUMIFS($E56:$P56,$E$3:$P$3,1,$E$5:$P$5,U$5)</f>
        <v>0</v>
      </c>
      <c r="V56" s="93">
        <f>SUM(S56:U56)</f>
        <v>-3.1056917000000017E-2</v>
      </c>
      <c r="X56" s="441">
        <v>0.32222542900000001</v>
      </c>
      <c r="Z56" s="93">
        <f>SUM(E56:G56)</f>
        <v>-6.344064000000002E-2</v>
      </c>
      <c r="AA56" s="93">
        <f>SUM(H56:J56)</f>
        <v>0.16322082200000004</v>
      </c>
      <c r="AB56" s="93">
        <f>SUM(K56:M56)</f>
        <v>-0.14016752399999999</v>
      </c>
      <c r="AC56" s="93">
        <f>SUM(N56:P56)</f>
        <v>-0.11661075000000007</v>
      </c>
      <c r="AD56" s="93">
        <f>SUM(Z56:AC56)</f>
        <v>-0.15699809200000003</v>
      </c>
    </row>
    <row r="57" spans="1:30">
      <c r="A57" s="137"/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</row>
    <row r="58" spans="1:30">
      <c r="A58" s="444"/>
      <c r="B58" s="445" t="s">
        <v>297</v>
      </c>
      <c r="C58" s="446"/>
      <c r="D58" s="453"/>
      <c r="E58" s="456">
        <f>[22]Act!D237</f>
        <v>-1.8589674599999999</v>
      </c>
      <c r="F58" s="457">
        <f>[22]Act!E237</f>
        <v>-0.93709799999999999</v>
      </c>
      <c r="G58" s="457">
        <f>[22]Act!F237</f>
        <v>-1.168674</v>
      </c>
      <c r="H58" s="457">
        <f>[22]Act!G237</f>
        <v>-0.80727700000000002</v>
      </c>
      <c r="I58" s="457">
        <f>[22]Act!H237</f>
        <v>-0.71741299999999997</v>
      </c>
      <c r="J58" s="457">
        <f>[22]Act!I237</f>
        <v>-2.6358229999999998</v>
      </c>
      <c r="K58" s="457">
        <f>[22]Act!J237</f>
        <v>-1.8025659999999999</v>
      </c>
      <c r="L58" s="457">
        <f>[22]Act!K237</f>
        <v>-0.93980699999999995</v>
      </c>
      <c r="M58" s="457">
        <f>[22]Act!L237</f>
        <v>-2.5573359999999998</v>
      </c>
      <c r="N58" s="457">
        <f>[22]Act!M237</f>
        <v>-0.96017799999999998</v>
      </c>
      <c r="O58" s="457">
        <f>[22]Act!N237</f>
        <v>-0.77694099999999999</v>
      </c>
      <c r="P58" s="458">
        <f>[22]Act!O237</f>
        <v>-3.7792810000000001</v>
      </c>
      <c r="Q58" s="120">
        <f>SUM(E58:P58)</f>
        <v>-18.94136146</v>
      </c>
      <c r="S58" s="456">
        <f t="shared" ref="S58:U60" si="32">SUMIFS($E58:$P58,$E$3:$P$3,1,$E$5:$P$5,S$5)</f>
        <v>-1.8589674599999999</v>
      </c>
      <c r="T58" s="457">
        <f t="shared" si="32"/>
        <v>0</v>
      </c>
      <c r="U58" s="457">
        <f t="shared" si="32"/>
        <v>0</v>
      </c>
      <c r="V58" s="458">
        <f t="shared" ref="V58:X60" si="33">SUM(S58:U58)</f>
        <v>-1.8589674599999999</v>
      </c>
      <c r="X58" s="19">
        <f>SUMIF($E$2:$P$2,1,E58:P58)</f>
        <v>-1.8589674599999999</v>
      </c>
      <c r="Z58" s="456">
        <f>SUM(E58:G58)</f>
        <v>-3.9647394599999997</v>
      </c>
      <c r="AA58" s="457">
        <f>SUM(H58:J58)</f>
        <v>-4.1605129999999999</v>
      </c>
      <c r="AB58" s="457">
        <f>SUM(K58:M58)</f>
        <v>-5.299709</v>
      </c>
      <c r="AC58" s="457">
        <f>SUM(N58:P58)</f>
        <v>-5.5164</v>
      </c>
      <c r="AD58" s="458">
        <f>SUM(Z58:AC58)</f>
        <v>-18.94136146</v>
      </c>
    </row>
    <row r="59" spans="1:30">
      <c r="A59" s="447"/>
      <c r="B59" s="448" t="s">
        <v>298</v>
      </c>
      <c r="C59" s="449"/>
      <c r="D59" s="454"/>
      <c r="E59" s="459">
        <f>[22]Act!D238</f>
        <v>-3.0503450540000001</v>
      </c>
      <c r="F59" s="460">
        <f>[22]Act!E238</f>
        <v>-2.3303183100000053</v>
      </c>
      <c r="G59" s="460">
        <f>[22]Act!F238</f>
        <v>-8.3251644713501953</v>
      </c>
      <c r="H59" s="460">
        <f>[22]Act!G238</f>
        <v>-4.4889129659999929</v>
      </c>
      <c r="I59" s="460">
        <f>[22]Act!H238</f>
        <v>-3.9742786279999973</v>
      </c>
      <c r="J59" s="460">
        <f>[22]Act!I238</f>
        <v>-9.2721559384941532</v>
      </c>
      <c r="K59" s="460">
        <f>[22]Act!J238</f>
        <v>-6.276161989692894</v>
      </c>
      <c r="L59" s="460">
        <f>[22]Act!K238</f>
        <v>-5.7707439413635147</v>
      </c>
      <c r="M59" s="460">
        <f>[22]Act!L238</f>
        <v>-6.895927201538079</v>
      </c>
      <c r="N59" s="460">
        <f>[22]Act!M238</f>
        <v>-5.7156871050582003</v>
      </c>
      <c r="O59" s="460">
        <f>[22]Act!N238</f>
        <v>-5.4427330392420474</v>
      </c>
      <c r="P59" s="461">
        <f>[22]Act!O238</f>
        <v>-6.0586108258312743</v>
      </c>
      <c r="Q59" s="120">
        <f>SUM(E59:P59)</f>
        <v>-67.601039470570356</v>
      </c>
      <c r="S59" s="459">
        <f t="shared" si="32"/>
        <v>-3.0503450540000001</v>
      </c>
      <c r="T59" s="460">
        <f t="shared" si="32"/>
        <v>0</v>
      </c>
      <c r="U59" s="460">
        <f t="shared" si="32"/>
        <v>0</v>
      </c>
      <c r="V59" s="461">
        <f t="shared" si="33"/>
        <v>-3.0503450540000001</v>
      </c>
      <c r="X59" s="46">
        <f>SUMIF($E$2:$P$2,1,E59:P59)</f>
        <v>-3.0503450540000001</v>
      </c>
      <c r="Z59" s="459">
        <f>SUM(E59:G59)</f>
        <v>-13.705827835350201</v>
      </c>
      <c r="AA59" s="460">
        <f>SUM(H59:J59)</f>
        <v>-17.735347532494146</v>
      </c>
      <c r="AB59" s="460">
        <f>SUM(K59:M59)</f>
        <v>-18.942833132594487</v>
      </c>
      <c r="AC59" s="460">
        <f>SUM(N59:P59)</f>
        <v>-17.217030970131521</v>
      </c>
      <c r="AD59" s="461">
        <f>SUM(Z59:AC59)</f>
        <v>-67.601039470570356</v>
      </c>
    </row>
    <row r="60" spans="1:30">
      <c r="A60" s="450"/>
      <c r="B60" s="451" t="s">
        <v>299</v>
      </c>
      <c r="C60" s="452"/>
      <c r="D60" s="455"/>
      <c r="E60" s="69">
        <f>SUM(E58:E59)</f>
        <v>-4.9093125139999998</v>
      </c>
      <c r="F60" s="69">
        <f t="shared" ref="F60:P60" si="34">SUM(F58:F59)</f>
        <v>-3.2674163100000051</v>
      </c>
      <c r="G60" s="70">
        <f t="shared" si="34"/>
        <v>-9.4938384713501947</v>
      </c>
      <c r="H60" s="70">
        <f t="shared" si="34"/>
        <v>-5.2961899659999929</v>
      </c>
      <c r="I60" s="70">
        <f t="shared" si="34"/>
        <v>-4.6916916279999974</v>
      </c>
      <c r="J60" s="70">
        <f t="shared" si="34"/>
        <v>-11.907978938494153</v>
      </c>
      <c r="K60" s="70">
        <f t="shared" si="34"/>
        <v>-8.0787279896928936</v>
      </c>
      <c r="L60" s="70">
        <f t="shared" si="34"/>
        <v>-6.7105509413635147</v>
      </c>
      <c r="M60" s="70">
        <f t="shared" si="34"/>
        <v>-9.4532632015380784</v>
      </c>
      <c r="N60" s="70">
        <f t="shared" si="34"/>
        <v>-6.6758651050582003</v>
      </c>
      <c r="O60" s="70">
        <f t="shared" si="34"/>
        <v>-6.2196740392420473</v>
      </c>
      <c r="P60" s="70">
        <f t="shared" si="34"/>
        <v>-9.8378918258312744</v>
      </c>
      <c r="Q60" s="119">
        <f>SUM(E60:P60)</f>
        <v>-86.542400930570366</v>
      </c>
      <c r="S60" s="70">
        <f t="shared" si="32"/>
        <v>-4.9093125139999998</v>
      </c>
      <c r="T60" s="70">
        <f t="shared" si="32"/>
        <v>0</v>
      </c>
      <c r="U60" s="70">
        <f t="shared" si="32"/>
        <v>0</v>
      </c>
      <c r="V60" s="70">
        <f t="shared" si="33"/>
        <v>-4.9093125139999998</v>
      </c>
      <c r="X60" s="70">
        <f t="shared" si="33"/>
        <v>-4.9093125139999998</v>
      </c>
      <c r="Z60" s="70">
        <f>SUM(E60:G60)</f>
        <v>-17.6705672953502</v>
      </c>
      <c r="AA60" s="70">
        <f>SUM(H60:J60)</f>
        <v>-21.895860532494144</v>
      </c>
      <c r="AB60" s="70">
        <f>SUM(K60:M60)</f>
        <v>-24.242542132594487</v>
      </c>
      <c r="AC60" s="70">
        <f>SUM(N60:P60)</f>
        <v>-22.733430970131522</v>
      </c>
      <c r="AD60" s="70">
        <f>SUM(Z60:AC60)</f>
        <v>-86.542400930570352</v>
      </c>
    </row>
    <row r="61" spans="1:30">
      <c r="A61" s="94"/>
      <c r="B61" s="94"/>
      <c r="C61" s="94"/>
      <c r="D61" s="94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94"/>
      <c r="S61" s="94"/>
      <c r="T61" s="94"/>
      <c r="U61" s="94"/>
      <c r="V61" s="94"/>
      <c r="X61" s="94"/>
      <c r="Z61" s="94"/>
      <c r="AA61" s="94"/>
      <c r="AB61" s="94"/>
      <c r="AC61" s="94"/>
      <c r="AD61" s="94"/>
    </row>
    <row r="62" spans="1:30">
      <c r="A62" s="78" t="s">
        <v>50</v>
      </c>
      <c r="B62" s="73"/>
      <c r="C62" s="73"/>
      <c r="D62" s="73"/>
      <c r="E62" s="69">
        <f>[22]Act!D248</f>
        <v>-0.30846766876945769</v>
      </c>
      <c r="F62" s="69">
        <f>[22]Act!E248</f>
        <v>-1.3543336041457681</v>
      </c>
      <c r="G62" s="69">
        <f>[22]Act!F248</f>
        <v>-2.5510260615006883</v>
      </c>
      <c r="H62" s="69">
        <f>[22]Act!G248</f>
        <v>-0.35512855485592282</v>
      </c>
      <c r="I62" s="69">
        <f>[22]Act!H248</f>
        <v>-0.57385849005973366</v>
      </c>
      <c r="J62" s="69">
        <f>[22]Act!I248</f>
        <v>-1.1704650105622865</v>
      </c>
      <c r="K62" s="69">
        <f>[22]Act!J248</f>
        <v>-0.54710190730667851</v>
      </c>
      <c r="L62" s="69">
        <f>[22]Act!K248</f>
        <v>-1.7626847555189467</v>
      </c>
      <c r="M62" s="69">
        <f>[22]Act!L248</f>
        <v>-1.3857034029914501</v>
      </c>
      <c r="N62" s="69">
        <f>[22]Act!M248</f>
        <v>-1.1949304757237191</v>
      </c>
      <c r="O62" s="69">
        <f>[22]Act!N248</f>
        <v>-1.4941437379146199</v>
      </c>
      <c r="P62" s="69">
        <f>[22]Act!O248</f>
        <v>-1.3918311219561317</v>
      </c>
      <c r="Q62" s="119">
        <f t="shared" ref="Q62:Q77" si="35">SUM(E62:P62)</f>
        <v>-14.089674791305402</v>
      </c>
      <c r="S62" s="69">
        <f t="shared" ref="S62:U77" si="36">SUMIFS($E62:$P62,$E$3:$P$3,1,$E$5:$P$5,S$5)</f>
        <v>-0.30846766876945769</v>
      </c>
      <c r="T62" s="69">
        <f t="shared" si="36"/>
        <v>0</v>
      </c>
      <c r="U62" s="69">
        <f t="shared" si="36"/>
        <v>0</v>
      </c>
      <c r="V62" s="69">
        <f t="shared" ref="V62:V73" si="37">SUM(S62:U62)</f>
        <v>-0.30846766876945769</v>
      </c>
      <c r="X62" s="69">
        <f t="shared" ref="X62:X77" si="38">SUMIF($E$2:$P$2,1,E62:P62)</f>
        <v>-0.30846766876945769</v>
      </c>
      <c r="Z62" s="69">
        <f t="shared" ref="Z62:Z73" si="39">SUM(E62:G62)</f>
        <v>-4.2138273344159138</v>
      </c>
      <c r="AA62" s="69">
        <f t="shared" ref="AA62:AA73" si="40">SUM(H62:J62)</f>
        <v>-2.099452055477943</v>
      </c>
      <c r="AB62" s="69">
        <f t="shared" ref="AB62:AB73" si="41">SUM(K62:M62)</f>
        <v>-3.6954900658170757</v>
      </c>
      <c r="AC62" s="69">
        <f t="shared" ref="AC62:AC73" si="42">SUM(N62:P62)</f>
        <v>-4.0809053355944709</v>
      </c>
      <c r="AD62" s="69">
        <f t="shared" ref="AD62:AD73" si="43">SUM(Z62:AC62)</f>
        <v>-14.089674791305404</v>
      </c>
    </row>
    <row r="63" spans="1:30">
      <c r="A63" s="78" t="s">
        <v>51</v>
      </c>
      <c r="B63" s="73"/>
      <c r="C63" s="73"/>
      <c r="D63" s="73"/>
      <c r="E63" s="69">
        <f>[22]Act!D249</f>
        <v>8.7524709494160913</v>
      </c>
      <c r="F63" s="69">
        <f>[22]Act!E249</f>
        <v>12.93746193022556</v>
      </c>
      <c r="G63" s="69">
        <f>[22]Act!F249</f>
        <v>18.985245307490537</v>
      </c>
      <c r="H63" s="69">
        <f>[22]Act!G249</f>
        <v>15.721943676126671</v>
      </c>
      <c r="I63" s="69">
        <f>[22]Act!H249</f>
        <v>16.014433256075634</v>
      </c>
      <c r="J63" s="69">
        <f>[22]Act!I249</f>
        <v>25.152508607398499</v>
      </c>
      <c r="K63" s="69">
        <f>[22]Act!J249</f>
        <v>16.964638375273402</v>
      </c>
      <c r="L63" s="69">
        <f>[22]Act!K249</f>
        <v>18.681814591523036</v>
      </c>
      <c r="M63" s="69">
        <f>[22]Act!L249</f>
        <v>18.806999285704915</v>
      </c>
      <c r="N63" s="69">
        <f>[22]Act!M249</f>
        <v>15.868939719888314</v>
      </c>
      <c r="O63" s="69">
        <f>[22]Act!N249</f>
        <v>17.259652281681866</v>
      </c>
      <c r="P63" s="69">
        <f>[22]Act!O249</f>
        <v>29.576109793333622</v>
      </c>
      <c r="Q63" s="119">
        <f t="shared" si="35"/>
        <v>214.72221777413813</v>
      </c>
      <c r="S63" s="69">
        <f t="shared" si="36"/>
        <v>8.7524709494160913</v>
      </c>
      <c r="T63" s="69">
        <f t="shared" si="36"/>
        <v>0</v>
      </c>
      <c r="U63" s="69">
        <f t="shared" si="36"/>
        <v>0</v>
      </c>
      <c r="V63" s="69">
        <f t="shared" si="37"/>
        <v>8.7524709494160913</v>
      </c>
      <c r="X63" s="69">
        <f t="shared" si="38"/>
        <v>8.7524709494160913</v>
      </c>
      <c r="Z63" s="69">
        <f t="shared" si="39"/>
        <v>40.67517818713219</v>
      </c>
      <c r="AA63" s="69">
        <f t="shared" si="40"/>
        <v>56.888885539600807</v>
      </c>
      <c r="AB63" s="69">
        <f t="shared" si="41"/>
        <v>54.45345225250135</v>
      </c>
      <c r="AC63" s="69">
        <f t="shared" si="42"/>
        <v>62.704701794903805</v>
      </c>
      <c r="AD63" s="69">
        <f t="shared" si="43"/>
        <v>214.72221777413816</v>
      </c>
    </row>
    <row r="64" spans="1:30">
      <c r="A64" s="78" t="s">
        <v>52</v>
      </c>
      <c r="B64" s="73"/>
      <c r="C64" s="73"/>
      <c r="D64" s="73"/>
      <c r="E64" s="69">
        <f>[22]Act!D251</f>
        <v>5.6350322980000023</v>
      </c>
      <c r="F64" s="69">
        <f>[22]Act!E251</f>
        <v>3.683511836000001</v>
      </c>
      <c r="G64" s="69">
        <f>[22]Act!F251</f>
        <v>-4.7641994999999326E-2</v>
      </c>
      <c r="H64" s="69">
        <f>[22]Act!G251</f>
        <v>6.6480954600000022</v>
      </c>
      <c r="I64" s="69">
        <f>[22]Act!H251</f>
        <v>1.9999212620000009</v>
      </c>
      <c r="J64" s="69">
        <f>[22]Act!I251</f>
        <v>4.614094555000003</v>
      </c>
      <c r="K64" s="69">
        <f>[22]Act!J251</f>
        <v>5.1297964779999994</v>
      </c>
      <c r="L64" s="69">
        <f>[22]Act!K251</f>
        <v>4.8360981800000005</v>
      </c>
      <c r="M64" s="69">
        <f>[22]Act!L251</f>
        <v>5.7195056890000018</v>
      </c>
      <c r="N64" s="69">
        <f>[22]Act!M251</f>
        <v>6.2270678330000031</v>
      </c>
      <c r="O64" s="69">
        <f>[22]Act!N251</f>
        <v>4.2401773179999989</v>
      </c>
      <c r="P64" s="69">
        <f>[22]Act!O251</f>
        <v>7.4305935800000018</v>
      </c>
      <c r="Q64" s="119">
        <f t="shared" si="35"/>
        <v>56.116252494000022</v>
      </c>
      <c r="S64" s="69">
        <f t="shared" si="36"/>
        <v>5.6350322980000023</v>
      </c>
      <c r="T64" s="69">
        <f t="shared" si="36"/>
        <v>0</v>
      </c>
      <c r="U64" s="69">
        <f t="shared" si="36"/>
        <v>0</v>
      </c>
      <c r="V64" s="69">
        <f t="shared" si="37"/>
        <v>5.6350322980000023</v>
      </c>
      <c r="X64" s="69">
        <f t="shared" si="38"/>
        <v>5.6350322980000023</v>
      </c>
      <c r="Z64" s="69">
        <f t="shared" si="39"/>
        <v>9.2709021390000039</v>
      </c>
      <c r="AA64" s="69">
        <f t="shared" si="40"/>
        <v>13.262111277000006</v>
      </c>
      <c r="AB64" s="69">
        <f t="shared" si="41"/>
        <v>15.685400347000002</v>
      </c>
      <c r="AC64" s="69">
        <f t="shared" si="42"/>
        <v>17.897838731000004</v>
      </c>
      <c r="AD64" s="69">
        <f t="shared" si="43"/>
        <v>56.116252494000022</v>
      </c>
    </row>
    <row r="65" spans="1:32">
      <c r="A65" s="78" t="s">
        <v>53</v>
      </c>
      <c r="B65" s="73"/>
      <c r="C65" s="73"/>
      <c r="D65" s="73"/>
      <c r="E65" s="69">
        <f>-SUM([21]Relief!E80:E84)</f>
        <v>0</v>
      </c>
      <c r="F65" s="69">
        <f>-SUM([21]Relief!F80:F84)</f>
        <v>0</v>
      </c>
      <c r="G65" s="69">
        <f>-SUM([21]Relief!G80:G84)</f>
        <v>0</v>
      </c>
      <c r="H65" s="69">
        <f>-SUM([21]Relief!H80:H84)</f>
        <v>0</v>
      </c>
      <c r="I65" s="69">
        <f>-SUM([21]Relief!I80:I84)</f>
        <v>2.9381124054970007</v>
      </c>
      <c r="J65" s="701">
        <f>-SUM([21]Relief!J80:J84)</f>
        <v>5.994239058102119</v>
      </c>
      <c r="K65" s="69">
        <f>-SUM([21]Relief!K80:K84)</f>
        <v>4.974892365910482</v>
      </c>
      <c r="L65" s="69">
        <f>-SUM([21]Relief!L80:L84)</f>
        <v>4.9155216570905491</v>
      </c>
      <c r="M65" s="69">
        <f>-SUM([21]Relief!M80:M84)</f>
        <v>5.7641149811649477</v>
      </c>
      <c r="N65" s="69">
        <f>-SUM([21]Relief!N80:N84)</f>
        <v>7.7822434489757395</v>
      </c>
      <c r="O65" s="69">
        <f>-SUM([21]Relief!O80:O84)</f>
        <v>6.925872097047483</v>
      </c>
      <c r="P65" s="69">
        <f>-SUM([21]Relief!P80:P84)</f>
        <v>9.2711107457770758</v>
      </c>
      <c r="Q65" s="119">
        <f t="shared" si="35"/>
        <v>48.566106759565386</v>
      </c>
      <c r="S65" s="69">
        <f t="shared" si="36"/>
        <v>0</v>
      </c>
      <c r="T65" s="69">
        <f t="shared" si="36"/>
        <v>0</v>
      </c>
      <c r="U65" s="69">
        <f t="shared" si="36"/>
        <v>0</v>
      </c>
      <c r="V65" s="69">
        <f t="shared" si="37"/>
        <v>0</v>
      </c>
      <c r="X65" s="69">
        <f t="shared" si="38"/>
        <v>0</v>
      </c>
      <c r="Z65" s="69">
        <f t="shared" si="39"/>
        <v>0</v>
      </c>
      <c r="AA65" s="69">
        <f t="shared" si="40"/>
        <v>8.9323514635991188</v>
      </c>
      <c r="AB65" s="69">
        <f t="shared" si="41"/>
        <v>15.65452900416598</v>
      </c>
      <c r="AC65" s="69">
        <f t="shared" si="42"/>
        <v>23.979226291800298</v>
      </c>
      <c r="AD65" s="69">
        <f t="shared" si="43"/>
        <v>48.5661067595654</v>
      </c>
    </row>
    <row r="66" spans="1:32">
      <c r="A66" s="78" t="s">
        <v>54</v>
      </c>
      <c r="B66" s="73"/>
      <c r="C66" s="73"/>
      <c r="D66" s="73"/>
      <c r="E66" s="69">
        <f>-SUM([21]Relief!E96:E97)</f>
        <v>0</v>
      </c>
      <c r="F66" s="69">
        <f>-SUM([21]Relief!F96:F97)</f>
        <v>0</v>
      </c>
      <c r="G66" s="69">
        <f>-SUM([21]Relief!G96:G97)</f>
        <v>0</v>
      </c>
      <c r="H66" s="69">
        <f>-SUM([21]Relief!H96:H97)</f>
        <v>0.84629999999999994</v>
      </c>
      <c r="I66" s="69">
        <f>-SUM([21]Relief!I96:I97)</f>
        <v>1.8121546965801907</v>
      </c>
      <c r="J66" s="701">
        <f>-SUM([21]Relief!J96:J97)</f>
        <v>1.4155687004688751</v>
      </c>
      <c r="K66" s="69">
        <f>-SUM([21]Relief!K96:K97)</f>
        <v>0.4569460025569026</v>
      </c>
      <c r="L66" s="69">
        <f>-SUM([21]Relief!L96:L97)</f>
        <v>0.52049316668007284</v>
      </c>
      <c r="M66" s="69">
        <f>-SUM([21]Relief!M96:M97)</f>
        <v>0.53038201495194492</v>
      </c>
      <c r="N66" s="69">
        <f>-SUM([21]Relief!N96:N97)</f>
        <v>0.29731177323482316</v>
      </c>
      <c r="O66" s="69">
        <f>-SUM([21]Relief!O96:O97)</f>
        <v>0.29970977714864327</v>
      </c>
      <c r="P66" s="69">
        <f>-SUM([21]Relief!P96:P97)</f>
        <v>0.38779781310710859</v>
      </c>
      <c r="Q66" s="119">
        <f t="shared" si="35"/>
        <v>6.5666639447285613</v>
      </c>
      <c r="S66" s="69">
        <f t="shared" si="36"/>
        <v>0</v>
      </c>
      <c r="T66" s="69">
        <f t="shared" si="36"/>
        <v>0</v>
      </c>
      <c r="U66" s="69">
        <f t="shared" si="36"/>
        <v>0</v>
      </c>
      <c r="V66" s="69">
        <f t="shared" si="37"/>
        <v>0</v>
      </c>
      <c r="X66" s="69">
        <f t="shared" si="38"/>
        <v>0</v>
      </c>
      <c r="Z66" s="69">
        <f t="shared" si="39"/>
        <v>0</v>
      </c>
      <c r="AA66" s="69">
        <f t="shared" si="40"/>
        <v>4.074023397049066</v>
      </c>
      <c r="AB66" s="69">
        <f t="shared" si="41"/>
        <v>1.5078211841889204</v>
      </c>
      <c r="AC66" s="69">
        <f t="shared" si="42"/>
        <v>0.98481936349057497</v>
      </c>
      <c r="AD66" s="69">
        <f t="shared" si="43"/>
        <v>6.5666639447285613</v>
      </c>
    </row>
    <row r="67" spans="1:32">
      <c r="A67" s="78" t="s">
        <v>55</v>
      </c>
      <c r="B67" s="73"/>
      <c r="C67" s="73"/>
      <c r="D67" s="73"/>
      <c r="E67" s="69">
        <f>-[21]Relief!E95</f>
        <v>0</v>
      </c>
      <c r="F67" s="69">
        <f>-[21]Relief!F95</f>
        <v>0</v>
      </c>
      <c r="G67" s="69">
        <f>-[21]Relief!G95</f>
        <v>-0.30283913715431171</v>
      </c>
      <c r="H67" s="69">
        <f>-[21]Relief!H95</f>
        <v>-0.18245641091273598</v>
      </c>
      <c r="I67" s="69">
        <f>-[21]Relief!I95</f>
        <v>-5.824764674268023E-3</v>
      </c>
      <c r="J67" s="701">
        <f>-[21]Relief!J95</f>
        <v>-2.4714537595079723E-2</v>
      </c>
      <c r="K67" s="69">
        <f>-[21]Relief!K95</f>
        <v>-1.9797306676366495E-2</v>
      </c>
      <c r="L67" s="69">
        <f>-[21]Relief!L95</f>
        <v>-0.21468357047349224</v>
      </c>
      <c r="M67" s="69">
        <f>-[21]Relief!M95</f>
        <v>-0.1512026999813296</v>
      </c>
      <c r="N67" s="69">
        <f>-[21]Relief!N95</f>
        <v>-6.6368971265194976E-2</v>
      </c>
      <c r="O67" s="69">
        <f>-[21]Relief!O95</f>
        <v>-0.41384201903275664</v>
      </c>
      <c r="P67" s="69">
        <f>-[21]Relief!P95</f>
        <v>-0.21106909549659869</v>
      </c>
      <c r="Q67" s="119">
        <f t="shared" si="35"/>
        <v>-1.5927985132621343</v>
      </c>
      <c r="S67" s="69">
        <f t="shared" si="36"/>
        <v>0</v>
      </c>
      <c r="T67" s="69">
        <f t="shared" si="36"/>
        <v>0</v>
      </c>
      <c r="U67" s="69">
        <f t="shared" si="36"/>
        <v>0</v>
      </c>
      <c r="V67" s="69">
        <f t="shared" si="37"/>
        <v>0</v>
      </c>
      <c r="X67" s="69">
        <f t="shared" si="38"/>
        <v>0</v>
      </c>
      <c r="Z67" s="69">
        <f t="shared" si="39"/>
        <v>-0.30283913715431171</v>
      </c>
      <c r="AA67" s="69">
        <f t="shared" si="40"/>
        <v>-0.21299571318208371</v>
      </c>
      <c r="AB67" s="69">
        <f t="shared" si="41"/>
        <v>-0.38568357713118834</v>
      </c>
      <c r="AC67" s="69">
        <f t="shared" si="42"/>
        <v>-0.69128008579455025</v>
      </c>
      <c r="AD67" s="69">
        <f t="shared" si="43"/>
        <v>-1.5927985132621341</v>
      </c>
    </row>
    <row r="68" spans="1:32">
      <c r="A68" s="78" t="s">
        <v>56</v>
      </c>
      <c r="B68" s="73"/>
      <c r="C68" s="73"/>
      <c r="D68" s="73"/>
      <c r="E68" s="70">
        <f>'[21]New KPI Actual'!F220-E69</f>
        <v>11.986581189000001</v>
      </c>
      <c r="F68" s="70">
        <f>'[21]New KPI Actual'!G220-F69</f>
        <v>12.418130976</v>
      </c>
      <c r="G68" s="69">
        <f>'[21]New KPI Actual'!H220-G69</f>
        <v>14.339531531</v>
      </c>
      <c r="H68" s="69">
        <f>'[21]New KPI Actual'!I220-H69</f>
        <v>11.268922902</v>
      </c>
      <c r="I68" s="69">
        <f>'[21]New KPI Actual'!J220-I69</f>
        <v>9.7634507080000006</v>
      </c>
      <c r="J68" s="701">
        <f>'[21]New KPI Actual'!K220-J69</f>
        <v>16.435110726000001</v>
      </c>
      <c r="K68" s="69">
        <f>'[21]New KPI Actual'!L220-K69</f>
        <v>15.280577717</v>
      </c>
      <c r="L68" s="69">
        <f>'[21]New KPI Actual'!M220-L69</f>
        <v>14.290489528</v>
      </c>
      <c r="M68" s="69">
        <f>'[21]New KPI Actual'!N220-M69</f>
        <v>15.265898225999999</v>
      </c>
      <c r="N68" s="69">
        <f>'[21]New KPI Actual'!O220-N69</f>
        <v>17.836111566</v>
      </c>
      <c r="O68" s="69">
        <f>'[21]New KPI Actual'!P220-O69</f>
        <v>17.537220382000001</v>
      </c>
      <c r="P68" s="69">
        <f>'[21]New KPI Actual'!Q220-P69</f>
        <v>23.066591109000001</v>
      </c>
      <c r="Q68" s="119">
        <f t="shared" si="35"/>
        <v>179.48861655999997</v>
      </c>
      <c r="S68" s="69">
        <f t="shared" si="36"/>
        <v>11.986581189000001</v>
      </c>
      <c r="T68" s="69">
        <f t="shared" si="36"/>
        <v>0</v>
      </c>
      <c r="U68" s="69">
        <f t="shared" si="36"/>
        <v>0</v>
      </c>
      <c r="V68" s="69">
        <f t="shared" si="37"/>
        <v>11.986581189000001</v>
      </c>
      <c r="X68" s="69">
        <f t="shared" si="38"/>
        <v>11.986581189000001</v>
      </c>
      <c r="Z68" s="69">
        <f t="shared" si="39"/>
        <v>38.744243695999998</v>
      </c>
      <c r="AA68" s="69">
        <f t="shared" si="40"/>
        <v>37.467484335999998</v>
      </c>
      <c r="AB68" s="69">
        <f t="shared" si="41"/>
        <v>44.836965470999999</v>
      </c>
      <c r="AC68" s="69">
        <f t="shared" si="42"/>
        <v>58.439923057000001</v>
      </c>
      <c r="AD68" s="69">
        <f t="shared" si="43"/>
        <v>179.48861656</v>
      </c>
    </row>
    <row r="69" spans="1:32">
      <c r="A69" s="78" t="s">
        <v>57</v>
      </c>
      <c r="B69" s="73"/>
      <c r="C69" s="73"/>
      <c r="D69" s="73"/>
      <c r="E69" s="70">
        <f>'[21]New KPI Actual'!F201</f>
        <v>0</v>
      </c>
      <c r="F69" s="70">
        <f>'[21]New KPI Actual'!G201</f>
        <v>0</v>
      </c>
      <c r="G69" s="69">
        <f>'[21]New KPI Actual'!H201</f>
        <v>0</v>
      </c>
      <c r="H69" s="69">
        <f>'[21]New KPI Actual'!I201</f>
        <v>0</v>
      </c>
      <c r="I69" s="69">
        <f>'[21]New KPI Actual'!J201</f>
        <v>0</v>
      </c>
      <c r="J69" s="701">
        <f>'[21]New KPI Actual'!K201</f>
        <v>0</v>
      </c>
      <c r="K69" s="69">
        <f>'[21]New KPI Actual'!L201</f>
        <v>0</v>
      </c>
      <c r="L69" s="69">
        <f>'[21]New KPI Actual'!M201</f>
        <v>0</v>
      </c>
      <c r="M69" s="69">
        <f>'[21]New KPI Actual'!N201</f>
        <v>0</v>
      </c>
      <c r="N69" s="69">
        <f>'[21]New KPI Actual'!O201</f>
        <v>0</v>
      </c>
      <c r="O69" s="69">
        <f>'[21]New KPI Actual'!P201</f>
        <v>0</v>
      </c>
      <c r="P69" s="69">
        <f>'[21]New KPI Actual'!Q201</f>
        <v>0</v>
      </c>
      <c r="Q69" s="119">
        <f t="shared" si="35"/>
        <v>0</v>
      </c>
      <c r="S69" s="69">
        <f t="shared" si="36"/>
        <v>0</v>
      </c>
      <c r="T69" s="69">
        <f t="shared" si="36"/>
        <v>0</v>
      </c>
      <c r="U69" s="69">
        <f t="shared" si="36"/>
        <v>0</v>
      </c>
      <c r="V69" s="69">
        <f t="shared" si="37"/>
        <v>0</v>
      </c>
      <c r="X69" s="69">
        <f t="shared" si="38"/>
        <v>0</v>
      </c>
      <c r="Z69" s="69">
        <f t="shared" si="39"/>
        <v>0</v>
      </c>
      <c r="AA69" s="69">
        <f t="shared" si="40"/>
        <v>0</v>
      </c>
      <c r="AB69" s="69">
        <f t="shared" si="41"/>
        <v>0</v>
      </c>
      <c r="AC69" s="69">
        <f t="shared" si="42"/>
        <v>0</v>
      </c>
      <c r="AD69" s="69">
        <f t="shared" si="43"/>
        <v>0</v>
      </c>
    </row>
    <row r="70" spans="1:32">
      <c r="A70" s="78" t="s">
        <v>58</v>
      </c>
      <c r="B70" s="73"/>
      <c r="C70" s="73"/>
      <c r="D70" s="73"/>
      <c r="E70" s="70">
        <f>-[21]Relief!E87</f>
        <v>2.2744157</v>
      </c>
      <c r="F70" s="70">
        <f>-[21]Relief!F87</f>
        <v>2.6542930999999998</v>
      </c>
      <c r="G70" s="69">
        <f>-[21]Relief!G87</f>
        <v>3.4230191999999997</v>
      </c>
      <c r="H70" s="69">
        <f>-[21]Relief!H87</f>
        <v>2.6512258999999982</v>
      </c>
      <c r="I70" s="69">
        <f>-[21]Relief!I87</f>
        <v>2.2306751000000027</v>
      </c>
      <c r="J70" s="701">
        <f>-[21]Relief!J87</f>
        <v>4.3487038</v>
      </c>
      <c r="K70" s="69">
        <f>-[21]Relief!K87</f>
        <v>3.3261844979999995</v>
      </c>
      <c r="L70" s="69">
        <f>-[21]Relief!L87</f>
        <v>3.8367904980000005</v>
      </c>
      <c r="M70" s="69">
        <f>-[21]Relief!M87</f>
        <v>3.7115340740000002</v>
      </c>
      <c r="N70" s="69">
        <f>-[21]Relief!N87</f>
        <v>3.797707994</v>
      </c>
      <c r="O70" s="69">
        <f>-[21]Relief!O87</f>
        <v>4.6423025139999989</v>
      </c>
      <c r="P70" s="69">
        <f>-[21]Relief!P87</f>
        <v>6.7853068819999995</v>
      </c>
      <c r="Q70" s="119">
        <f t="shared" si="35"/>
        <v>43.682159259999999</v>
      </c>
      <c r="S70" s="69">
        <f t="shared" si="36"/>
        <v>2.2744157</v>
      </c>
      <c r="T70" s="69">
        <f t="shared" si="36"/>
        <v>0</v>
      </c>
      <c r="U70" s="69">
        <f t="shared" si="36"/>
        <v>0</v>
      </c>
      <c r="V70" s="69">
        <f t="shared" si="37"/>
        <v>2.2744157</v>
      </c>
      <c r="X70" s="69">
        <f t="shared" si="38"/>
        <v>2.2744157</v>
      </c>
      <c r="Z70" s="69">
        <f t="shared" si="39"/>
        <v>8.3517279999999996</v>
      </c>
      <c r="AA70" s="69">
        <f t="shared" si="40"/>
        <v>9.2306048000000018</v>
      </c>
      <c r="AB70" s="69">
        <f t="shared" si="41"/>
        <v>10.87450907</v>
      </c>
      <c r="AC70" s="69">
        <f t="shared" si="42"/>
        <v>15.225317389999997</v>
      </c>
      <c r="AD70" s="69">
        <f t="shared" si="43"/>
        <v>43.682159260000006</v>
      </c>
    </row>
    <row r="71" spans="1:32">
      <c r="A71" s="78" t="s">
        <v>59</v>
      </c>
      <c r="B71" s="73"/>
      <c r="C71" s="73"/>
      <c r="D71" s="73"/>
      <c r="E71" s="70">
        <f>[22]Act!D206</f>
        <v>-1.9535469999999999</v>
      </c>
      <c r="F71" s="70">
        <f>[22]Act!E206</f>
        <v>-5.487479999999989E-2</v>
      </c>
      <c r="G71" s="69">
        <f>[22]Act!F206</f>
        <v>4.8354599999999998E-2</v>
      </c>
      <c r="H71" s="69">
        <f>[22]Act!G206</f>
        <v>7.5404900000000052E-2</v>
      </c>
      <c r="I71" s="69">
        <f>[22]Act!H206</f>
        <v>1.4994999999999998</v>
      </c>
      <c r="J71" s="69">
        <f>[22]Act!I206</f>
        <v>0</v>
      </c>
      <c r="K71" s="69">
        <f>[22]Act!J206</f>
        <v>0</v>
      </c>
      <c r="L71" s="69">
        <f>[22]Act!K206</f>
        <v>0</v>
      </c>
      <c r="M71" s="69">
        <f>[22]Act!L206</f>
        <v>0</v>
      </c>
      <c r="N71" s="69">
        <f>[22]Act!M206</f>
        <v>0</v>
      </c>
      <c r="O71" s="69">
        <f>[22]Act!N206</f>
        <v>0</v>
      </c>
      <c r="P71" s="69">
        <f>[22]Act!O206</f>
        <v>0</v>
      </c>
      <c r="Q71" s="119">
        <f t="shared" si="35"/>
        <v>-0.38516229999999996</v>
      </c>
      <c r="S71" s="69">
        <f t="shared" si="36"/>
        <v>-1.9535469999999999</v>
      </c>
      <c r="T71" s="69">
        <f t="shared" si="36"/>
        <v>0</v>
      </c>
      <c r="U71" s="69">
        <f t="shared" si="36"/>
        <v>0</v>
      </c>
      <c r="V71" s="69">
        <f t="shared" si="37"/>
        <v>-1.9535469999999999</v>
      </c>
      <c r="X71" s="69">
        <f t="shared" si="38"/>
        <v>-1.9535469999999999</v>
      </c>
      <c r="Z71" s="69">
        <f t="shared" si="39"/>
        <v>-1.9600671999999999</v>
      </c>
      <c r="AA71" s="69">
        <f t="shared" si="40"/>
        <v>1.5749048999999999</v>
      </c>
      <c r="AB71" s="69">
        <f t="shared" si="41"/>
        <v>0</v>
      </c>
      <c r="AC71" s="69">
        <f t="shared" si="42"/>
        <v>0</v>
      </c>
      <c r="AD71" s="69">
        <f t="shared" si="43"/>
        <v>-0.38516229999999996</v>
      </c>
    </row>
    <row r="72" spans="1:32">
      <c r="A72" s="78" t="s">
        <v>60</v>
      </c>
      <c r="B72" s="96"/>
      <c r="C72" s="96"/>
      <c r="D72" s="97"/>
      <c r="E72" s="70">
        <f>'[21]New KPI Actual'!F344</f>
        <v>0.14099999999999999</v>
      </c>
      <c r="F72" s="70">
        <f>'[21]New KPI Actual'!G344</f>
        <v>0.92700000000000005</v>
      </c>
      <c r="G72" s="69">
        <f>'[21]New KPI Actual'!H344</f>
        <v>0.183</v>
      </c>
      <c r="H72" s="69">
        <f>'[21]New KPI Actual'!I344</f>
        <v>0.89500000000000002</v>
      </c>
      <c r="I72" s="69">
        <f>'[21]New KPI Actual'!J344</f>
        <v>0.68600000000000005</v>
      </c>
      <c r="J72" s="701">
        <f>'[21]New KPI Actual'!K344</f>
        <v>0.59770000000000001</v>
      </c>
      <c r="K72" s="69">
        <f>'[21]New KPI Actual'!L344</f>
        <v>0.64670000000000005</v>
      </c>
      <c r="L72" s="69">
        <f>'[21]New KPI Actual'!M344</f>
        <v>0.47299999999999998</v>
      </c>
      <c r="M72" s="69">
        <f>'[21]New KPI Actual'!N344</f>
        <v>0.46600000000000003</v>
      </c>
      <c r="N72" s="69">
        <f>'[21]New KPI Actual'!O344</f>
        <v>0.51400000000000001</v>
      </c>
      <c r="O72" s="69">
        <f>'[21]New KPI Actual'!P344</f>
        <v>0.42799999999999999</v>
      </c>
      <c r="P72" s="69">
        <f>'[21]New KPI Actual'!Q344</f>
        <v>0.81899999999999995</v>
      </c>
      <c r="Q72" s="119">
        <f t="shared" si="35"/>
        <v>6.7763999999999998</v>
      </c>
      <c r="S72" s="69">
        <f t="shared" si="36"/>
        <v>0.14099999999999999</v>
      </c>
      <c r="T72" s="69">
        <f t="shared" si="36"/>
        <v>0</v>
      </c>
      <c r="U72" s="69">
        <f t="shared" si="36"/>
        <v>0</v>
      </c>
      <c r="V72" s="69">
        <f t="shared" si="37"/>
        <v>0.14099999999999999</v>
      </c>
      <c r="X72" s="69">
        <f t="shared" si="38"/>
        <v>0.14099999999999999</v>
      </c>
      <c r="Z72" s="69">
        <f t="shared" si="39"/>
        <v>1.2510000000000001</v>
      </c>
      <c r="AA72" s="69">
        <f t="shared" si="40"/>
        <v>2.1787000000000001</v>
      </c>
      <c r="AB72" s="69">
        <f t="shared" si="41"/>
        <v>1.5856999999999999</v>
      </c>
      <c r="AC72" s="69">
        <f t="shared" si="42"/>
        <v>1.7609999999999999</v>
      </c>
      <c r="AD72" s="69">
        <f t="shared" si="43"/>
        <v>6.7764000000000006</v>
      </c>
    </row>
    <row r="73" spans="1:32" ht="15.95" customHeight="1">
      <c r="A73" s="78" t="s">
        <v>262</v>
      </c>
      <c r="B73" s="96"/>
      <c r="C73" s="96"/>
      <c r="D73" s="97"/>
      <c r="E73" s="70">
        <f>'[21]New KPI Actual'!F45</f>
        <v>2.2546439973448797</v>
      </c>
      <c r="F73" s="70">
        <f>'[21]New KPI Actual'!G45</f>
        <v>2.2359900205328698</v>
      </c>
      <c r="G73" s="70">
        <f>'[21]New KPI Actual'!H45</f>
        <v>2.1925870892448822</v>
      </c>
      <c r="H73" s="70">
        <f>'[21]New KPI Actual'!I45</f>
        <v>2.1261450562374615</v>
      </c>
      <c r="I73" s="70">
        <f>'[21]New KPI Actual'!J45</f>
        <v>2.1235463107522752</v>
      </c>
      <c r="J73" s="701">
        <f>'[21]New KPI Actual'!K45</f>
        <v>2.1726958683850643</v>
      </c>
      <c r="K73" s="70">
        <f>'[21]New KPI Actual'!L45</f>
        <v>2.1726958683850643</v>
      </c>
      <c r="L73" s="70">
        <f>'[21]New KPI Actual'!M45</f>
        <v>2.1726958683850643</v>
      </c>
      <c r="M73" s="70">
        <f>'[21]New KPI Actual'!N45</f>
        <v>2.1726958683850643</v>
      </c>
      <c r="N73" s="70">
        <f>'[21]New KPI Actual'!O45</f>
        <v>2.1726958683850643</v>
      </c>
      <c r="O73" s="70">
        <f>'[21]New KPI Actual'!P45</f>
        <v>2.1726958683850643</v>
      </c>
      <c r="P73" s="70">
        <f>'[21]New KPI Actual'!Q45</f>
        <v>-5.488441138814836</v>
      </c>
      <c r="Q73" s="119">
        <f t="shared" si="35"/>
        <v>18.480646545607911</v>
      </c>
      <c r="S73" s="69">
        <f t="shared" si="36"/>
        <v>2.2546439973448797</v>
      </c>
      <c r="T73" s="69">
        <f t="shared" si="36"/>
        <v>0</v>
      </c>
      <c r="U73" s="69">
        <f t="shared" si="36"/>
        <v>0</v>
      </c>
      <c r="V73" s="69">
        <f t="shared" si="37"/>
        <v>2.2546439973448797</v>
      </c>
      <c r="X73" s="69">
        <f t="shared" si="38"/>
        <v>2.2546439973448797</v>
      </c>
      <c r="Z73" s="69">
        <f t="shared" si="39"/>
        <v>6.6832211071226313</v>
      </c>
      <c r="AA73" s="69">
        <f t="shared" si="40"/>
        <v>6.4223872353748011</v>
      </c>
      <c r="AB73" s="69">
        <f t="shared" si="41"/>
        <v>6.518087605155193</v>
      </c>
      <c r="AC73" s="69">
        <f t="shared" si="42"/>
        <v>-1.1430494020447073</v>
      </c>
      <c r="AD73" s="69">
        <f t="shared" si="43"/>
        <v>18.480646545607922</v>
      </c>
    </row>
    <row r="74" spans="1:32" ht="15.95" customHeight="1">
      <c r="A74" s="706" t="s">
        <v>425</v>
      </c>
      <c r="B74" s="707"/>
      <c r="C74" s="707"/>
      <c r="D74" s="708"/>
      <c r="E74" s="70">
        <v>0</v>
      </c>
      <c r="F74" s="70">
        <v>0</v>
      </c>
      <c r="G74" s="70">
        <v>0</v>
      </c>
      <c r="H74" s="70">
        <v>0</v>
      </c>
      <c r="I74" s="70">
        <v>0</v>
      </c>
      <c r="J74" s="70">
        <v>0</v>
      </c>
      <c r="K74" s="70">
        <v>0</v>
      </c>
      <c r="L74" s="70">
        <v>0</v>
      </c>
      <c r="M74" s="70">
        <v>0</v>
      </c>
      <c r="N74" s="70">
        <v>0</v>
      </c>
      <c r="O74" s="70">
        <v>0</v>
      </c>
      <c r="P74" s="70">
        <v>0</v>
      </c>
      <c r="Q74" s="119">
        <f t="shared" si="35"/>
        <v>0</v>
      </c>
      <c r="S74" s="69">
        <f t="shared" si="36"/>
        <v>0</v>
      </c>
      <c r="T74" s="69">
        <f t="shared" si="36"/>
        <v>0</v>
      </c>
      <c r="U74" s="69">
        <f t="shared" si="36"/>
        <v>0</v>
      </c>
      <c r="V74" s="69">
        <f>SUM(S74:U74)</f>
        <v>0</v>
      </c>
      <c r="X74" s="69">
        <f t="shared" si="38"/>
        <v>0</v>
      </c>
      <c r="Z74" s="69">
        <f>SUM(E74:G74)</f>
        <v>0</v>
      </c>
      <c r="AA74" s="69">
        <f>SUM(H74:J74)</f>
        <v>0</v>
      </c>
      <c r="AB74" s="69">
        <f>SUM(K74:M74)</f>
        <v>0</v>
      </c>
      <c r="AC74" s="69">
        <f>SUM(N74:P74)</f>
        <v>0</v>
      </c>
      <c r="AD74" s="69">
        <f>SUM(Z74:AC74)</f>
        <v>0</v>
      </c>
      <c r="AF74" s="69">
        <f>AA74-Z74</f>
        <v>0</v>
      </c>
    </row>
    <row r="75" spans="1:32" ht="15.95" customHeight="1">
      <c r="A75" s="706" t="s">
        <v>423</v>
      </c>
      <c r="B75" s="707"/>
      <c r="C75" s="707"/>
      <c r="D75" s="708"/>
      <c r="E75" s="70">
        <f>[10]Relief!E98</f>
        <v>0</v>
      </c>
      <c r="F75" s="70">
        <f>[10]Relief!F98</f>
        <v>0</v>
      </c>
      <c r="G75" s="70">
        <f>[10]Relief!G98</f>
        <v>0</v>
      </c>
      <c r="H75" s="70">
        <f>[10]Relief!H98</f>
        <v>0</v>
      </c>
      <c r="I75" s="70">
        <f>[10]Relief!I98</f>
        <v>0</v>
      </c>
      <c r="J75" s="701">
        <f>[10]Relief!J98</f>
        <v>0</v>
      </c>
      <c r="K75" s="70">
        <f>[10]Relief!K98</f>
        <v>0</v>
      </c>
      <c r="L75" s="70">
        <f>[10]Relief!L98</f>
        <v>0</v>
      </c>
      <c r="M75" s="70">
        <f>[10]Relief!M98</f>
        <v>0</v>
      </c>
      <c r="N75" s="70">
        <f>[10]Relief!N98</f>
        <v>0</v>
      </c>
      <c r="O75" s="70">
        <f>[10]Relief!O98</f>
        <v>0</v>
      </c>
      <c r="P75" s="70">
        <f>[10]Relief!P98</f>
        <v>0</v>
      </c>
      <c r="Q75" s="119">
        <f t="shared" si="35"/>
        <v>0</v>
      </c>
      <c r="S75" s="69">
        <f t="shared" si="36"/>
        <v>0</v>
      </c>
      <c r="T75" s="69">
        <f t="shared" si="36"/>
        <v>0</v>
      </c>
      <c r="U75" s="69">
        <f t="shared" si="36"/>
        <v>0</v>
      </c>
      <c r="V75" s="69">
        <f>SUM(S75:U75)</f>
        <v>0</v>
      </c>
      <c r="X75" s="69">
        <f t="shared" si="38"/>
        <v>0</v>
      </c>
      <c r="Z75" s="69">
        <f>SUM(E75:G75)</f>
        <v>0</v>
      </c>
      <c r="AA75" s="69">
        <f>SUM(H75:J75)</f>
        <v>0</v>
      </c>
      <c r="AB75" s="69">
        <f>SUM(K75:M75)</f>
        <v>0</v>
      </c>
      <c r="AC75" s="69">
        <f>SUM(N75:P75)</f>
        <v>0</v>
      </c>
      <c r="AD75" s="69">
        <f>SUM(Z75:AC75)</f>
        <v>0</v>
      </c>
    </row>
    <row r="76" spans="1:32" ht="15.95" customHeight="1">
      <c r="A76" s="706" t="s">
        <v>424</v>
      </c>
      <c r="B76" s="707"/>
      <c r="C76" s="707"/>
      <c r="D76" s="708"/>
      <c r="E76" s="70">
        <f>[10]Relief!E93</f>
        <v>0</v>
      </c>
      <c r="F76" s="70">
        <f>[10]Relief!F93</f>
        <v>0</v>
      </c>
      <c r="G76" s="70">
        <f>[10]Relief!G93</f>
        <v>0</v>
      </c>
      <c r="H76" s="70">
        <f>[10]Relief!H93</f>
        <v>0</v>
      </c>
      <c r="I76" s="70">
        <f>[10]Relief!I93</f>
        <v>0</v>
      </c>
      <c r="J76" s="701">
        <f>[10]Relief!J93</f>
        <v>0</v>
      </c>
      <c r="K76" s="70">
        <f>[10]Relief!K93</f>
        <v>0</v>
      </c>
      <c r="L76" s="70">
        <f>[10]Relief!L93</f>
        <v>0</v>
      </c>
      <c r="M76" s="70">
        <f>[10]Relief!M93</f>
        <v>0</v>
      </c>
      <c r="N76" s="70">
        <f>[10]Relief!N93</f>
        <v>0</v>
      </c>
      <c r="O76" s="70">
        <f>[10]Relief!O93</f>
        <v>0</v>
      </c>
      <c r="P76" s="70">
        <f>[10]Relief!P93</f>
        <v>0</v>
      </c>
      <c r="Q76" s="119">
        <f t="shared" si="35"/>
        <v>0</v>
      </c>
      <c r="S76" s="69">
        <f t="shared" si="36"/>
        <v>0</v>
      </c>
      <c r="T76" s="69">
        <f t="shared" si="36"/>
        <v>0</v>
      </c>
      <c r="U76" s="69">
        <f t="shared" si="36"/>
        <v>0</v>
      </c>
      <c r="V76" s="69">
        <f>SUM(S76:U76)</f>
        <v>0</v>
      </c>
      <c r="X76" s="69">
        <f t="shared" si="38"/>
        <v>0</v>
      </c>
      <c r="Z76" s="69">
        <f>SUM(E76:G76)</f>
        <v>0</v>
      </c>
      <c r="AA76" s="69">
        <f>SUM(H76:J76)</f>
        <v>0</v>
      </c>
      <c r="AB76" s="69">
        <f>SUM(K76:M76)</f>
        <v>0</v>
      </c>
      <c r="AC76" s="69">
        <f>SUM(N76:P76)</f>
        <v>0</v>
      </c>
      <c r="AD76" s="69">
        <f>SUM(Z76:AC76)</f>
        <v>0</v>
      </c>
    </row>
    <row r="77" spans="1:32" ht="15.95" customHeight="1">
      <c r="A77" s="706" t="s">
        <v>421</v>
      </c>
      <c r="B77" s="707"/>
      <c r="C77" s="707"/>
      <c r="D77" s="708"/>
      <c r="E77" s="662">
        <f>[10]Relief!E94</f>
        <v>0</v>
      </c>
      <c r="F77" s="662">
        <f>[10]Relief!F94</f>
        <v>0</v>
      </c>
      <c r="G77" s="662">
        <f>[10]Relief!G94</f>
        <v>0</v>
      </c>
      <c r="H77" s="662">
        <f>[10]Relief!H94</f>
        <v>0</v>
      </c>
      <c r="I77" s="662">
        <f>[10]Relief!I94</f>
        <v>0</v>
      </c>
      <c r="J77" s="702">
        <f>[10]Relief!J94</f>
        <v>0</v>
      </c>
      <c r="K77" s="662">
        <f>[10]Relief!K94</f>
        <v>0</v>
      </c>
      <c r="L77" s="662">
        <f>[10]Relief!L94</f>
        <v>0</v>
      </c>
      <c r="M77" s="662">
        <f>[10]Relief!M94</f>
        <v>0</v>
      </c>
      <c r="N77" s="662">
        <f>[10]Relief!N94</f>
        <v>0</v>
      </c>
      <c r="O77" s="662">
        <f>[10]Relief!O94</f>
        <v>0</v>
      </c>
      <c r="P77" s="662">
        <f>[10]Relief!P94</f>
        <v>0</v>
      </c>
      <c r="Q77" s="119">
        <f t="shared" si="35"/>
        <v>0</v>
      </c>
      <c r="S77" s="69">
        <f t="shared" si="36"/>
        <v>0</v>
      </c>
      <c r="T77" s="69">
        <f t="shared" si="36"/>
        <v>0</v>
      </c>
      <c r="U77" s="69">
        <f t="shared" si="36"/>
        <v>0</v>
      </c>
      <c r="V77" s="69">
        <f>SUM(S77:U77)</f>
        <v>0</v>
      </c>
      <c r="X77" s="69">
        <f t="shared" si="38"/>
        <v>0</v>
      </c>
      <c r="Z77" s="69">
        <f>SUM(E77:G77)</f>
        <v>0</v>
      </c>
      <c r="AA77" s="69">
        <f>SUM(H77:J77)</f>
        <v>0</v>
      </c>
      <c r="AB77" s="69">
        <f>SUM(K77:M77)</f>
        <v>0</v>
      </c>
      <c r="AC77" s="69">
        <f>SUM(N77:P77)</f>
        <v>0</v>
      </c>
      <c r="AD77" s="69">
        <f>SUM(Z77:AC77)</f>
        <v>0</v>
      </c>
    </row>
    <row r="78" spans="1:32" ht="15.95" customHeight="1">
      <c r="A78" s="376"/>
      <c r="B78" s="60"/>
      <c r="C78" s="60"/>
      <c r="D78" s="60"/>
      <c r="E78" s="377"/>
      <c r="F78" s="377"/>
      <c r="G78" s="377"/>
      <c r="H78" s="377"/>
      <c r="I78" s="377"/>
      <c r="J78" s="377"/>
      <c r="K78" s="377"/>
      <c r="L78" s="377"/>
      <c r="M78" s="377"/>
      <c r="N78" s="377"/>
      <c r="O78" s="377"/>
      <c r="P78" s="377"/>
      <c r="Q78" s="638"/>
      <c r="S78" s="378"/>
      <c r="T78" s="378"/>
      <c r="U78" s="378"/>
      <c r="V78" s="378"/>
      <c r="X78" s="378"/>
      <c r="Z78" s="378"/>
      <c r="AA78" s="378"/>
      <c r="AB78" s="378"/>
      <c r="AC78" s="378"/>
      <c r="AD78" s="378"/>
    </row>
    <row r="79" spans="1:32" ht="15.95" customHeight="1">
      <c r="A79" s="376"/>
      <c r="B79" s="60"/>
      <c r="C79" s="60"/>
      <c r="D79" s="60"/>
      <c r="E79" s="377"/>
      <c r="F79" s="377"/>
      <c r="G79" s="377"/>
      <c r="H79" s="377"/>
      <c r="I79" s="377"/>
      <c r="J79" s="377"/>
      <c r="K79" s="377"/>
      <c r="L79" s="377"/>
      <c r="M79" s="377"/>
      <c r="N79" s="377"/>
      <c r="O79" s="377"/>
      <c r="P79" s="377"/>
      <c r="Q79" s="638"/>
      <c r="S79" s="378"/>
      <c r="T79" s="378"/>
      <c r="U79" s="378"/>
      <c r="V79" s="378"/>
      <c r="X79" s="378"/>
      <c r="Z79" s="378"/>
      <c r="AA79" s="378"/>
      <c r="AB79" s="378"/>
      <c r="AC79" s="378"/>
      <c r="AD79" s="378"/>
    </row>
    <row r="80" spans="1:32" ht="15.95" customHeight="1">
      <c r="A80" s="376"/>
      <c r="B80" s="60"/>
      <c r="C80" s="60"/>
      <c r="D80" s="60"/>
      <c r="E80" s="377"/>
      <c r="F80" s="377"/>
      <c r="G80" s="377"/>
      <c r="H80" s="377"/>
      <c r="I80" s="377"/>
      <c r="J80" s="377"/>
      <c r="K80" s="377"/>
      <c r="L80" s="377"/>
      <c r="M80" s="377"/>
      <c r="N80" s="377"/>
      <c r="O80" s="377"/>
      <c r="P80" s="377"/>
      <c r="Q80" s="366"/>
      <c r="S80" s="378"/>
      <c r="T80" s="378"/>
      <c r="U80" s="378"/>
      <c r="V80" s="378"/>
      <c r="X80" s="378"/>
      <c r="Z80" s="378"/>
      <c r="AA80" s="378"/>
      <c r="AB80" s="378"/>
      <c r="AC80" s="378"/>
      <c r="AD80" s="378"/>
    </row>
    <row r="81" spans="1:30">
      <c r="A81" s="94"/>
      <c r="B81" s="94"/>
      <c r="C81" s="94"/>
      <c r="D81" s="103" t="s">
        <v>61</v>
      </c>
      <c r="E81" s="98">
        <f>E46-SUM(E62:E77)-E54</f>
        <v>0</v>
      </c>
      <c r="F81" s="98">
        <f t="shared" ref="F81:P81" si="44">F46-SUM(F62:F77)-F54</f>
        <v>-1.6342482922482304E-13</v>
      </c>
      <c r="G81" s="98">
        <f t="shared" si="44"/>
        <v>7.815970093361102E-14</v>
      </c>
      <c r="H81" s="98">
        <f t="shared" si="44"/>
        <v>-1.9895196601282805E-13</v>
      </c>
      <c r="I81" s="98">
        <f t="shared" si="44"/>
        <v>-4.9737991503207013E-14</v>
      </c>
      <c r="J81" s="98">
        <f t="shared" si="44"/>
        <v>1.7763568394002505E-13</v>
      </c>
      <c r="K81" s="98">
        <f t="shared" si="44"/>
        <v>-9.9475983006414026E-14</v>
      </c>
      <c r="L81" s="98">
        <f t="shared" si="44"/>
        <v>-2.1316282072803006E-13</v>
      </c>
      <c r="M81" s="98">
        <f t="shared" si="44"/>
        <v>-1.2789769243681803E-13</v>
      </c>
      <c r="N81" s="98">
        <f t="shared" si="44"/>
        <v>1.1368683772161603E-13</v>
      </c>
      <c r="O81" s="98">
        <f t="shared" si="44"/>
        <v>-7.1054273576010019E-14</v>
      </c>
      <c r="P81" s="98">
        <f t="shared" si="44"/>
        <v>7.815970093361102E-14</v>
      </c>
      <c r="Q81" s="98">
        <f>Q46-SUM(Q62:Q77)-Q54</f>
        <v>-3.4106051316484809E-13</v>
      </c>
      <c r="S81" s="98">
        <f>S46-SUM(S62:S77)-S54</f>
        <v>0</v>
      </c>
      <c r="T81" s="98">
        <f>T46-SUM(T62:T77)-T54</f>
        <v>0</v>
      </c>
      <c r="U81" s="98">
        <f>U46-SUM(U62:U77)-U54</f>
        <v>0</v>
      </c>
      <c r="V81" s="98">
        <f>V46-SUM(V62:V77)-V54</f>
        <v>0</v>
      </c>
      <c r="X81" s="98">
        <f>X46-SUM(X62:X77)-X54</f>
        <v>0</v>
      </c>
      <c r="Z81" s="98">
        <f>Z46-SUM(Z62:Z77)-Z54</f>
        <v>-3.694822225952521E-13</v>
      </c>
      <c r="AA81" s="98">
        <f>AA46-SUM(AA62:AA77)-AA54</f>
        <v>-4.6185277824406512E-13</v>
      </c>
      <c r="AB81" s="98">
        <f>AB46-SUM(AB62:AB77)-AB54</f>
        <v>-3.0553337637684308E-13</v>
      </c>
      <c r="AC81" s="98">
        <f>AC46-SUM(AC62:AC77)-AC54</f>
        <v>-6.2527760746888816E-13</v>
      </c>
      <c r="AD81" s="98">
        <f>AD46-SUM(AD62:AD77)-AD54</f>
        <v>-7.3896444519050419E-13</v>
      </c>
    </row>
    <row r="82" spans="1:30">
      <c r="A82" s="94"/>
      <c r="B82" s="94"/>
      <c r="C82" s="94"/>
      <c r="D82" s="103" t="s">
        <v>62</v>
      </c>
      <c r="E82" s="98">
        <f>E26-SUM(E62:E63,E65:E70,E72)</f>
        <v>63.237619418000122</v>
      </c>
      <c r="F82" s="98">
        <f t="shared" ref="F82:Q82" si="45">F26-SUM(F62:F63,F65:F70,F72)</f>
        <v>81.535987771999373</v>
      </c>
      <c r="G82" s="98">
        <f t="shared" si="45"/>
        <v>72.590191914001025</v>
      </c>
      <c r="H82" s="98">
        <f t="shared" si="45"/>
        <v>76.429386700999274</v>
      </c>
      <c r="I82" s="98">
        <f t="shared" si="45"/>
        <v>77.532483202999998</v>
      </c>
      <c r="J82" s="98">
        <f t="shared" si="45"/>
        <v>146.5132106360042</v>
      </c>
      <c r="K82" s="98">
        <f t="shared" si="45"/>
        <v>106.5861506604486</v>
      </c>
      <c r="L82" s="98">
        <f t="shared" si="45"/>
        <v>113.2420965338777</v>
      </c>
      <c r="M82" s="98">
        <f t="shared" si="45"/>
        <v>179.87698096159059</v>
      </c>
      <c r="N82" s="98">
        <f t="shared" si="45"/>
        <v>114.27974241265981</v>
      </c>
      <c r="O82" s="98">
        <f t="shared" si="45"/>
        <v>109.82730433815055</v>
      </c>
      <c r="P82" s="98">
        <f t="shared" si="45"/>
        <v>169.59315264881383</v>
      </c>
      <c r="Q82" s="98">
        <f t="shared" si="45"/>
        <v>1311.2443071995449</v>
      </c>
      <c r="S82" s="98">
        <f>S26-SUM(S62:S63,S65:S70,S72)</f>
        <v>63.237619418000122</v>
      </c>
      <c r="T82" s="98">
        <f>T26-SUM(T62:T63,T65:T70,T72)</f>
        <v>0</v>
      </c>
      <c r="U82" s="98">
        <f>U26-SUM(U62:U63,U65:U70,U72)</f>
        <v>0</v>
      </c>
      <c r="V82" s="98">
        <f>V26-SUM(V62:V63,V65:V70,V72)</f>
        <v>63.237619418000122</v>
      </c>
      <c r="X82" s="98">
        <f>X26-SUM(X62:X63,X65:X70,X72)</f>
        <v>63.237619418000122</v>
      </c>
      <c r="Z82" s="98">
        <f>Z26-SUM(Z62:Z63,Z65:Z70,Z72)</f>
        <v>217.36379910400024</v>
      </c>
      <c r="AA82" s="98">
        <f>AA26-SUM(AA62:AA63,AA65:AA70,AA72)</f>
        <v>300.47508054000309</v>
      </c>
      <c r="AB82" s="98">
        <f>AB26-SUM(AB62:AB63,AB65:AB70,AB72)</f>
        <v>399.70522815591698</v>
      </c>
      <c r="AC82" s="98">
        <f>AC26-SUM(AC62:AC63,AC65:AC70,AC72)</f>
        <v>393.7001993996235</v>
      </c>
      <c r="AD82" s="98">
        <f>AD26-SUM(AD62:AD63,AD65:AD70,AD72)</f>
        <v>1311.2443071995447</v>
      </c>
    </row>
    <row r="83" spans="1:30">
      <c r="A83" s="94"/>
      <c r="B83" s="94"/>
      <c r="C83" s="94"/>
      <c r="D83" s="103" t="s">
        <v>63</v>
      </c>
      <c r="E83" s="98">
        <f>E45-E64-E71-E73-E75-E76-E77-E74</f>
        <v>-134.40743371800002</v>
      </c>
      <c r="F83" s="98">
        <f t="shared" ref="F83:Q83" si="46">F45-F64-F71-F73-F75-F76-F77-F74</f>
        <v>-97.017769971999982</v>
      </c>
      <c r="G83" s="98">
        <f t="shared" si="46"/>
        <v>-121.745654614</v>
      </c>
      <c r="H83" s="98">
        <f t="shared" si="46"/>
        <v>-116.39243720100002</v>
      </c>
      <c r="I83" s="98">
        <f t="shared" si="46"/>
        <v>-98.671930103000022</v>
      </c>
      <c r="J83" s="98">
        <f t="shared" si="46"/>
        <v>-128.04521155530455</v>
      </c>
      <c r="K83" s="98">
        <f t="shared" si="46"/>
        <v>-128.92812361976817</v>
      </c>
      <c r="L83" s="98">
        <f t="shared" si="46"/>
        <v>-131.57556761051717</v>
      </c>
      <c r="M83" s="98">
        <f t="shared" si="46"/>
        <v>-112.04619238884555</v>
      </c>
      <c r="N83" s="98">
        <f t="shared" si="46"/>
        <v>-117.25192276225857</v>
      </c>
      <c r="O83" s="98">
        <f t="shared" si="46"/>
        <v>-116.19574289155497</v>
      </c>
      <c r="P83" s="98">
        <f t="shared" si="46"/>
        <v>-110.75869405837371</v>
      </c>
      <c r="Q83" s="98">
        <f t="shared" si="46"/>
        <v>-1413.0366804946227</v>
      </c>
      <c r="S83" s="98">
        <f>S45-S64-S71-S73-S75-S76-S77-S74</f>
        <v>-134.40743371800002</v>
      </c>
      <c r="T83" s="98">
        <f>T45-T64-T71-T73-T75-T76-T77-T74</f>
        <v>0</v>
      </c>
      <c r="U83" s="98">
        <f>U45-U64-U71-U73-U75-U76-U77-U74</f>
        <v>0</v>
      </c>
      <c r="V83" s="98">
        <f>V45-V64-V71-V73-V75-V76-V77-V74</f>
        <v>-134.40743371800002</v>
      </c>
      <c r="X83" s="98">
        <f>X45-X64-X71-X73-X75-X76-X77-X74</f>
        <v>-134.40743371800002</v>
      </c>
      <c r="Z83" s="98">
        <f>Z45-Z64-Z71-Z73-Z75-Z76-Z77-Z74</f>
        <v>-353.17085830399992</v>
      </c>
      <c r="AA83" s="98">
        <f>AA45-AA64-AA71-AA73-AA75-AA76-AA77-AA74</f>
        <v>-343.10957885930463</v>
      </c>
      <c r="AB83" s="98">
        <f>AB45-AB64-AB71-AB73-AB75-AB76-AB77-AB74</f>
        <v>-372.54988361913087</v>
      </c>
      <c r="AC83" s="98">
        <f>AC45-AC64-AC71-AC73-AC75-AC76-AC77-AC74</f>
        <v>-344.20635971218729</v>
      </c>
      <c r="AD83" s="98">
        <f>AD45-AD64-AD71-AD73-AD75-AD76-AD77-AD74</f>
        <v>-1413.0366804946227</v>
      </c>
    </row>
    <row r="84" spans="1:30">
      <c r="A84" s="2"/>
      <c r="B84" s="2"/>
      <c r="C84" s="2"/>
      <c r="D84" s="104" t="s">
        <v>64</v>
      </c>
      <c r="E84" s="99">
        <f>SUM(E82:E83)-E54</f>
        <v>0</v>
      </c>
      <c r="F84" s="99">
        <f t="shared" ref="F84:P84" si="47">SUM(F82:F83)-F54</f>
        <v>-1.7053025658242404E-13</v>
      </c>
      <c r="G84" s="99">
        <f t="shared" si="47"/>
        <v>7.1054273576010019E-14</v>
      </c>
      <c r="H84" s="99">
        <f t="shared" si="47"/>
        <v>-1.9184653865522705E-13</v>
      </c>
      <c r="I84" s="99">
        <f t="shared" si="47"/>
        <v>-4.2632564145606011E-14</v>
      </c>
      <c r="J84" s="99">
        <f t="shared" si="47"/>
        <v>1.7053025658242404E-13</v>
      </c>
      <c r="K84" s="99">
        <f t="shared" si="47"/>
        <v>-9.9475983006414026E-14</v>
      </c>
      <c r="L84" s="99">
        <f t="shared" si="47"/>
        <v>-2.0605739337042905E-13</v>
      </c>
      <c r="M84" s="99">
        <f t="shared" si="47"/>
        <v>-1.2789769243681803E-13</v>
      </c>
      <c r="N84" s="99">
        <f t="shared" si="47"/>
        <v>1.1368683772161603E-13</v>
      </c>
      <c r="O84" s="99">
        <f t="shared" si="47"/>
        <v>-6.3948846218409017E-14</v>
      </c>
      <c r="P84" s="99">
        <f t="shared" si="47"/>
        <v>9.2370555648813024E-14</v>
      </c>
      <c r="Q84" s="99">
        <f>SUM(Q82:Q83)-Q54</f>
        <v>-5.6843418860808015E-13</v>
      </c>
      <c r="S84" s="99">
        <f>SUM(S82:S83)-S54</f>
        <v>0</v>
      </c>
      <c r="T84" s="99">
        <f>SUM(T82:T83)-T54</f>
        <v>0</v>
      </c>
      <c r="U84" s="99">
        <f>SUM(U82:U83)-U54</f>
        <v>0</v>
      </c>
      <c r="V84" s="99">
        <f>SUM(V82:V83)-V54</f>
        <v>0</v>
      </c>
      <c r="X84" s="99">
        <f>SUM(X82:X83)-X54</f>
        <v>0</v>
      </c>
      <c r="Z84" s="99">
        <f>SUM(Z82:Z83)-Z54</f>
        <v>-3.1263880373444408E-13</v>
      </c>
      <c r="AA84" s="99">
        <f>SUM(AA82:AA83)-AA54</f>
        <v>-4.9027448767446913E-13</v>
      </c>
      <c r="AB84" s="99">
        <f>SUM(AB82:AB83)-AB54</f>
        <v>-3.0553337637684308E-13</v>
      </c>
      <c r="AC84" s="99">
        <f>SUM(AC82:AC83)-AC54</f>
        <v>-5.9685589803848416E-13</v>
      </c>
      <c r="AD84" s="99">
        <f>SUM(AD82:AD83)-AD54</f>
        <v>-8.5265128291212022E-13</v>
      </c>
    </row>
    <row r="87" spans="1:30">
      <c r="E87" s="121"/>
      <c r="F87" s="121"/>
      <c r="G87" s="121"/>
      <c r="H87" s="121"/>
      <c r="I87" s="121"/>
      <c r="J87" s="121"/>
      <c r="K87" s="121"/>
      <c r="L87" s="121"/>
      <c r="M87" s="121"/>
      <c r="N87" s="121"/>
      <c r="O87" s="121"/>
      <c r="P87" s="121"/>
      <c r="Q87" s="121"/>
      <c r="R87" s="121"/>
    </row>
  </sheetData>
  <pageMargins left="0.7" right="0.7" top="0.75" bottom="0.75" header="0.3" footer="0.3"/>
  <customProperties>
    <customPr name="EpmWorksheetKeyString_GUID" r:id="rId1"/>
  </customPropertie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3372F-29DE-4A1E-84E3-3C14B6D7EA4E}">
  <sheetPr>
    <tabColor rgb="FF00B050"/>
  </sheetPr>
  <dimension ref="A1:AF87"/>
  <sheetViews>
    <sheetView showGridLines="0" topLeftCell="D13" zoomScale="70" zoomScaleNormal="70" workbookViewId="0">
      <selection activeCell="X66" sqref="X66"/>
    </sheetView>
  </sheetViews>
  <sheetFormatPr defaultRowHeight="15" outlineLevelRow="1"/>
  <cols>
    <col min="1" max="1" width="2.140625" customWidth="1"/>
    <col min="2" max="2" width="11.42578125" customWidth="1"/>
    <col min="3" max="3" width="51.140625" bestFit="1" customWidth="1"/>
    <col min="4" max="4" width="12.85546875" bestFit="1" customWidth="1"/>
    <col min="5" max="15" width="9.42578125" bestFit="1" customWidth="1"/>
    <col min="16" max="16" width="10.140625" bestFit="1" customWidth="1"/>
    <col min="17" max="17" width="11.5703125" bestFit="1" customWidth="1"/>
    <col min="19" max="19" width="9.42578125" bestFit="1" customWidth="1"/>
    <col min="20" max="22" width="11" bestFit="1" customWidth="1"/>
    <col min="24" max="24" width="10.5703125" bestFit="1" customWidth="1"/>
    <col min="26" max="26" width="9.42578125" bestFit="1" customWidth="1"/>
    <col min="27" max="30" width="11" bestFit="1" customWidth="1"/>
  </cols>
  <sheetData>
    <row r="1" spans="1:30">
      <c r="B1" s="214" t="str">
        <f>'Summary month'!E2</f>
        <v>Apr</v>
      </c>
      <c r="E1" s="135">
        <v>2</v>
      </c>
      <c r="F1" s="135">
        <f>E1+1</f>
        <v>3</v>
      </c>
      <c r="G1" s="135">
        <f t="shared" ref="G1:P1" si="0">F1+1</f>
        <v>4</v>
      </c>
      <c r="H1" s="135">
        <f t="shared" si="0"/>
        <v>5</v>
      </c>
      <c r="I1" s="135">
        <f t="shared" si="0"/>
        <v>6</v>
      </c>
      <c r="J1" s="135">
        <f t="shared" si="0"/>
        <v>7</v>
      </c>
      <c r="K1" s="135">
        <f t="shared" si="0"/>
        <v>8</v>
      </c>
      <c r="L1" s="135">
        <f t="shared" si="0"/>
        <v>9</v>
      </c>
      <c r="M1" s="135">
        <f t="shared" si="0"/>
        <v>10</v>
      </c>
      <c r="N1" s="135">
        <f t="shared" si="0"/>
        <v>11</v>
      </c>
      <c r="O1" s="135">
        <f t="shared" si="0"/>
        <v>12</v>
      </c>
      <c r="P1" s="135">
        <f t="shared" si="0"/>
        <v>13</v>
      </c>
      <c r="S1">
        <f>'[23]New KPI vs BP'!$EZ$234</f>
        <v>0</v>
      </c>
    </row>
    <row r="2" spans="1:30">
      <c r="A2" s="1" t="s">
        <v>0</v>
      </c>
      <c r="B2" s="1"/>
      <c r="C2" s="1"/>
      <c r="D2" s="136" t="s">
        <v>79</v>
      </c>
      <c r="E2" s="2">
        <f>VLOOKUP($B$1,mapping!$C$15:$O$26,E$1,0)</f>
        <v>1</v>
      </c>
      <c r="F2" s="2">
        <f>VLOOKUP($B$1,mapping!$C$15:$O$26,F$1,0)</f>
        <v>0</v>
      </c>
      <c r="G2" s="2">
        <f>VLOOKUP($B$1,mapping!$C$15:$O$26,G$1,0)</f>
        <v>0</v>
      </c>
      <c r="H2" s="2">
        <f>VLOOKUP($B$1,mapping!$C$15:$O$26,H$1,0)</f>
        <v>0</v>
      </c>
      <c r="I2" s="2">
        <f>VLOOKUP($B$1,mapping!$C$15:$O$26,I$1,0)</f>
        <v>0</v>
      </c>
      <c r="J2" s="2">
        <f>VLOOKUP($B$1,mapping!$C$15:$O$26,J$1,0)</f>
        <v>0</v>
      </c>
      <c r="K2" s="2">
        <f>VLOOKUP($B$1,mapping!$C$15:$O$26,K$1,0)</f>
        <v>0</v>
      </c>
      <c r="L2" s="2">
        <f>VLOOKUP($B$1,mapping!$C$15:$O$26,L$1,0)</f>
        <v>0</v>
      </c>
      <c r="M2" s="2">
        <f>VLOOKUP($B$1,mapping!$C$15:$O$26,M$1,0)</f>
        <v>0</v>
      </c>
      <c r="N2" s="2">
        <f>VLOOKUP($B$1,mapping!$C$15:$O$26,N$1,0)</f>
        <v>0</v>
      </c>
      <c r="O2" s="2">
        <f>VLOOKUP($B$1,mapping!$C$15:$O$26,O$1,0)</f>
        <v>0</v>
      </c>
      <c r="P2" s="2">
        <f>VLOOKUP($B$1,mapping!$C$15:$O$26,P$1,0)</f>
        <v>0</v>
      </c>
      <c r="S2" s="122"/>
      <c r="T2" s="122"/>
      <c r="U2" s="122"/>
      <c r="V2" s="122"/>
      <c r="Z2" s="122"/>
      <c r="AA2" s="122"/>
      <c r="AB2" s="122"/>
      <c r="AC2" s="122"/>
      <c r="AD2" s="122"/>
    </row>
    <row r="3" spans="1:30" ht="14.45" customHeight="1">
      <c r="A3" s="3" t="s">
        <v>1</v>
      </c>
      <c r="B3" s="4"/>
      <c r="C3" s="5"/>
      <c r="D3" s="5" t="s">
        <v>103</v>
      </c>
      <c r="E3" s="2">
        <f>VLOOKUP($B1,mapping!$C$28:$O$39,E$1,0)</f>
        <v>1</v>
      </c>
      <c r="F3" s="2">
        <f>VLOOKUP($B1,mapping!$C$28:$O$39,F$1,0)</f>
        <v>0</v>
      </c>
      <c r="G3" s="2">
        <f>VLOOKUP($B1,mapping!$C$28:$O$39,G$1,0)</f>
        <v>0</v>
      </c>
      <c r="H3" s="2">
        <f>VLOOKUP($B1,mapping!$C$28:$O$39,H$1,0)</f>
        <v>0</v>
      </c>
      <c r="I3" s="2">
        <f>VLOOKUP($B1,mapping!$C$28:$O$39,I$1,0)</f>
        <v>0</v>
      </c>
      <c r="J3" s="2">
        <f>VLOOKUP($B1,mapping!$C$28:$O$39,J$1,0)</f>
        <v>0</v>
      </c>
      <c r="K3" s="2">
        <f>VLOOKUP($B1,mapping!$C$28:$O$39,K$1,0)</f>
        <v>0</v>
      </c>
      <c r="L3" s="2">
        <f>VLOOKUP($B1,mapping!$C$28:$O$39,L$1,0)</f>
        <v>0</v>
      </c>
      <c r="M3" s="2">
        <f>VLOOKUP($B1,mapping!$C$28:$O$39,M$1,0)</f>
        <v>0</v>
      </c>
      <c r="N3" s="2">
        <f>VLOOKUP($B1,mapping!$C$28:$O$39,N$1,0)</f>
        <v>0</v>
      </c>
      <c r="O3" s="2">
        <f>VLOOKUP($B1,mapping!$C$28:$O$39,O$1,0)</f>
        <v>0</v>
      </c>
      <c r="P3" s="2">
        <f>VLOOKUP($B1,mapping!$C$28:$O$39,P$1,0)</f>
        <v>0</v>
      </c>
      <c r="S3">
        <f>INDEX($E$3:$P$3,1,MATCH(S5,$E$5:$P$5,0))</f>
        <v>1</v>
      </c>
      <c r="T3">
        <f>INDEX($E$3:$P$3,1,MATCH(T5,$E$5:$P$5,0))</f>
        <v>0</v>
      </c>
      <c r="U3">
        <f>INDEX($E$3:$P$3,1,MATCH(U5,$E$5:$P$5,0))</f>
        <v>0</v>
      </c>
      <c r="V3" s="122"/>
      <c r="AB3" s="122"/>
      <c r="AC3" s="122">
        <v>1</v>
      </c>
      <c r="AD3" s="122"/>
    </row>
    <row r="4" spans="1:30" ht="14.45" customHeight="1">
      <c r="A4" s="3"/>
      <c r="B4" s="4"/>
      <c r="C4" s="5">
        <f>'[24]P&amp;L OR (JPY)'!$S$57</f>
        <v>-22.13106067847766</v>
      </c>
      <c r="D4" s="5"/>
      <c r="E4" s="2"/>
      <c r="F4" s="2"/>
      <c r="G4" s="2"/>
      <c r="U4" s="122"/>
      <c r="V4" s="122"/>
      <c r="AB4" s="122" t="s">
        <v>505</v>
      </c>
      <c r="AC4" s="122"/>
      <c r="AD4" s="122"/>
    </row>
    <row r="5" spans="1:30">
      <c r="A5" s="4"/>
      <c r="B5" s="4"/>
      <c r="C5" s="5"/>
      <c r="D5" s="5"/>
      <c r="E5" s="100" t="s">
        <v>65</v>
      </c>
      <c r="F5" s="101" t="s">
        <v>66</v>
      </c>
      <c r="G5" s="101" t="s">
        <v>67</v>
      </c>
      <c r="H5" s="101" t="s">
        <v>2</v>
      </c>
      <c r="I5" s="101" t="s">
        <v>3</v>
      </c>
      <c r="J5" s="101" t="s">
        <v>4</v>
      </c>
      <c r="K5" s="101" t="s">
        <v>68</v>
      </c>
      <c r="L5" s="101" t="s">
        <v>69</v>
      </c>
      <c r="M5" s="101" t="s">
        <v>70</v>
      </c>
      <c r="N5" s="101" t="s">
        <v>71</v>
      </c>
      <c r="O5" s="101" t="s">
        <v>72</v>
      </c>
      <c r="P5" s="102" t="s">
        <v>73</v>
      </c>
      <c r="Q5" s="107" t="s">
        <v>74</v>
      </c>
      <c r="S5" s="101" t="str">
        <f>VLOOKUP(VLOOKUP(B1,mapping!$A:$C,2,0),mapping!$B:$C,2,0)</f>
        <v>M01</v>
      </c>
      <c r="T5" s="101" t="str">
        <f>LEFT(S5,2)&amp;(RIGHT(S5,1)+1)</f>
        <v>M02</v>
      </c>
      <c r="U5" s="101" t="str">
        <f>LEFT(T5,2)&amp;(RIGHT(T5,1)+1)</f>
        <v>M03</v>
      </c>
      <c r="V5" s="101" t="str">
        <f>VLOOKUP(B1,mapping!$A$2:$B$13,2,0)</f>
        <v>Q1</v>
      </c>
      <c r="X5" s="101" t="s">
        <v>79</v>
      </c>
      <c r="Z5" s="101" t="s">
        <v>75</v>
      </c>
      <c r="AA5" s="101" t="s">
        <v>76</v>
      </c>
      <c r="AB5" s="101" t="s">
        <v>77</v>
      </c>
      <c r="AC5" s="101" t="s">
        <v>78</v>
      </c>
      <c r="AD5" s="101" t="s">
        <v>74</v>
      </c>
    </row>
    <row r="6" spans="1:30">
      <c r="A6" s="6"/>
      <c r="B6" s="7" t="s">
        <v>5</v>
      </c>
      <c r="C6" s="7"/>
      <c r="D6" s="8"/>
      <c r="E6" s="9">
        <f>'[23]P&amp;L Actual'!H9</f>
        <v>1356.721</v>
      </c>
      <c r="F6" s="10">
        <f>'[23]P&amp;L Actual'!I9</f>
        <v>1405.501</v>
      </c>
      <c r="G6" s="10">
        <f>'[23]P&amp;L Actual'!J9</f>
        <v>1565.7449999999999</v>
      </c>
      <c r="H6" s="10">
        <f>'[23]P&amp;L Actual'!K9</f>
        <v>1387.4110000000001</v>
      </c>
      <c r="I6" s="10">
        <f>'[23]P&amp;L Actual'!L9</f>
        <v>1041.991</v>
      </c>
      <c r="J6" s="10">
        <f>'[23]P&amp;L Actual'!M9</f>
        <v>1548.3879999999999</v>
      </c>
      <c r="K6" s="10">
        <f>'[23]P&amp;L Actual'!N9</f>
        <v>1390.4929999999999</v>
      </c>
      <c r="L6" s="10">
        <f>'[23]P&amp;L Actual'!O9</f>
        <v>1391.193</v>
      </c>
      <c r="M6" s="10">
        <f>'[23]P&amp;L Actual'!P9</f>
        <v>1388.992</v>
      </c>
      <c r="N6" s="10">
        <f>'[23]P&amp;L Actual'!Q9</f>
        <v>1265.3679999999999</v>
      </c>
      <c r="O6" s="10">
        <f>'[23]P&amp;L Actual'!R9</f>
        <v>1239.261</v>
      </c>
      <c r="P6" s="10">
        <f>'[23]P&amp;L Actual'!S9</f>
        <v>1775.1759999999999</v>
      </c>
      <c r="Q6" s="105">
        <f>SUM(E6:P6)</f>
        <v>16756.240000000002</v>
      </c>
      <c r="S6" s="10">
        <f>SUMIFS($E6:$P6,$E$3:$P$3,1,$E$5:$P$5,S$5)</f>
        <v>1356.721</v>
      </c>
      <c r="T6" s="10">
        <f>SUMIFS($E6:$P6,$E$3:$P$3,1,$E$5:$P$5,T$5)</f>
        <v>0</v>
      </c>
      <c r="U6" s="10">
        <f>SUMIFS($E6:$P6,$E$3:$P$3,1,$E$5:$P$5,U$5)</f>
        <v>0</v>
      </c>
      <c r="V6" s="10">
        <f>SUM(S6:U6)</f>
        <v>1356.721</v>
      </c>
      <c r="X6" s="10">
        <f>SUMIF($E$2:$P$2,1,E6:P6)</f>
        <v>1356.721</v>
      </c>
      <c r="Z6" s="10">
        <f>SUM(E6:G6)</f>
        <v>4327.9669999999996</v>
      </c>
      <c r="AA6" s="10">
        <f>SUM(H6:J6)</f>
        <v>3977.79</v>
      </c>
      <c r="AB6" s="10">
        <f>SUM(K6:M6)</f>
        <v>4170.6779999999999</v>
      </c>
      <c r="AC6" s="10">
        <f>SUM(N6:P6)</f>
        <v>4279.8050000000003</v>
      </c>
      <c r="AD6" s="10">
        <f>SUM(Z6:AC6)</f>
        <v>16756.239999999998</v>
      </c>
    </row>
    <row r="7" spans="1:30">
      <c r="A7" s="6"/>
      <c r="B7" s="7" t="s">
        <v>6</v>
      </c>
      <c r="C7" s="7"/>
      <c r="D7" s="8"/>
      <c r="E7" s="9">
        <f>'[23]P&amp;L Actual'!H5/1000</f>
        <v>20.428999999999998</v>
      </c>
      <c r="F7" s="10">
        <f>'[23]P&amp;L Actual'!I5/1000</f>
        <v>26.765000000000001</v>
      </c>
      <c r="G7" s="10">
        <f>'[23]P&amp;L Actual'!J5/1000</f>
        <v>33.113</v>
      </c>
      <c r="H7" s="10">
        <f>'[23]P&amp;L Actual'!K5/1000</f>
        <v>24.555</v>
      </c>
      <c r="I7" s="10">
        <f>'[23]P&amp;L Actual'!L5/1000</f>
        <v>16.222999999999999</v>
      </c>
      <c r="J7" s="10">
        <f>'[23]P&amp;L Actual'!M5/1000</f>
        <v>39.014000000000003</v>
      </c>
      <c r="K7" s="10">
        <f>'[23]P&amp;L Actual'!N5/1000</f>
        <v>26.247</v>
      </c>
      <c r="L7" s="10">
        <f>'[23]P&amp;L Actual'!O5/1000</f>
        <v>27.923999999999999</v>
      </c>
      <c r="M7" s="10">
        <f>'[23]P&amp;L Actual'!P5/1000</f>
        <v>28.053000000000001</v>
      </c>
      <c r="N7" s="10">
        <f>'[23]P&amp;L Actual'!Q5/1000</f>
        <v>29.241</v>
      </c>
      <c r="O7" s="10">
        <f>'[23]P&amp;L Actual'!R5/1000</f>
        <v>28.5</v>
      </c>
      <c r="P7" s="10">
        <f>'[23]P&amp;L Actual'!S5/1000</f>
        <v>47.454999999999998</v>
      </c>
      <c r="Q7" s="105">
        <f t="shared" ref="Q7:Q12" si="1">SUM(E7:P7)</f>
        <v>347.51900000000001</v>
      </c>
      <c r="S7" s="10">
        <f t="shared" ref="S7:U13" si="2">SUMIFS($E7:$P7,$E$3:$P$3,1,$E$5:$P$5,S$5)</f>
        <v>20.428999999999998</v>
      </c>
      <c r="T7" s="10">
        <f t="shared" si="2"/>
        <v>0</v>
      </c>
      <c r="U7" s="10">
        <f t="shared" si="2"/>
        <v>0</v>
      </c>
      <c r="V7" s="10">
        <f t="shared" ref="V7:V13" si="3">SUM(S7:U7)</f>
        <v>20.428999999999998</v>
      </c>
      <c r="X7" s="10">
        <f t="shared" ref="X7:X13" si="4">SUMIF($E$2:$P$2,1,E7:P7)</f>
        <v>20.428999999999998</v>
      </c>
      <c r="Z7" s="10">
        <f t="shared" ref="Z7:Z13" si="5">SUM(E7:G7)</f>
        <v>80.307000000000002</v>
      </c>
      <c r="AA7" s="10">
        <f t="shared" ref="AA7:AA13" si="6">SUM(H7:J7)</f>
        <v>79.792000000000002</v>
      </c>
      <c r="AB7" s="10">
        <f t="shared" ref="AB7:AB13" si="7">SUM(K7:M7)</f>
        <v>82.224000000000004</v>
      </c>
      <c r="AC7" s="10">
        <f t="shared" ref="AC7:AC13" si="8">SUM(N7:P7)</f>
        <v>105.196</v>
      </c>
      <c r="AD7" s="10">
        <f t="shared" ref="AD7:AD13" si="9">SUM(Z7:AC7)</f>
        <v>347.51900000000001</v>
      </c>
    </row>
    <row r="8" spans="1:30">
      <c r="A8" s="6"/>
      <c r="B8" s="7" t="s">
        <v>7</v>
      </c>
      <c r="C8" s="7"/>
      <c r="D8" s="8"/>
      <c r="E8" s="9">
        <f>'[23]P&amp;L Actual'!H6/1000</f>
        <v>0</v>
      </c>
      <c r="F8" s="10">
        <f>'[23]P&amp;L Actual'!I6/1000</f>
        <v>0</v>
      </c>
      <c r="G8" s="10">
        <f>'[23]P&amp;L Actual'!J6/1000</f>
        <v>0</v>
      </c>
      <c r="H8" s="10">
        <f>'[23]P&amp;L Actual'!K6/1000</f>
        <v>0</v>
      </c>
      <c r="I8" s="10">
        <f>'[23]P&amp;L Actual'!L6/1000</f>
        <v>0</v>
      </c>
      <c r="J8" s="10">
        <f>'[23]P&amp;L Actual'!M6/1000</f>
        <v>0</v>
      </c>
      <c r="K8" s="10">
        <f>'[23]P&amp;L Actual'!N6/1000</f>
        <v>0</v>
      </c>
      <c r="L8" s="10">
        <f>'[23]P&amp;L Actual'!O6/1000</f>
        <v>0</v>
      </c>
      <c r="M8" s="10">
        <f>'[23]P&amp;L Actual'!P6/1000</f>
        <v>0</v>
      </c>
      <c r="N8" s="10">
        <f>'[23]P&amp;L Actual'!Q6/1000</f>
        <v>0</v>
      </c>
      <c r="O8" s="10">
        <f>'[23]P&amp;L Actual'!R6/1000</f>
        <v>0</v>
      </c>
      <c r="P8" s="10">
        <f>'[23]P&amp;L Actual'!S6/1000</f>
        <v>0</v>
      </c>
      <c r="Q8" s="105">
        <f t="shared" si="1"/>
        <v>0</v>
      </c>
      <c r="S8" s="10">
        <f t="shared" si="2"/>
        <v>0</v>
      </c>
      <c r="T8" s="10">
        <f t="shared" si="2"/>
        <v>0</v>
      </c>
      <c r="U8" s="10">
        <f t="shared" si="2"/>
        <v>0</v>
      </c>
      <c r="V8" s="10">
        <f t="shared" si="3"/>
        <v>0</v>
      </c>
      <c r="X8" s="10">
        <f t="shared" si="4"/>
        <v>0</v>
      </c>
      <c r="Z8" s="10">
        <f t="shared" si="5"/>
        <v>0</v>
      </c>
      <c r="AA8" s="10">
        <f t="shared" si="6"/>
        <v>0</v>
      </c>
      <c r="AB8" s="10">
        <f t="shared" si="7"/>
        <v>0</v>
      </c>
      <c r="AC8" s="10">
        <f t="shared" si="8"/>
        <v>0</v>
      </c>
      <c r="AD8" s="10">
        <f t="shared" si="9"/>
        <v>0</v>
      </c>
    </row>
    <row r="9" spans="1:30">
      <c r="A9" s="6"/>
      <c r="B9" s="7" t="s">
        <v>8</v>
      </c>
      <c r="C9" s="7"/>
      <c r="D9" s="8"/>
      <c r="E9" s="9">
        <f>'[23]P&amp;L Actual'!H7/1000</f>
        <v>0</v>
      </c>
      <c r="F9" s="10">
        <f>'[23]P&amp;L Actual'!I7/1000</f>
        <v>0</v>
      </c>
      <c r="G9" s="10">
        <f>'[23]P&amp;L Actual'!J7/1000</f>
        <v>0</v>
      </c>
      <c r="H9" s="10">
        <f>'[23]P&amp;L Actual'!K7/1000</f>
        <v>0</v>
      </c>
      <c r="I9" s="10">
        <f>'[23]P&amp;L Actual'!L7/1000</f>
        <v>0</v>
      </c>
      <c r="J9" s="10">
        <f>'[23]P&amp;L Actual'!M7/1000</f>
        <v>0</v>
      </c>
      <c r="K9" s="10">
        <f>'[23]P&amp;L Actual'!N7/1000</f>
        <v>0</v>
      </c>
      <c r="L9" s="10">
        <f>'[23]P&amp;L Actual'!O7/1000</f>
        <v>0</v>
      </c>
      <c r="M9" s="10">
        <f>'[23]P&amp;L Actual'!P7/1000</f>
        <v>0</v>
      </c>
      <c r="N9" s="10">
        <f>'[23]P&amp;L Actual'!Q7/1000</f>
        <v>0</v>
      </c>
      <c r="O9" s="10">
        <f>'[23]P&amp;L Actual'!R7/1000</f>
        <v>0</v>
      </c>
      <c r="P9" s="10">
        <f>'[23]P&amp;L Actual'!S7/1000</f>
        <v>0</v>
      </c>
      <c r="Q9" s="105">
        <f t="shared" si="1"/>
        <v>0</v>
      </c>
      <c r="S9" s="10">
        <f t="shared" si="2"/>
        <v>0</v>
      </c>
      <c r="T9" s="10">
        <f t="shared" si="2"/>
        <v>0</v>
      </c>
      <c r="U9" s="10">
        <f t="shared" si="2"/>
        <v>0</v>
      </c>
      <c r="V9" s="10">
        <f t="shared" si="3"/>
        <v>0</v>
      </c>
      <c r="X9" s="10">
        <f t="shared" si="4"/>
        <v>0</v>
      </c>
      <c r="Z9" s="10">
        <f t="shared" si="5"/>
        <v>0</v>
      </c>
      <c r="AA9" s="10">
        <f t="shared" si="6"/>
        <v>0</v>
      </c>
      <c r="AB9" s="10">
        <f t="shared" si="7"/>
        <v>0</v>
      </c>
      <c r="AC9" s="10">
        <f t="shared" si="8"/>
        <v>0</v>
      </c>
      <c r="AD9" s="10">
        <f t="shared" si="9"/>
        <v>0</v>
      </c>
    </row>
    <row r="10" spans="1:30">
      <c r="A10" s="6"/>
      <c r="B10" s="7" t="s">
        <v>9</v>
      </c>
      <c r="C10" s="7"/>
      <c r="D10" s="8"/>
      <c r="E10" s="9">
        <f>'[23]P&amp;L Actual'!H21/1000</f>
        <v>16.117999999999999</v>
      </c>
      <c r="F10" s="10">
        <f>'[23]P&amp;L Actual'!I21/1000</f>
        <v>23.010999999999999</v>
      </c>
      <c r="G10" s="10">
        <f>'[23]P&amp;L Actual'!J21/1000</f>
        <v>30.538</v>
      </c>
      <c r="H10" s="10">
        <f>'[23]P&amp;L Actual'!K21/1000</f>
        <v>21.085999999999999</v>
      </c>
      <c r="I10" s="10">
        <f>'[23]P&amp;L Actual'!L21/1000</f>
        <v>18.341999999999999</v>
      </c>
      <c r="J10" s="10">
        <f>'[23]P&amp;L Actual'!M21/1000</f>
        <v>39.103000000000002</v>
      </c>
      <c r="K10" s="10">
        <f>'[23]P&amp;L Actual'!N21/1000</f>
        <v>22.727</v>
      </c>
      <c r="L10" s="10">
        <f>'[23]P&amp;L Actual'!O21/1000</f>
        <v>31.353999999999999</v>
      </c>
      <c r="M10" s="10">
        <f>'[23]P&amp;L Actual'!P21/1000</f>
        <v>31.881</v>
      </c>
      <c r="N10" s="10">
        <f>'[23]P&amp;L Actual'!Q21/1000</f>
        <v>28.492999999999999</v>
      </c>
      <c r="O10" s="10">
        <f>'[23]P&amp;L Actual'!R21/1000</f>
        <v>32.271000000000001</v>
      </c>
      <c r="P10" s="10">
        <f>'[23]P&amp;L Actual'!S21/1000</f>
        <v>46.87</v>
      </c>
      <c r="Q10" s="105">
        <f t="shared" si="1"/>
        <v>341.79400000000004</v>
      </c>
      <c r="S10" s="10">
        <f t="shared" si="2"/>
        <v>16.117999999999999</v>
      </c>
      <c r="T10" s="10">
        <f t="shared" si="2"/>
        <v>0</v>
      </c>
      <c r="U10" s="10">
        <f t="shared" si="2"/>
        <v>0</v>
      </c>
      <c r="V10" s="10">
        <f t="shared" si="3"/>
        <v>16.117999999999999</v>
      </c>
      <c r="X10" s="10">
        <f t="shared" si="4"/>
        <v>16.117999999999999</v>
      </c>
      <c r="Z10" s="10">
        <f t="shared" si="5"/>
        <v>69.667000000000002</v>
      </c>
      <c r="AA10" s="10">
        <f t="shared" si="6"/>
        <v>78.531000000000006</v>
      </c>
      <c r="AB10" s="10">
        <f t="shared" si="7"/>
        <v>85.962000000000003</v>
      </c>
      <c r="AC10" s="10">
        <f t="shared" si="8"/>
        <v>107.63399999999999</v>
      </c>
      <c r="AD10" s="10">
        <f t="shared" si="9"/>
        <v>341.79399999999998</v>
      </c>
    </row>
    <row r="11" spans="1:30">
      <c r="A11" s="6"/>
      <c r="B11" s="7" t="s">
        <v>10</v>
      </c>
      <c r="C11" s="7"/>
      <c r="D11" s="8"/>
      <c r="E11" s="9">
        <f>'[23]P&amp;L Actual'!H22/1000</f>
        <v>7.0000000000000001E-3</v>
      </c>
      <c r="F11" s="10">
        <f>'[23]P&amp;L Actual'!I22/1000</f>
        <v>1E-3</v>
      </c>
      <c r="G11" s="10">
        <f>'[23]P&amp;L Actual'!J22/1000</f>
        <v>0</v>
      </c>
      <c r="H11" s="10">
        <f>'[23]P&amp;L Actual'!K22/1000</f>
        <v>4.1000000000000002E-2</v>
      </c>
      <c r="I11" s="10">
        <f>'[23]P&amp;L Actual'!L22/1000</f>
        <v>0</v>
      </c>
      <c r="J11" s="10">
        <f>'[23]P&amp;L Actual'!M22/1000</f>
        <v>0</v>
      </c>
      <c r="K11" s="10">
        <f>'[23]P&amp;L Actual'!N22/1000</f>
        <v>0</v>
      </c>
      <c r="L11" s="10">
        <f>'[23]P&amp;L Actual'!O22/1000</f>
        <v>0.01</v>
      </c>
      <c r="M11" s="10">
        <f>'[23]P&amp;L Actual'!P22/1000</f>
        <v>1.7999999999999999E-2</v>
      </c>
      <c r="N11" s="10">
        <f>'[23]P&amp;L Actual'!Q22/1000</f>
        <v>1.4E-2</v>
      </c>
      <c r="O11" s="10">
        <f>'[23]P&amp;L Actual'!R22/1000</f>
        <v>1.9E-2</v>
      </c>
      <c r="P11" s="10">
        <f>'[23]P&amp;L Actual'!S22/1000</f>
        <v>2.8000000000000001E-2</v>
      </c>
      <c r="Q11" s="105">
        <f t="shared" si="1"/>
        <v>0.13800000000000001</v>
      </c>
      <c r="S11" s="10">
        <f t="shared" si="2"/>
        <v>7.0000000000000001E-3</v>
      </c>
      <c r="T11" s="10">
        <f t="shared" si="2"/>
        <v>0</v>
      </c>
      <c r="U11" s="10">
        <f t="shared" si="2"/>
        <v>0</v>
      </c>
      <c r="V11" s="10">
        <f t="shared" si="3"/>
        <v>7.0000000000000001E-3</v>
      </c>
      <c r="X11" s="10">
        <f t="shared" si="4"/>
        <v>7.0000000000000001E-3</v>
      </c>
      <c r="Z11" s="10">
        <f t="shared" si="5"/>
        <v>8.0000000000000002E-3</v>
      </c>
      <c r="AA11" s="10">
        <f t="shared" si="6"/>
        <v>4.1000000000000002E-2</v>
      </c>
      <c r="AB11" s="10">
        <f t="shared" si="7"/>
        <v>2.7999999999999997E-2</v>
      </c>
      <c r="AC11" s="10">
        <f t="shared" si="8"/>
        <v>6.0999999999999999E-2</v>
      </c>
      <c r="AD11" s="10">
        <f t="shared" si="9"/>
        <v>0.13800000000000001</v>
      </c>
    </row>
    <row r="12" spans="1:30">
      <c r="A12" s="6"/>
      <c r="B12" s="7" t="s">
        <v>11</v>
      </c>
      <c r="C12" s="7"/>
      <c r="D12" s="8"/>
      <c r="E12" s="9">
        <f>'[23]P&amp;L Actual'!H23/1000</f>
        <v>0</v>
      </c>
      <c r="F12" s="10">
        <f>'[23]P&amp;L Actual'!I23/1000</f>
        <v>0</v>
      </c>
      <c r="G12" s="10">
        <f>'[23]P&amp;L Actual'!J23/1000</f>
        <v>0</v>
      </c>
      <c r="H12" s="10">
        <f>'[23]P&amp;L Actual'!K23/1000</f>
        <v>0</v>
      </c>
      <c r="I12" s="10">
        <f>'[23]P&amp;L Actual'!L23/1000</f>
        <v>0</v>
      </c>
      <c r="J12" s="10">
        <f>'[23]P&amp;L Actual'!M23/1000</f>
        <v>0</v>
      </c>
      <c r="K12" s="10">
        <f>'[23]P&amp;L Actual'!N23/1000</f>
        <v>0</v>
      </c>
      <c r="L12" s="10">
        <f>'[23]P&amp;L Actual'!O23/1000</f>
        <v>0</v>
      </c>
      <c r="M12" s="10">
        <f>'[23]P&amp;L Actual'!P23/1000</f>
        <v>0</v>
      </c>
      <c r="N12" s="10">
        <f>'[23]P&amp;L Actual'!Q23/1000</f>
        <v>0</v>
      </c>
      <c r="O12" s="10">
        <f>'[23]P&amp;L Actual'!R23/1000</f>
        <v>0</v>
      </c>
      <c r="P12" s="10">
        <f>'[23]P&amp;L Actual'!S23/1000</f>
        <v>0</v>
      </c>
      <c r="Q12" s="106">
        <f t="shared" si="1"/>
        <v>0</v>
      </c>
      <c r="S12" s="10">
        <f t="shared" si="2"/>
        <v>0</v>
      </c>
      <c r="T12" s="10">
        <f t="shared" si="2"/>
        <v>0</v>
      </c>
      <c r="U12" s="10">
        <f t="shared" si="2"/>
        <v>0</v>
      </c>
      <c r="V12" s="10">
        <f t="shared" si="3"/>
        <v>0</v>
      </c>
      <c r="X12" s="10">
        <f t="shared" si="4"/>
        <v>0</v>
      </c>
      <c r="Z12" s="10">
        <f t="shared" si="5"/>
        <v>0</v>
      </c>
      <c r="AA12" s="10">
        <f t="shared" si="6"/>
        <v>0</v>
      </c>
      <c r="AB12" s="10">
        <f t="shared" si="7"/>
        <v>0</v>
      </c>
      <c r="AC12" s="10">
        <f t="shared" si="8"/>
        <v>0</v>
      </c>
      <c r="AD12" s="10">
        <f t="shared" si="9"/>
        <v>0</v>
      </c>
    </row>
    <row r="13" spans="1:30">
      <c r="A13" s="6"/>
      <c r="B13" s="7" t="s">
        <v>12</v>
      </c>
      <c r="C13" s="7"/>
      <c r="D13" s="8"/>
      <c r="E13" s="11">
        <f>'[23]P&amp;L Actual'!H27/1000</f>
        <v>0.48099999999999998</v>
      </c>
      <c r="F13" s="12">
        <f>'[23]P&amp;L Actual'!I27/1000</f>
        <v>1.4910000000000001</v>
      </c>
      <c r="G13" s="12">
        <f>'[23]P&amp;L Actual'!J27/1000</f>
        <v>1.0249999999999999</v>
      </c>
      <c r="H13" s="12">
        <f>'[23]P&amp;L Actual'!K27/1000</f>
        <v>0.34699999999999998</v>
      </c>
      <c r="I13" s="12">
        <f>'[23]P&amp;L Actual'!L27/1000</f>
        <v>0.53300000000000003</v>
      </c>
      <c r="J13" s="12">
        <f>'[23]P&amp;L Actual'!M27/1000</f>
        <v>0.39200000000000002</v>
      </c>
      <c r="K13" s="12">
        <f>'[23]P&amp;L Actual'!N27/1000</f>
        <v>0.60099999999999998</v>
      </c>
      <c r="L13" s="12">
        <f>'[23]P&amp;L Actual'!O27/1000</f>
        <v>0.70899999999999996</v>
      </c>
      <c r="M13" s="12">
        <f>'[23]P&amp;L Actual'!P27/1000</f>
        <v>1.107</v>
      </c>
      <c r="N13" s="12">
        <f>'[23]P&amp;L Actual'!Q27/1000</f>
        <v>1.0720000000000001</v>
      </c>
      <c r="O13" s="12">
        <f>'[23]P&amp;L Actual'!R27/1000</f>
        <v>0.72299999999999998</v>
      </c>
      <c r="P13" s="12">
        <f>'[23]P&amp;L Actual'!S27/1000</f>
        <v>0.58899999999999997</v>
      </c>
      <c r="Q13" s="106">
        <f>SUM(E13:P13)</f>
        <v>9.07</v>
      </c>
      <c r="S13" s="12">
        <f t="shared" si="2"/>
        <v>0.48099999999999998</v>
      </c>
      <c r="T13" s="12">
        <f t="shared" si="2"/>
        <v>0</v>
      </c>
      <c r="U13" s="12">
        <f t="shared" si="2"/>
        <v>0</v>
      </c>
      <c r="V13" s="12">
        <f t="shared" si="3"/>
        <v>0.48099999999999998</v>
      </c>
      <c r="X13" s="12">
        <f t="shared" si="4"/>
        <v>0.48099999999999998</v>
      </c>
      <c r="Z13" s="10">
        <f t="shared" si="5"/>
        <v>2.9969999999999999</v>
      </c>
      <c r="AA13" s="10">
        <f t="shared" si="6"/>
        <v>1.272</v>
      </c>
      <c r="AB13" s="10">
        <f t="shared" si="7"/>
        <v>2.4169999999999998</v>
      </c>
      <c r="AC13" s="10">
        <f t="shared" si="8"/>
        <v>2.3839999999999999</v>
      </c>
      <c r="AD13" s="10">
        <f t="shared" si="9"/>
        <v>9.07</v>
      </c>
    </row>
    <row r="14" spans="1:30">
      <c r="A14" s="13"/>
      <c r="B14" s="14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S14" s="2"/>
      <c r="T14" s="2"/>
      <c r="U14" s="2"/>
      <c r="V14" s="2"/>
      <c r="X14" s="2"/>
      <c r="Z14" s="2"/>
      <c r="AA14" s="2"/>
      <c r="AB14" s="2"/>
      <c r="AC14" s="2"/>
      <c r="AD14" s="2"/>
    </row>
    <row r="15" spans="1:30">
      <c r="A15" s="13"/>
      <c r="B15" s="14"/>
      <c r="C15" s="14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S15" s="13"/>
      <c r="T15" s="13"/>
      <c r="U15" s="13"/>
      <c r="V15" s="13"/>
      <c r="X15" s="13"/>
      <c r="Z15" s="13"/>
      <c r="AA15" s="13"/>
      <c r="AB15" s="13"/>
      <c r="AC15" s="13"/>
      <c r="AD15" s="13"/>
    </row>
    <row r="16" spans="1:30">
      <c r="A16" s="16"/>
      <c r="B16" s="16"/>
      <c r="C16" s="17" t="s">
        <v>13</v>
      </c>
      <c r="D16" s="17"/>
      <c r="E16" s="18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08">
        <f t="shared" ref="Q16:Q46" si="10">SUM(E16:P16)</f>
        <v>0</v>
      </c>
      <c r="S16" s="19"/>
      <c r="T16" s="19"/>
      <c r="U16" s="19"/>
      <c r="V16" s="19"/>
      <c r="X16" s="19"/>
      <c r="Z16" s="19"/>
      <c r="AA16" s="19"/>
      <c r="AB16" s="19"/>
      <c r="AC16" s="19"/>
      <c r="AD16" s="19"/>
    </row>
    <row r="17" spans="1:30">
      <c r="A17" s="20"/>
      <c r="B17" s="20"/>
      <c r="C17" s="21" t="s">
        <v>14</v>
      </c>
      <c r="D17" s="21"/>
      <c r="E17" s="22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109">
        <f t="shared" si="10"/>
        <v>0</v>
      </c>
      <c r="S17" s="23"/>
      <c r="T17" s="23"/>
      <c r="U17" s="23"/>
      <c r="V17" s="23"/>
      <c r="X17" s="23"/>
      <c r="Z17" s="23"/>
      <c r="AA17" s="23"/>
      <c r="AB17" s="23"/>
      <c r="AC17" s="23"/>
      <c r="AD17" s="23"/>
    </row>
    <row r="18" spans="1:30">
      <c r="A18" s="24" t="s">
        <v>15</v>
      </c>
      <c r="B18" s="25"/>
      <c r="C18" s="26"/>
      <c r="D18" s="26"/>
      <c r="E18" s="27">
        <f>[24]Act!D222</f>
        <v>612.22646137803633</v>
      </c>
      <c r="F18" s="28">
        <f>[24]Act!E222</f>
        <v>755.9401488583477</v>
      </c>
      <c r="G18" s="29">
        <f>[24]Act!F222</f>
        <v>991.81161270891232</v>
      </c>
      <c r="H18" s="29">
        <f>[24]Act!G222</f>
        <v>752.80413095636118</v>
      </c>
      <c r="I18" s="29">
        <f>[24]Act!H222</f>
        <v>624.40953069327338</v>
      </c>
      <c r="J18" s="29">
        <f>[24]Act!I222</f>
        <v>1224.6119041442605</v>
      </c>
      <c r="K18" s="29">
        <f>[24]Act!J222</f>
        <v>787.44751837815136</v>
      </c>
      <c r="L18" s="29">
        <f>[24]Act!K222</f>
        <v>996.64922492416338</v>
      </c>
      <c r="M18" s="29">
        <f>[24]Act!L222</f>
        <v>1008.9166533043169</v>
      </c>
      <c r="N18" s="29">
        <f>[24]Act!M222</f>
        <v>911.20953238443497</v>
      </c>
      <c r="O18" s="29">
        <f>[24]Act!N222</f>
        <v>1010.9437166237826</v>
      </c>
      <c r="P18" s="29">
        <f>[24]Act!O222</f>
        <v>1391.5238810757905</v>
      </c>
      <c r="Q18" s="108">
        <f t="shared" si="10"/>
        <v>11068.494315429831</v>
      </c>
      <c r="S18" s="29">
        <f>SUMIFS($E18:$P18,$E$3:$P$3,1,$E$5:$P$5,S$5)</f>
        <v>612.22646137803633</v>
      </c>
      <c r="T18" s="29">
        <f>SUMIFS($E18:$P18,$E$3:$P$3,1,$E$5:$P$5,T$5)</f>
        <v>0</v>
      </c>
      <c r="U18" s="29">
        <f>SUMIFS($E18:$P18,$E$3:$P$3,1,$E$5:$P$5,U$5)</f>
        <v>0</v>
      </c>
      <c r="V18" s="29">
        <f>SUM(S18:U18)</f>
        <v>612.22646137803633</v>
      </c>
      <c r="X18" s="29">
        <f>SUMIF($E$2:$P$2,1,E18:P18)</f>
        <v>612.22646137803633</v>
      </c>
      <c r="Z18" s="29">
        <f>SUM(E18:G18)</f>
        <v>2359.9782229452962</v>
      </c>
      <c r="AA18" s="29">
        <f>SUM(H18:J18)</f>
        <v>2601.8255657938953</v>
      </c>
      <c r="AB18" s="29">
        <f>SUM(K18:M18)</f>
        <v>2793.0133966066314</v>
      </c>
      <c r="AC18" s="29">
        <f>SUM(N18:P18)</f>
        <v>3313.6771300840082</v>
      </c>
      <c r="AD18" s="29">
        <f>SUM(Z18:AC18)</f>
        <v>11068.494315429831</v>
      </c>
    </row>
    <row r="19" spans="1:30">
      <c r="A19" s="20"/>
      <c r="B19" s="16"/>
      <c r="C19" s="17" t="s">
        <v>16</v>
      </c>
      <c r="D19" s="17"/>
      <c r="E19" s="18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08">
        <f t="shared" si="10"/>
        <v>0</v>
      </c>
      <c r="S19" s="19"/>
      <c r="T19" s="19"/>
      <c r="U19" s="19"/>
      <c r="V19" s="19"/>
      <c r="X19" s="19"/>
      <c r="Z19" s="19"/>
      <c r="AA19" s="19"/>
      <c r="AB19" s="19"/>
      <c r="AC19" s="19"/>
      <c r="AD19" s="19"/>
    </row>
    <row r="20" spans="1:30">
      <c r="A20" s="20"/>
      <c r="B20" s="30"/>
      <c r="C20" s="31" t="s">
        <v>17</v>
      </c>
      <c r="D20" s="31"/>
      <c r="E20" s="22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109">
        <f t="shared" si="10"/>
        <v>0</v>
      </c>
      <c r="S20" s="23"/>
      <c r="T20" s="23"/>
      <c r="U20" s="23"/>
      <c r="V20" s="23"/>
      <c r="X20" s="23"/>
      <c r="Z20" s="23"/>
      <c r="AA20" s="23"/>
      <c r="AB20" s="23"/>
      <c r="AC20" s="23"/>
      <c r="AD20" s="23"/>
    </row>
    <row r="21" spans="1:30">
      <c r="A21" s="32"/>
      <c r="B21" s="26" t="s">
        <v>18</v>
      </c>
      <c r="C21" s="26"/>
      <c r="D21" s="26"/>
      <c r="E21" s="33">
        <f>[24]Act!D223</f>
        <v>-85.285283100000001</v>
      </c>
      <c r="F21" s="34">
        <f>[24]Act!E223</f>
        <v>-107.1679133</v>
      </c>
      <c r="G21" s="35">
        <f>[24]Act!F223</f>
        <v>-152.92069900000001</v>
      </c>
      <c r="H21" s="35">
        <f>[24]Act!G223</f>
        <v>-107.07472529999997</v>
      </c>
      <c r="I21" s="35">
        <f>[24]Act!H223</f>
        <v>-85.710109700000018</v>
      </c>
      <c r="J21" s="35">
        <f>[24]Act!I223</f>
        <v>-185.77770159999997</v>
      </c>
      <c r="K21" s="35">
        <f>[24]Act!J223</f>
        <v>-121.39486350000004</v>
      </c>
      <c r="L21" s="35">
        <f>[24]Act!K223</f>
        <v>-150.72587298153226</v>
      </c>
      <c r="M21" s="35">
        <f>[24]Act!L223</f>
        <v>-149.87579884191334</v>
      </c>
      <c r="N21" s="35">
        <f>[24]Act!M223</f>
        <v>-135.8888889597298</v>
      </c>
      <c r="O21" s="35">
        <f>[24]Act!N223</f>
        <v>-142.92732328860322</v>
      </c>
      <c r="P21" s="35">
        <f>[24]Act!O223</f>
        <v>-202.38717167393432</v>
      </c>
      <c r="Q21" s="108">
        <f t="shared" si="10"/>
        <v>-1627.1363512457128</v>
      </c>
      <c r="S21" s="35">
        <f>SUMIFS($E21:$P21,$E$3:$P$3,1,$E$5:$P$5,S$5)</f>
        <v>-85.285283100000001</v>
      </c>
      <c r="T21" s="35">
        <f>SUMIFS($E21:$P21,$E$3:$P$3,1,$E$5:$P$5,T$5)</f>
        <v>0</v>
      </c>
      <c r="U21" s="35">
        <f>SUMIFS($E21:$P21,$E$3:$P$3,1,$E$5:$P$5,U$5)</f>
        <v>0</v>
      </c>
      <c r="V21" s="35">
        <f>SUM(S21:U21)</f>
        <v>-85.285283100000001</v>
      </c>
      <c r="X21" s="35">
        <f>SUMIF($E$2:$P$2,1,E21:P21)</f>
        <v>-85.285283100000001</v>
      </c>
      <c r="Z21" s="35">
        <f>SUM(E21:G21)</f>
        <v>-345.37389540000004</v>
      </c>
      <c r="AA21" s="35">
        <f>SUM(H21:J21)</f>
        <v>-378.56253659999993</v>
      </c>
      <c r="AB21" s="35">
        <f>SUM(K21:M21)</f>
        <v>-421.99653532344564</v>
      </c>
      <c r="AC21" s="35">
        <f>SUM(N21:P21)</f>
        <v>-481.20338392226734</v>
      </c>
      <c r="AD21" s="35">
        <f>SUM(Z21:AC21)</f>
        <v>-1627.1363512457128</v>
      </c>
    </row>
    <row r="22" spans="1:30">
      <c r="A22" s="36" t="s">
        <v>19</v>
      </c>
      <c r="B22" s="36"/>
      <c r="C22" s="1"/>
      <c r="D22" s="37"/>
      <c r="E22" s="38">
        <f>SUM(E18,E21)</f>
        <v>526.94117827803632</v>
      </c>
      <c r="F22" s="39">
        <f t="shared" ref="F22:P22" si="11">SUM(F18,F21)</f>
        <v>648.77223555834769</v>
      </c>
      <c r="G22" s="40">
        <f t="shared" si="11"/>
        <v>838.89091370891231</v>
      </c>
      <c r="H22" s="40">
        <f t="shared" si="11"/>
        <v>645.72940565636122</v>
      </c>
      <c r="I22" s="40">
        <f t="shared" si="11"/>
        <v>538.69942099327341</v>
      </c>
      <c r="J22" s="40">
        <f t="shared" si="11"/>
        <v>1038.8342025442605</v>
      </c>
      <c r="K22" s="40">
        <f t="shared" si="11"/>
        <v>666.05265487815132</v>
      </c>
      <c r="L22" s="40">
        <f t="shared" si="11"/>
        <v>845.92335194263114</v>
      </c>
      <c r="M22" s="40">
        <f t="shared" si="11"/>
        <v>859.04085446240356</v>
      </c>
      <c r="N22" s="40">
        <f t="shared" si="11"/>
        <v>775.32064342470517</v>
      </c>
      <c r="O22" s="40">
        <f t="shared" si="11"/>
        <v>868.01639333517937</v>
      </c>
      <c r="P22" s="40">
        <f t="shared" si="11"/>
        <v>1189.1367094018563</v>
      </c>
      <c r="Q22" s="110">
        <f t="shared" si="10"/>
        <v>9441.3579641841188</v>
      </c>
      <c r="S22" s="40">
        <f>SUM(S18,S21)</f>
        <v>526.94117827803632</v>
      </c>
      <c r="T22" s="40">
        <f>SUM(T18,T21)</f>
        <v>0</v>
      </c>
      <c r="U22" s="40">
        <f>SUM(U18,U21)</f>
        <v>0</v>
      </c>
      <c r="V22" s="40">
        <f>SUM(V18,V21)</f>
        <v>526.94117827803632</v>
      </c>
      <c r="X22" s="40">
        <f>SUM(X18,X21)</f>
        <v>526.94117827803632</v>
      </c>
      <c r="Z22" s="40">
        <f>SUM(Z18,Z21)</f>
        <v>2014.6043275452962</v>
      </c>
      <c r="AA22" s="40">
        <f>SUM(AA18,AA21)</f>
        <v>2223.2630291938954</v>
      </c>
      <c r="AB22" s="40">
        <f>SUM(AB18,AB21)</f>
        <v>2371.0168612831858</v>
      </c>
      <c r="AC22" s="40">
        <f>SUM(AC18,AC21)</f>
        <v>2832.473746161741</v>
      </c>
      <c r="AD22" s="40">
        <f>SUM(AD18,AD21)</f>
        <v>9441.357964184117</v>
      </c>
    </row>
    <row r="23" spans="1:30">
      <c r="A23" s="16"/>
      <c r="B23" s="16"/>
      <c r="C23" s="41" t="s">
        <v>20</v>
      </c>
      <c r="D23" s="42"/>
      <c r="E23" s="18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08">
        <f t="shared" si="10"/>
        <v>0</v>
      </c>
      <c r="S23" s="19"/>
      <c r="T23" s="19"/>
      <c r="U23" s="19"/>
      <c r="V23" s="19"/>
      <c r="X23" s="19"/>
      <c r="Z23" s="19"/>
      <c r="AA23" s="19"/>
      <c r="AB23" s="19"/>
      <c r="AC23" s="19"/>
      <c r="AD23" s="19"/>
    </row>
    <row r="24" spans="1:30">
      <c r="A24" s="20"/>
      <c r="B24" s="30"/>
      <c r="C24" s="43" t="s">
        <v>21</v>
      </c>
      <c r="D24" s="44"/>
      <c r="E24" s="45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111">
        <f t="shared" si="10"/>
        <v>0</v>
      </c>
      <c r="S24" s="46"/>
      <c r="T24" s="46"/>
      <c r="U24" s="46"/>
      <c r="V24" s="46"/>
      <c r="X24" s="46"/>
      <c r="Z24" s="46"/>
      <c r="AA24" s="46"/>
      <c r="AB24" s="46"/>
      <c r="AC24" s="46"/>
      <c r="AD24" s="46"/>
    </row>
    <row r="25" spans="1:30">
      <c r="A25" s="20"/>
      <c r="B25" s="26" t="s">
        <v>22</v>
      </c>
      <c r="C25" s="17"/>
      <c r="D25" s="21"/>
      <c r="E25" s="47">
        <f>[24]Act!D225</f>
        <v>-440.85755869038957</v>
      </c>
      <c r="F25" s="48">
        <f>[24]Act!E225</f>
        <v>-539.65369538426853</v>
      </c>
      <c r="G25" s="49">
        <f>[24]Act!F225</f>
        <v>-732.22379095507551</v>
      </c>
      <c r="H25" s="49">
        <f>[24]Act!G225</f>
        <v>-538.45421144300394</v>
      </c>
      <c r="I25" s="49">
        <f>[24]Act!H225</f>
        <v>-428.30179487885459</v>
      </c>
      <c r="J25" s="49">
        <f>[24]Act!I225</f>
        <v>-814.86479439977643</v>
      </c>
      <c r="K25" s="49">
        <f>[24]Act!J225</f>
        <v>-525.40785305146869</v>
      </c>
      <c r="L25" s="49">
        <f>[24]Act!K225</f>
        <v>-715.84985976649091</v>
      </c>
      <c r="M25" s="49">
        <f>[24]Act!L225</f>
        <v>-634.89806757064343</v>
      </c>
      <c r="N25" s="49">
        <f>[24]Act!M225</f>
        <v>-615.02367710229544</v>
      </c>
      <c r="O25" s="49">
        <f>[24]Act!N225</f>
        <v>-697.13003427259321</v>
      </c>
      <c r="P25" s="49">
        <f>[24]Act!O225</f>
        <v>-960.54272046359279</v>
      </c>
      <c r="Q25" s="109">
        <f t="shared" si="10"/>
        <v>-7643.2080579784542</v>
      </c>
      <c r="S25" s="49">
        <f>SUMIFS($E25:$P25,$E$3:$P$3,1,$E$5:$P$5,S$5)</f>
        <v>-440.85755869038957</v>
      </c>
      <c r="T25" s="49">
        <f>SUMIFS($E25:$P25,$E$3:$P$3,1,$E$5:$P$5,T$5)</f>
        <v>0</v>
      </c>
      <c r="U25" s="49">
        <f>SUMIFS($E25:$P25,$E$3:$P$3,1,$E$5:$P$5,U$5)</f>
        <v>0</v>
      </c>
      <c r="V25" s="49">
        <f>SUM(S25:U25)</f>
        <v>-440.85755869038957</v>
      </c>
      <c r="X25" s="49">
        <f>SUMIF($E$2:$P$2,1,E25:P25)</f>
        <v>-440.85755869038957</v>
      </c>
      <c r="Z25" s="49">
        <f>SUM(E25:G25)</f>
        <v>-1712.7350450297336</v>
      </c>
      <c r="AA25" s="49">
        <f>SUM(H25:J25)</f>
        <v>-1781.6208007216351</v>
      </c>
      <c r="AB25" s="49">
        <f>SUM(K25:M25)</f>
        <v>-1876.155780388603</v>
      </c>
      <c r="AC25" s="49">
        <f>SUM(N25:P25)</f>
        <v>-2272.6964318384817</v>
      </c>
      <c r="AD25" s="49">
        <f>SUM(Z25:AC25)</f>
        <v>-7643.2080579784533</v>
      </c>
    </row>
    <row r="26" spans="1:30">
      <c r="A26" s="50" t="s">
        <v>23</v>
      </c>
      <c r="B26" s="50"/>
      <c r="C26" s="37"/>
      <c r="D26" s="37"/>
      <c r="E26" s="51">
        <f t="shared" ref="E26:P26" si="12">E22+E25</f>
        <v>86.083619587646751</v>
      </c>
      <c r="F26" s="52">
        <f t="shared" si="12"/>
        <v>109.11854017407916</v>
      </c>
      <c r="G26" s="53">
        <f t="shared" si="12"/>
        <v>106.66712275383679</v>
      </c>
      <c r="H26" s="53">
        <f t="shared" si="12"/>
        <v>107.27519421335728</v>
      </c>
      <c r="I26" s="53">
        <f t="shared" si="12"/>
        <v>110.39762611441881</v>
      </c>
      <c r="J26" s="53">
        <f t="shared" si="12"/>
        <v>223.96940814448408</v>
      </c>
      <c r="K26" s="53">
        <f t="shared" si="12"/>
        <v>140.64480182668262</v>
      </c>
      <c r="L26" s="53">
        <f t="shared" si="12"/>
        <v>130.07349217614023</v>
      </c>
      <c r="M26" s="53">
        <f t="shared" si="12"/>
        <v>224.14278689176012</v>
      </c>
      <c r="N26" s="53">
        <f t="shared" si="12"/>
        <v>160.29696632240973</v>
      </c>
      <c r="O26" s="53">
        <f t="shared" si="12"/>
        <v>170.88635906258617</v>
      </c>
      <c r="P26" s="53">
        <f t="shared" si="12"/>
        <v>228.59398893826346</v>
      </c>
      <c r="Q26" s="112">
        <f t="shared" si="10"/>
        <v>1798.149906205665</v>
      </c>
      <c r="S26" s="40">
        <f>SUM(S22,S25)</f>
        <v>86.083619587646751</v>
      </c>
      <c r="T26" s="40">
        <f>SUM(T22,T25)</f>
        <v>0</v>
      </c>
      <c r="U26" s="40">
        <f>SUM(U22,U25)</f>
        <v>0</v>
      </c>
      <c r="V26" s="40">
        <f>SUM(V22,V25)</f>
        <v>86.083619587646751</v>
      </c>
      <c r="X26" s="53">
        <f>X22+X25</f>
        <v>86.083619587646751</v>
      </c>
      <c r="Z26" s="40">
        <f>SUM(Z22,Z25)</f>
        <v>301.86928251556265</v>
      </c>
      <c r="AA26" s="40">
        <f>SUM(AA22,AA25)</f>
        <v>441.64222847226029</v>
      </c>
      <c r="AB26" s="40">
        <f>SUM(AB22,AB25)</f>
        <v>494.86108089458276</v>
      </c>
      <c r="AC26" s="40">
        <f>SUM(AC22,AC25)</f>
        <v>559.77731432325936</v>
      </c>
      <c r="AD26" s="40">
        <f>SUM(AD22,AD25)</f>
        <v>1798.1499062056637</v>
      </c>
    </row>
    <row r="27" spans="1:30">
      <c r="A27" s="54"/>
      <c r="B27" s="55" t="s">
        <v>24</v>
      </c>
      <c r="C27" s="56"/>
      <c r="D27" s="56"/>
      <c r="E27" s="57">
        <f>E26/E18</f>
        <v>0.14060747945112423</v>
      </c>
      <c r="F27" s="58">
        <f>F26/F18</f>
        <v>0.14434812112952927</v>
      </c>
      <c r="G27" s="59">
        <f>G26/G18</f>
        <v>0.10754776551012478</v>
      </c>
      <c r="H27" s="59">
        <f t="shared" ref="H27:Q27" si="13">H26/H18</f>
        <v>0.14250080439526155</v>
      </c>
      <c r="I27" s="59">
        <f t="shared" si="13"/>
        <v>0.17680323679852522</v>
      </c>
      <c r="J27" s="59">
        <f t="shared" si="13"/>
        <v>0.18289011186853549</v>
      </c>
      <c r="K27" s="59">
        <f t="shared" si="13"/>
        <v>0.17860847681170999</v>
      </c>
      <c r="L27" s="59">
        <f t="shared" si="13"/>
        <v>0.13051080452707695</v>
      </c>
      <c r="M27" s="59">
        <f t="shared" si="13"/>
        <v>0.22216184672704825</v>
      </c>
      <c r="N27" s="59">
        <f t="shared" si="13"/>
        <v>0.17591669163397339</v>
      </c>
      <c r="O27" s="59">
        <f t="shared" si="13"/>
        <v>0.16903647181594841</v>
      </c>
      <c r="P27" s="59">
        <f t="shared" si="13"/>
        <v>0.16427600851631585</v>
      </c>
      <c r="Q27" s="113">
        <f t="shared" si="13"/>
        <v>0.16245659571771992</v>
      </c>
      <c r="S27" s="59">
        <f>S26/S18</f>
        <v>0.14060747945112423</v>
      </c>
      <c r="T27" s="59">
        <f>IFERROR(T26/T18,0)</f>
        <v>0</v>
      </c>
      <c r="U27" s="59">
        <f>IFERROR(U26/U18,0)</f>
        <v>0</v>
      </c>
      <c r="V27" s="59">
        <f>IFERROR(V26/V18,0)</f>
        <v>0.14060747945112423</v>
      </c>
      <c r="X27" s="59">
        <f>X26/X18</f>
        <v>0.14060747945112423</v>
      </c>
      <c r="Z27" s="59">
        <f>Z26/Z18</f>
        <v>0.12791189324570301</v>
      </c>
      <c r="AA27" s="59">
        <f>IFERROR(AA26/AA18,0)</f>
        <v>0.16974321195029921</v>
      </c>
      <c r="AB27" s="59">
        <f>IFERROR(AB26/AB18,0)</f>
        <v>0.17717819810524851</v>
      </c>
      <c r="AC27" s="59">
        <f>IFERROR(AC26/AC18,0)</f>
        <v>0.16892934717181329</v>
      </c>
      <c r="AD27" s="59">
        <f>AD26/AD18</f>
        <v>0.16245659571771978</v>
      </c>
    </row>
    <row r="28" spans="1:30">
      <c r="A28" s="20"/>
      <c r="B28" s="20"/>
      <c r="C28" s="60" t="s">
        <v>25</v>
      </c>
      <c r="D28" s="21"/>
      <c r="E28" s="22">
        <f>[24]Act!D228</f>
        <v>-29.170027381636</v>
      </c>
      <c r="F28" s="23">
        <f>[24]Act!E228</f>
        <v>-21.18745361612903</v>
      </c>
      <c r="G28" s="23">
        <f>[24]Act!F228</f>
        <v>-24.737889650671057</v>
      </c>
      <c r="H28" s="23">
        <f>[24]Act!G228</f>
        <v>-25.384140255491335</v>
      </c>
      <c r="I28" s="23">
        <f>[24]Act!H228</f>
        <v>-21.290418465395721</v>
      </c>
      <c r="J28" s="23">
        <f>[24]Act!I228</f>
        <v>-24.075647198296117</v>
      </c>
      <c r="K28" s="23">
        <f>[24]Act!J228</f>
        <v>-26.894852409046027</v>
      </c>
      <c r="L28" s="23">
        <f>[24]Act!K228</f>
        <v>-24.448846891068531</v>
      </c>
      <c r="M28" s="23">
        <f>[24]Act!L228</f>
        <v>-23.554192475034142</v>
      </c>
      <c r="N28" s="23">
        <f>[24]Act!M228</f>
        <v>-27.014485888710098</v>
      </c>
      <c r="O28" s="23">
        <f>[24]Act!N228</f>
        <v>-25.483146405433015</v>
      </c>
      <c r="P28" s="23">
        <f>[24]Act!O228</f>
        <v>-24.026130424538174</v>
      </c>
      <c r="Q28" s="109">
        <f t="shared" si="10"/>
        <v>-297.26723106144919</v>
      </c>
      <c r="S28" s="23">
        <f t="shared" ref="S28:U33" si="14">SUMIFS($E28:$P28,$E$3:$P$3,1,$E$5:$P$5,S$5)</f>
        <v>-29.170027381636</v>
      </c>
      <c r="T28" s="23">
        <f t="shared" si="14"/>
        <v>0</v>
      </c>
      <c r="U28" s="23">
        <f t="shared" si="14"/>
        <v>0</v>
      </c>
      <c r="V28" s="23">
        <f t="shared" ref="V28:V33" si="15">SUM(S28:U28)</f>
        <v>-29.170027381636</v>
      </c>
      <c r="X28" s="23">
        <f t="shared" ref="X28:X33" si="16">SUMIF($E$2:$P$2,1,E28:P28)</f>
        <v>-29.170027381636</v>
      </c>
      <c r="Z28" s="23">
        <f t="shared" ref="Z28:Z33" si="17">SUM(E28:G28)</f>
        <v>-75.095370648436088</v>
      </c>
      <c r="AA28" s="23">
        <f t="shared" ref="AA28:AA33" si="18">SUM(H28:J28)</f>
        <v>-70.750205919183173</v>
      </c>
      <c r="AB28" s="23">
        <f t="shared" ref="AB28:AB33" si="19">SUM(K28:M28)</f>
        <v>-74.897891775148707</v>
      </c>
      <c r="AC28" s="23">
        <f t="shared" ref="AC28:AC33" si="20">SUM(N28:P28)</f>
        <v>-76.523762718681297</v>
      </c>
      <c r="AD28" s="23">
        <f t="shared" ref="AD28:AD33" si="21">SUM(Z28:AC28)</f>
        <v>-297.26723106144925</v>
      </c>
    </row>
    <row r="29" spans="1:30">
      <c r="A29" s="20"/>
      <c r="B29" s="20"/>
      <c r="C29" s="60" t="s">
        <v>26</v>
      </c>
      <c r="D29" s="21"/>
      <c r="E29" s="22">
        <f>[24]Act!D229</f>
        <v>-5.2709534000000007</v>
      </c>
      <c r="F29" s="23">
        <f>[24]Act!E229</f>
        <v>5.3323574000000002</v>
      </c>
      <c r="G29" s="23">
        <f>[24]Act!F229</f>
        <v>-3.6496299999999995E-2</v>
      </c>
      <c r="H29" s="23">
        <f>[24]Act!G229</f>
        <v>-0.12485880000000001</v>
      </c>
      <c r="I29" s="23">
        <f>[24]Act!H229</f>
        <v>-8.8965800000000497E-2</v>
      </c>
      <c r="J29" s="23">
        <f>[24]Act!I229</f>
        <v>-0.17154370000000002</v>
      </c>
      <c r="K29" s="23">
        <f>[24]Act!J229</f>
        <v>-0.18595979999999998</v>
      </c>
      <c r="L29" s="23">
        <f>[24]Act!K229</f>
        <v>-0.18353208641183505</v>
      </c>
      <c r="M29" s="23">
        <f>[24]Act!L229</f>
        <v>-0.78662451312908399</v>
      </c>
      <c r="N29" s="23">
        <f>[24]Act!M229</f>
        <v>-1.1801973059963797</v>
      </c>
      <c r="O29" s="23">
        <f>[24]Act!N229</f>
        <v>-1.1223189541041301</v>
      </c>
      <c r="P29" s="23">
        <f>[24]Act!O229</f>
        <v>-1.2468634930778504</v>
      </c>
      <c r="Q29" s="109">
        <f t="shared" si="10"/>
        <v>-5.0659567527192806</v>
      </c>
      <c r="S29" s="23">
        <f t="shared" si="14"/>
        <v>-5.2709534000000007</v>
      </c>
      <c r="T29" s="23">
        <f t="shared" si="14"/>
        <v>0</v>
      </c>
      <c r="U29" s="23">
        <f t="shared" si="14"/>
        <v>0</v>
      </c>
      <c r="V29" s="23">
        <f t="shared" si="15"/>
        <v>-5.2709534000000007</v>
      </c>
      <c r="X29" s="23">
        <f t="shared" si="16"/>
        <v>-5.2709534000000007</v>
      </c>
      <c r="Z29" s="23">
        <f t="shared" si="17"/>
        <v>2.4907699999999575E-2</v>
      </c>
      <c r="AA29" s="23">
        <f t="shared" si="18"/>
        <v>-0.38536830000000055</v>
      </c>
      <c r="AB29" s="23">
        <f t="shared" si="19"/>
        <v>-1.1561163995409189</v>
      </c>
      <c r="AC29" s="23">
        <f t="shared" si="20"/>
        <v>-3.5493797531783602</v>
      </c>
      <c r="AD29" s="23">
        <f t="shared" si="21"/>
        <v>-5.0659567527192806</v>
      </c>
    </row>
    <row r="30" spans="1:30">
      <c r="A30" s="20"/>
      <c r="B30" s="20"/>
      <c r="C30" s="60" t="s">
        <v>27</v>
      </c>
      <c r="D30" s="21"/>
      <c r="E30" s="22">
        <f>[24]Act!D230</f>
        <v>0</v>
      </c>
      <c r="F30" s="23">
        <f>[24]Act!E230</f>
        <v>0</v>
      </c>
      <c r="G30" s="23">
        <f>[24]Act!F230</f>
        <v>0</v>
      </c>
      <c r="H30" s="23">
        <f>[24]Act!G230</f>
        <v>0</v>
      </c>
      <c r="I30" s="23">
        <f>[24]Act!H230</f>
        <v>0</v>
      </c>
      <c r="J30" s="23">
        <f>[24]Act!I230</f>
        <v>0</v>
      </c>
      <c r="K30" s="23">
        <f>[24]Act!J230</f>
        <v>0</v>
      </c>
      <c r="L30" s="23">
        <f>[24]Act!K230</f>
        <v>0</v>
      </c>
      <c r="M30" s="23">
        <f>[24]Act!L230</f>
        <v>0</v>
      </c>
      <c r="N30" s="23">
        <f>[24]Act!M230</f>
        <v>0</v>
      </c>
      <c r="O30" s="23">
        <f>[24]Act!N230</f>
        <v>0</v>
      </c>
      <c r="P30" s="23">
        <f>[24]Act!O230</f>
        <v>0</v>
      </c>
      <c r="Q30" s="109">
        <f t="shared" si="10"/>
        <v>0</v>
      </c>
      <c r="S30" s="23">
        <f t="shared" si="14"/>
        <v>0</v>
      </c>
      <c r="T30" s="23">
        <f t="shared" si="14"/>
        <v>0</v>
      </c>
      <c r="U30" s="23">
        <f t="shared" si="14"/>
        <v>0</v>
      </c>
      <c r="V30" s="23">
        <f t="shared" si="15"/>
        <v>0</v>
      </c>
      <c r="X30" s="23">
        <f t="shared" si="16"/>
        <v>0</v>
      </c>
      <c r="Z30" s="23">
        <f t="shared" si="17"/>
        <v>0</v>
      </c>
      <c r="AA30" s="23">
        <f t="shared" si="18"/>
        <v>0</v>
      </c>
      <c r="AB30" s="23">
        <f t="shared" si="19"/>
        <v>0</v>
      </c>
      <c r="AC30" s="23">
        <f t="shared" si="20"/>
        <v>0</v>
      </c>
      <c r="AD30" s="23">
        <f t="shared" si="21"/>
        <v>0</v>
      </c>
    </row>
    <row r="31" spans="1:30">
      <c r="A31" s="20"/>
      <c r="B31" s="20"/>
      <c r="C31" s="60" t="s">
        <v>28</v>
      </c>
      <c r="D31" s="21"/>
      <c r="E31" s="22">
        <f>[24]Act!D232</f>
        <v>-22.075094200000002</v>
      </c>
      <c r="F31" s="23">
        <f>[24]Act!E232</f>
        <v>-7.3505496000000097</v>
      </c>
      <c r="G31" s="23">
        <f>[24]Act!F232</f>
        <v>-8.5696320999999909</v>
      </c>
      <c r="H31" s="23">
        <f>[24]Act!G232</f>
        <v>-8.6392316999999981</v>
      </c>
      <c r="I31" s="23">
        <f>[24]Act!H232</f>
        <v>-7.4864992000000239</v>
      </c>
      <c r="J31" s="23">
        <f>[24]Act!I232</f>
        <v>-9.9282397999999965</v>
      </c>
      <c r="K31" s="23">
        <f>[24]Act!J232</f>
        <v>-10.2821514</v>
      </c>
      <c r="L31" s="23">
        <f>[24]Act!K232</f>
        <v>-11.610315860518902</v>
      </c>
      <c r="M31" s="23">
        <f>[24]Act!L232</f>
        <v>-10.682916964628516</v>
      </c>
      <c r="N31" s="23">
        <f>[24]Act!M232</f>
        <v>-6.6166432820694459</v>
      </c>
      <c r="O31" s="23">
        <f>[24]Act!N232</f>
        <v>-8.2443960160479772</v>
      </c>
      <c r="P31" s="23">
        <f>[24]Act!O232</f>
        <v>-6.9226136718058839</v>
      </c>
      <c r="Q31" s="109">
        <f t="shared" si="10"/>
        <v>-118.40828379507073</v>
      </c>
      <c r="S31" s="23">
        <f t="shared" si="14"/>
        <v>-22.075094200000002</v>
      </c>
      <c r="T31" s="23">
        <f t="shared" si="14"/>
        <v>0</v>
      </c>
      <c r="U31" s="23">
        <f t="shared" si="14"/>
        <v>0</v>
      </c>
      <c r="V31" s="23">
        <f t="shared" si="15"/>
        <v>-22.075094200000002</v>
      </c>
      <c r="X31" s="23">
        <f t="shared" si="16"/>
        <v>-22.075094200000002</v>
      </c>
      <c r="Z31" s="23">
        <f t="shared" si="17"/>
        <v>-37.995275900000003</v>
      </c>
      <c r="AA31" s="23">
        <f t="shared" si="18"/>
        <v>-26.053970700000018</v>
      </c>
      <c r="AB31" s="23">
        <f t="shared" si="19"/>
        <v>-32.575384225147417</v>
      </c>
      <c r="AC31" s="23">
        <f t="shared" si="20"/>
        <v>-21.783652969923306</v>
      </c>
      <c r="AD31" s="23">
        <f t="shared" si="21"/>
        <v>-118.40828379507074</v>
      </c>
    </row>
    <row r="32" spans="1:30">
      <c r="A32" s="20"/>
      <c r="B32" s="20"/>
      <c r="C32" s="60" t="s">
        <v>29</v>
      </c>
      <c r="D32" s="21"/>
      <c r="E32" s="61">
        <f>[24]Act!D233</f>
        <v>0</v>
      </c>
      <c r="F32" s="62">
        <f>[24]Act!E233</f>
        <v>0</v>
      </c>
      <c r="G32" s="62">
        <f>[24]Act!F233</f>
        <v>0</v>
      </c>
      <c r="H32" s="62">
        <f>[24]Act!G233</f>
        <v>0</v>
      </c>
      <c r="I32" s="62">
        <f>[24]Act!H233</f>
        <v>0</v>
      </c>
      <c r="J32" s="62">
        <f>[24]Act!I233</f>
        <v>0</v>
      </c>
      <c r="K32" s="62">
        <f>[24]Act!J233</f>
        <v>0</v>
      </c>
      <c r="L32" s="62">
        <f>[24]Act!K233</f>
        <v>0</v>
      </c>
      <c r="M32" s="62">
        <f>[24]Act!L233</f>
        <v>0</v>
      </c>
      <c r="N32" s="62">
        <f>[24]Act!M233</f>
        <v>0</v>
      </c>
      <c r="O32" s="62">
        <f>[24]Act!N233</f>
        <v>0</v>
      </c>
      <c r="P32" s="62">
        <f>[24]Act!O233</f>
        <v>0</v>
      </c>
      <c r="Q32" s="62">
        <f t="shared" si="10"/>
        <v>0</v>
      </c>
      <c r="S32" s="62">
        <f t="shared" si="14"/>
        <v>0</v>
      </c>
      <c r="T32" s="62">
        <f t="shared" si="14"/>
        <v>0</v>
      </c>
      <c r="U32" s="62">
        <f t="shared" si="14"/>
        <v>0</v>
      </c>
      <c r="V32" s="62">
        <f t="shared" si="15"/>
        <v>0</v>
      </c>
      <c r="X32" s="62">
        <f t="shared" si="16"/>
        <v>0</v>
      </c>
      <c r="Z32" s="62">
        <f t="shared" si="17"/>
        <v>0</v>
      </c>
      <c r="AA32" s="62">
        <f t="shared" si="18"/>
        <v>0</v>
      </c>
      <c r="AB32" s="62">
        <f t="shared" si="19"/>
        <v>0</v>
      </c>
      <c r="AC32" s="62">
        <f t="shared" si="20"/>
        <v>0</v>
      </c>
      <c r="AD32" s="62">
        <f t="shared" si="21"/>
        <v>0</v>
      </c>
    </row>
    <row r="33" spans="1:30">
      <c r="A33" s="20"/>
      <c r="B33" s="30"/>
      <c r="C33" s="63" t="s">
        <v>30</v>
      </c>
      <c r="D33" s="31"/>
      <c r="E33" s="45">
        <f>[24]Act!D234</f>
        <v>-10.598455638364001</v>
      </c>
      <c r="F33" s="46">
        <f>[24]Act!E234</f>
        <v>-7.2973572198709657</v>
      </c>
      <c r="G33" s="46">
        <f>[24]Act!F234</f>
        <v>-8.2733199583289405</v>
      </c>
      <c r="H33" s="46">
        <f>[24]Act!G234</f>
        <v>-8.8285599855086669</v>
      </c>
      <c r="I33" s="46">
        <f>[24]Act!H234</f>
        <v>-8.1039181756042815</v>
      </c>
      <c r="J33" s="46">
        <f>[24]Act!I234</f>
        <v>-14.384273848703881</v>
      </c>
      <c r="K33" s="46">
        <f>[24]Act!J234</f>
        <v>-11.676647556953974</v>
      </c>
      <c r="L33" s="46">
        <f>[24]Act!K234</f>
        <v>-13.499997144031687</v>
      </c>
      <c r="M33" s="46">
        <f>[24]Act!L234</f>
        <v>-18.31387221068054</v>
      </c>
      <c r="N33" s="46">
        <f>[24]Act!M234</f>
        <v>-12.620054813911782</v>
      </c>
      <c r="O33" s="46">
        <f>[24]Act!N234</f>
        <v>-13.588403332553053</v>
      </c>
      <c r="P33" s="46">
        <f>[24]Act!O234</f>
        <v>-13.270802358284605</v>
      </c>
      <c r="Q33" s="111">
        <f t="shared" si="10"/>
        <v>-140.45566224279636</v>
      </c>
      <c r="S33" s="46">
        <f t="shared" si="14"/>
        <v>-10.598455638364001</v>
      </c>
      <c r="T33" s="46">
        <f t="shared" si="14"/>
        <v>0</v>
      </c>
      <c r="U33" s="46">
        <f t="shared" si="14"/>
        <v>0</v>
      </c>
      <c r="V33" s="46">
        <f t="shared" si="15"/>
        <v>-10.598455638364001</v>
      </c>
      <c r="X33" s="46">
        <f t="shared" si="16"/>
        <v>-10.598455638364001</v>
      </c>
      <c r="Z33" s="46">
        <f t="shared" si="17"/>
        <v>-26.169132816563909</v>
      </c>
      <c r="AA33" s="46">
        <f t="shared" si="18"/>
        <v>-31.316752009816827</v>
      </c>
      <c r="AB33" s="46">
        <f t="shared" si="19"/>
        <v>-43.490516911666205</v>
      </c>
      <c r="AC33" s="46">
        <f t="shared" si="20"/>
        <v>-39.47926050474944</v>
      </c>
      <c r="AD33" s="46">
        <f t="shared" si="21"/>
        <v>-140.45566224279639</v>
      </c>
    </row>
    <row r="34" spans="1:30">
      <c r="A34" s="30"/>
      <c r="B34" s="31" t="s">
        <v>31</v>
      </c>
      <c r="C34" s="21"/>
      <c r="D34" s="21"/>
      <c r="E34" s="64">
        <f>SUM(E28:E30,E31:E33)</f>
        <v>-67.114530620000011</v>
      </c>
      <c r="F34" s="65">
        <f t="shared" ref="F34:P34" si="22">SUM(F28:F30,F31:F33)</f>
        <v>-30.50300303600001</v>
      </c>
      <c r="G34" s="66">
        <f t="shared" si="22"/>
        <v>-41.617338008999987</v>
      </c>
      <c r="H34" s="66">
        <f t="shared" si="22"/>
        <v>-42.976790741000002</v>
      </c>
      <c r="I34" s="66">
        <f t="shared" si="22"/>
        <v>-36.969801641000032</v>
      </c>
      <c r="J34" s="66">
        <f t="shared" si="22"/>
        <v>-48.559704546999996</v>
      </c>
      <c r="K34" s="66">
        <f t="shared" si="22"/>
        <v>-49.039611166</v>
      </c>
      <c r="L34" s="66">
        <f t="shared" si="22"/>
        <v>-49.742691982030955</v>
      </c>
      <c r="M34" s="66">
        <f t="shared" si="22"/>
        <v>-53.337606163472287</v>
      </c>
      <c r="N34" s="66">
        <f t="shared" si="22"/>
        <v>-47.43138129068771</v>
      </c>
      <c r="O34" s="66">
        <f t="shared" si="22"/>
        <v>-48.438264708138178</v>
      </c>
      <c r="P34" s="66">
        <f t="shared" si="22"/>
        <v>-45.466409947706516</v>
      </c>
      <c r="Q34" s="114">
        <f t="shared" si="10"/>
        <v>-561.19713385203568</v>
      </c>
      <c r="S34" s="66">
        <f>SUM(S28:S30,S31:S33)</f>
        <v>-67.114530620000011</v>
      </c>
      <c r="T34" s="66">
        <f>SUM(T28:T30,T31:T33)</f>
        <v>0</v>
      </c>
      <c r="U34" s="66">
        <f>SUM(U28:U30,U31:U33)</f>
        <v>0</v>
      </c>
      <c r="V34" s="66">
        <f>SUM(V28:V30,V31:V33)</f>
        <v>-67.114530620000011</v>
      </c>
      <c r="X34" s="66">
        <f>SUM(X28:X30,X31:X33)</f>
        <v>-67.114530620000011</v>
      </c>
      <c r="Z34" s="66">
        <f>SUM(Z28:Z30,Z31:Z33)</f>
        <v>-139.23487166500001</v>
      </c>
      <c r="AA34" s="66">
        <f>SUM(AA28:AA30,AA31:AA33)</f>
        <v>-128.50629692900003</v>
      </c>
      <c r="AB34" s="66">
        <f>SUM(AB28:AB30,AB31:AB33)</f>
        <v>-152.11990931150325</v>
      </c>
      <c r="AC34" s="66">
        <f>SUM(AC28:AC30,AC31:AC33)</f>
        <v>-141.33605594653241</v>
      </c>
      <c r="AD34" s="66">
        <f>SUM(AD28:AD30,AD31:AD33)</f>
        <v>-561.19713385203568</v>
      </c>
    </row>
    <row r="35" spans="1:30">
      <c r="A35" s="20"/>
      <c r="B35" s="20"/>
      <c r="C35" s="67" t="s">
        <v>32</v>
      </c>
      <c r="D35" s="17"/>
      <c r="E35" s="18">
        <f>[24]Act!D236</f>
        <v>-21.268724286000001</v>
      </c>
      <c r="F35" s="19">
        <f>[24]Act!E236</f>
        <v>-29.590592390000001</v>
      </c>
      <c r="G35" s="19">
        <f>[24]Act!F236</f>
        <v>-30.952623228649806</v>
      </c>
      <c r="H35" s="19">
        <f>[24]Act!G236</f>
        <v>-26.437131634000004</v>
      </c>
      <c r="I35" s="19">
        <f>[24]Act!H236</f>
        <v>-21.682589371999999</v>
      </c>
      <c r="J35" s="19">
        <f>[24]Act!I236</f>
        <v>-32.637590355999997</v>
      </c>
      <c r="K35" s="19">
        <f>[24]Act!J236</f>
        <v>-30.529672399999995</v>
      </c>
      <c r="L35" s="19">
        <f>[24]Act!K236</f>
        <v>-24.721039563509539</v>
      </c>
      <c r="M35" s="19">
        <f>[24]Act!L236</f>
        <v>-19.137830545188653</v>
      </c>
      <c r="N35" s="19">
        <f>[24]Act!M236</f>
        <v>-27.921033840167748</v>
      </c>
      <c r="O35" s="19">
        <f>[24]Act!N236</f>
        <v>-27.974090143205057</v>
      </c>
      <c r="P35" s="19">
        <f>[24]Act!O236</f>
        <v>-21.464222710402915</v>
      </c>
      <c r="Q35" s="108">
        <f t="shared" si="10"/>
        <v>-314.31714046912367</v>
      </c>
      <c r="S35" s="19">
        <f t="shared" ref="S35:U37" si="23">SUMIFS($E35:$P35,$E$3:$P$3,1,$E$5:$P$5,S$5)</f>
        <v>-21.268724286000001</v>
      </c>
      <c r="T35" s="19">
        <f t="shared" si="23"/>
        <v>0</v>
      </c>
      <c r="U35" s="19">
        <f t="shared" si="23"/>
        <v>0</v>
      </c>
      <c r="V35" s="19">
        <f>SUM(S35:U35)</f>
        <v>-21.268724286000001</v>
      </c>
      <c r="X35" s="19">
        <f>SUMIF($E$2:$P$2,1,E35:P35)</f>
        <v>-21.268724286000001</v>
      </c>
      <c r="Z35" s="19">
        <f>SUM(E35:G35)</f>
        <v>-81.811939904649819</v>
      </c>
      <c r="AA35" s="19">
        <f>SUM(H35:J35)</f>
        <v>-80.757311361999996</v>
      </c>
      <c r="AB35" s="19">
        <f>SUM(K35:M35)</f>
        <v>-74.38854250869818</v>
      </c>
      <c r="AC35" s="19">
        <f>SUM(N35:P35)</f>
        <v>-77.35934669377572</v>
      </c>
      <c r="AD35" s="19">
        <f>SUM(Z35:AC35)</f>
        <v>-314.31714046912373</v>
      </c>
    </row>
    <row r="36" spans="1:30">
      <c r="A36" s="20"/>
      <c r="B36" s="20"/>
      <c r="C36" s="462" t="s">
        <v>300</v>
      </c>
      <c r="D36" s="21"/>
      <c r="E36" s="22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109">
        <f t="shared" si="10"/>
        <v>0</v>
      </c>
      <c r="S36" s="23">
        <f t="shared" si="23"/>
        <v>0</v>
      </c>
      <c r="T36" s="23">
        <f t="shared" si="23"/>
        <v>0</v>
      </c>
      <c r="U36" s="23">
        <f t="shared" si="23"/>
        <v>0</v>
      </c>
      <c r="V36" s="23">
        <f>SUM(S36:U36)</f>
        <v>0</v>
      </c>
      <c r="X36" s="23">
        <f>SUMIF($E$2:$P$2,1,E36:P36)</f>
        <v>0</v>
      </c>
      <c r="Z36" s="23">
        <f>SUM(E36:G36)</f>
        <v>0</v>
      </c>
      <c r="AA36" s="23">
        <f>SUM(H36:J36)</f>
        <v>0</v>
      </c>
      <c r="AB36" s="23">
        <f>SUM(K36:M36)</f>
        <v>0</v>
      </c>
      <c r="AC36" s="23">
        <f>SUM(N36:P36)</f>
        <v>0</v>
      </c>
      <c r="AD36" s="23">
        <f>SUM(Z36:AC36)</f>
        <v>0</v>
      </c>
    </row>
    <row r="37" spans="1:30">
      <c r="A37" s="20"/>
      <c r="B37" s="30"/>
      <c r="C37" s="463" t="s">
        <v>299</v>
      </c>
      <c r="D37" s="31"/>
      <c r="E37" s="45">
        <f>SUM(E58:E59)</f>
        <v>-4.9093125139999998</v>
      </c>
      <c r="F37" s="46">
        <f t="shared" ref="F37:P37" si="24">SUM(F58:F59)</f>
        <v>-3.2674163100000051</v>
      </c>
      <c r="G37" s="46">
        <f t="shared" si="24"/>
        <v>-9.4938384713501947</v>
      </c>
      <c r="H37" s="46">
        <f t="shared" si="24"/>
        <v>-5.2961899659999929</v>
      </c>
      <c r="I37" s="46">
        <f t="shared" si="24"/>
        <v>-4.6916916279999974</v>
      </c>
      <c r="J37" s="46">
        <f t="shared" si="24"/>
        <v>-10.533788644000005</v>
      </c>
      <c r="K37" s="46">
        <f t="shared" si="24"/>
        <v>-8.4724624819050049</v>
      </c>
      <c r="L37" s="46">
        <f t="shared" si="24"/>
        <v>-4.840368483490824</v>
      </c>
      <c r="M37" s="46">
        <f t="shared" si="24"/>
        <v>-8.6885300568117465</v>
      </c>
      <c r="N37" s="46">
        <f t="shared" si="24"/>
        <v>-6.3429018225277893</v>
      </c>
      <c r="O37" s="46">
        <f t="shared" si="24"/>
        <v>-5.9238731464888978</v>
      </c>
      <c r="P37" s="46">
        <f t="shared" si="24"/>
        <v>-9.6824456102908023</v>
      </c>
      <c r="Q37" s="111">
        <f t="shared" si="10"/>
        <v>-82.142819134865263</v>
      </c>
      <c r="S37" s="46">
        <f t="shared" si="23"/>
        <v>-4.9093125139999998</v>
      </c>
      <c r="T37" s="46">
        <f t="shared" si="23"/>
        <v>0</v>
      </c>
      <c r="U37" s="46">
        <f t="shared" si="23"/>
        <v>0</v>
      </c>
      <c r="V37" s="46">
        <f>SUM(S37:U37)</f>
        <v>-4.9093125139999998</v>
      </c>
      <c r="X37" s="46">
        <f>SUMIF($E$2:$P$2,1,E37:P37)</f>
        <v>-4.9093125139999998</v>
      </c>
      <c r="Z37" s="46">
        <f>SUM(E37:G37)</f>
        <v>-17.6705672953502</v>
      </c>
      <c r="AA37" s="46">
        <f>SUM(H37:J37)</f>
        <v>-20.521670237999995</v>
      </c>
      <c r="AB37" s="46">
        <f>SUM(K37:M37)</f>
        <v>-22.001361022207576</v>
      </c>
      <c r="AC37" s="46">
        <f>SUM(N37:P37)</f>
        <v>-21.949220579307489</v>
      </c>
      <c r="AD37" s="46">
        <f>SUM(Z37:AC37)</f>
        <v>-82.142819134865263</v>
      </c>
    </row>
    <row r="38" spans="1:30">
      <c r="A38" s="30"/>
      <c r="B38" s="31" t="s">
        <v>34</v>
      </c>
      <c r="C38" s="21"/>
      <c r="D38" s="21"/>
      <c r="E38" s="68">
        <f t="shared" ref="E38:P38" si="25">SUM(E35:E37)</f>
        <v>-26.178036800000001</v>
      </c>
      <c r="F38" s="69">
        <f t="shared" si="25"/>
        <v>-32.858008700000006</v>
      </c>
      <c r="G38" s="70">
        <f t="shared" si="25"/>
        <v>-40.4464617</v>
      </c>
      <c r="H38" s="70">
        <f t="shared" si="25"/>
        <v>-31.733321599999996</v>
      </c>
      <c r="I38" s="70">
        <f t="shared" si="25"/>
        <v>-26.374280999999996</v>
      </c>
      <c r="J38" s="70">
        <f t="shared" si="25"/>
        <v>-43.171379000000002</v>
      </c>
      <c r="K38" s="70">
        <f t="shared" si="25"/>
        <v>-39.002134881905</v>
      </c>
      <c r="L38" s="70">
        <f t="shared" si="25"/>
        <v>-29.561408047000363</v>
      </c>
      <c r="M38" s="70">
        <f t="shared" si="25"/>
        <v>-27.826360602000399</v>
      </c>
      <c r="N38" s="70">
        <f t="shared" si="25"/>
        <v>-34.263935662695538</v>
      </c>
      <c r="O38" s="70">
        <f t="shared" si="25"/>
        <v>-33.897963289693955</v>
      </c>
      <c r="P38" s="70">
        <f t="shared" si="25"/>
        <v>-31.146668320693717</v>
      </c>
      <c r="Q38" s="114">
        <f t="shared" si="10"/>
        <v>-396.45995960398898</v>
      </c>
      <c r="S38" s="70">
        <f>SUM(S35:S37)</f>
        <v>-26.178036800000001</v>
      </c>
      <c r="T38" s="70">
        <f>SUM(T35:T37)</f>
        <v>0</v>
      </c>
      <c r="U38" s="70">
        <f>SUM(U35:U37)</f>
        <v>0</v>
      </c>
      <c r="V38" s="70">
        <f>SUM(V35:V37)</f>
        <v>-26.178036800000001</v>
      </c>
      <c r="X38" s="70">
        <f>SUM(X35:X37)</f>
        <v>-26.178036800000001</v>
      </c>
      <c r="Z38" s="70">
        <f>SUM(Z35:Z37)</f>
        <v>-99.482507200000015</v>
      </c>
      <c r="AA38" s="70">
        <f>SUM(AA35:AA37)</f>
        <v>-101.27898159999999</v>
      </c>
      <c r="AB38" s="70">
        <f>SUM(AB35:AB37)</f>
        <v>-96.389903530905755</v>
      </c>
      <c r="AC38" s="70">
        <f>SUM(AC35:AC37)</f>
        <v>-99.308567273083213</v>
      </c>
      <c r="AD38" s="70">
        <f>SUM(AD35:AD37)</f>
        <v>-396.45995960398898</v>
      </c>
    </row>
    <row r="39" spans="1:30">
      <c r="A39" s="71"/>
      <c r="B39" s="72"/>
      <c r="C39" s="73" t="s">
        <v>35</v>
      </c>
      <c r="D39" s="17"/>
      <c r="E39" s="61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115">
        <f t="shared" si="10"/>
        <v>0</v>
      </c>
      <c r="S39" s="62"/>
      <c r="T39" s="62"/>
      <c r="U39" s="62"/>
      <c r="V39" s="62"/>
      <c r="X39" s="62"/>
      <c r="Z39" s="62"/>
      <c r="AA39" s="62"/>
      <c r="AB39" s="62"/>
      <c r="AC39" s="62"/>
      <c r="AD39" s="62"/>
    </row>
    <row r="40" spans="1:30">
      <c r="A40" s="74"/>
      <c r="B40" s="71"/>
      <c r="C40" s="75" t="s">
        <v>36</v>
      </c>
      <c r="D40" s="21"/>
      <c r="E40" s="22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109">
        <f t="shared" si="10"/>
        <v>0</v>
      </c>
      <c r="S40" s="23"/>
      <c r="T40" s="23"/>
      <c r="U40" s="23"/>
      <c r="V40" s="23"/>
      <c r="X40" s="23"/>
      <c r="Z40" s="23"/>
      <c r="AA40" s="23"/>
      <c r="AB40" s="23"/>
      <c r="AC40" s="23"/>
      <c r="AD40" s="23"/>
    </row>
    <row r="41" spans="1:30">
      <c r="A41" s="74"/>
      <c r="B41" s="71"/>
      <c r="C41" s="60" t="s">
        <v>37</v>
      </c>
      <c r="D41" s="21"/>
      <c r="E41" s="22">
        <f>[24]Act!D240</f>
        <v>-37.389420916999995</v>
      </c>
      <c r="F41" s="23">
        <f>[24]Act!E240</f>
        <v>-29.881607848000002</v>
      </c>
      <c r="G41" s="23">
        <f>[24]Act!F240</f>
        <v>-39.768504309000001</v>
      </c>
      <c r="H41" s="23">
        <f>[24]Act!G240</f>
        <v>-35.318561353</v>
      </c>
      <c r="I41" s="23">
        <f>[24]Act!H240</f>
        <v>-31.778330893000003</v>
      </c>
      <c r="J41" s="23">
        <f>[24]Act!I240</f>
        <v>-35.268115913999999</v>
      </c>
      <c r="K41" s="23">
        <f>[24]Act!J240</f>
        <v>-35.747137813000002</v>
      </c>
      <c r="L41" s="23">
        <f>[24]Act!K240</f>
        <v>-34.660205132000002</v>
      </c>
      <c r="M41" s="23">
        <f>[24]Act!L240</f>
        <v>-35.357346678000006</v>
      </c>
      <c r="N41" s="23">
        <f>[24]Act!M240</f>
        <v>-32.881812816999997</v>
      </c>
      <c r="O41" s="23">
        <f>[24]Act!N240</f>
        <v>-32.015299488000004</v>
      </c>
      <c r="P41" s="23">
        <f>[24]Act!O240</f>
        <v>-29.894135939999998</v>
      </c>
      <c r="Q41" s="109">
        <f t="shared" si="10"/>
        <v>-409.96047910199997</v>
      </c>
      <c r="S41" s="23">
        <f>SUMIFS($E41:$P41,$E$3:$P$3,1,$E$5:$P$5,S$5)</f>
        <v>-37.389420916999995</v>
      </c>
      <c r="T41" s="23">
        <f>SUMIFS($E41:$P41,$E$3:$P$3,1,$E$5:$P$5,T$5)</f>
        <v>0</v>
      </c>
      <c r="U41" s="23">
        <f>SUMIFS($E41:$P41,$E$3:$P$3,1,$E$5:$P$5,U$5)</f>
        <v>0</v>
      </c>
      <c r="V41" s="23">
        <f>SUM(S41:U41)</f>
        <v>-37.389420916999995</v>
      </c>
      <c r="X41" s="23">
        <f>SUMIF($E$2:$P$2,1,E41:P41)</f>
        <v>-37.389420916999995</v>
      </c>
      <c r="Z41" s="23">
        <f>SUM(E41:G41)</f>
        <v>-107.03953307399999</v>
      </c>
      <c r="AA41" s="23">
        <f>SUM(H41:J41)</f>
        <v>-102.36500816</v>
      </c>
      <c r="AB41" s="23">
        <f>SUM(K41:M41)</f>
        <v>-105.76468962300001</v>
      </c>
      <c r="AC41" s="23">
        <f>SUM(N41:P41)</f>
        <v>-94.791248245000006</v>
      </c>
      <c r="AD41" s="23">
        <f>SUM(Z41:AC41)</f>
        <v>-409.96047910200002</v>
      </c>
    </row>
    <row r="42" spans="1:30">
      <c r="A42" s="74"/>
      <c r="B42" s="71"/>
      <c r="C42" s="76" t="s">
        <v>38</v>
      </c>
      <c r="D42" s="21"/>
      <c r="E42" s="22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109">
        <f t="shared" si="10"/>
        <v>0</v>
      </c>
      <c r="S42" s="23"/>
      <c r="T42" s="23"/>
      <c r="U42" s="23"/>
      <c r="V42" s="23"/>
      <c r="X42" s="23"/>
      <c r="Z42" s="23"/>
      <c r="AA42" s="23"/>
      <c r="AB42" s="23"/>
      <c r="AC42" s="23"/>
      <c r="AD42" s="23"/>
    </row>
    <row r="43" spans="1:30">
      <c r="A43" s="74"/>
      <c r="B43" s="71"/>
      <c r="C43" s="60" t="s">
        <v>39</v>
      </c>
      <c r="D43" s="21"/>
      <c r="E43" s="22">
        <f>[24]Act!D241</f>
        <v>2.2106839143449135</v>
      </c>
      <c r="F43" s="23">
        <f>[24]Act!E241</f>
        <v>2.0894766685329129</v>
      </c>
      <c r="G43" s="23">
        <f>[24]Act!F241</f>
        <v>2.2799490982448782</v>
      </c>
      <c r="H43" s="23">
        <f>[24]Act!G241</f>
        <v>2.4858819092374485</v>
      </c>
      <c r="I43" s="23">
        <f>[24]Act!H241</f>
        <v>2.0734510037522687</v>
      </c>
      <c r="J43" s="23">
        <f>[24]Act!I241</f>
        <v>1.9017874999426483</v>
      </c>
      <c r="K43" s="23">
        <f>[24]Act!J241</f>
        <v>-1.7987944870558459</v>
      </c>
      <c r="L43" s="23">
        <f>[24]Act!K241</f>
        <v>0.89759097968346846</v>
      </c>
      <c r="M43" s="23">
        <f>[24]Act!L241</f>
        <v>1.5284342663604438</v>
      </c>
      <c r="N43" s="23">
        <f>[24]Act!M241</f>
        <v>1.5284342716072121</v>
      </c>
      <c r="O43" s="23">
        <f>[24]Act!N241</f>
        <v>1.5284342684476986</v>
      </c>
      <c r="P43" s="23">
        <f>[24]Act!O241</f>
        <v>1.4821315855431809</v>
      </c>
      <c r="Q43" s="109">
        <f t="shared" si="10"/>
        <v>18.207460978641222</v>
      </c>
      <c r="S43" s="23">
        <f>SUMIFS($E43:$P43,$E$3:$P$3,1,$E$5:$P$5,S$5)</f>
        <v>2.2106839143449135</v>
      </c>
      <c r="T43" s="23">
        <f>SUMIFS($E43:$P43,$E$3:$P$3,1,$E$5:$P$5,T$5)</f>
        <v>0</v>
      </c>
      <c r="U43" s="23">
        <f>SUMIFS($E43:$P43,$E$3:$P$3,1,$E$5:$P$5,U$5)</f>
        <v>0</v>
      </c>
      <c r="V43" s="23">
        <f>SUM(S43:U43)</f>
        <v>2.2106839143449135</v>
      </c>
      <c r="X43" s="23">
        <f>SUMIF($E$2:$P$2,1,E43:P43)</f>
        <v>2.2106839143449135</v>
      </c>
      <c r="Z43" s="23">
        <f>SUM(E43:G43)</f>
        <v>6.5801096811227042</v>
      </c>
      <c r="AA43" s="23">
        <f>SUM(H43:J43)</f>
        <v>6.4611204129323649</v>
      </c>
      <c r="AB43" s="23">
        <f>SUM(K43:M43)</f>
        <v>0.62723075898806635</v>
      </c>
      <c r="AC43" s="23">
        <f>SUM(N43:P43)</f>
        <v>4.5390001255980916</v>
      </c>
      <c r="AD43" s="23">
        <f>SUM(Z43:AC43)</f>
        <v>18.20746097864123</v>
      </c>
    </row>
    <row r="44" spans="1:30">
      <c r="A44" s="77"/>
      <c r="B44" s="17" t="s">
        <v>40</v>
      </c>
      <c r="C44" s="17"/>
      <c r="D44" s="17"/>
      <c r="E44" s="38">
        <f t="shared" ref="E44:P44" si="26">SUM(E39:E43)</f>
        <v>-35.178737002655083</v>
      </c>
      <c r="F44" s="39">
        <f t="shared" si="26"/>
        <v>-27.792131179467088</v>
      </c>
      <c r="G44" s="40">
        <f t="shared" si="26"/>
        <v>-37.488555210755123</v>
      </c>
      <c r="H44" s="40">
        <f t="shared" si="26"/>
        <v>-32.832679443762551</v>
      </c>
      <c r="I44" s="40">
        <f t="shared" si="26"/>
        <v>-29.704879889247735</v>
      </c>
      <c r="J44" s="40">
        <f t="shared" si="26"/>
        <v>-33.36632841405735</v>
      </c>
      <c r="K44" s="40">
        <f t="shared" si="26"/>
        <v>-37.545932300055846</v>
      </c>
      <c r="L44" s="40">
        <f t="shared" si="26"/>
        <v>-33.76261415231653</v>
      </c>
      <c r="M44" s="40">
        <f t="shared" si="26"/>
        <v>-33.828912411639564</v>
      </c>
      <c r="N44" s="40">
        <f t="shared" si="26"/>
        <v>-31.353378545392786</v>
      </c>
      <c r="O44" s="40">
        <f t="shared" si="26"/>
        <v>-30.486865219552307</v>
      </c>
      <c r="P44" s="40">
        <f t="shared" si="26"/>
        <v>-28.412004354456819</v>
      </c>
      <c r="Q44" s="110">
        <f t="shared" si="10"/>
        <v>-391.75301812335886</v>
      </c>
      <c r="S44" s="40">
        <f>SUM(S39:S43)</f>
        <v>-35.178737002655083</v>
      </c>
      <c r="T44" s="40">
        <f>SUM(T39:T43)</f>
        <v>0</v>
      </c>
      <c r="U44" s="40">
        <f>SUM(U39:U43)</f>
        <v>0</v>
      </c>
      <c r="V44" s="40">
        <f>SUM(V39:V43)</f>
        <v>-35.178737002655083</v>
      </c>
      <c r="X44" s="40">
        <f>SUM(X39:X43)</f>
        <v>-35.178737002655083</v>
      </c>
      <c r="Z44" s="40">
        <f>SUM(Z39:Z43)</f>
        <v>-100.45942339287728</v>
      </c>
      <c r="AA44" s="40">
        <f>SUM(AA39:AA43)</f>
        <v>-95.903887747067643</v>
      </c>
      <c r="AB44" s="40">
        <f>SUM(AB39:AB43)</f>
        <v>-105.13745886401195</v>
      </c>
      <c r="AC44" s="40">
        <f>SUM(AC39:AC43)</f>
        <v>-90.252248119401912</v>
      </c>
      <c r="AD44" s="40">
        <f>SUM(AD39:AD43)</f>
        <v>-391.7530181233588</v>
      </c>
    </row>
    <row r="45" spans="1:30">
      <c r="A45" s="78" t="s">
        <v>41</v>
      </c>
      <c r="B45" s="73"/>
      <c r="C45" s="73"/>
      <c r="D45" s="73"/>
      <c r="E45" s="51">
        <f t="shared" ref="E45:P45" si="27">SUM(E44,E38,E34)</f>
        <v>-128.47130442265509</v>
      </c>
      <c r="F45" s="52">
        <f t="shared" si="27"/>
        <v>-91.1531429154671</v>
      </c>
      <c r="G45" s="53">
        <f t="shared" si="27"/>
        <v>-119.55235491975512</v>
      </c>
      <c r="H45" s="53">
        <f t="shared" si="27"/>
        <v>-107.54279178476256</v>
      </c>
      <c r="I45" s="53">
        <f t="shared" si="27"/>
        <v>-93.048962530247763</v>
      </c>
      <c r="J45" s="53">
        <f t="shared" si="27"/>
        <v>-125.09741196105735</v>
      </c>
      <c r="K45" s="53">
        <f t="shared" si="27"/>
        <v>-125.58767834796085</v>
      </c>
      <c r="L45" s="53">
        <f t="shared" si="27"/>
        <v>-113.06671418134785</v>
      </c>
      <c r="M45" s="53">
        <f t="shared" si="27"/>
        <v>-114.99287917711226</v>
      </c>
      <c r="N45" s="53">
        <f t="shared" si="27"/>
        <v>-113.04869549877603</v>
      </c>
      <c r="O45" s="53">
        <f t="shared" si="27"/>
        <v>-112.82309321738444</v>
      </c>
      <c r="P45" s="53">
        <f t="shared" si="27"/>
        <v>-105.02508262285704</v>
      </c>
      <c r="Q45" s="112">
        <f t="shared" si="10"/>
        <v>-1349.4101115793835</v>
      </c>
      <c r="S45" s="53">
        <f>SUM(S44,S38,S34)</f>
        <v>-128.47130442265509</v>
      </c>
      <c r="T45" s="53">
        <f>SUM(T44,T38,T34)</f>
        <v>0</v>
      </c>
      <c r="U45" s="53">
        <f>SUM(U44,U38,U34)</f>
        <v>0</v>
      </c>
      <c r="V45" s="53">
        <f>SUM(V44,V38,V34)</f>
        <v>-128.47130442265509</v>
      </c>
      <c r="X45" s="53">
        <f>SUM(X44,X38,X34)</f>
        <v>-128.47130442265509</v>
      </c>
      <c r="Z45" s="53">
        <f>SUM(Z44,Z38,Z34)</f>
        <v>-339.17680225787728</v>
      </c>
      <c r="AA45" s="53">
        <f>SUM(AA44,AA38,AA34)</f>
        <v>-325.68916627606768</v>
      </c>
      <c r="AB45" s="53">
        <f>SUM(AB44,AB38,AB34)</f>
        <v>-353.64727170642095</v>
      </c>
      <c r="AC45" s="53">
        <f>SUM(AC44,AC38,AC34)</f>
        <v>-330.89687133901754</v>
      </c>
      <c r="AD45" s="53">
        <f>SUM(AD44,AD38,AD34)</f>
        <v>-1349.4101115793835</v>
      </c>
    </row>
    <row r="46" spans="1:30">
      <c r="A46" s="50" t="s">
        <v>0</v>
      </c>
      <c r="B46" s="50"/>
      <c r="C46" s="37"/>
      <c r="D46" s="37"/>
      <c r="E46" s="51">
        <f>E26+E45</f>
        <v>-42.387684835008343</v>
      </c>
      <c r="F46" s="52">
        <f t="shared" ref="F46:P46" si="28">F26+F45</f>
        <v>17.965397258612057</v>
      </c>
      <c r="G46" s="53">
        <f t="shared" si="28"/>
        <v>-12.885232165918325</v>
      </c>
      <c r="H46" s="53">
        <f t="shared" si="28"/>
        <v>-0.2675975714052754</v>
      </c>
      <c r="I46" s="53">
        <f t="shared" si="28"/>
        <v>17.348663584171049</v>
      </c>
      <c r="J46" s="53">
        <f t="shared" si="28"/>
        <v>98.871996183426731</v>
      </c>
      <c r="K46" s="53">
        <f t="shared" si="28"/>
        <v>15.057123478721778</v>
      </c>
      <c r="L46" s="53">
        <f t="shared" si="28"/>
        <v>17.006777994792387</v>
      </c>
      <c r="M46" s="53">
        <f t="shared" si="28"/>
        <v>109.14990771464787</v>
      </c>
      <c r="N46" s="53">
        <f t="shared" si="28"/>
        <v>47.248270823633703</v>
      </c>
      <c r="O46" s="53">
        <f t="shared" si="28"/>
        <v>58.063265845201727</v>
      </c>
      <c r="P46" s="53">
        <f t="shared" si="28"/>
        <v>123.56890631540642</v>
      </c>
      <c r="Q46" s="112">
        <f t="shared" si="10"/>
        <v>448.73979462628182</v>
      </c>
      <c r="S46" s="53">
        <f t="shared" ref="S46:X46" si="29">S26+S45</f>
        <v>-42.387684835008343</v>
      </c>
      <c r="T46" s="53">
        <f t="shared" si="29"/>
        <v>0</v>
      </c>
      <c r="U46" s="53">
        <f t="shared" si="29"/>
        <v>0</v>
      </c>
      <c r="V46" s="53">
        <f t="shared" si="29"/>
        <v>-42.387684835008343</v>
      </c>
      <c r="X46" s="53">
        <f t="shared" si="29"/>
        <v>-42.387684835008343</v>
      </c>
      <c r="Z46" s="53">
        <f>Z26+Z45</f>
        <v>-37.307519742314639</v>
      </c>
      <c r="AA46" s="53">
        <f>AA26+AA45</f>
        <v>115.9530621961926</v>
      </c>
      <c r="AB46" s="53">
        <f>AB26+AB45</f>
        <v>141.2138091881618</v>
      </c>
      <c r="AC46" s="53">
        <f>AC26+AC45</f>
        <v>228.88044298424182</v>
      </c>
      <c r="AD46" s="53">
        <f>AD26+AD45</f>
        <v>448.73979462628017</v>
      </c>
    </row>
    <row r="47" spans="1:30">
      <c r="A47" s="54"/>
      <c r="B47" s="55" t="s">
        <v>43</v>
      </c>
      <c r="C47" s="56"/>
      <c r="D47" s="56"/>
      <c r="E47" s="57">
        <f>E46/E22</f>
        <v>-8.0441018053523272E-2</v>
      </c>
      <c r="F47" s="58">
        <f t="shared" ref="F47:Q47" si="30">F46/F22</f>
        <v>2.769137807377136E-2</v>
      </c>
      <c r="G47" s="59">
        <f t="shared" si="30"/>
        <v>-1.5359842329141482E-2</v>
      </c>
      <c r="H47" s="59">
        <f t="shared" si="30"/>
        <v>-4.1441131387422549E-4</v>
      </c>
      <c r="I47" s="59">
        <f t="shared" si="30"/>
        <v>3.2204719196064768E-2</v>
      </c>
      <c r="J47" s="59">
        <f t="shared" si="30"/>
        <v>9.5175915407169312E-2</v>
      </c>
      <c r="K47" s="59">
        <f t="shared" si="30"/>
        <v>2.2606506210047839E-2</v>
      </c>
      <c r="L47" s="59">
        <f t="shared" si="30"/>
        <v>2.0104395931069833E-2</v>
      </c>
      <c r="M47" s="59">
        <f t="shared" si="30"/>
        <v>0.12706020574883481</v>
      </c>
      <c r="N47" s="59">
        <f t="shared" si="30"/>
        <v>6.0940297700485764E-2</v>
      </c>
      <c r="O47" s="59">
        <f t="shared" si="30"/>
        <v>6.6891900073574928E-2</v>
      </c>
      <c r="P47" s="59">
        <f t="shared" si="30"/>
        <v>0.10391480251043836</v>
      </c>
      <c r="Q47" s="116">
        <f t="shared" si="30"/>
        <v>4.7529158022456143E-2</v>
      </c>
      <c r="S47" s="59">
        <f t="shared" ref="S47:X47" si="31">S46/S22</f>
        <v>-8.0441018053523272E-2</v>
      </c>
      <c r="T47" s="59" t="e">
        <f t="shared" si="31"/>
        <v>#DIV/0!</v>
      </c>
      <c r="U47" s="59" t="e">
        <f t="shared" si="31"/>
        <v>#DIV/0!</v>
      </c>
      <c r="V47" s="59">
        <f t="shared" si="31"/>
        <v>-8.0441018053523272E-2</v>
      </c>
      <c r="X47" s="59">
        <f t="shared" si="31"/>
        <v>-8.0441018053523272E-2</v>
      </c>
      <c r="Z47" s="59">
        <f>Z46/Z22</f>
        <v>-1.851853449941317E-2</v>
      </c>
      <c r="AA47" s="59">
        <f>AA46/AA22</f>
        <v>5.2154450766104157E-2</v>
      </c>
      <c r="AB47" s="59">
        <f>AB46/AB22</f>
        <v>5.955833190985297E-2</v>
      </c>
      <c r="AC47" s="59">
        <f>AC46/AC22</f>
        <v>8.0805847995730096E-2</v>
      </c>
      <c r="AD47" s="59">
        <f>AD46/AD22</f>
        <v>4.7529158022455976E-2</v>
      </c>
    </row>
    <row r="48" spans="1:30">
      <c r="A48" s="2"/>
      <c r="B48" s="2"/>
      <c r="C48" s="2"/>
      <c r="D48" s="2"/>
      <c r="E48" s="15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321"/>
      <c r="S48" s="321"/>
      <c r="T48" s="321"/>
      <c r="U48" s="321"/>
      <c r="V48" s="321"/>
      <c r="X48" s="2"/>
      <c r="Z48" s="321"/>
      <c r="AA48" s="321"/>
      <c r="AB48" s="321"/>
      <c r="AC48" s="321"/>
      <c r="AD48" s="2"/>
    </row>
    <row r="49" spans="1:30" hidden="1" outlineLevel="1">
      <c r="A49" s="79"/>
      <c r="B49" s="80" t="s">
        <v>44</v>
      </c>
      <c r="C49" s="81"/>
      <c r="D49" s="81"/>
      <c r="E49" s="82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118">
        <f>SUM(E49:P49)</f>
        <v>0</v>
      </c>
      <c r="S49" s="83"/>
      <c r="T49" s="83"/>
      <c r="U49" s="83"/>
      <c r="V49" s="83"/>
      <c r="X49" s="83"/>
      <c r="Z49" s="83"/>
      <c r="AA49" s="83"/>
      <c r="AB49" s="83"/>
      <c r="AC49" s="83"/>
      <c r="AD49" s="83"/>
    </row>
    <row r="50" spans="1:30" hidden="1" outlineLevel="1">
      <c r="A50" s="84"/>
      <c r="B50" s="80" t="s">
        <v>45</v>
      </c>
      <c r="C50" s="81"/>
      <c r="D50" s="81"/>
      <c r="E50" s="82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118">
        <f>SUM(E50:P50)</f>
        <v>0</v>
      </c>
      <c r="S50" s="83"/>
      <c r="T50" s="83"/>
      <c r="U50" s="83"/>
      <c r="V50" s="83"/>
      <c r="X50" s="83"/>
      <c r="Z50" s="83"/>
      <c r="AA50" s="83"/>
      <c r="AB50" s="83"/>
      <c r="AC50" s="83"/>
      <c r="AD50" s="83"/>
    </row>
    <row r="51" spans="1:30" hidden="1" outlineLevel="1">
      <c r="A51" s="84"/>
      <c r="B51" s="80" t="s">
        <v>46</v>
      </c>
      <c r="C51" s="81"/>
      <c r="D51" s="81"/>
      <c r="E51" s="82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118">
        <f>SUM(E51:P51)</f>
        <v>0</v>
      </c>
      <c r="S51" s="83"/>
      <c r="T51" s="83"/>
      <c r="U51" s="83"/>
      <c r="V51" s="83"/>
      <c r="X51" s="83"/>
      <c r="Z51" s="83"/>
      <c r="AA51" s="83"/>
      <c r="AB51" s="83"/>
      <c r="AC51" s="83"/>
      <c r="AD51" s="83"/>
    </row>
    <row r="52" spans="1:30" hidden="1" outlineLevel="1">
      <c r="A52" s="85" t="s">
        <v>47</v>
      </c>
      <c r="B52" s="86"/>
      <c r="C52" s="86"/>
      <c r="D52" s="86"/>
      <c r="E52" s="82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119">
        <f>SUM(E52:P52)</f>
        <v>0</v>
      </c>
      <c r="S52" s="83"/>
      <c r="T52" s="83"/>
      <c r="U52" s="83"/>
      <c r="V52" s="83"/>
      <c r="X52" s="83"/>
      <c r="Z52" s="83"/>
      <c r="AA52" s="83"/>
      <c r="AB52" s="83"/>
      <c r="AC52" s="83"/>
      <c r="AD52" s="83"/>
    </row>
    <row r="53" spans="1:30" collapsed="1">
      <c r="A53" s="2"/>
      <c r="B53" s="2"/>
      <c r="C53" s="2"/>
      <c r="D53" s="2"/>
      <c r="E53" s="15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117"/>
      <c r="S53" s="2"/>
      <c r="T53" s="2"/>
      <c r="U53" s="2"/>
      <c r="V53" s="2"/>
      <c r="X53" s="2"/>
      <c r="Z53" s="2"/>
      <c r="AA53" s="2"/>
      <c r="AB53" s="2"/>
      <c r="AC53" s="2"/>
      <c r="AD53" s="2"/>
    </row>
    <row r="54" spans="1:30">
      <c r="A54" s="87" t="s">
        <v>48</v>
      </c>
      <c r="B54" s="88"/>
      <c r="C54" s="86"/>
      <c r="D54" s="86"/>
      <c r="E54" s="89">
        <f>[24]Act!D29</f>
        <v>-71.169814299999885</v>
      </c>
      <c r="F54" s="90">
        <f>[24]Act!E29</f>
        <v>-15.481782200000438</v>
      </c>
      <c r="G54" s="90">
        <f>[24]Act!F29</f>
        <v>-49.155462699998822</v>
      </c>
      <c r="H54" s="90">
        <f>[24]Act!G29</f>
        <v>-39.963050500000556</v>
      </c>
      <c r="I54" s="90">
        <f>[24]Act!H29</f>
        <v>-21.139446899999982</v>
      </c>
      <c r="J54" s="90">
        <f>[24]Act!I29</f>
        <v>8.2945073000007596</v>
      </c>
      <c r="K54" s="90">
        <f>[24]Act!J29</f>
        <v>-31.006610800002264</v>
      </c>
      <c r="L54" s="90">
        <f>[24]Act!K29</f>
        <v>-36.71372435720594</v>
      </c>
      <c r="M54" s="90">
        <f>[24]Act!L29</f>
        <v>49.428945304902896</v>
      </c>
      <c r="N54" s="90">
        <f>[24]Act!M29</f>
        <v>12.437199408994829</v>
      </c>
      <c r="O54" s="90">
        <f>[24]Act!N29</f>
        <v>20.710169842295755</v>
      </c>
      <c r="P54" s="90">
        <f>[24]Act!O29</f>
        <v>67.987305405698436</v>
      </c>
      <c r="Q54" s="119">
        <f>SUM(E54:P54)</f>
        <v>-105.77176449531521</v>
      </c>
      <c r="S54" s="90">
        <f>SUMIFS($E54:$P54,$E$3:$P$3,1,$E$5:$P$5,S$5)</f>
        <v>-71.169814299999885</v>
      </c>
      <c r="T54" s="90">
        <f>SUMIFS($E54:$P54,$E$3:$P$3,1,$E$5:$P$5,T$5)</f>
        <v>0</v>
      </c>
      <c r="U54" s="90">
        <f>SUMIFS($E54:$P54,$E$3:$P$3,1,$E$5:$P$5,U$5)</f>
        <v>0</v>
      </c>
      <c r="V54" s="90">
        <f>SUM(S54:U54)</f>
        <v>-71.169814299999885</v>
      </c>
      <c r="X54" s="90">
        <f>SUMIF($E$2:$P$2,1,E54:P54)</f>
        <v>-71.169814299999885</v>
      </c>
      <c r="Z54" s="90">
        <f>SUM(E54:G54)</f>
        <v>-135.80705919999914</v>
      </c>
      <c r="AA54" s="90">
        <f>SUM(H54:J54)</f>
        <v>-52.807990099999778</v>
      </c>
      <c r="AB54" s="90">
        <f>SUM(K54:M54)</f>
        <v>-18.291389852305315</v>
      </c>
      <c r="AC54" s="90">
        <f>SUM(N54:P54)</f>
        <v>101.13467465698902</v>
      </c>
      <c r="AD54" s="90">
        <f>SUM(Z54:AC54)</f>
        <v>-105.77176449531522</v>
      </c>
    </row>
    <row r="55" spans="1:30">
      <c r="A55" s="2"/>
      <c r="B55" s="2"/>
      <c r="C55" s="2"/>
      <c r="D55" s="2"/>
      <c r="E55" s="15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117"/>
      <c r="S55" s="2"/>
      <c r="T55" s="2"/>
      <c r="U55" s="2"/>
      <c r="V55" s="2"/>
      <c r="X55" s="320">
        <v>0.8712751609999998</v>
      </c>
      <c r="Z55" s="2"/>
      <c r="AA55" s="2"/>
      <c r="AB55" s="2"/>
      <c r="AC55" s="2"/>
      <c r="AD55" s="2"/>
    </row>
    <row r="56" spans="1:30" ht="15.75" thickBot="1">
      <c r="A56" s="80" t="s">
        <v>49</v>
      </c>
      <c r="B56" s="91"/>
      <c r="C56" s="81"/>
      <c r="D56" s="91"/>
      <c r="E56" s="92">
        <f>'[23]New KPI Actual'!F33</f>
        <v>-3.1056917000000017E-2</v>
      </c>
      <c r="F56" s="93">
        <f>'[23]New KPI Actual'!G33</f>
        <v>-2.0865730000000002E-2</v>
      </c>
      <c r="G56" s="93">
        <f>'[23]New KPI Actual'!H33</f>
        <v>-1.1517993000000001E-2</v>
      </c>
      <c r="H56" s="93">
        <f>'[23]New KPI Actual'!I33</f>
        <v>0.296928782</v>
      </c>
      <c r="I56" s="93">
        <f>'[23]New KPI Actual'!J33</f>
        <v>-0.149848024</v>
      </c>
      <c r="J56" s="93">
        <f>'[23]New KPI Actual'!K33</f>
        <v>6.1804080000000004E-2</v>
      </c>
      <c r="K56" s="93">
        <f>'[23]New KPI Actual'!L33</f>
        <v>-8.2806230000000008E-3</v>
      </c>
      <c r="L56" s="93">
        <f>'[23]New KPI Actual'!M33</f>
        <v>-0.15524955999999998</v>
      </c>
      <c r="M56" s="93">
        <f>'[23]New KPI Actual'!N33</f>
        <v>-0.22517986899999992</v>
      </c>
      <c r="N56" s="93">
        <f>'[23]New KPI Actual'!O33</f>
        <v>-0.17499667600000002</v>
      </c>
      <c r="O56" s="93">
        <f>'[23]New KPI Actual'!P33</f>
        <v>-0.23693095199999997</v>
      </c>
      <c r="P56" s="93">
        <f>'[23]New KPI Actual'!Q33</f>
        <v>-0.34778111299999986</v>
      </c>
      <c r="Q56" s="120">
        <f>SUM(E56:P56)</f>
        <v>-1.0029745949999997</v>
      </c>
      <c r="S56" s="93">
        <f>SUMIFS($E56:$P56,$E$3:$P$3,1,$E$5:$P$5,S$5)</f>
        <v>-3.1056917000000017E-2</v>
      </c>
      <c r="T56" s="93">
        <f>SUMIFS($E56:$P56,$E$3:$P$3,1,$E$5:$P$5,T$5)</f>
        <v>0</v>
      </c>
      <c r="U56" s="93">
        <f>SUMIFS($E56:$P56,$E$3:$P$3,1,$E$5:$P$5,U$5)</f>
        <v>0</v>
      </c>
      <c r="V56" s="93">
        <f>SUM(S56:U56)</f>
        <v>-3.1056917000000017E-2</v>
      </c>
      <c r="X56" s="441">
        <v>0.32222542900000001</v>
      </c>
      <c r="Z56" s="93">
        <f>SUM(E56:G56)</f>
        <v>-6.344064000000002E-2</v>
      </c>
      <c r="AA56" s="93">
        <f>SUM(H56:J56)</f>
        <v>0.20888483800000002</v>
      </c>
      <c r="AB56" s="93">
        <f>SUM(K56:M56)</f>
        <v>-0.38871005199999992</v>
      </c>
      <c r="AC56" s="93">
        <f>SUM(N56:P56)</f>
        <v>-0.75970874099999985</v>
      </c>
      <c r="AD56" s="93">
        <f>SUM(Z56:AC56)</f>
        <v>-1.0029745949999997</v>
      </c>
    </row>
    <row r="57" spans="1:30">
      <c r="A57" s="137"/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</row>
    <row r="58" spans="1:30">
      <c r="A58" s="444"/>
      <c r="B58" s="445" t="s">
        <v>297</v>
      </c>
      <c r="C58" s="446"/>
      <c r="D58" s="453"/>
      <c r="E58" s="456">
        <f>[24]Act!D237</f>
        <v>-1.8589674599999999</v>
      </c>
      <c r="F58" s="457">
        <f>[24]Act!E237</f>
        <v>-0.93709799999999999</v>
      </c>
      <c r="G58" s="457">
        <f>[24]Act!F237</f>
        <v>-1.168674</v>
      </c>
      <c r="H58" s="457">
        <f>[24]Act!G237</f>
        <v>-0.80727700000000002</v>
      </c>
      <c r="I58" s="457">
        <f>[24]Act!H237</f>
        <v>-0.71741299999999997</v>
      </c>
      <c r="J58" s="457">
        <f>[24]Act!I237</f>
        <v>-2.6038790000000001</v>
      </c>
      <c r="K58" s="457">
        <f>[24]Act!J237</f>
        <v>-1.828635</v>
      </c>
      <c r="L58" s="457">
        <f>[24]Act!K237</f>
        <v>-0.80460635920982937</v>
      </c>
      <c r="M58" s="457">
        <f>[24]Act!L237</f>
        <v>-2.232845476328837</v>
      </c>
      <c r="N58" s="457">
        <f>[24]Act!M237</f>
        <v>-1.2003731405630853</v>
      </c>
      <c r="O58" s="457">
        <f>[24]Act!N237</f>
        <v>-1.0695394895257728</v>
      </c>
      <c r="P58" s="458">
        <f>[24]Act!O237</f>
        <v>-3.7722344629345881</v>
      </c>
      <c r="Q58" s="120">
        <f>SUM(E58:P58)</f>
        <v>-19.001542388562115</v>
      </c>
      <c r="S58" s="456">
        <f t="shared" ref="S58:U60" si="32">SUMIFS($E58:$P58,$E$3:$P$3,1,$E$5:$P$5,S$5)</f>
        <v>-1.8589674599999999</v>
      </c>
      <c r="T58" s="457">
        <f t="shared" si="32"/>
        <v>0</v>
      </c>
      <c r="U58" s="457">
        <f t="shared" si="32"/>
        <v>0</v>
      </c>
      <c r="V58" s="458">
        <f t="shared" ref="V58:X60" si="33">SUM(S58:U58)</f>
        <v>-1.8589674599999999</v>
      </c>
      <c r="X58" s="19">
        <f>SUMIF($E$2:$P$2,1,E58:P58)</f>
        <v>-1.8589674599999999</v>
      </c>
      <c r="Z58" s="456">
        <f>SUM(E58:G58)</f>
        <v>-3.9647394599999997</v>
      </c>
      <c r="AA58" s="457">
        <f>SUM(H58:J58)</f>
        <v>-4.1285690000000006</v>
      </c>
      <c r="AB58" s="457">
        <f>SUM(K58:M58)</f>
        <v>-4.8660868355386668</v>
      </c>
      <c r="AC58" s="457">
        <f>SUM(N58:P58)</f>
        <v>-6.0421470930234467</v>
      </c>
      <c r="AD58" s="458">
        <f>SUM(Z58:AC58)</f>
        <v>-19.001542388562115</v>
      </c>
    </row>
    <row r="59" spans="1:30">
      <c r="A59" s="447"/>
      <c r="B59" s="448" t="s">
        <v>298</v>
      </c>
      <c r="C59" s="449"/>
      <c r="D59" s="454"/>
      <c r="E59" s="459">
        <f>[24]Act!D238</f>
        <v>-3.0503450540000001</v>
      </c>
      <c r="F59" s="460">
        <f>[24]Act!E238</f>
        <v>-2.3303183100000053</v>
      </c>
      <c r="G59" s="460">
        <f>[24]Act!F238</f>
        <v>-8.3251644713501953</v>
      </c>
      <c r="H59" s="460">
        <f>[24]Act!G238</f>
        <v>-4.4889129659999929</v>
      </c>
      <c r="I59" s="460">
        <f>[24]Act!H238</f>
        <v>-3.9742786279999973</v>
      </c>
      <c r="J59" s="460">
        <f>[24]Act!I238</f>
        <v>-7.9299096440000048</v>
      </c>
      <c r="K59" s="460">
        <f>[24]Act!J238</f>
        <v>-6.6438274819050047</v>
      </c>
      <c r="L59" s="460">
        <f>[24]Act!K238</f>
        <v>-4.0357621242809945</v>
      </c>
      <c r="M59" s="460">
        <f>[24]Act!L238</f>
        <v>-6.4556845804829095</v>
      </c>
      <c r="N59" s="460">
        <f>[24]Act!M238</f>
        <v>-5.1425286819647038</v>
      </c>
      <c r="O59" s="460">
        <f>[24]Act!N238</f>
        <v>-4.8543336569631252</v>
      </c>
      <c r="P59" s="461">
        <f>[24]Act!O238</f>
        <v>-5.9102111473562147</v>
      </c>
      <c r="Q59" s="120">
        <f>SUM(E59:P59)</f>
        <v>-63.141276746303149</v>
      </c>
      <c r="S59" s="459">
        <f t="shared" si="32"/>
        <v>-3.0503450540000001</v>
      </c>
      <c r="T59" s="460">
        <f t="shared" si="32"/>
        <v>0</v>
      </c>
      <c r="U59" s="460">
        <f t="shared" si="32"/>
        <v>0</v>
      </c>
      <c r="V59" s="461">
        <f t="shared" si="33"/>
        <v>-3.0503450540000001</v>
      </c>
      <c r="X59" s="46">
        <f>SUMIF($E$2:$P$2,1,E59:P59)</f>
        <v>-3.0503450540000001</v>
      </c>
      <c r="Z59" s="459">
        <f>SUM(E59:G59)</f>
        <v>-13.705827835350201</v>
      </c>
      <c r="AA59" s="460">
        <f>SUM(H59:J59)</f>
        <v>-16.393101237999996</v>
      </c>
      <c r="AB59" s="460">
        <f>SUM(K59:M59)</f>
        <v>-17.135274186668909</v>
      </c>
      <c r="AC59" s="460">
        <f>SUM(N59:P59)</f>
        <v>-15.907073486284045</v>
      </c>
      <c r="AD59" s="461">
        <f>SUM(Z59:AC59)</f>
        <v>-63.141276746303149</v>
      </c>
    </row>
    <row r="60" spans="1:30">
      <c r="A60" s="450"/>
      <c r="B60" s="451" t="s">
        <v>299</v>
      </c>
      <c r="C60" s="452"/>
      <c r="D60" s="455"/>
      <c r="E60" s="69">
        <f>SUM(E58:E59)</f>
        <v>-4.9093125139999998</v>
      </c>
      <c r="F60" s="69">
        <f t="shared" ref="F60:P60" si="34">SUM(F58:F59)</f>
        <v>-3.2674163100000051</v>
      </c>
      <c r="G60" s="70">
        <f t="shared" si="34"/>
        <v>-9.4938384713501947</v>
      </c>
      <c r="H60" s="70">
        <f t="shared" si="34"/>
        <v>-5.2961899659999929</v>
      </c>
      <c r="I60" s="70">
        <f t="shared" si="34"/>
        <v>-4.6916916279999974</v>
      </c>
      <c r="J60" s="70">
        <f t="shared" si="34"/>
        <v>-10.533788644000005</v>
      </c>
      <c r="K60" s="70">
        <f t="shared" si="34"/>
        <v>-8.4724624819050049</v>
      </c>
      <c r="L60" s="70">
        <f t="shared" si="34"/>
        <v>-4.840368483490824</v>
      </c>
      <c r="M60" s="70">
        <f t="shared" si="34"/>
        <v>-8.6885300568117465</v>
      </c>
      <c r="N60" s="70">
        <f t="shared" si="34"/>
        <v>-6.3429018225277893</v>
      </c>
      <c r="O60" s="70">
        <f t="shared" si="34"/>
        <v>-5.9238731464888978</v>
      </c>
      <c r="P60" s="70">
        <f t="shared" si="34"/>
        <v>-9.6824456102908023</v>
      </c>
      <c r="Q60" s="119">
        <f>SUM(E60:P60)</f>
        <v>-82.142819134865263</v>
      </c>
      <c r="S60" s="70">
        <f t="shared" si="32"/>
        <v>-4.9093125139999998</v>
      </c>
      <c r="T60" s="70">
        <f t="shared" si="32"/>
        <v>0</v>
      </c>
      <c r="U60" s="70">
        <f t="shared" si="32"/>
        <v>0</v>
      </c>
      <c r="V60" s="70">
        <f t="shared" si="33"/>
        <v>-4.9093125139999998</v>
      </c>
      <c r="X60" s="70">
        <f t="shared" si="33"/>
        <v>-4.9093125139999998</v>
      </c>
      <c r="Z60" s="70">
        <f>SUM(E60:G60)</f>
        <v>-17.6705672953502</v>
      </c>
      <c r="AA60" s="70">
        <f>SUM(H60:J60)</f>
        <v>-20.521670237999995</v>
      </c>
      <c r="AB60" s="70">
        <f>SUM(K60:M60)</f>
        <v>-22.001361022207576</v>
      </c>
      <c r="AC60" s="70">
        <f>SUM(N60:P60)</f>
        <v>-21.949220579307489</v>
      </c>
      <c r="AD60" s="70">
        <f>SUM(Z60:AC60)</f>
        <v>-82.142819134865263</v>
      </c>
    </row>
    <row r="61" spans="1:30">
      <c r="A61" s="94"/>
      <c r="B61" s="94"/>
      <c r="C61" s="94"/>
      <c r="D61" s="94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94"/>
      <c r="S61" s="94"/>
      <c r="T61" s="94"/>
      <c r="U61" s="94"/>
      <c r="V61" s="94"/>
      <c r="X61" s="94"/>
      <c r="Z61" s="94"/>
      <c r="AA61" s="94"/>
      <c r="AB61" s="94"/>
      <c r="AC61" s="94"/>
      <c r="AD61" s="94"/>
    </row>
    <row r="62" spans="1:30">
      <c r="A62" s="78" t="s">
        <v>50</v>
      </c>
      <c r="B62" s="73"/>
      <c r="C62" s="73"/>
      <c r="D62" s="73"/>
      <c r="E62" s="69">
        <f>[24]Act!D247</f>
        <v>-0.30846766876945769</v>
      </c>
      <c r="F62" s="69">
        <f>[24]Act!E247</f>
        <v>-1.3543336041457681</v>
      </c>
      <c r="G62" s="69">
        <f>[24]Act!F247</f>
        <v>-2.5510260615006883</v>
      </c>
      <c r="H62" s="69">
        <f>[24]Act!G247</f>
        <v>-0.35512855485592282</v>
      </c>
      <c r="I62" s="69">
        <f>[24]Act!H247</f>
        <v>-0.57385849005973366</v>
      </c>
      <c r="J62" s="69">
        <f>[24]Act!I247</f>
        <v>-0.48887213762819715</v>
      </c>
      <c r="K62" s="69">
        <f>[24]Act!J247</f>
        <v>-0.68222628174997924</v>
      </c>
      <c r="L62" s="69">
        <f>[24]Act!K247</f>
        <v>-1.2847685413451695</v>
      </c>
      <c r="M62" s="69">
        <f>[24]Act!L247</f>
        <v>-2.1422120677619874</v>
      </c>
      <c r="N62" s="69">
        <f>[24]Act!M247</f>
        <v>-2.1581402004738646</v>
      </c>
      <c r="O62" s="69">
        <f>[24]Act!N247</f>
        <v>-1.1511476073611397</v>
      </c>
      <c r="P62" s="69">
        <f>[24]Act!O247</f>
        <v>-0.96228797817290579</v>
      </c>
      <c r="Q62" s="119">
        <f t="shared" ref="Q62:Q77" si="35">SUM(E62:P62)</f>
        <v>-14.012469193824813</v>
      </c>
      <c r="S62" s="69">
        <f t="shared" ref="S62:U77" si="36">SUMIFS($E62:$P62,$E$3:$P$3,1,$E$5:$P$5,S$5)</f>
        <v>-0.30846766876945769</v>
      </c>
      <c r="T62" s="69">
        <f t="shared" si="36"/>
        <v>0</v>
      </c>
      <c r="U62" s="69">
        <f t="shared" si="36"/>
        <v>0</v>
      </c>
      <c r="V62" s="69">
        <f t="shared" ref="V62:V73" si="37">SUM(S62:U62)</f>
        <v>-0.30846766876945769</v>
      </c>
      <c r="X62" s="69">
        <f t="shared" ref="X62:X77" si="38">SUMIF($E$2:$P$2,1,E62:P62)</f>
        <v>-0.30846766876945769</v>
      </c>
      <c r="Z62" s="69">
        <f t="shared" ref="Z62:Z73" si="39">SUM(E62:G62)</f>
        <v>-4.2138273344159138</v>
      </c>
      <c r="AA62" s="69">
        <f t="shared" ref="AA62:AA73" si="40">SUM(H62:J62)</f>
        <v>-1.4178591825438538</v>
      </c>
      <c r="AB62" s="69">
        <f t="shared" ref="AB62:AB73" si="41">SUM(K62:M62)</f>
        <v>-4.109206890857136</v>
      </c>
      <c r="AC62" s="69">
        <f t="shared" ref="AC62:AC73" si="42">SUM(N62:P62)</f>
        <v>-4.2715757860079107</v>
      </c>
      <c r="AD62" s="69">
        <f t="shared" ref="AD62:AD73" si="43">SUM(Z62:AC62)</f>
        <v>-14.012469193824813</v>
      </c>
    </row>
    <row r="63" spans="1:30">
      <c r="A63" s="78" t="s">
        <v>51</v>
      </c>
      <c r="B63" s="73"/>
      <c r="C63" s="73"/>
      <c r="D63" s="73"/>
      <c r="E63" s="69">
        <f>[24]Act!D248</f>
        <v>8.7524709494160913</v>
      </c>
      <c r="F63" s="69">
        <f>[24]Act!E248</f>
        <v>12.93746193022556</v>
      </c>
      <c r="G63" s="69">
        <f>[24]Act!F248</f>
        <v>18.985245307490537</v>
      </c>
      <c r="H63" s="69">
        <f>[24]Act!G248</f>
        <v>15.721943676126671</v>
      </c>
      <c r="I63" s="69">
        <f>[24]Act!H248</f>
        <v>16.014433256075634</v>
      </c>
      <c r="J63" s="69">
        <f>[24]Act!I248</f>
        <v>31.961442071772428</v>
      </c>
      <c r="K63" s="69">
        <f>[24]Act!J248</f>
        <v>20.137490229001841</v>
      </c>
      <c r="L63" s="69">
        <f>[24]Act!K248</f>
        <v>19.591205527079097</v>
      </c>
      <c r="M63" s="69">
        <f>[24]Act!L248</f>
        <v>18.25744634456457</v>
      </c>
      <c r="N63" s="69">
        <f>[24]Act!M248</f>
        <v>14.124424457282904</v>
      </c>
      <c r="O63" s="69">
        <f>[24]Act!N248</f>
        <v>17.24431347409902</v>
      </c>
      <c r="P63" s="69">
        <f>[24]Act!O248</f>
        <v>25.451685351785841</v>
      </c>
      <c r="Q63" s="119">
        <f t="shared" si="35"/>
        <v>219.17956257492023</v>
      </c>
      <c r="S63" s="69">
        <f t="shared" si="36"/>
        <v>8.7524709494160913</v>
      </c>
      <c r="T63" s="69">
        <f t="shared" si="36"/>
        <v>0</v>
      </c>
      <c r="U63" s="69">
        <f t="shared" si="36"/>
        <v>0</v>
      </c>
      <c r="V63" s="69">
        <f t="shared" si="37"/>
        <v>8.7524709494160913</v>
      </c>
      <c r="X63" s="69">
        <f t="shared" si="38"/>
        <v>8.7524709494160913</v>
      </c>
      <c r="Z63" s="69">
        <f t="shared" si="39"/>
        <v>40.67517818713219</v>
      </c>
      <c r="AA63" s="69">
        <f t="shared" si="40"/>
        <v>63.697819003974729</v>
      </c>
      <c r="AB63" s="69">
        <f t="shared" si="41"/>
        <v>57.986142100645509</v>
      </c>
      <c r="AC63" s="69">
        <f t="shared" si="42"/>
        <v>56.820423283167763</v>
      </c>
      <c r="AD63" s="69">
        <f t="shared" si="43"/>
        <v>219.1795625749202</v>
      </c>
    </row>
    <row r="64" spans="1:30">
      <c r="A64" s="78" t="s">
        <v>52</v>
      </c>
      <c r="B64" s="73"/>
      <c r="C64" s="73"/>
      <c r="D64" s="73"/>
      <c r="E64" s="69">
        <f>[24]Act!D250</f>
        <v>5.6350322980000023</v>
      </c>
      <c r="F64" s="69">
        <f>[24]Act!E250</f>
        <v>3.683511836000001</v>
      </c>
      <c r="G64" s="69">
        <f>[24]Act!F250</f>
        <v>-4.7641994999999326E-2</v>
      </c>
      <c r="H64" s="69">
        <f>[24]Act!G250</f>
        <v>6.6480954600000022</v>
      </c>
      <c r="I64" s="69">
        <f>[24]Act!H250</f>
        <v>1.9999212620000009</v>
      </c>
      <c r="J64" s="69">
        <f>[24]Act!I250</f>
        <v>5.4430039739999998</v>
      </c>
      <c r="K64" s="69">
        <f>[24]Act!J250</f>
        <v>4.7834469639999995</v>
      </c>
      <c r="L64" s="69">
        <f>[24]Act!K250</f>
        <v>4.5071539389999984</v>
      </c>
      <c r="M64" s="69">
        <f>[24]Act!L250</f>
        <v>4.7443985400000006</v>
      </c>
      <c r="N64" s="69">
        <f>[24]Act!M250</f>
        <v>6.2490244349999973</v>
      </c>
      <c r="O64" s="69">
        <f>[24]Act!N250</f>
        <v>3.9806944980000001</v>
      </c>
      <c r="P64" s="69">
        <f>[24]Act!O250</f>
        <v>7.9492535859999975</v>
      </c>
      <c r="Q64" s="119">
        <f t="shared" si="35"/>
        <v>55.575894796999997</v>
      </c>
      <c r="S64" s="69">
        <f t="shared" si="36"/>
        <v>5.6350322980000023</v>
      </c>
      <c r="T64" s="69">
        <f t="shared" si="36"/>
        <v>0</v>
      </c>
      <c r="U64" s="69">
        <f t="shared" si="36"/>
        <v>0</v>
      </c>
      <c r="V64" s="69">
        <f t="shared" si="37"/>
        <v>5.6350322980000023</v>
      </c>
      <c r="X64" s="69">
        <f t="shared" si="38"/>
        <v>5.6350322980000023</v>
      </c>
      <c r="Z64" s="69">
        <f t="shared" si="39"/>
        <v>9.2709021390000039</v>
      </c>
      <c r="AA64" s="69">
        <f t="shared" si="40"/>
        <v>14.091020696000003</v>
      </c>
      <c r="AB64" s="69">
        <f t="shared" si="41"/>
        <v>14.034999442999998</v>
      </c>
      <c r="AC64" s="69">
        <f t="shared" si="42"/>
        <v>18.178972518999995</v>
      </c>
      <c r="AD64" s="69">
        <f t="shared" si="43"/>
        <v>55.575894797000004</v>
      </c>
    </row>
    <row r="65" spans="1:32">
      <c r="A65" s="78" t="s">
        <v>53</v>
      </c>
      <c r="B65" s="73"/>
      <c r="C65" s="73"/>
      <c r="D65" s="73"/>
      <c r="E65" s="69">
        <f>-SUM([23]Relief!E80:E84)</f>
        <v>0</v>
      </c>
      <c r="F65" s="69">
        <f>-SUM([23]Relief!F80:F84)</f>
        <v>0</v>
      </c>
      <c r="G65" s="69">
        <f>-SUM([23]Relief!G80:G84)</f>
        <v>0</v>
      </c>
      <c r="H65" s="69">
        <f>-SUM([23]Relief!H80:H84)</f>
        <v>0</v>
      </c>
      <c r="I65" s="69">
        <f>-SUM([23]Relief!I80:I84)</f>
        <v>2.9381124054970007</v>
      </c>
      <c r="J65" s="701">
        <f>-SUM([23]Relief!J80:J84)</f>
        <v>6.2840509788958006</v>
      </c>
      <c r="K65" s="69">
        <f>-SUM([23]Relief!K80:K84)</f>
        <v>5.3766086880534605</v>
      </c>
      <c r="L65" s="69">
        <f>-SUM([23]Relief!L80:L84)</f>
        <v>3.4147027417951241</v>
      </c>
      <c r="M65" s="69">
        <f>-SUM([23]Relief!M80:M84)</f>
        <v>17.610493375141193</v>
      </c>
      <c r="N65" s="69">
        <f>-SUM([23]Relief!N80:N84)</f>
        <v>-2.8244347497484688</v>
      </c>
      <c r="O65" s="69">
        <f>-SUM([23]Relief!O80:O84)</f>
        <v>-2.9262680435165569</v>
      </c>
      <c r="P65" s="69">
        <f>-SUM([23]Relief!P80:P84)</f>
        <v>-3.2852695187691623</v>
      </c>
      <c r="Q65" s="119">
        <f t="shared" si="35"/>
        <v>26.587995877348391</v>
      </c>
      <c r="S65" s="69">
        <f t="shared" si="36"/>
        <v>0</v>
      </c>
      <c r="T65" s="69">
        <f t="shared" si="36"/>
        <v>0</v>
      </c>
      <c r="U65" s="69">
        <f t="shared" si="36"/>
        <v>0</v>
      </c>
      <c r="V65" s="69">
        <f t="shared" si="37"/>
        <v>0</v>
      </c>
      <c r="X65" s="69">
        <f t="shared" si="38"/>
        <v>0</v>
      </c>
      <c r="Z65" s="69">
        <f t="shared" si="39"/>
        <v>0</v>
      </c>
      <c r="AA65" s="69">
        <f t="shared" si="40"/>
        <v>9.2221633843928004</v>
      </c>
      <c r="AB65" s="69">
        <f t="shared" si="41"/>
        <v>26.401804804989776</v>
      </c>
      <c r="AC65" s="69">
        <f t="shared" si="42"/>
        <v>-9.0359723120341879</v>
      </c>
      <c r="AD65" s="69">
        <f t="shared" si="43"/>
        <v>26.587995877348391</v>
      </c>
    </row>
    <row r="66" spans="1:32">
      <c r="A66" s="78" t="s">
        <v>54</v>
      </c>
      <c r="B66" s="73"/>
      <c r="C66" s="73"/>
      <c r="D66" s="73"/>
      <c r="E66" s="69">
        <f>-SUM([23]Relief!E96:E97)</f>
        <v>0</v>
      </c>
      <c r="F66" s="69">
        <f>-SUM([23]Relief!F96:F97)</f>
        <v>0</v>
      </c>
      <c r="G66" s="69">
        <f>-SUM([23]Relief!G96:G97)</f>
        <v>0</v>
      </c>
      <c r="H66" s="69">
        <f>-SUM([23]Relief!H96:H97)</f>
        <v>0.84629999999999994</v>
      </c>
      <c r="I66" s="69">
        <f>-SUM([23]Relief!I96:I97)</f>
        <v>1.8121546965801907</v>
      </c>
      <c r="J66" s="701">
        <f>-SUM([23]Relief!J96:J97)</f>
        <v>2.7174581744434483</v>
      </c>
      <c r="K66" s="69">
        <f>-SUM([23]Relief!K96:K97)</f>
        <v>1.9678247681395822</v>
      </c>
      <c r="L66" s="69">
        <f>-SUM([23]Relief!L96:L97)</f>
        <v>3.3882201171154969</v>
      </c>
      <c r="M66" s="69">
        <f>-SUM([23]Relief!M96:M97)</f>
        <v>0.48449580814583354</v>
      </c>
      <c r="N66" s="69">
        <f>-SUM([23]Relief!N96:N97)</f>
        <v>0</v>
      </c>
      <c r="O66" s="69">
        <f>-SUM([23]Relief!O96:O97)</f>
        <v>0</v>
      </c>
      <c r="P66" s="69">
        <f>-SUM([23]Relief!P96:P97)</f>
        <v>0</v>
      </c>
      <c r="Q66" s="119">
        <f t="shared" si="35"/>
        <v>11.216453564424551</v>
      </c>
      <c r="S66" s="69">
        <f t="shared" si="36"/>
        <v>0</v>
      </c>
      <c r="T66" s="69">
        <f t="shared" si="36"/>
        <v>0</v>
      </c>
      <c r="U66" s="69">
        <f t="shared" si="36"/>
        <v>0</v>
      </c>
      <c r="V66" s="69">
        <f t="shared" si="37"/>
        <v>0</v>
      </c>
      <c r="X66" s="69">
        <f t="shared" si="38"/>
        <v>0</v>
      </c>
      <c r="Z66" s="69">
        <f t="shared" si="39"/>
        <v>0</v>
      </c>
      <c r="AA66" s="69">
        <f t="shared" si="40"/>
        <v>5.3759128710236386</v>
      </c>
      <c r="AB66" s="69">
        <f t="shared" si="41"/>
        <v>5.8405406934009125</v>
      </c>
      <c r="AC66" s="69">
        <f t="shared" si="42"/>
        <v>0</v>
      </c>
      <c r="AD66" s="69">
        <f t="shared" si="43"/>
        <v>11.216453564424551</v>
      </c>
    </row>
    <row r="67" spans="1:32">
      <c r="A67" s="78" t="s">
        <v>55</v>
      </c>
      <c r="B67" s="73"/>
      <c r="C67" s="73"/>
      <c r="D67" s="73"/>
      <c r="E67" s="69">
        <f>-[23]Relief!E95</f>
        <v>0</v>
      </c>
      <c r="F67" s="69">
        <f>-[23]Relief!F95</f>
        <v>0</v>
      </c>
      <c r="G67" s="69">
        <f>-[23]Relief!G95</f>
        <v>-0.30283913715431171</v>
      </c>
      <c r="H67" s="69">
        <f>-[23]Relief!H95</f>
        <v>-0.18245641091273598</v>
      </c>
      <c r="I67" s="69">
        <f>-[23]Relief!I95</f>
        <v>-5.824764674268023E-3</v>
      </c>
      <c r="J67" s="701">
        <f>-[23]Relief!J95</f>
        <v>0</v>
      </c>
      <c r="K67" s="69">
        <f>-[23]Relief!K95</f>
        <v>0</v>
      </c>
      <c r="L67" s="69">
        <f>-[23]Relief!L95</f>
        <v>2.9472796992535681E-2</v>
      </c>
      <c r="M67" s="69">
        <f>-[23]Relief!M95</f>
        <v>-6.4808058846303168E-2</v>
      </c>
      <c r="N67" s="69">
        <f>-[23]Relief!N95</f>
        <v>0.10179888007643338</v>
      </c>
      <c r="O67" s="69">
        <f>-[23]Relief!O95</f>
        <v>-0.15643374681730879</v>
      </c>
      <c r="P67" s="69">
        <f>-[23]Relief!P95</f>
        <v>-0.15777813163781271</v>
      </c>
      <c r="Q67" s="119">
        <f t="shared" si="35"/>
        <v>-0.73886857297377129</v>
      </c>
      <c r="S67" s="69">
        <f t="shared" si="36"/>
        <v>0</v>
      </c>
      <c r="T67" s="69">
        <f t="shared" si="36"/>
        <v>0</v>
      </c>
      <c r="U67" s="69">
        <f t="shared" si="36"/>
        <v>0</v>
      </c>
      <c r="V67" s="69">
        <f t="shared" si="37"/>
        <v>0</v>
      </c>
      <c r="X67" s="69">
        <f t="shared" si="38"/>
        <v>0</v>
      </c>
      <c r="Z67" s="69">
        <f t="shared" si="39"/>
        <v>-0.30283913715431171</v>
      </c>
      <c r="AA67" s="69">
        <f t="shared" si="40"/>
        <v>-0.188281175587004</v>
      </c>
      <c r="AB67" s="69">
        <f t="shared" si="41"/>
        <v>-3.5335261853767487E-2</v>
      </c>
      <c r="AC67" s="69">
        <f t="shared" si="42"/>
        <v>-0.2124129983786881</v>
      </c>
      <c r="AD67" s="69">
        <f t="shared" si="43"/>
        <v>-0.73886857297377129</v>
      </c>
    </row>
    <row r="68" spans="1:32">
      <c r="A68" s="78" t="s">
        <v>56</v>
      </c>
      <c r="B68" s="73"/>
      <c r="C68" s="73"/>
      <c r="D68" s="73"/>
      <c r="E68" s="70">
        <f>'[23]New KPI Actual'!F220-E69</f>
        <v>11.986581189000001</v>
      </c>
      <c r="F68" s="70">
        <f>'[23]New KPI Actual'!G220-F69</f>
        <v>12.418130976</v>
      </c>
      <c r="G68" s="69">
        <f>'[23]New KPI Actual'!H220-G69</f>
        <v>14.339531531</v>
      </c>
      <c r="H68" s="69">
        <f>'[23]New KPI Actual'!I220-H69</f>
        <v>11.268922902</v>
      </c>
      <c r="I68" s="69">
        <f>'[23]New KPI Actual'!J220-I69</f>
        <v>9.7634507080000006</v>
      </c>
      <c r="J68" s="701">
        <f>'[23]New KPI Actual'!K220-J69</f>
        <v>16.207437536</v>
      </c>
      <c r="K68" s="69">
        <f>'[23]New KPI Actual'!L220-K69</f>
        <v>12.53863904</v>
      </c>
      <c r="L68" s="69">
        <f>'[23]New KPI Actual'!M220-L69</f>
        <v>18.303064538000001</v>
      </c>
      <c r="M68" s="69">
        <f>'[23]New KPI Actual'!N220-M69</f>
        <v>15.060278538</v>
      </c>
      <c r="N68" s="69">
        <f>'[23]New KPI Actual'!O220-N69</f>
        <v>13.635269458</v>
      </c>
      <c r="O68" s="69">
        <f>'[23]New KPI Actual'!P220-O69</f>
        <v>14.511940224</v>
      </c>
      <c r="P68" s="69">
        <f>'[23]New KPI Actual'!Q220-P69</f>
        <v>17.520375132000002</v>
      </c>
      <c r="Q68" s="119">
        <f t="shared" si="35"/>
        <v>167.55362177200001</v>
      </c>
      <c r="S68" s="69">
        <f t="shared" si="36"/>
        <v>11.986581189000001</v>
      </c>
      <c r="T68" s="69">
        <f t="shared" si="36"/>
        <v>0</v>
      </c>
      <c r="U68" s="69">
        <f t="shared" si="36"/>
        <v>0</v>
      </c>
      <c r="V68" s="69">
        <f t="shared" si="37"/>
        <v>11.986581189000001</v>
      </c>
      <c r="X68" s="69">
        <f t="shared" si="38"/>
        <v>11.986581189000001</v>
      </c>
      <c r="Z68" s="69">
        <f t="shared" si="39"/>
        <v>38.744243695999998</v>
      </c>
      <c r="AA68" s="69">
        <f t="shared" si="40"/>
        <v>37.239811146000001</v>
      </c>
      <c r="AB68" s="69">
        <f t="shared" si="41"/>
        <v>45.901982115999999</v>
      </c>
      <c r="AC68" s="69">
        <f t="shared" si="42"/>
        <v>45.667584814000001</v>
      </c>
      <c r="AD68" s="69">
        <f t="shared" si="43"/>
        <v>167.55362177200001</v>
      </c>
    </row>
    <row r="69" spans="1:32">
      <c r="A69" s="78" t="s">
        <v>57</v>
      </c>
      <c r="B69" s="73"/>
      <c r="C69" s="73"/>
      <c r="D69" s="73"/>
      <c r="E69" s="70">
        <f>'[23]New KPI Actual'!F201</f>
        <v>0</v>
      </c>
      <c r="F69" s="70">
        <f>'[23]New KPI Actual'!G201</f>
        <v>0</v>
      </c>
      <c r="G69" s="69">
        <f>'[23]New KPI Actual'!H201</f>
        <v>0</v>
      </c>
      <c r="H69" s="69">
        <f>'[23]New KPI Actual'!I201</f>
        <v>0</v>
      </c>
      <c r="I69" s="69">
        <f>'[23]New KPI Actual'!J201</f>
        <v>0</v>
      </c>
      <c r="J69" s="701">
        <f>'[23]New KPI Actual'!K201</f>
        <v>0</v>
      </c>
      <c r="K69" s="69">
        <f>'[23]New KPI Actual'!L201</f>
        <v>0</v>
      </c>
      <c r="L69" s="69">
        <f>'[23]New KPI Actual'!M201</f>
        <v>0</v>
      </c>
      <c r="M69" s="69">
        <f>'[23]New KPI Actual'!N201</f>
        <v>0</v>
      </c>
      <c r="N69" s="69">
        <f>'[23]New KPI Actual'!O201</f>
        <v>0</v>
      </c>
      <c r="O69" s="69">
        <f>'[23]New KPI Actual'!P201</f>
        <v>0</v>
      </c>
      <c r="P69" s="69">
        <f>'[23]New KPI Actual'!Q201</f>
        <v>0</v>
      </c>
      <c r="Q69" s="119">
        <f t="shared" si="35"/>
        <v>0</v>
      </c>
      <c r="S69" s="69">
        <f t="shared" si="36"/>
        <v>0</v>
      </c>
      <c r="T69" s="69">
        <f t="shared" si="36"/>
        <v>0</v>
      </c>
      <c r="U69" s="69">
        <f t="shared" si="36"/>
        <v>0</v>
      </c>
      <c r="V69" s="69">
        <f t="shared" si="37"/>
        <v>0</v>
      </c>
      <c r="X69" s="69">
        <f t="shared" si="38"/>
        <v>0</v>
      </c>
      <c r="Z69" s="69">
        <f t="shared" si="39"/>
        <v>0</v>
      </c>
      <c r="AA69" s="69">
        <f t="shared" si="40"/>
        <v>0</v>
      </c>
      <c r="AB69" s="69">
        <f t="shared" si="41"/>
        <v>0</v>
      </c>
      <c r="AC69" s="69">
        <f t="shared" si="42"/>
        <v>0</v>
      </c>
      <c r="AD69" s="69">
        <f t="shared" si="43"/>
        <v>0</v>
      </c>
    </row>
    <row r="70" spans="1:32">
      <c r="A70" s="78" t="s">
        <v>58</v>
      </c>
      <c r="B70" s="73"/>
      <c r="C70" s="73"/>
      <c r="D70" s="73"/>
      <c r="E70" s="70">
        <f>-[23]Relief!E87</f>
        <v>2.2744157</v>
      </c>
      <c r="F70" s="70">
        <f>-[23]Relief!F87</f>
        <v>2.6542930999999998</v>
      </c>
      <c r="G70" s="69">
        <f>-[23]Relief!G87</f>
        <v>3.4230191999999997</v>
      </c>
      <c r="H70" s="69">
        <f>-[23]Relief!H87</f>
        <v>2.6512258999999982</v>
      </c>
      <c r="I70" s="69">
        <f>-[23]Relief!I87</f>
        <v>2.2306751000000027</v>
      </c>
      <c r="J70" s="701">
        <f>-[23]Relief!J87</f>
        <v>4.3002925000000012</v>
      </c>
      <c r="K70" s="69">
        <f>-[23]Relief!K87</f>
        <v>3.0895212999999941</v>
      </c>
      <c r="L70" s="69">
        <f>-[23]Relief!L87</f>
        <v>4.2742299900000011</v>
      </c>
      <c r="M70" s="69">
        <f>-[23]Relief!M87</f>
        <v>3.7798054000000008</v>
      </c>
      <c r="N70" s="69">
        <f>-[23]Relief!N87</f>
        <v>3.6370646039999999</v>
      </c>
      <c r="O70" s="69">
        <f>-[23]Relief!O87</f>
        <v>4.193932674</v>
      </c>
      <c r="P70" s="69">
        <f>-[23]Relief!P87</f>
        <v>6.425557937999999</v>
      </c>
      <c r="Q70" s="119">
        <f t="shared" si="35"/>
        <v>42.934033405999998</v>
      </c>
      <c r="S70" s="69">
        <f t="shared" si="36"/>
        <v>2.2744157</v>
      </c>
      <c r="T70" s="69">
        <f t="shared" si="36"/>
        <v>0</v>
      </c>
      <c r="U70" s="69">
        <f t="shared" si="36"/>
        <v>0</v>
      </c>
      <c r="V70" s="69">
        <f t="shared" si="37"/>
        <v>2.2744157</v>
      </c>
      <c r="X70" s="69">
        <f t="shared" si="38"/>
        <v>2.2744157</v>
      </c>
      <c r="Z70" s="69">
        <f t="shared" si="39"/>
        <v>8.3517279999999996</v>
      </c>
      <c r="AA70" s="69">
        <f t="shared" si="40"/>
        <v>9.1821935000000021</v>
      </c>
      <c r="AB70" s="69">
        <f t="shared" si="41"/>
        <v>11.143556689999997</v>
      </c>
      <c r="AC70" s="69">
        <f t="shared" si="42"/>
        <v>14.256555215999999</v>
      </c>
      <c r="AD70" s="69">
        <f t="shared" si="43"/>
        <v>42.934033405999998</v>
      </c>
    </row>
    <row r="71" spans="1:32">
      <c r="A71" s="78" t="s">
        <v>59</v>
      </c>
      <c r="B71" s="73"/>
      <c r="C71" s="73"/>
      <c r="D71" s="73"/>
      <c r="E71" s="70">
        <f>[24]Act!D206</f>
        <v>-1.9535469999999999</v>
      </c>
      <c r="F71" s="70">
        <f>[24]Act!E206</f>
        <v>-5.487479999999989E-2</v>
      </c>
      <c r="G71" s="69">
        <f>[24]Act!F206</f>
        <v>4.8354599999999998E-2</v>
      </c>
      <c r="H71" s="69">
        <f>[24]Act!G206</f>
        <v>7.5404900000000052E-2</v>
      </c>
      <c r="I71" s="69">
        <f>[24]Act!H206</f>
        <v>1.4994999999999998</v>
      </c>
      <c r="J71" s="69">
        <f>[24]Act!I206</f>
        <v>21.500419999999998</v>
      </c>
      <c r="K71" s="69">
        <f>[24]Act!J206</f>
        <v>0.17399999999999993</v>
      </c>
      <c r="L71" s="69">
        <f>[24]Act!K206</f>
        <v>0</v>
      </c>
      <c r="M71" s="69">
        <f>[24]Act!L206</f>
        <v>0</v>
      </c>
      <c r="N71" s="69">
        <f>[24]Act!M206</f>
        <v>0</v>
      </c>
      <c r="O71" s="69">
        <f>[24]Act!N206</f>
        <v>0</v>
      </c>
      <c r="P71" s="69">
        <f>[24]Act!O206</f>
        <v>0</v>
      </c>
      <c r="Q71" s="119">
        <f t="shared" si="35"/>
        <v>21.289257699999997</v>
      </c>
      <c r="S71" s="69">
        <f t="shared" si="36"/>
        <v>-1.9535469999999999</v>
      </c>
      <c r="T71" s="69">
        <f t="shared" si="36"/>
        <v>0</v>
      </c>
      <c r="U71" s="69">
        <f t="shared" si="36"/>
        <v>0</v>
      </c>
      <c r="V71" s="69">
        <f t="shared" si="37"/>
        <v>-1.9535469999999999</v>
      </c>
      <c r="X71" s="69">
        <f t="shared" si="38"/>
        <v>-1.9535469999999999</v>
      </c>
      <c r="Z71" s="69">
        <f t="shared" si="39"/>
        <v>-1.9600671999999999</v>
      </c>
      <c r="AA71" s="69">
        <f t="shared" si="40"/>
        <v>23.075324899999998</v>
      </c>
      <c r="AB71" s="69">
        <f t="shared" si="41"/>
        <v>0.17399999999999993</v>
      </c>
      <c r="AC71" s="69">
        <f t="shared" si="42"/>
        <v>0</v>
      </c>
      <c r="AD71" s="69">
        <f t="shared" si="43"/>
        <v>21.289257699999997</v>
      </c>
    </row>
    <row r="72" spans="1:32">
      <c r="A72" s="78" t="s">
        <v>60</v>
      </c>
      <c r="B72" s="96"/>
      <c r="C72" s="96"/>
      <c r="D72" s="97"/>
      <c r="E72" s="70">
        <f>'[23]New KPI Actual'!F344</f>
        <v>0.14099999999999999</v>
      </c>
      <c r="F72" s="70">
        <f>'[23]New KPI Actual'!G344</f>
        <v>0.92700000000000005</v>
      </c>
      <c r="G72" s="69">
        <f>'[23]New KPI Actual'!H344</f>
        <v>0.183</v>
      </c>
      <c r="H72" s="69">
        <f>'[23]New KPI Actual'!I344</f>
        <v>0.89500000000000002</v>
      </c>
      <c r="I72" s="69">
        <f>'[23]New KPI Actual'!J344</f>
        <v>0.68600000000000005</v>
      </c>
      <c r="J72" s="701">
        <f>'[23]New KPI Actual'!K344</f>
        <v>0.55000000000000004</v>
      </c>
      <c r="K72" s="69">
        <f>'[23]New KPI Actual'!L344</f>
        <v>0.46300000000000002</v>
      </c>
      <c r="L72" s="69">
        <f>'[23]New KPI Actual'!M344</f>
        <v>0.59499999999999997</v>
      </c>
      <c r="M72" s="69">
        <f>'[23]New KPI Actual'!N344</f>
        <v>0.45800000000000002</v>
      </c>
      <c r="N72" s="69">
        <f>'[23]New KPI Actual'!O344</f>
        <v>0.51300000000000001</v>
      </c>
      <c r="O72" s="69">
        <f>'[23]New KPI Actual'!P344</f>
        <v>0.123</v>
      </c>
      <c r="P72" s="69">
        <f>'[23]New KPI Actual'!Q344</f>
        <v>1.107</v>
      </c>
      <c r="Q72" s="119">
        <f t="shared" si="35"/>
        <v>6.641</v>
      </c>
      <c r="S72" s="69">
        <f t="shared" si="36"/>
        <v>0.14099999999999999</v>
      </c>
      <c r="T72" s="69">
        <f t="shared" si="36"/>
        <v>0</v>
      </c>
      <c r="U72" s="69">
        <f t="shared" si="36"/>
        <v>0</v>
      </c>
      <c r="V72" s="69">
        <f t="shared" si="37"/>
        <v>0.14099999999999999</v>
      </c>
      <c r="X72" s="69">
        <f t="shared" si="38"/>
        <v>0.14099999999999999</v>
      </c>
      <c r="Z72" s="69">
        <f t="shared" si="39"/>
        <v>1.2510000000000001</v>
      </c>
      <c r="AA72" s="69">
        <f t="shared" si="40"/>
        <v>2.1310000000000002</v>
      </c>
      <c r="AB72" s="69">
        <f t="shared" si="41"/>
        <v>1.516</v>
      </c>
      <c r="AC72" s="69">
        <f t="shared" si="42"/>
        <v>1.7429999999999999</v>
      </c>
      <c r="AD72" s="69">
        <f t="shared" si="43"/>
        <v>6.641</v>
      </c>
    </row>
    <row r="73" spans="1:32" ht="15.95" customHeight="1">
      <c r="A73" s="78" t="s">
        <v>262</v>
      </c>
      <c r="B73" s="96"/>
      <c r="C73" s="96"/>
      <c r="D73" s="97"/>
      <c r="E73" s="70">
        <f>'[23]New KPI Actual'!F45</f>
        <v>2.2546439973448797</v>
      </c>
      <c r="F73" s="70">
        <f>'[23]New KPI Actual'!G45</f>
        <v>2.2359900205328698</v>
      </c>
      <c r="G73" s="70">
        <f>'[23]New KPI Actual'!H45</f>
        <v>2.1925870892448822</v>
      </c>
      <c r="H73" s="70">
        <f>'[23]New KPI Actual'!I45</f>
        <v>2.1261450562374615</v>
      </c>
      <c r="I73" s="70">
        <f>'[23]New KPI Actual'!J45</f>
        <v>2.1235463107522752</v>
      </c>
      <c r="J73" s="701">
        <f>'[23]New KPI Actual'!K45</f>
        <v>2.1022557859426585</v>
      </c>
      <c r="K73" s="70">
        <f>'[23]New KPI Actual'!L45</f>
        <v>-1.7845704287208499</v>
      </c>
      <c r="L73" s="70">
        <f>'[23]New KPI Actual'!M45</f>
        <v>0.90222124336119403</v>
      </c>
      <c r="M73" s="70">
        <f>'[23]New KPI Actual'!N45</f>
        <v>1.5330645305018482</v>
      </c>
      <c r="N73" s="70">
        <f>'[23]New KPI Actual'!O45</f>
        <v>1.5330645305018482</v>
      </c>
      <c r="O73" s="70">
        <f>'[23]New KPI Actual'!P45</f>
        <v>1.5330645305018482</v>
      </c>
      <c r="P73" s="70">
        <f>'[23]New KPI Actual'!Q45</f>
        <v>1.5330645305018482</v>
      </c>
      <c r="Q73" s="119">
        <f t="shared" si="35"/>
        <v>18.285077196702758</v>
      </c>
      <c r="S73" s="69">
        <f t="shared" si="36"/>
        <v>2.2546439973448797</v>
      </c>
      <c r="T73" s="69">
        <f t="shared" si="36"/>
        <v>0</v>
      </c>
      <c r="U73" s="69">
        <f t="shared" si="36"/>
        <v>0</v>
      </c>
      <c r="V73" s="69">
        <f t="shared" si="37"/>
        <v>2.2546439973448797</v>
      </c>
      <c r="X73" s="69">
        <f t="shared" si="38"/>
        <v>2.2546439973448797</v>
      </c>
      <c r="Z73" s="69">
        <f t="shared" si="39"/>
        <v>6.6832211071226313</v>
      </c>
      <c r="AA73" s="69">
        <f t="shared" si="40"/>
        <v>6.3519471529323948</v>
      </c>
      <c r="AB73" s="69">
        <f t="shared" si="41"/>
        <v>0.65071534514219231</v>
      </c>
      <c r="AC73" s="69">
        <f t="shared" si="42"/>
        <v>4.5991935915055446</v>
      </c>
      <c r="AD73" s="69">
        <f t="shared" si="43"/>
        <v>18.285077196702765</v>
      </c>
    </row>
    <row r="74" spans="1:32" ht="15.95" customHeight="1">
      <c r="A74" s="706" t="s">
        <v>425</v>
      </c>
      <c r="B74" s="707"/>
      <c r="C74" s="707"/>
      <c r="D74" s="708"/>
      <c r="E74" s="70">
        <v>0</v>
      </c>
      <c r="F74" s="70">
        <v>0</v>
      </c>
      <c r="G74" s="70">
        <v>0</v>
      </c>
      <c r="H74" s="70">
        <v>0</v>
      </c>
      <c r="I74" s="70">
        <v>0</v>
      </c>
      <c r="J74" s="70">
        <v>0</v>
      </c>
      <c r="K74" s="70">
        <v>0</v>
      </c>
      <c r="L74" s="70">
        <v>0</v>
      </c>
      <c r="M74" s="70">
        <v>0</v>
      </c>
      <c r="N74" s="70">
        <v>0</v>
      </c>
      <c r="O74" s="70">
        <v>0</v>
      </c>
      <c r="P74" s="70">
        <v>0</v>
      </c>
      <c r="Q74" s="119">
        <f t="shared" si="35"/>
        <v>0</v>
      </c>
      <c r="S74" s="69">
        <f t="shared" si="36"/>
        <v>0</v>
      </c>
      <c r="T74" s="69">
        <f t="shared" si="36"/>
        <v>0</v>
      </c>
      <c r="U74" s="69">
        <f t="shared" si="36"/>
        <v>0</v>
      </c>
      <c r="V74" s="69">
        <f>SUM(S74:U74)</f>
        <v>0</v>
      </c>
      <c r="X74" s="69">
        <f t="shared" si="38"/>
        <v>0</v>
      </c>
      <c r="Z74" s="69">
        <f>SUM(E74:G74)</f>
        <v>0</v>
      </c>
      <c r="AA74" s="69">
        <f>SUM(H74:J74)</f>
        <v>0</v>
      </c>
      <c r="AB74" s="69">
        <f>SUM(K74:M74)</f>
        <v>0</v>
      </c>
      <c r="AC74" s="69">
        <f>SUM(N74:P74)</f>
        <v>0</v>
      </c>
      <c r="AD74" s="69">
        <f>SUM(Z74:AC74)</f>
        <v>0</v>
      </c>
      <c r="AF74" s="69">
        <f>AA74-Z74</f>
        <v>0</v>
      </c>
    </row>
    <row r="75" spans="1:32" ht="15.95" customHeight="1">
      <c r="A75" s="706" t="s">
        <v>423</v>
      </c>
      <c r="B75" s="707"/>
      <c r="C75" s="707"/>
      <c r="D75" s="708"/>
      <c r="E75" s="70">
        <f>[10]Relief!E98</f>
        <v>0</v>
      </c>
      <c r="F75" s="70">
        <f>[10]Relief!F98</f>
        <v>0</v>
      </c>
      <c r="G75" s="70">
        <f>[10]Relief!G98</f>
        <v>0</v>
      </c>
      <c r="H75" s="70">
        <f>[10]Relief!H98</f>
        <v>0</v>
      </c>
      <c r="I75" s="70">
        <f>[10]Relief!I98</f>
        <v>0</v>
      </c>
      <c r="J75" s="701">
        <f>[10]Relief!J98</f>
        <v>0</v>
      </c>
      <c r="K75" s="70">
        <f>[10]Relief!K98</f>
        <v>0</v>
      </c>
      <c r="L75" s="70">
        <f>[10]Relief!L98</f>
        <v>0</v>
      </c>
      <c r="M75" s="70">
        <f>[10]Relief!M98</f>
        <v>0</v>
      </c>
      <c r="N75" s="70">
        <f>[10]Relief!N98</f>
        <v>0</v>
      </c>
      <c r="O75" s="70">
        <f>[10]Relief!O98</f>
        <v>0</v>
      </c>
      <c r="P75" s="70">
        <f>[10]Relief!P98</f>
        <v>0</v>
      </c>
      <c r="Q75" s="119">
        <f t="shared" si="35"/>
        <v>0</v>
      </c>
      <c r="S75" s="69">
        <f t="shared" si="36"/>
        <v>0</v>
      </c>
      <c r="T75" s="69">
        <f t="shared" si="36"/>
        <v>0</v>
      </c>
      <c r="U75" s="69">
        <f t="shared" si="36"/>
        <v>0</v>
      </c>
      <c r="V75" s="69">
        <f>SUM(S75:U75)</f>
        <v>0</v>
      </c>
      <c r="X75" s="69">
        <f t="shared" si="38"/>
        <v>0</v>
      </c>
      <c r="Z75" s="69">
        <f>SUM(E75:G75)</f>
        <v>0</v>
      </c>
      <c r="AA75" s="69">
        <f>SUM(H75:J75)</f>
        <v>0</v>
      </c>
      <c r="AB75" s="69">
        <f>SUM(K75:M75)</f>
        <v>0</v>
      </c>
      <c r="AC75" s="69">
        <f>SUM(N75:P75)</f>
        <v>0</v>
      </c>
      <c r="AD75" s="69">
        <f>SUM(Z75:AC75)</f>
        <v>0</v>
      </c>
    </row>
    <row r="76" spans="1:32" ht="15.95" customHeight="1">
      <c r="A76" s="706" t="s">
        <v>424</v>
      </c>
      <c r="B76" s="707"/>
      <c r="C76" s="707"/>
      <c r="D76" s="708"/>
      <c r="E76" s="70">
        <f>[10]Relief!E93</f>
        <v>0</v>
      </c>
      <c r="F76" s="70">
        <f>[10]Relief!F93</f>
        <v>0</v>
      </c>
      <c r="G76" s="70">
        <f>[10]Relief!G93</f>
        <v>0</v>
      </c>
      <c r="H76" s="70">
        <f>[10]Relief!H93</f>
        <v>0</v>
      </c>
      <c r="I76" s="70">
        <f>[10]Relief!I93</f>
        <v>0</v>
      </c>
      <c r="J76" s="701">
        <f>[10]Relief!J93</f>
        <v>0</v>
      </c>
      <c r="K76" s="70">
        <f>[10]Relief!K93</f>
        <v>0</v>
      </c>
      <c r="L76" s="70">
        <f>[10]Relief!L93</f>
        <v>0</v>
      </c>
      <c r="M76" s="70">
        <f>[10]Relief!M93</f>
        <v>0</v>
      </c>
      <c r="N76" s="70">
        <f>[10]Relief!N93</f>
        <v>0</v>
      </c>
      <c r="O76" s="70">
        <f>[10]Relief!O93</f>
        <v>0</v>
      </c>
      <c r="P76" s="70">
        <f>[10]Relief!P93</f>
        <v>0</v>
      </c>
      <c r="Q76" s="119">
        <f t="shared" si="35"/>
        <v>0</v>
      </c>
      <c r="S76" s="69">
        <f t="shared" si="36"/>
        <v>0</v>
      </c>
      <c r="T76" s="69">
        <f t="shared" si="36"/>
        <v>0</v>
      </c>
      <c r="U76" s="69">
        <f t="shared" si="36"/>
        <v>0</v>
      </c>
      <c r="V76" s="69">
        <f>SUM(S76:U76)</f>
        <v>0</v>
      </c>
      <c r="X76" s="69">
        <f t="shared" si="38"/>
        <v>0</v>
      </c>
      <c r="Z76" s="69">
        <f>SUM(E76:G76)</f>
        <v>0</v>
      </c>
      <c r="AA76" s="69">
        <f>SUM(H76:J76)</f>
        <v>0</v>
      </c>
      <c r="AB76" s="69">
        <f>SUM(K76:M76)</f>
        <v>0</v>
      </c>
      <c r="AC76" s="69">
        <f>SUM(N76:P76)</f>
        <v>0</v>
      </c>
      <c r="AD76" s="69">
        <f>SUM(Z76:AC76)</f>
        <v>0</v>
      </c>
    </row>
    <row r="77" spans="1:32" ht="15.95" customHeight="1">
      <c r="A77" s="706" t="s">
        <v>421</v>
      </c>
      <c r="B77" s="707"/>
      <c r="C77" s="707"/>
      <c r="D77" s="708"/>
      <c r="E77" s="662">
        <f>[10]Relief!E94</f>
        <v>0</v>
      </c>
      <c r="F77" s="662">
        <f>[10]Relief!F94</f>
        <v>0</v>
      </c>
      <c r="G77" s="662">
        <f>[10]Relief!G94</f>
        <v>0</v>
      </c>
      <c r="H77" s="662">
        <f>[10]Relief!H94</f>
        <v>0</v>
      </c>
      <c r="I77" s="662">
        <f>[10]Relief!I94</f>
        <v>0</v>
      </c>
      <c r="J77" s="702">
        <f>[10]Relief!J94</f>
        <v>0</v>
      </c>
      <c r="K77" s="662">
        <f>[10]Relief!K94</f>
        <v>0</v>
      </c>
      <c r="L77" s="662">
        <f>[10]Relief!L94</f>
        <v>0</v>
      </c>
      <c r="M77" s="662">
        <f>[10]Relief!M94</f>
        <v>0</v>
      </c>
      <c r="N77" s="662">
        <f>[10]Relief!N94</f>
        <v>0</v>
      </c>
      <c r="O77" s="662">
        <f>[10]Relief!O94</f>
        <v>0</v>
      </c>
      <c r="P77" s="662">
        <f>[10]Relief!P94</f>
        <v>0</v>
      </c>
      <c r="Q77" s="119">
        <f t="shared" si="35"/>
        <v>0</v>
      </c>
      <c r="S77" s="69">
        <f t="shared" si="36"/>
        <v>0</v>
      </c>
      <c r="T77" s="69">
        <f t="shared" si="36"/>
        <v>0</v>
      </c>
      <c r="U77" s="69">
        <f t="shared" si="36"/>
        <v>0</v>
      </c>
      <c r="V77" s="69">
        <f>SUM(S77:U77)</f>
        <v>0</v>
      </c>
      <c r="X77" s="69">
        <f t="shared" si="38"/>
        <v>0</v>
      </c>
      <c r="Z77" s="69">
        <f>SUM(E77:G77)</f>
        <v>0</v>
      </c>
      <c r="AA77" s="69">
        <f>SUM(H77:J77)</f>
        <v>0</v>
      </c>
      <c r="AB77" s="69">
        <f>SUM(K77:M77)</f>
        <v>0</v>
      </c>
      <c r="AC77" s="69">
        <f>SUM(N77:P77)</f>
        <v>0</v>
      </c>
      <c r="AD77" s="69">
        <f>SUM(Z77:AC77)</f>
        <v>0</v>
      </c>
    </row>
    <row r="78" spans="1:32" ht="15.95" customHeight="1">
      <c r="A78" s="376"/>
      <c r="B78" s="60"/>
      <c r="C78" s="60"/>
      <c r="D78" s="60"/>
      <c r="E78" s="377"/>
      <c r="F78" s="377"/>
      <c r="G78" s="377"/>
      <c r="H78" s="377"/>
      <c r="I78" s="377"/>
      <c r="J78" s="377"/>
      <c r="K78" s="377"/>
      <c r="L78" s="377"/>
      <c r="M78" s="377"/>
      <c r="N78" s="377"/>
      <c r="O78" s="377"/>
      <c r="P78" s="377"/>
      <c r="Q78" s="638"/>
      <c r="S78" s="378"/>
      <c r="T78" s="378"/>
      <c r="U78" s="378"/>
      <c r="V78" s="378"/>
      <c r="X78" s="378"/>
      <c r="Z78" s="378"/>
      <c r="AA78" s="378"/>
      <c r="AB78" s="378"/>
      <c r="AC78" s="378"/>
      <c r="AD78" s="378"/>
    </row>
    <row r="79" spans="1:32" ht="15.95" customHeight="1">
      <c r="A79" s="376"/>
      <c r="B79" s="60"/>
      <c r="C79" s="60"/>
      <c r="D79" s="60"/>
      <c r="E79" s="377"/>
      <c r="F79" s="377"/>
      <c r="G79" s="377"/>
      <c r="H79" s="377"/>
      <c r="I79" s="377"/>
      <c r="J79" s="377"/>
      <c r="K79" s="377"/>
      <c r="L79" s="377"/>
      <c r="M79" s="377"/>
      <c r="N79" s="377"/>
      <c r="O79" s="377"/>
      <c r="P79" s="377"/>
      <c r="Q79" s="638"/>
      <c r="S79" s="378"/>
      <c r="T79" s="378"/>
      <c r="U79" s="378"/>
      <c r="V79" s="378"/>
      <c r="X79" s="378"/>
      <c r="Z79" s="378"/>
      <c r="AA79" s="378"/>
      <c r="AB79" s="378"/>
      <c r="AC79" s="378"/>
      <c r="AD79" s="378"/>
    </row>
    <row r="80" spans="1:32" ht="15.95" customHeight="1">
      <c r="A80" s="376"/>
      <c r="B80" s="60"/>
      <c r="C80" s="60"/>
      <c r="D80" s="60"/>
      <c r="E80" s="377"/>
      <c r="F80" s="377"/>
      <c r="G80" s="377"/>
      <c r="H80" s="377"/>
      <c r="I80" s="377"/>
      <c r="J80" s="377"/>
      <c r="K80" s="377"/>
      <c r="L80" s="377"/>
      <c r="M80" s="377"/>
      <c r="N80" s="377"/>
      <c r="O80" s="377"/>
      <c r="P80" s="377"/>
      <c r="Q80" s="366"/>
      <c r="S80" s="378"/>
      <c r="T80" s="378"/>
      <c r="U80" s="378"/>
      <c r="V80" s="378"/>
      <c r="X80" s="378"/>
      <c r="Z80" s="378"/>
      <c r="AA80" s="378"/>
      <c r="AB80" s="378"/>
      <c r="AC80" s="378"/>
      <c r="AD80" s="378"/>
    </row>
    <row r="81" spans="1:30">
      <c r="A81" s="94"/>
      <c r="B81" s="94"/>
      <c r="C81" s="94"/>
      <c r="D81" s="103" t="s">
        <v>61</v>
      </c>
      <c r="E81" s="98">
        <f>E46-SUM(E62:E77)-E54</f>
        <v>0</v>
      </c>
      <c r="F81" s="98">
        <f t="shared" ref="F81:P81" si="44">F46-SUM(F62:F77)-F54</f>
        <v>-1.6342482922482304E-13</v>
      </c>
      <c r="G81" s="98">
        <f t="shared" si="44"/>
        <v>7.815970093361102E-14</v>
      </c>
      <c r="H81" s="98">
        <f t="shared" si="44"/>
        <v>-1.9895196601282805E-13</v>
      </c>
      <c r="I81" s="98">
        <f t="shared" si="44"/>
        <v>-6.3948846218409017E-14</v>
      </c>
      <c r="J81" s="98">
        <f t="shared" si="44"/>
        <v>-1.5631940186722204E-13</v>
      </c>
      <c r="K81" s="98">
        <f t="shared" si="44"/>
        <v>0</v>
      </c>
      <c r="L81" s="98">
        <f t="shared" si="44"/>
        <v>0</v>
      </c>
      <c r="M81" s="98">
        <f t="shared" si="44"/>
        <v>-1.7763568394002505E-13</v>
      </c>
      <c r="N81" s="98">
        <f t="shared" si="44"/>
        <v>2.8421709430404007E-14</v>
      </c>
      <c r="O81" s="98">
        <f t="shared" si="44"/>
        <v>1.1368683772161603E-13</v>
      </c>
      <c r="P81" s="98">
        <f t="shared" si="44"/>
        <v>1.8474111129762605E-13</v>
      </c>
      <c r="Q81" s="98">
        <f>Q46-SUM(Q62:Q77)-Q54</f>
        <v>-2.8421709430404007E-13</v>
      </c>
      <c r="S81" s="98">
        <f>S46-SUM(S62:S77)-S54</f>
        <v>0</v>
      </c>
      <c r="T81" s="98">
        <f>T46-SUM(T62:T77)-T54</f>
        <v>0</v>
      </c>
      <c r="U81" s="98">
        <f>U46-SUM(U62:U77)-U54</f>
        <v>0</v>
      </c>
      <c r="V81" s="98">
        <f>V46-SUM(V62:V77)-V54</f>
        <v>0</v>
      </c>
      <c r="X81" s="98">
        <f>X46-SUM(X62:X77)-X54</f>
        <v>0</v>
      </c>
      <c r="Z81" s="98">
        <f>Z46-SUM(Z62:Z77)-Z54</f>
        <v>0</v>
      </c>
      <c r="AA81" s="98">
        <f>AA46-SUM(AA62:AA77)-AA54</f>
        <v>-3.1974423109204508E-13</v>
      </c>
      <c r="AB81" s="98">
        <f>AB46-SUM(AB62:AB77)-AB54</f>
        <v>-3.694822225952521E-13</v>
      </c>
      <c r="AC81" s="98">
        <f>AC46-SUM(AC62:AC77)-AC54</f>
        <v>2.9842794901924208E-13</v>
      </c>
      <c r="AD81" s="98">
        <f>AD46-SUM(AD62:AD77)-AD54</f>
        <v>-1.9184653865522705E-12</v>
      </c>
    </row>
    <row r="82" spans="1:30">
      <c r="A82" s="94"/>
      <c r="B82" s="94"/>
      <c r="C82" s="94"/>
      <c r="D82" s="103" t="s">
        <v>62</v>
      </c>
      <c r="E82" s="98">
        <f>E26-SUM(E62:E63,E65:E70,E72)</f>
        <v>63.237619418000122</v>
      </c>
      <c r="F82" s="98">
        <f t="shared" ref="F82:Q82" si="45">F26-SUM(F62:F63,F65:F70,F72)</f>
        <v>81.535987771999373</v>
      </c>
      <c r="G82" s="98">
        <f t="shared" si="45"/>
        <v>72.590191914001252</v>
      </c>
      <c r="H82" s="98">
        <f t="shared" si="45"/>
        <v>76.429386700999274</v>
      </c>
      <c r="I82" s="98">
        <f t="shared" si="45"/>
        <v>77.532483202999998</v>
      </c>
      <c r="J82" s="98">
        <f t="shared" si="45"/>
        <v>162.43759902100061</v>
      </c>
      <c r="K82" s="98">
        <f t="shared" si="45"/>
        <v>97.753944083237727</v>
      </c>
      <c r="L82" s="98">
        <f t="shared" si="45"/>
        <v>81.762365006503146</v>
      </c>
      <c r="M82" s="98">
        <f t="shared" si="45"/>
        <v>170.69928755251684</v>
      </c>
      <c r="N82" s="98">
        <f t="shared" si="45"/>
        <v>133.26798387327273</v>
      </c>
      <c r="O82" s="98">
        <f t="shared" si="45"/>
        <v>139.04702208818216</v>
      </c>
      <c r="P82" s="98">
        <f t="shared" si="45"/>
        <v>182.49470614505751</v>
      </c>
      <c r="Q82" s="98">
        <f t="shared" si="45"/>
        <v>1338.7885767777705</v>
      </c>
      <c r="S82" s="98">
        <f>S26-SUM(S62:S63,S65:S70,S72)</f>
        <v>63.237619418000122</v>
      </c>
      <c r="T82" s="98">
        <f>T26-SUM(T62:T63,T65:T70,T72)</f>
        <v>0</v>
      </c>
      <c r="U82" s="98">
        <f>U26-SUM(U62:U63,U65:U70,U72)</f>
        <v>0</v>
      </c>
      <c r="V82" s="98">
        <f>V26-SUM(V62:V63,V65:V70,V72)</f>
        <v>63.237619418000122</v>
      </c>
      <c r="X82" s="98">
        <f>X26-SUM(X62:X63,X65:X70,X72)</f>
        <v>63.237619418000122</v>
      </c>
      <c r="Z82" s="98">
        <f>Z26-SUM(Z62:Z63,Z65:Z70,Z72)</f>
        <v>217.36379910400069</v>
      </c>
      <c r="AA82" s="98">
        <f>AA26-SUM(AA62:AA63,AA65:AA70,AA72)</f>
        <v>316.39946892499995</v>
      </c>
      <c r="AB82" s="98">
        <f>AB26-SUM(AB62:AB63,AB65:AB70,AB72)</f>
        <v>350.21559664225748</v>
      </c>
      <c r="AC82" s="98">
        <f>AC26-SUM(AC62:AC63,AC65:AC70,AC72)</f>
        <v>454.80971210651239</v>
      </c>
      <c r="AD82" s="98">
        <f>AD26-SUM(AD62:AD63,AD65:AD70,AD72)</f>
        <v>1338.7885767777691</v>
      </c>
    </row>
    <row r="83" spans="1:30">
      <c r="A83" s="94"/>
      <c r="B83" s="94"/>
      <c r="C83" s="94"/>
      <c r="D83" s="103" t="s">
        <v>63</v>
      </c>
      <c r="E83" s="98">
        <f>E45-E64-E71-E73-E75-E76-E77-E74</f>
        <v>-134.40743371799999</v>
      </c>
      <c r="F83" s="98">
        <f t="shared" ref="F83:Q83" si="46">F45-F64-F71-F73-F75-F76-F77-F74</f>
        <v>-97.017769971999982</v>
      </c>
      <c r="G83" s="98">
        <f t="shared" si="46"/>
        <v>-121.745654614</v>
      </c>
      <c r="H83" s="98">
        <f t="shared" si="46"/>
        <v>-116.39243720100002</v>
      </c>
      <c r="I83" s="98">
        <f t="shared" si="46"/>
        <v>-98.671930103000037</v>
      </c>
      <c r="J83" s="98">
        <f t="shared" si="46"/>
        <v>-154.14309172099999</v>
      </c>
      <c r="K83" s="98">
        <f t="shared" si="46"/>
        <v>-128.76055488323999</v>
      </c>
      <c r="L83" s="98">
        <f t="shared" si="46"/>
        <v>-118.47608936370904</v>
      </c>
      <c r="M83" s="98">
        <f t="shared" si="46"/>
        <v>-121.27034224761411</v>
      </c>
      <c r="N83" s="98">
        <f t="shared" si="46"/>
        <v>-120.83078446427787</v>
      </c>
      <c r="O83" s="98">
        <f t="shared" si="46"/>
        <v>-118.33685224588629</v>
      </c>
      <c r="P83" s="98">
        <f t="shared" si="46"/>
        <v>-114.50740073935889</v>
      </c>
      <c r="Q83" s="98">
        <f t="shared" si="46"/>
        <v>-1444.5603412730864</v>
      </c>
      <c r="S83" s="98">
        <f>S45-S64-S71-S73-S75-S76-S77-S74</f>
        <v>-134.40743371799999</v>
      </c>
      <c r="T83" s="98">
        <f>T45-T64-T71-T73-T75-T76-T77-T74</f>
        <v>0</v>
      </c>
      <c r="U83" s="98">
        <f>U45-U64-U71-U73-U75-U76-U77-U74</f>
        <v>0</v>
      </c>
      <c r="V83" s="98">
        <f>V45-V64-V71-V73-V75-V76-V77-V74</f>
        <v>-134.40743371799999</v>
      </c>
      <c r="X83" s="98">
        <f>X45-X64-X71-X73-X75-X76-X77-X74</f>
        <v>-134.40743371799999</v>
      </c>
      <c r="Z83" s="98">
        <f>Z45-Z64-Z71-Z73-Z75-Z76-Z77-Z74</f>
        <v>-353.17085830399986</v>
      </c>
      <c r="AA83" s="98">
        <f>AA45-AA64-AA71-AA73-AA75-AA76-AA77-AA74</f>
        <v>-369.20745902500005</v>
      </c>
      <c r="AB83" s="98">
        <f>AB45-AB64-AB71-AB73-AB75-AB76-AB77-AB74</f>
        <v>-368.50698649456314</v>
      </c>
      <c r="AC83" s="98">
        <f>AC45-AC64-AC71-AC73-AC75-AC76-AC77-AC74</f>
        <v>-353.67503744952307</v>
      </c>
      <c r="AD83" s="98">
        <f>AD45-AD64-AD71-AD73-AD75-AD76-AD77-AD74</f>
        <v>-1444.5603412730864</v>
      </c>
    </row>
    <row r="84" spans="1:30">
      <c r="A84" s="2"/>
      <c r="B84" s="2"/>
      <c r="C84" s="2"/>
      <c r="D84" s="104" t="s">
        <v>64</v>
      </c>
      <c r="E84" s="99">
        <f>SUM(E82:E83)-E54</f>
        <v>0</v>
      </c>
      <c r="F84" s="99">
        <f t="shared" ref="F84:P84" si="47">SUM(F82:F83)-F54</f>
        <v>-1.7053025658242404E-13</v>
      </c>
      <c r="G84" s="99">
        <f t="shared" si="47"/>
        <v>7.1054273576010019E-14</v>
      </c>
      <c r="H84" s="99">
        <f t="shared" si="47"/>
        <v>-1.9184653865522705E-13</v>
      </c>
      <c r="I84" s="99">
        <f t="shared" si="47"/>
        <v>-5.6843418860808015E-14</v>
      </c>
      <c r="J84" s="99">
        <f t="shared" si="47"/>
        <v>-1.4210854715202004E-13</v>
      </c>
      <c r="K84" s="99">
        <f t="shared" si="47"/>
        <v>0</v>
      </c>
      <c r="L84" s="99">
        <f t="shared" si="47"/>
        <v>0</v>
      </c>
      <c r="M84" s="99">
        <f t="shared" si="47"/>
        <v>-1.7053025658242404E-13</v>
      </c>
      <c r="N84" s="99">
        <f t="shared" si="47"/>
        <v>2.8421709430404007E-14</v>
      </c>
      <c r="O84" s="99">
        <f t="shared" si="47"/>
        <v>1.1368683772161603E-13</v>
      </c>
      <c r="P84" s="99">
        <f t="shared" si="47"/>
        <v>1.8474111129762605E-13</v>
      </c>
      <c r="Q84" s="99">
        <f>SUM(Q82:Q83)-Q54</f>
        <v>-6.8212102632969618E-13</v>
      </c>
      <c r="S84" s="99">
        <f>SUM(S82:S83)-S54</f>
        <v>0</v>
      </c>
      <c r="T84" s="99">
        <f>SUM(T82:T83)-T54</f>
        <v>0</v>
      </c>
      <c r="U84" s="99">
        <f>SUM(U82:U83)-U54</f>
        <v>0</v>
      </c>
      <c r="V84" s="99">
        <f>SUM(V82:V83)-V54</f>
        <v>0</v>
      </c>
      <c r="X84" s="99">
        <f>SUM(X82:X83)-X54</f>
        <v>0</v>
      </c>
      <c r="Z84" s="99">
        <f>SUM(Z82:Z83)-Z54</f>
        <v>0</v>
      </c>
      <c r="AA84" s="99">
        <f>SUM(AA82:AA83)-AA54</f>
        <v>-3.1974423109204508E-13</v>
      </c>
      <c r="AB84" s="99">
        <f>SUM(AB82:AB83)-AB54</f>
        <v>-3.4106051316484809E-13</v>
      </c>
      <c r="AC84" s="99">
        <f>SUM(AC82:AC83)-AC54</f>
        <v>2.9842794901924208E-13</v>
      </c>
      <c r="AD84" s="99">
        <f>SUM(AD82:AD83)-AD54</f>
        <v>-2.0321522242738865E-12</v>
      </c>
    </row>
    <row r="87" spans="1:30">
      <c r="E87" s="121"/>
      <c r="F87" s="121"/>
      <c r="G87" s="121"/>
      <c r="H87" s="121"/>
      <c r="I87" s="121"/>
      <c r="J87" s="121"/>
      <c r="K87" s="121"/>
      <c r="L87" s="121"/>
      <c r="M87" s="121"/>
      <c r="N87" s="121"/>
      <c r="O87" s="121"/>
      <c r="P87" s="121"/>
      <c r="Q87" s="121"/>
      <c r="R87" s="121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DC864-4937-4FBA-9217-5E73B3AD8765}">
  <sheetPr>
    <tabColor rgb="FF52D5F4"/>
  </sheetPr>
  <dimension ref="B1:AK87"/>
  <sheetViews>
    <sheetView showGridLines="0" topLeftCell="E1" zoomScale="60" zoomScaleNormal="60" workbookViewId="0">
      <selection activeCell="Z19" sqref="Z19"/>
    </sheetView>
  </sheetViews>
  <sheetFormatPr defaultRowHeight="15" outlineLevelRow="1"/>
  <cols>
    <col min="2" max="2" width="10.42578125" bestFit="1" customWidth="1"/>
    <col min="3" max="3" width="13.5703125" bestFit="1" customWidth="1"/>
    <col min="4" max="4" width="14.85546875" customWidth="1"/>
    <col min="5" max="5" width="13.5703125" bestFit="1" customWidth="1"/>
    <col min="6" max="6" width="14.140625" customWidth="1"/>
    <col min="7" max="7" width="13.5703125" bestFit="1" customWidth="1"/>
    <col min="10" max="10" width="11" bestFit="1" customWidth="1"/>
    <col min="17" max="17" width="9.140625" bestFit="1" customWidth="1"/>
    <col min="19" max="19" width="13.5703125" bestFit="1" customWidth="1"/>
    <col min="21" max="21" width="10.5703125" bestFit="1" customWidth="1"/>
    <col min="24" max="24" width="10.5703125" customWidth="1"/>
    <col min="27" max="27" width="9.42578125" bestFit="1" customWidth="1"/>
    <col min="30" max="30" width="10.5703125" bestFit="1" customWidth="1"/>
  </cols>
  <sheetData>
    <row r="1" spans="2:34" ht="28.5">
      <c r="B1" s="304" t="str">
        <f>'Summary month'!E2</f>
        <v>Apr</v>
      </c>
      <c r="C1" t="str">
        <f>VLOOKUP(B1,mapping!$A$2:$C$13,3,0)</f>
        <v>M01</v>
      </c>
    </row>
    <row r="2" spans="2:34" outlineLevel="1">
      <c r="O2" s="129" t="s">
        <v>520</v>
      </c>
      <c r="P2" s="129">
        <f>'[14]New KPI vs BP'!$EB$460</f>
        <v>0</v>
      </c>
      <c r="Q2" s="696" t="s">
        <v>502</v>
      </c>
      <c r="R2" s="696">
        <f>'[13]CMOR_MTD_vsFC-1'!$R$8</f>
        <v>0</v>
      </c>
    </row>
    <row r="3" spans="2:34" ht="28.5" outlineLevel="1">
      <c r="B3" s="299" t="s">
        <v>202</v>
      </c>
      <c r="I3" s="216"/>
      <c r="J3" s="334"/>
      <c r="K3" s="216"/>
      <c r="L3" s="216"/>
      <c r="M3" s="216"/>
      <c r="N3" s="334"/>
      <c r="O3" s="216"/>
      <c r="P3" s="216"/>
      <c r="Q3" s="216"/>
    </row>
    <row r="4" spans="2:34" ht="28.5" outlineLevel="1">
      <c r="B4" s="299"/>
      <c r="I4" s="216"/>
      <c r="J4" s="334"/>
      <c r="K4" s="216"/>
      <c r="L4" s="216"/>
      <c r="M4" s="216"/>
      <c r="N4" s="334"/>
      <c r="O4" s="216"/>
      <c r="P4" s="216"/>
      <c r="Q4" s="216"/>
    </row>
    <row r="5" spans="2:34" ht="20.25" outlineLevel="1">
      <c r="B5" s="216"/>
      <c r="C5" s="226" t="str">
        <f>B10</f>
        <v>FY25 FC5+7 December MTD</v>
      </c>
      <c r="D5" s="226" t="str">
        <f>C10</f>
        <v>FY25 ACT December MTD</v>
      </c>
      <c r="E5" s="226" t="s">
        <v>320</v>
      </c>
      <c r="F5" s="226" t="s">
        <v>321</v>
      </c>
      <c r="G5" s="226" t="s">
        <v>322</v>
      </c>
      <c r="H5" s="797" t="s">
        <v>323</v>
      </c>
      <c r="I5" s="216"/>
    </row>
    <row r="6" spans="2:34" ht="20.25" outlineLevel="1">
      <c r="B6" s="226" t="s">
        <v>327</v>
      </c>
      <c r="C6" s="809">
        <f>'Summary month'!AX82</f>
        <v>63.237619418000122</v>
      </c>
      <c r="D6" s="809">
        <f>'Summary month'!F82</f>
        <v>63.237619418000122</v>
      </c>
      <c r="E6" s="806">
        <f>+D6-C6</f>
        <v>0</v>
      </c>
      <c r="F6" s="806">
        <f>B19</f>
        <v>-0.38273434543846285</v>
      </c>
      <c r="G6" s="806">
        <f>SUM(C19:S19)</f>
        <v>0.38273434543846285</v>
      </c>
      <c r="H6" s="803">
        <f>E6-F6-G6</f>
        <v>0</v>
      </c>
      <c r="I6" s="216"/>
      <c r="J6" s="334"/>
      <c r="K6" s="216"/>
      <c r="L6" s="216"/>
      <c r="M6" s="216"/>
      <c r="N6" s="334"/>
      <c r="O6" s="216"/>
      <c r="P6" s="216"/>
      <c r="Q6" s="216"/>
    </row>
    <row r="7" spans="2:34" ht="20.25" outlineLevel="1">
      <c r="B7" s="226" t="s">
        <v>325</v>
      </c>
      <c r="C7" s="809">
        <f>'Summary month'!AX83</f>
        <v>-134.40743371800002</v>
      </c>
      <c r="D7" s="809">
        <f>'Summary month'!F83</f>
        <v>-134.40743371799999</v>
      </c>
      <c r="E7" s="806">
        <f>+D7-C7</f>
        <v>0</v>
      </c>
      <c r="F7" s="806">
        <f>T19</f>
        <v>0.89876657195875798</v>
      </c>
      <c r="G7" s="806">
        <f>SUM(U19:AH19)</f>
        <v>-0.89876657195872955</v>
      </c>
      <c r="H7" s="803">
        <f>E7-F7-G7</f>
        <v>-2.8421709430404007E-14</v>
      </c>
      <c r="I7" s="216"/>
      <c r="J7" s="334"/>
      <c r="K7" s="216"/>
      <c r="L7" s="216"/>
      <c r="M7" s="216"/>
      <c r="N7" s="334"/>
      <c r="O7" s="216"/>
      <c r="P7" s="216"/>
      <c r="Q7" s="216"/>
    </row>
    <row r="8" spans="2:34" ht="20.25" outlineLevel="1">
      <c r="B8" s="226" t="s">
        <v>326</v>
      </c>
      <c r="C8" s="806">
        <f>+C6+C7</f>
        <v>-71.169814299999899</v>
      </c>
      <c r="D8" s="806">
        <f>+D6+D7</f>
        <v>-71.169814299999871</v>
      </c>
      <c r="E8" s="806">
        <f>+D8-C8</f>
        <v>0</v>
      </c>
      <c r="F8" s="806">
        <f>+E8-G8</f>
        <v>0.5160322265202667</v>
      </c>
      <c r="G8" s="806">
        <f>+G6+G7</f>
        <v>-0.5160322265202667</v>
      </c>
      <c r="H8" s="803">
        <f>E8-F8-G8</f>
        <v>0</v>
      </c>
      <c r="I8" s="216"/>
      <c r="J8" s="722" t="s">
        <v>303</v>
      </c>
      <c r="K8" s="720" t="s">
        <v>143</v>
      </c>
      <c r="L8" s="720" t="s">
        <v>304</v>
      </c>
      <c r="M8" s="720"/>
      <c r="N8" s="722" t="s">
        <v>303</v>
      </c>
      <c r="O8" s="720" t="s">
        <v>143</v>
      </c>
      <c r="P8" s="720" t="s">
        <v>305</v>
      </c>
      <c r="Q8" s="720" t="s">
        <v>306</v>
      </c>
      <c r="R8" s="729"/>
      <c r="S8" s="729"/>
    </row>
    <row r="9" spans="2:34" ht="18" outlineLevel="1">
      <c r="B9" s="215"/>
      <c r="C9" s="216"/>
      <c r="D9" s="318">
        <f>D12-D54</f>
        <v>0</v>
      </c>
      <c r="E9" s="318">
        <f>E12-E54</f>
        <v>-4.4812844320005825</v>
      </c>
      <c r="F9" s="318">
        <f>F12-F54</f>
        <v>4.5066154461498984</v>
      </c>
      <c r="G9" s="318">
        <f>G12-G54</f>
        <v>-2.5331014149315711E-2</v>
      </c>
      <c r="H9" s="216"/>
      <c r="I9" s="720" t="s">
        <v>307</v>
      </c>
      <c r="J9" s="795">
        <f>'[14]New KPI vs BP'!$DO$34-K9-L9</f>
        <v>0.30508177391962182</v>
      </c>
      <c r="K9" s="720">
        <f>'[14]New KPI vs BP'!$DO$15</f>
        <v>-3.8112449987354434E-2</v>
      </c>
      <c r="L9" s="722">
        <f>'[14]New KPI vs BP'!$DO$507+'[14]New KPI vs BP'!$DO$523</f>
        <v>0.24906290258802771</v>
      </c>
      <c r="M9" s="216"/>
      <c r="N9" s="722">
        <f>'[14]New KPI vs BP'!$DO$34-O9-P9</f>
        <v>-0.34462189545110844</v>
      </c>
      <c r="O9" s="720">
        <f>K9</f>
        <v>-3.8112449987354434E-2</v>
      </c>
      <c r="P9" s="796">
        <f>L10-AJ66+AA20</f>
        <v>0.89876657195875798</v>
      </c>
      <c r="Q9" s="722">
        <f>L9-(P9)</f>
        <v>-0.64970366937073032</v>
      </c>
      <c r="R9" s="216"/>
      <c r="S9" s="216"/>
      <c r="T9" s="216"/>
      <c r="U9" s="216"/>
      <c r="V9" s="216"/>
      <c r="W9" s="216"/>
      <c r="X9" s="216"/>
      <c r="Y9" s="216"/>
      <c r="Z9" s="216"/>
      <c r="AA9" s="216"/>
      <c r="AB9" s="216"/>
      <c r="AC9" s="216"/>
      <c r="AD9" s="216"/>
      <c r="AE9" s="216"/>
      <c r="AF9" s="216"/>
      <c r="AG9" s="216"/>
      <c r="AH9" s="216"/>
    </row>
    <row r="10" spans="2:34" ht="20.100000000000001" customHeight="1" outlineLevel="1">
      <c r="B10" s="1038" t="s">
        <v>540</v>
      </c>
      <c r="C10" s="1038" t="s">
        <v>541</v>
      </c>
      <c r="D10" s="218"/>
      <c r="E10" s="219"/>
      <c r="F10" s="219"/>
      <c r="G10" s="220"/>
      <c r="H10" s="216"/>
      <c r="I10" s="720" t="s">
        <v>62</v>
      </c>
      <c r="J10" s="722">
        <f>M52</f>
        <v>4.1238811007114355</v>
      </c>
      <c r="K10" s="216">
        <v>0</v>
      </c>
      <c r="L10" s="722">
        <f>M53</f>
        <v>0.87343555780944226</v>
      </c>
      <c r="M10" s="216"/>
      <c r="N10" s="216"/>
      <c r="O10" s="216"/>
      <c r="P10" s="216"/>
      <c r="Q10" s="216"/>
      <c r="R10" s="216"/>
      <c r="S10" s="216"/>
      <c r="T10" s="216"/>
      <c r="U10" s="216"/>
      <c r="V10" s="216"/>
      <c r="W10" s="221"/>
      <c r="X10" s="221"/>
      <c r="Y10" s="221"/>
      <c r="Z10" s="221"/>
      <c r="AA10" s="221"/>
      <c r="AB10" s="221"/>
      <c r="AC10" s="221"/>
      <c r="AD10" s="221"/>
      <c r="AE10" s="221"/>
      <c r="AF10" s="221"/>
      <c r="AG10" s="221"/>
      <c r="AH10" s="221"/>
    </row>
    <row r="11" spans="2:34" ht="40.5" outlineLevel="1">
      <c r="B11" s="1039"/>
      <c r="C11" s="1040"/>
      <c r="D11" s="222"/>
      <c r="E11" s="223" t="s">
        <v>154</v>
      </c>
      <c r="F11" s="224" t="s">
        <v>155</v>
      </c>
      <c r="G11" s="225" t="s">
        <v>156</v>
      </c>
      <c r="H11" s="216"/>
      <c r="I11" s="720" t="s">
        <v>208</v>
      </c>
      <c r="J11" s="216"/>
      <c r="K11" s="216"/>
      <c r="L11" s="216"/>
      <c r="M11" s="216"/>
      <c r="N11" s="216"/>
      <c r="O11" s="216"/>
      <c r="P11" s="216"/>
      <c r="Q11" s="216"/>
      <c r="R11" s="216"/>
      <c r="AH11" s="216"/>
    </row>
    <row r="12" spans="2:34" ht="20.25" outlineLevel="1">
      <c r="B12" s="806">
        <f>'Summary month'!AX55</f>
        <v>-71.169814299999885</v>
      </c>
      <c r="C12" s="806">
        <f>'Summary month'!F55</f>
        <v>-71.169814299999885</v>
      </c>
      <c r="D12" s="807">
        <f>C12-B12</f>
        <v>0</v>
      </c>
      <c r="E12" s="870">
        <f>'[14]New KPI vs BP'!$DO$34</f>
        <v>0.51603222652029512</v>
      </c>
      <c r="F12" s="228">
        <f>'Summary month'!BB82-E13</f>
        <v>0.38273434543846285</v>
      </c>
      <c r="G12" s="229">
        <f>'Summary month'!BB83-E14</f>
        <v>-0.89876657195872955</v>
      </c>
      <c r="H12" s="216"/>
      <c r="I12" s="709">
        <f>SUM(E12:G12)-D12</f>
        <v>2.8421709430404007E-14</v>
      </c>
      <c r="J12" s="216"/>
      <c r="K12" s="216"/>
      <c r="L12" s="216"/>
      <c r="M12" s="216"/>
      <c r="N12" s="216"/>
      <c r="O12" s="230"/>
      <c r="P12" s="216"/>
      <c r="Q12" s="216"/>
      <c r="R12" s="216"/>
      <c r="AH12" s="230"/>
    </row>
    <row r="13" spans="2:34" outlineLevel="1">
      <c r="B13" s="216"/>
      <c r="C13" s="216"/>
      <c r="D13" s="216"/>
      <c r="E13" s="753">
        <f>SUM(N9:O9)</f>
        <v>-0.38273434543846285</v>
      </c>
      <c r="F13" s="216" t="s">
        <v>308</v>
      </c>
      <c r="G13" s="216"/>
      <c r="H13" s="216"/>
      <c r="I13" s="216"/>
      <c r="J13" s="216"/>
      <c r="K13" s="216"/>
      <c r="L13" s="216"/>
      <c r="M13" s="216"/>
      <c r="N13" s="216"/>
      <c r="O13" s="720" t="s">
        <v>53</v>
      </c>
      <c r="P13" s="720">
        <f>-'Summary month'!BB66</f>
        <v>0</v>
      </c>
      <c r="Q13" s="216"/>
      <c r="R13" s="216"/>
      <c r="AH13" s="216"/>
    </row>
    <row r="14" spans="2:34" outlineLevel="1">
      <c r="B14" s="216"/>
      <c r="C14" s="216" t="s">
        <v>51</v>
      </c>
      <c r="D14" s="216" t="s">
        <v>50</v>
      </c>
      <c r="E14" s="753">
        <f>P9</f>
        <v>0.89876657195875798</v>
      </c>
      <c r="F14" s="216" t="s">
        <v>309</v>
      </c>
      <c r="G14" s="216"/>
      <c r="H14" s="216"/>
      <c r="I14" s="216"/>
      <c r="J14" s="216"/>
      <c r="K14" s="216"/>
      <c r="L14" s="216"/>
      <c r="M14" s="216"/>
      <c r="N14" s="216"/>
      <c r="O14" s="720" t="s">
        <v>54</v>
      </c>
      <c r="P14" s="720">
        <f>-'Summary month'!BB67</f>
        <v>0</v>
      </c>
      <c r="Q14" s="216"/>
      <c r="R14" s="216"/>
      <c r="AH14" s="216"/>
    </row>
    <row r="15" spans="2:34" ht="21" outlineLevel="1" thickBot="1">
      <c r="B15" s="231" t="s">
        <v>157</v>
      </c>
      <c r="C15" s="232" t="s">
        <v>56</v>
      </c>
      <c r="D15" s="232" t="s">
        <v>57</v>
      </c>
      <c r="E15" s="232"/>
      <c r="F15" s="232"/>
      <c r="G15" s="232"/>
      <c r="H15" s="232"/>
      <c r="I15" s="232"/>
      <c r="J15" s="232"/>
      <c r="K15" s="232"/>
      <c r="L15" s="232"/>
      <c r="M15" s="232"/>
      <c r="N15" s="232"/>
      <c r="O15" s="725" t="s">
        <v>55</v>
      </c>
      <c r="P15" s="720">
        <f>-'Summary month'!BB68</f>
        <v>0</v>
      </c>
      <c r="Q15" s="232"/>
      <c r="R15" s="232" t="s">
        <v>60</v>
      </c>
      <c r="AA15" t="s">
        <v>52</v>
      </c>
      <c r="AB15" t="s">
        <v>59</v>
      </c>
      <c r="AH15" s="217" t="s">
        <v>138</v>
      </c>
    </row>
    <row r="16" spans="2:34" ht="21" outlineLevel="1" thickBot="1">
      <c r="B16" s="233"/>
      <c r="C16" s="234" t="s">
        <v>159</v>
      </c>
      <c r="D16" s="234"/>
      <c r="E16" s="234"/>
      <c r="F16" s="234"/>
      <c r="G16" s="234"/>
      <c r="H16" s="234"/>
      <c r="I16" s="234"/>
      <c r="J16" s="234"/>
      <c r="K16" s="234"/>
      <c r="L16" s="234"/>
      <c r="M16" s="234"/>
      <c r="N16" s="234"/>
      <c r="O16" s="234"/>
      <c r="P16" s="234"/>
      <c r="Q16" s="234"/>
      <c r="R16" s="234"/>
      <c r="S16" s="235"/>
      <c r="T16" s="236"/>
      <c r="U16" s="237" t="s">
        <v>160</v>
      </c>
      <c r="V16" s="237"/>
      <c r="W16" s="237"/>
      <c r="X16" s="237"/>
      <c r="Y16" s="237"/>
      <c r="Z16" s="237"/>
      <c r="AA16" s="237"/>
      <c r="AB16" s="237"/>
      <c r="AC16" s="237"/>
      <c r="AD16" s="237"/>
      <c r="AE16" s="237"/>
      <c r="AF16" s="237"/>
      <c r="AG16" s="237"/>
      <c r="AH16" s="238"/>
    </row>
    <row r="17" spans="2:34" ht="20.100000000000001" customHeight="1" outlineLevel="1">
      <c r="B17" s="1027" t="s">
        <v>274</v>
      </c>
      <c r="C17" s="239" t="s">
        <v>161</v>
      </c>
      <c r="D17" s="240"/>
      <c r="E17" s="240"/>
      <c r="F17" s="240"/>
      <c r="G17" s="241"/>
      <c r="H17" s="1017" t="s">
        <v>162</v>
      </c>
      <c r="I17" s="242" t="s">
        <v>163</v>
      </c>
      <c r="J17" s="243"/>
      <c r="K17" s="243"/>
      <c r="L17" s="243"/>
      <c r="M17" s="243"/>
      <c r="N17" s="244"/>
      <c r="O17" s="1019" t="s">
        <v>164</v>
      </c>
      <c r="P17" s="1019" t="s">
        <v>165</v>
      </c>
      <c r="Q17" s="1019" t="s">
        <v>166</v>
      </c>
      <c r="R17" s="1022" t="s">
        <v>167</v>
      </c>
      <c r="S17" s="1023" t="s">
        <v>168</v>
      </c>
      <c r="T17" s="1027" t="s">
        <v>274</v>
      </c>
      <c r="U17" s="245" t="s">
        <v>169</v>
      </c>
      <c r="V17" s="246"/>
      <c r="W17" s="246"/>
      <c r="X17" s="247"/>
      <c r="Y17" s="248" t="s">
        <v>163</v>
      </c>
      <c r="Z17" s="246"/>
      <c r="AA17" s="246"/>
      <c r="AB17" s="246"/>
      <c r="AC17" s="246"/>
      <c r="AD17" s="247"/>
      <c r="AE17" s="1022" t="s">
        <v>166</v>
      </c>
      <c r="AF17" s="1025" t="s">
        <v>167</v>
      </c>
      <c r="AG17" s="311"/>
      <c r="AH17" s="1012" t="s">
        <v>168</v>
      </c>
    </row>
    <row r="18" spans="2:34" ht="77.45" customHeight="1" outlineLevel="1">
      <c r="B18" s="1028"/>
      <c r="C18" s="249" t="s">
        <v>170</v>
      </c>
      <c r="D18" s="250" t="s">
        <v>171</v>
      </c>
      <c r="E18" s="250" t="s">
        <v>172</v>
      </c>
      <c r="F18" s="250" t="s">
        <v>173</v>
      </c>
      <c r="G18" s="251" t="s">
        <v>174</v>
      </c>
      <c r="H18" s="1018"/>
      <c r="I18" s="250" t="s">
        <v>175</v>
      </c>
      <c r="J18" s="250" t="s">
        <v>176</v>
      </c>
      <c r="K18" s="250" t="s">
        <v>177</v>
      </c>
      <c r="L18" s="250" t="s">
        <v>178</v>
      </c>
      <c r="M18" s="250" t="s">
        <v>168</v>
      </c>
      <c r="N18" s="250" t="s">
        <v>179</v>
      </c>
      <c r="O18" s="1020"/>
      <c r="P18" s="1021"/>
      <c r="Q18" s="1021"/>
      <c r="R18" s="1021"/>
      <c r="S18" s="1024"/>
      <c r="T18" s="1028"/>
      <c r="U18" s="307" t="s">
        <v>203</v>
      </c>
      <c r="V18" s="308" t="s">
        <v>180</v>
      </c>
      <c r="W18" s="309" t="s">
        <v>181</v>
      </c>
      <c r="X18" s="310" t="s">
        <v>33</v>
      </c>
      <c r="Y18" s="305" t="s">
        <v>25</v>
      </c>
      <c r="Z18" s="306" t="s">
        <v>183</v>
      </c>
      <c r="AA18" s="306" t="s">
        <v>204</v>
      </c>
      <c r="AB18" s="306" t="s">
        <v>205</v>
      </c>
      <c r="AC18" s="306" t="s">
        <v>184</v>
      </c>
      <c r="AD18" s="306" t="s">
        <v>30</v>
      </c>
      <c r="AE18" s="1021"/>
      <c r="AF18" s="1026"/>
      <c r="AG18" s="312" t="s">
        <v>37</v>
      </c>
      <c r="AH18" s="1013"/>
    </row>
    <row r="19" spans="2:34" ht="21" outlineLevel="1" thickBot="1">
      <c r="B19" s="712">
        <f>E13</f>
        <v>-0.38273434543846285</v>
      </c>
      <c r="C19" s="713">
        <f>C61-'Summary month'!BB64-'Summary month'!BB69+J10-N9</f>
        <v>2.3531729708845162</v>
      </c>
      <c r="D19" s="710">
        <f>S67-'Summary month'!BB63-'Summary month'!BB70-O9</f>
        <v>0.34635684636796932</v>
      </c>
      <c r="E19" s="710">
        <f>E61</f>
        <v>1.7719983561794641</v>
      </c>
      <c r="F19" s="710">
        <f>F61</f>
        <v>-2.0482102605567718</v>
      </c>
      <c r="G19" s="710"/>
      <c r="H19" s="710"/>
      <c r="I19" s="710">
        <f>I61</f>
        <v>0</v>
      </c>
      <c r="J19" s="719">
        <f>J61</f>
        <v>0</v>
      </c>
      <c r="K19" s="719">
        <f>K61</f>
        <v>0</v>
      </c>
      <c r="L19" s="719">
        <f>L61</f>
        <v>0</v>
      </c>
      <c r="M19" s="719">
        <f>M61</f>
        <v>-1.0182508830000001</v>
      </c>
      <c r="N19" s="255"/>
      <c r="O19" s="710">
        <f>SUM(P13:P15)</f>
        <v>0</v>
      </c>
      <c r="P19" s="254"/>
      <c r="Q19" s="256"/>
      <c r="R19" s="710">
        <f>R61-'Summary month'!BB73</f>
        <v>3.8559650029907768</v>
      </c>
      <c r="S19" s="714">
        <f>F12-SUM(C19:R19)</f>
        <v>-4.8782976874274908</v>
      </c>
      <c r="T19" s="713">
        <f>E14</f>
        <v>0.89876657195875798</v>
      </c>
      <c r="U19" s="713">
        <f>U61</f>
        <v>-0.1</v>
      </c>
      <c r="V19" s="715">
        <f>V61</f>
        <v>0</v>
      </c>
      <c r="W19" s="715"/>
      <c r="X19" s="715">
        <f>X61</f>
        <v>-0.435995207</v>
      </c>
      <c r="Y19" s="715">
        <f>Y61</f>
        <v>-0.38679834953841508</v>
      </c>
      <c r="Z19" s="715">
        <f>Z61</f>
        <v>0.14146420922238878</v>
      </c>
      <c r="AA19" s="715">
        <f>AA61-'Summary month'!BB65-AA20</f>
        <v>-2.5331014149315711E-2</v>
      </c>
      <c r="AB19" s="715">
        <f>-'Summary month'!BB72</f>
        <v>0</v>
      </c>
      <c r="AC19" s="715">
        <f>AC61</f>
        <v>0</v>
      </c>
      <c r="AD19" s="715">
        <f>AD61</f>
        <v>0</v>
      </c>
      <c r="AE19" s="716"/>
      <c r="AF19" s="717"/>
      <c r="AG19" s="710">
        <f>AG61</f>
        <v>-0.6327912104934158</v>
      </c>
      <c r="AH19" s="718">
        <f>G12-SUM(U19:AG19)</f>
        <v>0.54068500000002817</v>
      </c>
    </row>
    <row r="20" spans="2:34" outlineLevel="1">
      <c r="B20" s="286">
        <f>B19-B61</f>
        <v>-4.5066154461498984</v>
      </c>
      <c r="C20" s="286">
        <f t="shared" ref="C20:S20" si="0">C19-C61</f>
        <v>4.4685029961625435</v>
      </c>
      <c r="D20" s="286">
        <f t="shared" si="0"/>
        <v>0.34635684636796932</v>
      </c>
      <c r="E20" s="286">
        <f t="shared" si="0"/>
        <v>0</v>
      </c>
      <c r="F20" s="286">
        <f t="shared" si="0"/>
        <v>0</v>
      </c>
      <c r="G20" s="286">
        <f t="shared" si="0"/>
        <v>0</v>
      </c>
      <c r="H20" s="286">
        <f t="shared" si="0"/>
        <v>0</v>
      </c>
      <c r="I20" s="286">
        <f t="shared" si="0"/>
        <v>0</v>
      </c>
      <c r="J20" s="286">
        <f t="shared" si="0"/>
        <v>0</v>
      </c>
      <c r="K20" s="286">
        <f t="shared" si="0"/>
        <v>0</v>
      </c>
      <c r="L20" s="286">
        <f t="shared" si="0"/>
        <v>0</v>
      </c>
      <c r="M20" s="286">
        <f t="shared" si="0"/>
        <v>0</v>
      </c>
      <c r="N20" s="286">
        <f t="shared" si="0"/>
        <v>0</v>
      </c>
      <c r="O20" s="286">
        <f t="shared" si="0"/>
        <v>0</v>
      </c>
      <c r="P20" s="286">
        <f t="shared" si="0"/>
        <v>0</v>
      </c>
      <c r="Q20" s="286">
        <f t="shared" si="0"/>
        <v>0</v>
      </c>
      <c r="R20" s="286">
        <f t="shared" si="0"/>
        <v>0</v>
      </c>
      <c r="S20" s="286">
        <f t="shared" si="0"/>
        <v>-0.30824439638061385</v>
      </c>
      <c r="T20" s="216"/>
      <c r="U20" s="216"/>
      <c r="V20" s="216"/>
      <c r="W20" s="216"/>
      <c r="X20" s="216"/>
      <c r="Y20" s="216"/>
      <c r="Z20" s="216"/>
      <c r="AA20" s="720">
        <f>'[14]New KPI vs BP'!$DO$20</f>
        <v>2.5331014149315711E-2</v>
      </c>
      <c r="AB20" s="216"/>
      <c r="AC20" s="216"/>
      <c r="AD20" s="216"/>
      <c r="AE20" s="216"/>
      <c r="AF20" s="216"/>
      <c r="AG20" s="216"/>
      <c r="AH20" s="216"/>
    </row>
    <row r="21" spans="2:34" ht="18" outlineLevel="1">
      <c r="B21" s="221"/>
      <c r="C21" s="261"/>
      <c r="D21" s="262"/>
      <c r="E21" s="262"/>
      <c r="F21" s="262"/>
      <c r="G21" s="262"/>
      <c r="H21" s="262"/>
      <c r="I21" s="262"/>
      <c r="J21" s="262"/>
      <c r="K21" s="262"/>
      <c r="L21" s="262"/>
      <c r="M21" s="262"/>
      <c r="N21" s="262"/>
      <c r="O21" s="262"/>
      <c r="P21" s="262"/>
      <c r="Q21" s="262"/>
      <c r="R21" s="262"/>
      <c r="S21" s="221"/>
      <c r="T21" s="221"/>
      <c r="U21" s="221"/>
      <c r="V21" s="221"/>
      <c r="W21" s="221"/>
    </row>
    <row r="22" spans="2:34" ht="18" outlineLevel="1">
      <c r="B22" s="216"/>
      <c r="C22" s="266"/>
      <c r="D22" s="267"/>
      <c r="E22" s="267"/>
      <c r="F22" s="267"/>
      <c r="G22" s="267"/>
      <c r="H22" s="267"/>
      <c r="I22" s="267"/>
      <c r="J22" s="267"/>
      <c r="K22" s="267"/>
      <c r="L22" s="267"/>
      <c r="M22" s="267"/>
      <c r="N22" s="267"/>
      <c r="O22" s="267"/>
      <c r="P22" s="267"/>
      <c r="Q22" s="267"/>
      <c r="R22" s="267"/>
      <c r="S22" s="216"/>
      <c r="T22" s="216"/>
      <c r="U22" s="216"/>
      <c r="V22" s="216"/>
      <c r="W22" s="216"/>
    </row>
    <row r="23" spans="2:34" ht="20.25" outlineLevel="1">
      <c r="B23" s="221" t="s">
        <v>277</v>
      </c>
      <c r="C23" s="426">
        <f>C61</f>
        <v>-2.1153300252780278</v>
      </c>
      <c r="D23" s="216"/>
      <c r="E23" s="216" t="s">
        <v>281</v>
      </c>
      <c r="F23" s="216" t="s">
        <v>274</v>
      </c>
      <c r="G23" s="216"/>
      <c r="H23" s="216"/>
      <c r="I23" s="273" t="s">
        <v>188</v>
      </c>
      <c r="J23" s="274"/>
      <c r="K23" s="274"/>
      <c r="L23" s="274"/>
      <c r="M23" s="275">
        <f>M19</f>
        <v>-1.0182508830000001</v>
      </c>
      <c r="N23" s="216"/>
      <c r="P23" s="273" t="s">
        <v>191</v>
      </c>
      <c r="Q23" s="274"/>
      <c r="R23" s="274"/>
      <c r="S23" s="294">
        <f>S19</f>
        <v>-4.8782976874274908</v>
      </c>
      <c r="T23" s="216"/>
      <c r="U23" s="315"/>
      <c r="V23" s="216"/>
      <c r="W23" s="216"/>
      <c r="X23" s="263" t="s">
        <v>185</v>
      </c>
      <c r="Y23" s="264"/>
      <c r="Z23" s="264"/>
      <c r="AA23" s="265">
        <f>AD19</f>
        <v>0</v>
      </c>
      <c r="AC23" s="221"/>
      <c r="AE23" s="263" t="s">
        <v>186</v>
      </c>
      <c r="AF23" s="264"/>
      <c r="AG23" s="264"/>
      <c r="AH23" s="265">
        <f>AH19</f>
        <v>0.54068500000002817</v>
      </c>
    </row>
    <row r="24" spans="2:34" ht="18" outlineLevel="1">
      <c r="B24" s="216" t="s">
        <v>278</v>
      </c>
      <c r="C24" s="426">
        <f>-'Summary month'!BB64</f>
        <v>0</v>
      </c>
      <c r="D24" s="216"/>
      <c r="E24" s="412">
        <f>C24-F24</f>
        <v>-0.73312859726109303</v>
      </c>
      <c r="F24" s="411">
        <v>0.73312859726109303</v>
      </c>
      <c r="G24" s="216"/>
      <c r="H24" s="216"/>
      <c r="I24" s="279">
        <v>1</v>
      </c>
      <c r="J24" s="269" t="str">
        <f t="shared" ref="J24:J29" si="1">J66</f>
        <v>Supplier claims</v>
      </c>
      <c r="K24" s="270"/>
      <c r="L24" s="270"/>
      <c r="M24" s="743">
        <f t="shared" ref="M24:M29" si="2">M66</f>
        <v>16</v>
      </c>
      <c r="N24" s="216"/>
      <c r="P24" s="279">
        <v>1</v>
      </c>
      <c r="Q24" s="822" t="str">
        <f t="shared" ref="Q24:Q32" si="3">Q66</f>
        <v>UC</v>
      </c>
      <c r="R24" s="823"/>
      <c r="S24" s="875">
        <f t="shared" ref="S24:S32" si="4">S66</f>
        <v>4.2045664011707215E-3</v>
      </c>
      <c r="T24" s="216"/>
      <c r="U24" s="216"/>
      <c r="V24" s="216"/>
      <c r="W24" s="216"/>
      <c r="X24" s="268">
        <v>1</v>
      </c>
      <c r="Y24" s="269" t="str">
        <f>Y66</f>
        <v>Capacity reservation</v>
      </c>
      <c r="Z24" s="270"/>
      <c r="AA24" s="874">
        <f>AA66</f>
        <v>98.478430065445011</v>
      </c>
      <c r="AC24" s="216"/>
      <c r="AE24" s="268">
        <v>1</v>
      </c>
      <c r="AF24" s="269" t="s">
        <v>187</v>
      </c>
      <c r="AG24" s="270"/>
      <c r="AH24" s="874">
        <f>'[25]vs FC5+7 MTD'!$AH$62</f>
        <v>-0.351705347831611</v>
      </c>
    </row>
    <row r="25" spans="2:34" ht="18" outlineLevel="1">
      <c r="B25" s="216" t="s">
        <v>279</v>
      </c>
      <c r="C25" s="427">
        <f>-'Summary month'!BB69</f>
        <v>0</v>
      </c>
      <c r="D25" s="216"/>
      <c r="E25" s="216"/>
      <c r="F25" s="216"/>
      <c r="G25" s="216"/>
      <c r="H25" s="216"/>
      <c r="I25" s="279">
        <v>2</v>
      </c>
      <c r="J25" s="276" t="str">
        <f t="shared" si="1"/>
        <v>Renault TP increase</v>
      </c>
      <c r="K25" s="277"/>
      <c r="L25" s="277"/>
      <c r="M25" s="736">
        <f t="shared" si="2"/>
        <v>-3</v>
      </c>
      <c r="N25" s="216"/>
      <c r="P25" s="279">
        <v>2</v>
      </c>
      <c r="Q25" s="824" t="str">
        <f t="shared" si="3"/>
        <v>Export</v>
      </c>
      <c r="R25" s="277"/>
      <c r="S25" s="876">
        <f t="shared" si="4"/>
        <v>0.3082443963806149</v>
      </c>
      <c r="T25" s="216"/>
      <c r="U25" s="216"/>
      <c r="V25" s="216"/>
      <c r="W25" s="216"/>
      <c r="X25" s="268">
        <v>2</v>
      </c>
      <c r="Y25" s="276" t="str">
        <f t="shared" ref="Y25:Y27" si="5">Y67</f>
        <v>Region (non B01)</v>
      </c>
      <c r="Z25" s="277"/>
      <c r="AA25" s="760">
        <f t="shared" ref="AA25:AA27" si="6">AA67</f>
        <v>-2.9344649940000025</v>
      </c>
      <c r="AC25" s="216"/>
      <c r="AE25" s="268">
        <v>2</v>
      </c>
      <c r="AF25" s="276"/>
      <c r="AG25" s="277"/>
      <c r="AH25" s="760"/>
    </row>
    <row r="26" spans="2:34" ht="18" outlineLevel="1">
      <c r="B26" s="216" t="s">
        <v>280</v>
      </c>
      <c r="C26" s="438">
        <f>J10-N9</f>
        <v>4.4685029961625435</v>
      </c>
      <c r="D26" s="216"/>
      <c r="E26" s="216"/>
      <c r="F26" s="216"/>
      <c r="G26" s="216"/>
      <c r="H26" s="216"/>
      <c r="I26" s="279">
        <v>3</v>
      </c>
      <c r="J26" s="276" t="str">
        <f t="shared" si="1"/>
        <v>MZ Others</v>
      </c>
      <c r="K26" s="277"/>
      <c r="L26" s="277"/>
      <c r="M26" s="736">
        <f t="shared" si="2"/>
        <v>2.3461283822730188</v>
      </c>
      <c r="N26" s="216"/>
      <c r="P26" s="279">
        <v>3</v>
      </c>
      <c r="Q26" s="824" t="str">
        <f t="shared" si="3"/>
        <v>NRV</v>
      </c>
      <c r="R26" s="277"/>
      <c r="S26" s="876">
        <f t="shared" si="4"/>
        <v>-19.771108266303969</v>
      </c>
      <c r="T26" s="216"/>
      <c r="U26" s="216"/>
      <c r="V26" s="216"/>
      <c r="W26" s="216"/>
      <c r="X26" s="268">
        <v>3</v>
      </c>
      <c r="Y26" s="276" t="str">
        <f t="shared" si="5"/>
        <v>Others</v>
      </c>
      <c r="Z26" s="277"/>
      <c r="AA26" s="760">
        <f t="shared" si="6"/>
        <v>0.6</v>
      </c>
      <c r="AC26" s="216"/>
      <c r="AE26" s="268">
        <v>3</v>
      </c>
      <c r="AF26" s="276"/>
      <c r="AG26" s="277"/>
      <c r="AH26" s="760"/>
    </row>
    <row r="27" spans="2:34" ht="18" outlineLevel="1">
      <c r="B27" s="216"/>
      <c r="C27" s="216"/>
      <c r="D27" s="272"/>
      <c r="E27" s="272"/>
      <c r="F27" s="272"/>
      <c r="G27" s="272"/>
      <c r="H27" s="272"/>
      <c r="I27" s="279">
        <v>4</v>
      </c>
      <c r="J27" s="276" t="str">
        <f t="shared" si="1"/>
        <v>X-badges TP</v>
      </c>
      <c r="K27" s="277"/>
      <c r="L27" s="277"/>
      <c r="M27" s="736">
        <f t="shared" si="2"/>
        <v>-0.344241611</v>
      </c>
      <c r="N27" s="216"/>
      <c r="P27" s="279">
        <v>4</v>
      </c>
      <c r="Q27" s="824" t="str">
        <f t="shared" si="3"/>
        <v>UED</v>
      </c>
      <c r="R27" s="277"/>
      <c r="S27" s="876">
        <f t="shared" si="4"/>
        <v>10.481251822167687</v>
      </c>
      <c r="T27" s="216"/>
      <c r="U27" s="216"/>
      <c r="V27" s="216"/>
      <c r="W27" s="216"/>
      <c r="X27" s="268">
        <v>4</v>
      </c>
      <c r="Y27" s="276" t="str">
        <f t="shared" si="5"/>
        <v>NAE</v>
      </c>
      <c r="Z27" s="277"/>
      <c r="AA27" s="760">
        <f t="shared" si="6"/>
        <v>4.6098215069599977E-2</v>
      </c>
      <c r="AC27" s="216"/>
      <c r="AE27" s="268">
        <v>4</v>
      </c>
      <c r="AF27" s="276"/>
      <c r="AG27" s="277"/>
      <c r="AH27" s="760"/>
    </row>
    <row r="28" spans="2:34" ht="18" outlineLevel="1">
      <c r="B28" s="216"/>
      <c r="C28" s="272"/>
      <c r="D28" s="216"/>
      <c r="E28" s="216"/>
      <c r="F28" s="216"/>
      <c r="G28" s="216"/>
      <c r="H28" s="216"/>
      <c r="I28" s="279">
        <v>5</v>
      </c>
      <c r="J28" s="276" t="str">
        <f t="shared" si="1"/>
        <v>Duties for CBUs</v>
      </c>
      <c r="K28" s="277"/>
      <c r="L28" s="277"/>
      <c r="M28" s="736">
        <f t="shared" si="2"/>
        <v>0.16001226199999999</v>
      </c>
      <c r="N28" s="216"/>
      <c r="P28" s="279">
        <v>5</v>
      </c>
      <c r="Q28" s="824" t="str">
        <f t="shared" si="3"/>
        <v>UP</v>
      </c>
      <c r="R28" s="277"/>
      <c r="S28" s="876">
        <f t="shared" si="4"/>
        <v>-25.535316775831497</v>
      </c>
      <c r="T28" s="216"/>
      <c r="U28" s="216"/>
      <c r="V28" s="216"/>
      <c r="W28" s="216"/>
      <c r="X28" s="282">
        <v>5</v>
      </c>
      <c r="Y28" s="283" t="s">
        <v>182</v>
      </c>
      <c r="Z28" s="284"/>
      <c r="AA28" s="820">
        <f>AA23-SUM(AA24:AA27)</f>
        <v>-96.190063286514601</v>
      </c>
      <c r="AC28" s="216"/>
      <c r="AE28" s="282">
        <v>5</v>
      </c>
      <c r="AF28" s="283" t="s">
        <v>182</v>
      </c>
      <c r="AG28" s="284"/>
      <c r="AH28" s="820">
        <f>AH23-SUM(AH24:AH27)</f>
        <v>0.89239034783163917</v>
      </c>
    </row>
    <row r="29" spans="2:34" ht="18" outlineLevel="1">
      <c r="B29" s="216"/>
      <c r="C29" s="272"/>
      <c r="D29" s="216"/>
      <c r="E29" s="216"/>
      <c r="F29" s="216"/>
      <c r="G29" s="216"/>
      <c r="H29" s="216"/>
      <c r="I29" s="279">
        <v>6</v>
      </c>
      <c r="J29" s="276" t="str">
        <f t="shared" si="1"/>
        <v>Outbound logistics</v>
      </c>
      <c r="K29" s="277"/>
      <c r="L29" s="277"/>
      <c r="M29" s="736">
        <f t="shared" si="2"/>
        <v>-0.83402153400000001</v>
      </c>
      <c r="N29" s="216"/>
      <c r="P29" s="279">
        <v>6</v>
      </c>
      <c r="Q29" s="824" t="str">
        <f t="shared" si="3"/>
        <v>Energy</v>
      </c>
      <c r="R29" s="277"/>
      <c r="S29" s="876">
        <f t="shared" si="4"/>
        <v>0.21571725327379199</v>
      </c>
      <c r="T29" s="216"/>
      <c r="U29" s="216"/>
      <c r="V29" s="216"/>
      <c r="W29" s="216"/>
      <c r="X29" s="216"/>
      <c r="Y29" s="216"/>
      <c r="Z29" s="216"/>
      <c r="AA29" s="286">
        <f>AA28-AA70</f>
        <v>0</v>
      </c>
      <c r="AC29" s="216"/>
      <c r="AD29" s="216"/>
      <c r="AE29" s="216"/>
      <c r="AF29" s="216"/>
      <c r="AG29" s="287"/>
      <c r="AH29" s="286">
        <f>AH28-AH70</f>
        <v>-0.28792599005160524</v>
      </c>
    </row>
    <row r="30" spans="2:34" ht="18" outlineLevel="1">
      <c r="B30" s="216"/>
      <c r="C30" s="272"/>
      <c r="D30" s="272"/>
      <c r="E30" s="216"/>
      <c r="F30" s="216"/>
      <c r="G30" s="216"/>
      <c r="H30" s="216"/>
      <c r="I30" s="279">
        <v>7</v>
      </c>
      <c r="J30" s="276"/>
      <c r="K30" s="277"/>
      <c r="L30" s="277"/>
      <c r="M30" s="736"/>
      <c r="N30" s="216"/>
      <c r="P30" s="279">
        <v>7</v>
      </c>
      <c r="Q30" s="824" t="str">
        <f t="shared" si="3"/>
        <v>CAFÉ</v>
      </c>
      <c r="R30" s="277"/>
      <c r="S30" s="876">
        <f t="shared" si="4"/>
        <v>10.715432065000002</v>
      </c>
      <c r="T30" s="216"/>
      <c r="U30" s="216"/>
      <c r="V30" s="216"/>
      <c r="W30" s="216"/>
      <c r="X30" s="216"/>
      <c r="Y30" s="216"/>
      <c r="Z30" s="216"/>
      <c r="AA30" s="216"/>
      <c r="AB30" s="216"/>
      <c r="AC30" s="216"/>
      <c r="AD30" s="216"/>
      <c r="AE30" s="216"/>
      <c r="AF30" s="216"/>
      <c r="AG30" s="216"/>
      <c r="AH30" s="216"/>
    </row>
    <row r="31" spans="2:34" ht="18" outlineLevel="1">
      <c r="B31" s="216"/>
      <c r="C31" s="291"/>
      <c r="D31" s="216"/>
      <c r="E31" s="216"/>
      <c r="F31" s="292" t="s">
        <v>189</v>
      </c>
      <c r="G31" s="216"/>
      <c r="H31" s="216"/>
      <c r="I31" s="279">
        <v>8</v>
      </c>
      <c r="J31" s="276"/>
      <c r="K31" s="277"/>
      <c r="L31" s="277"/>
      <c r="M31" s="736"/>
      <c r="N31" s="216"/>
      <c r="P31" s="279">
        <v>8</v>
      </c>
      <c r="Q31" s="824" t="str">
        <f t="shared" si="3"/>
        <v>NANO</v>
      </c>
      <c r="R31" s="277"/>
      <c r="S31" s="876">
        <f t="shared" si="4"/>
        <v>-0.3</v>
      </c>
      <c r="T31" s="216"/>
      <c r="U31" s="216"/>
      <c r="V31" s="216"/>
      <c r="W31" s="216"/>
      <c r="X31" s="216"/>
      <c r="Y31" s="216"/>
      <c r="Z31" s="216"/>
      <c r="AA31" s="216"/>
      <c r="AB31" s="216"/>
      <c r="AC31" s="216"/>
      <c r="AD31" s="216"/>
      <c r="AE31" s="216"/>
      <c r="AF31" s="216"/>
      <c r="AG31" s="216"/>
      <c r="AH31" s="216"/>
    </row>
    <row r="32" spans="2:34" ht="18" outlineLevel="1">
      <c r="B32" s="216"/>
      <c r="C32" s="720"/>
      <c r="D32" s="798" t="s">
        <v>63</v>
      </c>
      <c r="E32" s="798" t="s">
        <v>287</v>
      </c>
      <c r="F32" s="798" t="s">
        <v>190</v>
      </c>
      <c r="G32" s="216"/>
      <c r="H32" s="216"/>
      <c r="I32" s="288">
        <v>9</v>
      </c>
      <c r="J32" s="289" t="s">
        <v>182</v>
      </c>
      <c r="K32" s="284"/>
      <c r="L32" s="284"/>
      <c r="M32" s="761">
        <f>M23-SUM(M24:M31)</f>
        <v>-15.346128382273021</v>
      </c>
      <c r="N32" s="216"/>
      <c r="P32" s="279">
        <v>9</v>
      </c>
      <c r="Q32" s="824" t="str">
        <f t="shared" si="3"/>
        <v>VAT</v>
      </c>
      <c r="R32" s="277"/>
      <c r="S32" s="877">
        <f t="shared" si="4"/>
        <v>-0.3</v>
      </c>
      <c r="T32" s="216"/>
      <c r="U32" s="272"/>
      <c r="V32" s="272"/>
      <c r="W32" s="272"/>
      <c r="X32" s="216"/>
      <c r="Y32" s="216"/>
      <c r="Z32" s="216"/>
      <c r="AA32" s="216"/>
      <c r="AB32" s="216"/>
      <c r="AC32" s="216"/>
      <c r="AD32" s="216"/>
      <c r="AE32" s="216"/>
      <c r="AF32" s="216"/>
      <c r="AG32" s="216"/>
      <c r="AH32" s="216"/>
    </row>
    <row r="33" spans="2:34" ht="20.25" outlineLevel="1">
      <c r="B33" s="216"/>
      <c r="C33" s="799" t="s">
        <v>192</v>
      </c>
      <c r="D33" s="800">
        <f>'[14]P&amp;L vs BP'!$CH$24</f>
        <v>30055</v>
      </c>
      <c r="E33" s="800">
        <f>'[14]P&amp;L vs BP'!$CG$24</f>
        <v>28886</v>
      </c>
      <c r="F33" s="800">
        <f>E33-D33</f>
        <v>-1169</v>
      </c>
      <c r="G33" s="216"/>
      <c r="H33" s="216"/>
      <c r="I33" s="216"/>
      <c r="J33" s="216"/>
      <c r="K33" s="216"/>
      <c r="L33" s="216"/>
      <c r="M33" s="286">
        <f>M32-M74</f>
        <v>0</v>
      </c>
      <c r="N33" s="216"/>
      <c r="P33" s="288">
        <v>10</v>
      </c>
      <c r="Q33" s="827" t="s">
        <v>182</v>
      </c>
      <c r="R33" s="828"/>
      <c r="S33" s="878">
        <f>S23-SUM(S24:S32)</f>
        <v>19.303277251484708</v>
      </c>
      <c r="T33" s="216"/>
      <c r="U33" s="216"/>
      <c r="V33" s="216"/>
      <c r="W33" s="216"/>
      <c r="X33" s="297"/>
      <c r="Y33" s="216"/>
      <c r="Z33" s="216"/>
      <c r="AA33" s="216"/>
      <c r="AB33" s="216"/>
      <c r="AC33" s="216"/>
      <c r="AD33" s="216"/>
      <c r="AE33" s="216"/>
      <c r="AF33" s="216"/>
      <c r="AG33" s="216"/>
      <c r="AH33" s="216"/>
    </row>
    <row r="34" spans="2:34" ht="20.25" outlineLevel="1">
      <c r="B34" s="216"/>
      <c r="C34" s="799" t="s">
        <v>194</v>
      </c>
      <c r="D34" s="800">
        <f>'[14]P&amp;L vs BP'!$CH$27</f>
        <v>981</v>
      </c>
      <c r="E34" s="800">
        <f>'[14]P&amp;L vs BP'!$CG$27</f>
        <v>349</v>
      </c>
      <c r="F34" s="800">
        <f>E34-D34</f>
        <v>-632</v>
      </c>
      <c r="G34" s="216"/>
      <c r="H34" s="216"/>
      <c r="I34" s="216"/>
      <c r="J34" s="216"/>
      <c r="K34" s="216"/>
      <c r="L34" s="216"/>
      <c r="M34" s="216"/>
      <c r="N34" s="216"/>
      <c r="O34" s="216"/>
      <c r="P34" s="216"/>
      <c r="Q34" s="216"/>
      <c r="R34" s="216"/>
      <c r="S34" s="286">
        <f>S33-S75</f>
        <v>-0.30824439638061563</v>
      </c>
      <c r="T34" s="216"/>
      <c r="U34" s="216"/>
      <c r="V34" s="216"/>
      <c r="W34" s="216"/>
      <c r="X34" s="216"/>
      <c r="Y34" s="216"/>
      <c r="Z34" s="216"/>
      <c r="AA34" s="216"/>
      <c r="AB34" s="216"/>
      <c r="AC34" s="216"/>
      <c r="AD34" s="216"/>
      <c r="AE34" s="216"/>
      <c r="AF34" s="216"/>
      <c r="AG34" s="216"/>
      <c r="AH34" s="216"/>
    </row>
    <row r="35" spans="2:34" outlineLevel="1">
      <c r="B35" s="216"/>
      <c r="C35" s="720"/>
      <c r="D35" s="840"/>
      <c r="E35" s="840"/>
      <c r="F35" s="840"/>
      <c r="G35" s="216"/>
      <c r="H35" s="216"/>
      <c r="I35" s="216"/>
      <c r="J35" s="216"/>
      <c r="K35" s="216"/>
      <c r="L35" s="216"/>
      <c r="M35" s="216"/>
      <c r="N35" s="216"/>
      <c r="T35" s="216"/>
      <c r="U35" s="216"/>
      <c r="V35" s="216"/>
      <c r="W35" s="216"/>
      <c r="X35" s="216"/>
      <c r="Y35" s="216"/>
      <c r="Z35" s="216"/>
      <c r="AA35" s="216"/>
      <c r="AB35" s="216"/>
      <c r="AC35" s="216"/>
      <c r="AD35" s="216"/>
      <c r="AE35" s="216"/>
      <c r="AF35" s="216"/>
      <c r="AG35" s="216"/>
      <c r="AH35" s="216"/>
    </row>
    <row r="36" spans="2:34" ht="20.25" outlineLevel="1">
      <c r="B36" s="216"/>
      <c r="C36" s="799" t="s">
        <v>196</v>
      </c>
      <c r="D36" s="800">
        <f>'[14]P&amp;L vs BP'!$CH$18</f>
        <v>26715</v>
      </c>
      <c r="E36" s="800">
        <f>'[14]P&amp;L vs BP'!$CG$18</f>
        <v>25464</v>
      </c>
      <c r="F36" s="800">
        <f>E36-D36</f>
        <v>-1251</v>
      </c>
      <c r="G36" s="216"/>
      <c r="H36" s="216"/>
      <c r="I36" s="216"/>
      <c r="J36" s="216"/>
      <c r="K36" s="216"/>
      <c r="L36" s="216"/>
      <c r="M36" s="216"/>
      <c r="N36" s="216"/>
      <c r="T36" s="216"/>
      <c r="U36" s="216"/>
      <c r="V36" s="216"/>
      <c r="W36" s="216"/>
      <c r="X36" s="216"/>
      <c r="Y36" s="216"/>
      <c r="Z36" s="216"/>
      <c r="AA36" s="216"/>
      <c r="AB36" s="216"/>
      <c r="AC36" s="216"/>
      <c r="AD36" s="216"/>
      <c r="AE36" s="216"/>
      <c r="AF36" s="216"/>
      <c r="AG36" s="216"/>
      <c r="AH36" s="216"/>
    </row>
    <row r="37" spans="2:34" outlineLevel="1">
      <c r="B37" s="216"/>
      <c r="C37" s="216"/>
      <c r="D37" s="216"/>
      <c r="E37" s="216"/>
      <c r="F37" s="216"/>
      <c r="G37" s="216"/>
      <c r="H37" s="216"/>
      <c r="I37" s="216"/>
      <c r="J37" s="216"/>
      <c r="K37" s="216"/>
      <c r="L37" s="216"/>
      <c r="M37" s="216"/>
      <c r="N37" s="216"/>
      <c r="T37" s="216"/>
      <c r="U37" s="216"/>
      <c r="V37" s="216"/>
      <c r="W37" s="216"/>
      <c r="X37" s="216"/>
      <c r="Y37" s="216"/>
      <c r="Z37" s="216"/>
      <c r="AA37" s="216"/>
      <c r="AB37" s="216"/>
      <c r="AC37" s="216"/>
      <c r="AD37" s="216"/>
      <c r="AE37" s="216"/>
      <c r="AF37" s="216"/>
      <c r="AG37" s="216"/>
      <c r="AH37" s="216"/>
    </row>
    <row r="38" spans="2:34" outlineLevel="1">
      <c r="B38" s="216"/>
      <c r="C38" s="216"/>
      <c r="D38" s="216"/>
      <c r="E38" s="216"/>
      <c r="F38" s="216"/>
      <c r="G38" s="216"/>
      <c r="H38" s="216"/>
      <c r="I38" s="216"/>
      <c r="J38" s="216"/>
      <c r="K38" s="216"/>
      <c r="L38" s="216"/>
      <c r="M38" s="216"/>
      <c r="N38" s="216"/>
      <c r="T38" s="216"/>
      <c r="U38" s="216"/>
      <c r="V38" s="216"/>
      <c r="W38" s="216"/>
      <c r="X38" s="216"/>
      <c r="Y38" s="216"/>
      <c r="Z38" s="216"/>
      <c r="AA38" s="216"/>
      <c r="AB38" s="216"/>
      <c r="AC38" s="216"/>
      <c r="AD38" s="216"/>
      <c r="AE38" s="216"/>
      <c r="AF38" s="216"/>
      <c r="AG38" s="216"/>
      <c r="AH38" s="216"/>
    </row>
    <row r="39" spans="2:34">
      <c r="B39" s="216"/>
      <c r="C39" s="216"/>
      <c r="D39" s="216"/>
      <c r="E39" s="216"/>
      <c r="F39" s="216"/>
      <c r="G39" s="216"/>
      <c r="H39" s="216"/>
      <c r="I39" s="216"/>
      <c r="J39" s="216"/>
      <c r="K39" s="216"/>
      <c r="L39" s="216"/>
      <c r="M39" s="216"/>
      <c r="N39" s="216"/>
      <c r="T39" s="216"/>
      <c r="U39" s="216"/>
      <c r="V39" s="216"/>
      <c r="W39" s="216"/>
      <c r="X39" s="216"/>
      <c r="Y39" s="216"/>
      <c r="Z39" s="216"/>
      <c r="AA39" s="216"/>
      <c r="AB39" s="216"/>
      <c r="AC39" s="216"/>
      <c r="AD39" s="216"/>
      <c r="AE39" s="216"/>
      <c r="AF39" s="216"/>
      <c r="AG39" s="216"/>
      <c r="AH39" s="216"/>
    </row>
    <row r="40" spans="2:34">
      <c r="B40" s="216"/>
      <c r="C40" s="216"/>
      <c r="D40" s="216"/>
      <c r="E40" s="216"/>
      <c r="F40" s="216"/>
      <c r="G40" s="216"/>
      <c r="H40" s="216"/>
      <c r="I40" s="216"/>
      <c r="J40" s="216"/>
      <c r="K40" s="216"/>
      <c r="L40" s="216"/>
      <c r="M40" s="216"/>
      <c r="N40" s="216"/>
      <c r="T40" s="216"/>
      <c r="U40" s="216"/>
      <c r="V40" s="216"/>
      <c r="W40" s="216"/>
      <c r="X40" s="216"/>
      <c r="Y40" s="216"/>
      <c r="Z40" s="216"/>
      <c r="AA40" s="216"/>
      <c r="AB40" s="216"/>
      <c r="AC40" s="216"/>
      <c r="AD40" s="216"/>
      <c r="AE40" s="216"/>
      <c r="AF40" s="216"/>
      <c r="AG40" s="216"/>
      <c r="AH40" s="216"/>
    </row>
    <row r="41" spans="2:34">
      <c r="B41" s="216"/>
      <c r="C41" s="216"/>
      <c r="D41" s="216"/>
      <c r="E41" s="216"/>
      <c r="F41" s="216"/>
      <c r="G41" s="216"/>
      <c r="H41" s="216"/>
      <c r="I41" s="216"/>
      <c r="J41" s="216"/>
      <c r="K41" s="216"/>
      <c r="L41" s="216"/>
      <c r="M41" s="216"/>
      <c r="N41" s="216"/>
      <c r="T41" s="216"/>
      <c r="U41" s="216"/>
      <c r="V41" s="216"/>
      <c r="W41" s="216"/>
      <c r="X41" s="216"/>
      <c r="Y41" s="216"/>
      <c r="Z41" s="216"/>
      <c r="AA41" s="216"/>
      <c r="AB41" s="216"/>
      <c r="AC41" s="216"/>
      <c r="AD41" s="216"/>
      <c r="AE41" s="216"/>
      <c r="AF41" s="216"/>
      <c r="AG41" s="216"/>
      <c r="AH41" s="216"/>
    </row>
    <row r="42" spans="2:34">
      <c r="B42" s="216"/>
      <c r="C42" s="216"/>
      <c r="D42" s="216"/>
      <c r="E42" s="216"/>
      <c r="F42" s="216"/>
      <c r="G42" s="216"/>
      <c r="H42" s="216"/>
      <c r="I42" s="216"/>
      <c r="J42" s="216"/>
      <c r="K42" s="216"/>
      <c r="L42" s="216"/>
      <c r="M42" s="216"/>
      <c r="N42" s="216"/>
      <c r="T42" s="216"/>
      <c r="U42" s="216"/>
      <c r="V42" s="216"/>
      <c r="W42" s="216"/>
      <c r="X42" s="216"/>
      <c r="Y42" s="216"/>
      <c r="Z42" s="216"/>
      <c r="AA42" s="216"/>
      <c r="AB42" s="216"/>
      <c r="AC42" s="216"/>
      <c r="AD42" s="216"/>
      <c r="AE42" s="216"/>
      <c r="AF42" s="216"/>
      <c r="AG42" s="216"/>
      <c r="AH42" s="216"/>
    </row>
    <row r="43" spans="2:34">
      <c r="B43" s="216"/>
      <c r="C43" s="216"/>
      <c r="D43" s="216"/>
      <c r="E43" s="216"/>
      <c r="F43" s="216"/>
      <c r="G43" s="216"/>
      <c r="H43" s="216"/>
      <c r="I43" s="216"/>
      <c r="J43" s="216"/>
      <c r="K43" s="216"/>
      <c r="L43" s="216"/>
      <c r="M43" s="216"/>
      <c r="N43" s="216"/>
      <c r="T43" s="286"/>
      <c r="U43" s="216"/>
      <c r="V43" s="216"/>
      <c r="W43" s="216"/>
      <c r="X43" s="216"/>
      <c r="Y43" s="216"/>
      <c r="Z43" s="216"/>
      <c r="AA43" s="216"/>
      <c r="AB43" s="216"/>
      <c r="AC43" s="216"/>
      <c r="AD43" s="216"/>
      <c r="AE43" s="216"/>
      <c r="AF43" s="216"/>
      <c r="AG43" s="216"/>
      <c r="AH43" s="216"/>
    </row>
    <row r="44" spans="2:34" ht="28.5">
      <c r="B44" s="299" t="s">
        <v>197</v>
      </c>
      <c r="C44" s="216"/>
      <c r="D44" s="216"/>
      <c r="E44" s="216"/>
      <c r="F44" s="216"/>
      <c r="G44" s="216"/>
      <c r="H44" s="216"/>
      <c r="I44" s="216"/>
      <c r="J44" s="216"/>
      <c r="K44" s="216"/>
      <c r="L44" s="216"/>
      <c r="M44" s="216"/>
      <c r="N44" s="216"/>
      <c r="O44" s="216"/>
      <c r="P44" s="216"/>
      <c r="Q44" s="216"/>
      <c r="R44" s="216"/>
      <c r="S44" s="216"/>
      <c r="T44" s="216"/>
      <c r="U44" s="216"/>
      <c r="V44" s="216"/>
      <c r="W44" s="216"/>
      <c r="X44" s="216"/>
      <c r="Y44" s="216"/>
      <c r="Z44" s="216"/>
      <c r="AA44" s="216"/>
      <c r="AB44" s="216"/>
      <c r="AC44" s="216"/>
      <c r="AD44" s="216"/>
      <c r="AE44" s="216"/>
      <c r="AF44" s="216"/>
      <c r="AG44" s="216"/>
      <c r="AH44" s="216"/>
    </row>
    <row r="45" spans="2:34">
      <c r="B45" s="216"/>
      <c r="C45" s="216"/>
      <c r="D45" s="216"/>
      <c r="E45" s="216"/>
      <c r="F45" s="216"/>
      <c r="G45" s="216"/>
      <c r="H45" s="216"/>
      <c r="I45" s="216"/>
      <c r="J45" s="216"/>
      <c r="K45" s="216"/>
      <c r="L45" s="216"/>
      <c r="M45" s="216"/>
      <c r="N45" s="216"/>
      <c r="O45" s="216"/>
      <c r="P45" s="216"/>
      <c r="Q45" s="216"/>
      <c r="R45" s="216"/>
      <c r="S45" s="216"/>
      <c r="T45" s="216"/>
      <c r="U45" s="216"/>
      <c r="V45" s="216"/>
      <c r="W45" s="216"/>
      <c r="X45" s="216"/>
      <c r="Y45" s="216"/>
      <c r="Z45" s="216"/>
      <c r="AA45" s="216"/>
      <c r="AB45" s="216"/>
      <c r="AC45" s="216"/>
      <c r="AD45" s="216"/>
      <c r="AE45" s="216"/>
      <c r="AF45" s="216"/>
      <c r="AG45" s="216"/>
      <c r="AH45" s="216"/>
    </row>
    <row r="46" spans="2:34">
      <c r="B46" s="216"/>
      <c r="C46" s="216"/>
      <c r="D46" s="216"/>
      <c r="E46" s="216"/>
      <c r="F46" s="216"/>
      <c r="G46" s="216"/>
      <c r="H46" s="216"/>
      <c r="I46" s="216"/>
      <c r="J46" s="216"/>
      <c r="K46" s="216"/>
      <c r="L46" s="216"/>
      <c r="M46" s="216"/>
      <c r="N46" s="216"/>
      <c r="O46" s="216"/>
      <c r="P46" s="216"/>
      <c r="Q46" s="216"/>
      <c r="R46" s="216"/>
      <c r="S46" s="216"/>
      <c r="T46" s="216"/>
      <c r="U46" s="216"/>
      <c r="V46" s="216"/>
      <c r="W46" s="216"/>
      <c r="X46" s="216"/>
      <c r="Y46" s="216"/>
      <c r="Z46" s="216"/>
      <c r="AA46" s="216"/>
      <c r="AB46" s="216"/>
      <c r="AC46" s="216"/>
      <c r="AD46" s="216"/>
      <c r="AE46" s="216"/>
      <c r="AF46" s="216"/>
      <c r="AG46" s="216"/>
      <c r="AH46" s="216"/>
    </row>
    <row r="47" spans="2:34" ht="20.25">
      <c r="B47" s="216"/>
      <c r="C47" s="226" t="str">
        <f>B52</f>
        <v>FC MTD</v>
      </c>
      <c r="D47" s="226" t="str">
        <f>C52</f>
        <v>Act MTD</v>
      </c>
      <c r="E47" s="226" t="s">
        <v>320</v>
      </c>
      <c r="F47" s="226" t="s">
        <v>321</v>
      </c>
      <c r="G47" s="226" t="s">
        <v>322</v>
      </c>
      <c r="H47" s="797" t="s">
        <v>323</v>
      </c>
      <c r="I47" s="216"/>
      <c r="J47" s="216"/>
      <c r="K47" s="216"/>
      <c r="L47" s="216"/>
      <c r="M47" s="216"/>
      <c r="N47" s="216"/>
      <c r="O47" s="216"/>
      <c r="P47" s="216"/>
      <c r="Q47" s="216"/>
      <c r="R47" s="216"/>
      <c r="S47" s="216"/>
      <c r="T47" s="216"/>
      <c r="U47" s="216"/>
      <c r="V47" s="216"/>
      <c r="W47" s="216"/>
      <c r="X47" s="216"/>
      <c r="Y47" s="216"/>
      <c r="Z47" s="216"/>
      <c r="AA47" s="216"/>
      <c r="AB47" s="216"/>
      <c r="AC47" s="216"/>
      <c r="AD47" s="216"/>
      <c r="AE47" s="216"/>
      <c r="AF47" s="216"/>
      <c r="AG47" s="216"/>
      <c r="AH47" s="216"/>
    </row>
    <row r="48" spans="2:34" ht="20.25">
      <c r="B48" s="226" t="s">
        <v>324</v>
      </c>
      <c r="C48" s="809">
        <f>'Summary month'!AX27</f>
        <v>86.083619587646751</v>
      </c>
      <c r="D48" s="809">
        <f>'Summary month'!F27</f>
        <v>86.083619587646751</v>
      </c>
      <c r="E48" s="806">
        <f>+D48-C48</f>
        <v>0</v>
      </c>
      <c r="F48" s="806">
        <f>B61</f>
        <v>4.1238811007114355</v>
      </c>
      <c r="G48" s="806">
        <f>SUM(C61:S61)</f>
        <v>-4.1238811007114355</v>
      </c>
      <c r="H48" s="803">
        <f>E48-F48-G48</f>
        <v>0</v>
      </c>
      <c r="I48" s="216"/>
      <c r="J48" s="216"/>
      <c r="K48" s="216"/>
      <c r="L48" s="216"/>
      <c r="M48" s="216"/>
      <c r="N48" s="216"/>
      <c r="O48" s="216"/>
      <c r="P48" s="216"/>
      <c r="Q48" s="216"/>
      <c r="R48" s="216"/>
      <c r="S48" s="216"/>
      <c r="T48" s="216"/>
      <c r="U48" s="216"/>
      <c r="V48" s="216"/>
      <c r="W48" s="216"/>
      <c r="X48" s="216"/>
      <c r="Y48" s="216"/>
      <c r="Z48" s="216"/>
      <c r="AA48" s="216"/>
      <c r="AB48" s="216"/>
      <c r="AC48" s="216"/>
      <c r="AD48" s="216"/>
      <c r="AE48" s="216"/>
      <c r="AF48" s="216"/>
      <c r="AG48" s="216"/>
      <c r="AH48" s="216"/>
    </row>
    <row r="49" spans="2:34" ht="20.25">
      <c r="B49" s="226" t="s">
        <v>325</v>
      </c>
      <c r="C49" s="809">
        <f>'Summary month'!AX46</f>
        <v>-128.47130442265512</v>
      </c>
      <c r="D49" s="809">
        <f>'Summary month'!F46</f>
        <v>-128.47130442265509</v>
      </c>
      <c r="E49" s="806">
        <f>+D49-C49</f>
        <v>0</v>
      </c>
      <c r="F49" s="806">
        <f>T61</f>
        <v>0.87343555780944226</v>
      </c>
      <c r="G49" s="806">
        <f>SUM(U61:AH61)</f>
        <v>-0.87343555780941384</v>
      </c>
      <c r="H49" s="803">
        <f>E49-F49-G49</f>
        <v>-2.8421709430404007E-14</v>
      </c>
      <c r="I49" s="216"/>
      <c r="J49" s="216"/>
      <c r="K49" s="216"/>
      <c r="L49" s="216"/>
      <c r="M49" s="216"/>
      <c r="N49" s="216"/>
      <c r="O49" s="216"/>
      <c r="P49" s="216"/>
      <c r="Q49" s="216"/>
      <c r="R49" s="216"/>
      <c r="S49" s="216"/>
      <c r="T49" s="216"/>
      <c r="U49" s="216"/>
      <c r="V49" s="216"/>
      <c r="W49" s="216"/>
      <c r="X49" s="216"/>
      <c r="Y49" s="216"/>
      <c r="Z49" s="216"/>
      <c r="AA49" s="216"/>
      <c r="AB49" s="216"/>
      <c r="AC49" s="216"/>
      <c r="AD49" s="216"/>
      <c r="AE49" s="216"/>
      <c r="AF49" s="216"/>
      <c r="AG49" s="216"/>
      <c r="AH49" s="216"/>
    </row>
    <row r="50" spans="2:34" ht="20.25">
      <c r="B50" s="226" t="s">
        <v>326</v>
      </c>
      <c r="C50" s="806">
        <f>+C48+C49</f>
        <v>-42.387684835008372</v>
      </c>
      <c r="D50" s="806">
        <f>+D48+D49</f>
        <v>-42.387684835008343</v>
      </c>
      <c r="E50" s="806">
        <f>+D50-C50</f>
        <v>0</v>
      </c>
      <c r="F50" s="806">
        <f>+E50-G50</f>
        <v>4.9973166585208491</v>
      </c>
      <c r="G50" s="806">
        <f>+G48+G49</f>
        <v>-4.9973166585208491</v>
      </c>
      <c r="H50" s="803">
        <f>E50-F50-G50</f>
        <v>0</v>
      </c>
      <c r="I50" s="216"/>
      <c r="J50" s="216"/>
      <c r="K50" s="216"/>
      <c r="L50" s="216"/>
      <c r="M50" s="216"/>
      <c r="N50" s="216"/>
      <c r="O50" s="216"/>
      <c r="P50" s="216"/>
      <c r="Q50" s="216"/>
      <c r="R50" s="216"/>
      <c r="S50" s="216"/>
      <c r="T50" s="216"/>
      <c r="U50" s="216"/>
      <c r="V50" s="216"/>
      <c r="W50" s="216"/>
      <c r="X50" s="216"/>
      <c r="Y50" s="216"/>
      <c r="Z50" s="216"/>
      <c r="AA50" s="216"/>
      <c r="AB50" s="216"/>
      <c r="AC50" s="216"/>
      <c r="AD50" s="216"/>
      <c r="AE50" s="216"/>
      <c r="AF50" s="216"/>
      <c r="AG50" s="216"/>
      <c r="AH50" s="216"/>
    </row>
    <row r="51" spans="2:34" ht="18">
      <c r="B51" s="215"/>
      <c r="C51" s="216"/>
      <c r="D51" s="215"/>
      <c r="E51" s="216"/>
      <c r="F51" s="215"/>
      <c r="G51" s="217" t="s">
        <v>138</v>
      </c>
      <c r="H51" s="216"/>
      <c r="I51" s="216"/>
      <c r="J51" s="216"/>
      <c r="K51" s="216"/>
      <c r="L51" s="216"/>
      <c r="M51" s="216"/>
      <c r="N51" s="216"/>
      <c r="O51" s="216"/>
      <c r="P51" s="216"/>
      <c r="Q51" s="216"/>
      <c r="R51" s="216"/>
      <c r="S51" s="216"/>
      <c r="T51" s="216"/>
      <c r="U51" s="216"/>
      <c r="V51" s="216"/>
      <c r="W51" s="216"/>
      <c r="X51" s="216"/>
      <c r="Y51" s="216"/>
      <c r="Z51" s="216"/>
      <c r="AA51" s="216"/>
      <c r="AB51" s="216"/>
      <c r="AC51" s="216"/>
      <c r="AD51" s="216"/>
      <c r="AE51" s="216"/>
      <c r="AF51" s="216"/>
      <c r="AG51" s="216"/>
      <c r="AH51" s="216"/>
    </row>
    <row r="52" spans="2:34" ht="20.100000000000001" customHeight="1">
      <c r="B52" s="1014" t="s">
        <v>212</v>
      </c>
      <c r="C52" s="1014" t="s">
        <v>207</v>
      </c>
      <c r="D52" s="218"/>
      <c r="E52" s="219"/>
      <c r="F52" s="219"/>
      <c r="G52" s="220"/>
      <c r="H52" s="216"/>
      <c r="I52" s="216"/>
      <c r="J52" s="216"/>
      <c r="K52" s="720"/>
      <c r="L52" s="720" t="s">
        <v>301</v>
      </c>
      <c r="M52" s="721">
        <f>SUM(E55:E57,G55)</f>
        <v>4.1238811007114355</v>
      </c>
      <c r="N52" s="216"/>
      <c r="O52" s="221"/>
      <c r="P52" s="221"/>
      <c r="Q52" s="221"/>
      <c r="R52" s="216"/>
      <c r="S52" s="216"/>
      <c r="T52" s="216"/>
      <c r="U52" s="216"/>
      <c r="V52" s="216"/>
      <c r="W52" s="221"/>
      <c r="X52" s="221"/>
      <c r="Y52" s="221"/>
      <c r="Z52" s="221"/>
      <c r="AA52" s="221"/>
      <c r="AB52" s="221"/>
      <c r="AC52" s="221"/>
      <c r="AD52" s="221"/>
      <c r="AE52" s="221"/>
      <c r="AF52" s="221"/>
      <c r="AG52" s="221"/>
      <c r="AH52" s="221"/>
    </row>
    <row r="53" spans="2:34" ht="40.5">
      <c r="B53" s="1015"/>
      <c r="C53" s="1016"/>
      <c r="D53" s="222"/>
      <c r="E53" s="223" t="s">
        <v>154</v>
      </c>
      <c r="F53" s="224" t="s">
        <v>198</v>
      </c>
      <c r="G53" s="225" t="s">
        <v>156</v>
      </c>
      <c r="H53" s="720"/>
      <c r="I53" s="720" t="s">
        <v>208</v>
      </c>
      <c r="J53" s="216"/>
      <c r="K53" s="720"/>
      <c r="L53" s="720" t="s">
        <v>302</v>
      </c>
      <c r="M53" s="722">
        <f>SUM(U62:AH62,AJ66:AK66)</f>
        <v>0.87343555780944226</v>
      </c>
      <c r="N53" s="216"/>
      <c r="O53" s="216"/>
      <c r="P53" s="216"/>
      <c r="Q53" s="216"/>
      <c r="R53" s="216"/>
      <c r="S53" s="216"/>
      <c r="T53" s="216"/>
      <c r="V53" s="216"/>
      <c r="W53" s="216"/>
      <c r="X53" s="216"/>
      <c r="Y53" s="216"/>
      <c r="Z53" s="216"/>
      <c r="AA53" s="216"/>
      <c r="AB53" s="216"/>
      <c r="AC53" s="720" t="s">
        <v>266</v>
      </c>
      <c r="AD53" s="753">
        <v>98.478430065445011</v>
      </c>
      <c r="AE53" s="720" t="s">
        <v>452</v>
      </c>
      <c r="AF53" s="216"/>
      <c r="AG53" s="216"/>
      <c r="AH53" s="216"/>
    </row>
    <row r="54" spans="2:34" ht="20.25">
      <c r="B54" s="806">
        <f>'Summary month'!AX47</f>
        <v>-42.387684835008372</v>
      </c>
      <c r="C54" s="806">
        <f>'Summary month'!F47</f>
        <v>-42.387684835008343</v>
      </c>
      <c r="D54" s="807">
        <f>C54-B54</f>
        <v>0</v>
      </c>
      <c r="E54" s="228">
        <f>SUM(M52:M53)</f>
        <v>4.9973166585208775</v>
      </c>
      <c r="F54" s="229">
        <f>'Summary month'!BB27-M52</f>
        <v>-4.1238811007114355</v>
      </c>
      <c r="G54" s="229">
        <f>'Summary month'!BB46-M53</f>
        <v>-0.87343555780941384</v>
      </c>
      <c r="H54" s="720"/>
      <c r="I54" s="709">
        <f>SUM(E54:G54)-D54</f>
        <v>2.808864252301646E-14</v>
      </c>
      <c r="J54" s="216"/>
      <c r="K54" s="216"/>
      <c r="L54" s="216"/>
      <c r="M54" s="216"/>
      <c r="N54" s="216"/>
      <c r="O54" s="230"/>
      <c r="P54" s="216"/>
      <c r="Q54" s="216"/>
      <c r="R54" s="216"/>
      <c r="S54" s="216"/>
      <c r="T54" s="216"/>
      <c r="U54" s="216"/>
      <c r="V54" s="216"/>
      <c r="W54" s="230"/>
      <c r="X54" s="216"/>
      <c r="Y54" s="230"/>
      <c r="Z54" s="230"/>
      <c r="AA54" s="230"/>
      <c r="AB54" s="230"/>
      <c r="AC54" s="727" t="s">
        <v>269</v>
      </c>
      <c r="AD54" s="753">
        <f>19/1000</f>
        <v>1.9E-2</v>
      </c>
      <c r="AE54" s="727" t="s">
        <v>451</v>
      </c>
      <c r="AF54" s="727"/>
      <c r="AG54" s="230"/>
      <c r="AH54" s="230"/>
    </row>
    <row r="55" spans="2:34">
      <c r="B55" s="216"/>
      <c r="C55" s="216"/>
      <c r="D55" s="720" t="s">
        <v>139</v>
      </c>
      <c r="E55" s="723">
        <f>'[13]CMOR_MTD_vsFC-1'!$I$154+'[13]CMOR_MTD_vsFC-1'!$I$156+'[13]CMOR_MTD_vsFC-1'!$I$168</f>
        <v>4.3308309796552953</v>
      </c>
      <c r="F55" s="720" t="s">
        <v>193</v>
      </c>
      <c r="G55" s="724">
        <f>'[13]CMOR_MTD_vsFC-1'!$I$169+'[13]CMOR_MTD_vsFC-1'!$I$157+'[13]CMOR_MTD_vsFC-1'!$I$159</f>
        <v>-4.2045664011707215E-3</v>
      </c>
      <c r="H55" s="216"/>
      <c r="I55" s="216"/>
      <c r="J55" s="216"/>
      <c r="K55" s="216"/>
      <c r="L55" s="216"/>
      <c r="M55" s="216"/>
      <c r="N55" s="216"/>
      <c r="O55" s="216"/>
      <c r="P55" s="216"/>
      <c r="Q55" s="216"/>
      <c r="R55" s="216"/>
      <c r="S55" s="216"/>
      <c r="T55" s="216"/>
      <c r="U55" s="216"/>
      <c r="V55" s="216"/>
      <c r="W55" s="720" t="s">
        <v>145</v>
      </c>
      <c r="X55" s="724">
        <f>[13]TABLE_MTD!$Z$82-Y55</f>
        <v>-0.39617250206946469</v>
      </c>
      <c r="Y55" s="720">
        <f>'[13]CMOR_MTD_vsFC-1'!$I$161</f>
        <v>0.435995207</v>
      </c>
      <c r="Z55" s="216"/>
      <c r="AA55" s="216"/>
      <c r="AB55" s="216"/>
      <c r="AC55" s="720" t="s">
        <v>141</v>
      </c>
      <c r="AD55" s="753">
        <v>0.30267393199999992</v>
      </c>
      <c r="AE55" s="720" t="s">
        <v>452</v>
      </c>
      <c r="AF55" s="720"/>
      <c r="AG55" s="216"/>
      <c r="AH55" s="216"/>
    </row>
    <row r="56" spans="2:34">
      <c r="B56" s="216"/>
      <c r="C56" s="216"/>
      <c r="D56" s="720" t="s">
        <v>200</v>
      </c>
      <c r="E56" s="723">
        <f>'[13]CMOR_MTD_vsFC-1'!$I$164+'[13]CMOR_MTD_vsFC-1'!$I$165</f>
        <v>-2.745312542688394E-3</v>
      </c>
      <c r="F56" s="216"/>
      <c r="G56" s="216"/>
      <c r="H56" s="216"/>
      <c r="I56" s="216"/>
      <c r="J56" s="216"/>
      <c r="K56" s="216"/>
      <c r="L56" s="216"/>
      <c r="M56" s="216"/>
      <c r="N56" s="216"/>
      <c r="O56" s="216"/>
      <c r="P56" s="216"/>
      <c r="Q56" s="216"/>
      <c r="R56" s="216"/>
      <c r="S56" s="216"/>
      <c r="T56" s="216"/>
      <c r="W56" s="729" t="s">
        <v>193</v>
      </c>
      <c r="X56" s="801">
        <f>[13]TABLE_MTD!$Z$78-Y56</f>
        <v>0.30400063000000005</v>
      </c>
      <c r="Y56" s="729">
        <f>'[13]CMOR_MTD_vsFC-1'!$I$158</f>
        <v>0</v>
      </c>
      <c r="AB56" s="362"/>
      <c r="AC56" s="720" t="s">
        <v>144</v>
      </c>
      <c r="AD56" s="873">
        <f>AD61-SUM(AD53:AD55)</f>
        <v>-98.800103997445021</v>
      </c>
      <c r="AE56" s="729"/>
      <c r="AF56" s="729"/>
      <c r="AH56" s="216"/>
    </row>
    <row r="57" spans="2:34" ht="21" thickBot="1">
      <c r="B57" s="231" t="s">
        <v>157</v>
      </c>
      <c r="C57" s="232"/>
      <c r="D57" s="725" t="s">
        <v>145</v>
      </c>
      <c r="E57" s="726">
        <f>'[13]CMOR_MTD_vsFC-1'!$I$160+'[13]CMOR_MTD_vsFC-1'!$I$162+'[13]CMOR_MTD_vsFC-1'!$I$170</f>
        <v>-0.2</v>
      </c>
      <c r="F57" s="232"/>
      <c r="G57" s="232"/>
      <c r="H57" s="232"/>
      <c r="I57" s="232"/>
      <c r="J57" s="232"/>
      <c r="K57" s="232"/>
      <c r="L57" s="232"/>
      <c r="M57" s="232"/>
      <c r="N57" s="232"/>
      <c r="O57" s="232"/>
      <c r="P57" s="232"/>
      <c r="Q57" s="232"/>
      <c r="R57" s="232"/>
      <c r="S57" s="232"/>
      <c r="T57" s="232"/>
      <c r="U57" s="232"/>
      <c r="V57" s="232"/>
      <c r="W57" s="725" t="s">
        <v>144</v>
      </c>
      <c r="X57" s="802">
        <f>X61-SUM(X55:X56)</f>
        <v>-0.34382333493053535</v>
      </c>
      <c r="Y57" s="232"/>
      <c r="Z57" s="232"/>
      <c r="AA57" s="232"/>
      <c r="AB57" s="232"/>
      <c r="AC57" s="232"/>
      <c r="AD57" s="232"/>
      <c r="AE57" s="232"/>
      <c r="AF57" s="232"/>
      <c r="AG57" s="232"/>
      <c r="AH57" s="217" t="s">
        <v>138</v>
      </c>
    </row>
    <row r="58" spans="2:34" ht="21" thickBot="1">
      <c r="B58" s="233"/>
      <c r="C58" s="234" t="s">
        <v>199</v>
      </c>
      <c r="D58" s="234"/>
      <c r="E58" s="234"/>
      <c r="F58" s="234"/>
      <c r="G58" s="234"/>
      <c r="H58" s="234"/>
      <c r="I58" s="234"/>
      <c r="J58" s="234"/>
      <c r="K58" s="234"/>
      <c r="L58" s="234"/>
      <c r="M58" s="234"/>
      <c r="N58" s="234"/>
      <c r="O58" s="234"/>
      <c r="P58" s="234"/>
      <c r="Q58" s="234"/>
      <c r="R58" s="234"/>
      <c r="S58" s="235"/>
      <c r="T58" s="236"/>
      <c r="U58" s="237" t="s">
        <v>160</v>
      </c>
      <c r="V58" s="237"/>
      <c r="W58" s="237"/>
      <c r="X58" s="237"/>
      <c r="Y58" s="237"/>
      <c r="Z58" s="237"/>
      <c r="AA58" s="237"/>
      <c r="AB58" s="237"/>
      <c r="AC58" s="237"/>
      <c r="AD58" s="237"/>
      <c r="AE58" s="237"/>
      <c r="AF58" s="237"/>
      <c r="AG58" s="237"/>
      <c r="AH58" s="238"/>
    </row>
    <row r="59" spans="2:34" ht="20.25">
      <c r="B59" s="1027" t="s">
        <v>274</v>
      </c>
      <c r="C59" s="239" t="s">
        <v>161</v>
      </c>
      <c r="D59" s="240"/>
      <c r="E59" s="240"/>
      <c r="F59" s="240"/>
      <c r="G59" s="241"/>
      <c r="H59" s="1017" t="s">
        <v>162</v>
      </c>
      <c r="I59" s="242" t="s">
        <v>163</v>
      </c>
      <c r="J59" s="243"/>
      <c r="K59" s="243"/>
      <c r="L59" s="243"/>
      <c r="M59" s="243"/>
      <c r="N59" s="244"/>
      <c r="O59" s="1029" t="s">
        <v>164</v>
      </c>
      <c r="P59" s="1029" t="s">
        <v>165</v>
      </c>
      <c r="Q59" s="1019" t="s">
        <v>166</v>
      </c>
      <c r="R59" s="1022" t="s">
        <v>167</v>
      </c>
      <c r="S59" s="1023" t="s">
        <v>168</v>
      </c>
      <c r="T59" s="1027" t="s">
        <v>274</v>
      </c>
      <c r="U59" s="245" t="s">
        <v>169</v>
      </c>
      <c r="V59" s="246"/>
      <c r="W59" s="246"/>
      <c r="X59" s="247"/>
      <c r="Y59" s="248" t="s">
        <v>163</v>
      </c>
      <c r="Z59" s="246"/>
      <c r="AA59" s="246"/>
      <c r="AB59" s="246"/>
      <c r="AC59" s="246"/>
      <c r="AD59" s="247"/>
      <c r="AE59" s="1022" t="s">
        <v>166</v>
      </c>
      <c r="AF59" s="1025" t="s">
        <v>167</v>
      </c>
      <c r="AG59" s="311"/>
      <c r="AH59" s="1012" t="s">
        <v>168</v>
      </c>
    </row>
    <row r="60" spans="2:34" ht="60.75">
      <c r="B60" s="1028"/>
      <c r="C60" s="249" t="s">
        <v>170</v>
      </c>
      <c r="D60" s="300" t="s">
        <v>171</v>
      </c>
      <c r="E60" s="250" t="s">
        <v>172</v>
      </c>
      <c r="F60" s="250" t="s">
        <v>173</v>
      </c>
      <c r="G60" s="251" t="s">
        <v>174</v>
      </c>
      <c r="H60" s="1018"/>
      <c r="I60" s="250" t="s">
        <v>175</v>
      </c>
      <c r="J60" s="250" t="s">
        <v>176</v>
      </c>
      <c r="K60" s="250" t="s">
        <v>201</v>
      </c>
      <c r="L60" s="250" t="s">
        <v>178</v>
      </c>
      <c r="M60" s="250" t="s">
        <v>168</v>
      </c>
      <c r="N60" s="250" t="s">
        <v>179</v>
      </c>
      <c r="O60" s="1030"/>
      <c r="P60" s="1031"/>
      <c r="Q60" s="1021"/>
      <c r="R60" s="1021"/>
      <c r="S60" s="1024"/>
      <c r="T60" s="1028"/>
      <c r="U60" s="307" t="s">
        <v>203</v>
      </c>
      <c r="V60" s="308" t="s">
        <v>180</v>
      </c>
      <c r="W60" s="309" t="s">
        <v>181</v>
      </c>
      <c r="X60" s="310" t="s">
        <v>33</v>
      </c>
      <c r="Y60" s="305" t="s">
        <v>25</v>
      </c>
      <c r="Z60" s="306" t="s">
        <v>183</v>
      </c>
      <c r="AA60" s="306" t="s">
        <v>204</v>
      </c>
      <c r="AB60" s="306" t="s">
        <v>205</v>
      </c>
      <c r="AC60" s="306" t="s">
        <v>184</v>
      </c>
      <c r="AD60" s="306" t="s">
        <v>30</v>
      </c>
      <c r="AE60" s="1021"/>
      <c r="AF60" s="1026"/>
      <c r="AG60" s="312" t="s">
        <v>37</v>
      </c>
      <c r="AH60" s="1013"/>
    </row>
    <row r="61" spans="2:34" ht="21" thickBot="1">
      <c r="B61" s="712">
        <f>M52</f>
        <v>4.1238811007114355</v>
      </c>
      <c r="C61" s="713">
        <f>SUM('[13]CMOR_MTD_vsFC-1'!$J$22:$K$22)</f>
        <v>-2.1153300252780278</v>
      </c>
      <c r="D61" s="737"/>
      <c r="E61" s="710">
        <f>'[13]CMOR_MTD_vsFC-1'!$N$22</f>
        <v>1.7719983561794641</v>
      </c>
      <c r="F61" s="710">
        <f>SUM('[13]CMOR_MTD_vsFC-1'!$L$22:$M$22)</f>
        <v>-2.0482102605567718</v>
      </c>
      <c r="G61" s="254"/>
      <c r="H61" s="254"/>
      <c r="I61" s="710">
        <f>I63</f>
        <v>0</v>
      </c>
      <c r="J61" s="710">
        <f>J63</f>
        <v>0</v>
      </c>
      <c r="K61" s="710">
        <f>K63</f>
        <v>0</v>
      </c>
      <c r="L61" s="710">
        <f>L63</f>
        <v>0</v>
      </c>
      <c r="M61" s="710">
        <f>M63+SUM(M69:M71)</f>
        <v>-1.0182508830000001</v>
      </c>
      <c r="N61" s="303"/>
      <c r="O61" s="302"/>
      <c r="P61" s="302"/>
      <c r="Q61" s="256"/>
      <c r="R61" s="710">
        <f>'[13]CMOR_MTD_vsFC-1'!$Q$22</f>
        <v>3.8559650029907768</v>
      </c>
      <c r="S61" s="257">
        <f>F54-SUM(C61:R61)</f>
        <v>-4.570053291046877</v>
      </c>
      <c r="T61" s="713">
        <f>M53</f>
        <v>0.87343555780944226</v>
      </c>
      <c r="U61" s="713">
        <f>'Summary month'!BB36-U62</f>
        <v>-0.1</v>
      </c>
      <c r="V61" s="715">
        <f>'Summary month'!BB59-V62</f>
        <v>0</v>
      </c>
      <c r="W61" s="715"/>
      <c r="X61" s="715">
        <f>'Summary month'!BB38-X62</f>
        <v>-0.435995207</v>
      </c>
      <c r="Y61" s="715">
        <f>'Summary month'!BB29-Y62</f>
        <v>-0.38679834953841508</v>
      </c>
      <c r="Z61" s="715">
        <f>'Summary month'!BB30-Z62</f>
        <v>0.14146420922238878</v>
      </c>
      <c r="AA61" s="715">
        <f>'Summary month'!BB31-AA62</f>
        <v>0</v>
      </c>
      <c r="AB61" s="739"/>
      <c r="AC61" s="715">
        <f>'Summary month'!BB32-AC62</f>
        <v>0</v>
      </c>
      <c r="AD61" s="715">
        <f>'Summary month'!BB34</f>
        <v>0</v>
      </c>
      <c r="AE61" s="716"/>
      <c r="AF61" s="717"/>
      <c r="AG61" s="710">
        <f>'Summary month'!BB42-AG62</f>
        <v>-0.6327912104934158</v>
      </c>
      <c r="AH61" s="718">
        <f>G54-SUM(U61:AG61)</f>
        <v>0.54068500000002839</v>
      </c>
    </row>
    <row r="62" spans="2:34" ht="18">
      <c r="B62" s="216"/>
      <c r="C62" s="272"/>
      <c r="D62" s="216"/>
      <c r="E62" s="216"/>
      <c r="F62" s="216"/>
      <c r="G62" s="216"/>
      <c r="H62" s="216"/>
      <c r="I62" s="216"/>
      <c r="J62" s="216"/>
      <c r="K62" s="216"/>
      <c r="L62" s="216"/>
      <c r="M62" s="216"/>
      <c r="N62" s="216"/>
      <c r="O62" s="216"/>
      <c r="P62" s="216"/>
      <c r="Q62" s="216"/>
      <c r="R62" s="216"/>
      <c r="S62" s="216"/>
      <c r="T62" s="216"/>
      <c r="U62" s="753">
        <f>'[13]CMOR_MTD_vsFC-1'!$I$155</f>
        <v>0.1</v>
      </c>
      <c r="V62" s="286"/>
      <c r="W62" s="286"/>
      <c r="X62" s="709">
        <f>SUM(Y55:Y56)</f>
        <v>0.435995207</v>
      </c>
      <c r="Y62" s="709">
        <f>'[13]CMOR_MTD_vsFC-1'!$I$163-Z62-Z62</f>
        <v>0.38679834953841508</v>
      </c>
      <c r="Z62" s="709">
        <f>[13]VA_MZ_MTD!$X$10</f>
        <v>-0.14146420922238878</v>
      </c>
      <c r="AA62" s="286"/>
      <c r="AB62" s="286"/>
      <c r="AC62" s="868">
        <f>'[13]CMOR_MTD_vsFC-1'!$I$167</f>
        <v>0</v>
      </c>
      <c r="AD62" s="318"/>
      <c r="AE62" s="318"/>
      <c r="AF62" s="318"/>
      <c r="AG62" s="709">
        <f>'[13]CMOR_MTD_vsFC-1'!$I$166-AJ66-AK66</f>
        <v>0.6327912104934158</v>
      </c>
      <c r="AH62" s="318"/>
    </row>
    <row r="63" spans="2:34" ht="21" thickBot="1">
      <c r="B63" s="221"/>
      <c r="C63" s="319">
        <f>[13]LY_YTD!$P$148</f>
        <v>36.621150347000004</v>
      </c>
      <c r="D63" s="221"/>
      <c r="E63" s="221"/>
      <c r="F63" s="221"/>
      <c r="G63" s="221"/>
      <c r="H63" s="221"/>
      <c r="I63" s="872"/>
      <c r="J63" s="872"/>
      <c r="K63" s="872"/>
      <c r="L63" s="872"/>
      <c r="M63" s="872"/>
      <c r="N63" s="221"/>
      <c r="O63" s="221"/>
      <c r="P63" s="221"/>
      <c r="Q63" s="221"/>
      <c r="R63" s="221"/>
      <c r="S63" s="221"/>
      <c r="T63" s="221"/>
      <c r="U63" s="221"/>
      <c r="V63" s="221"/>
      <c r="W63" s="221"/>
    </row>
    <row r="64" spans="2:34" ht="18">
      <c r="B64" s="216"/>
      <c r="C64" s="272"/>
      <c r="D64" s="216"/>
      <c r="E64" s="216"/>
      <c r="F64" s="679" t="s">
        <v>475</v>
      </c>
      <c r="G64" t="s">
        <v>288</v>
      </c>
      <c r="H64" s="334">
        <f>-0.325241611-AD54</f>
        <v>-0.344241611</v>
      </c>
      <c r="I64" s="216"/>
      <c r="J64" s="216"/>
      <c r="K64" s="216"/>
      <c r="L64" s="216"/>
      <c r="M64" s="216"/>
      <c r="N64" s="216"/>
      <c r="O64" s="216"/>
      <c r="P64" s="216"/>
      <c r="Q64" s="216"/>
      <c r="R64" s="216"/>
      <c r="S64" s="216"/>
      <c r="T64" s="216"/>
      <c r="U64" s="216"/>
      <c r="V64" s="216"/>
      <c r="W64" s="216"/>
    </row>
    <row r="65" spans="2:37" ht="20.25">
      <c r="B65" s="216"/>
      <c r="C65" s="272"/>
      <c r="D65" s="216"/>
      <c r="E65" s="216"/>
      <c r="F65" s="216"/>
      <c r="G65" t="s">
        <v>290</v>
      </c>
      <c r="H65" s="216">
        <v>0.16001226199999999</v>
      </c>
      <c r="I65" s="273" t="s">
        <v>188</v>
      </c>
      <c r="J65" s="274"/>
      <c r="K65" s="274"/>
      <c r="L65" s="274"/>
      <c r="M65" s="683">
        <f>M61</f>
        <v>-1.0182508830000001</v>
      </c>
      <c r="N65" s="216"/>
      <c r="P65" s="273" t="s">
        <v>191</v>
      </c>
      <c r="Q65" s="274"/>
      <c r="R65" s="274"/>
      <c r="S65" s="294">
        <f>S61</f>
        <v>-4.570053291046877</v>
      </c>
      <c r="T65" s="216"/>
      <c r="U65" s="216"/>
      <c r="V65" s="216"/>
      <c r="W65" s="216"/>
      <c r="X65" s="263" t="s">
        <v>185</v>
      </c>
      <c r="Y65" s="264"/>
      <c r="Z65" s="264"/>
      <c r="AA65" s="265">
        <f>AD61</f>
        <v>0</v>
      </c>
      <c r="AC65" s="221"/>
      <c r="AE65" s="263" t="s">
        <v>186</v>
      </c>
      <c r="AF65" s="264"/>
      <c r="AG65" s="264"/>
      <c r="AH65" s="265">
        <f>AH61</f>
        <v>0.54068500000002839</v>
      </c>
    </row>
    <row r="66" spans="2:37" ht="18">
      <c r="B66" s="216"/>
      <c r="C66" s="272"/>
      <c r="D66" s="216"/>
      <c r="E66" s="216"/>
      <c r="F66" s="216"/>
      <c r="G66" s="221" t="s">
        <v>282</v>
      </c>
      <c r="H66" s="216">
        <v>-0.83402153400000001</v>
      </c>
      <c r="I66" s="279">
        <v>1</v>
      </c>
      <c r="J66" s="276" t="s">
        <v>361</v>
      </c>
      <c r="K66" s="277"/>
      <c r="L66" s="277"/>
      <c r="M66" s="736">
        <v>16</v>
      </c>
      <c r="N66" s="216"/>
      <c r="P66" s="279">
        <v>1</v>
      </c>
      <c r="Q66" s="269" t="s">
        <v>193</v>
      </c>
      <c r="R66" s="270"/>
      <c r="S66" s="743">
        <f>'[13]CMOR_MTD_vsFC-1'!$O$22</f>
        <v>4.2045664011707215E-3</v>
      </c>
      <c r="T66" s="216"/>
      <c r="U66" s="216"/>
      <c r="V66" s="216"/>
      <c r="W66" s="216"/>
      <c r="X66" s="268">
        <v>1</v>
      </c>
      <c r="Y66" s="269" t="s">
        <v>319</v>
      </c>
      <c r="Z66" s="270"/>
      <c r="AA66" s="874">
        <f>AD53</f>
        <v>98.478430065445011</v>
      </c>
      <c r="AC66" s="216"/>
      <c r="AE66" s="268">
        <v>1</v>
      </c>
      <c r="AF66" s="816" t="s">
        <v>39</v>
      </c>
      <c r="AG66" s="817"/>
      <c r="AH66" s="874">
        <v>-0.63963133788321613</v>
      </c>
      <c r="AI66" t="s">
        <v>262</v>
      </c>
      <c r="AJ66" s="869">
        <f>'Summary month'!BB74</f>
        <v>0</v>
      </c>
      <c r="AK66" s="729">
        <f>-540685/10^6</f>
        <v>-0.54068499999999997</v>
      </c>
    </row>
    <row r="67" spans="2:37" ht="18">
      <c r="B67" s="216"/>
      <c r="C67" s="272"/>
      <c r="D67" s="216"/>
      <c r="E67" s="216"/>
      <c r="F67" s="216"/>
      <c r="G67" t="s">
        <v>294</v>
      </c>
      <c r="H67" s="216">
        <v>0</v>
      </c>
      <c r="I67" s="279">
        <v>2</v>
      </c>
      <c r="J67" s="276" t="s">
        <v>521</v>
      </c>
      <c r="K67" s="277"/>
      <c r="L67" s="277"/>
      <c r="M67" s="736">
        <v>-3</v>
      </c>
      <c r="N67" s="216"/>
      <c r="P67" s="279">
        <v>2</v>
      </c>
      <c r="Q67" s="276" t="s">
        <v>143</v>
      </c>
      <c r="R67" s="277"/>
      <c r="S67" s="736">
        <f>'[14]New KPI vs BP'!$DN$449</f>
        <v>0.3082443963806149</v>
      </c>
      <c r="T67" s="216"/>
      <c r="U67" s="216"/>
      <c r="V67" s="216"/>
      <c r="W67" s="216"/>
      <c r="X67" s="268">
        <v>2</v>
      </c>
      <c r="Y67" s="276" t="s">
        <v>460</v>
      </c>
      <c r="Z67" s="277"/>
      <c r="AA67" s="760">
        <v>-2.9344649940000025</v>
      </c>
      <c r="AC67" s="216"/>
      <c r="AE67" s="268">
        <v>2</v>
      </c>
      <c r="AF67" s="276"/>
      <c r="AG67" s="277"/>
      <c r="AH67" s="278"/>
      <c r="AI67" t="s">
        <v>144</v>
      </c>
      <c r="AJ67" s="517">
        <f>AH66</f>
        <v>-0.63963133788321613</v>
      </c>
    </row>
    <row r="68" spans="2:37" ht="18">
      <c r="B68" s="216"/>
      <c r="C68" s="272"/>
      <c r="D68" s="216"/>
      <c r="E68" s="216"/>
      <c r="F68" s="216"/>
      <c r="G68" s="216"/>
      <c r="H68" s="216"/>
      <c r="I68" s="279">
        <v>3</v>
      </c>
      <c r="J68" s="276" t="s">
        <v>401</v>
      </c>
      <c r="K68" s="277"/>
      <c r="L68" s="277"/>
      <c r="M68" s="736">
        <v>2.3461283822730188</v>
      </c>
      <c r="N68" s="216"/>
      <c r="P68" s="279">
        <v>3</v>
      </c>
      <c r="Q68" s="276" t="s">
        <v>195</v>
      </c>
      <c r="R68" s="277"/>
      <c r="S68" s="736">
        <v>-19.771108266303969</v>
      </c>
      <c r="T68" s="216"/>
      <c r="U68" s="216"/>
      <c r="V68" s="216"/>
      <c r="W68" s="216"/>
      <c r="X68" s="268">
        <v>3</v>
      </c>
      <c r="Y68" s="276" t="s">
        <v>144</v>
      </c>
      <c r="Z68" s="277"/>
      <c r="AA68" s="760">
        <v>0.6</v>
      </c>
      <c r="AC68" s="216"/>
      <c r="AE68" s="268">
        <v>3</v>
      </c>
      <c r="AF68" s="276"/>
      <c r="AG68" s="277"/>
      <c r="AH68" s="278"/>
    </row>
    <row r="69" spans="2:37" ht="18">
      <c r="B69" s="216"/>
      <c r="C69" s="216"/>
      <c r="D69" s="272"/>
      <c r="E69" s="272"/>
      <c r="F69" s="272"/>
      <c r="G69" s="272"/>
      <c r="H69" s="272"/>
      <c r="I69" s="279">
        <v>4</v>
      </c>
      <c r="J69" s="276" t="s">
        <v>288</v>
      </c>
      <c r="K69" s="277"/>
      <c r="L69" s="277"/>
      <c r="M69" s="736">
        <f>H64</f>
        <v>-0.344241611</v>
      </c>
      <c r="N69" s="216"/>
      <c r="P69" s="279">
        <v>4</v>
      </c>
      <c r="Q69" s="276" t="s">
        <v>223</v>
      </c>
      <c r="R69" s="277"/>
      <c r="S69" s="736">
        <v>10.481251822167687</v>
      </c>
      <c r="T69" s="216"/>
      <c r="U69" s="216"/>
      <c r="V69" s="216"/>
      <c r="W69" s="216"/>
      <c r="X69" s="268">
        <v>4</v>
      </c>
      <c r="Y69" s="276" t="s">
        <v>517</v>
      </c>
      <c r="Z69" s="277"/>
      <c r="AA69" s="760">
        <v>4.6098215069599977E-2</v>
      </c>
      <c r="AC69" s="216"/>
      <c r="AE69" s="268">
        <v>4</v>
      </c>
      <c r="AF69" s="276"/>
      <c r="AG69" s="277"/>
      <c r="AH69" s="278"/>
    </row>
    <row r="70" spans="2:37" ht="18">
      <c r="B70" s="216"/>
      <c r="C70" s="272"/>
      <c r="D70" s="216"/>
      <c r="E70" s="216"/>
      <c r="F70" s="216">
        <v>-0.32524161100000004</v>
      </c>
      <c r="G70" s="216"/>
      <c r="H70" s="334"/>
      <c r="I70" s="279">
        <v>5</v>
      </c>
      <c r="J70" s="276" t="s">
        <v>290</v>
      </c>
      <c r="K70" s="277"/>
      <c r="L70" s="277"/>
      <c r="M70" s="736">
        <f>H65</f>
        <v>0.16001226199999999</v>
      </c>
      <c r="N70" s="216"/>
      <c r="P70" s="279">
        <v>5</v>
      </c>
      <c r="Q70" s="276" t="s">
        <v>246</v>
      </c>
      <c r="R70" s="277"/>
      <c r="S70" s="760">
        <v>-25.535316775831497</v>
      </c>
      <c r="W70" s="216"/>
      <c r="X70" s="282">
        <v>5</v>
      </c>
      <c r="Y70" s="283" t="s">
        <v>182</v>
      </c>
      <c r="Z70" s="284"/>
      <c r="AA70" s="820">
        <f>AA65-SUM(AA66:AA69)</f>
        <v>-96.190063286514601</v>
      </c>
      <c r="AC70" s="216"/>
      <c r="AE70" s="282">
        <v>5</v>
      </c>
      <c r="AF70" s="283" t="s">
        <v>182</v>
      </c>
      <c r="AG70" s="284"/>
      <c r="AH70" s="285">
        <f>AH65-SUM(AH66:AH69)</f>
        <v>1.1803163378832444</v>
      </c>
    </row>
    <row r="71" spans="2:37" ht="18">
      <c r="B71" s="216"/>
      <c r="C71" s="272"/>
      <c r="D71" s="216"/>
      <c r="E71" s="216"/>
      <c r="F71" s="216"/>
      <c r="G71" s="216"/>
      <c r="H71" s="216"/>
      <c r="I71" s="279">
        <v>6</v>
      </c>
      <c r="J71" s="276" t="s">
        <v>282</v>
      </c>
      <c r="K71" s="277"/>
      <c r="L71" s="277"/>
      <c r="M71" s="736">
        <f>H66</f>
        <v>-0.83402153400000001</v>
      </c>
      <c r="N71" s="216"/>
      <c r="P71" s="279">
        <v>6</v>
      </c>
      <c r="Q71" s="276" t="s">
        <v>366</v>
      </c>
      <c r="R71" s="277"/>
      <c r="S71" s="736">
        <v>0.21571725327379199</v>
      </c>
      <c r="W71" s="216"/>
      <c r="X71" s="216"/>
      <c r="Y71" s="216"/>
      <c r="Z71" s="216"/>
      <c r="AA71" s="216"/>
      <c r="AB71" s="216"/>
      <c r="AC71" s="216"/>
      <c r="AD71" s="216"/>
      <c r="AE71" s="216"/>
      <c r="AF71" s="216"/>
      <c r="AG71" s="216"/>
      <c r="AH71" s="216"/>
    </row>
    <row r="72" spans="2:37" ht="18">
      <c r="B72" s="216"/>
      <c r="C72" s="272"/>
      <c r="D72" s="272"/>
      <c r="E72" s="216"/>
      <c r="F72" s="216"/>
      <c r="G72" s="216"/>
      <c r="H72" s="216"/>
      <c r="I72" s="279">
        <v>7</v>
      </c>
      <c r="J72" s="276"/>
      <c r="K72" s="277"/>
      <c r="L72" s="277"/>
      <c r="M72" s="736"/>
      <c r="N72" s="216"/>
      <c r="P72" s="279">
        <v>7</v>
      </c>
      <c r="Q72" s="276" t="s">
        <v>247</v>
      </c>
      <c r="R72" s="277"/>
      <c r="S72" s="281">
        <v>10.715432065000002</v>
      </c>
      <c r="W72" s="216"/>
      <c r="X72" s="216"/>
      <c r="Y72" s="216"/>
      <c r="Z72" s="216"/>
      <c r="AA72" s="216"/>
      <c r="AB72" s="216"/>
      <c r="AC72" s="216"/>
      <c r="AD72" s="216"/>
      <c r="AE72" s="216"/>
      <c r="AF72" s="216"/>
      <c r="AG72" s="216"/>
      <c r="AH72" s="216"/>
    </row>
    <row r="73" spans="2:37" ht="18">
      <c r="B73" s="216"/>
      <c r="C73" s="216"/>
      <c r="D73" s="216"/>
      <c r="E73" s="216"/>
      <c r="F73" s="216"/>
      <c r="G73" s="216"/>
      <c r="H73" s="216"/>
      <c r="I73" s="279">
        <v>8</v>
      </c>
      <c r="J73" s="276"/>
      <c r="K73" s="277"/>
      <c r="L73" s="277"/>
      <c r="M73" s="736"/>
      <c r="N73" s="216"/>
      <c r="P73" s="279">
        <v>8</v>
      </c>
      <c r="Q73" s="276" t="s">
        <v>336</v>
      </c>
      <c r="R73" s="277"/>
      <c r="S73" s="278">
        <v>-0.3</v>
      </c>
      <c r="W73" s="216"/>
      <c r="X73" s="216"/>
      <c r="Y73" s="216"/>
      <c r="Z73" s="216"/>
      <c r="AA73" s="216"/>
      <c r="AB73" s="216"/>
      <c r="AC73" s="216"/>
      <c r="AD73" s="216"/>
      <c r="AE73" s="216"/>
      <c r="AF73" s="216"/>
      <c r="AG73" s="216"/>
      <c r="AH73" s="216"/>
    </row>
    <row r="74" spans="2:37" ht="18">
      <c r="B74" s="216"/>
      <c r="C74" s="216"/>
      <c r="D74" s="216"/>
      <c r="E74" s="216"/>
      <c r="F74" s="216"/>
      <c r="G74" s="216"/>
      <c r="H74" s="216"/>
      <c r="I74" s="288">
        <v>9</v>
      </c>
      <c r="J74" s="289" t="s">
        <v>182</v>
      </c>
      <c r="K74" s="284"/>
      <c r="L74" s="284"/>
      <c r="M74" s="871">
        <f>M65-SUM(M66:M73)</f>
        <v>-15.346128382273021</v>
      </c>
      <c r="N74" s="216"/>
      <c r="P74" s="279">
        <v>9</v>
      </c>
      <c r="Q74" s="276" t="s">
        <v>250</v>
      </c>
      <c r="R74" s="277"/>
      <c r="S74" s="278">
        <v>-0.3</v>
      </c>
      <c r="T74" s="680" t="s">
        <v>476</v>
      </c>
      <c r="W74" s="272"/>
      <c r="X74" s="216"/>
      <c r="Y74" s="216"/>
      <c r="Z74" s="216"/>
      <c r="AA74" s="216"/>
      <c r="AB74" s="216"/>
      <c r="AC74" s="216"/>
      <c r="AD74" s="216"/>
      <c r="AE74" s="216"/>
      <c r="AF74" s="216"/>
      <c r="AG74" s="216"/>
      <c r="AH74" s="216"/>
    </row>
    <row r="75" spans="2:37" ht="18">
      <c r="B75" s="216"/>
      <c r="C75" s="216"/>
      <c r="D75" s="216"/>
      <c r="E75" s="216"/>
      <c r="F75" s="216"/>
      <c r="G75" s="216"/>
      <c r="H75" s="216"/>
      <c r="I75" s="216"/>
      <c r="J75" s="216"/>
      <c r="K75" s="216"/>
      <c r="L75" s="216"/>
      <c r="M75" s="216"/>
      <c r="N75" s="216"/>
      <c r="P75" s="288">
        <v>10</v>
      </c>
      <c r="Q75" s="283" t="s">
        <v>182</v>
      </c>
      <c r="R75" s="284"/>
      <c r="S75" s="285">
        <f>S65-SUM(S66:S74)</f>
        <v>19.611521647865324</v>
      </c>
      <c r="T75" s="216" t="s">
        <v>223</v>
      </c>
      <c r="U75" s="518"/>
      <c r="V75" s="216"/>
      <c r="W75" s="216"/>
      <c r="X75" s="297"/>
      <c r="Y75" s="216"/>
      <c r="Z75" s="216"/>
      <c r="AA75" s="216"/>
      <c r="AB75" s="216"/>
      <c r="AC75" s="216"/>
      <c r="AD75" s="216"/>
      <c r="AE75" s="216"/>
      <c r="AF75" s="216"/>
      <c r="AG75" s="216"/>
      <c r="AH75" s="216"/>
    </row>
    <row r="76" spans="2:37">
      <c r="B76" s="216"/>
      <c r="C76" s="216"/>
      <c r="D76" s="216"/>
      <c r="E76" s="216"/>
      <c r="F76" s="216"/>
      <c r="G76" s="216"/>
      <c r="H76" s="216"/>
      <c r="I76" s="216"/>
      <c r="J76" s="216"/>
      <c r="K76" s="216"/>
      <c r="L76" s="216"/>
      <c r="M76" s="216"/>
      <c r="N76" s="216"/>
      <c r="S76">
        <v>-12.599732715262103</v>
      </c>
      <c r="T76" s="216" t="s">
        <v>246</v>
      </c>
      <c r="U76" s="519">
        <v>-1.7654263278236679</v>
      </c>
      <c r="W76" s="216"/>
      <c r="X76" s="216"/>
      <c r="Y76" s="216"/>
      <c r="Z76" s="216"/>
      <c r="AA76" s="216"/>
      <c r="AB76" s="216"/>
      <c r="AC76" s="216"/>
      <c r="AD76" s="216"/>
      <c r="AE76" s="216"/>
      <c r="AF76" s="216"/>
      <c r="AG76" s="216"/>
      <c r="AH76" s="216"/>
    </row>
    <row r="77" spans="2:37">
      <c r="B77" s="216"/>
      <c r="C77" s="216"/>
      <c r="D77" s="216"/>
      <c r="E77" s="216"/>
      <c r="F77" s="216"/>
      <c r="G77" s="216"/>
      <c r="H77" s="216"/>
      <c r="I77" s="216"/>
      <c r="J77" s="216"/>
      <c r="K77" s="216"/>
      <c r="L77" s="216"/>
      <c r="M77" s="216"/>
      <c r="N77" s="216"/>
      <c r="Q77" s="333">
        <f>SUM(S67:S75)+SUM(H64:H67)-H66</f>
        <v>-4.7584872064480468</v>
      </c>
      <c r="S77" s="327">
        <f>S75-S76</f>
        <v>32.211254363127424</v>
      </c>
      <c r="T77" s="216" t="s">
        <v>222</v>
      </c>
      <c r="U77" s="315"/>
      <c r="V77" s="216"/>
      <c r="W77" s="216"/>
      <c r="X77" s="216"/>
      <c r="Y77" s="216"/>
      <c r="Z77" s="216"/>
      <c r="AA77" s="216"/>
      <c r="AB77" s="216"/>
      <c r="AC77" s="216"/>
      <c r="AD77" s="216"/>
      <c r="AE77" s="216"/>
      <c r="AF77" s="216"/>
      <c r="AG77" s="216"/>
      <c r="AH77" s="216"/>
    </row>
    <row r="78" spans="2:37">
      <c r="B78" s="216"/>
      <c r="C78" s="216"/>
      <c r="D78" s="216"/>
      <c r="E78" s="216"/>
      <c r="F78" s="216"/>
      <c r="G78" s="216"/>
      <c r="H78" s="216"/>
      <c r="I78" s="216"/>
      <c r="J78" s="216"/>
      <c r="K78" s="216"/>
      <c r="L78" s="216"/>
      <c r="M78" s="216"/>
      <c r="N78" s="216"/>
      <c r="P78" t="s">
        <v>195</v>
      </c>
      <c r="T78" s="216" t="s">
        <v>217</v>
      </c>
      <c r="U78" s="216"/>
      <c r="V78" s="216"/>
      <c r="W78" s="216"/>
      <c r="X78" s="216"/>
      <c r="Y78" s="216"/>
      <c r="Z78" s="216"/>
      <c r="AA78" s="216"/>
      <c r="AB78" s="216"/>
      <c r="AC78" s="216"/>
      <c r="AD78" s="216"/>
      <c r="AE78" s="216"/>
      <c r="AF78" s="216"/>
      <c r="AG78" s="216"/>
      <c r="AH78" s="216"/>
    </row>
    <row r="79" spans="2:37">
      <c r="B79" s="216"/>
      <c r="C79" s="216"/>
      <c r="D79" s="216"/>
      <c r="E79" s="216"/>
      <c r="F79" s="216"/>
      <c r="G79" s="216"/>
      <c r="H79" s="216"/>
      <c r="I79" s="216"/>
      <c r="J79" s="216"/>
      <c r="K79" s="216"/>
      <c r="L79" s="216"/>
      <c r="M79" s="216"/>
      <c r="N79" s="216"/>
      <c r="P79" t="s">
        <v>332</v>
      </c>
      <c r="Q79">
        <v>-2</v>
      </c>
      <c r="T79" s="216" t="s">
        <v>511</v>
      </c>
      <c r="U79" s="315">
        <v>-0.45313367583873182</v>
      </c>
      <c r="V79" s="216"/>
      <c r="W79" s="216"/>
      <c r="X79" s="216"/>
      <c r="Y79" s="216"/>
      <c r="Z79" s="216"/>
      <c r="AA79" s="216"/>
      <c r="AB79" s="216"/>
      <c r="AC79" s="216"/>
      <c r="AD79" s="216"/>
      <c r="AE79" s="216"/>
      <c r="AF79" s="216"/>
      <c r="AG79" s="216"/>
      <c r="AH79" s="216"/>
    </row>
    <row r="80" spans="2:37" ht="18">
      <c r="B80" s="216"/>
      <c r="C80" s="216"/>
      <c r="D80" s="216"/>
      <c r="E80" s="216"/>
      <c r="F80" s="216"/>
      <c r="G80" s="216"/>
      <c r="H80" s="216"/>
      <c r="I80" s="216"/>
      <c r="J80" s="216"/>
      <c r="K80" s="216"/>
      <c r="L80" s="216"/>
      <c r="M80" s="216"/>
      <c r="N80" s="216"/>
      <c r="T80" s="216" t="s">
        <v>292</v>
      </c>
      <c r="U80" s="478"/>
      <c r="V80" s="272" t="s">
        <v>346</v>
      </c>
      <c r="W80" s="216"/>
      <c r="X80" s="216"/>
      <c r="Y80" s="216"/>
      <c r="Z80" s="216"/>
      <c r="AA80" s="216"/>
      <c r="AB80" s="216"/>
      <c r="AC80" s="216"/>
      <c r="AD80" s="216"/>
      <c r="AE80" s="216"/>
      <c r="AF80" s="216"/>
      <c r="AG80" s="216"/>
      <c r="AH80" s="216"/>
    </row>
    <row r="81" spans="2:34">
      <c r="B81" s="216"/>
      <c r="C81" s="216"/>
      <c r="D81" s="216"/>
      <c r="E81" s="216"/>
      <c r="F81" s="216"/>
      <c r="G81" s="216"/>
      <c r="H81" s="216"/>
      <c r="I81" s="216"/>
      <c r="J81" s="216"/>
      <c r="K81" s="216"/>
      <c r="L81" s="216"/>
      <c r="M81" s="216"/>
      <c r="N81" s="216"/>
      <c r="T81" s="216" t="s">
        <v>195</v>
      </c>
      <c r="U81" s="216">
        <v>-3.2520595892711945</v>
      </c>
      <c r="V81" s="216"/>
      <c r="W81" s="216"/>
      <c r="X81" s="216"/>
      <c r="Y81" s="216"/>
      <c r="Z81" s="216"/>
      <c r="AA81" s="216"/>
      <c r="AB81" s="216"/>
      <c r="AC81" s="216"/>
      <c r="AD81" s="216"/>
      <c r="AE81" s="216"/>
      <c r="AF81" s="216"/>
      <c r="AG81" s="216"/>
      <c r="AH81" s="216"/>
    </row>
    <row r="82" spans="2:34">
      <c r="B82" s="216"/>
      <c r="C82" s="216"/>
      <c r="D82" s="216"/>
      <c r="E82" s="216"/>
      <c r="F82" s="216"/>
      <c r="G82" s="216"/>
      <c r="H82" s="216"/>
      <c r="I82" s="216"/>
      <c r="J82" s="216"/>
      <c r="K82" s="216"/>
      <c r="L82" s="216"/>
      <c r="M82" s="216"/>
      <c r="N82" s="216"/>
      <c r="T82" s="216" t="s">
        <v>336</v>
      </c>
      <c r="U82" s="216">
        <v>-0.120001350923762</v>
      </c>
      <c r="V82" s="216"/>
      <c r="W82" s="216"/>
      <c r="X82" s="216"/>
      <c r="Y82" s="216"/>
      <c r="Z82" s="216"/>
      <c r="AA82" s="216"/>
      <c r="AB82" s="216"/>
      <c r="AC82" s="216"/>
      <c r="AD82" s="216"/>
      <c r="AE82" s="216"/>
      <c r="AF82" s="216"/>
      <c r="AG82" s="216"/>
      <c r="AH82" s="216"/>
    </row>
    <row r="83" spans="2:34">
      <c r="B83" s="216"/>
      <c r="C83" s="216"/>
      <c r="D83" s="216"/>
      <c r="E83" s="216"/>
      <c r="F83" s="216"/>
      <c r="G83" s="216"/>
      <c r="H83" s="216"/>
      <c r="I83" s="216"/>
      <c r="J83" s="216"/>
      <c r="K83" s="216"/>
      <c r="L83" s="216"/>
      <c r="M83" s="216"/>
      <c r="N83" s="216"/>
      <c r="T83" s="216"/>
      <c r="U83" s="216"/>
      <c r="V83" s="216"/>
      <c r="W83" s="216"/>
      <c r="X83" s="216"/>
      <c r="Y83" s="216"/>
      <c r="Z83" s="216"/>
      <c r="AA83" s="216"/>
      <c r="AB83" s="216"/>
      <c r="AC83" s="216"/>
      <c r="AD83" s="216"/>
      <c r="AE83" s="216"/>
      <c r="AF83" s="216"/>
      <c r="AG83" s="216"/>
      <c r="AH83" s="216"/>
    </row>
    <row r="84" spans="2:34">
      <c r="B84" s="216"/>
      <c r="C84" s="216"/>
      <c r="D84" s="216"/>
      <c r="E84" s="216"/>
      <c r="F84" s="216"/>
      <c r="G84" s="216"/>
      <c r="H84" s="216"/>
      <c r="I84" s="216"/>
      <c r="J84" s="216"/>
      <c r="K84" s="216"/>
      <c r="L84" s="216"/>
      <c r="M84" s="216"/>
      <c r="N84" s="216"/>
      <c r="Q84" s="317">
        <f>Q77-SUM(Q78:Q83)</f>
        <v>-2.7584872064480468</v>
      </c>
      <c r="T84" t="s">
        <v>283</v>
      </c>
      <c r="U84" s="369">
        <f>SUM(U85:U87)</f>
        <v>101.86568482323956</v>
      </c>
      <c r="V84" s="216"/>
      <c r="W84" s="216"/>
      <c r="X84" s="216"/>
      <c r="Y84" s="216"/>
      <c r="Z84" s="216"/>
      <c r="AA84" s="216"/>
      <c r="AB84" s="216"/>
      <c r="AC84" s="216"/>
      <c r="AD84" s="216"/>
      <c r="AE84" s="216"/>
      <c r="AF84" s="216"/>
      <c r="AG84" s="216"/>
      <c r="AH84" s="216"/>
    </row>
    <row r="85" spans="2:34">
      <c r="T85" s="372" t="s">
        <v>28</v>
      </c>
      <c r="U85" s="373">
        <f>'[14]P&amp;L vs BP'!$CI$238-'[14]New KPI vs BP'!$DN$437-AC61</f>
        <v>-0.29216858600000006</v>
      </c>
    </row>
    <row r="86" spans="2:34">
      <c r="T86" s="372" t="s">
        <v>200</v>
      </c>
      <c r="U86" s="373">
        <v>1.8336097389807999</v>
      </c>
    </row>
    <row r="87" spans="2:34">
      <c r="T87" s="135" t="s">
        <v>144</v>
      </c>
      <c r="U87" s="373">
        <f>-(X57+AD56+AJ67+AK66)</f>
        <v>100.32424367025877</v>
      </c>
    </row>
  </sheetData>
  <mergeCells count="26">
    <mergeCell ref="B10:B11"/>
    <mergeCell ref="C10:C11"/>
    <mergeCell ref="B17:B18"/>
    <mergeCell ref="H17:H18"/>
    <mergeCell ref="O17:O18"/>
    <mergeCell ref="P59:P60"/>
    <mergeCell ref="Q59:Q60"/>
    <mergeCell ref="R59:R60"/>
    <mergeCell ref="S59:S60"/>
    <mergeCell ref="Q17:Q18"/>
    <mergeCell ref="R17:R18"/>
    <mergeCell ref="S17:S18"/>
    <mergeCell ref="P17:P18"/>
    <mergeCell ref="B52:B53"/>
    <mergeCell ref="C52:C53"/>
    <mergeCell ref="B59:B60"/>
    <mergeCell ref="H59:H60"/>
    <mergeCell ref="O59:O60"/>
    <mergeCell ref="T59:T60"/>
    <mergeCell ref="AE59:AE60"/>
    <mergeCell ref="AF59:AF60"/>
    <mergeCell ref="AH59:AH60"/>
    <mergeCell ref="AH17:AH18"/>
    <mergeCell ref="T17:T18"/>
    <mergeCell ref="AE17:AE18"/>
    <mergeCell ref="AF17:AF18"/>
  </mergeCells>
  <pageMargins left="0.7" right="0.7" top="0.75" bottom="0.75" header="0.3" footer="0.3"/>
  <pageSetup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9BD86-F7B8-4415-94FE-22562922995E}">
  <sheetPr>
    <tabColor rgb="FF52D5F4"/>
  </sheetPr>
  <dimension ref="B1:AK87"/>
  <sheetViews>
    <sheetView showGridLines="0" topLeftCell="A41" zoomScale="55" zoomScaleNormal="55" workbookViewId="0">
      <selection activeCell="Z19" sqref="Z19"/>
    </sheetView>
  </sheetViews>
  <sheetFormatPr defaultRowHeight="15"/>
  <cols>
    <col min="2" max="2" width="12.85546875" customWidth="1"/>
    <col min="3" max="3" width="14.42578125" customWidth="1"/>
    <col min="4" max="4" width="15.5703125" customWidth="1"/>
    <col min="5" max="5" width="15" customWidth="1"/>
    <col min="6" max="6" width="13.42578125" customWidth="1"/>
    <col min="7" max="7" width="11.140625" customWidth="1"/>
    <col min="16" max="16" width="14.42578125" bestFit="1" customWidth="1"/>
    <col min="18" max="18" width="9.5703125" bestFit="1" customWidth="1"/>
    <col min="19" max="19" width="10.42578125" bestFit="1" customWidth="1"/>
    <col min="20" max="20" width="10.42578125" customWidth="1"/>
    <col min="21" max="21" width="13.5703125" customWidth="1"/>
    <col min="22" max="22" width="10.42578125" customWidth="1"/>
    <col min="24" max="24" width="10.5703125" customWidth="1"/>
    <col min="29" max="29" width="12" bestFit="1" customWidth="1"/>
    <col min="30" max="30" width="10" customWidth="1"/>
    <col min="34" max="34" width="9.140625" bestFit="1" customWidth="1"/>
  </cols>
  <sheetData>
    <row r="1" spans="2:34" ht="28.5">
      <c r="B1" s="304" t="str">
        <f>'Summary month'!E2</f>
        <v>Apr</v>
      </c>
      <c r="C1" t="str">
        <f>VLOOKUP(B1,mapping!$A$2:$C$13,3,0)</f>
        <v>M01</v>
      </c>
    </row>
    <row r="2" spans="2:34">
      <c r="P2" s="129" t="s">
        <v>520</v>
      </c>
      <c r="Q2" s="129">
        <f>'[14]New KPI vs BP'!$EB$460</f>
        <v>0</v>
      </c>
      <c r="R2" s="696" t="s">
        <v>502</v>
      </c>
      <c r="S2" s="696">
        <f>'[13]CMOR_MTD_vsFC-1'!$R$8</f>
        <v>0</v>
      </c>
    </row>
    <row r="3" spans="2:34" ht="28.5">
      <c r="B3" s="299" t="s">
        <v>202</v>
      </c>
      <c r="I3" s="216"/>
      <c r="J3" s="334"/>
      <c r="K3" s="216"/>
      <c r="L3" s="216"/>
      <c r="M3" s="216"/>
      <c r="N3" s="334"/>
      <c r="O3" s="216"/>
      <c r="P3" s="216"/>
      <c r="Q3" s="216"/>
    </row>
    <row r="4" spans="2:34" ht="28.5">
      <c r="B4" s="299"/>
      <c r="I4" s="216"/>
      <c r="J4" s="334"/>
      <c r="K4" s="216"/>
      <c r="L4" s="216"/>
      <c r="M4" s="216"/>
      <c r="N4" s="334"/>
      <c r="O4" s="216"/>
      <c r="P4" s="216"/>
      <c r="Q4" s="216"/>
    </row>
    <row r="5" spans="2:34" ht="20.25">
      <c r="B5" s="216"/>
      <c r="C5" s="226" t="str">
        <f>B10</f>
        <v>FY25 FC5+7 December YTD</v>
      </c>
      <c r="D5" s="226" t="str">
        <f>C10</f>
        <v>FY25 ACT December YTD</v>
      </c>
      <c r="E5" s="226" t="s">
        <v>320</v>
      </c>
      <c r="F5" s="226" t="s">
        <v>321</v>
      </c>
      <c r="G5" s="226" t="s">
        <v>322</v>
      </c>
      <c r="H5" s="797" t="s">
        <v>323</v>
      </c>
      <c r="I5" s="216"/>
    </row>
    <row r="6" spans="2:34" ht="20.25">
      <c r="B6" s="226" t="s">
        <v>327</v>
      </c>
      <c r="C6" s="809" t="e">
        <f>#REF!</f>
        <v>#REF!</v>
      </c>
      <c r="D6" s="809" t="e">
        <f>#REF!</f>
        <v>#REF!</v>
      </c>
      <c r="E6" s="806" t="e">
        <f>+D6-C6</f>
        <v>#REF!</v>
      </c>
      <c r="F6" s="806" t="e">
        <f>B19</f>
        <v>#REF!</v>
      </c>
      <c r="G6" s="806" t="e">
        <f>SUM(C19:S19)</f>
        <v>#REF!</v>
      </c>
      <c r="H6" s="803" t="e">
        <f>E6-F6-G6</f>
        <v>#REF!</v>
      </c>
      <c r="I6" s="216"/>
      <c r="J6" s="334"/>
      <c r="K6" s="216"/>
      <c r="L6" s="216"/>
      <c r="M6" s="216"/>
      <c r="N6" s="334"/>
      <c r="O6" s="216"/>
      <c r="P6" s="216"/>
      <c r="Q6" s="216"/>
    </row>
    <row r="7" spans="2:34" ht="20.25">
      <c r="B7" s="226" t="s">
        <v>325</v>
      </c>
      <c r="C7" s="809" t="e">
        <f>#REF!</f>
        <v>#REF!</v>
      </c>
      <c r="D7" s="809" t="e">
        <f>#REF!</f>
        <v>#REF!</v>
      </c>
      <c r="E7" s="806" t="e">
        <f>+D7-C7</f>
        <v>#REF!</v>
      </c>
      <c r="F7" s="806" t="e">
        <f>T19</f>
        <v>#REF!</v>
      </c>
      <c r="G7" s="806" t="e">
        <f>SUM(U19:AH19)</f>
        <v>#REF!</v>
      </c>
      <c r="H7" s="803" t="e">
        <f>E7-F7-G7</f>
        <v>#REF!</v>
      </c>
      <c r="I7" s="216"/>
      <c r="J7" s="334"/>
      <c r="K7" s="216"/>
      <c r="L7" s="216"/>
      <c r="M7" s="216"/>
      <c r="N7" s="334"/>
      <c r="O7" s="216"/>
      <c r="P7" s="216"/>
      <c r="Q7" s="216"/>
    </row>
    <row r="8" spans="2:34" ht="20.25">
      <c r="B8" s="226" t="s">
        <v>326</v>
      </c>
      <c r="C8" s="806" t="e">
        <f>+C6+C7</f>
        <v>#REF!</v>
      </c>
      <c r="D8" s="806" t="e">
        <f>+D6+D7</f>
        <v>#REF!</v>
      </c>
      <c r="E8" s="806" t="e">
        <f>+D8-C8</f>
        <v>#REF!</v>
      </c>
      <c r="F8" s="806" t="e">
        <f>+E8-G8</f>
        <v>#REF!</v>
      </c>
      <c r="G8" s="806" t="e">
        <f>+G6+G7</f>
        <v>#REF!</v>
      </c>
      <c r="H8" s="803" t="e">
        <f>E8-F8-G8</f>
        <v>#REF!</v>
      </c>
      <c r="I8" s="216"/>
      <c r="J8" s="722" t="s">
        <v>303</v>
      </c>
      <c r="K8" s="720" t="s">
        <v>143</v>
      </c>
      <c r="L8" s="720" t="s">
        <v>304</v>
      </c>
      <c r="M8" s="720"/>
      <c r="N8" s="722" t="s">
        <v>303</v>
      </c>
      <c r="O8" s="720" t="s">
        <v>143</v>
      </c>
      <c r="P8" s="720" t="s">
        <v>305</v>
      </c>
      <c r="Q8" s="720" t="s">
        <v>306</v>
      </c>
    </row>
    <row r="9" spans="2:34" ht="18">
      <c r="B9" s="215"/>
      <c r="C9" s="216"/>
      <c r="D9" s="318" t="e">
        <f>D12-D54</f>
        <v>#REF!</v>
      </c>
      <c r="E9" s="318" t="e">
        <f>E12-E54</f>
        <v>#REF!</v>
      </c>
      <c r="F9" s="318" t="e">
        <f>F12-F54</f>
        <v>#REF!</v>
      </c>
      <c r="G9" s="318" t="e">
        <f>G12-G54</f>
        <v>#REF!</v>
      </c>
      <c r="H9" s="216"/>
      <c r="I9" s="720" t="s">
        <v>307</v>
      </c>
      <c r="J9" s="722">
        <f>'[14]New KPI vs BP'!$DV$34-K9-L9</f>
        <v>2.8859556172772587</v>
      </c>
      <c r="K9" s="720">
        <f>'[14]New KPI vs BP'!$DV$15</f>
        <v>-0.80172171452963537</v>
      </c>
      <c r="L9" s="722">
        <f>'[14]New KPI vs BP'!$DV$507+'[14]New KPI vs BP'!$DV$523</f>
        <v>1.4461843558201295</v>
      </c>
      <c r="M9" s="216"/>
      <c r="N9" s="722" t="e">
        <f>'[14]New KPI vs BP'!$DV$34-O9-P9</f>
        <v>#REF!</v>
      </c>
      <c r="O9" s="720">
        <f>K9</f>
        <v>-0.80172171452963537</v>
      </c>
      <c r="P9" s="796" t="e">
        <f>L10-AJ66+AA20</f>
        <v>#REF!</v>
      </c>
      <c r="Q9" s="722" t="e">
        <f>L9-(P9)</f>
        <v>#REF!</v>
      </c>
      <c r="R9" s="216"/>
      <c r="S9" s="216"/>
      <c r="T9" s="216"/>
      <c r="U9" s="216"/>
      <c r="V9" s="216"/>
      <c r="W9" s="216"/>
      <c r="X9" s="216"/>
      <c r="Y9" s="216"/>
      <c r="Z9" s="216"/>
      <c r="AA9" s="216"/>
      <c r="AB9" s="216"/>
      <c r="AC9" s="216"/>
      <c r="AD9" s="216"/>
      <c r="AE9" s="216"/>
      <c r="AF9" s="216"/>
      <c r="AG9" s="216"/>
      <c r="AH9" s="216"/>
    </row>
    <row r="10" spans="2:34" ht="20.100000000000001" customHeight="1">
      <c r="B10" s="1041" t="s">
        <v>542</v>
      </c>
      <c r="C10" s="1041" t="s">
        <v>543</v>
      </c>
      <c r="D10" s="218"/>
      <c r="E10" s="219"/>
      <c r="F10" s="219"/>
      <c r="G10" s="220"/>
      <c r="H10" s="216"/>
      <c r="I10" s="720" t="s">
        <v>62</v>
      </c>
      <c r="J10" s="722">
        <f>M52</f>
        <v>21.946508454036145</v>
      </c>
      <c r="K10" s="216">
        <v>0</v>
      </c>
      <c r="L10" s="722" t="e">
        <f>M53</f>
        <v>#REF!</v>
      </c>
      <c r="M10" s="216"/>
      <c r="N10" s="216"/>
      <c r="O10" s="216"/>
      <c r="P10" s="216"/>
      <c r="Q10" s="216"/>
      <c r="R10" s="216"/>
      <c r="S10" s="216"/>
      <c r="T10" s="216"/>
      <c r="U10" s="216"/>
      <c r="V10" s="216"/>
      <c r="W10" s="221"/>
      <c r="X10" s="221"/>
      <c r="Y10" s="221"/>
      <c r="Z10" s="221"/>
      <c r="AA10" s="221"/>
      <c r="AB10" s="221"/>
      <c r="AC10" s="221"/>
      <c r="AD10" s="221"/>
      <c r="AE10" s="221"/>
      <c r="AF10" s="221"/>
      <c r="AG10" s="221"/>
      <c r="AH10" s="221"/>
    </row>
    <row r="11" spans="2:34" ht="40.5">
      <c r="B11" s="1042"/>
      <c r="C11" s="1043"/>
      <c r="D11" s="222"/>
      <c r="E11" s="223" t="s">
        <v>154</v>
      </c>
      <c r="F11" s="224" t="s">
        <v>155</v>
      </c>
      <c r="G11" s="225" t="s">
        <v>156</v>
      </c>
      <c r="H11" s="216"/>
      <c r="I11" s="720" t="s">
        <v>208</v>
      </c>
      <c r="J11" s="216"/>
      <c r="K11" s="216"/>
      <c r="L11" s="216"/>
      <c r="M11" s="216"/>
      <c r="N11" s="216"/>
      <c r="O11" s="216"/>
      <c r="P11" s="216"/>
      <c r="Q11" s="216"/>
      <c r="R11" s="216"/>
      <c r="AH11" s="216"/>
    </row>
    <row r="12" spans="2:34" ht="20.25">
      <c r="B12" s="806" t="e">
        <f>#REF!</f>
        <v>#REF!</v>
      </c>
      <c r="C12" s="806" t="e">
        <f>#REF!</f>
        <v>#REF!</v>
      </c>
      <c r="D12" s="807" t="e">
        <f>C12-B12</f>
        <v>#REF!</v>
      </c>
      <c r="E12" s="228">
        <f>'[14]New KPI vs BP'!$DV$34</f>
        <v>3.530418258567753</v>
      </c>
      <c r="F12" s="228" t="e">
        <f>#REF!-E13</f>
        <v>#REF!</v>
      </c>
      <c r="G12" s="229" t="e">
        <f>#REF!-E14</f>
        <v>#REF!</v>
      </c>
      <c r="H12" s="216"/>
      <c r="I12" s="709" t="e">
        <f>SUM(E12:G12)-D12</f>
        <v>#REF!</v>
      </c>
      <c r="J12" s="216"/>
      <c r="K12" s="216"/>
      <c r="L12" s="216"/>
      <c r="M12" s="216"/>
      <c r="N12" s="216"/>
      <c r="O12" s="230"/>
      <c r="P12" s="216"/>
      <c r="Q12" s="216"/>
      <c r="R12" s="216"/>
      <c r="AH12" s="230"/>
    </row>
    <row r="13" spans="2:34">
      <c r="B13" s="216"/>
      <c r="C13" s="216"/>
      <c r="D13" s="216"/>
      <c r="E13" s="753" t="e">
        <f>SUM(N9:O9)</f>
        <v>#REF!</v>
      </c>
      <c r="F13" s="216" t="s">
        <v>308</v>
      </c>
      <c r="G13" s="216"/>
      <c r="H13" s="216"/>
      <c r="I13" s="216"/>
      <c r="J13" s="216"/>
      <c r="K13" s="216"/>
      <c r="L13" s="216"/>
      <c r="M13" s="216"/>
      <c r="N13" s="216"/>
      <c r="O13" s="720" t="s">
        <v>53</v>
      </c>
      <c r="P13" s="709" t="e">
        <f>-#REF!</f>
        <v>#REF!</v>
      </c>
      <c r="Q13" s="216"/>
      <c r="R13" s="216"/>
      <c r="AH13" s="216"/>
    </row>
    <row r="14" spans="2:34">
      <c r="B14" s="216"/>
      <c r="C14" s="216" t="s">
        <v>51</v>
      </c>
      <c r="D14" s="216" t="s">
        <v>50</v>
      </c>
      <c r="E14" s="753" t="e">
        <f>P9</f>
        <v>#REF!</v>
      </c>
      <c r="F14" s="216" t="s">
        <v>309</v>
      </c>
      <c r="G14" s="216"/>
      <c r="H14" s="216"/>
      <c r="I14" s="216"/>
      <c r="J14" s="216"/>
      <c r="K14" s="216"/>
      <c r="L14" s="216"/>
      <c r="M14" s="216"/>
      <c r="N14" s="216"/>
      <c r="O14" s="720" t="s">
        <v>54</v>
      </c>
      <c r="P14" s="709" t="e">
        <f>-#REF!</f>
        <v>#REF!</v>
      </c>
      <c r="Q14" s="216"/>
      <c r="R14" s="216"/>
      <c r="AH14" s="216"/>
    </row>
    <row r="15" spans="2:34" ht="21" thickBot="1">
      <c r="B15" s="231" t="s">
        <v>157</v>
      </c>
      <c r="C15" s="232" t="s">
        <v>56</v>
      </c>
      <c r="D15" s="232" t="s">
        <v>57</v>
      </c>
      <c r="E15" s="232"/>
      <c r="F15" s="232"/>
      <c r="G15" s="232"/>
      <c r="H15" s="232"/>
      <c r="I15" s="232"/>
      <c r="J15" s="232"/>
      <c r="K15" s="232"/>
      <c r="L15" s="232"/>
      <c r="M15" s="232"/>
      <c r="N15" s="232"/>
      <c r="O15" s="725" t="s">
        <v>55</v>
      </c>
      <c r="P15" s="804" t="e">
        <f>-#REF!</f>
        <v>#REF!</v>
      </c>
      <c r="Q15" s="232"/>
      <c r="R15" s="232" t="s">
        <v>60</v>
      </c>
      <c r="AA15" t="s">
        <v>52</v>
      </c>
      <c r="AB15" t="s">
        <v>59</v>
      </c>
      <c r="AH15" s="217" t="s">
        <v>138</v>
      </c>
    </row>
    <row r="16" spans="2:34" ht="21" thickBot="1">
      <c r="B16" s="233"/>
      <c r="C16" s="234" t="s">
        <v>159</v>
      </c>
      <c r="D16" s="234"/>
      <c r="E16" s="234"/>
      <c r="F16" s="234"/>
      <c r="G16" s="234"/>
      <c r="H16" s="234"/>
      <c r="I16" s="234"/>
      <c r="J16" s="234"/>
      <c r="K16" s="234"/>
      <c r="L16" s="234"/>
      <c r="M16" s="234"/>
      <c r="N16" s="234"/>
      <c r="O16" s="234"/>
      <c r="P16" s="234"/>
      <c r="Q16" s="234"/>
      <c r="R16" s="234"/>
      <c r="S16" s="235"/>
      <c r="T16" s="236"/>
      <c r="U16" s="237" t="s">
        <v>160</v>
      </c>
      <c r="V16" s="237"/>
      <c r="W16" s="237"/>
      <c r="X16" s="237"/>
      <c r="Y16" s="237"/>
      <c r="Z16" s="237"/>
      <c r="AA16" s="237"/>
      <c r="AB16" s="237"/>
      <c r="AC16" s="237"/>
      <c r="AD16" s="237"/>
      <c r="AE16" s="237"/>
      <c r="AF16" s="237"/>
      <c r="AG16" s="237"/>
      <c r="AH16" s="238"/>
    </row>
    <row r="17" spans="2:34" ht="20.100000000000001" customHeight="1">
      <c r="B17" s="1027" t="s">
        <v>274</v>
      </c>
      <c r="C17" s="239" t="s">
        <v>161</v>
      </c>
      <c r="D17" s="240"/>
      <c r="E17" s="240"/>
      <c r="F17" s="240"/>
      <c r="G17" s="241"/>
      <c r="H17" s="1017" t="s">
        <v>162</v>
      </c>
      <c r="I17" s="242" t="s">
        <v>163</v>
      </c>
      <c r="J17" s="243"/>
      <c r="K17" s="243"/>
      <c r="L17" s="243"/>
      <c r="M17" s="243"/>
      <c r="N17" s="244"/>
      <c r="O17" s="1019" t="s">
        <v>164</v>
      </c>
      <c r="P17" s="1019" t="s">
        <v>165</v>
      </c>
      <c r="Q17" s="1019" t="s">
        <v>166</v>
      </c>
      <c r="R17" s="1022" t="s">
        <v>167</v>
      </c>
      <c r="S17" s="1023" t="s">
        <v>168</v>
      </c>
      <c r="T17" s="1027" t="s">
        <v>274</v>
      </c>
      <c r="U17" s="245" t="s">
        <v>169</v>
      </c>
      <c r="V17" s="246"/>
      <c r="W17" s="246"/>
      <c r="X17" s="247"/>
      <c r="Y17" s="248" t="s">
        <v>163</v>
      </c>
      <c r="Z17" s="246"/>
      <c r="AA17" s="246"/>
      <c r="AB17" s="246"/>
      <c r="AC17" s="246"/>
      <c r="AD17" s="247"/>
      <c r="AE17" s="1022" t="s">
        <v>166</v>
      </c>
      <c r="AF17" s="1025" t="s">
        <v>167</v>
      </c>
      <c r="AG17" s="311"/>
      <c r="AH17" s="1012" t="s">
        <v>168</v>
      </c>
    </row>
    <row r="18" spans="2:34" ht="77.45" customHeight="1">
      <c r="B18" s="1028"/>
      <c r="C18" s="249" t="s">
        <v>170</v>
      </c>
      <c r="D18" s="250" t="s">
        <v>171</v>
      </c>
      <c r="E18" s="250" t="s">
        <v>172</v>
      </c>
      <c r="F18" s="250" t="s">
        <v>173</v>
      </c>
      <c r="G18" s="251" t="s">
        <v>174</v>
      </c>
      <c r="H18" s="1018"/>
      <c r="I18" s="250" t="s">
        <v>175</v>
      </c>
      <c r="J18" s="250" t="s">
        <v>176</v>
      </c>
      <c r="K18" s="250" t="s">
        <v>177</v>
      </c>
      <c r="L18" s="250" t="s">
        <v>178</v>
      </c>
      <c r="M18" s="250" t="s">
        <v>168</v>
      </c>
      <c r="N18" s="250" t="s">
        <v>179</v>
      </c>
      <c r="O18" s="1020"/>
      <c r="P18" s="1021"/>
      <c r="Q18" s="1021"/>
      <c r="R18" s="1021"/>
      <c r="S18" s="1024"/>
      <c r="T18" s="1028"/>
      <c r="U18" s="307" t="s">
        <v>203</v>
      </c>
      <c r="V18" s="308" t="s">
        <v>180</v>
      </c>
      <c r="W18" s="309" t="s">
        <v>181</v>
      </c>
      <c r="X18" s="310" t="s">
        <v>33</v>
      </c>
      <c r="Y18" s="305" t="s">
        <v>25</v>
      </c>
      <c r="Z18" s="306" t="s">
        <v>183</v>
      </c>
      <c r="AA18" s="306" t="s">
        <v>204</v>
      </c>
      <c r="AB18" s="306" t="s">
        <v>205</v>
      </c>
      <c r="AC18" s="306" t="s">
        <v>184</v>
      </c>
      <c r="AD18" s="306" t="s">
        <v>30</v>
      </c>
      <c r="AE18" s="1021"/>
      <c r="AF18" s="1026"/>
      <c r="AG18" s="312" t="s">
        <v>37</v>
      </c>
      <c r="AH18" s="1013"/>
    </row>
    <row r="19" spans="2:34" s="729" customFormat="1" ht="21" thickBot="1">
      <c r="B19" s="712" t="e">
        <f>E13</f>
        <v>#REF!</v>
      </c>
      <c r="C19" s="713" t="e">
        <f>C61-#REF!-#REF!+M52-N9</f>
        <v>#REF!</v>
      </c>
      <c r="D19" s="710" t="e">
        <f>S67-#REF!-#REF!-O9</f>
        <v>#REF!</v>
      </c>
      <c r="E19" s="710">
        <f>E61</f>
        <v>-11.212596611449076</v>
      </c>
      <c r="F19" s="710">
        <f>F61</f>
        <v>-25.742396600083019</v>
      </c>
      <c r="G19" s="710"/>
      <c r="H19" s="710"/>
      <c r="I19" s="710">
        <f>I61</f>
        <v>0</v>
      </c>
      <c r="J19" s="719">
        <f>J61</f>
        <v>0</v>
      </c>
      <c r="K19" s="719">
        <f>K61</f>
        <v>0</v>
      </c>
      <c r="L19" s="719">
        <f>L61</f>
        <v>0</v>
      </c>
      <c r="M19" s="719" t="e">
        <f>M61-#REF!</f>
        <v>#REF!</v>
      </c>
      <c r="N19" s="719"/>
      <c r="O19" s="710" t="e">
        <f>-SUM(#REF!)</f>
        <v>#REF!</v>
      </c>
      <c r="P19" s="710"/>
      <c r="Q19" s="716"/>
      <c r="R19" s="710" t="e">
        <f>R61-#REF!</f>
        <v>#REF!</v>
      </c>
      <c r="S19" s="714" t="e">
        <f>F12-SUM(C19:R19)</f>
        <v>#REF!</v>
      </c>
      <c r="T19" s="713" t="e">
        <f>E14</f>
        <v>#REF!</v>
      </c>
      <c r="U19" s="713" t="e">
        <f>U61</f>
        <v>#REF!</v>
      </c>
      <c r="V19" s="715" t="e">
        <f>V61</f>
        <v>#REF!</v>
      </c>
      <c r="W19" s="715"/>
      <c r="X19" s="715" t="e">
        <f>X61</f>
        <v>#REF!</v>
      </c>
      <c r="Y19" s="715" t="e">
        <f>Y61</f>
        <v>#REF!</v>
      </c>
      <c r="Z19" s="715" t="e">
        <f>Z61</f>
        <v>#REF!</v>
      </c>
      <c r="AA19" s="715" t="e">
        <f>AA61-#REF!-AA20</f>
        <v>#REF!</v>
      </c>
      <c r="AB19" s="715" t="e">
        <f>-#REF!</f>
        <v>#REF!</v>
      </c>
      <c r="AC19" s="715" t="e">
        <f>AC61</f>
        <v>#REF!</v>
      </c>
      <c r="AD19" s="715" t="e">
        <f>AD61</f>
        <v>#REF!</v>
      </c>
      <c r="AE19" s="716"/>
      <c r="AF19" s="717"/>
      <c r="AG19" s="710" t="e">
        <f>AG61</f>
        <v>#REF!</v>
      </c>
      <c r="AH19" s="718" t="e">
        <f>G12-SUM(U19:AG19)</f>
        <v>#REF!</v>
      </c>
    </row>
    <row r="20" spans="2:34">
      <c r="B20" s="286" t="e">
        <f>B19-B61</f>
        <v>#REF!</v>
      </c>
      <c r="C20" s="286" t="e">
        <f t="shared" ref="C20:S20" si="0">C19-C61</f>
        <v>#REF!</v>
      </c>
      <c r="D20" s="286" t="e">
        <f t="shared" si="0"/>
        <v>#REF!</v>
      </c>
      <c r="E20" s="286">
        <f t="shared" si="0"/>
        <v>0</v>
      </c>
      <c r="F20" s="286">
        <f t="shared" si="0"/>
        <v>0</v>
      </c>
      <c r="G20" s="286">
        <f t="shared" si="0"/>
        <v>0</v>
      </c>
      <c r="H20" s="286">
        <f t="shared" si="0"/>
        <v>0</v>
      </c>
      <c r="I20" s="286">
        <f t="shared" si="0"/>
        <v>0</v>
      </c>
      <c r="J20" s="286">
        <f t="shared" si="0"/>
        <v>0</v>
      </c>
      <c r="K20" s="286">
        <f t="shared" si="0"/>
        <v>0</v>
      </c>
      <c r="L20" s="286">
        <f t="shared" si="0"/>
        <v>0</v>
      </c>
      <c r="M20" s="286" t="e">
        <f t="shared" si="0"/>
        <v>#REF!</v>
      </c>
      <c r="N20" s="286">
        <f t="shared" si="0"/>
        <v>0</v>
      </c>
      <c r="O20" s="286" t="e">
        <f t="shared" si="0"/>
        <v>#REF!</v>
      </c>
      <c r="P20" s="286">
        <f t="shared" si="0"/>
        <v>0</v>
      </c>
      <c r="Q20" s="286">
        <f t="shared" si="0"/>
        <v>0</v>
      </c>
      <c r="R20" s="286" t="e">
        <f t="shared" si="0"/>
        <v>#REF!</v>
      </c>
      <c r="S20" s="286" t="e">
        <f t="shared" si="0"/>
        <v>#REF!</v>
      </c>
      <c r="T20" s="286"/>
      <c r="U20" s="216"/>
      <c r="V20" s="216"/>
      <c r="W20" s="216"/>
      <c r="X20" s="216"/>
      <c r="Y20" s="216"/>
      <c r="Z20" s="216"/>
      <c r="AA20" s="216">
        <f>'[14]New KPI vs BP'!$DV$20</f>
        <v>0.15887075059823197</v>
      </c>
      <c r="AB20" s="216"/>
      <c r="AC20" s="216"/>
      <c r="AD20" s="216"/>
      <c r="AE20" s="216"/>
      <c r="AF20" s="216"/>
      <c r="AG20" s="216"/>
      <c r="AH20" s="216"/>
    </row>
    <row r="21" spans="2:34" ht="18">
      <c r="B21" s="221"/>
      <c r="D21" s="262"/>
      <c r="E21" s="433" t="s">
        <v>285</v>
      </c>
      <c r="F21" s="434" t="s">
        <v>286</v>
      </c>
      <c r="G21" s="262"/>
      <c r="H21" s="262"/>
      <c r="I21" s="428"/>
      <c r="J21" s="428"/>
      <c r="K21" s="262"/>
      <c r="L21" s="262"/>
      <c r="M21" s="262"/>
      <c r="N21" s="262"/>
      <c r="O21" s="262"/>
      <c r="P21" s="262"/>
      <c r="Q21" s="262"/>
      <c r="R21" s="262"/>
      <c r="S21" s="221"/>
      <c r="T21" s="221"/>
      <c r="U21" s="221"/>
      <c r="V21" s="221"/>
      <c r="W21" s="221"/>
      <c r="AC21" s="221"/>
    </row>
    <row r="22" spans="2:34" ht="18">
      <c r="B22" s="216"/>
      <c r="C22" s="266"/>
      <c r="D22" s="267"/>
      <c r="E22" s="267"/>
      <c r="F22" s="267"/>
      <c r="G22" s="267"/>
      <c r="H22" s="267"/>
      <c r="I22" s="267"/>
      <c r="J22" s="267"/>
      <c r="K22" s="267"/>
      <c r="L22" s="267"/>
      <c r="M22" s="267"/>
      <c r="N22" s="267"/>
      <c r="O22" s="267"/>
      <c r="P22" s="267"/>
      <c r="Q22" s="267"/>
      <c r="R22" s="267"/>
      <c r="S22" s="216"/>
      <c r="T22" s="216"/>
      <c r="V22" s="216"/>
      <c r="W22" s="216"/>
      <c r="AC22" s="216"/>
    </row>
    <row r="23" spans="2:34" ht="20.25">
      <c r="B23" s="221" t="s">
        <v>277</v>
      </c>
      <c r="C23" s="426">
        <f>C61</f>
        <v>-11.098059441164381</v>
      </c>
      <c r="D23" s="216"/>
      <c r="E23" s="216" t="s">
        <v>281</v>
      </c>
      <c r="F23" s="216" t="s">
        <v>274</v>
      </c>
      <c r="G23" s="216"/>
      <c r="H23" s="216"/>
      <c r="I23" s="634" t="s">
        <v>188</v>
      </c>
      <c r="J23" s="274"/>
      <c r="K23" s="274"/>
      <c r="L23" s="274"/>
      <c r="M23" s="275" t="e">
        <f>M19</f>
        <v>#REF!</v>
      </c>
      <c r="N23" s="216"/>
      <c r="P23" s="273" t="s">
        <v>191</v>
      </c>
      <c r="Q23" s="274"/>
      <c r="R23" s="274"/>
      <c r="S23" s="294" t="e">
        <f>S19</f>
        <v>#REF!</v>
      </c>
      <c r="T23" s="216"/>
      <c r="U23" s="431">
        <f>-S67+S27</f>
        <v>-17.88850524302287</v>
      </c>
      <c r="V23" s="216"/>
      <c r="W23" s="216"/>
      <c r="X23" s="263" t="s">
        <v>185</v>
      </c>
      <c r="Y23" s="264"/>
      <c r="Z23" s="264"/>
      <c r="AA23" s="265" t="e">
        <f>AD19</f>
        <v>#REF!</v>
      </c>
      <c r="AC23" s="216"/>
      <c r="AE23" s="263" t="s">
        <v>186</v>
      </c>
      <c r="AF23" s="264"/>
      <c r="AG23" s="264"/>
      <c r="AH23" s="265" t="e">
        <f>AH19</f>
        <v>#REF!</v>
      </c>
    </row>
    <row r="24" spans="2:34" ht="18">
      <c r="B24" s="216" t="s">
        <v>278</v>
      </c>
      <c r="C24" s="426" t="e">
        <f>-#REF!</f>
        <v>#REF!</v>
      </c>
      <c r="D24" s="216"/>
      <c r="E24" s="435" t="e">
        <f>C24-F24</f>
        <v>#REF!</v>
      </c>
      <c r="F24" s="436">
        <v>0.73312859726109303</v>
      </c>
      <c r="G24" s="216"/>
      <c r="H24" s="216"/>
      <c r="I24" s="279">
        <v>1</v>
      </c>
      <c r="J24" s="635" t="str">
        <f>J66</f>
        <v>Supplier claims</v>
      </c>
      <c r="K24" s="270"/>
      <c r="L24" s="270"/>
      <c r="M24" s="743">
        <f>M66</f>
        <v>29.2</v>
      </c>
      <c r="N24" s="216"/>
      <c r="P24" s="279">
        <v>1</v>
      </c>
      <c r="Q24" s="269" t="str">
        <f>Q66</f>
        <v>UC</v>
      </c>
      <c r="R24" s="270"/>
      <c r="S24" s="743">
        <f>S66</f>
        <v>-6.6913162811723783</v>
      </c>
      <c r="T24" s="216"/>
      <c r="U24" s="216"/>
      <c r="V24" s="216"/>
      <c r="W24" s="216"/>
      <c r="X24" s="268">
        <v>1</v>
      </c>
      <c r="Y24" s="269" t="str">
        <f>Y66</f>
        <v>Capacity reservation</v>
      </c>
      <c r="Z24" s="270"/>
      <c r="AA24" s="874">
        <f>AA66</f>
        <v>89.459330065445016</v>
      </c>
      <c r="AC24" s="216"/>
      <c r="AE24" s="268">
        <v>1</v>
      </c>
      <c r="AF24" s="269" t="s">
        <v>187</v>
      </c>
      <c r="AG24" s="270"/>
      <c r="AH24" s="874" t="e">
        <f>AH66</f>
        <v>#REF!</v>
      </c>
    </row>
    <row r="25" spans="2:34" ht="18">
      <c r="B25" s="216" t="s">
        <v>279</v>
      </c>
      <c r="C25" s="427" t="e">
        <f>-#REF!</f>
        <v>#REF!</v>
      </c>
      <c r="D25" s="216"/>
      <c r="E25" s="216"/>
      <c r="F25" s="216"/>
      <c r="G25" s="216"/>
      <c r="H25" s="216"/>
      <c r="I25" s="279">
        <v>2</v>
      </c>
      <c r="J25" s="276" t="str">
        <f t="shared" ref="J25:J31" si="1">J67</f>
        <v>Renault TP increase</v>
      </c>
      <c r="K25" s="277"/>
      <c r="L25" s="277"/>
      <c r="M25" s="736">
        <f t="shared" ref="M25:M31" si="2">M67</f>
        <v>-8</v>
      </c>
      <c r="N25" s="216"/>
      <c r="P25" s="279">
        <v>2</v>
      </c>
      <c r="Q25" s="276" t="str">
        <f t="shared" ref="Q25:Q33" si="3">Q67</f>
        <v>Export</v>
      </c>
      <c r="R25" s="277"/>
      <c r="S25" s="736">
        <f t="shared" ref="S25:S33" si="4">S67</f>
        <v>1.7419396920379935</v>
      </c>
      <c r="T25" s="216"/>
      <c r="U25" s="216"/>
      <c r="V25" s="216"/>
      <c r="W25" s="216"/>
      <c r="X25" s="268">
        <v>2</v>
      </c>
      <c r="Y25" s="276" t="str">
        <f t="shared" ref="Y25:Y27" si="5">Y67</f>
        <v>NAE</v>
      </c>
      <c r="Z25" s="277"/>
      <c r="AA25" s="760">
        <f t="shared" ref="AA25:AA27" si="6">AA67</f>
        <v>7.7363327824277004</v>
      </c>
      <c r="AC25" s="216"/>
      <c r="AE25" s="268">
        <v>2</v>
      </c>
      <c r="AF25" s="276"/>
      <c r="AG25" s="277"/>
      <c r="AH25" s="278"/>
    </row>
    <row r="26" spans="2:34" ht="18">
      <c r="B26" s="216" t="s">
        <v>280</v>
      </c>
      <c r="C26" s="438" t="e">
        <f>(M52-N9)</f>
        <v>#REF!</v>
      </c>
      <c r="D26" s="216"/>
      <c r="E26" s="216"/>
      <c r="F26" s="216"/>
      <c r="G26" s="216"/>
      <c r="H26" s="216"/>
      <c r="I26" s="279">
        <v>3</v>
      </c>
      <c r="J26" s="276" t="str">
        <f t="shared" si="1"/>
        <v>Avila sales to Renault</v>
      </c>
      <c r="K26" s="277"/>
      <c r="L26" s="277"/>
      <c r="M26" s="736">
        <f t="shared" si="2"/>
        <v>3.2</v>
      </c>
      <c r="N26" s="216"/>
      <c r="P26" s="279">
        <v>3</v>
      </c>
      <c r="Q26" s="276" t="str">
        <f t="shared" si="3"/>
        <v>NRV</v>
      </c>
      <c r="R26" s="277"/>
      <c r="S26" s="736">
        <f t="shared" si="4"/>
        <v>-6.7957609086979351</v>
      </c>
      <c r="T26" s="216"/>
      <c r="U26" s="216"/>
      <c r="V26" s="216"/>
      <c r="W26" s="216"/>
      <c r="X26" s="268">
        <v>3</v>
      </c>
      <c r="Y26" s="276"/>
      <c r="Z26" s="277"/>
      <c r="AA26" s="760"/>
      <c r="AC26" s="216"/>
      <c r="AE26" s="268">
        <v>3</v>
      </c>
      <c r="AF26" s="276"/>
      <c r="AG26" s="277"/>
      <c r="AH26" s="278"/>
    </row>
    <row r="27" spans="2:34" ht="18">
      <c r="B27" s="216"/>
      <c r="C27" s="216"/>
      <c r="D27" s="272"/>
      <c r="E27" s="329"/>
      <c r="F27" s="272"/>
      <c r="G27" s="272"/>
      <c r="H27" s="272"/>
      <c r="I27" s="279">
        <v>4</v>
      </c>
      <c r="J27" s="276"/>
      <c r="K27" s="277"/>
      <c r="L27" s="277"/>
      <c r="M27" s="736"/>
      <c r="N27" s="216"/>
      <c r="P27" s="279">
        <v>4</v>
      </c>
      <c r="Q27" s="276" t="str">
        <f t="shared" si="3"/>
        <v>UP</v>
      </c>
      <c r="R27" s="277"/>
      <c r="S27" s="760">
        <f t="shared" si="4"/>
        <v>-16.146565550984874</v>
      </c>
      <c r="T27" s="216"/>
      <c r="U27" s="216"/>
      <c r="V27" s="216"/>
      <c r="W27" s="216"/>
      <c r="X27" s="268">
        <v>4</v>
      </c>
      <c r="Y27" s="276" t="str">
        <f t="shared" si="5"/>
        <v>Others</v>
      </c>
      <c r="Z27" s="277"/>
      <c r="AA27" s="760">
        <f t="shared" si="6"/>
        <v>2</v>
      </c>
      <c r="AC27" s="216"/>
      <c r="AE27" s="268">
        <v>4</v>
      </c>
      <c r="AF27" s="276"/>
      <c r="AG27" s="277"/>
      <c r="AH27" s="278"/>
    </row>
    <row r="28" spans="2:34" ht="18">
      <c r="B28" s="216"/>
      <c r="C28" s="272"/>
      <c r="D28" s="216"/>
      <c r="E28" s="216"/>
      <c r="F28" s="216"/>
      <c r="G28" s="216"/>
      <c r="H28" s="216"/>
      <c r="I28" s="279">
        <v>5</v>
      </c>
      <c r="J28" s="276" t="str">
        <f t="shared" si="1"/>
        <v>X-badge TP</v>
      </c>
      <c r="K28" s="277"/>
      <c r="L28" s="277"/>
      <c r="M28" s="736">
        <f t="shared" si="2"/>
        <v>1.0324821489999998</v>
      </c>
      <c r="N28" s="216"/>
      <c r="P28" s="279">
        <v>5</v>
      </c>
      <c r="Q28" s="278" t="str">
        <f t="shared" si="3"/>
        <v>UED</v>
      </c>
      <c r="R28" s="277"/>
      <c r="S28" s="760">
        <f t="shared" si="4"/>
        <v>21.86946234417838</v>
      </c>
      <c r="T28" s="216"/>
      <c r="U28" s="216"/>
      <c r="V28" s="216"/>
      <c r="W28" s="216"/>
      <c r="X28" s="282">
        <v>5</v>
      </c>
      <c r="Y28" s="283" t="s">
        <v>182</v>
      </c>
      <c r="Z28" s="284"/>
      <c r="AA28" s="820" t="e">
        <f>AA23-SUM(AA24:AA27)</f>
        <v>#REF!</v>
      </c>
      <c r="AC28" s="216"/>
      <c r="AE28" s="282">
        <v>5</v>
      </c>
      <c r="AF28" s="283" t="s">
        <v>182</v>
      </c>
      <c r="AG28" s="284"/>
      <c r="AH28" s="285" t="e">
        <f>AH23-SUM(AH24:AH27)</f>
        <v>#REF!</v>
      </c>
    </row>
    <row r="29" spans="2:34" ht="18">
      <c r="B29" s="216"/>
      <c r="C29" s="272"/>
      <c r="D29" s="216"/>
      <c r="E29" s="334"/>
      <c r="F29" s="216"/>
      <c r="G29" s="216"/>
      <c r="H29" s="216"/>
      <c r="I29" s="279">
        <v>6</v>
      </c>
      <c r="J29" s="276" t="str">
        <f t="shared" si="1"/>
        <v>Duties for CBUs</v>
      </c>
      <c r="K29" s="277"/>
      <c r="L29" s="277"/>
      <c r="M29" s="736">
        <f t="shared" si="2"/>
        <v>4.2392647000000006E-2</v>
      </c>
      <c r="N29" s="216"/>
      <c r="P29" s="279">
        <v>6</v>
      </c>
      <c r="Q29" s="278" t="str">
        <f t="shared" si="3"/>
        <v>VAT not recoverable</v>
      </c>
      <c r="R29" s="277"/>
      <c r="S29" s="760">
        <f t="shared" si="4"/>
        <v>-0.62042864000000009</v>
      </c>
      <c r="T29" s="216"/>
      <c r="U29" s="216"/>
      <c r="V29" s="216"/>
      <c r="W29" s="216"/>
      <c r="X29" s="216"/>
      <c r="Y29" s="216"/>
      <c r="Z29" s="216"/>
      <c r="AA29" s="286" t="e">
        <f>AA28-AA70</f>
        <v>#REF!</v>
      </c>
      <c r="AC29" s="216"/>
      <c r="AD29" s="216"/>
      <c r="AE29" s="216"/>
      <c r="AF29" s="216"/>
      <c r="AG29" s="287"/>
      <c r="AH29" s="286" t="e">
        <f>AH28-AH70</f>
        <v>#REF!</v>
      </c>
    </row>
    <row r="30" spans="2:34" ht="18">
      <c r="B30" s="216"/>
      <c r="C30" s="272"/>
      <c r="D30" s="272"/>
      <c r="E30" s="216"/>
      <c r="F30" s="216"/>
      <c r="G30" s="216"/>
      <c r="H30" s="216"/>
      <c r="I30" s="279">
        <v>7</v>
      </c>
      <c r="J30" s="276" t="str">
        <f t="shared" si="1"/>
        <v>Outbound logistics</v>
      </c>
      <c r="K30" s="277"/>
      <c r="L30" s="277"/>
      <c r="M30" s="736">
        <f t="shared" si="2"/>
        <v>0.81114976400000138</v>
      </c>
      <c r="N30" s="216"/>
      <c r="P30" s="279">
        <v>7</v>
      </c>
      <c r="Q30" s="276" t="str">
        <f t="shared" si="3"/>
        <v>CAFÉ</v>
      </c>
      <c r="R30" s="277"/>
      <c r="S30" s="760">
        <f t="shared" si="4"/>
        <v>11</v>
      </c>
      <c r="T30" s="216"/>
      <c r="U30" s="216"/>
      <c r="V30" s="216"/>
      <c r="W30" s="216"/>
      <c r="X30" s="216"/>
      <c r="Y30" s="216"/>
      <c r="Z30" s="216"/>
      <c r="AA30" s="216"/>
      <c r="AB30" s="216"/>
      <c r="AC30" s="216"/>
      <c r="AD30" s="216"/>
      <c r="AE30" s="216"/>
      <c r="AF30" s="216"/>
      <c r="AG30" s="216"/>
      <c r="AH30" s="216"/>
    </row>
    <row r="31" spans="2:34" ht="18">
      <c r="B31" s="216"/>
      <c r="C31" s="291"/>
      <c r="D31" s="216"/>
      <c r="E31" s="216"/>
      <c r="F31" s="292" t="s">
        <v>189</v>
      </c>
      <c r="G31" s="216"/>
      <c r="H31" s="216"/>
      <c r="I31" s="279">
        <v>8</v>
      </c>
      <c r="J31" s="672" t="str">
        <f t="shared" si="1"/>
        <v>MZ Others</v>
      </c>
      <c r="K31" s="277"/>
      <c r="L31" s="277"/>
      <c r="M31" s="736">
        <f t="shared" si="2"/>
        <v>1.6911000509043284</v>
      </c>
      <c r="N31" s="216"/>
      <c r="P31" s="279">
        <v>8</v>
      </c>
      <c r="Q31" s="276" t="str">
        <f t="shared" si="3"/>
        <v>Energy</v>
      </c>
      <c r="R31" s="277"/>
      <c r="S31" s="760">
        <f t="shared" si="4"/>
        <v>1</v>
      </c>
      <c r="T31" s="216"/>
      <c r="U31" s="216"/>
      <c r="V31" s="216"/>
      <c r="W31" s="216"/>
      <c r="X31" s="216"/>
      <c r="Y31" s="216"/>
      <c r="Z31" s="216"/>
      <c r="AA31" s="216"/>
      <c r="AB31" s="216"/>
      <c r="AC31" s="216"/>
      <c r="AD31" s="216"/>
      <c r="AE31" s="216"/>
      <c r="AF31" s="216"/>
      <c r="AG31" s="216"/>
      <c r="AH31" s="216"/>
    </row>
    <row r="32" spans="2:34" ht="18">
      <c r="B32" s="216"/>
      <c r="C32" s="720"/>
      <c r="D32" s="798" t="s">
        <v>63</v>
      </c>
      <c r="E32" s="798" t="s">
        <v>287</v>
      </c>
      <c r="F32" s="798" t="s">
        <v>190</v>
      </c>
      <c r="G32" s="216"/>
      <c r="H32" s="216"/>
      <c r="I32" s="288">
        <v>9</v>
      </c>
      <c r="J32" s="881" t="s">
        <v>182</v>
      </c>
      <c r="K32" s="284"/>
      <c r="L32" s="284"/>
      <c r="M32" s="761" t="e">
        <f>M23-SUM(M24:M31)</f>
        <v>#REF!</v>
      </c>
      <c r="N32" s="216"/>
      <c r="P32" s="279">
        <v>9</v>
      </c>
      <c r="Q32" s="276" t="str">
        <f t="shared" si="3"/>
        <v>SCOS</v>
      </c>
      <c r="R32" s="277"/>
      <c r="S32" s="760">
        <f t="shared" si="4"/>
        <v>-5.9807710910248577</v>
      </c>
      <c r="T32" s="216"/>
      <c r="U32" s="272"/>
      <c r="V32" s="272"/>
      <c r="W32" s="272"/>
      <c r="X32" s="216"/>
      <c r="Y32" s="216"/>
      <c r="Z32" s="216"/>
      <c r="AA32" s="216"/>
      <c r="AB32" s="216"/>
      <c r="AC32" s="216"/>
      <c r="AD32" s="216"/>
      <c r="AE32" s="216"/>
      <c r="AF32" s="216"/>
      <c r="AG32" s="216"/>
      <c r="AH32" s="216"/>
    </row>
    <row r="33" spans="2:34" ht="20.25">
      <c r="B33" s="216"/>
      <c r="C33" s="799" t="s">
        <v>192</v>
      </c>
      <c r="D33" s="800">
        <f>'[14]P&amp;L vs BP'!$CL$24</f>
        <v>263767</v>
      </c>
      <c r="E33" s="800">
        <f>'[14]P&amp;L vs BP'!$CK$24</f>
        <v>257943</v>
      </c>
      <c r="F33" s="800">
        <f>E33-D33</f>
        <v>-5824</v>
      </c>
      <c r="G33" s="216"/>
      <c r="H33" s="216"/>
      <c r="I33" s="216"/>
      <c r="J33" s="216"/>
      <c r="K33" s="216"/>
      <c r="L33" s="216"/>
      <c r="M33" s="286" t="e">
        <f>M32-M74</f>
        <v>#REF!</v>
      </c>
      <c r="N33" s="216"/>
      <c r="P33" s="279"/>
      <c r="Q33" s="276" t="str">
        <f t="shared" si="3"/>
        <v>VAT not recoverable</v>
      </c>
      <c r="R33" s="277"/>
      <c r="S33" s="760">
        <f t="shared" si="4"/>
        <v>0.6</v>
      </c>
      <c r="T33" s="216"/>
      <c r="U33" s="216"/>
      <c r="V33" s="216"/>
      <c r="W33" s="216"/>
      <c r="X33" s="297"/>
      <c r="Y33" s="216"/>
      <c r="Z33" s="216"/>
      <c r="AA33" s="216"/>
      <c r="AB33" s="216"/>
      <c r="AC33" s="216"/>
      <c r="AD33" s="216"/>
      <c r="AE33" s="216"/>
      <c r="AF33" s="216"/>
      <c r="AG33" s="216"/>
      <c r="AH33" s="216"/>
    </row>
    <row r="34" spans="2:34" ht="20.25">
      <c r="B34" s="216"/>
      <c r="C34" s="799" t="s">
        <v>194</v>
      </c>
      <c r="D34" s="800">
        <f>'[14]P&amp;L vs BP'!$CL$27</f>
        <v>8397</v>
      </c>
      <c r="E34" s="800">
        <f>'[14]P&amp;L vs BP'!$CK$27</f>
        <v>6526</v>
      </c>
      <c r="F34" s="800">
        <f>E34-D34</f>
        <v>-1871</v>
      </c>
      <c r="G34" s="216"/>
      <c r="H34" s="216"/>
      <c r="I34" s="216"/>
      <c r="J34" s="216"/>
      <c r="K34" s="216"/>
      <c r="L34" s="216"/>
      <c r="M34" s="216"/>
      <c r="N34" s="216"/>
      <c r="O34" s="216"/>
      <c r="P34" s="288">
        <v>10</v>
      </c>
      <c r="Q34" s="283" t="s">
        <v>182</v>
      </c>
      <c r="R34" s="284"/>
      <c r="S34" s="820" t="e">
        <f>S23-SUM(S24:S33)</f>
        <v>#REF!</v>
      </c>
      <c r="T34" s="216"/>
      <c r="U34" s="216"/>
      <c r="V34" s="216"/>
      <c r="W34" s="216"/>
      <c r="X34" s="216"/>
      <c r="Y34" s="216"/>
      <c r="Z34" s="216"/>
      <c r="AA34" s="216"/>
      <c r="AB34" s="216"/>
      <c r="AC34" s="216"/>
      <c r="AD34" s="216"/>
      <c r="AE34" s="216"/>
      <c r="AF34" s="216"/>
      <c r="AG34" s="216"/>
      <c r="AH34" s="216"/>
    </row>
    <row r="35" spans="2:34">
      <c r="B35" s="216"/>
      <c r="C35" s="720"/>
      <c r="D35" s="840"/>
      <c r="E35" s="840"/>
      <c r="F35" s="840"/>
      <c r="G35" s="216"/>
      <c r="H35" s="216"/>
      <c r="I35" s="216"/>
      <c r="J35" s="216"/>
      <c r="K35" s="216"/>
      <c r="L35" s="216"/>
      <c r="M35" s="216"/>
      <c r="N35" s="216"/>
      <c r="P35" s="216"/>
      <c r="Q35" s="216"/>
      <c r="R35" s="216"/>
      <c r="S35" s="286" t="e">
        <f>S34-S76</f>
        <v>#REF!</v>
      </c>
      <c r="U35" s="216"/>
      <c r="V35" s="216"/>
      <c r="W35" s="216"/>
      <c r="X35" s="216"/>
      <c r="Y35" s="216"/>
      <c r="Z35" s="216"/>
      <c r="AA35" s="216"/>
      <c r="AB35" s="216"/>
      <c r="AC35" s="216"/>
      <c r="AD35" s="216"/>
      <c r="AE35" s="216"/>
      <c r="AF35" s="216"/>
      <c r="AG35" s="216"/>
      <c r="AH35" s="216"/>
    </row>
    <row r="36" spans="2:34" ht="20.25">
      <c r="B36" s="216"/>
      <c r="C36" s="799" t="s">
        <v>196</v>
      </c>
      <c r="D36" s="800">
        <f>'[14]P&amp;L vs BP'!$CL$18</f>
        <v>229070.2</v>
      </c>
      <c r="E36" s="800" t="e">
        <f>#REF!</f>
        <v>#REF!</v>
      </c>
      <c r="F36" s="800" t="e">
        <f>E36-D36</f>
        <v>#REF!</v>
      </c>
      <c r="G36" s="216"/>
      <c r="H36" s="216"/>
      <c r="I36" s="216"/>
      <c r="J36" s="216"/>
      <c r="K36" s="216"/>
      <c r="L36" s="216"/>
      <c r="M36" s="216"/>
      <c r="N36" s="216"/>
      <c r="U36" s="216"/>
      <c r="V36" s="216"/>
      <c r="W36" s="216"/>
      <c r="X36" s="216"/>
      <c r="Y36" s="216"/>
      <c r="Z36" s="216"/>
      <c r="AA36" s="216"/>
      <c r="AB36" s="216"/>
      <c r="AC36" s="216"/>
      <c r="AD36" s="216"/>
      <c r="AE36" s="216"/>
      <c r="AF36" s="216"/>
      <c r="AG36" s="216"/>
      <c r="AH36" s="216"/>
    </row>
    <row r="37" spans="2:34">
      <c r="B37" s="216"/>
      <c r="C37" s="216"/>
      <c r="D37" s="216"/>
      <c r="E37" s="216"/>
      <c r="F37" s="216"/>
      <c r="G37" s="216"/>
      <c r="H37" s="216"/>
      <c r="I37" s="216"/>
      <c r="J37" s="216"/>
      <c r="K37" s="216"/>
      <c r="L37" s="216"/>
      <c r="M37" s="216"/>
      <c r="N37" s="216"/>
      <c r="U37" s="216"/>
      <c r="V37" s="216"/>
      <c r="W37" s="216"/>
      <c r="X37" s="216"/>
      <c r="Y37" s="216"/>
      <c r="Z37" s="216"/>
      <c r="AA37" s="216"/>
      <c r="AB37" s="216"/>
      <c r="AC37" s="216"/>
      <c r="AD37" s="216"/>
      <c r="AE37" s="216"/>
      <c r="AF37" s="216"/>
      <c r="AG37" s="216"/>
      <c r="AH37" s="216"/>
    </row>
    <row r="38" spans="2:34">
      <c r="B38" s="216"/>
      <c r="C38" s="216"/>
      <c r="D38" s="216"/>
      <c r="E38" s="216"/>
      <c r="F38" s="216"/>
      <c r="G38" s="216"/>
      <c r="H38" s="216"/>
      <c r="I38" s="216"/>
      <c r="J38" s="216"/>
      <c r="K38" s="216"/>
      <c r="L38" s="216"/>
      <c r="M38" s="216"/>
      <c r="N38" s="216"/>
      <c r="U38" s="216"/>
      <c r="V38" s="216"/>
      <c r="W38" s="216"/>
      <c r="X38" s="216"/>
      <c r="Y38" s="216"/>
      <c r="Z38" s="216"/>
      <c r="AA38" s="216"/>
      <c r="AB38" s="216"/>
      <c r="AC38" s="216"/>
      <c r="AD38" s="216"/>
      <c r="AE38" s="216"/>
      <c r="AF38" s="216"/>
      <c r="AG38" s="216"/>
      <c r="AH38" s="216"/>
    </row>
    <row r="39" spans="2:34">
      <c r="B39" s="216"/>
      <c r="C39" s="216"/>
      <c r="D39" s="216"/>
      <c r="E39" s="216"/>
      <c r="F39" s="216"/>
      <c r="G39" s="216"/>
      <c r="H39" s="216"/>
      <c r="I39" s="216"/>
      <c r="J39" s="216"/>
      <c r="K39" s="216"/>
      <c r="L39" s="216"/>
      <c r="M39" s="216"/>
      <c r="N39" s="216"/>
      <c r="U39" s="216"/>
      <c r="V39" s="216"/>
      <c r="W39" s="216"/>
      <c r="X39" s="216"/>
      <c r="Y39" s="216"/>
      <c r="Z39" s="216"/>
      <c r="AA39" s="216"/>
      <c r="AB39" s="216"/>
      <c r="AC39" s="216"/>
      <c r="AD39" s="216"/>
      <c r="AE39" s="216"/>
      <c r="AF39" s="216"/>
      <c r="AG39" s="216"/>
      <c r="AH39" s="216"/>
    </row>
    <row r="40" spans="2:34">
      <c r="B40" s="216"/>
      <c r="C40" s="216"/>
      <c r="D40" s="216"/>
      <c r="E40" s="216"/>
      <c r="F40" s="216"/>
      <c r="G40" s="216"/>
      <c r="H40" s="216"/>
      <c r="I40" s="216"/>
      <c r="J40" s="216"/>
      <c r="K40" s="216"/>
      <c r="L40" s="216"/>
      <c r="M40" s="216"/>
      <c r="N40" s="216"/>
      <c r="U40" s="216"/>
      <c r="V40" s="216"/>
      <c r="W40" s="216"/>
      <c r="X40" s="216"/>
      <c r="Y40" s="216"/>
      <c r="Z40" s="216"/>
      <c r="AA40" s="216"/>
      <c r="AB40" s="216"/>
      <c r="AC40" s="216"/>
      <c r="AD40" s="216"/>
      <c r="AE40" s="216"/>
      <c r="AF40" s="216"/>
      <c r="AG40" s="216"/>
      <c r="AH40" s="216"/>
    </row>
    <row r="41" spans="2:34">
      <c r="B41" s="216"/>
      <c r="C41" s="216"/>
      <c r="D41" s="216"/>
      <c r="E41" s="216"/>
      <c r="F41" s="216"/>
      <c r="G41" s="216"/>
      <c r="H41" s="216"/>
      <c r="I41" s="216"/>
      <c r="J41" s="216"/>
      <c r="K41" s="216"/>
      <c r="L41" s="216"/>
      <c r="M41" s="216"/>
      <c r="N41" s="216"/>
      <c r="U41" s="216"/>
      <c r="V41" s="216"/>
      <c r="W41" s="216"/>
      <c r="X41" s="216"/>
      <c r="Y41" s="216"/>
      <c r="Z41" s="216"/>
      <c r="AA41" s="216"/>
      <c r="AB41" s="216"/>
      <c r="AC41" s="216"/>
      <c r="AD41" s="216"/>
      <c r="AE41" s="216"/>
      <c r="AF41" s="216"/>
      <c r="AG41" s="216"/>
      <c r="AH41" s="216"/>
    </row>
    <row r="42" spans="2:34">
      <c r="B42" s="216"/>
      <c r="C42" s="216"/>
      <c r="D42" s="216"/>
      <c r="E42" s="216"/>
      <c r="F42" s="216"/>
      <c r="G42" s="216"/>
      <c r="H42" s="216"/>
      <c r="I42" s="216"/>
      <c r="J42" s="216"/>
      <c r="K42" s="216"/>
      <c r="L42" s="216"/>
      <c r="M42" s="216"/>
      <c r="N42" s="216"/>
      <c r="U42" s="216"/>
      <c r="V42" s="216"/>
      <c r="W42" s="216"/>
      <c r="X42" s="216"/>
      <c r="Y42" s="216"/>
      <c r="Z42" s="216"/>
      <c r="AA42" s="216"/>
      <c r="AB42" s="216"/>
      <c r="AC42" s="216"/>
      <c r="AD42" s="216"/>
      <c r="AE42" s="216"/>
      <c r="AF42" s="216"/>
      <c r="AG42" s="216"/>
      <c r="AH42" s="216"/>
    </row>
    <row r="43" spans="2:34">
      <c r="B43" s="216"/>
      <c r="C43" s="216"/>
      <c r="D43" s="216"/>
      <c r="E43" s="216"/>
      <c r="F43" s="216"/>
      <c r="G43" s="216"/>
      <c r="H43" s="216"/>
      <c r="I43" s="216"/>
      <c r="J43" s="216"/>
      <c r="K43" s="216"/>
      <c r="L43" s="216"/>
      <c r="M43" s="216"/>
      <c r="N43" s="216"/>
      <c r="U43" s="216"/>
      <c r="V43" s="216"/>
      <c r="W43" s="216"/>
      <c r="X43" s="216"/>
      <c r="Y43" s="216"/>
      <c r="Z43" s="216"/>
      <c r="AA43" s="216"/>
      <c r="AB43" s="216"/>
      <c r="AC43" s="216"/>
      <c r="AD43" s="216"/>
      <c r="AE43" s="216"/>
      <c r="AF43" s="216"/>
      <c r="AG43" s="216"/>
      <c r="AH43" s="216"/>
    </row>
    <row r="44" spans="2:34" ht="28.5">
      <c r="B44" s="299" t="s">
        <v>197</v>
      </c>
      <c r="C44" s="216"/>
      <c r="D44" s="216"/>
      <c r="E44" s="216"/>
      <c r="F44" s="216"/>
      <c r="G44" s="216"/>
      <c r="H44" s="216"/>
      <c r="I44" s="216"/>
      <c r="J44" s="216"/>
      <c r="K44" s="216"/>
      <c r="L44" s="216"/>
      <c r="M44" s="216"/>
      <c r="N44" s="216"/>
      <c r="O44" s="216"/>
      <c r="P44" s="216"/>
      <c r="Q44" s="216"/>
      <c r="R44" s="216"/>
      <c r="S44" s="216"/>
      <c r="T44" s="216"/>
      <c r="U44" s="216"/>
      <c r="V44" s="216"/>
      <c r="W44" s="216"/>
      <c r="X44" s="216"/>
      <c r="Y44" s="216"/>
      <c r="Z44" s="216"/>
      <c r="AA44" s="216"/>
      <c r="AB44" s="216"/>
      <c r="AC44" s="216"/>
      <c r="AD44" s="216"/>
      <c r="AE44" s="216"/>
      <c r="AF44" s="216"/>
      <c r="AG44" s="216"/>
      <c r="AH44" s="216"/>
    </row>
    <row r="45" spans="2:34">
      <c r="B45" s="216"/>
      <c r="C45" s="216"/>
      <c r="D45" s="216"/>
      <c r="E45" s="216"/>
      <c r="F45" s="216"/>
      <c r="G45" s="216"/>
      <c r="H45" s="216"/>
      <c r="I45" s="216"/>
      <c r="J45" s="216"/>
      <c r="K45" s="216"/>
      <c r="L45" s="216"/>
      <c r="M45" s="216"/>
      <c r="N45" s="216"/>
      <c r="O45" s="216"/>
      <c r="P45" s="216"/>
      <c r="Q45" s="216"/>
      <c r="R45" s="216"/>
      <c r="S45" s="216"/>
      <c r="T45" s="216"/>
      <c r="U45" s="216"/>
      <c r="V45" s="216"/>
      <c r="W45" s="216"/>
      <c r="X45" s="216"/>
      <c r="Y45" s="216"/>
      <c r="Z45" s="216"/>
      <c r="AA45" s="216"/>
      <c r="AB45" s="216"/>
      <c r="AC45" s="216"/>
      <c r="AD45" s="216"/>
      <c r="AE45" s="216"/>
      <c r="AF45" s="216"/>
      <c r="AG45" s="216"/>
      <c r="AH45" s="216"/>
    </row>
    <row r="46" spans="2:34">
      <c r="B46" s="216"/>
      <c r="C46" s="216"/>
      <c r="D46" s="216"/>
      <c r="E46" s="216"/>
      <c r="F46" s="216"/>
      <c r="G46" s="216"/>
      <c r="H46" s="216"/>
      <c r="I46" s="216"/>
      <c r="J46" s="216"/>
      <c r="K46" s="216"/>
      <c r="L46" s="216"/>
      <c r="M46" s="216"/>
      <c r="N46" s="216"/>
      <c r="O46" s="216"/>
      <c r="P46" s="216"/>
      <c r="Q46" s="216"/>
      <c r="R46" s="216"/>
      <c r="S46" s="216"/>
      <c r="T46" s="216"/>
      <c r="U46" s="216"/>
      <c r="V46" s="216"/>
      <c r="W46" s="216"/>
      <c r="X46" s="216"/>
      <c r="Y46" s="216"/>
      <c r="Z46" s="216"/>
      <c r="AA46" s="216"/>
      <c r="AB46" s="216"/>
      <c r="AC46" s="216"/>
      <c r="AD46" s="216"/>
      <c r="AE46" s="216"/>
      <c r="AF46" s="216"/>
      <c r="AG46" s="216"/>
      <c r="AH46" s="216"/>
    </row>
    <row r="47" spans="2:34" ht="20.25">
      <c r="B47" s="216"/>
      <c r="C47" s="226" t="str">
        <f>B52</f>
        <v>FC YTD</v>
      </c>
      <c r="D47" s="226" t="str">
        <f>C52</f>
        <v>Act YTD</v>
      </c>
      <c r="E47" s="226" t="s">
        <v>320</v>
      </c>
      <c r="F47" s="226" t="s">
        <v>321</v>
      </c>
      <c r="G47" s="226" t="s">
        <v>322</v>
      </c>
      <c r="H47" s="797" t="s">
        <v>323</v>
      </c>
      <c r="I47" s="720"/>
      <c r="J47" s="216"/>
      <c r="K47" s="216"/>
      <c r="L47" s="216"/>
      <c r="M47" s="216"/>
      <c r="N47" s="216"/>
      <c r="O47" s="216"/>
      <c r="P47" s="216"/>
      <c r="Q47" s="216"/>
      <c r="R47" s="216"/>
      <c r="S47" s="216"/>
      <c r="T47" s="216"/>
      <c r="U47" s="216"/>
      <c r="V47" s="216"/>
      <c r="W47" s="216"/>
      <c r="X47" s="216"/>
      <c r="Y47" s="216"/>
      <c r="Z47" s="216"/>
      <c r="AA47" s="216"/>
      <c r="AB47" s="216"/>
      <c r="AC47" s="216"/>
      <c r="AD47" s="216"/>
      <c r="AE47" s="216"/>
      <c r="AF47" s="216"/>
      <c r="AG47" s="216"/>
      <c r="AH47" s="216"/>
    </row>
    <row r="48" spans="2:34" ht="20.25">
      <c r="B48" s="226" t="s">
        <v>324</v>
      </c>
      <c r="C48" s="229" t="e">
        <f>#REF!</f>
        <v>#REF!</v>
      </c>
      <c r="D48" s="229" t="e">
        <f>#REF!</f>
        <v>#REF!</v>
      </c>
      <c r="E48" s="226" t="e">
        <f>+D48-C48</f>
        <v>#REF!</v>
      </c>
      <c r="F48" s="226">
        <f>B61</f>
        <v>21.946508454036145</v>
      </c>
      <c r="G48" s="226" t="e">
        <f>SUM(C61:S61)</f>
        <v>#REF!</v>
      </c>
      <c r="H48" s="803" t="e">
        <f>E48-F48-G48</f>
        <v>#REF!</v>
      </c>
      <c r="I48" s="720"/>
      <c r="J48" s="216"/>
      <c r="K48" s="216"/>
      <c r="L48" s="216"/>
      <c r="M48" s="216"/>
      <c r="N48" s="216"/>
      <c r="O48" s="216"/>
      <c r="P48" s="216"/>
      <c r="Q48" s="216"/>
      <c r="R48" s="216"/>
      <c r="S48" s="216"/>
      <c r="T48" s="216"/>
      <c r="U48" s="216"/>
      <c r="V48" s="216"/>
      <c r="W48" s="216"/>
      <c r="X48" s="216"/>
      <c r="Y48" s="216"/>
      <c r="Z48" s="216"/>
      <c r="AA48" s="216"/>
      <c r="AB48" s="216"/>
      <c r="AC48" s="216"/>
      <c r="AD48" s="216"/>
      <c r="AE48" s="216"/>
      <c r="AF48" s="216"/>
      <c r="AG48" s="216"/>
      <c r="AH48" s="216"/>
    </row>
    <row r="49" spans="2:34" ht="20.25">
      <c r="B49" s="226" t="s">
        <v>325</v>
      </c>
      <c r="C49" s="229" t="e">
        <f>#REF!</f>
        <v>#REF!</v>
      </c>
      <c r="D49" s="229" t="e">
        <f>#REF!</f>
        <v>#REF!</v>
      </c>
      <c r="E49" s="226" t="e">
        <f>+D49-C49</f>
        <v>#REF!</v>
      </c>
      <c r="F49" s="226" t="e">
        <f>T61</f>
        <v>#REF!</v>
      </c>
      <c r="G49" s="226" t="e">
        <f>SUM(U61:AH61)</f>
        <v>#REF!</v>
      </c>
      <c r="H49" s="803" t="e">
        <f>E49-F49-G49</f>
        <v>#REF!</v>
      </c>
      <c r="I49" s="720"/>
      <c r="J49" s="216"/>
      <c r="K49" s="216"/>
      <c r="L49" s="216"/>
      <c r="M49" s="216"/>
      <c r="N49" s="216"/>
      <c r="O49" s="216"/>
      <c r="P49" s="216"/>
      <c r="Q49" s="216"/>
      <c r="R49" s="216"/>
      <c r="S49" s="216"/>
      <c r="T49" s="216"/>
      <c r="U49" s="216"/>
      <c r="V49" s="216"/>
      <c r="W49" s="216"/>
      <c r="X49" s="216"/>
      <c r="Y49" s="216"/>
      <c r="Z49" s="216"/>
      <c r="AA49" s="216"/>
      <c r="AB49" s="216"/>
      <c r="AC49" s="216"/>
      <c r="AD49" s="216"/>
      <c r="AE49" s="216"/>
      <c r="AF49" s="216"/>
      <c r="AG49" s="216"/>
      <c r="AH49" s="216"/>
    </row>
    <row r="50" spans="2:34" ht="20.25">
      <c r="B50" s="226" t="s">
        <v>326</v>
      </c>
      <c r="C50" s="226" t="e">
        <f>+C48+C49</f>
        <v>#REF!</v>
      </c>
      <c r="D50" s="226" t="e">
        <f>+D48+D49</f>
        <v>#REF!</v>
      </c>
      <c r="E50" s="226" t="e">
        <f>+D50-C50</f>
        <v>#REF!</v>
      </c>
      <c r="F50" s="226" t="e">
        <f>+E50-G50</f>
        <v>#REF!</v>
      </c>
      <c r="G50" s="226" t="e">
        <f>+G48+G49</f>
        <v>#REF!</v>
      </c>
      <c r="H50" s="803" t="e">
        <f>E50-F50-G50</f>
        <v>#REF!</v>
      </c>
      <c r="I50" s="720"/>
      <c r="J50" s="216"/>
      <c r="K50" s="216"/>
      <c r="L50" s="216"/>
      <c r="M50" s="216"/>
      <c r="N50" s="216"/>
      <c r="O50" s="216"/>
      <c r="P50" s="216"/>
      <c r="Q50" s="216"/>
      <c r="R50" s="216"/>
      <c r="S50" s="216"/>
      <c r="T50" s="216"/>
      <c r="U50" s="216"/>
      <c r="V50" s="216"/>
      <c r="W50" s="216"/>
      <c r="X50" s="216"/>
      <c r="Y50" s="216"/>
      <c r="Z50" s="216"/>
      <c r="AA50" s="216"/>
      <c r="AB50" s="216"/>
      <c r="AC50" s="216"/>
      <c r="AD50" s="216"/>
      <c r="AE50" s="216"/>
      <c r="AF50" s="216"/>
      <c r="AG50" s="216"/>
      <c r="AH50" s="216"/>
    </row>
    <row r="51" spans="2:34" ht="18">
      <c r="B51" s="215"/>
      <c r="C51" s="216"/>
      <c r="D51" s="215"/>
      <c r="E51" s="216"/>
      <c r="F51" s="215"/>
      <c r="G51" s="217" t="s">
        <v>138</v>
      </c>
      <c r="H51" s="720"/>
      <c r="I51" s="720"/>
      <c r="J51" s="216"/>
      <c r="K51" s="216"/>
      <c r="L51" s="216"/>
      <c r="M51" s="216"/>
      <c r="N51" s="216"/>
      <c r="O51" s="216"/>
      <c r="P51" s="216"/>
      <c r="Q51" s="216"/>
      <c r="R51" s="216"/>
      <c r="S51" s="216"/>
      <c r="T51" s="216"/>
      <c r="U51" s="216"/>
      <c r="V51" s="216"/>
      <c r="W51" s="216"/>
      <c r="X51" s="216"/>
      <c r="Y51" s="216"/>
      <c r="Z51" s="216"/>
      <c r="AA51" s="216"/>
      <c r="AB51" s="216"/>
      <c r="AC51" s="216"/>
      <c r="AD51" s="216"/>
      <c r="AE51" s="216"/>
      <c r="AF51" s="216"/>
      <c r="AG51" s="216"/>
      <c r="AH51" s="216"/>
    </row>
    <row r="52" spans="2:34" ht="20.100000000000001" customHeight="1">
      <c r="B52" s="1014" t="s">
        <v>211</v>
      </c>
      <c r="C52" s="1014" t="s">
        <v>210</v>
      </c>
      <c r="D52" s="218"/>
      <c r="E52" s="219"/>
      <c r="F52" s="219"/>
      <c r="G52" s="220"/>
      <c r="H52" s="720"/>
      <c r="I52" s="720"/>
      <c r="J52" s="216"/>
      <c r="K52" s="216"/>
      <c r="L52" s="720" t="s">
        <v>301</v>
      </c>
      <c r="M52" s="721">
        <f>SUM(E55:E57,G55)</f>
        <v>21.946508454036145</v>
      </c>
      <c r="N52" s="216"/>
      <c r="O52" s="221"/>
      <c r="P52" s="221"/>
      <c r="Q52" s="221"/>
      <c r="R52" s="216"/>
      <c r="S52" s="216"/>
      <c r="T52" s="216"/>
      <c r="U52" s="216"/>
      <c r="V52" s="216"/>
      <c r="W52" s="221"/>
      <c r="X52" s="221"/>
      <c r="Y52" s="221"/>
      <c r="Z52" s="221"/>
      <c r="AA52" s="221"/>
      <c r="AB52" s="221"/>
      <c r="AC52" s="216"/>
      <c r="AD52" s="216"/>
      <c r="AE52" s="221"/>
      <c r="AF52" s="221"/>
      <c r="AG52" s="221"/>
      <c r="AH52" s="221"/>
    </row>
    <row r="53" spans="2:34" ht="40.5">
      <c r="B53" s="1015"/>
      <c r="C53" s="1016"/>
      <c r="D53" s="222"/>
      <c r="E53" s="223" t="s">
        <v>154</v>
      </c>
      <c r="F53" s="224" t="s">
        <v>198</v>
      </c>
      <c r="G53" s="225" t="s">
        <v>156</v>
      </c>
      <c r="H53" s="720"/>
      <c r="I53" s="720" t="s">
        <v>208</v>
      </c>
      <c r="J53" s="216"/>
      <c r="K53" s="216"/>
      <c r="L53" s="720" t="s">
        <v>302</v>
      </c>
      <c r="M53" s="722" t="e">
        <f>SUM(U62:AH62,AJ66:AK66)</f>
        <v>#REF!</v>
      </c>
      <c r="N53" s="216"/>
      <c r="O53" s="216"/>
      <c r="P53" s="216"/>
      <c r="Q53" s="216"/>
      <c r="R53" s="216"/>
      <c r="S53" s="216"/>
      <c r="T53" s="216"/>
      <c r="V53" s="216"/>
      <c r="W53" s="216"/>
      <c r="X53" s="323" t="s">
        <v>556</v>
      </c>
      <c r="Y53" s="216"/>
      <c r="Z53" s="216"/>
      <c r="AA53" s="216"/>
      <c r="AB53" s="216"/>
      <c r="AC53" s="720" t="s">
        <v>266</v>
      </c>
      <c r="AD53" s="753">
        <v>89.459330065445016</v>
      </c>
      <c r="AE53" s="720" t="s">
        <v>452</v>
      </c>
      <c r="AF53" s="720"/>
      <c r="AG53" s="216"/>
      <c r="AH53" s="216"/>
    </row>
    <row r="54" spans="2:34" ht="20.25">
      <c r="B54" s="226" t="e">
        <f>#REF!</f>
        <v>#REF!</v>
      </c>
      <c r="C54" s="226" t="e">
        <f>#REF!</f>
        <v>#REF!</v>
      </c>
      <c r="D54" s="227" t="e">
        <f>C54-B54</f>
        <v>#REF!</v>
      </c>
      <c r="E54" s="228" t="e">
        <f>SUM(M52:M53)</f>
        <v>#REF!</v>
      </c>
      <c r="F54" s="228" t="e">
        <f>#REF!-M52</f>
        <v>#REF!</v>
      </c>
      <c r="G54" s="229" t="e">
        <f>#REF!-M53</f>
        <v>#REF!</v>
      </c>
      <c r="H54" s="720"/>
      <c r="I54" s="709" t="e">
        <f>SUM(E54:G54)-D54</f>
        <v>#REF!</v>
      </c>
      <c r="J54" s="216"/>
      <c r="K54" s="216"/>
      <c r="L54" s="216"/>
      <c r="M54" s="216"/>
      <c r="N54" s="216"/>
      <c r="O54" s="230"/>
      <c r="P54" s="216"/>
      <c r="Q54" s="216"/>
      <c r="R54" s="216"/>
      <c r="S54" s="216"/>
      <c r="T54" s="216"/>
      <c r="U54" s="216"/>
      <c r="V54" s="216"/>
      <c r="W54" s="230"/>
      <c r="X54" s="216" t="s">
        <v>555</v>
      </c>
      <c r="Y54" s="230"/>
      <c r="Z54" s="230"/>
      <c r="AA54" s="230"/>
      <c r="AB54" s="230"/>
      <c r="AC54" s="727" t="s">
        <v>269</v>
      </c>
      <c r="AD54" s="880">
        <f>6200/1000</f>
        <v>6.2</v>
      </c>
      <c r="AE54" s="727" t="s">
        <v>451</v>
      </c>
      <c r="AF54" s="727"/>
      <c r="AG54" s="230"/>
      <c r="AH54" s="230"/>
    </row>
    <row r="55" spans="2:34">
      <c r="B55" s="216"/>
      <c r="C55" s="216" t="s">
        <v>547</v>
      </c>
      <c r="D55" s="720" t="s">
        <v>139</v>
      </c>
      <c r="E55" s="723">
        <f>'[13]CMOR_YTD_vsFC-1'!$I$154+'[13]CMOR_YTD_vsFC-1'!$I$156+'[13]CMOR_YTD_vsFC-1'!$I$168</f>
        <v>22.740852594696431</v>
      </c>
      <c r="F55" s="720" t="s">
        <v>193</v>
      </c>
      <c r="G55" s="724">
        <f>'[13]CMOR_YTD_vsFC-1'!$I$169+'[13]CMOR_YTD_vsFC-1'!$I$157+'[13]CMOR_YTD_vsFC-1'!$I$159</f>
        <v>-1.1423397827619364E-2</v>
      </c>
      <c r="H55" s="216" t="s">
        <v>557</v>
      </c>
      <c r="I55" s="216"/>
      <c r="J55" s="216"/>
      <c r="K55" s="216"/>
      <c r="L55" s="216"/>
      <c r="M55" s="216"/>
      <c r="N55" s="216"/>
      <c r="O55" s="216"/>
      <c r="P55" s="216"/>
      <c r="Q55" s="216"/>
      <c r="R55" s="216"/>
      <c r="S55" s="216"/>
      <c r="T55" s="216"/>
      <c r="U55" s="216"/>
      <c r="V55" s="216"/>
      <c r="W55" s="720" t="s">
        <v>145</v>
      </c>
      <c r="X55" s="723">
        <f>[13]TABLE_YTD!$Z$82-Y55</f>
        <v>0.2007197310000014</v>
      </c>
      <c r="Y55" s="746">
        <f>'[13]CMOR_YTD_vsFC-1'!$I$161</f>
        <v>0.66270778400000008</v>
      </c>
      <c r="Z55" s="216" t="s">
        <v>554</v>
      </c>
      <c r="AA55" s="216"/>
      <c r="AB55" s="216"/>
      <c r="AC55" s="720" t="s">
        <v>141</v>
      </c>
      <c r="AD55" s="753">
        <v>-17.597635958000005</v>
      </c>
      <c r="AE55" s="720" t="s">
        <v>452</v>
      </c>
      <c r="AF55" s="216"/>
      <c r="AG55" s="216"/>
      <c r="AH55" s="216"/>
    </row>
    <row r="56" spans="2:34">
      <c r="B56" s="216"/>
      <c r="C56" s="216"/>
      <c r="D56" s="720" t="s">
        <v>200</v>
      </c>
      <c r="E56" s="723">
        <f>'[13]CMOR_YTD_vsFC-1'!$I$164+'[13]CMOR_YTD_vsFC-1'!$I$165</f>
        <v>-6.9193641832669073E-2</v>
      </c>
      <c r="F56" s="720" t="s">
        <v>561</v>
      </c>
      <c r="G56" s="720"/>
      <c r="H56" s="216"/>
      <c r="I56" s="216"/>
      <c r="J56" s="216"/>
      <c r="K56" s="216"/>
      <c r="L56" s="216"/>
      <c r="M56" s="216"/>
      <c r="N56" s="216"/>
      <c r="O56" s="216"/>
      <c r="P56" s="216"/>
      <c r="Q56" s="216"/>
      <c r="R56" s="216"/>
      <c r="S56" s="216"/>
      <c r="T56" s="216"/>
      <c r="W56" s="729" t="s">
        <v>193</v>
      </c>
      <c r="X56" s="668">
        <f>[13]TABLE_YTD!$Z$78-Y56</f>
        <v>0.62683816500000145</v>
      </c>
      <c r="Y56" s="805">
        <f>'[13]CMOR_YTD_vsFC-1'!$I$158</f>
        <v>0</v>
      </c>
      <c r="Z56" t="s">
        <v>558</v>
      </c>
      <c r="AC56" s="720" t="s">
        <v>144</v>
      </c>
      <c r="AD56" s="753" t="e">
        <f>AD61-SUM(AD53:AD55)</f>
        <v>#REF!</v>
      </c>
      <c r="AH56" s="216"/>
    </row>
    <row r="57" spans="2:34" ht="21" thickBot="1">
      <c r="B57" s="231" t="s">
        <v>157</v>
      </c>
      <c r="C57" s="232"/>
      <c r="D57" s="725" t="s">
        <v>145</v>
      </c>
      <c r="E57" s="726">
        <f>'[13]CMOR_YTD_vsFC-1'!$I$160+'[13]CMOR_YTD_vsFC-1'!$I$162+'[13]CMOR_YTD_vsFC-1'!$I$170</f>
        <v>-0.71372710099999637</v>
      </c>
      <c r="F57" s="725" t="s">
        <v>553</v>
      </c>
      <c r="G57" s="725"/>
      <c r="H57" s="232"/>
      <c r="I57" s="232"/>
      <c r="J57" s="232"/>
      <c r="K57" s="232"/>
      <c r="L57" s="232"/>
      <c r="M57" s="232"/>
      <c r="N57" s="232"/>
      <c r="O57" s="232"/>
      <c r="P57" s="232"/>
      <c r="Q57" s="232"/>
      <c r="R57" s="232"/>
      <c r="S57" s="232"/>
      <c r="T57" s="232"/>
      <c r="U57" s="232"/>
      <c r="V57" s="232"/>
      <c r="W57" s="725" t="s">
        <v>144</v>
      </c>
      <c r="X57" s="741" t="e">
        <f>X61-SUM(X55:X56)</f>
        <v>#REF!</v>
      </c>
      <c r="Y57" s="725"/>
      <c r="Z57" s="232"/>
      <c r="AA57" s="232"/>
      <c r="AB57" s="232"/>
      <c r="AC57" s="216"/>
      <c r="AD57" s="216"/>
      <c r="AE57" s="232"/>
      <c r="AF57" s="232"/>
      <c r="AG57" s="232"/>
      <c r="AH57" s="217" t="s">
        <v>138</v>
      </c>
    </row>
    <row r="58" spans="2:34" ht="21" thickBot="1">
      <c r="B58" s="233"/>
      <c r="C58" s="234" t="s">
        <v>199</v>
      </c>
      <c r="D58" s="234"/>
      <c r="E58" s="234"/>
      <c r="F58" s="234"/>
      <c r="G58" s="234"/>
      <c r="H58" s="234"/>
      <c r="I58" s="234"/>
      <c r="J58" s="234"/>
      <c r="K58" s="234"/>
      <c r="L58" s="234"/>
      <c r="M58" s="234"/>
      <c r="N58" s="234"/>
      <c r="O58" s="234"/>
      <c r="P58" s="234"/>
      <c r="Q58" s="234"/>
      <c r="R58" s="234"/>
      <c r="S58" s="235"/>
      <c r="T58" s="236"/>
      <c r="U58" s="237" t="s">
        <v>160</v>
      </c>
      <c r="V58" s="237"/>
      <c r="W58" s="237"/>
      <c r="X58" s="237"/>
      <c r="Y58" s="237"/>
      <c r="Z58" s="237"/>
      <c r="AA58" s="237"/>
      <c r="AB58" s="237"/>
      <c r="AC58" s="237"/>
      <c r="AD58" s="237"/>
      <c r="AE58" s="237"/>
      <c r="AF58" s="237"/>
      <c r="AG58" s="237"/>
      <c r="AH58" s="238"/>
    </row>
    <row r="59" spans="2:34" ht="20.25">
      <c r="B59" s="1027" t="s">
        <v>274</v>
      </c>
      <c r="C59" s="239" t="s">
        <v>161</v>
      </c>
      <c r="D59" s="240"/>
      <c r="E59" s="240"/>
      <c r="F59" s="240"/>
      <c r="G59" s="241"/>
      <c r="H59" s="1017" t="s">
        <v>162</v>
      </c>
      <c r="I59" s="242" t="s">
        <v>163</v>
      </c>
      <c r="J59" s="243"/>
      <c r="K59" s="243"/>
      <c r="L59" s="243"/>
      <c r="M59" s="243"/>
      <c r="N59" s="244"/>
      <c r="O59" s="1029" t="s">
        <v>164</v>
      </c>
      <c r="P59" s="1029" t="s">
        <v>165</v>
      </c>
      <c r="Q59" s="1019" t="s">
        <v>166</v>
      </c>
      <c r="R59" s="1022" t="s">
        <v>167</v>
      </c>
      <c r="S59" s="1023" t="s">
        <v>168</v>
      </c>
      <c r="T59" s="1027" t="s">
        <v>274</v>
      </c>
      <c r="U59" s="245" t="s">
        <v>169</v>
      </c>
      <c r="V59" s="246"/>
      <c r="W59" s="246"/>
      <c r="X59" s="247"/>
      <c r="Y59" s="248" t="s">
        <v>163</v>
      </c>
      <c r="Z59" s="246"/>
      <c r="AA59" s="246"/>
      <c r="AB59" s="246"/>
      <c r="AC59" s="246"/>
      <c r="AD59" s="247"/>
      <c r="AE59" s="1022" t="s">
        <v>166</v>
      </c>
      <c r="AF59" s="1025" t="s">
        <v>167</v>
      </c>
      <c r="AG59" s="311"/>
      <c r="AH59" s="1012" t="s">
        <v>168</v>
      </c>
    </row>
    <row r="60" spans="2:34" ht="60.75">
      <c r="B60" s="1028"/>
      <c r="C60" s="249" t="s">
        <v>170</v>
      </c>
      <c r="D60" s="300" t="s">
        <v>171</v>
      </c>
      <c r="E60" s="250" t="s">
        <v>172</v>
      </c>
      <c r="F60" s="250" t="s">
        <v>173</v>
      </c>
      <c r="G60" s="251" t="s">
        <v>174</v>
      </c>
      <c r="H60" s="1018"/>
      <c r="I60" s="250" t="s">
        <v>175</v>
      </c>
      <c r="J60" s="250" t="s">
        <v>176</v>
      </c>
      <c r="K60" s="250" t="s">
        <v>201</v>
      </c>
      <c r="L60" s="250" t="s">
        <v>178</v>
      </c>
      <c r="M60" s="250" t="s">
        <v>168</v>
      </c>
      <c r="N60" s="250" t="s">
        <v>179</v>
      </c>
      <c r="O60" s="1030"/>
      <c r="P60" s="1031"/>
      <c r="Q60" s="1021"/>
      <c r="R60" s="1021"/>
      <c r="S60" s="1024"/>
      <c r="T60" s="1028"/>
      <c r="U60" s="307" t="s">
        <v>203</v>
      </c>
      <c r="V60" s="308" t="s">
        <v>180</v>
      </c>
      <c r="W60" s="309" t="s">
        <v>181</v>
      </c>
      <c r="X60" s="310" t="s">
        <v>33</v>
      </c>
      <c r="Y60" s="305" t="s">
        <v>25</v>
      </c>
      <c r="Z60" s="306" t="s">
        <v>183</v>
      </c>
      <c r="AA60" s="306" t="s">
        <v>204</v>
      </c>
      <c r="AB60" s="306" t="s">
        <v>205</v>
      </c>
      <c r="AC60" s="306" t="s">
        <v>184</v>
      </c>
      <c r="AD60" s="306" t="s">
        <v>30</v>
      </c>
      <c r="AE60" s="1021"/>
      <c r="AF60" s="1026"/>
      <c r="AG60" s="312" t="s">
        <v>37</v>
      </c>
      <c r="AH60" s="1013"/>
    </row>
    <row r="61" spans="2:34" ht="21" thickBot="1">
      <c r="B61" s="712">
        <f>M52</f>
        <v>21.946508454036145</v>
      </c>
      <c r="C61" s="713">
        <f>'[13]CMOR_YTD_vsFC-1'!$J$22+'[13]CMOR_YTD_vsFC-1'!$K$22</f>
        <v>-11.098059441164381</v>
      </c>
      <c r="D61" s="302"/>
      <c r="E61" s="710">
        <f>'[13]CMOR_YTD_vsFC-1'!$N$22</f>
        <v>-11.212596611449076</v>
      </c>
      <c r="F61" s="710">
        <f>'[13]CMOR_YTD_vsFC-1'!$M$22+'[13]CMOR_YTD_vsFC-1'!$L$22</f>
        <v>-25.742396600083019</v>
      </c>
      <c r="G61" s="254"/>
      <c r="H61" s="254"/>
      <c r="I61" s="710">
        <f>I63</f>
        <v>0</v>
      </c>
      <c r="J61" s="710">
        <f>J63</f>
        <v>0</v>
      </c>
      <c r="K61" s="710">
        <f>K63</f>
        <v>0</v>
      </c>
      <c r="L61" s="710">
        <f>L63</f>
        <v>0</v>
      </c>
      <c r="M61" s="710">
        <f>M63+SUM(M70:M72)</f>
        <v>1.8860245600000012</v>
      </c>
      <c r="N61" s="303"/>
      <c r="O61" s="302"/>
      <c r="P61" s="302"/>
      <c r="Q61" s="256"/>
      <c r="R61" s="710">
        <f>'[13]CMOR_YTD_vsFC-1'!$Q$22</f>
        <v>-25.24816530499994</v>
      </c>
      <c r="S61" s="257" t="e">
        <f>F54-SUM(C61:R61)</f>
        <v>#REF!</v>
      </c>
      <c r="T61" s="713" t="e">
        <f>M53</f>
        <v>#REF!</v>
      </c>
      <c r="U61" s="713" t="e">
        <f>#REF!-U62</f>
        <v>#REF!</v>
      </c>
      <c r="V61" s="757" t="e">
        <f>#REF!-V62</f>
        <v>#REF!</v>
      </c>
      <c r="W61" s="715"/>
      <c r="X61" s="715" t="e">
        <f>#REF!-X62</f>
        <v>#REF!</v>
      </c>
      <c r="Y61" s="715" t="e">
        <f>#REF!-Y62</f>
        <v>#REF!</v>
      </c>
      <c r="Z61" s="715" t="e">
        <f>#REF!-Z62</f>
        <v>#REF!</v>
      </c>
      <c r="AA61" s="715" t="e">
        <f>#REF!</f>
        <v>#REF!</v>
      </c>
      <c r="AB61" s="739"/>
      <c r="AC61" s="715" t="e">
        <f>#REF!-AC62</f>
        <v>#REF!</v>
      </c>
      <c r="AD61" s="715" t="e">
        <f>#REF!</f>
        <v>#REF!</v>
      </c>
      <c r="AE61" s="716"/>
      <c r="AF61" s="717"/>
      <c r="AG61" s="710" t="e">
        <f>#REF!-AG62</f>
        <v>#REF!</v>
      </c>
      <c r="AH61" s="718" t="e">
        <f>G54-SUM(U61:AG61)</f>
        <v>#REF!</v>
      </c>
    </row>
    <row r="62" spans="2:34" ht="18">
      <c r="B62" s="216"/>
      <c r="C62" s="272" t="s">
        <v>548</v>
      </c>
      <c r="D62" s="216"/>
      <c r="E62" s="216" t="s">
        <v>549</v>
      </c>
      <c r="F62" s="216" t="s">
        <v>550</v>
      </c>
      <c r="G62" s="216"/>
      <c r="H62" s="216"/>
      <c r="I62" s="216"/>
      <c r="J62" s="216"/>
      <c r="K62" s="216"/>
      <c r="L62" s="216"/>
      <c r="M62" s="216"/>
      <c r="N62" s="216"/>
      <c r="O62" s="216"/>
      <c r="P62" s="216"/>
      <c r="Q62" s="216"/>
      <c r="R62" s="216" t="s">
        <v>552</v>
      </c>
      <c r="S62" s="216"/>
      <c r="T62" s="216"/>
      <c r="U62" s="745">
        <f>'[13]CMOR_YTD_vsFC-1'!$I$155</f>
        <v>0.2</v>
      </c>
      <c r="V62" s="745"/>
      <c r="W62" s="746"/>
      <c r="X62" s="746">
        <f>SUM(Y55:Y56)</f>
        <v>0.66270778400000008</v>
      </c>
      <c r="Y62" s="746">
        <f>'[13]CMOR_YTD_vsFC-1'!$I$163-Z62</f>
        <v>0.13076651941362316</v>
      </c>
      <c r="Z62" s="746">
        <f>[13]VA_MZ_YTD!$X$10</f>
        <v>0.78061929921073314</v>
      </c>
      <c r="AA62" s="746"/>
      <c r="AB62" s="746"/>
      <c r="AC62" s="746">
        <f>'[13]CMOR_YTD_vsFC-1'!$I$167</f>
        <v>0</v>
      </c>
      <c r="AD62" s="746"/>
      <c r="AE62" s="746"/>
      <c r="AF62" s="746"/>
      <c r="AG62" s="747">
        <f>'[13]CMOR_YTD_vsFC-1'!$I$166-AJ74-AK74</f>
        <v>0.52204981143516704</v>
      </c>
      <c r="AH62" s="746"/>
    </row>
    <row r="63" spans="2:34" ht="21" thickBot="1">
      <c r="B63" s="221"/>
      <c r="C63" s="272"/>
      <c r="D63" s="221"/>
      <c r="E63" s="221"/>
      <c r="F63" s="221"/>
      <c r="G63" t="s">
        <v>276</v>
      </c>
      <c r="H63" s="121">
        <f>6.888240538-AD54</f>
        <v>0.68824053799999962</v>
      </c>
      <c r="I63" s="872"/>
      <c r="J63" s="872"/>
      <c r="K63" s="872"/>
      <c r="L63" s="872"/>
      <c r="M63" s="872"/>
      <c r="N63" s="221"/>
      <c r="O63" s="221"/>
      <c r="P63" s="221"/>
      <c r="Q63" s="221"/>
      <c r="R63" s="221"/>
      <c r="S63" s="221"/>
      <c r="T63" s="221"/>
      <c r="U63" s="221" t="s">
        <v>551</v>
      </c>
      <c r="V63" s="221"/>
      <c r="W63" s="221"/>
      <c r="Y63" t="s">
        <v>560</v>
      </c>
      <c r="Z63" t="s">
        <v>559</v>
      </c>
      <c r="AC63" t="s">
        <v>562</v>
      </c>
      <c r="AG63" t="s">
        <v>563</v>
      </c>
    </row>
    <row r="64" spans="2:34" ht="18">
      <c r="B64" s="216"/>
      <c r="C64" s="272"/>
      <c r="D64" s="216"/>
      <c r="E64" s="216"/>
      <c r="F64" s="216"/>
      <c r="G64" t="s">
        <v>275</v>
      </c>
      <c r="H64" s="504">
        <v>0.20240490899999999</v>
      </c>
      <c r="I64" s="216"/>
      <c r="J64" s="216"/>
      <c r="K64" s="216"/>
      <c r="L64" s="216"/>
      <c r="M64" s="216"/>
      <c r="N64" s="216"/>
      <c r="O64" s="216"/>
      <c r="P64" s="216"/>
      <c r="Q64" s="216"/>
      <c r="R64" s="216"/>
      <c r="S64" s="216"/>
      <c r="T64" s="216"/>
      <c r="U64" s="216"/>
      <c r="V64" s="216"/>
      <c r="W64" s="216"/>
    </row>
    <row r="65" spans="2:37" ht="20.25">
      <c r="B65" s="216"/>
      <c r="C65" s="272"/>
      <c r="D65" s="216"/>
      <c r="G65" t="s">
        <v>282</v>
      </c>
      <c r="H65" s="334">
        <v>-2.2871769999999181E-2</v>
      </c>
      <c r="I65" s="273" t="s">
        <v>188</v>
      </c>
      <c r="J65" s="274"/>
      <c r="K65" s="274"/>
      <c r="L65" s="274"/>
      <c r="M65" s="275">
        <f>M61</f>
        <v>1.8860245600000012</v>
      </c>
      <c r="N65" s="216"/>
      <c r="P65" s="273" t="s">
        <v>191</v>
      </c>
      <c r="Q65" s="274"/>
      <c r="R65" s="274"/>
      <c r="S65" s="294" t="e">
        <f>S61</f>
        <v>#REF!</v>
      </c>
      <c r="T65" s="216"/>
      <c r="U65" s="272"/>
      <c r="V65" s="272"/>
      <c r="W65" s="216"/>
      <c r="X65" s="263" t="s">
        <v>185</v>
      </c>
      <c r="Y65" s="264"/>
      <c r="Z65" s="264"/>
      <c r="AA65" s="265" t="e">
        <f>AD61</f>
        <v>#REF!</v>
      </c>
      <c r="AC65" s="221"/>
      <c r="AE65" s="263" t="s">
        <v>186</v>
      </c>
      <c r="AF65" s="264"/>
      <c r="AG65" s="264"/>
      <c r="AH65" s="265" t="e">
        <f>AH61</f>
        <v>#REF!</v>
      </c>
      <c r="AK65" t="s">
        <v>315</v>
      </c>
    </row>
    <row r="66" spans="2:37" ht="18">
      <c r="B66" s="216"/>
      <c r="C66" s="272"/>
      <c r="D66" s="216"/>
      <c r="G66" s="216" t="s">
        <v>294</v>
      </c>
      <c r="H66" s="334">
        <v>0</v>
      </c>
      <c r="I66" s="279">
        <v>1</v>
      </c>
      <c r="J66" s="276" t="s">
        <v>361</v>
      </c>
      <c r="K66" s="277"/>
      <c r="L66" s="277"/>
      <c r="M66" s="736">
        <v>29.2</v>
      </c>
      <c r="N66" s="216"/>
      <c r="P66" s="279">
        <v>1</v>
      </c>
      <c r="Q66" s="269" t="s">
        <v>193</v>
      </c>
      <c r="R66" s="270"/>
      <c r="S66" s="743">
        <f>'[13]CMOR_YTD_vsFC-1'!$O$22</f>
        <v>-6.6913162811723783</v>
      </c>
      <c r="T66" s="216" t="s">
        <v>564</v>
      </c>
      <c r="U66" s="216"/>
      <c r="V66" s="216"/>
      <c r="W66" s="216"/>
      <c r="X66" s="268">
        <v>1</v>
      </c>
      <c r="Y66" s="276" t="s">
        <v>319</v>
      </c>
      <c r="Z66" s="277"/>
      <c r="AA66" s="760">
        <f>AD53</f>
        <v>89.459330065445016</v>
      </c>
      <c r="AC66" s="216"/>
      <c r="AE66" s="268">
        <v>1</v>
      </c>
      <c r="AF66" s="269" t="s">
        <v>39</v>
      </c>
      <c r="AG66" s="270"/>
      <c r="AH66" s="874" t="e">
        <f>#REF!-AJ66-AK66</f>
        <v>#REF!</v>
      </c>
      <c r="AI66" t="s">
        <v>262</v>
      </c>
      <c r="AJ66" s="729" t="e">
        <f>#REF!</f>
        <v>#REF!</v>
      </c>
      <c r="AK66" s="729">
        <f>-850124/10^6</f>
        <v>-0.85012399999999999</v>
      </c>
    </row>
    <row r="67" spans="2:37" ht="18">
      <c r="B67" s="216"/>
      <c r="C67" s="272"/>
      <c r="D67" s="216"/>
      <c r="G67" s="216"/>
      <c r="H67" s="334"/>
      <c r="I67" s="279">
        <v>2</v>
      </c>
      <c r="J67" s="276" t="s">
        <v>521</v>
      </c>
      <c r="K67" s="277"/>
      <c r="L67" s="277"/>
      <c r="M67" s="736">
        <v>-8</v>
      </c>
      <c r="N67" s="323"/>
      <c r="P67" s="279">
        <v>2</v>
      </c>
      <c r="Q67" s="276" t="s">
        <v>143</v>
      </c>
      <c r="R67" s="277"/>
      <c r="S67" s="736">
        <f>'[14]New KPI vs BP'!$DU$449</f>
        <v>1.7419396920379935</v>
      </c>
      <c r="T67" s="216"/>
      <c r="U67" s="216"/>
      <c r="V67" s="216"/>
      <c r="W67" s="216"/>
      <c r="X67" s="268">
        <v>2</v>
      </c>
      <c r="Y67" s="276" t="s">
        <v>517</v>
      </c>
      <c r="Z67" s="277"/>
      <c r="AA67" s="760">
        <v>7.7363327824277004</v>
      </c>
      <c r="AC67" s="216"/>
      <c r="AE67" s="268">
        <v>2</v>
      </c>
      <c r="AF67" s="276"/>
      <c r="AG67" s="277"/>
      <c r="AH67" s="278"/>
      <c r="AI67" t="s">
        <v>144</v>
      </c>
      <c r="AJ67" s="879" t="e">
        <f>AH66</f>
        <v>#REF!</v>
      </c>
    </row>
    <row r="68" spans="2:37" ht="18">
      <c r="B68" s="216"/>
      <c r="C68" s="272"/>
      <c r="D68" s="216"/>
      <c r="G68" s="216"/>
      <c r="H68" s="334"/>
      <c r="I68" s="279">
        <v>3</v>
      </c>
      <c r="J68" s="276" t="s">
        <v>510</v>
      </c>
      <c r="K68" s="277"/>
      <c r="L68" s="277"/>
      <c r="M68" s="736">
        <v>3.2</v>
      </c>
      <c r="P68" s="279">
        <v>3</v>
      </c>
      <c r="Q68" s="276" t="s">
        <v>195</v>
      </c>
      <c r="R68" s="277"/>
      <c r="S68" s="736">
        <f>U82</f>
        <v>-6.7957609086979351</v>
      </c>
      <c r="T68" s="216"/>
      <c r="W68" s="216"/>
      <c r="X68" s="268">
        <v>3</v>
      </c>
      <c r="Y68" s="276"/>
      <c r="Z68" s="277"/>
      <c r="AA68" s="760"/>
      <c r="AC68" s="216"/>
      <c r="AE68" s="268">
        <v>3</v>
      </c>
      <c r="AF68" s="276"/>
      <c r="AG68" s="277"/>
      <c r="AH68" s="278"/>
    </row>
    <row r="69" spans="2:37" ht="18">
      <c r="B69" s="216"/>
      <c r="C69" s="216"/>
      <c r="D69" s="272"/>
      <c r="F69">
        <v>6.888240537999998</v>
      </c>
      <c r="G69" s="272"/>
      <c r="H69" s="272"/>
      <c r="I69" s="279">
        <v>4</v>
      </c>
      <c r="J69" s="276"/>
      <c r="K69" s="277"/>
      <c r="L69" s="277"/>
      <c r="M69" s="736"/>
      <c r="N69" s="216"/>
      <c r="P69" s="279">
        <v>4</v>
      </c>
      <c r="Q69" s="276" t="s">
        <v>246</v>
      </c>
      <c r="R69" s="277"/>
      <c r="S69" s="736">
        <v>-16.146565550984874</v>
      </c>
      <c r="W69" s="216"/>
      <c r="X69" s="268">
        <v>4</v>
      </c>
      <c r="Y69" s="276" t="s">
        <v>144</v>
      </c>
      <c r="Z69" s="277"/>
      <c r="AA69" s="760">
        <v>2</v>
      </c>
      <c r="AC69" s="216"/>
      <c r="AE69" s="268">
        <v>4</v>
      </c>
      <c r="AF69" s="276"/>
      <c r="AG69" s="277"/>
      <c r="AH69" s="278"/>
    </row>
    <row r="70" spans="2:37" ht="18">
      <c r="B70" s="216"/>
      <c r="C70" s="272"/>
      <c r="D70" s="216"/>
      <c r="E70" s="216"/>
      <c r="F70" s="216"/>
      <c r="G70" s="216"/>
      <c r="H70" s="216"/>
      <c r="I70" s="279">
        <v>5</v>
      </c>
      <c r="J70" s="276" t="s">
        <v>276</v>
      </c>
      <c r="K70" s="277"/>
      <c r="L70" s="277"/>
      <c r="M70" s="736">
        <v>1.0324821489999998</v>
      </c>
      <c r="N70" s="216"/>
      <c r="P70" s="279">
        <v>5</v>
      </c>
      <c r="Q70" s="276" t="s">
        <v>223</v>
      </c>
      <c r="R70" s="277"/>
      <c r="S70" s="736">
        <v>21.86946234417838</v>
      </c>
      <c r="W70" s="216"/>
      <c r="X70" s="282">
        <v>5</v>
      </c>
      <c r="Y70" s="283" t="s">
        <v>182</v>
      </c>
      <c r="Z70" s="284"/>
      <c r="AA70" s="820" t="e">
        <f>AA65-SUM(AA66:AA68)</f>
        <v>#REF!</v>
      </c>
      <c r="AC70" s="216"/>
      <c r="AE70" s="282">
        <v>5</v>
      </c>
      <c r="AF70" s="283" t="s">
        <v>182</v>
      </c>
      <c r="AG70" s="284"/>
      <c r="AH70" s="285" t="e">
        <f>AH65-SUM(AH66:AH69)</f>
        <v>#REF!</v>
      </c>
    </row>
    <row r="71" spans="2:37" ht="18">
      <c r="B71" s="216"/>
      <c r="C71" s="272"/>
      <c r="D71" s="216"/>
      <c r="E71" s="216"/>
      <c r="F71" s="216"/>
      <c r="G71" s="216"/>
      <c r="H71" s="334"/>
      <c r="I71" s="279">
        <v>6</v>
      </c>
      <c r="J71" s="276" t="s">
        <v>290</v>
      </c>
      <c r="K71" s="277"/>
      <c r="L71" s="277"/>
      <c r="M71" s="736">
        <v>4.2392647000000006E-2</v>
      </c>
      <c r="N71" s="216"/>
      <c r="P71" s="279">
        <v>6</v>
      </c>
      <c r="Q71" s="276" t="s">
        <v>514</v>
      </c>
      <c r="R71" s="277"/>
      <c r="S71" s="736">
        <f>U78</f>
        <v>-0.62042864000000009</v>
      </c>
      <c r="X71" s="216"/>
      <c r="Y71" s="216"/>
      <c r="Z71" s="216"/>
      <c r="AA71" s="216"/>
      <c r="AB71" s="216"/>
      <c r="AC71" s="216"/>
      <c r="AD71" s="216"/>
      <c r="AE71" s="216"/>
      <c r="AF71" s="216"/>
      <c r="AG71" s="216"/>
      <c r="AH71" s="216"/>
    </row>
    <row r="72" spans="2:37" ht="18">
      <c r="B72" s="216"/>
      <c r="C72" s="272"/>
      <c r="D72" s="272"/>
      <c r="E72" s="216"/>
      <c r="F72" s="216"/>
      <c r="G72" s="216"/>
      <c r="H72" s="216"/>
      <c r="I72" s="279">
        <v>7</v>
      </c>
      <c r="J72" s="276" t="s">
        <v>282</v>
      </c>
      <c r="K72" s="277"/>
      <c r="L72" s="277"/>
      <c r="M72" s="736">
        <v>0.81114976400000138</v>
      </c>
      <c r="N72" s="216"/>
      <c r="P72" s="279">
        <v>7</v>
      </c>
      <c r="Q72" s="276" t="s">
        <v>247</v>
      </c>
      <c r="R72" s="277"/>
      <c r="S72" s="760">
        <v>11</v>
      </c>
      <c r="X72" s="216"/>
      <c r="Y72" s="216"/>
      <c r="Z72" s="216" t="s">
        <v>145</v>
      </c>
      <c r="AA72" s="330"/>
      <c r="AB72" s="216"/>
      <c r="AC72" s="216"/>
      <c r="AD72" s="216"/>
      <c r="AE72" s="216"/>
      <c r="AF72" s="216"/>
      <c r="AG72" s="216"/>
      <c r="AH72" s="216"/>
    </row>
    <row r="73" spans="2:37" ht="18">
      <c r="B73" s="216"/>
      <c r="C73" s="216"/>
      <c r="D73" s="216"/>
      <c r="E73" s="216"/>
      <c r="F73" s="216"/>
      <c r="G73" s="216"/>
      <c r="H73" s="216"/>
      <c r="I73" s="279">
        <v>8</v>
      </c>
      <c r="J73" s="276" t="s">
        <v>401</v>
      </c>
      <c r="K73" s="277"/>
      <c r="L73" s="277"/>
      <c r="M73" s="736">
        <v>1.6911000509043284</v>
      </c>
      <c r="N73" s="216"/>
      <c r="P73" s="279">
        <v>8</v>
      </c>
      <c r="Q73" s="276" t="s">
        <v>366</v>
      </c>
      <c r="R73" s="277"/>
      <c r="S73" s="278">
        <v>1</v>
      </c>
      <c r="X73" s="216"/>
      <c r="Y73" s="216"/>
      <c r="Z73" s="216" t="s">
        <v>318</v>
      </c>
      <c r="AA73" s="330"/>
      <c r="AB73" s="216"/>
      <c r="AC73" s="216"/>
      <c r="AD73" s="216"/>
      <c r="AE73" s="216"/>
      <c r="AF73" s="216"/>
      <c r="AG73" s="216"/>
      <c r="AH73" s="216"/>
    </row>
    <row r="74" spans="2:37" ht="18">
      <c r="B74" s="216"/>
      <c r="C74" s="216"/>
      <c r="D74" s="216"/>
      <c r="E74" s="216"/>
      <c r="F74" s="216"/>
      <c r="G74" s="216"/>
      <c r="H74" s="216"/>
      <c r="I74" s="288">
        <v>9</v>
      </c>
      <c r="J74" s="289" t="s">
        <v>182</v>
      </c>
      <c r="K74" s="284"/>
      <c r="L74" s="284"/>
      <c r="M74" s="290">
        <f>M65-SUM(M66:M73)</f>
        <v>-26.091100050904327</v>
      </c>
      <c r="N74" s="216"/>
      <c r="P74" s="279">
        <v>9</v>
      </c>
      <c r="Q74" s="276" t="s">
        <v>403</v>
      </c>
      <c r="R74" s="277"/>
      <c r="S74" s="278">
        <v>-5.9807710910248577</v>
      </c>
      <c r="T74" s="680" t="s">
        <v>476</v>
      </c>
      <c r="X74" s="216"/>
      <c r="Y74" s="216"/>
      <c r="Z74" s="216"/>
      <c r="AA74" s="216"/>
      <c r="AB74" s="216"/>
      <c r="AC74" s="216"/>
      <c r="AD74" s="216"/>
      <c r="AE74" s="216"/>
      <c r="AF74" s="216"/>
      <c r="AG74" s="216"/>
      <c r="AH74" s="216"/>
    </row>
    <row r="75" spans="2:37" ht="18">
      <c r="B75" s="216"/>
      <c r="C75" s="216"/>
      <c r="D75" s="216"/>
      <c r="E75" s="216"/>
      <c r="F75" s="216"/>
      <c r="G75" s="216"/>
      <c r="H75" s="216"/>
      <c r="N75" s="216"/>
      <c r="P75" s="279"/>
      <c r="Q75" s="276" t="s">
        <v>514</v>
      </c>
      <c r="R75" s="277"/>
      <c r="S75" s="278">
        <v>0.6</v>
      </c>
      <c r="T75" s="216" t="s">
        <v>223</v>
      </c>
      <c r="U75" s="437"/>
      <c r="W75" s="216"/>
      <c r="X75" s="297"/>
      <c r="Y75" s="216"/>
      <c r="Z75" s="216"/>
      <c r="AA75" s="216"/>
      <c r="AB75" s="216"/>
      <c r="AC75" s="216"/>
      <c r="AD75" s="216"/>
      <c r="AE75" s="216"/>
      <c r="AF75" s="216"/>
      <c r="AG75" s="216"/>
      <c r="AH75" s="216"/>
    </row>
    <row r="76" spans="2:37" ht="18">
      <c r="B76" s="216"/>
      <c r="C76" s="216"/>
      <c r="D76" s="216"/>
      <c r="E76" s="216"/>
      <c r="F76" s="216"/>
      <c r="G76" s="216"/>
      <c r="H76" s="216"/>
      <c r="I76" s="216"/>
      <c r="J76" s="216"/>
      <c r="K76" s="216"/>
      <c r="L76" s="216"/>
      <c r="M76" s="216"/>
      <c r="N76" s="216"/>
      <c r="P76" s="288">
        <v>10</v>
      </c>
      <c r="Q76" s="283" t="s">
        <v>182</v>
      </c>
      <c r="R76" s="284"/>
      <c r="S76" s="290" t="e">
        <f>S65-SUM(S66:S75)</f>
        <v>#REF!</v>
      </c>
      <c r="T76" t="s">
        <v>246</v>
      </c>
      <c r="U76" s="810">
        <v>-16.263141541750073</v>
      </c>
      <c r="X76" s="216"/>
      <c r="Y76" s="216"/>
      <c r="AC76" s="216"/>
      <c r="AD76" s="216"/>
      <c r="AE76" s="216"/>
      <c r="AF76" s="216"/>
      <c r="AG76" s="216"/>
      <c r="AH76" s="216"/>
    </row>
    <row r="77" spans="2:37">
      <c r="B77" s="216"/>
      <c r="C77" s="216"/>
      <c r="D77" s="216"/>
      <c r="E77" s="216"/>
      <c r="F77" s="216"/>
      <c r="G77" s="216"/>
      <c r="H77" s="216"/>
      <c r="I77" s="216"/>
      <c r="J77" s="216"/>
      <c r="K77" s="216"/>
      <c r="L77" s="216"/>
      <c r="M77" s="216"/>
      <c r="N77" s="216"/>
      <c r="S77">
        <v>-2.5076045393872235</v>
      </c>
      <c r="T77" s="216" t="s">
        <v>512</v>
      </c>
      <c r="U77" s="437"/>
      <c r="V77" t="s">
        <v>347</v>
      </c>
      <c r="X77" s="216"/>
      <c r="Y77" s="216"/>
      <c r="Z77" s="216"/>
      <c r="AA77" s="216"/>
      <c r="AB77" s="216"/>
      <c r="AC77" s="216"/>
      <c r="AD77" s="216"/>
      <c r="AE77" s="216"/>
      <c r="AF77" s="216"/>
      <c r="AG77" s="216"/>
      <c r="AH77" s="216"/>
    </row>
    <row r="78" spans="2:37">
      <c r="B78" s="216"/>
      <c r="C78" s="216"/>
      <c r="D78" s="216"/>
      <c r="E78" s="216"/>
      <c r="F78" s="216"/>
      <c r="G78" s="216"/>
      <c r="H78" s="216"/>
      <c r="I78" s="216"/>
      <c r="J78" s="216"/>
      <c r="K78" s="216"/>
      <c r="L78" s="216"/>
      <c r="M78" s="216"/>
      <c r="N78" s="216"/>
      <c r="S78" s="318" t="e">
        <f>S76-S77</f>
        <v>#REF!</v>
      </c>
      <c r="T78" s="216" t="s">
        <v>513</v>
      </c>
      <c r="U78" s="317">
        <v>-0.62042864000000009</v>
      </c>
      <c r="X78" s="216"/>
      <c r="Y78" s="216"/>
      <c r="Z78" s="216"/>
      <c r="AA78" s="216"/>
      <c r="AB78" s="216"/>
      <c r="AC78" s="216"/>
      <c r="AD78" s="216"/>
      <c r="AE78" s="216"/>
      <c r="AF78" s="216"/>
      <c r="AG78" s="216"/>
      <c r="AH78" s="216"/>
    </row>
    <row r="79" spans="2:37">
      <c r="B79" s="216"/>
      <c r="C79" s="216"/>
      <c r="D79" s="216"/>
      <c r="E79" s="216"/>
      <c r="F79" s="216"/>
      <c r="G79" s="216"/>
      <c r="H79" s="216"/>
      <c r="I79" s="216"/>
      <c r="J79" s="216"/>
      <c r="K79" s="216"/>
      <c r="L79" s="216"/>
      <c r="M79" s="216"/>
      <c r="N79" s="216"/>
      <c r="P79" s="333" t="e">
        <f>SUM(S67:S76)+SUM(H63:H66)-H65</f>
        <v>#REF!</v>
      </c>
      <c r="T79" s="216" t="s">
        <v>403</v>
      </c>
      <c r="U79" s="317">
        <v>-3.9570853553791756</v>
      </c>
      <c r="X79" s="216"/>
      <c r="Y79" s="216"/>
      <c r="Z79" s="216"/>
      <c r="AA79" s="216"/>
      <c r="AB79" s="216"/>
      <c r="AC79" s="216"/>
      <c r="AD79" s="216"/>
      <c r="AE79" s="216"/>
      <c r="AF79" s="216"/>
      <c r="AG79" s="216"/>
      <c r="AH79" s="216"/>
    </row>
    <row r="80" spans="2:37">
      <c r="B80" s="216"/>
      <c r="C80" s="216"/>
      <c r="D80" s="216"/>
      <c r="E80" s="216"/>
      <c r="F80" s="216"/>
      <c r="G80" s="216"/>
      <c r="H80" s="216"/>
      <c r="I80" s="216"/>
      <c r="J80" s="216"/>
      <c r="K80" s="216"/>
      <c r="L80" s="216"/>
      <c r="M80" s="216"/>
      <c r="N80" s="216"/>
      <c r="Q80" t="s">
        <v>195</v>
      </c>
      <c r="T80" s="216" t="s">
        <v>247</v>
      </c>
      <c r="U80" s="810">
        <v>-2.0550887040000014</v>
      </c>
      <c r="V80" t="s">
        <v>348</v>
      </c>
      <c r="X80" s="216"/>
      <c r="Y80" s="216"/>
      <c r="Z80" s="216"/>
      <c r="AA80" s="216"/>
      <c r="AB80" s="216"/>
      <c r="AC80" s="216"/>
      <c r="AD80" s="216"/>
      <c r="AE80" s="216"/>
      <c r="AF80" s="216"/>
      <c r="AG80" s="216"/>
      <c r="AH80" s="216"/>
    </row>
    <row r="81" spans="2:34">
      <c r="B81" s="216"/>
      <c r="C81" s="216"/>
      <c r="D81" s="216"/>
      <c r="E81" s="216"/>
      <c r="F81" s="216"/>
      <c r="G81" s="216"/>
      <c r="H81" s="216"/>
      <c r="I81" s="216"/>
      <c r="J81" s="216"/>
      <c r="K81" s="216"/>
      <c r="L81" s="216"/>
      <c r="M81" s="216"/>
      <c r="N81" s="216"/>
      <c r="P81" s="317"/>
      <c r="T81" t="s">
        <v>217</v>
      </c>
      <c r="U81" s="317"/>
      <c r="X81" s="216"/>
      <c r="Y81" s="216"/>
      <c r="Z81" s="216"/>
      <c r="AA81" s="216"/>
      <c r="AB81" s="216"/>
      <c r="AC81" s="216"/>
      <c r="AD81" s="216"/>
      <c r="AE81" s="216"/>
      <c r="AF81" s="216"/>
      <c r="AG81" s="216"/>
      <c r="AH81" s="216"/>
    </row>
    <row r="82" spans="2:34">
      <c r="B82" s="216"/>
      <c r="C82" s="216"/>
      <c r="D82" s="216"/>
      <c r="E82" s="216"/>
      <c r="F82" s="216"/>
      <c r="G82" s="216"/>
      <c r="H82" s="216"/>
      <c r="I82" s="216"/>
      <c r="J82" s="216"/>
      <c r="K82" s="216"/>
      <c r="L82" s="216"/>
      <c r="M82" s="216"/>
      <c r="N82" s="216"/>
      <c r="P82" s="121"/>
      <c r="T82" s="216" t="s">
        <v>195</v>
      </c>
      <c r="U82" s="729">
        <v>-6.7957609086979351</v>
      </c>
      <c r="X82" s="216"/>
      <c r="Y82" s="216"/>
      <c r="Z82" s="216"/>
      <c r="AA82" s="216"/>
      <c r="AB82" s="216"/>
      <c r="AC82" s="216"/>
      <c r="AD82" s="216"/>
      <c r="AE82" s="216"/>
      <c r="AF82" s="216"/>
      <c r="AG82" s="216"/>
      <c r="AH82" s="216"/>
    </row>
    <row r="83" spans="2:34">
      <c r="B83" s="216"/>
      <c r="C83" s="216"/>
      <c r="D83" s="216"/>
      <c r="E83" s="216"/>
      <c r="F83" s="216"/>
      <c r="G83" s="216"/>
      <c r="H83" s="216"/>
      <c r="I83" s="216"/>
      <c r="J83" s="216"/>
      <c r="K83" s="216"/>
      <c r="L83" s="216"/>
      <c r="M83" s="216"/>
      <c r="N83" s="216"/>
      <c r="P83" s="121"/>
      <c r="X83" s="216"/>
      <c r="Y83" s="334"/>
      <c r="Z83" s="216"/>
      <c r="AA83" s="334"/>
      <c r="AB83" s="216"/>
      <c r="AC83" s="216"/>
      <c r="AD83" s="216"/>
      <c r="AE83" s="216"/>
      <c r="AF83" s="216"/>
      <c r="AG83" s="216"/>
      <c r="AH83" s="216"/>
    </row>
    <row r="84" spans="2:34">
      <c r="B84" s="216"/>
      <c r="C84" s="216"/>
      <c r="D84" s="216"/>
      <c r="E84" s="216"/>
      <c r="F84" s="216"/>
      <c r="G84" s="216"/>
      <c r="H84" s="216"/>
      <c r="I84" s="216"/>
      <c r="J84" s="216"/>
      <c r="K84" s="216"/>
      <c r="L84" s="216"/>
      <c r="M84" s="216"/>
      <c r="N84" s="216"/>
      <c r="T84" t="s">
        <v>283</v>
      </c>
      <c r="U84" s="369" t="e">
        <f>SUM(U85:U87)</f>
        <v>#REF!</v>
      </c>
      <c r="X84" s="216"/>
      <c r="Y84" s="216"/>
      <c r="Z84" s="216"/>
      <c r="AA84" s="334"/>
      <c r="AB84" s="216"/>
      <c r="AC84" s="216"/>
      <c r="AD84" s="216"/>
      <c r="AE84" s="216"/>
      <c r="AF84" s="216"/>
      <c r="AG84" s="216"/>
      <c r="AH84" s="216"/>
    </row>
    <row r="85" spans="2:34">
      <c r="T85" s="372" t="s">
        <v>28</v>
      </c>
      <c r="U85" s="373" t="e">
        <f>'[14]P&amp;L vs BP'!$CI$238-'[14]New KPI vs BP'!$DU$437-AC61</f>
        <v>#REF!</v>
      </c>
      <c r="AA85" s="334"/>
    </row>
    <row r="86" spans="2:34">
      <c r="S86" s="318"/>
      <c r="T86" s="372" t="s">
        <v>200</v>
      </c>
      <c r="U86" s="373"/>
    </row>
    <row r="87" spans="2:34">
      <c r="T87" s="135" t="s">
        <v>144</v>
      </c>
      <c r="U87" s="373" t="e">
        <f>-(X57+AD56+AJ67+AK66)</f>
        <v>#REF!</v>
      </c>
    </row>
  </sheetData>
  <mergeCells count="26">
    <mergeCell ref="B10:B11"/>
    <mergeCell ref="C10:C11"/>
    <mergeCell ref="B17:B18"/>
    <mergeCell ref="H17:H18"/>
    <mergeCell ref="O17:O18"/>
    <mergeCell ref="P59:P60"/>
    <mergeCell ref="Q59:Q60"/>
    <mergeCell ref="R59:R60"/>
    <mergeCell ref="S59:S60"/>
    <mergeCell ref="Q17:Q18"/>
    <mergeCell ref="R17:R18"/>
    <mergeCell ref="S17:S18"/>
    <mergeCell ref="P17:P18"/>
    <mergeCell ref="B52:B53"/>
    <mergeCell ref="C52:C53"/>
    <mergeCell ref="B59:B60"/>
    <mergeCell ref="H59:H60"/>
    <mergeCell ref="O59:O60"/>
    <mergeCell ref="T59:T60"/>
    <mergeCell ref="AE59:AE60"/>
    <mergeCell ref="AF59:AF60"/>
    <mergeCell ref="AH59:AH60"/>
    <mergeCell ref="AH17:AH18"/>
    <mergeCell ref="T17:T18"/>
    <mergeCell ref="AE17:AE18"/>
    <mergeCell ref="AF17:AF18"/>
  </mergeCells>
  <pageMargins left="0.7" right="0.7" top="0.75" bottom="0.75" header="0.3" footer="0.3"/>
  <pageSetup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50F11-AFBA-4400-837A-4935AAC0D4BE}">
  <sheetPr>
    <tabColor rgb="FF00B050"/>
  </sheetPr>
  <dimension ref="A1:AF86"/>
  <sheetViews>
    <sheetView showGridLines="0" zoomScale="60" zoomScaleNormal="60" workbookViewId="0">
      <pane xSplit="4" ySplit="5" topLeftCell="E6" activePane="bottomRight" state="frozen"/>
      <selection activeCell="J82" sqref="J82:J83"/>
      <selection pane="topRight" activeCell="J82" sqref="J82:J83"/>
      <selection pane="bottomLeft" activeCell="J82" sqref="J82:J83"/>
      <selection pane="bottomRight" activeCell="E25" sqref="E25"/>
    </sheetView>
  </sheetViews>
  <sheetFormatPr defaultRowHeight="15" outlineLevelRow="1"/>
  <cols>
    <col min="1" max="1" width="2.140625" customWidth="1"/>
    <col min="2" max="2" width="11.42578125" customWidth="1"/>
    <col min="3" max="3" width="51.140625" bestFit="1" customWidth="1"/>
    <col min="4" max="4" width="12.85546875" bestFit="1" customWidth="1"/>
    <col min="5" max="6" width="10.5703125" bestFit="1" customWidth="1"/>
    <col min="7" max="8" width="10.140625" bestFit="1" customWidth="1"/>
    <col min="9" max="9" width="10.5703125" bestFit="1" customWidth="1"/>
    <col min="10" max="10" width="12" bestFit="1" customWidth="1"/>
    <col min="11" max="13" width="10.140625" bestFit="1" customWidth="1"/>
    <col min="14" max="15" width="10.5703125" bestFit="1" customWidth="1"/>
    <col min="16" max="16" width="10.85546875" bestFit="1" customWidth="1"/>
    <col min="17" max="17" width="12.140625" bestFit="1" customWidth="1"/>
    <col min="19" max="19" width="10.5703125" bestFit="1" customWidth="1"/>
    <col min="20" max="22" width="11" bestFit="1" customWidth="1"/>
    <col min="24" max="24" width="10.5703125" bestFit="1" customWidth="1"/>
    <col min="26" max="26" width="9.42578125" bestFit="1" customWidth="1"/>
    <col min="27" max="30" width="11" bestFit="1" customWidth="1"/>
  </cols>
  <sheetData>
    <row r="1" spans="1:30">
      <c r="B1" s="214" t="str">
        <f>'Summary month'!E2</f>
        <v>Apr</v>
      </c>
      <c r="E1" s="135">
        <v>2</v>
      </c>
      <c r="F1" s="135">
        <f>E1+1</f>
        <v>3</v>
      </c>
      <c r="G1" s="135">
        <f t="shared" ref="G1:P1" si="0">F1+1</f>
        <v>4</v>
      </c>
      <c r="H1" s="135">
        <f t="shared" si="0"/>
        <v>5</v>
      </c>
      <c r="I1" s="135">
        <f t="shared" si="0"/>
        <v>6</v>
      </c>
      <c r="J1" s="135">
        <f t="shared" si="0"/>
        <v>7</v>
      </c>
      <c r="K1" s="135">
        <f t="shared" si="0"/>
        <v>8</v>
      </c>
      <c r="L1" s="135">
        <f t="shared" si="0"/>
        <v>9</v>
      </c>
      <c r="M1" s="135">
        <f t="shared" si="0"/>
        <v>10</v>
      </c>
      <c r="N1" s="135">
        <f t="shared" si="0"/>
        <v>11</v>
      </c>
      <c r="O1" s="135">
        <f t="shared" si="0"/>
        <v>12</v>
      </c>
      <c r="P1" s="135">
        <f t="shared" si="0"/>
        <v>13</v>
      </c>
    </row>
    <row r="2" spans="1:30">
      <c r="A2" s="1" t="s">
        <v>0</v>
      </c>
      <c r="B2" s="1"/>
      <c r="C2" s="1"/>
      <c r="D2" s="136" t="s">
        <v>79</v>
      </c>
      <c r="E2" s="2">
        <f>VLOOKUP($B$1,mapping!$C$15:$O$26,E$1,0)</f>
        <v>1</v>
      </c>
      <c r="F2" s="2">
        <f>VLOOKUP($B$1,mapping!$C$15:$O$26,F$1,0)</f>
        <v>0</v>
      </c>
      <c r="G2" s="2">
        <f>VLOOKUP($B$1,mapping!$C$15:$O$26,G$1,0)</f>
        <v>0</v>
      </c>
      <c r="H2" s="2">
        <f>VLOOKUP($B$1,mapping!$C$15:$O$26,H$1,0)</f>
        <v>0</v>
      </c>
      <c r="I2" s="2">
        <f>VLOOKUP($B$1,mapping!$C$15:$O$26,I$1,0)</f>
        <v>0</v>
      </c>
      <c r="J2" s="2">
        <f>VLOOKUP($B$1,mapping!$C$15:$O$26,J$1,0)</f>
        <v>0</v>
      </c>
      <c r="K2" s="2">
        <f>VLOOKUP($B$1,mapping!$C$15:$O$26,K$1,0)</f>
        <v>0</v>
      </c>
      <c r="L2" s="2">
        <f>VLOOKUP($B$1,mapping!$C$15:$O$26,L$1,0)</f>
        <v>0</v>
      </c>
      <c r="M2" s="2">
        <f>VLOOKUP($B$1,mapping!$C$15:$O$26,M$1,0)</f>
        <v>0</v>
      </c>
      <c r="N2" s="2">
        <f>VLOOKUP($B$1,mapping!$C$15:$O$26,N$1,0)</f>
        <v>0</v>
      </c>
      <c r="O2" s="2">
        <f>VLOOKUP($B$1,mapping!$C$15:$O$26,O$1,0)</f>
        <v>0</v>
      </c>
      <c r="P2" s="2">
        <f>VLOOKUP($B$1,mapping!$C$15:$O$26,P$1,0)</f>
        <v>0</v>
      </c>
      <c r="S2" s="122"/>
      <c r="T2" s="122"/>
      <c r="U2" s="122"/>
      <c r="V2" s="122"/>
      <c r="Z2" s="122"/>
      <c r="AA2" s="122"/>
      <c r="AB2" s="122"/>
      <c r="AC2" s="122"/>
      <c r="AD2" s="122"/>
    </row>
    <row r="3" spans="1:30" ht="14.45" customHeight="1">
      <c r="A3" s="3" t="s">
        <v>1</v>
      </c>
      <c r="B3" s="4"/>
      <c r="C3" s="5"/>
      <c r="D3" s="5" t="s">
        <v>103</v>
      </c>
      <c r="E3" s="2">
        <f>VLOOKUP($B1,mapping!$C$28:$O$39,E$1,0)</f>
        <v>1</v>
      </c>
      <c r="F3" s="2">
        <f>VLOOKUP($B1,mapping!$C$28:$O$39,F$1,0)</f>
        <v>0</v>
      </c>
      <c r="G3" s="2">
        <f>VLOOKUP($B1,mapping!$C$28:$O$39,G$1,0)</f>
        <v>0</v>
      </c>
      <c r="H3" s="2">
        <f>VLOOKUP($B1,mapping!$C$28:$O$39,H$1,0)</f>
        <v>0</v>
      </c>
      <c r="I3" s="2">
        <f>VLOOKUP($B1,mapping!$C$28:$O$39,I$1,0)</f>
        <v>0</v>
      </c>
      <c r="J3" s="2">
        <f>VLOOKUP($B1,mapping!$C$28:$O$39,J$1,0)</f>
        <v>0</v>
      </c>
      <c r="K3" s="2">
        <f>VLOOKUP($B1,mapping!$C$28:$O$39,K$1,0)</f>
        <v>0</v>
      </c>
      <c r="L3" s="2">
        <f>VLOOKUP($B1,mapping!$C$28:$O$39,L$1,0)</f>
        <v>0</v>
      </c>
      <c r="M3" s="2">
        <f>VLOOKUP($B1,mapping!$C$28:$O$39,M$1,0)</f>
        <v>0</v>
      </c>
      <c r="N3" s="2">
        <f>VLOOKUP($B1,mapping!$C$28:$O$39,N$1,0)</f>
        <v>0</v>
      </c>
      <c r="O3" s="2">
        <f>VLOOKUP($B1,mapping!$C$28:$O$39,O$1,0)</f>
        <v>0</v>
      </c>
      <c r="P3" s="2">
        <f>VLOOKUP($B1,mapping!$C$28:$O$39,P$1,0)</f>
        <v>0</v>
      </c>
      <c r="S3">
        <f>INDEX($E$3:$P$3,1,MATCH(S5,$E$5:$P$5,0))</f>
        <v>1</v>
      </c>
      <c r="T3">
        <f>INDEX($E$3:$P$3,1,MATCH(T5,$E$5:$P$5,0))</f>
        <v>0</v>
      </c>
      <c r="U3">
        <f>INDEX($E$3:$P$3,1,MATCH(U5,$E$5:$P$5,0))</f>
        <v>0</v>
      </c>
      <c r="V3" s="122"/>
      <c r="AB3" s="122"/>
      <c r="AC3" s="122"/>
      <c r="AD3" s="122"/>
    </row>
    <row r="4" spans="1:30" ht="14.45" customHeight="1">
      <c r="A4" s="3"/>
      <c r="B4" s="4"/>
      <c r="C4" s="5"/>
      <c r="D4" s="5"/>
      <c r="E4" s="2"/>
      <c r="F4" s="2"/>
      <c r="G4" s="2"/>
      <c r="U4" s="122"/>
      <c r="V4" s="122"/>
      <c r="AB4" s="122"/>
      <c r="AC4" s="122"/>
      <c r="AD4" s="122"/>
    </row>
    <row r="5" spans="1:30">
      <c r="A5" s="4"/>
      <c r="B5" s="4"/>
      <c r="C5" s="5">
        <f>'[7]New KPI Actual'!$G$2</f>
        <v>0</v>
      </c>
      <c r="D5" s="5"/>
      <c r="E5" s="100" t="s">
        <v>65</v>
      </c>
      <c r="F5" s="101" t="s">
        <v>66</v>
      </c>
      <c r="G5" s="101" t="s">
        <v>67</v>
      </c>
      <c r="H5" s="101" t="s">
        <v>2</v>
      </c>
      <c r="I5" s="101" t="s">
        <v>3</v>
      </c>
      <c r="J5" s="101" t="s">
        <v>4</v>
      </c>
      <c r="K5" s="101" t="s">
        <v>68</v>
      </c>
      <c r="L5" s="101" t="s">
        <v>69</v>
      </c>
      <c r="M5" s="101" t="s">
        <v>70</v>
      </c>
      <c r="N5" s="101" t="s">
        <v>71</v>
      </c>
      <c r="O5" s="101" t="s">
        <v>72</v>
      </c>
      <c r="P5" s="102" t="s">
        <v>73</v>
      </c>
      <c r="Q5" s="107" t="s">
        <v>74</v>
      </c>
      <c r="S5" s="101" t="str">
        <f>VLOOKUP(VLOOKUP(B1,mapping!$A:$C,2,0),mapping!$B:$C,2,0)</f>
        <v>M01</v>
      </c>
      <c r="T5" s="101" t="str">
        <f>LEFT(S5,2)&amp;(RIGHT(S5,1)+1)</f>
        <v>M02</v>
      </c>
      <c r="U5" s="101" t="str">
        <f>LEFT(T5,2)&amp;(RIGHT(T5,1)+1)</f>
        <v>M03</v>
      </c>
      <c r="V5" s="101" t="str">
        <f>VLOOKUP(B1,mapping!$A$2:$B$13,2,0)</f>
        <v>Q1</v>
      </c>
      <c r="X5" s="101" t="s">
        <v>79</v>
      </c>
      <c r="Z5" s="101" t="s">
        <v>75</v>
      </c>
      <c r="AA5" s="101" t="s">
        <v>76</v>
      </c>
      <c r="AB5" s="101" t="s">
        <v>77</v>
      </c>
      <c r="AC5" s="101" t="s">
        <v>78</v>
      </c>
      <c r="AD5" s="101" t="s">
        <v>74</v>
      </c>
    </row>
    <row r="6" spans="1:30">
      <c r="A6" s="6"/>
      <c r="B6" s="7" t="s">
        <v>5</v>
      </c>
      <c r="C6" s="7"/>
      <c r="D6" s="8"/>
      <c r="E6" s="9">
        <f>'[7]P&amp;L 2+10'!H9</f>
        <v>1356.721</v>
      </c>
      <c r="F6" s="10">
        <f>'[7]P&amp;L 2+10'!I9</f>
        <v>1404.9649999999999</v>
      </c>
      <c r="G6" s="10">
        <f>'[7]P&amp;L 2+10'!J9</f>
        <v>1570.896</v>
      </c>
      <c r="H6" s="10">
        <f>'[7]P&amp;L 2+10'!K9</f>
        <v>1302.847</v>
      </c>
      <c r="I6" s="10">
        <f>'[7]P&amp;L 2+10'!L9</f>
        <v>1027.3140000000001</v>
      </c>
      <c r="J6" s="10">
        <f>'[7]P&amp;L 2+10'!M9</f>
        <v>1408.367</v>
      </c>
      <c r="K6" s="10">
        <f>'[7]P&amp;L 2+10'!N9</f>
        <v>1286.49</v>
      </c>
      <c r="L6" s="10">
        <f>'[7]P&amp;L 2+10'!O9</f>
        <v>1329.8820000000001</v>
      </c>
      <c r="M6" s="10">
        <f>'[7]P&amp;L 2+10'!P9</f>
        <v>1356.434</v>
      </c>
      <c r="N6" s="10">
        <f>'[7]P&amp;L 2+10'!Q9</f>
        <v>1259.2919999999999</v>
      </c>
      <c r="O6" s="10">
        <f>'[7]P&amp;L 2+10'!R9</f>
        <v>1220.4190000000001</v>
      </c>
      <c r="P6" s="10">
        <f>'[7]P&amp;L 2+10'!S9</f>
        <v>1756.1880000000001</v>
      </c>
      <c r="Q6" s="105">
        <f>SUM(E6:P6)</f>
        <v>16279.814999999999</v>
      </c>
      <c r="S6" s="10">
        <f>SUMIFS($E6:$P6,$E$3:$P$3,1,$E$5:$P$5,S$5)</f>
        <v>1356.721</v>
      </c>
      <c r="T6" s="10">
        <f>SUMIFS($E6:$P6,$E$3:$P$3,1,$E$5:$P$5,T$5)</f>
        <v>0</v>
      </c>
      <c r="U6" s="10">
        <f>SUMIFS($E6:$P6,$E$3:$P$3,1,$E$5:$P$5,U$5)</f>
        <v>0</v>
      </c>
      <c r="V6" s="10">
        <f>SUM(S6:U6)</f>
        <v>1356.721</v>
      </c>
      <c r="X6" s="10">
        <f>SUMIF($E$2:$P$2,1,E6:P6)</f>
        <v>1356.721</v>
      </c>
      <c r="Z6" s="10">
        <f>SUM(E6:G6)</f>
        <v>4332.5819999999994</v>
      </c>
      <c r="AA6" s="10">
        <f>SUM(H6:J6)</f>
        <v>3738.5280000000002</v>
      </c>
      <c r="AB6" s="10">
        <f>SUM(K6:M6)</f>
        <v>3972.8060000000005</v>
      </c>
      <c r="AC6" s="10">
        <f>SUM(N6:P6)</f>
        <v>4235.8990000000003</v>
      </c>
      <c r="AD6" s="10">
        <f>SUM(Z6:AC6)</f>
        <v>16279.815000000002</v>
      </c>
    </row>
    <row r="7" spans="1:30">
      <c r="A7" s="6"/>
      <c r="B7" s="7" t="s">
        <v>6</v>
      </c>
      <c r="C7" s="7"/>
      <c r="D7" s="8"/>
      <c r="E7" s="9">
        <f>'[7]P&amp;L 2+10'!H5/1000</f>
        <v>20.428999999999998</v>
      </c>
      <c r="F7" s="10">
        <f>'[7]P&amp;L 2+10'!I5/1000</f>
        <v>26.765000000000001</v>
      </c>
      <c r="G7" s="10">
        <f>'[7]P&amp;L 2+10'!J5/1000</f>
        <v>33.329000000000001</v>
      </c>
      <c r="H7" s="10">
        <f>'[7]P&amp;L 2+10'!K5/1000</f>
        <v>27.021000000000001</v>
      </c>
      <c r="I7" s="10">
        <f>'[7]P&amp;L 2+10'!L5/1000</f>
        <v>18.388999999999999</v>
      </c>
      <c r="J7" s="10">
        <f>'[7]P&amp;L 2+10'!M5/1000</f>
        <v>34.966000000000001</v>
      </c>
      <c r="K7" s="10">
        <f>'[7]P&amp;L 2+10'!N5/1000</f>
        <v>28.59</v>
      </c>
      <c r="L7" s="10">
        <f>'[7]P&amp;L 2+10'!O5/1000</f>
        <v>30.363</v>
      </c>
      <c r="M7" s="10">
        <f>'[7]P&amp;L 2+10'!P5/1000</f>
        <v>30.667999999999999</v>
      </c>
      <c r="N7" s="10">
        <f>'[7]P&amp;L 2+10'!Q5/1000</f>
        <v>30.501999999999999</v>
      </c>
      <c r="O7" s="10">
        <f>'[7]P&amp;L 2+10'!R5/1000</f>
        <v>33.302999999999997</v>
      </c>
      <c r="P7" s="10">
        <f>'[7]P&amp;L 2+10'!S5/1000</f>
        <v>47.101999999999997</v>
      </c>
      <c r="Q7" s="105">
        <f t="shared" ref="Q7:Q12" si="1">SUM(E7:P7)</f>
        <v>361.42699999999996</v>
      </c>
      <c r="S7" s="10">
        <f t="shared" ref="S7:U13" si="2">SUMIFS($E7:$P7,$E$3:$P$3,1,$E$5:$P$5,S$5)</f>
        <v>20.428999999999998</v>
      </c>
      <c r="T7" s="10">
        <f t="shared" si="2"/>
        <v>0</v>
      </c>
      <c r="U7" s="10">
        <f t="shared" si="2"/>
        <v>0</v>
      </c>
      <c r="V7" s="10">
        <f t="shared" ref="V7:V13" si="3">SUM(S7:U7)</f>
        <v>20.428999999999998</v>
      </c>
      <c r="X7" s="10">
        <f t="shared" ref="X7:X13" si="4">SUMIF($E$2:$P$2,1,E7:P7)</f>
        <v>20.428999999999998</v>
      </c>
      <c r="Z7" s="10">
        <f t="shared" ref="Z7:Z13" si="5">SUM(E7:G7)</f>
        <v>80.522999999999996</v>
      </c>
      <c r="AA7" s="10">
        <f t="shared" ref="AA7:AA13" si="6">SUM(H7:J7)</f>
        <v>80.376000000000005</v>
      </c>
      <c r="AB7" s="10">
        <f t="shared" ref="AB7:AB13" si="7">SUM(K7:M7)</f>
        <v>89.621000000000009</v>
      </c>
      <c r="AC7" s="10">
        <f t="shared" ref="AC7:AC13" si="8">SUM(N7:P7)</f>
        <v>110.90699999999998</v>
      </c>
      <c r="AD7" s="10">
        <f t="shared" ref="AD7:AD13" si="9">SUM(Z7:AC7)</f>
        <v>361.42700000000002</v>
      </c>
    </row>
    <row r="8" spans="1:30">
      <c r="A8" s="6"/>
      <c r="B8" s="7" t="s">
        <v>7</v>
      </c>
      <c r="C8" s="7"/>
      <c r="D8" s="8"/>
      <c r="E8" s="9">
        <f>'[7]P&amp;L 2+10'!H6/1000</f>
        <v>0</v>
      </c>
      <c r="F8" s="10">
        <f>'[7]P&amp;L 2+10'!I6/1000</f>
        <v>0</v>
      </c>
      <c r="G8" s="10">
        <f>'[7]P&amp;L 2+10'!J6/1000</f>
        <v>0</v>
      </c>
      <c r="H8" s="10">
        <f>'[7]P&amp;L 2+10'!K6/1000</f>
        <v>0</v>
      </c>
      <c r="I8" s="10">
        <f>'[7]P&amp;L 2+10'!L6/1000</f>
        <v>0</v>
      </c>
      <c r="J8" s="10">
        <f>'[7]P&amp;L 2+10'!M6/1000</f>
        <v>0</v>
      </c>
      <c r="K8" s="10">
        <f>'[7]P&amp;L 2+10'!N6/1000</f>
        <v>0</v>
      </c>
      <c r="L8" s="10">
        <f>'[7]P&amp;L 2+10'!O6/1000</f>
        <v>0</v>
      </c>
      <c r="M8" s="10">
        <f>'[7]P&amp;L 2+10'!P6/1000</f>
        <v>0</v>
      </c>
      <c r="N8" s="10">
        <f>'[7]P&amp;L 2+10'!Q6/1000</f>
        <v>0</v>
      </c>
      <c r="O8" s="10">
        <f>'[7]P&amp;L 2+10'!R6/1000</f>
        <v>0</v>
      </c>
      <c r="P8" s="10">
        <f>'[7]P&amp;L 2+10'!S6/1000</f>
        <v>0</v>
      </c>
      <c r="Q8" s="105">
        <f t="shared" si="1"/>
        <v>0</v>
      </c>
      <c r="S8" s="10">
        <f t="shared" si="2"/>
        <v>0</v>
      </c>
      <c r="T8" s="10">
        <f t="shared" si="2"/>
        <v>0</v>
      </c>
      <c r="U8" s="10">
        <f t="shared" si="2"/>
        <v>0</v>
      </c>
      <c r="V8" s="10">
        <f t="shared" si="3"/>
        <v>0</v>
      </c>
      <c r="X8" s="10">
        <f t="shared" si="4"/>
        <v>0</v>
      </c>
      <c r="Z8" s="10">
        <f t="shared" si="5"/>
        <v>0</v>
      </c>
      <c r="AA8" s="10">
        <f t="shared" si="6"/>
        <v>0</v>
      </c>
      <c r="AB8" s="10">
        <f t="shared" si="7"/>
        <v>0</v>
      </c>
      <c r="AC8" s="10">
        <f t="shared" si="8"/>
        <v>0</v>
      </c>
      <c r="AD8" s="10">
        <f t="shared" si="9"/>
        <v>0</v>
      </c>
    </row>
    <row r="9" spans="1:30">
      <c r="A9" s="6"/>
      <c r="B9" s="7" t="s">
        <v>8</v>
      </c>
      <c r="C9" s="7"/>
      <c r="D9" s="8"/>
      <c r="E9" s="9">
        <f>'[7]P&amp;L 2+10'!H7/1000</f>
        <v>0</v>
      </c>
      <c r="F9" s="10">
        <f>'[7]P&amp;L 2+10'!I7/1000</f>
        <v>0</v>
      </c>
      <c r="G9" s="10">
        <f>'[7]P&amp;L 2+10'!J7/1000</f>
        <v>0</v>
      </c>
      <c r="H9" s="10">
        <f>'[7]P&amp;L 2+10'!K7/1000</f>
        <v>0</v>
      </c>
      <c r="I9" s="10">
        <f>'[7]P&amp;L 2+10'!L7/1000</f>
        <v>0</v>
      </c>
      <c r="J9" s="10">
        <f>'[7]P&amp;L 2+10'!M7/1000</f>
        <v>0</v>
      </c>
      <c r="K9" s="10">
        <f>'[7]P&amp;L 2+10'!N7/1000</f>
        <v>0</v>
      </c>
      <c r="L9" s="10">
        <f>'[7]P&amp;L 2+10'!O7/1000</f>
        <v>0</v>
      </c>
      <c r="M9" s="10">
        <f>'[7]P&amp;L 2+10'!P7/1000</f>
        <v>0</v>
      </c>
      <c r="N9" s="10">
        <f>'[7]P&amp;L 2+10'!Q7/1000</f>
        <v>0</v>
      </c>
      <c r="O9" s="10">
        <f>'[7]P&amp;L 2+10'!R7/1000</f>
        <v>0</v>
      </c>
      <c r="P9" s="10">
        <f>'[7]P&amp;L 2+10'!S7/1000</f>
        <v>0</v>
      </c>
      <c r="Q9" s="105">
        <f t="shared" si="1"/>
        <v>0</v>
      </c>
      <c r="S9" s="10">
        <f t="shared" si="2"/>
        <v>0</v>
      </c>
      <c r="T9" s="10">
        <f t="shared" si="2"/>
        <v>0</v>
      </c>
      <c r="U9" s="10">
        <f t="shared" si="2"/>
        <v>0</v>
      </c>
      <c r="V9" s="10">
        <f t="shared" si="3"/>
        <v>0</v>
      </c>
      <c r="X9" s="10">
        <f t="shared" si="4"/>
        <v>0</v>
      </c>
      <c r="Z9" s="10">
        <f t="shared" si="5"/>
        <v>0</v>
      </c>
      <c r="AA9" s="10">
        <f t="shared" si="6"/>
        <v>0</v>
      </c>
      <c r="AB9" s="10">
        <f t="shared" si="7"/>
        <v>0</v>
      </c>
      <c r="AC9" s="10">
        <f t="shared" si="8"/>
        <v>0</v>
      </c>
      <c r="AD9" s="10">
        <f t="shared" si="9"/>
        <v>0</v>
      </c>
    </row>
    <row r="10" spans="1:30">
      <c r="A10" s="6"/>
      <c r="B10" s="7" t="s">
        <v>9</v>
      </c>
      <c r="C10" s="7"/>
      <c r="D10" s="8"/>
      <c r="E10" s="9">
        <f>'[7]P&amp;L 2+10'!H21/1000</f>
        <v>16.117999999999999</v>
      </c>
      <c r="F10" s="10">
        <f>'[7]P&amp;L 2+10'!I21/1000</f>
        <v>23.010999999999999</v>
      </c>
      <c r="G10" s="10">
        <f>'[7]P&amp;L 2+10'!J21/1000</f>
        <v>30.135000000000002</v>
      </c>
      <c r="H10" s="10">
        <f>'[7]P&amp;L 2+10'!K21/1000</f>
        <v>20.22</v>
      </c>
      <c r="I10" s="10">
        <f>'[7]P&amp;L 2+10'!L21/1000</f>
        <v>19.399000000000001</v>
      </c>
      <c r="J10" s="10">
        <f>'[7]P&amp;L 2+10'!M21/1000</f>
        <v>36.869</v>
      </c>
      <c r="K10" s="10">
        <f>'[7]P&amp;L 2+10'!N21/1000</f>
        <v>29.256</v>
      </c>
      <c r="L10" s="10">
        <f>'[7]P&amp;L 2+10'!O21/1000</f>
        <v>32.600999999999999</v>
      </c>
      <c r="M10" s="10">
        <f>'[7]P&amp;L 2+10'!P21/1000</f>
        <v>31.797000000000001</v>
      </c>
      <c r="N10" s="10">
        <f>'[7]P&amp;L 2+10'!Q21/1000</f>
        <v>31.186</v>
      </c>
      <c r="O10" s="10">
        <f>'[7]P&amp;L 2+10'!R21/1000</f>
        <v>36.509</v>
      </c>
      <c r="P10" s="10">
        <f>'[7]P&amp;L 2+10'!S21/1000</f>
        <v>47.709000000000003</v>
      </c>
      <c r="Q10" s="105">
        <f t="shared" si="1"/>
        <v>354.81</v>
      </c>
      <c r="S10" s="10">
        <f t="shared" si="2"/>
        <v>16.117999999999999</v>
      </c>
      <c r="T10" s="10">
        <f t="shared" si="2"/>
        <v>0</v>
      </c>
      <c r="U10" s="10">
        <f t="shared" si="2"/>
        <v>0</v>
      </c>
      <c r="V10" s="10">
        <f t="shared" si="3"/>
        <v>16.117999999999999</v>
      </c>
      <c r="X10" s="10">
        <f t="shared" si="4"/>
        <v>16.117999999999999</v>
      </c>
      <c r="Z10" s="10">
        <f t="shared" si="5"/>
        <v>69.263999999999996</v>
      </c>
      <c r="AA10" s="10">
        <f t="shared" si="6"/>
        <v>76.488</v>
      </c>
      <c r="AB10" s="10">
        <f t="shared" si="7"/>
        <v>93.653999999999996</v>
      </c>
      <c r="AC10" s="10">
        <f t="shared" si="8"/>
        <v>115.404</v>
      </c>
      <c r="AD10" s="10">
        <f t="shared" si="9"/>
        <v>354.81</v>
      </c>
    </row>
    <row r="11" spans="1:30">
      <c r="A11" s="6"/>
      <c r="B11" s="7" t="s">
        <v>10</v>
      </c>
      <c r="C11" s="7"/>
      <c r="D11" s="8"/>
      <c r="E11" s="9">
        <f>'[7]P&amp;L 2+10'!H22/1000</f>
        <v>7.0000000000000001E-3</v>
      </c>
      <c r="F11" s="10">
        <f>'[7]P&amp;L 2+10'!I22/1000</f>
        <v>1E-3</v>
      </c>
      <c r="G11" s="10">
        <f>'[7]P&amp;L 2+10'!J22/1000</f>
        <v>1.2E-2</v>
      </c>
      <c r="H11" s="10">
        <f>'[7]P&amp;L 2+10'!K22/1000</f>
        <v>0.01</v>
      </c>
      <c r="I11" s="10">
        <f>'[7]P&amp;L 2+10'!L22/1000</f>
        <v>0.01</v>
      </c>
      <c r="J11" s="10">
        <f>'[7]P&amp;L 2+10'!M22/1000</f>
        <v>1.2E-2</v>
      </c>
      <c r="K11" s="10">
        <f>'[7]P&amp;L 2+10'!N22/1000</f>
        <v>1.2999999999999999E-2</v>
      </c>
      <c r="L11" s="10">
        <f>'[7]P&amp;L 2+10'!O22/1000</f>
        <v>1.4E-2</v>
      </c>
      <c r="M11" s="10">
        <f>'[7]P&amp;L 2+10'!P22/1000</f>
        <v>1.4E-2</v>
      </c>
      <c r="N11" s="10">
        <f>'[7]P&amp;L 2+10'!Q22/1000</f>
        <v>0</v>
      </c>
      <c r="O11" s="10">
        <f>'[7]P&amp;L 2+10'!R22/1000</f>
        <v>0</v>
      </c>
      <c r="P11" s="10">
        <f>'[7]P&amp;L 2+10'!S22/1000</f>
        <v>0</v>
      </c>
      <c r="Q11" s="105">
        <f t="shared" si="1"/>
        <v>9.2999999999999999E-2</v>
      </c>
      <c r="S11" s="10">
        <f t="shared" si="2"/>
        <v>7.0000000000000001E-3</v>
      </c>
      <c r="T11" s="10">
        <f t="shared" si="2"/>
        <v>0</v>
      </c>
      <c r="U11" s="10">
        <f t="shared" si="2"/>
        <v>0</v>
      </c>
      <c r="V11" s="10">
        <f t="shared" si="3"/>
        <v>7.0000000000000001E-3</v>
      </c>
      <c r="X11" s="10">
        <f t="shared" si="4"/>
        <v>7.0000000000000001E-3</v>
      </c>
      <c r="Z11" s="10">
        <f t="shared" si="5"/>
        <v>0.02</v>
      </c>
      <c r="AA11" s="10">
        <f t="shared" si="6"/>
        <v>3.2000000000000001E-2</v>
      </c>
      <c r="AB11" s="10">
        <f t="shared" si="7"/>
        <v>4.1000000000000002E-2</v>
      </c>
      <c r="AC11" s="10">
        <f t="shared" si="8"/>
        <v>0</v>
      </c>
      <c r="AD11" s="10">
        <f t="shared" si="9"/>
        <v>9.2999999999999999E-2</v>
      </c>
    </row>
    <row r="12" spans="1:30">
      <c r="A12" s="6"/>
      <c r="B12" s="7" t="s">
        <v>11</v>
      </c>
      <c r="C12" s="7"/>
      <c r="D12" s="8"/>
      <c r="E12" s="9">
        <f>'[7]P&amp;L 2+10'!H23/1000</f>
        <v>0</v>
      </c>
      <c r="F12" s="10">
        <f>'[7]P&amp;L 2+10'!I23/1000</f>
        <v>0</v>
      </c>
      <c r="G12" s="10">
        <f>'[7]P&amp;L 2+10'!J23/1000</f>
        <v>0</v>
      </c>
      <c r="H12" s="10">
        <f>'[7]P&amp;L 2+10'!K23/1000</f>
        <v>0</v>
      </c>
      <c r="I12" s="10">
        <f>'[7]P&amp;L 2+10'!L23/1000</f>
        <v>0</v>
      </c>
      <c r="J12" s="10">
        <f>'[7]P&amp;L 2+10'!M23/1000</f>
        <v>0</v>
      </c>
      <c r="K12" s="10">
        <f>'[7]P&amp;L 2+10'!N23/1000</f>
        <v>0</v>
      </c>
      <c r="L12" s="10">
        <f>'[7]P&amp;L 2+10'!O23/1000</f>
        <v>0</v>
      </c>
      <c r="M12" s="10">
        <f>'[7]P&amp;L 2+10'!P23/1000</f>
        <v>0</v>
      </c>
      <c r="N12" s="10">
        <f>'[7]P&amp;L 2+10'!Q23/1000</f>
        <v>0</v>
      </c>
      <c r="O12" s="10">
        <f>'[7]P&amp;L 2+10'!R23/1000</f>
        <v>0</v>
      </c>
      <c r="P12" s="10">
        <f>'[7]P&amp;L 2+10'!S23/1000</f>
        <v>0</v>
      </c>
      <c r="Q12" s="106">
        <f t="shared" si="1"/>
        <v>0</v>
      </c>
      <c r="S12" s="10">
        <f t="shared" si="2"/>
        <v>0</v>
      </c>
      <c r="T12" s="10">
        <f t="shared" si="2"/>
        <v>0</v>
      </c>
      <c r="U12" s="10">
        <f t="shared" si="2"/>
        <v>0</v>
      </c>
      <c r="V12" s="10">
        <f t="shared" si="3"/>
        <v>0</v>
      </c>
      <c r="X12" s="10">
        <f t="shared" si="4"/>
        <v>0</v>
      </c>
      <c r="Z12" s="10">
        <f t="shared" si="5"/>
        <v>0</v>
      </c>
      <c r="AA12" s="10">
        <f t="shared" si="6"/>
        <v>0</v>
      </c>
      <c r="AB12" s="10">
        <f t="shared" si="7"/>
        <v>0</v>
      </c>
      <c r="AC12" s="10">
        <f t="shared" si="8"/>
        <v>0</v>
      </c>
      <c r="AD12" s="10">
        <f t="shared" si="9"/>
        <v>0</v>
      </c>
    </row>
    <row r="13" spans="1:30">
      <c r="A13" s="6"/>
      <c r="B13" s="7" t="s">
        <v>12</v>
      </c>
      <c r="C13" s="7"/>
      <c r="D13" s="8"/>
      <c r="E13" s="11">
        <f>'[7]P&amp;L 2+10'!H27/1000</f>
        <v>0.48099999999999998</v>
      </c>
      <c r="F13" s="12">
        <f>'[7]P&amp;L 2+10'!I27/1000</f>
        <v>1.4910000000000001</v>
      </c>
      <c r="G13" s="12">
        <f>'[7]P&amp;L 2+10'!J27/1000</f>
        <v>1.0269999999999999</v>
      </c>
      <c r="H13" s="12">
        <f>'[7]P&amp;L 2+10'!K27/1000</f>
        <v>0.752</v>
      </c>
      <c r="I13" s="12">
        <f>'[7]P&amp;L 2+10'!L27/1000</f>
        <v>0.96599999999999997</v>
      </c>
      <c r="J13" s="12">
        <f>'[7]P&amp;L 2+10'!M27/1000</f>
        <v>0.96799999999999997</v>
      </c>
      <c r="K13" s="12">
        <f>'[7]P&amp;L 2+10'!N27/1000</f>
        <v>0.70099999999999996</v>
      </c>
      <c r="L13" s="12">
        <f>'[7]P&amp;L 2+10'!O27/1000</f>
        <v>0.61</v>
      </c>
      <c r="M13" s="12">
        <f>'[7]P&amp;L 2+10'!P27/1000</f>
        <v>1.3919999999999999</v>
      </c>
      <c r="N13" s="12">
        <f>'[7]P&amp;L 2+10'!Q27/1000</f>
        <v>1.534</v>
      </c>
      <c r="O13" s="12">
        <f>'[7]P&amp;L 2+10'!R27/1000</f>
        <v>1.28</v>
      </c>
      <c r="P13" s="12">
        <f>'[7]P&amp;L 2+10'!S27/1000</f>
        <v>1.1419999999999999</v>
      </c>
      <c r="Q13" s="106">
        <f>SUM(E13:P13)</f>
        <v>12.343999999999999</v>
      </c>
      <c r="S13" s="12">
        <f t="shared" si="2"/>
        <v>0.48099999999999998</v>
      </c>
      <c r="T13" s="12">
        <f t="shared" si="2"/>
        <v>0</v>
      </c>
      <c r="U13" s="12">
        <f t="shared" si="2"/>
        <v>0</v>
      </c>
      <c r="V13" s="12">
        <f t="shared" si="3"/>
        <v>0.48099999999999998</v>
      </c>
      <c r="X13" s="12">
        <f t="shared" si="4"/>
        <v>0.48099999999999998</v>
      </c>
      <c r="Z13" s="10">
        <f t="shared" si="5"/>
        <v>2.9989999999999997</v>
      </c>
      <c r="AA13" s="10">
        <f t="shared" si="6"/>
        <v>2.6859999999999999</v>
      </c>
      <c r="AB13" s="10">
        <f t="shared" si="7"/>
        <v>2.7029999999999998</v>
      </c>
      <c r="AC13" s="10">
        <f t="shared" si="8"/>
        <v>3.956</v>
      </c>
      <c r="AD13" s="10">
        <f t="shared" si="9"/>
        <v>12.343999999999999</v>
      </c>
    </row>
    <row r="14" spans="1:30">
      <c r="A14" s="13"/>
      <c r="B14" s="14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S14" s="2"/>
      <c r="T14" s="2"/>
      <c r="U14" s="2"/>
      <c r="V14" s="2"/>
      <c r="X14" s="2"/>
      <c r="Z14" s="2"/>
      <c r="AA14" s="2"/>
      <c r="AB14" s="2"/>
      <c r="AC14" s="2"/>
      <c r="AD14" s="2"/>
    </row>
    <row r="15" spans="1:30">
      <c r="A15" s="13"/>
      <c r="B15" s="14"/>
      <c r="C15" s="14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S15" s="13"/>
      <c r="T15" s="13"/>
      <c r="U15" s="13"/>
      <c r="V15" s="13"/>
      <c r="X15" s="13"/>
      <c r="Z15" s="13"/>
      <c r="AA15" s="13"/>
      <c r="AB15" s="13"/>
      <c r="AC15" s="13"/>
      <c r="AD15" s="13"/>
    </row>
    <row r="16" spans="1:30">
      <c r="A16" s="16"/>
      <c r="B16" s="16"/>
      <c r="C16" s="17" t="s">
        <v>13</v>
      </c>
      <c r="D16" s="17"/>
      <c r="E16" s="18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08">
        <f t="shared" ref="Q16:Q46" si="10">SUM(E16:P16)</f>
        <v>0</v>
      </c>
      <c r="S16" s="19"/>
      <c r="T16" s="19"/>
      <c r="U16" s="19"/>
      <c r="V16" s="19"/>
      <c r="X16" s="19"/>
      <c r="Z16" s="19"/>
      <c r="AA16" s="19"/>
      <c r="AB16" s="19"/>
      <c r="AC16" s="19"/>
      <c r="AD16" s="19"/>
    </row>
    <row r="17" spans="1:32">
      <c r="A17" s="20"/>
      <c r="B17" s="20"/>
      <c r="C17" s="21" t="s">
        <v>14</v>
      </c>
      <c r="D17" s="21"/>
      <c r="E17" s="22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109">
        <f t="shared" si="10"/>
        <v>0</v>
      </c>
      <c r="S17" s="23"/>
      <c r="T17" s="23"/>
      <c r="U17" s="23"/>
      <c r="V17" s="23"/>
      <c r="X17" s="23"/>
      <c r="Z17" s="23"/>
      <c r="AA17" s="23"/>
      <c r="AB17" s="23"/>
      <c r="AC17" s="23"/>
      <c r="AD17" s="23"/>
    </row>
    <row r="18" spans="1:32">
      <c r="A18" s="24" t="s">
        <v>15</v>
      </c>
      <c r="B18" s="25"/>
      <c r="C18" s="26"/>
      <c r="D18" s="26"/>
      <c r="E18" s="27">
        <f>[26]Act!D222</f>
        <v>612.22646137803633</v>
      </c>
      <c r="F18" s="28">
        <f>[26]Act!E222</f>
        <v>755.9401488583477</v>
      </c>
      <c r="G18" s="29">
        <f>[26]Act!F222</f>
        <v>1021.0390608490011</v>
      </c>
      <c r="H18" s="29">
        <f>[26]Act!G222</f>
        <v>746.95913716253426</v>
      </c>
      <c r="I18" s="29">
        <f>[26]Act!H222</f>
        <v>683.1779295495553</v>
      </c>
      <c r="J18" s="29">
        <f>[26]Act!I222</f>
        <v>1224.5490826052048</v>
      </c>
      <c r="K18" s="29">
        <f>[26]Act!J222</f>
        <v>1010.876121336172</v>
      </c>
      <c r="L18" s="29">
        <f>[26]Act!K222</f>
        <v>1112.8101541919978</v>
      </c>
      <c r="M18" s="29">
        <f>[26]Act!L222</f>
        <v>1059.2116010541845</v>
      </c>
      <c r="N18" s="29">
        <f>[26]Act!M222</f>
        <v>1044.632340268377</v>
      </c>
      <c r="O18" s="29">
        <f>[26]Act!N222</f>
        <v>1227.7206516251183</v>
      </c>
      <c r="P18" s="29">
        <f>[26]Act!O222</f>
        <v>1519.8017541143893</v>
      </c>
      <c r="Q18" s="108">
        <f t="shared" si="10"/>
        <v>12018.944442992919</v>
      </c>
      <c r="S18" s="29">
        <f>SUMIFS($E18:$P18,$E$3:$P$3,1,$E$5:$P$5,S$5)</f>
        <v>612.22646137803633</v>
      </c>
      <c r="T18" s="29">
        <f>SUMIFS($E18:$P18,$E$3:$P$3,1,$E$5:$P$5,T$5)</f>
        <v>0</v>
      </c>
      <c r="U18" s="29">
        <f>SUMIFS($E18:$P18,$E$3:$P$3,1,$E$5:$P$5,U$5)</f>
        <v>0</v>
      </c>
      <c r="V18" s="29">
        <f>SUM(S18:U18)</f>
        <v>612.22646137803633</v>
      </c>
      <c r="X18" s="29">
        <f>SUMIF($E$2:$P$2,1,E18:P18)</f>
        <v>612.22646137803633</v>
      </c>
      <c r="Z18" s="29">
        <f>SUM(E18:G18)</f>
        <v>2389.2056710853849</v>
      </c>
      <c r="AA18" s="29">
        <f>SUM(H18:J18)</f>
        <v>2654.6861493172946</v>
      </c>
      <c r="AB18" s="29">
        <f>SUM(K18:M18)</f>
        <v>3182.8978765823545</v>
      </c>
      <c r="AC18" s="29">
        <f>SUM(N18:P18)</f>
        <v>3792.1547460078846</v>
      </c>
      <c r="AD18" s="29">
        <f>SUM(Z18:AC18)</f>
        <v>12018.944442992917</v>
      </c>
    </row>
    <row r="19" spans="1:32">
      <c r="A19" s="20"/>
      <c r="B19" s="16"/>
      <c r="C19" s="17" t="s">
        <v>16</v>
      </c>
      <c r="D19" s="17"/>
      <c r="E19" s="18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08">
        <f t="shared" si="10"/>
        <v>0</v>
      </c>
      <c r="S19" s="19"/>
      <c r="T19" s="19"/>
      <c r="U19" s="19"/>
      <c r="V19" s="19"/>
      <c r="X19" s="19"/>
      <c r="Z19" s="19"/>
      <c r="AA19" s="19"/>
      <c r="AB19" s="19"/>
      <c r="AC19" s="19"/>
      <c r="AD19" s="19"/>
    </row>
    <row r="20" spans="1:32">
      <c r="A20" s="20"/>
      <c r="B20" s="30"/>
      <c r="C20" s="31" t="s">
        <v>17</v>
      </c>
      <c r="D20" s="31"/>
      <c r="E20" s="22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109">
        <f t="shared" si="10"/>
        <v>0</v>
      </c>
      <c r="S20" s="23"/>
      <c r="T20" s="23"/>
      <c r="U20" s="23"/>
      <c r="V20" s="23"/>
      <c r="X20" s="23"/>
      <c r="Z20" s="23"/>
      <c r="AA20" s="23"/>
      <c r="AB20" s="23"/>
      <c r="AC20" s="23"/>
      <c r="AD20" s="23"/>
    </row>
    <row r="21" spans="1:32">
      <c r="A21" s="32"/>
      <c r="B21" s="26" t="s">
        <v>18</v>
      </c>
      <c r="C21" s="26"/>
      <c r="D21" s="26"/>
      <c r="E21" s="33">
        <f>[26]Act!D223</f>
        <v>-85.285283100000001</v>
      </c>
      <c r="F21" s="34">
        <f>[26]Act!E223</f>
        <v>-107.1679133</v>
      </c>
      <c r="G21" s="35">
        <f>[26]Act!F223</f>
        <v>-164.20759796882641</v>
      </c>
      <c r="H21" s="35">
        <f>[26]Act!G223</f>
        <v>-101.08180005556804</v>
      </c>
      <c r="I21" s="35">
        <f>[26]Act!H223</f>
        <v>-91.171626066174454</v>
      </c>
      <c r="J21" s="35">
        <f>[26]Act!I223</f>
        <v>-180.5076531817171</v>
      </c>
      <c r="K21" s="35">
        <f>[26]Act!J223</f>
        <v>-137.13375238804804</v>
      </c>
      <c r="L21" s="35">
        <f>[26]Act!K223</f>
        <v>-156.06524108065125</v>
      </c>
      <c r="M21" s="35">
        <f>[26]Act!L223</f>
        <v>-147.6808496137696</v>
      </c>
      <c r="N21" s="35">
        <f>[26]Act!M223</f>
        <v>-138.18967518036217</v>
      </c>
      <c r="O21" s="35">
        <f>[26]Act!N223</f>
        <v>-167.86348977568605</v>
      </c>
      <c r="P21" s="35">
        <f>[26]Act!O223</f>
        <v>-224.04938210358443</v>
      </c>
      <c r="Q21" s="108">
        <f t="shared" si="10"/>
        <v>-1700.4042638143874</v>
      </c>
      <c r="S21" s="35">
        <f>SUMIFS($E21:$P21,$E$3:$P$3,1,$E$5:$P$5,S$5)</f>
        <v>-85.285283100000001</v>
      </c>
      <c r="T21" s="35">
        <f>SUMIFS($E21:$P21,$E$3:$P$3,1,$E$5:$P$5,T$5)</f>
        <v>0</v>
      </c>
      <c r="U21" s="35">
        <f>SUMIFS($E21:$P21,$E$3:$P$3,1,$E$5:$P$5,U$5)</f>
        <v>0</v>
      </c>
      <c r="V21" s="35">
        <f>SUM(S21:U21)</f>
        <v>-85.285283100000001</v>
      </c>
      <c r="X21" s="35">
        <f>SUMIF($E$2:$P$2,1,E21:P21)</f>
        <v>-85.285283100000001</v>
      </c>
      <c r="Z21" s="35">
        <f>SUM(E21:G21)</f>
        <v>-356.66079436882637</v>
      </c>
      <c r="AA21" s="35">
        <f>SUM(H21:J21)</f>
        <v>-372.76107930345961</v>
      </c>
      <c r="AB21" s="35">
        <f>SUM(K21:M21)</f>
        <v>-440.87984308246894</v>
      </c>
      <c r="AC21" s="35">
        <f>SUM(N21:P21)</f>
        <v>-530.10254705963268</v>
      </c>
      <c r="AD21" s="35">
        <f>SUM(Z21:AC21)</f>
        <v>-1700.4042638143878</v>
      </c>
    </row>
    <row r="22" spans="1:32">
      <c r="A22" s="36" t="s">
        <v>19</v>
      </c>
      <c r="B22" s="36"/>
      <c r="C22" s="1"/>
      <c r="D22" s="37"/>
      <c r="E22" s="38">
        <f>SUM(E18,E21)</f>
        <v>526.94117827803632</v>
      </c>
      <c r="F22" s="39">
        <f t="shared" ref="F22:P22" si="11">SUM(F18,F21)</f>
        <v>648.77223555834769</v>
      </c>
      <c r="G22" s="40">
        <f t="shared" si="11"/>
        <v>856.83146288017474</v>
      </c>
      <c r="H22" s="40">
        <f t="shared" si="11"/>
        <v>645.87733710696625</v>
      </c>
      <c r="I22" s="40">
        <f t="shared" si="11"/>
        <v>592.00630348338086</v>
      </c>
      <c r="J22" s="40">
        <f t="shared" si="11"/>
        <v>1044.0414294234877</v>
      </c>
      <c r="K22" s="40">
        <f t="shared" si="11"/>
        <v>873.74236894812395</v>
      </c>
      <c r="L22" s="40">
        <f t="shared" si="11"/>
        <v>956.74491311134648</v>
      </c>
      <c r="M22" s="40">
        <f t="shared" si="11"/>
        <v>911.53075144041486</v>
      </c>
      <c r="N22" s="40">
        <f t="shared" si="11"/>
        <v>906.44266508801479</v>
      </c>
      <c r="O22" s="40">
        <f t="shared" si="11"/>
        <v>1059.8571618494323</v>
      </c>
      <c r="P22" s="40">
        <f t="shared" si="11"/>
        <v>1295.7523720108047</v>
      </c>
      <c r="Q22" s="110">
        <f t="shared" si="10"/>
        <v>10318.54017917853</v>
      </c>
      <c r="S22" s="40">
        <f>SUM(S18,S21)</f>
        <v>526.94117827803632</v>
      </c>
      <c r="T22" s="40">
        <f>SUM(T18,T21)</f>
        <v>0</v>
      </c>
      <c r="U22" s="40">
        <f>SUM(U18,U21)</f>
        <v>0</v>
      </c>
      <c r="V22" s="40">
        <f>SUM(V18,V21)</f>
        <v>526.94117827803632</v>
      </c>
      <c r="X22" s="40">
        <f>SUM(X18,X21)</f>
        <v>526.94117827803632</v>
      </c>
      <c r="Z22" s="40">
        <f>SUM(Z18,Z21)</f>
        <v>2032.5448767165585</v>
      </c>
      <c r="AA22" s="40">
        <f>SUM(AA18,AA21)</f>
        <v>2281.925070013835</v>
      </c>
      <c r="AB22" s="40">
        <f>SUM(AB18,AB21)</f>
        <v>2742.0180334998854</v>
      </c>
      <c r="AC22" s="40">
        <f>SUM(AC18,AC21)</f>
        <v>3262.0521989482518</v>
      </c>
      <c r="AD22" s="40">
        <f>SUM(AD18,AD21)</f>
        <v>10318.54017917853</v>
      </c>
    </row>
    <row r="23" spans="1:32">
      <c r="A23" s="16"/>
      <c r="B23" s="16"/>
      <c r="C23" s="41" t="s">
        <v>20</v>
      </c>
      <c r="D23" s="42"/>
      <c r="E23" s="18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08">
        <f t="shared" si="10"/>
        <v>0</v>
      </c>
      <c r="S23" s="19"/>
      <c r="T23" s="19"/>
      <c r="U23" s="19"/>
      <c r="V23" s="19"/>
      <c r="X23" s="19"/>
      <c r="Z23" s="19"/>
      <c r="AA23" s="19"/>
      <c r="AB23" s="19"/>
      <c r="AC23" s="19"/>
      <c r="AD23" s="19"/>
    </row>
    <row r="24" spans="1:32">
      <c r="A24" s="20"/>
      <c r="B24" s="30"/>
      <c r="C24" s="43" t="s">
        <v>21</v>
      </c>
      <c r="D24" s="44"/>
      <c r="E24" s="45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111">
        <f t="shared" si="10"/>
        <v>0</v>
      </c>
      <c r="S24" s="46"/>
      <c r="T24" s="46"/>
      <c r="U24" s="46"/>
      <c r="V24" s="46"/>
      <c r="X24" s="46"/>
      <c r="Z24" s="46"/>
      <c r="AA24" s="46"/>
      <c r="AB24" s="46"/>
      <c r="AC24" s="46"/>
      <c r="AD24" s="46"/>
    </row>
    <row r="25" spans="1:32">
      <c r="A25" s="20"/>
      <c r="B25" s="26" t="s">
        <v>22</v>
      </c>
      <c r="C25" s="17"/>
      <c r="D25" s="21"/>
      <c r="E25" s="47" t="e">
        <f>[26]Act!D225</f>
        <v>#VALUE!</v>
      </c>
      <c r="F25" s="48" t="e">
        <f>[26]Act!E225</f>
        <v>#VALUE!</v>
      </c>
      <c r="G25" s="49" t="e">
        <f>[26]Act!F225</f>
        <v>#VALUE!</v>
      </c>
      <c r="H25" s="49" t="e">
        <f>[26]Act!G225</f>
        <v>#VALUE!</v>
      </c>
      <c r="I25" s="49" t="e">
        <f>[26]Act!H225</f>
        <v>#VALUE!</v>
      </c>
      <c r="J25" s="49" t="e">
        <f>[26]Act!I225</f>
        <v>#VALUE!</v>
      </c>
      <c r="K25" s="49" t="e">
        <f>[26]Act!J225</f>
        <v>#VALUE!</v>
      </c>
      <c r="L25" s="49" t="e">
        <f>[26]Act!K225</f>
        <v>#VALUE!</v>
      </c>
      <c r="M25" s="49" t="e">
        <f>[26]Act!L225</f>
        <v>#VALUE!</v>
      </c>
      <c r="N25" s="49" t="e">
        <f>[26]Act!M225</f>
        <v>#VALUE!</v>
      </c>
      <c r="O25" s="49" t="e">
        <f>[26]Act!N225</f>
        <v>#VALUE!</v>
      </c>
      <c r="P25" s="49" t="e">
        <f>[26]Act!O225</f>
        <v>#VALUE!</v>
      </c>
      <c r="Q25" s="109" t="e">
        <f t="shared" si="10"/>
        <v>#VALUE!</v>
      </c>
      <c r="S25" s="49" t="e">
        <f>SUMIFS($E25:$P25,$E$3:$P$3,1,$E$5:$P$5,S$5)</f>
        <v>#VALUE!</v>
      </c>
      <c r="T25" s="49">
        <f>SUMIFS($E25:$P25,$E$3:$P$3,1,$E$5:$P$5,T$5)</f>
        <v>0</v>
      </c>
      <c r="U25" s="49">
        <f>SUMIFS($E25:$P25,$E$3:$P$3,1,$E$5:$P$5,U$5)</f>
        <v>0</v>
      </c>
      <c r="V25" s="49" t="e">
        <f>SUM(S25:U25)</f>
        <v>#VALUE!</v>
      </c>
      <c r="X25" s="49" t="e">
        <f>SUMIF($E$2:$P$2,1,E25:P25)</f>
        <v>#VALUE!</v>
      </c>
      <c r="Z25" s="49" t="e">
        <f>SUM(E25:G25)</f>
        <v>#VALUE!</v>
      </c>
      <c r="AA25" s="49" t="e">
        <f>SUM(H25:J25)</f>
        <v>#VALUE!</v>
      </c>
      <c r="AB25" s="49" t="e">
        <f>SUM(K25:M25)</f>
        <v>#VALUE!</v>
      </c>
      <c r="AC25" s="49" t="e">
        <f>SUM(N25:P25)</f>
        <v>#VALUE!</v>
      </c>
      <c r="AD25" s="49" t="e">
        <f>SUM(Z25:AC25)</f>
        <v>#VALUE!</v>
      </c>
    </row>
    <row r="26" spans="1:32">
      <c r="A26" s="50" t="s">
        <v>23</v>
      </c>
      <c r="B26" s="50"/>
      <c r="C26" s="37"/>
      <c r="D26" s="37"/>
      <c r="E26" s="51" t="e">
        <f t="shared" ref="E26:P26" si="12">E22+E25</f>
        <v>#VALUE!</v>
      </c>
      <c r="F26" s="52" t="e">
        <f t="shared" si="12"/>
        <v>#VALUE!</v>
      </c>
      <c r="G26" s="53" t="e">
        <f t="shared" si="12"/>
        <v>#VALUE!</v>
      </c>
      <c r="H26" s="53" t="e">
        <f t="shared" si="12"/>
        <v>#VALUE!</v>
      </c>
      <c r="I26" s="53" t="e">
        <f t="shared" si="12"/>
        <v>#VALUE!</v>
      </c>
      <c r="J26" s="53" t="e">
        <f t="shared" si="12"/>
        <v>#VALUE!</v>
      </c>
      <c r="K26" s="53" t="e">
        <f t="shared" si="12"/>
        <v>#VALUE!</v>
      </c>
      <c r="L26" s="53" t="e">
        <f t="shared" si="12"/>
        <v>#VALUE!</v>
      </c>
      <c r="M26" s="53" t="e">
        <f t="shared" si="12"/>
        <v>#VALUE!</v>
      </c>
      <c r="N26" s="53" t="e">
        <f t="shared" si="12"/>
        <v>#VALUE!</v>
      </c>
      <c r="O26" s="53" t="e">
        <f t="shared" si="12"/>
        <v>#VALUE!</v>
      </c>
      <c r="P26" s="53" t="e">
        <f t="shared" si="12"/>
        <v>#VALUE!</v>
      </c>
      <c r="Q26" s="112" t="e">
        <f t="shared" si="10"/>
        <v>#VALUE!</v>
      </c>
      <c r="S26" s="40" t="e">
        <f>SUM(S22,S25)</f>
        <v>#VALUE!</v>
      </c>
      <c r="T26" s="40">
        <f>SUM(T22,T25)</f>
        <v>0</v>
      </c>
      <c r="U26" s="40">
        <f>SUM(U22,U25)</f>
        <v>0</v>
      </c>
      <c r="V26" s="40" t="e">
        <f>SUM(V22,V25)</f>
        <v>#VALUE!</v>
      </c>
      <c r="X26" s="53" t="e">
        <f>X22+X25</f>
        <v>#VALUE!</v>
      </c>
      <c r="Z26" s="40" t="e">
        <f>SUM(Z22,Z25)</f>
        <v>#VALUE!</v>
      </c>
      <c r="AA26" s="40" t="e">
        <f>SUM(AA22,AA25)</f>
        <v>#VALUE!</v>
      </c>
      <c r="AB26" s="40" t="e">
        <f>SUM(AB22,AB25)</f>
        <v>#VALUE!</v>
      </c>
      <c r="AC26" s="40" t="e">
        <f>SUM(AC22,AC25)</f>
        <v>#VALUE!</v>
      </c>
      <c r="AD26" s="40" t="e">
        <f>SUM(AD22,AD25)</f>
        <v>#VALUE!</v>
      </c>
    </row>
    <row r="27" spans="1:32">
      <c r="A27" s="54"/>
      <c r="B27" s="55" t="s">
        <v>24</v>
      </c>
      <c r="C27" s="56"/>
      <c r="D27" s="56"/>
      <c r="E27" s="57" t="e">
        <f>E26/E18</f>
        <v>#VALUE!</v>
      </c>
      <c r="F27" s="58" t="e">
        <f>F26/F18</f>
        <v>#VALUE!</v>
      </c>
      <c r="G27" s="59" t="e">
        <f>G26/G18</f>
        <v>#VALUE!</v>
      </c>
      <c r="H27" s="59" t="e">
        <f t="shared" ref="H27:Q27" si="13">H26/H18</f>
        <v>#VALUE!</v>
      </c>
      <c r="I27" s="59" t="e">
        <f t="shared" si="13"/>
        <v>#VALUE!</v>
      </c>
      <c r="J27" s="59" t="e">
        <f t="shared" si="13"/>
        <v>#VALUE!</v>
      </c>
      <c r="K27" s="59" t="e">
        <f t="shared" si="13"/>
        <v>#VALUE!</v>
      </c>
      <c r="L27" s="59" t="e">
        <f t="shared" si="13"/>
        <v>#VALUE!</v>
      </c>
      <c r="M27" s="59" t="e">
        <f t="shared" si="13"/>
        <v>#VALUE!</v>
      </c>
      <c r="N27" s="59" t="e">
        <f t="shared" si="13"/>
        <v>#VALUE!</v>
      </c>
      <c r="O27" s="59" t="e">
        <f t="shared" si="13"/>
        <v>#VALUE!</v>
      </c>
      <c r="P27" s="59" t="e">
        <f t="shared" si="13"/>
        <v>#VALUE!</v>
      </c>
      <c r="Q27" s="113" t="e">
        <f t="shared" si="13"/>
        <v>#VALUE!</v>
      </c>
      <c r="S27" s="59" t="e">
        <f>S26/S18</f>
        <v>#VALUE!</v>
      </c>
      <c r="T27" s="59">
        <f>IFERROR(T26/T18,0)</f>
        <v>0</v>
      </c>
      <c r="U27" s="59">
        <f>IFERROR(U26/U18,0)</f>
        <v>0</v>
      </c>
      <c r="V27" s="59">
        <f>IFERROR(V26/V18,0)</f>
        <v>0</v>
      </c>
      <c r="X27" s="59" t="e">
        <f>X26/X18</f>
        <v>#VALUE!</v>
      </c>
      <c r="Z27" s="59" t="e">
        <f>Z26/Z18</f>
        <v>#VALUE!</v>
      </c>
      <c r="AA27" s="59">
        <f>IFERROR(AA26/AA18,0)</f>
        <v>0</v>
      </c>
      <c r="AB27" s="59">
        <f>IFERROR(AB26/AB18,0)</f>
        <v>0</v>
      </c>
      <c r="AC27" s="59">
        <f>IFERROR(AC26/AC18,0)</f>
        <v>0</v>
      </c>
      <c r="AD27" s="59" t="e">
        <f>AD26/AD18</f>
        <v>#VALUE!</v>
      </c>
    </row>
    <row r="28" spans="1:32">
      <c r="A28" s="20"/>
      <c r="B28" s="20"/>
      <c r="C28" s="60" t="s">
        <v>25</v>
      </c>
      <c r="D28" s="21"/>
      <c r="E28" s="22">
        <f>[26]Act!D228</f>
        <v>-29.170027381636</v>
      </c>
      <c r="F28" s="23">
        <f>[26]Act!E228</f>
        <v>-21.18745361612903</v>
      </c>
      <c r="G28" s="23">
        <f>[26]Act!F228</f>
        <v>-25.668476920984318</v>
      </c>
      <c r="H28" s="23">
        <f>[26]Act!G228</f>
        <v>-26.274561749635822</v>
      </c>
      <c r="I28" s="23">
        <f>[26]Act!H228</f>
        <v>-22.603068863568339</v>
      </c>
      <c r="J28" s="23">
        <f>[26]Act!I228</f>
        <v>-29.007299938335834</v>
      </c>
      <c r="K28" s="23">
        <f>[26]Act!J228</f>
        <v>-26.637389633966851</v>
      </c>
      <c r="L28" s="23">
        <f>[26]Act!K228</f>
        <v>-30.622318482083863</v>
      </c>
      <c r="M28" s="23">
        <f>[26]Act!L228</f>
        <v>-22.293840188033094</v>
      </c>
      <c r="N28" s="23">
        <f>[26]Act!M228</f>
        <v>-25.136963017400159</v>
      </c>
      <c r="O28" s="23">
        <f>[26]Act!N228</f>
        <v>-25.445903540629683</v>
      </c>
      <c r="P28" s="23">
        <f>[26]Act!O228</f>
        <v>-24.975037129757169</v>
      </c>
      <c r="Q28" s="109">
        <f t="shared" si="10"/>
        <v>-309.02234046216017</v>
      </c>
      <c r="S28" s="23">
        <f t="shared" ref="S28:U33" si="14">SUMIFS($E28:$P28,$E$3:$P$3,1,$E$5:$P$5,S$5)</f>
        <v>-29.170027381636</v>
      </c>
      <c r="T28" s="23">
        <f t="shared" si="14"/>
        <v>0</v>
      </c>
      <c r="U28" s="23">
        <f t="shared" si="14"/>
        <v>0</v>
      </c>
      <c r="V28" s="23">
        <f t="shared" ref="V28:V33" si="15">SUM(S28:U28)</f>
        <v>-29.170027381636</v>
      </c>
      <c r="X28" s="23">
        <f t="shared" ref="X28:X33" si="16">SUMIF($E$2:$P$2,1,E28:P28)</f>
        <v>-29.170027381636</v>
      </c>
      <c r="Z28" s="23">
        <f t="shared" ref="Z28:Z33" si="17">SUM(E28:G28)</f>
        <v>-76.025957918749356</v>
      </c>
      <c r="AA28" s="23">
        <f t="shared" ref="AA28:AA33" si="18">SUM(H28:J28)</f>
        <v>-77.884930551539995</v>
      </c>
      <c r="AB28" s="23">
        <f t="shared" ref="AB28:AB33" si="19">SUM(K28:M28)</f>
        <v>-79.553548304083819</v>
      </c>
      <c r="AC28" s="23">
        <f t="shared" ref="AC28:AC33" si="20">SUM(N28:P28)</f>
        <v>-75.557903687787018</v>
      </c>
      <c r="AD28" s="23">
        <f t="shared" ref="AD28:AD33" si="21">SUM(Z28:AC28)</f>
        <v>-309.02234046216017</v>
      </c>
    </row>
    <row r="29" spans="1:32">
      <c r="A29" s="20"/>
      <c r="B29" s="20"/>
      <c r="C29" s="60" t="s">
        <v>26</v>
      </c>
      <c r="D29" s="21"/>
      <c r="E29" s="22">
        <f>[26]Act!D229</f>
        <v>-5.2709534000000007</v>
      </c>
      <c r="F29" s="23">
        <f>[26]Act!E229</f>
        <v>5.3323574000000002</v>
      </c>
      <c r="G29" s="23">
        <f>[26]Act!F229</f>
        <v>-4.0781608908256002E-2</v>
      </c>
      <c r="H29" s="23">
        <f>[26]Act!G229</f>
        <v>-0.1340718378600885</v>
      </c>
      <c r="I29" s="23">
        <f>[26]Act!H229</f>
        <v>-0.11818103340596001</v>
      </c>
      <c r="J29" s="23">
        <f>[26]Act!I229</f>
        <v>-0.19358045790366399</v>
      </c>
      <c r="K29" s="23">
        <f>[26]Act!J229</f>
        <v>-0.22088936569838802</v>
      </c>
      <c r="L29" s="23">
        <f>[26]Act!K229</f>
        <v>-0.23625287126604802</v>
      </c>
      <c r="M29" s="23">
        <f>[26]Act!L229</f>
        <v>-1.4065531465263352</v>
      </c>
      <c r="N29" s="23">
        <f>[26]Act!M229</f>
        <v>-2.0189061095458101</v>
      </c>
      <c r="O29" s="23">
        <f>[26]Act!N229</f>
        <v>-2.0293242128863995</v>
      </c>
      <c r="P29" s="23">
        <f>[26]Act!O229</f>
        <v>-2.2421589808118605</v>
      </c>
      <c r="Q29" s="109">
        <f t="shared" si="10"/>
        <v>-8.5792956248128096</v>
      </c>
      <c r="S29" s="23">
        <f t="shared" si="14"/>
        <v>-5.2709534000000007</v>
      </c>
      <c r="T29" s="23">
        <f t="shared" si="14"/>
        <v>0</v>
      </c>
      <c r="U29" s="23">
        <f t="shared" si="14"/>
        <v>0</v>
      </c>
      <c r="V29" s="23">
        <f t="shared" si="15"/>
        <v>-5.2709534000000007</v>
      </c>
      <c r="X29" s="23">
        <f t="shared" si="16"/>
        <v>-5.2709534000000007</v>
      </c>
      <c r="Z29" s="23">
        <f t="shared" si="17"/>
        <v>2.0622391091743568E-2</v>
      </c>
      <c r="AA29" s="23">
        <f t="shared" si="18"/>
        <v>-0.44583332916971252</v>
      </c>
      <c r="AB29" s="23">
        <f t="shared" si="19"/>
        <v>-1.8636953834907712</v>
      </c>
      <c r="AC29" s="23">
        <f t="shared" si="20"/>
        <v>-6.2903893032440692</v>
      </c>
      <c r="AD29" s="23">
        <f t="shared" si="21"/>
        <v>-8.5792956248128096</v>
      </c>
    </row>
    <row r="30" spans="1:32">
      <c r="A30" s="20"/>
      <c r="B30" s="20"/>
      <c r="C30" s="60" t="s">
        <v>27</v>
      </c>
      <c r="D30" s="21"/>
      <c r="E30" s="22">
        <f>[26]Act!D230</f>
        <v>0</v>
      </c>
      <c r="F30" s="23">
        <f>[26]Act!E230</f>
        <v>0</v>
      </c>
      <c r="G30" s="23">
        <f>[26]Act!F230</f>
        <v>0</v>
      </c>
      <c r="H30" s="23">
        <f>[26]Act!G230</f>
        <v>0</v>
      </c>
      <c r="I30" s="23">
        <f>[26]Act!H230</f>
        <v>0</v>
      </c>
      <c r="J30" s="23">
        <f>[26]Act!I230</f>
        <v>0</v>
      </c>
      <c r="K30" s="23">
        <f>[26]Act!J230</f>
        <v>0</v>
      </c>
      <c r="L30" s="23">
        <f>[26]Act!K230</f>
        <v>0</v>
      </c>
      <c r="M30" s="23">
        <f>[26]Act!L230</f>
        <v>0</v>
      </c>
      <c r="N30" s="23">
        <f>[26]Act!M230</f>
        <v>0</v>
      </c>
      <c r="O30" s="23">
        <f>[26]Act!N230</f>
        <v>0</v>
      </c>
      <c r="P30" s="23">
        <f>[26]Act!O230</f>
        <v>0</v>
      </c>
      <c r="Q30" s="109">
        <f t="shared" si="10"/>
        <v>0</v>
      </c>
      <c r="S30" s="23">
        <f t="shared" si="14"/>
        <v>0</v>
      </c>
      <c r="T30" s="23">
        <f t="shared" si="14"/>
        <v>0</v>
      </c>
      <c r="U30" s="23">
        <f t="shared" si="14"/>
        <v>0</v>
      </c>
      <c r="V30" s="23">
        <f t="shared" si="15"/>
        <v>0</v>
      </c>
      <c r="X30" s="23">
        <f t="shared" si="16"/>
        <v>0</v>
      </c>
      <c r="Z30" s="23">
        <f t="shared" si="17"/>
        <v>0</v>
      </c>
      <c r="AA30" s="23">
        <f t="shared" si="18"/>
        <v>0</v>
      </c>
      <c r="AB30" s="23">
        <f t="shared" si="19"/>
        <v>0</v>
      </c>
      <c r="AC30" s="23">
        <f t="shared" si="20"/>
        <v>0</v>
      </c>
      <c r="AD30" s="23">
        <f t="shared" si="21"/>
        <v>0</v>
      </c>
    </row>
    <row r="31" spans="1:32">
      <c r="A31" s="20"/>
      <c r="B31" s="20"/>
      <c r="C31" s="60" t="s">
        <v>28</v>
      </c>
      <c r="D31" s="21"/>
      <c r="E31" s="22">
        <f>[26]Act!D232</f>
        <v>-22.075094200000002</v>
      </c>
      <c r="F31" s="23">
        <f>[26]Act!E232</f>
        <v>-7.3505496000000097</v>
      </c>
      <c r="G31" s="23">
        <f>[26]Act!F232</f>
        <v>-8.8222714633050021</v>
      </c>
      <c r="H31" s="23">
        <f>[26]Act!G232</f>
        <v>-9.2180292459112021</v>
      </c>
      <c r="I31" s="23">
        <f>[26]Act!H232</f>
        <v>-6.7244247802645987</v>
      </c>
      <c r="J31" s="23">
        <f>[26]Act!I232</f>
        <v>-9.818318339543282</v>
      </c>
      <c r="K31" s="23">
        <f>[26]Act!J232</f>
        <v>-9.9054457908974296</v>
      </c>
      <c r="L31" s="23">
        <f>[26]Act!K232</f>
        <v>-9.3815547964441652</v>
      </c>
      <c r="M31" s="23">
        <f>[26]Act!L232</f>
        <v>-10.466938157658529</v>
      </c>
      <c r="N31" s="23">
        <f>[26]Act!M232</f>
        <v>-8.1156673102168853</v>
      </c>
      <c r="O31" s="23">
        <f>[26]Act!N232</f>
        <v>-8.9991257791385877</v>
      </c>
      <c r="P31" s="23">
        <f>[26]Act!O232</f>
        <v>-12.950082232073516</v>
      </c>
      <c r="Q31" s="109">
        <f t="shared" si="10"/>
        <v>-123.82750169545319</v>
      </c>
      <c r="S31" s="23">
        <f t="shared" si="14"/>
        <v>-22.075094200000002</v>
      </c>
      <c r="T31" s="23">
        <f t="shared" si="14"/>
        <v>0</v>
      </c>
      <c r="U31" s="23">
        <f t="shared" si="14"/>
        <v>0</v>
      </c>
      <c r="V31" s="23">
        <f t="shared" si="15"/>
        <v>-22.075094200000002</v>
      </c>
      <c r="X31" s="23">
        <f t="shared" si="16"/>
        <v>-22.075094200000002</v>
      </c>
      <c r="Z31" s="23">
        <f t="shared" si="17"/>
        <v>-38.247915263305011</v>
      </c>
      <c r="AA31" s="23">
        <f t="shared" si="18"/>
        <v>-25.760772365719085</v>
      </c>
      <c r="AB31" s="23">
        <f t="shared" si="19"/>
        <v>-29.753938745000124</v>
      </c>
      <c r="AC31" s="23">
        <f t="shared" si="20"/>
        <v>-30.064875321428989</v>
      </c>
      <c r="AD31" s="23">
        <f t="shared" si="21"/>
        <v>-123.82750169545321</v>
      </c>
      <c r="AF31" s="549" t="e">
        <f>'[7]New KPI 2+10'!$S$3</f>
        <v>#REF!</v>
      </c>
    </row>
    <row r="32" spans="1:32">
      <c r="A32" s="20"/>
      <c r="B32" s="20"/>
      <c r="C32" s="60" t="s">
        <v>29</v>
      </c>
      <c r="D32" s="21"/>
      <c r="E32" s="61">
        <f>[26]Act!D233</f>
        <v>0</v>
      </c>
      <c r="F32" s="62">
        <f>[26]Act!E233</f>
        <v>0</v>
      </c>
      <c r="G32" s="62">
        <f>[26]Act!F233</f>
        <v>0</v>
      </c>
      <c r="H32" s="62">
        <f>[26]Act!G233</f>
        <v>0</v>
      </c>
      <c r="I32" s="62">
        <f>[26]Act!H233</f>
        <v>0</v>
      </c>
      <c r="J32" s="62">
        <f>[26]Act!I233</f>
        <v>0</v>
      </c>
      <c r="K32" s="62">
        <f>[26]Act!J233</f>
        <v>0</v>
      </c>
      <c r="L32" s="62">
        <f>[26]Act!K233</f>
        <v>0</v>
      </c>
      <c r="M32" s="62">
        <f>[26]Act!L233</f>
        <v>0</v>
      </c>
      <c r="N32" s="62">
        <f>[26]Act!M233</f>
        <v>0</v>
      </c>
      <c r="O32" s="62">
        <f>[26]Act!N233</f>
        <v>0</v>
      </c>
      <c r="P32" s="62">
        <f>[26]Act!O233</f>
        <v>0</v>
      </c>
      <c r="Q32" s="62">
        <f t="shared" si="10"/>
        <v>0</v>
      </c>
      <c r="S32" s="62">
        <f t="shared" si="14"/>
        <v>0</v>
      </c>
      <c r="T32" s="62">
        <f t="shared" si="14"/>
        <v>0</v>
      </c>
      <c r="U32" s="62">
        <f t="shared" si="14"/>
        <v>0</v>
      </c>
      <c r="V32" s="62">
        <f t="shared" si="15"/>
        <v>0</v>
      </c>
      <c r="X32" s="62">
        <f t="shared" si="16"/>
        <v>0</v>
      </c>
      <c r="Z32" s="62">
        <f t="shared" si="17"/>
        <v>0</v>
      </c>
      <c r="AA32" s="62">
        <f t="shared" si="18"/>
        <v>0</v>
      </c>
      <c r="AB32" s="62">
        <f t="shared" si="19"/>
        <v>0</v>
      </c>
      <c r="AC32" s="62">
        <f t="shared" si="20"/>
        <v>0</v>
      </c>
      <c r="AD32" s="62">
        <f t="shared" si="21"/>
        <v>0</v>
      </c>
    </row>
    <row r="33" spans="1:30">
      <c r="A33" s="20"/>
      <c r="B33" s="30"/>
      <c r="C33" s="63" t="s">
        <v>30</v>
      </c>
      <c r="D33" s="31"/>
      <c r="E33" s="45">
        <f>[26]Act!D234</f>
        <v>-10.598455638364001</v>
      </c>
      <c r="F33" s="46">
        <f>[26]Act!E234</f>
        <v>-7.2973572198709657</v>
      </c>
      <c r="G33" s="46">
        <f>[26]Act!F234</f>
        <v>-9.0471759234408609</v>
      </c>
      <c r="H33" s="46">
        <f>[26]Act!G234</f>
        <v>-9.600807399140022</v>
      </c>
      <c r="I33" s="46">
        <f>[26]Act!H234</f>
        <v>-10.814943150141447</v>
      </c>
      <c r="J33" s="46">
        <f>[26]Act!I234</f>
        <v>-12.529660725340696</v>
      </c>
      <c r="K33" s="46">
        <f>[26]Act!J234</f>
        <v>-12.070533593908293</v>
      </c>
      <c r="L33" s="46">
        <f>[26]Act!K234</f>
        <v>-17.89832175125489</v>
      </c>
      <c r="M33" s="46">
        <f>[26]Act!L234</f>
        <v>-12.885590341661768</v>
      </c>
      <c r="N33" s="46">
        <f>[26]Act!M234</f>
        <v>-13.123289155730117</v>
      </c>
      <c r="O33" s="46">
        <f>[26]Act!N234</f>
        <v>-14.914682200229992</v>
      </c>
      <c r="P33" s="46">
        <f>[26]Act!O234</f>
        <v>-14.008072907293929</v>
      </c>
      <c r="Q33" s="111">
        <f t="shared" si="10"/>
        <v>-144.78889000637699</v>
      </c>
      <c r="S33" s="46">
        <f t="shared" si="14"/>
        <v>-10.598455638364001</v>
      </c>
      <c r="T33" s="46">
        <f t="shared" si="14"/>
        <v>0</v>
      </c>
      <c r="U33" s="46">
        <f t="shared" si="14"/>
        <v>0</v>
      </c>
      <c r="V33" s="46">
        <f t="shared" si="15"/>
        <v>-10.598455638364001</v>
      </c>
      <c r="X33" s="46">
        <f t="shared" si="16"/>
        <v>-10.598455638364001</v>
      </c>
      <c r="Z33" s="46">
        <f t="shared" si="17"/>
        <v>-26.94298878167583</v>
      </c>
      <c r="AA33" s="46">
        <f t="shared" si="18"/>
        <v>-32.945411274622167</v>
      </c>
      <c r="AB33" s="46">
        <f t="shared" si="19"/>
        <v>-42.854445686824953</v>
      </c>
      <c r="AC33" s="46">
        <f t="shared" si="20"/>
        <v>-42.046044263254039</v>
      </c>
      <c r="AD33" s="46">
        <f t="shared" si="21"/>
        <v>-144.78889000637699</v>
      </c>
    </row>
    <row r="34" spans="1:30">
      <c r="A34" s="30"/>
      <c r="B34" s="31" t="s">
        <v>31</v>
      </c>
      <c r="C34" s="21"/>
      <c r="D34" s="21"/>
      <c r="E34" s="64">
        <f>SUM(E28:E30,E31:E33)</f>
        <v>-67.114530620000011</v>
      </c>
      <c r="F34" s="65">
        <f t="shared" ref="F34:P34" si="22">SUM(F28:F30,F31:F33)</f>
        <v>-30.50300303600001</v>
      </c>
      <c r="G34" s="66">
        <f t="shared" si="22"/>
        <v>-43.578705916638434</v>
      </c>
      <c r="H34" s="66">
        <f t="shared" si="22"/>
        <v>-45.227470232547134</v>
      </c>
      <c r="I34" s="66">
        <f t="shared" si="22"/>
        <v>-40.260617827380344</v>
      </c>
      <c r="J34" s="66">
        <f t="shared" si="22"/>
        <v>-51.548859461123477</v>
      </c>
      <c r="K34" s="66">
        <f t="shared" si="22"/>
        <v>-48.834258384470964</v>
      </c>
      <c r="L34" s="66">
        <f t="shared" si="22"/>
        <v>-58.138447901048963</v>
      </c>
      <c r="M34" s="66">
        <f t="shared" si="22"/>
        <v>-47.052921833879722</v>
      </c>
      <c r="N34" s="66">
        <f t="shared" si="22"/>
        <v>-48.394825592892971</v>
      </c>
      <c r="O34" s="66">
        <f t="shared" si="22"/>
        <v>-51.389035732884665</v>
      </c>
      <c r="P34" s="66">
        <f t="shared" si="22"/>
        <v>-54.175351249936476</v>
      </c>
      <c r="Q34" s="114">
        <f t="shared" si="10"/>
        <v>-586.21802778880317</v>
      </c>
      <c r="S34" s="66">
        <f>SUM(S28:S30,S31:S33)</f>
        <v>-67.114530620000011</v>
      </c>
      <c r="T34" s="66">
        <f>SUM(T28:T30,T31:T33)</f>
        <v>0</v>
      </c>
      <c r="U34" s="66">
        <f>SUM(U28:U30,U31:U33)</f>
        <v>0</v>
      </c>
      <c r="V34" s="66">
        <f>SUM(V28:V30,V31:V33)</f>
        <v>-67.114530620000011</v>
      </c>
      <c r="X34" s="66">
        <f>SUM(X28:X30,X31:X33)</f>
        <v>-67.114530620000011</v>
      </c>
      <c r="Z34" s="66">
        <f>SUM(Z28:Z30,Z31:Z33)</f>
        <v>-141.19623957263846</v>
      </c>
      <c r="AA34" s="66">
        <f>SUM(AA28:AA30,AA31:AA33)</f>
        <v>-137.03694752105096</v>
      </c>
      <c r="AB34" s="66">
        <f>SUM(AB28:AB30,AB31:AB33)</f>
        <v>-154.02562811939967</v>
      </c>
      <c r="AC34" s="66">
        <f>SUM(AC28:AC30,AC31:AC33)</f>
        <v>-153.9592125757141</v>
      </c>
      <c r="AD34" s="66">
        <f>SUM(AD28:AD30,AD31:AD33)</f>
        <v>-586.21802778880317</v>
      </c>
    </row>
    <row r="35" spans="1:30">
      <c r="A35" s="20"/>
      <c r="B35" s="20"/>
      <c r="C35" s="67" t="s">
        <v>32</v>
      </c>
      <c r="D35" s="17"/>
      <c r="E35" s="18">
        <f>[26]Act!D236</f>
        <v>-21.268724286000001</v>
      </c>
      <c r="F35" s="19">
        <f>[26]Act!E236</f>
        <v>-29.590592390000001</v>
      </c>
      <c r="G35" s="19">
        <f>[26]Act!F236</f>
        <v>-30.072816938163168</v>
      </c>
      <c r="H35" s="19">
        <f>[26]Act!G236</f>
        <v>-26.450247197109519</v>
      </c>
      <c r="I35" s="19">
        <f>[26]Act!H236</f>
        <v>-21.273570071986832</v>
      </c>
      <c r="J35" s="19">
        <f>[26]Act!I236</f>
        <v>-37.878353316793778</v>
      </c>
      <c r="K35" s="19">
        <f>[26]Act!J236</f>
        <v>-35.220603835045225</v>
      </c>
      <c r="L35" s="19">
        <f>[26]Act!K236</f>
        <v>-27.291479081740938</v>
      </c>
      <c r="M35" s="19">
        <f>[26]Act!L236</f>
        <v>-18.798048180914236</v>
      </c>
      <c r="N35" s="19">
        <f>[26]Act!M236</f>
        <v>-26.875596955986218</v>
      </c>
      <c r="O35" s="19">
        <f>[26]Act!N236</f>
        <v>-22.979419342522469</v>
      </c>
      <c r="P35" s="19">
        <f>[26]Act!O236</f>
        <v>-22.676494680157003</v>
      </c>
      <c r="Q35" s="108">
        <f t="shared" si="10"/>
        <v>-320.37594627641943</v>
      </c>
      <c r="S35" s="19">
        <f t="shared" ref="S35:U37" si="23">SUMIFS($E35:$P35,$E$3:$P$3,1,$E$5:$P$5,S$5)</f>
        <v>-21.268724286000001</v>
      </c>
      <c r="T35" s="19">
        <f t="shared" si="23"/>
        <v>0</v>
      </c>
      <c r="U35" s="19">
        <f t="shared" si="23"/>
        <v>0</v>
      </c>
      <c r="V35" s="19">
        <f>SUM(S35:U35)</f>
        <v>-21.268724286000001</v>
      </c>
      <c r="X35" s="19">
        <f>SUMIF($E$2:$P$2,1,E35:P35)</f>
        <v>-21.268724286000001</v>
      </c>
      <c r="Z35" s="19">
        <f>SUM(E35:G35)</f>
        <v>-80.932133614163178</v>
      </c>
      <c r="AA35" s="19">
        <f>SUM(H35:J35)</f>
        <v>-85.602170585890121</v>
      </c>
      <c r="AB35" s="19">
        <f>SUM(K35:M35)</f>
        <v>-81.310131097700406</v>
      </c>
      <c r="AC35" s="19">
        <f>SUM(N35:P35)</f>
        <v>-72.531510978665693</v>
      </c>
      <c r="AD35" s="19">
        <f>SUM(Z35:AC35)</f>
        <v>-320.37594627641943</v>
      </c>
    </row>
    <row r="36" spans="1:30">
      <c r="A36" s="20"/>
      <c r="B36" s="20"/>
      <c r="C36" s="462" t="s">
        <v>300</v>
      </c>
      <c r="D36" s="21"/>
      <c r="E36" s="22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109">
        <f t="shared" si="10"/>
        <v>0</v>
      </c>
      <c r="S36" s="23">
        <f t="shared" si="23"/>
        <v>0</v>
      </c>
      <c r="T36" s="23">
        <f t="shared" si="23"/>
        <v>0</v>
      </c>
      <c r="U36" s="23">
        <f t="shared" si="23"/>
        <v>0</v>
      </c>
      <c r="V36" s="23">
        <f>SUM(S36:U36)</f>
        <v>0</v>
      </c>
      <c r="X36" s="23">
        <f>SUMIF($E$2:$P$2,1,E36:P36)</f>
        <v>0</v>
      </c>
      <c r="Z36" s="23">
        <f>SUM(E36:G36)</f>
        <v>0</v>
      </c>
      <c r="AA36" s="23">
        <f>SUM(H36:J36)</f>
        <v>0</v>
      </c>
      <c r="AB36" s="23">
        <f>SUM(K36:M36)</f>
        <v>0</v>
      </c>
      <c r="AC36" s="23">
        <f>SUM(N36:P36)</f>
        <v>0</v>
      </c>
      <c r="AD36" s="23">
        <f>SUM(Z36:AC36)</f>
        <v>0</v>
      </c>
    </row>
    <row r="37" spans="1:30">
      <c r="A37" s="20"/>
      <c r="B37" s="30"/>
      <c r="C37" s="463" t="s">
        <v>299</v>
      </c>
      <c r="D37" s="31"/>
      <c r="E37" s="45">
        <f>SUM(E58:E59)</f>
        <v>-4.9093125139999998</v>
      </c>
      <c r="F37" s="46">
        <f t="shared" ref="F37:P37" si="24">SUM(F58:F59)</f>
        <v>-3.2674163100000051</v>
      </c>
      <c r="G37" s="46">
        <f t="shared" si="24"/>
        <v>-11.771464038836843</v>
      </c>
      <c r="H37" s="46">
        <f t="shared" si="24"/>
        <v>-6.5278081908904895</v>
      </c>
      <c r="I37" s="46">
        <f t="shared" si="24"/>
        <v>-6.201493279013107</v>
      </c>
      <c r="J37" s="46">
        <f t="shared" si="24"/>
        <v>-10.136753694206178</v>
      </c>
      <c r="K37" s="46">
        <f t="shared" si="24"/>
        <v>-7.3393187309547727</v>
      </c>
      <c r="L37" s="46">
        <f t="shared" si="24"/>
        <v>-7.9639343372590545</v>
      </c>
      <c r="M37" s="46">
        <f t="shared" si="24"/>
        <v>-9.3801460040857947</v>
      </c>
      <c r="N37" s="46">
        <f t="shared" si="24"/>
        <v>-7.0793460150137477</v>
      </c>
      <c r="O37" s="46">
        <f t="shared" si="24"/>
        <v>-6.7743589784775331</v>
      </c>
      <c r="P37" s="46">
        <f t="shared" si="24"/>
        <v>-10.889401779843016</v>
      </c>
      <c r="Q37" s="111">
        <f t="shared" si="10"/>
        <v>-92.240753872580555</v>
      </c>
      <c r="S37" s="46">
        <f t="shared" si="23"/>
        <v>-4.9093125139999998</v>
      </c>
      <c r="T37" s="46">
        <f t="shared" si="23"/>
        <v>0</v>
      </c>
      <c r="U37" s="46">
        <f t="shared" si="23"/>
        <v>0</v>
      </c>
      <c r="V37" s="46">
        <f>SUM(S37:U37)</f>
        <v>-4.9093125139999998</v>
      </c>
      <c r="X37" s="46">
        <f>SUMIF($E$2:$P$2,1,E37:P37)</f>
        <v>-4.9093125139999998</v>
      </c>
      <c r="Z37" s="46">
        <f>SUM(E37:G37)</f>
        <v>-19.948192862836848</v>
      </c>
      <c r="AA37" s="46">
        <f>SUM(H37:J37)</f>
        <v>-22.866055164109774</v>
      </c>
      <c r="AB37" s="46">
        <f>SUM(K37:M37)</f>
        <v>-24.683399072299622</v>
      </c>
      <c r="AC37" s="46">
        <f>SUM(N37:P37)</f>
        <v>-24.743106773334297</v>
      </c>
      <c r="AD37" s="46">
        <f>SUM(Z37:AC37)</f>
        <v>-92.240753872580541</v>
      </c>
    </row>
    <row r="38" spans="1:30">
      <c r="A38" s="30"/>
      <c r="B38" s="31" t="s">
        <v>34</v>
      </c>
      <c r="C38" s="21"/>
      <c r="D38" s="21"/>
      <c r="E38" s="68">
        <f t="shared" ref="E38:P38" si="25">SUM(E35:E37)</f>
        <v>-26.178036800000001</v>
      </c>
      <c r="F38" s="69">
        <f t="shared" si="25"/>
        <v>-32.858008700000006</v>
      </c>
      <c r="G38" s="70">
        <f t="shared" si="25"/>
        <v>-41.844280977000011</v>
      </c>
      <c r="H38" s="70">
        <f t="shared" si="25"/>
        <v>-32.978055388000008</v>
      </c>
      <c r="I38" s="70">
        <f t="shared" si="25"/>
        <v>-27.475063350999939</v>
      </c>
      <c r="J38" s="70">
        <f t="shared" si="25"/>
        <v>-48.015107010999955</v>
      </c>
      <c r="K38" s="70">
        <f t="shared" si="25"/>
        <v>-42.559922565999997</v>
      </c>
      <c r="L38" s="70">
        <f t="shared" si="25"/>
        <v>-35.255413418999993</v>
      </c>
      <c r="M38" s="70">
        <f t="shared" si="25"/>
        <v>-28.178194185000031</v>
      </c>
      <c r="N38" s="70">
        <f t="shared" si="25"/>
        <v>-33.954942970999966</v>
      </c>
      <c r="O38" s="70">
        <f t="shared" si="25"/>
        <v>-29.753778321000002</v>
      </c>
      <c r="P38" s="70">
        <f t="shared" si="25"/>
        <v>-33.565896460000019</v>
      </c>
      <c r="Q38" s="114">
        <f t="shared" si="10"/>
        <v>-412.616700149</v>
      </c>
      <c r="S38" s="70">
        <f>SUM(S35:S37)</f>
        <v>-26.178036800000001</v>
      </c>
      <c r="T38" s="70">
        <f>SUM(T35:T37)</f>
        <v>0</v>
      </c>
      <c r="U38" s="70">
        <f>SUM(U35:U37)</f>
        <v>0</v>
      </c>
      <c r="V38" s="70">
        <f>SUM(V35:V37)</f>
        <v>-26.178036800000001</v>
      </c>
      <c r="X38" s="70">
        <f>SUM(X35:X37)</f>
        <v>-26.178036800000001</v>
      </c>
      <c r="Z38" s="70">
        <f>SUM(Z35:Z37)</f>
        <v>-100.88032647700003</v>
      </c>
      <c r="AA38" s="70">
        <f>SUM(AA35:AA37)</f>
        <v>-108.4682257499999</v>
      </c>
      <c r="AB38" s="70">
        <f>SUM(AB35:AB37)</f>
        <v>-105.99353017000003</v>
      </c>
      <c r="AC38" s="70">
        <f>SUM(AC35:AC37)</f>
        <v>-97.274617751999983</v>
      </c>
      <c r="AD38" s="70">
        <f>SUM(AD35:AD37)</f>
        <v>-412.61670014899994</v>
      </c>
    </row>
    <row r="39" spans="1:30">
      <c r="A39" s="71"/>
      <c r="B39" s="72"/>
      <c r="C39" s="73" t="s">
        <v>35</v>
      </c>
      <c r="D39" s="17"/>
      <c r="E39" s="61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115">
        <f t="shared" si="10"/>
        <v>0</v>
      </c>
      <c r="S39" s="62"/>
      <c r="T39" s="62"/>
      <c r="U39" s="62"/>
      <c r="V39" s="62"/>
      <c r="X39" s="62"/>
      <c r="Z39" s="62"/>
      <c r="AA39" s="62"/>
      <c r="AB39" s="62"/>
      <c r="AC39" s="62"/>
      <c r="AD39" s="62"/>
    </row>
    <row r="40" spans="1:30">
      <c r="A40" s="74"/>
      <c r="B40" s="71"/>
      <c r="C40" s="75" t="s">
        <v>36</v>
      </c>
      <c r="D40" s="21"/>
      <c r="E40" s="22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109">
        <f t="shared" si="10"/>
        <v>0</v>
      </c>
      <c r="S40" s="23"/>
      <c r="T40" s="23"/>
      <c r="U40" s="23"/>
      <c r="V40" s="23"/>
      <c r="X40" s="23"/>
      <c r="Z40" s="23"/>
      <c r="AA40" s="23"/>
      <c r="AB40" s="23"/>
      <c r="AC40" s="23"/>
      <c r="AD40" s="23"/>
    </row>
    <row r="41" spans="1:30">
      <c r="A41" s="74"/>
      <c r="B41" s="71"/>
      <c r="C41" s="60" t="s">
        <v>37</v>
      </c>
      <c r="D41" s="21"/>
      <c r="E41" s="22">
        <f>[26]Act!D240</f>
        <v>-37.389420916999995</v>
      </c>
      <c r="F41" s="23">
        <f>[26]Act!E240</f>
        <v>-29.881607848000002</v>
      </c>
      <c r="G41" s="23">
        <f>[26]Act!F240</f>
        <v>-37.745484315999995</v>
      </c>
      <c r="H41" s="23">
        <f>[26]Act!G240</f>
        <v>-30.635587975</v>
      </c>
      <c r="I41" s="23">
        <f>[26]Act!H240</f>
        <v>-29.672259560999997</v>
      </c>
      <c r="J41" s="23">
        <f>[26]Act!I240</f>
        <v>-32.416590288999998</v>
      </c>
      <c r="K41" s="23">
        <f>[26]Act!J240</f>
        <v>-31.571825828000001</v>
      </c>
      <c r="L41" s="23">
        <f>[26]Act!K240</f>
        <v>-31.058486646999999</v>
      </c>
      <c r="M41" s="23">
        <f>[26]Act!L240</f>
        <v>-31.776197785000001</v>
      </c>
      <c r="N41" s="23">
        <f>[26]Act!M240</f>
        <v>-27.899405575999999</v>
      </c>
      <c r="O41" s="23">
        <f>[26]Act!N240</f>
        <v>-26.567381841000003</v>
      </c>
      <c r="P41" s="23">
        <f>[26]Act!O240</f>
        <v>-27.605934242</v>
      </c>
      <c r="Q41" s="109">
        <f t="shared" si="10"/>
        <v>-374.22018282499999</v>
      </c>
      <c r="S41" s="23">
        <f>SUMIFS($E41:$P41,$E$3:$P$3,1,$E$5:$P$5,S$5)</f>
        <v>-37.389420916999995</v>
      </c>
      <c r="T41" s="23">
        <f>SUMIFS($E41:$P41,$E$3:$P$3,1,$E$5:$P$5,T$5)</f>
        <v>0</v>
      </c>
      <c r="U41" s="23">
        <f>SUMIFS($E41:$P41,$E$3:$P$3,1,$E$5:$P$5,U$5)</f>
        <v>0</v>
      </c>
      <c r="V41" s="23">
        <f>SUM(S41:U41)</f>
        <v>-37.389420916999995</v>
      </c>
      <c r="X41" s="23">
        <f>SUMIF($E$2:$P$2,1,E41:P41)</f>
        <v>-37.389420916999995</v>
      </c>
      <c r="Z41" s="23">
        <f>SUM(E41:G41)</f>
        <v>-105.016513081</v>
      </c>
      <c r="AA41" s="23">
        <f>SUM(H41:J41)</f>
        <v>-92.724437824999995</v>
      </c>
      <c r="AB41" s="23">
        <f>SUM(K41:M41)</f>
        <v>-94.406510260000005</v>
      </c>
      <c r="AC41" s="23">
        <f>SUM(N41:P41)</f>
        <v>-82.07272165900001</v>
      </c>
      <c r="AD41" s="23">
        <f>SUM(Z41:AC41)</f>
        <v>-374.22018282499999</v>
      </c>
    </row>
    <row r="42" spans="1:30">
      <c r="A42" s="74"/>
      <c r="B42" s="71"/>
      <c r="C42" s="76" t="s">
        <v>38</v>
      </c>
      <c r="D42" s="21"/>
      <c r="E42" s="22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109">
        <f t="shared" si="10"/>
        <v>0</v>
      </c>
      <c r="S42" s="23"/>
      <c r="T42" s="23"/>
      <c r="U42" s="23"/>
      <c r="V42" s="23"/>
      <c r="X42" s="23"/>
      <c r="Z42" s="23"/>
      <c r="AA42" s="23"/>
      <c r="AB42" s="23"/>
      <c r="AC42" s="23"/>
      <c r="AD42" s="23"/>
    </row>
    <row r="43" spans="1:30">
      <c r="A43" s="74"/>
      <c r="B43" s="71"/>
      <c r="C43" s="60" t="s">
        <v>39</v>
      </c>
      <c r="D43" s="21"/>
      <c r="E43" s="22">
        <f>[26]Act!D241</f>
        <v>2.2106839143448709</v>
      </c>
      <c r="F43" s="23">
        <f>[26]Act!E241</f>
        <v>2.0894766685329129</v>
      </c>
      <c r="G43" s="23">
        <f>[26]Act!F241</f>
        <v>1.648444068826953</v>
      </c>
      <c r="H43" s="23">
        <f>[26]Act!G241</f>
        <v>1.6484440731049816</v>
      </c>
      <c r="I43" s="23">
        <f>[26]Act!H241</f>
        <v>1.6484440701938419</v>
      </c>
      <c r="J43" s="23">
        <f>[26]Act!I241</f>
        <v>1.6484440747256941</v>
      </c>
      <c r="K43" s="23">
        <f>[26]Act!J241</f>
        <v>1.6484440666261215</v>
      </c>
      <c r="L43" s="23">
        <f>[26]Act!K241</f>
        <v>1.6484440676095695</v>
      </c>
      <c r="M43" s="23">
        <f>[26]Act!L241</f>
        <v>1.6484440686026489</v>
      </c>
      <c r="N43" s="23">
        <f>[26]Act!M241</f>
        <v>1.6484440717881861</v>
      </c>
      <c r="O43" s="23">
        <f>[26]Act!N241</f>
        <v>1.6484440683192347</v>
      </c>
      <c r="P43" s="23">
        <f>[26]Act!O241</f>
        <v>1.6021413844244443</v>
      </c>
      <c r="Q43" s="109">
        <f t="shared" si="10"/>
        <v>20.738298597099458</v>
      </c>
      <c r="S43" s="23">
        <f>SUMIFS($E43:$P43,$E$3:$P$3,1,$E$5:$P$5,S$5)</f>
        <v>2.2106839143448709</v>
      </c>
      <c r="T43" s="23">
        <f>SUMIFS($E43:$P43,$E$3:$P$3,1,$E$5:$P$5,T$5)</f>
        <v>0</v>
      </c>
      <c r="U43" s="23">
        <f>SUMIFS($E43:$P43,$E$3:$P$3,1,$E$5:$P$5,U$5)</f>
        <v>0</v>
      </c>
      <c r="V43" s="23">
        <f>SUM(S43:U43)</f>
        <v>2.2106839143448709</v>
      </c>
      <c r="X43" s="23">
        <f>SUMIF($E$2:$P$2,1,E43:P43)</f>
        <v>2.2106839143448709</v>
      </c>
      <c r="Z43" s="23">
        <f>SUM(E43:G43)</f>
        <v>5.948604651704736</v>
      </c>
      <c r="AA43" s="23">
        <f>SUM(H43:J43)</f>
        <v>4.9453322180245181</v>
      </c>
      <c r="AB43" s="23">
        <f>SUM(K43:M43)</f>
        <v>4.9453322028383404</v>
      </c>
      <c r="AC43" s="23">
        <f>SUM(N43:P43)</f>
        <v>4.8990295245318656</v>
      </c>
      <c r="AD43" s="23">
        <f>SUM(Z43:AC43)</f>
        <v>20.738298597099458</v>
      </c>
    </row>
    <row r="44" spans="1:30">
      <c r="A44" s="77"/>
      <c r="B44" s="17" t="s">
        <v>40</v>
      </c>
      <c r="C44" s="17"/>
      <c r="D44" s="17"/>
      <c r="E44" s="38">
        <f t="shared" ref="E44:P44" si="26">SUM(E39:E43)</f>
        <v>-35.178737002655126</v>
      </c>
      <c r="F44" s="39">
        <f t="shared" si="26"/>
        <v>-27.792131179467088</v>
      </c>
      <c r="G44" s="40">
        <f t="shared" si="26"/>
        <v>-36.097040247173041</v>
      </c>
      <c r="H44" s="40">
        <f t="shared" si="26"/>
        <v>-28.987143901895017</v>
      </c>
      <c r="I44" s="40">
        <f t="shared" si="26"/>
        <v>-28.023815490806154</v>
      </c>
      <c r="J44" s="40">
        <f t="shared" si="26"/>
        <v>-30.768146214274303</v>
      </c>
      <c r="K44" s="40">
        <f t="shared" si="26"/>
        <v>-29.923381761373879</v>
      </c>
      <c r="L44" s="40">
        <f t="shared" si="26"/>
        <v>-29.410042579390428</v>
      </c>
      <c r="M44" s="40">
        <f t="shared" si="26"/>
        <v>-30.127753716397351</v>
      </c>
      <c r="N44" s="40">
        <f t="shared" si="26"/>
        <v>-26.250961504211812</v>
      </c>
      <c r="O44" s="40">
        <f t="shared" si="26"/>
        <v>-24.918937772680767</v>
      </c>
      <c r="P44" s="40">
        <f t="shared" si="26"/>
        <v>-26.003792857575554</v>
      </c>
      <c r="Q44" s="110">
        <f t="shared" si="10"/>
        <v>-353.48188422790054</v>
      </c>
      <c r="S44" s="40">
        <f>SUM(S39:S43)</f>
        <v>-35.178737002655126</v>
      </c>
      <c r="T44" s="40">
        <f>SUM(T39:T43)</f>
        <v>0</v>
      </c>
      <c r="U44" s="40">
        <f>SUM(U39:U43)</f>
        <v>0</v>
      </c>
      <c r="V44" s="40">
        <f>SUM(V39:V43)</f>
        <v>-35.178737002655126</v>
      </c>
      <c r="X44" s="40">
        <f>SUM(X39:X43)</f>
        <v>-35.178737002655126</v>
      </c>
      <c r="Z44" s="40">
        <f>SUM(Z39:Z43)</f>
        <v>-99.067908429295258</v>
      </c>
      <c r="AA44" s="40">
        <f>SUM(AA39:AA43)</f>
        <v>-87.779105606975477</v>
      </c>
      <c r="AB44" s="40">
        <f>SUM(AB39:AB43)</f>
        <v>-89.461178057161661</v>
      </c>
      <c r="AC44" s="40">
        <f>SUM(AC39:AC43)</f>
        <v>-77.173692134468141</v>
      </c>
      <c r="AD44" s="40">
        <f>SUM(AD39:AD43)</f>
        <v>-353.48188422790054</v>
      </c>
    </row>
    <row r="45" spans="1:30">
      <c r="A45" s="78" t="s">
        <v>41</v>
      </c>
      <c r="B45" s="73"/>
      <c r="C45" s="73"/>
      <c r="D45" s="73"/>
      <c r="E45" s="51">
        <f t="shared" ref="E45:P45" si="27">SUM(E44,E38,E34)</f>
        <v>-128.47130442265512</v>
      </c>
      <c r="F45" s="52">
        <f t="shared" si="27"/>
        <v>-91.1531429154671</v>
      </c>
      <c r="G45" s="53">
        <f t="shared" si="27"/>
        <v>-121.52002714081149</v>
      </c>
      <c r="H45" s="53">
        <f t="shared" si="27"/>
        <v>-107.19266952244216</v>
      </c>
      <c r="I45" s="53">
        <f t="shared" si="27"/>
        <v>-95.759496669186433</v>
      </c>
      <c r="J45" s="53">
        <f t="shared" si="27"/>
        <v>-130.33211268639772</v>
      </c>
      <c r="K45" s="53">
        <f t="shared" si="27"/>
        <v>-121.31756271184483</v>
      </c>
      <c r="L45" s="53">
        <f t="shared" si="27"/>
        <v>-122.80390389943939</v>
      </c>
      <c r="M45" s="53">
        <f t="shared" si="27"/>
        <v>-105.3588697352771</v>
      </c>
      <c r="N45" s="53">
        <f t="shared" si="27"/>
        <v>-108.60073006810475</v>
      </c>
      <c r="O45" s="53">
        <f t="shared" si="27"/>
        <v>-106.06175182656543</v>
      </c>
      <c r="P45" s="53">
        <f t="shared" si="27"/>
        <v>-113.74504056751205</v>
      </c>
      <c r="Q45" s="112">
        <f t="shared" si="10"/>
        <v>-1352.3166121657034</v>
      </c>
      <c r="S45" s="53">
        <f>SUM(S44,S38,S34)</f>
        <v>-128.47130442265512</v>
      </c>
      <c r="T45" s="53">
        <f>SUM(T44,T38,T34)</f>
        <v>0</v>
      </c>
      <c r="U45" s="53">
        <f>SUM(U44,U38,U34)</f>
        <v>0</v>
      </c>
      <c r="V45" s="53">
        <f>SUM(V44,V38,V34)</f>
        <v>-128.47130442265512</v>
      </c>
      <c r="X45" s="53">
        <f>SUM(X44,X38,X34)</f>
        <v>-128.47130442265512</v>
      </c>
      <c r="Z45" s="53">
        <f>SUM(Z44,Z38,Z34)</f>
        <v>-341.14447447893372</v>
      </c>
      <c r="AA45" s="53">
        <f>SUM(AA44,AA38,AA34)</f>
        <v>-333.28427887802638</v>
      </c>
      <c r="AB45" s="53">
        <f>SUM(AB44,AB38,AB34)</f>
        <v>-349.48033634656133</v>
      </c>
      <c r="AC45" s="53">
        <f>SUM(AC44,AC38,AC34)</f>
        <v>-328.40752246218221</v>
      </c>
      <c r="AD45" s="53">
        <f>SUM(AD44,AD38,AD34)</f>
        <v>-1352.3166121657036</v>
      </c>
    </row>
    <row r="46" spans="1:30">
      <c r="A46" s="50" t="s">
        <v>42</v>
      </c>
      <c r="B46" s="50"/>
      <c r="C46" s="37"/>
      <c r="D46" s="37"/>
      <c r="E46" s="51" t="e">
        <f>E26+E45</f>
        <v>#VALUE!</v>
      </c>
      <c r="F46" s="52" t="e">
        <f t="shared" ref="F46:P46" si="28">F26+F45</f>
        <v>#VALUE!</v>
      </c>
      <c r="G46" s="53" t="e">
        <f t="shared" si="28"/>
        <v>#VALUE!</v>
      </c>
      <c r="H46" s="53" t="e">
        <f t="shared" si="28"/>
        <v>#VALUE!</v>
      </c>
      <c r="I46" s="53" t="e">
        <f t="shared" si="28"/>
        <v>#VALUE!</v>
      </c>
      <c r="J46" s="53" t="e">
        <f t="shared" si="28"/>
        <v>#VALUE!</v>
      </c>
      <c r="K46" s="53" t="e">
        <f t="shared" si="28"/>
        <v>#VALUE!</v>
      </c>
      <c r="L46" s="53" t="e">
        <f t="shared" si="28"/>
        <v>#VALUE!</v>
      </c>
      <c r="M46" s="53" t="e">
        <f t="shared" si="28"/>
        <v>#VALUE!</v>
      </c>
      <c r="N46" s="53" t="e">
        <f t="shared" si="28"/>
        <v>#VALUE!</v>
      </c>
      <c r="O46" s="53" t="e">
        <f t="shared" si="28"/>
        <v>#VALUE!</v>
      </c>
      <c r="P46" s="53" t="e">
        <f t="shared" si="28"/>
        <v>#VALUE!</v>
      </c>
      <c r="Q46" s="112" t="e">
        <f t="shared" si="10"/>
        <v>#VALUE!</v>
      </c>
      <c r="S46" s="53" t="e">
        <f t="shared" ref="S46:X46" si="29">S26+S45</f>
        <v>#VALUE!</v>
      </c>
      <c r="T46" s="53">
        <f t="shared" si="29"/>
        <v>0</v>
      </c>
      <c r="U46" s="53">
        <f t="shared" si="29"/>
        <v>0</v>
      </c>
      <c r="V46" s="53" t="e">
        <f t="shared" si="29"/>
        <v>#VALUE!</v>
      </c>
      <c r="X46" s="53" t="e">
        <f t="shared" si="29"/>
        <v>#VALUE!</v>
      </c>
      <c r="Z46" s="53" t="e">
        <f>Z26+Z45</f>
        <v>#VALUE!</v>
      </c>
      <c r="AA46" s="53" t="e">
        <f>AA26+AA45</f>
        <v>#VALUE!</v>
      </c>
      <c r="AB46" s="53" t="e">
        <f>AB26+AB45</f>
        <v>#VALUE!</v>
      </c>
      <c r="AC46" s="53" t="e">
        <f>AC26+AC45</f>
        <v>#VALUE!</v>
      </c>
      <c r="AD46" s="53" t="e">
        <f>AD26+AD45</f>
        <v>#VALUE!</v>
      </c>
    </row>
    <row r="47" spans="1:30">
      <c r="A47" s="54"/>
      <c r="B47" s="55" t="s">
        <v>43</v>
      </c>
      <c r="C47" s="56"/>
      <c r="D47" s="56"/>
      <c r="E47" s="57" t="e">
        <f>E46/E22</f>
        <v>#VALUE!</v>
      </c>
      <c r="F47" s="58" t="e">
        <f t="shared" ref="F47:Q47" si="30">F46/F22</f>
        <v>#VALUE!</v>
      </c>
      <c r="G47" s="59" t="e">
        <f t="shared" si="30"/>
        <v>#VALUE!</v>
      </c>
      <c r="H47" s="59" t="e">
        <f t="shared" si="30"/>
        <v>#VALUE!</v>
      </c>
      <c r="I47" s="59" t="e">
        <f t="shared" si="30"/>
        <v>#VALUE!</v>
      </c>
      <c r="J47" s="59" t="e">
        <f t="shared" si="30"/>
        <v>#VALUE!</v>
      </c>
      <c r="K47" s="59" t="e">
        <f t="shared" si="30"/>
        <v>#VALUE!</v>
      </c>
      <c r="L47" s="59" t="e">
        <f t="shared" si="30"/>
        <v>#VALUE!</v>
      </c>
      <c r="M47" s="59" t="e">
        <f t="shared" si="30"/>
        <v>#VALUE!</v>
      </c>
      <c r="N47" s="59" t="e">
        <f t="shared" si="30"/>
        <v>#VALUE!</v>
      </c>
      <c r="O47" s="59" t="e">
        <f t="shared" si="30"/>
        <v>#VALUE!</v>
      </c>
      <c r="P47" s="59" t="e">
        <f t="shared" si="30"/>
        <v>#VALUE!</v>
      </c>
      <c r="Q47" s="116" t="e">
        <f t="shared" si="30"/>
        <v>#VALUE!</v>
      </c>
      <c r="S47" s="59" t="e">
        <f t="shared" ref="S47:X47" si="31">S46/S22</f>
        <v>#VALUE!</v>
      </c>
      <c r="T47" s="59" t="e">
        <f t="shared" si="31"/>
        <v>#DIV/0!</v>
      </c>
      <c r="U47" s="59" t="e">
        <f t="shared" si="31"/>
        <v>#DIV/0!</v>
      </c>
      <c r="V47" s="59" t="e">
        <f t="shared" si="31"/>
        <v>#VALUE!</v>
      </c>
      <c r="X47" s="59" t="e">
        <f t="shared" si="31"/>
        <v>#VALUE!</v>
      </c>
      <c r="Z47" s="59" t="e">
        <f>Z46/Z22</f>
        <v>#VALUE!</v>
      </c>
      <c r="AA47" s="59" t="e">
        <f>AA46/AA22</f>
        <v>#VALUE!</v>
      </c>
      <c r="AB47" s="59" t="e">
        <f>AB46/AB22</f>
        <v>#VALUE!</v>
      </c>
      <c r="AC47" s="59" t="e">
        <f>AC46/AC22</f>
        <v>#VALUE!</v>
      </c>
      <c r="AD47" s="59" t="e">
        <f>AD46/AD22</f>
        <v>#VALUE!</v>
      </c>
    </row>
    <row r="48" spans="1:30">
      <c r="A48" s="2"/>
      <c r="B48" s="2"/>
      <c r="C48" s="2"/>
      <c r="D48" s="2"/>
      <c r="E48" s="15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321"/>
      <c r="S48" s="321"/>
      <c r="T48" s="321"/>
      <c r="U48" s="321"/>
      <c r="V48" s="321"/>
      <c r="X48" s="2"/>
      <c r="Z48" s="321"/>
      <c r="AA48" s="321"/>
      <c r="AB48" s="321"/>
      <c r="AC48" s="321"/>
      <c r="AD48" s="2"/>
    </row>
    <row r="49" spans="1:30" hidden="1" outlineLevel="1">
      <c r="A49" s="79"/>
      <c r="B49" s="80" t="s">
        <v>44</v>
      </c>
      <c r="C49" s="81"/>
      <c r="D49" s="81"/>
      <c r="E49" s="82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118">
        <f>SUM(E49:P49)</f>
        <v>0</v>
      </c>
      <c r="S49" s="83"/>
      <c r="T49" s="83"/>
      <c r="U49" s="83"/>
      <c r="V49" s="83"/>
      <c r="X49" s="83"/>
      <c r="Z49" s="83"/>
      <c r="AA49" s="83"/>
      <c r="AB49" s="83"/>
      <c r="AC49" s="83"/>
      <c r="AD49" s="83"/>
    </row>
    <row r="50" spans="1:30" hidden="1" outlineLevel="1">
      <c r="A50" s="84"/>
      <c r="B50" s="80" t="s">
        <v>45</v>
      </c>
      <c r="C50" s="81"/>
      <c r="D50" s="81"/>
      <c r="E50" s="82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118">
        <f>SUM(E50:P50)</f>
        <v>0</v>
      </c>
      <c r="S50" s="83"/>
      <c r="T50" s="83"/>
      <c r="U50" s="83"/>
      <c r="V50" s="83"/>
      <c r="X50" s="83"/>
      <c r="Z50" s="83"/>
      <c r="AA50" s="83"/>
      <c r="AB50" s="83"/>
      <c r="AC50" s="83"/>
      <c r="AD50" s="83"/>
    </row>
    <row r="51" spans="1:30" hidden="1" outlineLevel="1">
      <c r="A51" s="84"/>
      <c r="B51" s="80" t="s">
        <v>46</v>
      </c>
      <c r="C51" s="81"/>
      <c r="D51" s="81"/>
      <c r="E51" s="82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118">
        <f>SUM(E51:P51)</f>
        <v>0</v>
      </c>
      <c r="S51" s="83"/>
      <c r="T51" s="83"/>
      <c r="U51" s="83"/>
      <c r="V51" s="83"/>
      <c r="X51" s="83"/>
      <c r="Z51" s="83"/>
      <c r="AA51" s="83"/>
      <c r="AB51" s="83"/>
      <c r="AC51" s="83"/>
      <c r="AD51" s="83"/>
    </row>
    <row r="52" spans="1:30" hidden="1" outlineLevel="1">
      <c r="A52" s="85" t="s">
        <v>47</v>
      </c>
      <c r="B52" s="86"/>
      <c r="C52" s="86"/>
      <c r="D52" s="86"/>
      <c r="E52" s="82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119">
        <f>SUM(E52:P52)</f>
        <v>0</v>
      </c>
      <c r="S52" s="83"/>
      <c r="T52" s="83"/>
      <c r="U52" s="83"/>
      <c r="V52" s="83"/>
      <c r="X52" s="83"/>
      <c r="Z52" s="83"/>
      <c r="AA52" s="83"/>
      <c r="AB52" s="83"/>
      <c r="AC52" s="83"/>
      <c r="AD52" s="83"/>
    </row>
    <row r="53" spans="1:30" collapsed="1">
      <c r="A53" s="2"/>
      <c r="B53" s="2"/>
      <c r="C53" s="2"/>
      <c r="D53" s="2"/>
      <c r="E53" s="15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117"/>
      <c r="S53" s="2"/>
      <c r="T53" s="2"/>
      <c r="U53" s="2"/>
      <c r="V53" s="2"/>
      <c r="X53" s="2"/>
      <c r="Z53" s="2"/>
      <c r="AA53" s="2"/>
      <c r="AB53" s="2"/>
      <c r="AC53" s="2"/>
      <c r="AD53" s="2"/>
    </row>
    <row r="54" spans="1:30">
      <c r="A54" s="87" t="s">
        <v>48</v>
      </c>
      <c r="B54" s="88"/>
      <c r="C54" s="86"/>
      <c r="D54" s="86"/>
      <c r="E54" s="89">
        <f>[26]Act!D29</f>
        <v>-71.169814299999885</v>
      </c>
      <c r="F54" s="90">
        <f>[26]Act!E29</f>
        <v>-15.481782200000438</v>
      </c>
      <c r="G54" s="90">
        <f>[26]Act!F29</f>
        <v>-40.399729294503963</v>
      </c>
      <c r="H54" s="90">
        <f>[26]Act!G29</f>
        <v>-24.306955227650356</v>
      </c>
      <c r="I54" s="90">
        <f>[26]Act!H29</f>
        <v>-0.79714528679491536</v>
      </c>
      <c r="J54" s="90">
        <f>[26]Act!I29</f>
        <v>-10.880571416663173</v>
      </c>
      <c r="K54" s="90">
        <f>[26]Act!J29</f>
        <v>9.0613392985633681</v>
      </c>
      <c r="L54" s="90">
        <f>[26]Act!K29</f>
        <v>8.7719529825022278</v>
      </c>
      <c r="M54" s="90">
        <f>[26]Act!L29</f>
        <v>102.38832122540656</v>
      </c>
      <c r="N54" s="90">
        <f>[26]Act!M29</f>
        <v>56.477944882371091</v>
      </c>
      <c r="O54" s="90">
        <f>[26]Act!N29</f>
        <v>45.467958636068985</v>
      </c>
      <c r="P54" s="90">
        <f>[26]Act!O29</f>
        <v>70.843006312981899</v>
      </c>
      <c r="Q54" s="119">
        <f>SUM(E54:P54)</f>
        <v>129.97452561228141</v>
      </c>
      <c r="S54" s="90">
        <f>SUMIFS($E54:$P54,$E$3:$P$3,1,$E$5:$P$5,S$5)</f>
        <v>-71.169814299999885</v>
      </c>
      <c r="T54" s="90">
        <f>SUMIFS($E54:$P54,$E$3:$P$3,1,$E$5:$P$5,T$5)</f>
        <v>0</v>
      </c>
      <c r="U54" s="90">
        <f>SUMIFS($E54:$P54,$E$3:$P$3,1,$E$5:$P$5,U$5)</f>
        <v>0</v>
      </c>
      <c r="V54" s="90">
        <f>SUM(S54:U54)</f>
        <v>-71.169814299999885</v>
      </c>
      <c r="X54" s="90">
        <f>SUMIF($E$2:$P$2,1,E54:P54)</f>
        <v>-71.169814299999885</v>
      </c>
      <c r="Z54" s="90">
        <f>SUM(E54:G54)</f>
        <v>-127.05132579450429</v>
      </c>
      <c r="AA54" s="90">
        <f>SUM(H54:J54)</f>
        <v>-35.984671931108444</v>
      </c>
      <c r="AB54" s="90">
        <f>SUM(K54:M54)</f>
        <v>120.22161350647215</v>
      </c>
      <c r="AC54" s="90">
        <f>SUM(N54:P54)</f>
        <v>172.78890983142196</v>
      </c>
      <c r="AD54" s="90">
        <f>SUM(Z54:AC54)</f>
        <v>129.97452561228138</v>
      </c>
    </row>
    <row r="55" spans="1:30">
      <c r="A55" s="2"/>
      <c r="B55" s="2"/>
      <c r="C55" s="2"/>
      <c r="D55" s="2"/>
      <c r="E55" s="15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117"/>
      <c r="S55" s="2"/>
      <c r="T55" s="2"/>
      <c r="U55" s="2"/>
      <c r="V55" s="2"/>
      <c r="X55" s="2"/>
      <c r="Z55" s="2"/>
      <c r="AA55" s="2"/>
      <c r="AB55" s="2"/>
      <c r="AC55" s="2"/>
      <c r="AD55" s="2"/>
    </row>
    <row r="56" spans="1:30" ht="15.75" thickBot="1">
      <c r="A56" s="80" t="s">
        <v>49</v>
      </c>
      <c r="B56" s="91"/>
      <c r="C56" s="81"/>
      <c r="D56" s="91"/>
      <c r="E56" s="92">
        <f>'[7]New KPI 2+10'!F33</f>
        <v>-3.1056917000000017E-2</v>
      </c>
      <c r="F56" s="93">
        <f>'[7]New KPI 2+10'!G33</f>
        <v>-2.0865730000000002E-2</v>
      </c>
      <c r="G56" s="93">
        <f>'[7]New KPI 2+10'!H33</f>
        <v>-7.8258735000000065E-2</v>
      </c>
      <c r="H56" s="93">
        <f>'[7]New KPI 2+10'!I33</f>
        <v>-6.2798800000000016E-2</v>
      </c>
      <c r="I56" s="93">
        <f>'[7]New KPI 2+10'!J33</f>
        <v>-7.1499042999999998E-2</v>
      </c>
      <c r="J56" s="93">
        <f>'[7]New KPI 2+10'!K33</f>
        <v>-7.9995942000000014E-2</v>
      </c>
      <c r="K56" s="93">
        <f>'[7]New KPI 2+10'!L33</f>
        <v>-8.6080773000000069E-2</v>
      </c>
      <c r="L56" s="93">
        <f>'[7]New KPI 2+10'!M33</f>
        <v>-9.3386112000000007E-2</v>
      </c>
      <c r="M56" s="93">
        <f>'[7]New KPI 2+10'!N33</f>
        <v>-9.4593313000000054E-2</v>
      </c>
      <c r="N56" s="93">
        <f>'[7]New KPI 2+10'!O33</f>
        <v>0</v>
      </c>
      <c r="O56" s="93">
        <f>'[7]New KPI 2+10'!P33</f>
        <v>0</v>
      </c>
      <c r="P56" s="93">
        <f>'[7]New KPI 2+10'!Q33</f>
        <v>0</v>
      </c>
      <c r="Q56" s="120">
        <f>SUM(E56:P56)</f>
        <v>-0.61853536500000028</v>
      </c>
      <c r="S56" s="93">
        <f>SUMIFS($E56:$P56,$E$3:$P$3,1,$E$5:$P$5,S$5)</f>
        <v>-3.1056917000000017E-2</v>
      </c>
      <c r="T56" s="93">
        <f>SUMIFS($E56:$P56,$E$3:$P$3,1,$E$5:$P$5,T$5)</f>
        <v>0</v>
      </c>
      <c r="U56" s="93">
        <f>SUMIFS($E56:$P56,$E$3:$P$3,1,$E$5:$P$5,U$5)</f>
        <v>0</v>
      </c>
      <c r="V56" s="93">
        <f>SUM(S56:U56)</f>
        <v>-3.1056917000000017E-2</v>
      </c>
      <c r="X56" s="93">
        <f>SUMIF($E$2:$P$2,1,E56:P56)</f>
        <v>-3.1056917000000017E-2</v>
      </c>
      <c r="Z56" s="93">
        <f>SUM(E56:G56)</f>
        <v>-0.13018138200000007</v>
      </c>
      <c r="AA56" s="93">
        <f>SUM(H56:J56)</f>
        <v>-0.21429378500000004</v>
      </c>
      <c r="AB56" s="93">
        <f>SUM(K56:M56)</f>
        <v>-0.27406019800000014</v>
      </c>
      <c r="AC56" s="93">
        <f>SUM(N56:P56)</f>
        <v>0</v>
      </c>
      <c r="AD56" s="93">
        <f>SUM(Z56:AC56)</f>
        <v>-0.61853536500000028</v>
      </c>
    </row>
    <row r="57" spans="1:30">
      <c r="A57" s="137"/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</row>
    <row r="58" spans="1:30">
      <c r="A58" s="444"/>
      <c r="B58" s="445" t="s">
        <v>297</v>
      </c>
      <c r="C58" s="446"/>
      <c r="D58" s="453"/>
      <c r="E58" s="456">
        <f>[26]Act!D237</f>
        <v>-1.8589674599999999</v>
      </c>
      <c r="F58" s="457">
        <f>[26]Act!E237</f>
        <v>-0.93709799999999999</v>
      </c>
      <c r="G58" s="457">
        <f>[26]Act!F237</f>
        <v>-2.0926028680536786</v>
      </c>
      <c r="H58" s="457">
        <f>[26]Act!G237</f>
        <v>-0.78345014061600937</v>
      </c>
      <c r="I58" s="457">
        <f>[26]Act!H237</f>
        <v>-0.94676948094432345</v>
      </c>
      <c r="J58" s="457">
        <f>[26]Act!I237</f>
        <v>-2.7576919930367776</v>
      </c>
      <c r="K58" s="457">
        <f>[26]Act!J237</f>
        <v>-1.1351351616081578</v>
      </c>
      <c r="L58" s="457">
        <f>[26]Act!K237</f>
        <v>-1.935993576995932</v>
      </c>
      <c r="M58" s="457">
        <f>[26]Act!L237</f>
        <v>-2.6409610893208137</v>
      </c>
      <c r="N58" s="457">
        <f>[26]Act!M237</f>
        <v>-0.91272317506350342</v>
      </c>
      <c r="O58" s="457">
        <f>[26]Act!N237</f>
        <v>-0.97785548773626207</v>
      </c>
      <c r="P58" s="458">
        <f>[26]Act!O237</f>
        <v>-3.8377921869403915</v>
      </c>
      <c r="Q58" s="120">
        <f>SUM(E58:P58)</f>
        <v>-20.817040620315851</v>
      </c>
      <c r="S58" s="456">
        <f t="shared" ref="S58:U60" si="32">SUMIFS($E58:$P58,$E$3:$P$3,1,$E$5:$P$5,S$5)</f>
        <v>-1.8589674599999999</v>
      </c>
      <c r="T58" s="457">
        <f t="shared" si="32"/>
        <v>0</v>
      </c>
      <c r="U58" s="457">
        <f t="shared" si="32"/>
        <v>0</v>
      </c>
      <c r="V58" s="458">
        <f t="shared" ref="V58:X60" si="33">SUM(S58:U58)</f>
        <v>-1.8589674599999999</v>
      </c>
      <c r="X58" s="19">
        <f>SUMIF($E$2:$P$2,1,E58:P58)</f>
        <v>-1.8589674599999999</v>
      </c>
      <c r="Z58" s="456">
        <f>SUM(E58:G58)</f>
        <v>-4.8886683280536785</v>
      </c>
      <c r="AA58" s="457">
        <f>SUM(H58:J58)</f>
        <v>-4.4879116145971105</v>
      </c>
      <c r="AB58" s="457">
        <f>SUM(K58:M58)</f>
        <v>-5.7120898279249035</v>
      </c>
      <c r="AC58" s="457">
        <f>SUM(N58:P58)</f>
        <v>-5.7283708497401573</v>
      </c>
      <c r="AD58" s="458">
        <f>SUM(Z58:AC58)</f>
        <v>-20.817040620315851</v>
      </c>
    </row>
    <row r="59" spans="1:30">
      <c r="A59" s="447"/>
      <c r="B59" s="448" t="s">
        <v>298</v>
      </c>
      <c r="C59" s="449"/>
      <c r="D59" s="454"/>
      <c r="E59" s="459">
        <f>[26]Act!D238</f>
        <v>-3.0503450540000001</v>
      </c>
      <c r="F59" s="460">
        <f>[26]Act!E238</f>
        <v>-2.3303183100000053</v>
      </c>
      <c r="G59" s="460">
        <f>[26]Act!F238</f>
        <v>-9.6788611707831649</v>
      </c>
      <c r="H59" s="460">
        <f>[26]Act!G238</f>
        <v>-5.7443580502744798</v>
      </c>
      <c r="I59" s="460">
        <f>[26]Act!H238</f>
        <v>-5.2547237980687838</v>
      </c>
      <c r="J59" s="460">
        <f>[26]Act!I238</f>
        <v>-7.3790617011694</v>
      </c>
      <c r="K59" s="460">
        <f>[26]Act!J238</f>
        <v>-6.2041835693466147</v>
      </c>
      <c r="L59" s="460">
        <f>[26]Act!K238</f>
        <v>-6.0279407602631228</v>
      </c>
      <c r="M59" s="460">
        <f>[26]Act!L238</f>
        <v>-6.7391849147649809</v>
      </c>
      <c r="N59" s="460">
        <f>[26]Act!M238</f>
        <v>-6.1666228399502447</v>
      </c>
      <c r="O59" s="460">
        <f>[26]Act!N238</f>
        <v>-5.7965034907412711</v>
      </c>
      <c r="P59" s="461">
        <f>[26]Act!O238</f>
        <v>-7.0516095929026248</v>
      </c>
      <c r="Q59" s="120">
        <f>SUM(E59:P59)</f>
        <v>-71.42371325226469</v>
      </c>
      <c r="S59" s="459">
        <f t="shared" si="32"/>
        <v>-3.0503450540000001</v>
      </c>
      <c r="T59" s="460">
        <f t="shared" si="32"/>
        <v>0</v>
      </c>
      <c r="U59" s="460">
        <f t="shared" si="32"/>
        <v>0</v>
      </c>
      <c r="V59" s="461">
        <f t="shared" si="33"/>
        <v>-3.0503450540000001</v>
      </c>
      <c r="X59" s="46">
        <f>SUMIF($E$2:$P$2,1,E59:P59)</f>
        <v>-3.0503450540000001</v>
      </c>
      <c r="Z59" s="459">
        <f>SUM(E59:G59)</f>
        <v>-15.05952453478317</v>
      </c>
      <c r="AA59" s="460">
        <f>SUM(H59:J59)</f>
        <v>-18.378143549512664</v>
      </c>
      <c r="AB59" s="460">
        <f>SUM(K59:M59)</f>
        <v>-18.971309244374719</v>
      </c>
      <c r="AC59" s="460">
        <f>SUM(N59:P59)</f>
        <v>-19.014735923594142</v>
      </c>
      <c r="AD59" s="461">
        <f>SUM(Z59:AC59)</f>
        <v>-71.423713252264704</v>
      </c>
    </row>
    <row r="60" spans="1:30">
      <c r="A60" s="450"/>
      <c r="B60" s="451" t="s">
        <v>299</v>
      </c>
      <c r="C60" s="452"/>
      <c r="D60" s="455"/>
      <c r="E60" s="69">
        <f>SUM(E58:E59)</f>
        <v>-4.9093125139999998</v>
      </c>
      <c r="F60" s="69">
        <f t="shared" ref="F60:P60" si="34">SUM(F58:F59)</f>
        <v>-3.2674163100000051</v>
      </c>
      <c r="G60" s="70">
        <f t="shared" si="34"/>
        <v>-11.771464038836843</v>
      </c>
      <c r="H60" s="70">
        <f t="shared" si="34"/>
        <v>-6.5278081908904895</v>
      </c>
      <c r="I60" s="70">
        <f t="shared" si="34"/>
        <v>-6.201493279013107</v>
      </c>
      <c r="J60" s="70">
        <f t="shared" si="34"/>
        <v>-10.136753694206178</v>
      </c>
      <c r="K60" s="70">
        <f t="shared" si="34"/>
        <v>-7.3393187309547727</v>
      </c>
      <c r="L60" s="70">
        <f t="shared" si="34"/>
        <v>-7.9639343372590545</v>
      </c>
      <c r="M60" s="70">
        <f t="shared" si="34"/>
        <v>-9.3801460040857947</v>
      </c>
      <c r="N60" s="70">
        <f t="shared" si="34"/>
        <v>-7.0793460150137477</v>
      </c>
      <c r="O60" s="70">
        <f t="shared" si="34"/>
        <v>-6.7743589784775331</v>
      </c>
      <c r="P60" s="70">
        <f t="shared" si="34"/>
        <v>-10.889401779843016</v>
      </c>
      <c r="Q60" s="119">
        <f>SUM(E60:P60)</f>
        <v>-92.240753872580555</v>
      </c>
      <c r="S60" s="70">
        <f t="shared" si="32"/>
        <v>-4.9093125139999998</v>
      </c>
      <c r="T60" s="70">
        <f t="shared" si="32"/>
        <v>0</v>
      </c>
      <c r="U60" s="70">
        <f t="shared" si="32"/>
        <v>0</v>
      </c>
      <c r="V60" s="70">
        <f t="shared" si="33"/>
        <v>-4.9093125139999998</v>
      </c>
      <c r="X60" s="70">
        <f t="shared" si="33"/>
        <v>-4.9093125139999998</v>
      </c>
      <c r="Z60" s="70">
        <f>SUM(E60:G60)</f>
        <v>-19.948192862836848</v>
      </c>
      <c r="AA60" s="70">
        <f>SUM(H60:J60)</f>
        <v>-22.866055164109774</v>
      </c>
      <c r="AB60" s="70">
        <f>SUM(K60:M60)</f>
        <v>-24.683399072299622</v>
      </c>
      <c r="AC60" s="70">
        <f>SUM(N60:P60)</f>
        <v>-24.743106773334297</v>
      </c>
      <c r="AD60" s="70">
        <f>SUM(Z60:AC60)</f>
        <v>-92.240753872580541</v>
      </c>
    </row>
    <row r="61" spans="1:30">
      <c r="A61" s="94"/>
      <c r="B61" s="94"/>
      <c r="C61" s="94"/>
      <c r="D61" s="94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94"/>
      <c r="S61" s="94"/>
      <c r="T61" s="94"/>
      <c r="U61" s="94"/>
      <c r="V61" s="94"/>
      <c r="X61" s="94"/>
      <c r="Z61" s="94"/>
      <c r="AA61" s="94"/>
      <c r="AB61" s="94"/>
      <c r="AC61" s="94"/>
      <c r="AD61" s="94"/>
    </row>
    <row r="62" spans="1:30">
      <c r="A62" s="78" t="s">
        <v>50</v>
      </c>
      <c r="B62" s="73"/>
      <c r="C62" s="73"/>
      <c r="D62" s="73"/>
      <c r="E62" s="69">
        <f>[26]Act!D248</f>
        <v>-0.30846766876945769</v>
      </c>
      <c r="F62" s="69">
        <f>[26]Act!E248</f>
        <v>-1.3543336041457685</v>
      </c>
      <c r="G62" s="69">
        <f>[26]Act!F248</f>
        <v>-3.286261146773962</v>
      </c>
      <c r="H62" s="69">
        <f>[26]Act!G248</f>
        <v>-1.710916769298739</v>
      </c>
      <c r="I62" s="69">
        <f>[26]Act!H248</f>
        <v>-1.95991471819673</v>
      </c>
      <c r="J62" s="69">
        <f>[26]Act!I248</f>
        <v>-2.3703674457529891</v>
      </c>
      <c r="K62" s="69">
        <f>[26]Act!J248</f>
        <v>-1.0403817976594922</v>
      </c>
      <c r="L62" s="69">
        <f>[26]Act!K248</f>
        <v>-0.94298507668375364</v>
      </c>
      <c r="M62" s="69">
        <f>[26]Act!L248</f>
        <v>-2.1388980633159189</v>
      </c>
      <c r="N62" s="69">
        <f>[26]Act!M248</f>
        <v>-1.9396369980707124</v>
      </c>
      <c r="O62" s="69">
        <f>[26]Act!N248</f>
        <v>-1.821422300297197</v>
      </c>
      <c r="P62" s="69">
        <f>[26]Act!O248</f>
        <v>-1.7844201833477698</v>
      </c>
      <c r="Q62" s="119">
        <f t="shared" ref="Q62:Q77" si="35">SUM(E62:P62)</f>
        <v>-20.658005772312489</v>
      </c>
      <c r="S62" s="69">
        <f t="shared" ref="S62:U77" si="36">SUMIFS($E62:$P62,$E$3:$P$3,1,$E$5:$P$5,S$5)</f>
        <v>-0.30846766876945769</v>
      </c>
      <c r="T62" s="69">
        <f t="shared" si="36"/>
        <v>0</v>
      </c>
      <c r="U62" s="69">
        <f t="shared" si="36"/>
        <v>0</v>
      </c>
      <c r="V62" s="69">
        <f t="shared" ref="V62:V75" si="37">SUM(S62:U62)</f>
        <v>-0.30846766876945769</v>
      </c>
      <c r="X62" s="69">
        <f t="shared" ref="X62:X75" si="38">SUMIF($E$2:$P$2,1,E62:P62)</f>
        <v>-0.30846766876945769</v>
      </c>
      <c r="Z62" s="69">
        <f t="shared" ref="Z62:Z75" si="39">SUM(E62:G62)</f>
        <v>-4.9490624196891879</v>
      </c>
      <c r="AA62" s="69">
        <f t="shared" ref="AA62:AA75" si="40">SUM(H62:J62)</f>
        <v>-6.0411989332484577</v>
      </c>
      <c r="AB62" s="69">
        <f t="shared" ref="AB62:AB75" si="41">SUM(K62:M62)</f>
        <v>-4.1222649376591649</v>
      </c>
      <c r="AC62" s="69">
        <f t="shared" ref="AC62:AC75" si="42">SUM(N62:P62)</f>
        <v>-5.5454794817156792</v>
      </c>
      <c r="AD62" s="69">
        <f t="shared" ref="AD62:AD75" si="43">SUM(Z62:AC62)</f>
        <v>-20.658005772312492</v>
      </c>
    </row>
    <row r="63" spans="1:30">
      <c r="A63" s="78" t="s">
        <v>51</v>
      </c>
      <c r="B63" s="73"/>
      <c r="C63" s="73"/>
      <c r="D63" s="73"/>
      <c r="E63" s="69" t="e">
        <f>[26]Act!D249</f>
        <v>#VALUE!</v>
      </c>
      <c r="F63" s="69" t="e">
        <f>[26]Act!E249</f>
        <v>#VALUE!</v>
      </c>
      <c r="G63" s="69" t="e">
        <f>[26]Act!F249</f>
        <v>#VALUE!</v>
      </c>
      <c r="H63" s="69" t="e">
        <f>[26]Act!G249</f>
        <v>#VALUE!</v>
      </c>
      <c r="I63" s="69" t="e">
        <f>[26]Act!H249</f>
        <v>#VALUE!</v>
      </c>
      <c r="J63" s="69" t="e">
        <f>[26]Act!I249</f>
        <v>#VALUE!</v>
      </c>
      <c r="K63" s="69" t="e">
        <f>[26]Act!J249</f>
        <v>#VALUE!</v>
      </c>
      <c r="L63" s="69" t="e">
        <f>[26]Act!K249</f>
        <v>#VALUE!</v>
      </c>
      <c r="M63" s="69" t="e">
        <f>[26]Act!L249</f>
        <v>#VALUE!</v>
      </c>
      <c r="N63" s="69" t="e">
        <f>[26]Act!M249</f>
        <v>#VALUE!</v>
      </c>
      <c r="O63" s="69" t="e">
        <f>[26]Act!N249</f>
        <v>#VALUE!</v>
      </c>
      <c r="P63" s="69" t="e">
        <f>[26]Act!O249</f>
        <v>#VALUE!</v>
      </c>
      <c r="Q63" s="119" t="e">
        <f t="shared" si="35"/>
        <v>#VALUE!</v>
      </c>
      <c r="S63" s="69" t="e">
        <f t="shared" si="36"/>
        <v>#VALUE!</v>
      </c>
      <c r="T63" s="69">
        <f t="shared" si="36"/>
        <v>0</v>
      </c>
      <c r="U63" s="69">
        <f t="shared" si="36"/>
        <v>0</v>
      </c>
      <c r="V63" s="69" t="e">
        <f t="shared" si="37"/>
        <v>#VALUE!</v>
      </c>
      <c r="X63" s="69" t="e">
        <f t="shared" si="38"/>
        <v>#VALUE!</v>
      </c>
      <c r="Z63" s="69" t="e">
        <f t="shared" si="39"/>
        <v>#VALUE!</v>
      </c>
      <c r="AA63" s="69" t="e">
        <f t="shared" si="40"/>
        <v>#VALUE!</v>
      </c>
      <c r="AB63" s="69" t="e">
        <f t="shared" si="41"/>
        <v>#VALUE!</v>
      </c>
      <c r="AC63" s="69" t="e">
        <f t="shared" si="42"/>
        <v>#VALUE!</v>
      </c>
      <c r="AD63" s="69" t="e">
        <f t="shared" si="43"/>
        <v>#VALUE!</v>
      </c>
    </row>
    <row r="64" spans="1:30">
      <c r="A64" s="78" t="s">
        <v>52</v>
      </c>
      <c r="B64" s="73"/>
      <c r="C64" s="73"/>
      <c r="D64" s="73"/>
      <c r="E64" s="69">
        <f>[26]Act!D251</f>
        <v>5.6350322980000023</v>
      </c>
      <c r="F64" s="69">
        <f>[26]Act!E251</f>
        <v>3.683511836000001</v>
      </c>
      <c r="G64" s="69">
        <f>[26]Act!F251</f>
        <v>-2.1730863659999997</v>
      </c>
      <c r="H64" s="69">
        <f>[26]Act!G251</f>
        <v>2.2617562750000033</v>
      </c>
      <c r="I64" s="69">
        <f>[26]Act!H251</f>
        <v>-0.14135901900000292</v>
      </c>
      <c r="J64" s="69">
        <f>[26]Act!I251</f>
        <v>5.7277632759999975</v>
      </c>
      <c r="K64" s="69">
        <f>[26]Act!J251</f>
        <v>5.8367191989999991</v>
      </c>
      <c r="L64" s="69">
        <f>[26]Act!K251</f>
        <v>8.3731578110000022</v>
      </c>
      <c r="M64" s="69">
        <f>[26]Act!L251</f>
        <v>8.357542672000001</v>
      </c>
      <c r="N64" s="69">
        <f>[26]Act!M251</f>
        <v>7.3968599700000013</v>
      </c>
      <c r="O64" s="69">
        <f>[26]Act!N251</f>
        <v>4.8351443089999986</v>
      </c>
      <c r="P64" s="69">
        <f>[26]Act!O251</f>
        <v>8.416263285000003</v>
      </c>
      <c r="Q64" s="119">
        <f t="shared" si="35"/>
        <v>58.20930554600001</v>
      </c>
      <c r="S64" s="69">
        <f t="shared" si="36"/>
        <v>5.6350322980000023</v>
      </c>
      <c r="T64" s="69">
        <f t="shared" si="36"/>
        <v>0</v>
      </c>
      <c r="U64" s="69">
        <f t="shared" si="36"/>
        <v>0</v>
      </c>
      <c r="V64" s="69">
        <f t="shared" si="37"/>
        <v>5.6350322980000023</v>
      </c>
      <c r="X64" s="69">
        <f t="shared" si="38"/>
        <v>5.6350322980000023</v>
      </c>
      <c r="Z64" s="69">
        <f t="shared" si="39"/>
        <v>7.1454577680000035</v>
      </c>
      <c r="AA64" s="69">
        <f t="shared" si="40"/>
        <v>7.8481605319999979</v>
      </c>
      <c r="AB64" s="69">
        <f t="shared" si="41"/>
        <v>22.567419682000001</v>
      </c>
      <c r="AC64" s="69">
        <f t="shared" si="42"/>
        <v>20.648267564000001</v>
      </c>
      <c r="AD64" s="69">
        <f t="shared" si="43"/>
        <v>58.209305546000003</v>
      </c>
    </row>
    <row r="65" spans="1:32">
      <c r="A65" s="78" t="s">
        <v>53</v>
      </c>
      <c r="B65" s="73"/>
      <c r="C65" s="73"/>
      <c r="D65" s="73"/>
      <c r="E65" s="69">
        <f>-SUM([27]Relief!E80:E84)</f>
        <v>0</v>
      </c>
      <c r="F65" s="69">
        <f>-SUM([27]Relief!F80:F84)</f>
        <v>0</v>
      </c>
      <c r="G65" s="69">
        <f>-SUM([27]Relief!G80:G84)</f>
        <v>0</v>
      </c>
      <c r="H65" s="69">
        <f>-SUM([27]Relief!H80:H84)</f>
        <v>0</v>
      </c>
      <c r="I65" s="69">
        <f>-SUM([27]Relief!I80:I84)</f>
        <v>0</v>
      </c>
      <c r="J65" s="69">
        <f>-SUM([27]Relief!J80:J84)</f>
        <v>0</v>
      </c>
      <c r="K65" s="69">
        <f>-SUM([27]Relief!K80:K84)</f>
        <v>0</v>
      </c>
      <c r="L65" s="69">
        <f>-SUM([27]Relief!L80:L84)</f>
        <v>0</v>
      </c>
      <c r="M65" s="69">
        <f>-SUM([27]Relief!M80:M84)</f>
        <v>0</v>
      </c>
      <c r="N65" s="69">
        <f>-SUM([27]Relief!N80:N84)</f>
        <v>0</v>
      </c>
      <c r="O65" s="69">
        <f>-SUM([27]Relief!O80:O84)</f>
        <v>0</v>
      </c>
      <c r="P65" s="69">
        <f>-SUM([27]Relief!P80:P84)</f>
        <v>0</v>
      </c>
      <c r="Q65" s="119">
        <f t="shared" si="35"/>
        <v>0</v>
      </c>
      <c r="S65" s="69">
        <f t="shared" si="36"/>
        <v>0</v>
      </c>
      <c r="T65" s="69">
        <f t="shared" si="36"/>
        <v>0</v>
      </c>
      <c r="U65" s="69">
        <f t="shared" si="36"/>
        <v>0</v>
      </c>
      <c r="V65" s="69">
        <f t="shared" si="37"/>
        <v>0</v>
      </c>
      <c r="X65" s="69">
        <f t="shared" si="38"/>
        <v>0</v>
      </c>
      <c r="Z65" s="69">
        <f t="shared" si="39"/>
        <v>0</v>
      </c>
      <c r="AA65" s="69">
        <f t="shared" si="40"/>
        <v>0</v>
      </c>
      <c r="AB65" s="69">
        <f t="shared" si="41"/>
        <v>0</v>
      </c>
      <c r="AC65" s="69">
        <f t="shared" si="42"/>
        <v>0</v>
      </c>
      <c r="AD65" s="69">
        <f t="shared" si="43"/>
        <v>0</v>
      </c>
    </row>
    <row r="66" spans="1:32">
      <c r="A66" s="78" t="s">
        <v>54</v>
      </c>
      <c r="B66" s="73"/>
      <c r="C66" s="73"/>
      <c r="D66" s="73"/>
      <c r="E66" s="69">
        <f>-SUM([27]Relief!E96:E97)</f>
        <v>0</v>
      </c>
      <c r="F66" s="69">
        <f>-SUM([27]Relief!F96:F97)</f>
        <v>0</v>
      </c>
      <c r="G66" s="69">
        <f>-SUM([27]Relief!G96:G97)</f>
        <v>0</v>
      </c>
      <c r="H66" s="69">
        <f>-SUM([27]Relief!H96:H97)</f>
        <v>0</v>
      </c>
      <c r="I66" s="69">
        <f>-SUM([27]Relief!I96:I97)</f>
        <v>0</v>
      </c>
      <c r="J66" s="69">
        <f>-SUM([27]Relief!J96:J97)</f>
        <v>0</v>
      </c>
      <c r="K66" s="69">
        <f>-SUM([27]Relief!K96:K97)</f>
        <v>0</v>
      </c>
      <c r="L66" s="69">
        <f>-SUM([27]Relief!L96:L97)</f>
        <v>0</v>
      </c>
      <c r="M66" s="69">
        <f>-SUM([27]Relief!M96:M97)</f>
        <v>0</v>
      </c>
      <c r="N66" s="69">
        <f>-SUM([27]Relief!N96:N97)</f>
        <v>0</v>
      </c>
      <c r="O66" s="69">
        <f>-SUM([27]Relief!O96:O97)</f>
        <v>0</v>
      </c>
      <c r="P66" s="69">
        <f>-SUM([27]Relief!P96:P97)</f>
        <v>0</v>
      </c>
      <c r="Q66" s="119">
        <f t="shared" si="35"/>
        <v>0</v>
      </c>
      <c r="S66" s="69">
        <f t="shared" si="36"/>
        <v>0</v>
      </c>
      <c r="T66" s="69">
        <f t="shared" si="36"/>
        <v>0</v>
      </c>
      <c r="U66" s="69">
        <f t="shared" si="36"/>
        <v>0</v>
      </c>
      <c r="V66" s="69">
        <f t="shared" si="37"/>
        <v>0</v>
      </c>
      <c r="X66" s="69">
        <f t="shared" si="38"/>
        <v>0</v>
      </c>
      <c r="Z66" s="69">
        <f t="shared" si="39"/>
        <v>0</v>
      </c>
      <c r="AA66" s="69">
        <f t="shared" si="40"/>
        <v>0</v>
      </c>
      <c r="AB66" s="69">
        <f t="shared" si="41"/>
        <v>0</v>
      </c>
      <c r="AC66" s="69">
        <f t="shared" si="42"/>
        <v>0</v>
      </c>
      <c r="AD66" s="69">
        <f t="shared" si="43"/>
        <v>0</v>
      </c>
    </row>
    <row r="67" spans="1:32">
      <c r="A67" s="78" t="s">
        <v>55</v>
      </c>
      <c r="B67" s="73"/>
      <c r="C67" s="73"/>
      <c r="D67" s="73"/>
      <c r="E67" s="69">
        <f>-[27]Relief!E95</f>
        <v>0</v>
      </c>
      <c r="F67" s="69">
        <f>-[27]Relief!F95</f>
        <v>0</v>
      </c>
      <c r="G67" s="69">
        <f>-[27]Relief!G95</f>
        <v>0</v>
      </c>
      <c r="H67" s="69">
        <f>-[27]Relief!H95</f>
        <v>0</v>
      </c>
      <c r="I67" s="69">
        <f>-[27]Relief!I95</f>
        <v>0</v>
      </c>
      <c r="J67" s="69">
        <f>-[27]Relief!J95</f>
        <v>0</v>
      </c>
      <c r="K67" s="69">
        <f>-[27]Relief!K95</f>
        <v>0</v>
      </c>
      <c r="L67" s="69">
        <f>-[27]Relief!L95</f>
        <v>0</v>
      </c>
      <c r="M67" s="69">
        <f>-[27]Relief!M95</f>
        <v>0</v>
      </c>
      <c r="N67" s="69">
        <f>-[27]Relief!N95</f>
        <v>0</v>
      </c>
      <c r="O67" s="69">
        <f>-[27]Relief!O95</f>
        <v>0</v>
      </c>
      <c r="P67" s="69">
        <f>-[27]Relief!P95</f>
        <v>0</v>
      </c>
      <c r="Q67" s="119">
        <f t="shared" si="35"/>
        <v>0</v>
      </c>
      <c r="S67" s="69">
        <f t="shared" si="36"/>
        <v>0</v>
      </c>
      <c r="T67" s="69">
        <f t="shared" si="36"/>
        <v>0</v>
      </c>
      <c r="U67" s="69">
        <f t="shared" si="36"/>
        <v>0</v>
      </c>
      <c r="V67" s="69">
        <f t="shared" si="37"/>
        <v>0</v>
      </c>
      <c r="X67" s="69">
        <f t="shared" si="38"/>
        <v>0</v>
      </c>
      <c r="Z67" s="69">
        <f t="shared" si="39"/>
        <v>0</v>
      </c>
      <c r="AA67" s="69">
        <f t="shared" si="40"/>
        <v>0</v>
      </c>
      <c r="AB67" s="69">
        <f t="shared" si="41"/>
        <v>0</v>
      </c>
      <c r="AC67" s="69">
        <f t="shared" si="42"/>
        <v>0</v>
      </c>
      <c r="AD67" s="69">
        <f t="shared" si="43"/>
        <v>0</v>
      </c>
    </row>
    <row r="68" spans="1:32">
      <c r="A68" s="78" t="s">
        <v>56</v>
      </c>
      <c r="B68" s="73"/>
      <c r="C68" s="73"/>
      <c r="D68" s="73"/>
      <c r="E68" s="70">
        <f>'[7]New KPI 2+10'!F220-E69</f>
        <v>11.986581189000001</v>
      </c>
      <c r="F68" s="70">
        <f>'[7]New KPI 2+10'!G220-F69</f>
        <v>12.418130976</v>
      </c>
      <c r="G68" s="69">
        <f>'[7]New KPI 2+10'!H220-G69</f>
        <v>12.917682055</v>
      </c>
      <c r="H68" s="69">
        <f>'[7]New KPI 2+10'!I220-H69</f>
        <v>12.027752653</v>
      </c>
      <c r="I68" s="69">
        <f>'[7]New KPI 2+10'!J220-I69</f>
        <v>7.9659430200000001</v>
      </c>
      <c r="J68" s="701">
        <f>'[7]New KPI 2+10'!K220-J69</f>
        <v>17.570329984000001</v>
      </c>
      <c r="K68" s="69">
        <f>'[7]New KPI 2+10'!L220-K69</f>
        <v>15.967381224</v>
      </c>
      <c r="L68" s="69">
        <f>'[7]New KPI 2+10'!M220-L69</f>
        <v>17.740614691000001</v>
      </c>
      <c r="M68" s="69">
        <f>'[7]New KPI 2+10'!N220-M69</f>
        <v>17.762573936999999</v>
      </c>
      <c r="N68" s="69">
        <f>'[7]New KPI 2+10'!O220-N69</f>
        <v>17.941407117000001</v>
      </c>
      <c r="O68" s="69">
        <f>'[7]New KPI 2+10'!P220-O69</f>
        <v>18.519904482000001</v>
      </c>
      <c r="P68" s="69">
        <f>'[7]New KPI 2+10'!Q220-P69</f>
        <v>24.953342048</v>
      </c>
      <c r="Q68" s="119">
        <f t="shared" si="35"/>
        <v>187.77164337600001</v>
      </c>
      <c r="S68" s="69">
        <f t="shared" si="36"/>
        <v>11.986581189000001</v>
      </c>
      <c r="T68" s="69">
        <f t="shared" si="36"/>
        <v>0</v>
      </c>
      <c r="U68" s="69">
        <f t="shared" si="36"/>
        <v>0</v>
      </c>
      <c r="V68" s="69">
        <f t="shared" si="37"/>
        <v>11.986581189000001</v>
      </c>
      <c r="X68" s="69">
        <f t="shared" si="38"/>
        <v>11.986581189000001</v>
      </c>
      <c r="Z68" s="69">
        <f t="shared" si="39"/>
        <v>37.32239422</v>
      </c>
      <c r="AA68" s="69">
        <f t="shared" si="40"/>
        <v>37.564025657000002</v>
      </c>
      <c r="AB68" s="69">
        <f t="shared" si="41"/>
        <v>51.470569851999997</v>
      </c>
      <c r="AC68" s="69">
        <f t="shared" si="42"/>
        <v>61.414653646999994</v>
      </c>
      <c r="AD68" s="69">
        <f t="shared" si="43"/>
        <v>187.77164337599999</v>
      </c>
    </row>
    <row r="69" spans="1:32">
      <c r="A69" s="78" t="s">
        <v>57</v>
      </c>
      <c r="B69" s="73"/>
      <c r="C69" s="73"/>
      <c r="D69" s="73"/>
      <c r="E69" s="70">
        <f>Act!E69</f>
        <v>0</v>
      </c>
      <c r="F69" s="70">
        <f>Act!F69</f>
        <v>0</v>
      </c>
      <c r="G69" s="69">
        <f>Act!G69</f>
        <v>0</v>
      </c>
      <c r="H69" s="69">
        <f>Act!H69</f>
        <v>0</v>
      </c>
      <c r="I69" s="69">
        <f>Act!I69</f>
        <v>0</v>
      </c>
      <c r="J69" s="69">
        <f>Act!J69</f>
        <v>0</v>
      </c>
      <c r="K69" s="69">
        <f>Act!K69</f>
        <v>0</v>
      </c>
      <c r="L69" s="69">
        <f>Act!L69</f>
        <v>0</v>
      </c>
      <c r="M69" s="69">
        <f>Act!M69</f>
        <v>0</v>
      </c>
      <c r="N69" s="69">
        <f>Act!N69</f>
        <v>0</v>
      </c>
      <c r="O69" s="69">
        <f>Act!O69</f>
        <v>0</v>
      </c>
      <c r="P69" s="69">
        <f>Act!P69</f>
        <v>0</v>
      </c>
      <c r="Q69" s="119">
        <f t="shared" si="35"/>
        <v>0</v>
      </c>
      <c r="S69" s="69">
        <f t="shared" si="36"/>
        <v>0</v>
      </c>
      <c r="T69" s="69">
        <f t="shared" si="36"/>
        <v>0</v>
      </c>
      <c r="U69" s="69">
        <f t="shared" si="36"/>
        <v>0</v>
      </c>
      <c r="V69" s="69">
        <f t="shared" si="37"/>
        <v>0</v>
      </c>
      <c r="X69" s="69">
        <f t="shared" si="38"/>
        <v>0</v>
      </c>
      <c r="Z69" s="69">
        <f t="shared" si="39"/>
        <v>0</v>
      </c>
      <c r="AA69" s="69">
        <f t="shared" si="40"/>
        <v>0</v>
      </c>
      <c r="AB69" s="69">
        <f t="shared" si="41"/>
        <v>0</v>
      </c>
      <c r="AC69" s="69">
        <f t="shared" si="42"/>
        <v>0</v>
      </c>
      <c r="AD69" s="69">
        <f t="shared" si="43"/>
        <v>0</v>
      </c>
    </row>
    <row r="70" spans="1:32">
      <c r="A70" s="78" t="s">
        <v>58</v>
      </c>
      <c r="B70" s="73"/>
      <c r="C70" s="73"/>
      <c r="D70" s="73"/>
      <c r="E70" s="70">
        <f>-[27]Relief!E87</f>
        <v>2.2744157</v>
      </c>
      <c r="F70" s="70">
        <f>-[27]Relief!F87</f>
        <v>2.6542930999999998</v>
      </c>
      <c r="G70" s="69">
        <f>-[27]Relief!G87</f>
        <v>4.0104496000000003</v>
      </c>
      <c r="H70" s="69">
        <f>-[27]Relief!H87</f>
        <v>2.4572500000000002</v>
      </c>
      <c r="I70" s="69">
        <f>-[27]Relief!I87</f>
        <v>2.2584547000000001</v>
      </c>
      <c r="J70" s="69">
        <f>-[27]Relief!J87</f>
        <v>4.6160198000000001</v>
      </c>
      <c r="K70" s="69">
        <f>-[27]Relief!K87</f>
        <v>3.9315077</v>
      </c>
      <c r="L70" s="69">
        <f>-[27]Relief!L87</f>
        <v>4.3019805</v>
      </c>
      <c r="M70" s="69">
        <f>-[27]Relief!M87</f>
        <v>4.0755682000000002</v>
      </c>
      <c r="N70" s="69">
        <f>-[27]Relief!N87</f>
        <v>4.4592616499999993</v>
      </c>
      <c r="O70" s="69">
        <f>-[27]Relief!O87</f>
        <v>5.2592405499999995</v>
      </c>
      <c r="P70" s="69">
        <f>-[27]Relief!P87</f>
        <v>6.9579823500000009</v>
      </c>
      <c r="Q70" s="119">
        <f t="shared" si="35"/>
        <v>47.256423850000004</v>
      </c>
      <c r="S70" s="69">
        <f t="shared" si="36"/>
        <v>2.2744157</v>
      </c>
      <c r="T70" s="69">
        <f t="shared" si="36"/>
        <v>0</v>
      </c>
      <c r="U70" s="69">
        <f t="shared" si="36"/>
        <v>0</v>
      </c>
      <c r="V70" s="69">
        <f t="shared" si="37"/>
        <v>2.2744157</v>
      </c>
      <c r="X70" s="69">
        <f t="shared" si="38"/>
        <v>2.2744157</v>
      </c>
      <c r="Z70" s="69">
        <f t="shared" si="39"/>
        <v>8.9391584000000002</v>
      </c>
      <c r="AA70" s="69">
        <f t="shared" si="40"/>
        <v>9.3317245</v>
      </c>
      <c r="AB70" s="69">
        <f t="shared" si="41"/>
        <v>12.309056399999999</v>
      </c>
      <c r="AC70" s="69">
        <f t="shared" si="42"/>
        <v>16.676484550000001</v>
      </c>
      <c r="AD70" s="69">
        <f t="shared" si="43"/>
        <v>47.256423850000004</v>
      </c>
    </row>
    <row r="71" spans="1:32">
      <c r="A71" s="78" t="s">
        <v>59</v>
      </c>
      <c r="B71" s="73"/>
      <c r="C71" s="73"/>
      <c r="D71" s="73"/>
      <c r="E71" s="70">
        <f>[26]Act!D206</f>
        <v>-1.9535469999999999</v>
      </c>
      <c r="F71" s="70">
        <f>[26]Act!E206</f>
        <v>-5.487479999999989E-2</v>
      </c>
      <c r="G71" s="69">
        <f>[26]Act!F206</f>
        <v>0</v>
      </c>
      <c r="H71" s="69">
        <f>[26]Act!G206</f>
        <v>0</v>
      </c>
      <c r="I71" s="69">
        <f>[26]Act!H206</f>
        <v>0</v>
      </c>
      <c r="J71" s="69">
        <f>[26]Act!I206</f>
        <v>0</v>
      </c>
      <c r="K71" s="69">
        <f>[26]Act!J206</f>
        <v>0</v>
      </c>
      <c r="L71" s="69">
        <f>[26]Act!K206</f>
        <v>0</v>
      </c>
      <c r="M71" s="69">
        <f>[26]Act!L206</f>
        <v>0</v>
      </c>
      <c r="N71" s="69">
        <f>[26]Act!M206</f>
        <v>0</v>
      </c>
      <c r="O71" s="69">
        <f>[26]Act!N206</f>
        <v>0</v>
      </c>
      <c r="P71" s="69">
        <f>[26]Act!O206</f>
        <v>0</v>
      </c>
      <c r="Q71" s="119">
        <f t="shared" si="35"/>
        <v>-2.0084217999999998</v>
      </c>
      <c r="S71" s="69">
        <f t="shared" si="36"/>
        <v>-1.9535469999999999</v>
      </c>
      <c r="T71" s="69">
        <f t="shared" si="36"/>
        <v>0</v>
      </c>
      <c r="U71" s="69">
        <f t="shared" si="36"/>
        <v>0</v>
      </c>
      <c r="V71" s="69">
        <f t="shared" si="37"/>
        <v>-1.9535469999999999</v>
      </c>
      <c r="X71" s="69">
        <f t="shared" si="38"/>
        <v>-1.9535469999999999</v>
      </c>
      <c r="Z71" s="69">
        <f t="shared" si="39"/>
        <v>-2.0084217999999998</v>
      </c>
      <c r="AA71" s="69">
        <f t="shared" si="40"/>
        <v>0</v>
      </c>
      <c r="AB71" s="69">
        <f t="shared" si="41"/>
        <v>0</v>
      </c>
      <c r="AC71" s="69">
        <f t="shared" si="42"/>
        <v>0</v>
      </c>
      <c r="AD71" s="69">
        <f t="shared" si="43"/>
        <v>-2.0084217999999998</v>
      </c>
    </row>
    <row r="72" spans="1:32">
      <c r="A72" s="78" t="s">
        <v>60</v>
      </c>
      <c r="B72" s="96"/>
      <c r="C72" s="96"/>
      <c r="D72" s="97"/>
      <c r="E72" s="70">
        <f>'[7]New KPI 2+10'!F344</f>
        <v>0.14099999999999999</v>
      </c>
      <c r="F72" s="70">
        <f>'[7]New KPI 2+10'!G344</f>
        <v>0.92700000000000005</v>
      </c>
      <c r="G72" s="69">
        <f>'[7]New KPI 2+10'!H344</f>
        <v>0.48115999999999998</v>
      </c>
      <c r="H72" s="69">
        <f>'[7]New KPI 2+10'!I344</f>
        <v>0.51815999999999995</v>
      </c>
      <c r="I72" s="69">
        <f>'[7]New KPI 2+10'!J344</f>
        <v>0.55915999999999999</v>
      </c>
      <c r="J72" s="701">
        <f>'[7]New KPI 2+10'!K344</f>
        <v>0.60416000000000003</v>
      </c>
      <c r="K72" s="69">
        <f>'[7]New KPI 2+10'!L344</f>
        <v>0.65315999999999996</v>
      </c>
      <c r="L72" s="69">
        <f>'[7]New KPI 2+10'!M344</f>
        <v>0.70616000000000001</v>
      </c>
      <c r="M72" s="69">
        <f>'[7]New KPI 2+10'!N344</f>
        <v>0.76215999999999995</v>
      </c>
      <c r="N72" s="69">
        <f>'[7]New KPI 2+10'!O344</f>
        <v>0.82316</v>
      </c>
      <c r="O72" s="69">
        <f>'[7]New KPI 2+10'!P344</f>
        <v>0.88715999999999995</v>
      </c>
      <c r="P72" s="69">
        <f>'[7]New KPI 2+10'!Q344</f>
        <v>0.95516000000000001</v>
      </c>
      <c r="Q72" s="119">
        <f t="shared" si="35"/>
        <v>8.0175999999999981</v>
      </c>
      <c r="S72" s="69">
        <f t="shared" si="36"/>
        <v>0.14099999999999999</v>
      </c>
      <c r="T72" s="69">
        <f t="shared" si="36"/>
        <v>0</v>
      </c>
      <c r="U72" s="69">
        <f t="shared" si="36"/>
        <v>0</v>
      </c>
      <c r="V72" s="69">
        <f t="shared" si="37"/>
        <v>0.14099999999999999</v>
      </c>
      <c r="X72" s="69">
        <f t="shared" si="38"/>
        <v>0.14099999999999999</v>
      </c>
      <c r="Z72" s="69">
        <f t="shared" si="39"/>
        <v>1.5491600000000001</v>
      </c>
      <c r="AA72" s="69">
        <f t="shared" si="40"/>
        <v>1.6814799999999999</v>
      </c>
      <c r="AB72" s="69">
        <f t="shared" si="41"/>
        <v>2.12148</v>
      </c>
      <c r="AC72" s="69">
        <f t="shared" si="42"/>
        <v>2.6654799999999996</v>
      </c>
      <c r="AD72" s="69">
        <f t="shared" si="43"/>
        <v>8.0175999999999998</v>
      </c>
    </row>
    <row r="73" spans="1:32" ht="15.95" customHeight="1">
      <c r="A73" s="78" t="s">
        <v>262</v>
      </c>
      <c r="B73" s="96"/>
      <c r="C73" s="96"/>
      <c r="D73" s="97"/>
      <c r="E73" s="70">
        <f>'[27]New KPI Actual'!F45</f>
        <v>2.2546439973448797</v>
      </c>
      <c r="F73" s="70">
        <f>'[27]New KPI Actual'!G45</f>
        <v>2.2359900205328698</v>
      </c>
      <c r="G73" s="70">
        <f>'[27]New KPI Actual'!H45</f>
        <v>1.6530742662997739</v>
      </c>
      <c r="H73" s="70">
        <f>'[27]New KPI Actual'!I45</f>
        <v>1.6530742662997739</v>
      </c>
      <c r="I73" s="70">
        <f>'[27]New KPI Actual'!J45</f>
        <v>1.6530742662997739</v>
      </c>
      <c r="J73" s="70">
        <f>'[27]New KPI Actual'!K45</f>
        <v>1.6530742662997739</v>
      </c>
      <c r="K73" s="70">
        <f>'[27]New KPI Actual'!L45</f>
        <v>1.6530742662997739</v>
      </c>
      <c r="L73" s="70">
        <f>'[27]New KPI Actual'!M45</f>
        <v>1.6530742662997739</v>
      </c>
      <c r="M73" s="70">
        <f>'[27]New KPI Actual'!N45</f>
        <v>1.6530742662997739</v>
      </c>
      <c r="N73" s="70">
        <f>'[27]New KPI Actual'!O45</f>
        <v>1.6530742662997739</v>
      </c>
      <c r="O73" s="70">
        <f>'[27]New KPI Actual'!P45</f>
        <v>1.6530742662997739</v>
      </c>
      <c r="P73" s="70">
        <f>'[27]New KPI Actual'!Q45</f>
        <v>1.6530742662997739</v>
      </c>
      <c r="Q73" s="119">
        <f t="shared" si="35"/>
        <v>21.021376680875491</v>
      </c>
      <c r="S73" s="69">
        <f t="shared" si="36"/>
        <v>2.2546439973448797</v>
      </c>
      <c r="T73" s="69">
        <f t="shared" si="36"/>
        <v>0</v>
      </c>
      <c r="U73" s="69">
        <f t="shared" si="36"/>
        <v>0</v>
      </c>
      <c r="V73" s="69">
        <f t="shared" si="37"/>
        <v>2.2546439973448797</v>
      </c>
      <c r="X73" s="69">
        <f t="shared" si="38"/>
        <v>2.2546439973448797</v>
      </c>
      <c r="Z73" s="69">
        <f t="shared" si="39"/>
        <v>6.1437082841775226</v>
      </c>
      <c r="AA73" s="69">
        <f t="shared" si="40"/>
        <v>4.9592227988993223</v>
      </c>
      <c r="AB73" s="69">
        <f t="shared" si="41"/>
        <v>4.9592227988993223</v>
      </c>
      <c r="AC73" s="69">
        <f t="shared" si="42"/>
        <v>4.9592227988993223</v>
      </c>
      <c r="AD73" s="69">
        <f t="shared" si="43"/>
        <v>21.021376680875488</v>
      </c>
    </row>
    <row r="74" spans="1:32" ht="15.95" customHeight="1">
      <c r="A74" s="78" t="s">
        <v>425</v>
      </c>
      <c r="B74" s="96"/>
      <c r="C74" s="96"/>
      <c r="D74" s="97"/>
      <c r="E74" s="70">
        <v>0</v>
      </c>
      <c r="F74" s="70">
        <v>0</v>
      </c>
      <c r="G74" s="70">
        <v>0</v>
      </c>
      <c r="H74" s="70">
        <v>0</v>
      </c>
      <c r="I74" s="70">
        <v>0</v>
      </c>
      <c r="J74" s="70">
        <v>0</v>
      </c>
      <c r="K74" s="70">
        <v>0</v>
      </c>
      <c r="L74" s="70">
        <v>0</v>
      </c>
      <c r="M74" s="70">
        <v>0</v>
      </c>
      <c r="N74" s="70">
        <v>0</v>
      </c>
      <c r="O74" s="70">
        <v>0</v>
      </c>
      <c r="P74" s="70">
        <v>0</v>
      </c>
      <c r="Q74" s="119">
        <f t="shared" si="35"/>
        <v>0</v>
      </c>
      <c r="S74" s="69">
        <f t="shared" si="36"/>
        <v>0</v>
      </c>
      <c r="T74" s="69">
        <f t="shared" si="36"/>
        <v>0</v>
      </c>
      <c r="U74" s="69">
        <f t="shared" si="36"/>
        <v>0</v>
      </c>
      <c r="V74" s="69">
        <f>SUM(S74:U74)</f>
        <v>0</v>
      </c>
      <c r="X74" s="69">
        <f t="shared" si="38"/>
        <v>0</v>
      </c>
      <c r="Z74" s="69">
        <f>SUM(E74:G74)</f>
        <v>0</v>
      </c>
      <c r="AA74" s="69">
        <f>SUM(H74:J74)</f>
        <v>0</v>
      </c>
      <c r="AB74" s="69">
        <f>SUM(K74:M74)</f>
        <v>0</v>
      </c>
      <c r="AC74" s="69">
        <f>SUM(N74:P74)</f>
        <v>0</v>
      </c>
      <c r="AD74" s="69">
        <f>SUM(Z74:AC74)</f>
        <v>0</v>
      </c>
      <c r="AF74" s="69">
        <f>AA74-Z74</f>
        <v>0</v>
      </c>
    </row>
    <row r="75" spans="1:32" ht="15.95" customHeight="1">
      <c r="A75" s="78" t="s">
        <v>423</v>
      </c>
      <c r="B75" s="96"/>
      <c r="C75" s="96"/>
      <c r="D75" s="97"/>
      <c r="E75" s="70">
        <f>[7]Relief!E98</f>
        <v>0</v>
      </c>
      <c r="F75" s="70">
        <f>[7]Relief!F98</f>
        <v>0</v>
      </c>
      <c r="G75" s="70">
        <f>[7]Relief!G98</f>
        <v>0</v>
      </c>
      <c r="H75" s="70">
        <f>[7]Relief!H98</f>
        <v>0</v>
      </c>
      <c r="I75" s="70">
        <f>[7]Relief!I98</f>
        <v>0</v>
      </c>
      <c r="J75" s="701">
        <f>[7]Relief!J98</f>
        <v>0</v>
      </c>
      <c r="K75" s="70">
        <f>[7]Relief!K98</f>
        <v>0</v>
      </c>
      <c r="L75" s="70">
        <f>[7]Relief!L98</f>
        <v>0</v>
      </c>
      <c r="M75" s="70">
        <f>[7]Relief!M98</f>
        <v>0</v>
      </c>
      <c r="N75" s="70">
        <f>[7]Relief!N98</f>
        <v>0</v>
      </c>
      <c r="O75" s="70">
        <f>[7]Relief!O98</f>
        <v>0</v>
      </c>
      <c r="P75" s="70">
        <f>[7]Relief!P98</f>
        <v>0</v>
      </c>
      <c r="Q75" s="119">
        <f t="shared" si="35"/>
        <v>0</v>
      </c>
      <c r="S75" s="69">
        <f t="shared" si="36"/>
        <v>0</v>
      </c>
      <c r="T75" s="69">
        <f t="shared" si="36"/>
        <v>0</v>
      </c>
      <c r="U75" s="69">
        <f t="shared" si="36"/>
        <v>0</v>
      </c>
      <c r="V75" s="69">
        <f t="shared" si="37"/>
        <v>0</v>
      </c>
      <c r="X75" s="69">
        <f t="shared" si="38"/>
        <v>0</v>
      </c>
      <c r="Z75" s="69">
        <f t="shared" si="39"/>
        <v>0</v>
      </c>
      <c r="AA75" s="69">
        <f t="shared" si="40"/>
        <v>0</v>
      </c>
      <c r="AB75" s="69">
        <f t="shared" si="41"/>
        <v>0</v>
      </c>
      <c r="AC75" s="69">
        <f t="shared" si="42"/>
        <v>0</v>
      </c>
      <c r="AD75" s="69">
        <f t="shared" si="43"/>
        <v>0</v>
      </c>
    </row>
    <row r="76" spans="1:32" ht="15.95" customHeight="1">
      <c r="A76" s="78" t="s">
        <v>424</v>
      </c>
      <c r="B76" s="96"/>
      <c r="C76" s="96"/>
      <c r="D76" s="97"/>
      <c r="E76" s="70">
        <f>[7]Relief!E93</f>
        <v>0</v>
      </c>
      <c r="F76" s="70">
        <f>[7]Relief!F93</f>
        <v>0</v>
      </c>
      <c r="G76" s="70">
        <f>[7]Relief!G93</f>
        <v>0</v>
      </c>
      <c r="H76" s="70">
        <f>[7]Relief!H93</f>
        <v>0</v>
      </c>
      <c r="I76" s="70">
        <f>[7]Relief!I93</f>
        <v>0</v>
      </c>
      <c r="J76" s="701">
        <f>[7]Relief!J93</f>
        <v>0</v>
      </c>
      <c r="K76" s="70">
        <f>[7]Relief!K93</f>
        <v>0</v>
      </c>
      <c r="L76" s="70">
        <f>[7]Relief!L93</f>
        <v>0</v>
      </c>
      <c r="M76" s="70">
        <f>[7]Relief!M93</f>
        <v>0</v>
      </c>
      <c r="N76" s="70">
        <f>[7]Relief!N93</f>
        <v>0</v>
      </c>
      <c r="O76" s="70">
        <f>[7]Relief!O93</f>
        <v>0</v>
      </c>
      <c r="P76" s="70">
        <f>[7]Relief!P93</f>
        <v>0</v>
      </c>
      <c r="Q76" s="119">
        <f t="shared" si="35"/>
        <v>0</v>
      </c>
      <c r="S76" s="69">
        <f t="shared" si="36"/>
        <v>0</v>
      </c>
      <c r="T76" s="69">
        <f t="shared" si="36"/>
        <v>0</v>
      </c>
      <c r="U76" s="69">
        <f t="shared" si="36"/>
        <v>0</v>
      </c>
      <c r="V76" s="69">
        <f>SUM(S76:U76)</f>
        <v>0</v>
      </c>
      <c r="X76" s="69">
        <f>SUMIF($E$2:$P$2,1,E76:P76)</f>
        <v>0</v>
      </c>
      <c r="Z76" s="69">
        <f>SUM(E76:G76)</f>
        <v>0</v>
      </c>
      <c r="AA76" s="69">
        <f>SUM(H76:J76)</f>
        <v>0</v>
      </c>
      <c r="AB76" s="69">
        <f>SUM(K76:M76)</f>
        <v>0</v>
      </c>
      <c r="AC76" s="69">
        <f>SUM(N76:P76)</f>
        <v>0</v>
      </c>
      <c r="AD76" s="69">
        <f>SUM(Z76:AC76)</f>
        <v>0</v>
      </c>
    </row>
    <row r="77" spans="1:32" ht="15.95" customHeight="1">
      <c r="A77" s="78" t="s">
        <v>421</v>
      </c>
      <c r="B77" s="96"/>
      <c r="C77" s="96"/>
      <c r="D77" s="97"/>
      <c r="E77" s="662">
        <f>[7]Relief!E94</f>
        <v>0</v>
      </c>
      <c r="F77" s="662">
        <f>[7]Relief!F94</f>
        <v>0</v>
      </c>
      <c r="G77" s="662">
        <f>[7]Relief!G94</f>
        <v>0</v>
      </c>
      <c r="H77" s="662">
        <f>[7]Relief!H94</f>
        <v>0</v>
      </c>
      <c r="I77" s="662">
        <f>[7]Relief!I94</f>
        <v>0</v>
      </c>
      <c r="J77" s="702">
        <f>[7]Relief!J94</f>
        <v>0</v>
      </c>
      <c r="K77" s="662">
        <f>[7]Relief!K94</f>
        <v>0</v>
      </c>
      <c r="L77" s="662">
        <f>[7]Relief!L94</f>
        <v>0</v>
      </c>
      <c r="M77" s="662">
        <f>[7]Relief!M94</f>
        <v>0</v>
      </c>
      <c r="N77" s="662">
        <f>[7]Relief!N94</f>
        <v>0</v>
      </c>
      <c r="O77" s="662">
        <f>[7]Relief!O94</f>
        <v>0</v>
      </c>
      <c r="P77" s="662">
        <f>[7]Relief!P94</f>
        <v>0</v>
      </c>
      <c r="Q77" s="119">
        <f t="shared" si="35"/>
        <v>0</v>
      </c>
      <c r="S77" s="69">
        <f t="shared" si="36"/>
        <v>0</v>
      </c>
      <c r="T77" s="69">
        <f t="shared" si="36"/>
        <v>0</v>
      </c>
      <c r="U77" s="69">
        <f t="shared" si="36"/>
        <v>0</v>
      </c>
      <c r="V77" s="69">
        <f>SUM(S77:U77)</f>
        <v>0</v>
      </c>
      <c r="X77" s="69">
        <f>SUMIF($E$2:$P$2,1,E77:P77)</f>
        <v>0</v>
      </c>
      <c r="Z77" s="69">
        <f>SUM(E77:G77)</f>
        <v>0</v>
      </c>
      <c r="AA77" s="69">
        <f>SUM(H77:J77)</f>
        <v>0</v>
      </c>
      <c r="AB77" s="69">
        <f>SUM(K77:M77)</f>
        <v>0</v>
      </c>
      <c r="AC77" s="69">
        <f>SUM(N77:P77)</f>
        <v>0</v>
      </c>
      <c r="AD77" s="69">
        <f>SUM(Z77:AC77)</f>
        <v>0</v>
      </c>
    </row>
    <row r="78" spans="1:32" ht="15.95" customHeight="1">
      <c r="A78" s="376"/>
      <c r="B78" s="60"/>
      <c r="C78" s="60"/>
      <c r="D78" s="60"/>
      <c r="E78" s="377"/>
      <c r="F78" s="377"/>
      <c r="G78" s="377"/>
      <c r="H78" s="377"/>
      <c r="I78" s="377"/>
      <c r="J78" s="377"/>
      <c r="K78" s="377"/>
      <c r="L78" s="377"/>
      <c r="M78" s="377"/>
      <c r="N78" s="377"/>
      <c r="O78" s="377"/>
      <c r="P78" s="377"/>
      <c r="Q78" s="638"/>
      <c r="S78" s="378"/>
      <c r="T78" s="378"/>
      <c r="U78" s="378"/>
      <c r="V78" s="378"/>
      <c r="X78" s="378"/>
      <c r="Z78" s="378"/>
      <c r="AA78" s="378"/>
      <c r="AB78" s="378"/>
      <c r="AC78" s="378"/>
      <c r="AD78" s="378"/>
    </row>
    <row r="79" spans="1:32" ht="15.95" customHeight="1">
      <c r="A79" s="376"/>
      <c r="B79" s="60"/>
      <c r="C79" s="60"/>
      <c r="D79" s="60"/>
      <c r="E79" s="377"/>
      <c r="F79" s="377"/>
      <c r="G79" s="377"/>
      <c r="H79" s="377"/>
      <c r="I79" s="377"/>
      <c r="J79" s="377"/>
      <c r="K79" s="377"/>
      <c r="L79" s="377"/>
      <c r="M79" s="377"/>
      <c r="N79" s="377"/>
      <c r="O79" s="377"/>
      <c r="P79" s="377"/>
      <c r="Q79" s="638"/>
      <c r="S79" s="378"/>
      <c r="T79" s="378"/>
      <c r="U79" s="378"/>
      <c r="V79" s="378"/>
      <c r="X79" s="378"/>
      <c r="Z79" s="378"/>
      <c r="AA79" s="378"/>
      <c r="AB79" s="378"/>
      <c r="AC79" s="378"/>
      <c r="AD79" s="378"/>
    </row>
    <row r="80" spans="1:32" ht="15.95" customHeight="1">
      <c r="A80" s="376"/>
      <c r="B80" s="60"/>
      <c r="C80" s="60"/>
      <c r="D80" s="60"/>
      <c r="E80" s="377"/>
      <c r="F80" s="377"/>
      <c r="G80" s="377"/>
      <c r="H80" s="377"/>
      <c r="I80" s="377"/>
      <c r="J80" s="377"/>
      <c r="K80" s="377"/>
      <c r="L80" s="377"/>
      <c r="M80" s="377"/>
      <c r="N80" s="377"/>
      <c r="O80" s="377"/>
      <c r="P80" s="377"/>
      <c r="Q80" s="366"/>
      <c r="S80" s="378"/>
      <c r="T80" s="378"/>
      <c r="U80" s="378"/>
      <c r="V80" s="378"/>
      <c r="X80" s="378"/>
      <c r="Z80" s="378"/>
      <c r="AA80" s="378"/>
      <c r="AB80" s="378"/>
      <c r="AC80" s="378"/>
      <c r="AD80" s="378"/>
    </row>
    <row r="81" spans="1:30">
      <c r="A81" s="94"/>
      <c r="B81" s="94"/>
      <c r="C81" s="94"/>
      <c r="D81" s="103" t="s">
        <v>61</v>
      </c>
      <c r="E81" s="98" t="e">
        <f>E46-SUM(E62:E77)-E54</f>
        <v>#VALUE!</v>
      </c>
      <c r="F81" s="98" t="e">
        <f t="shared" ref="F81:P81" si="44">F46-SUM(F62:F77)-F54</f>
        <v>#VALUE!</v>
      </c>
      <c r="G81" s="98" t="e">
        <f t="shared" si="44"/>
        <v>#VALUE!</v>
      </c>
      <c r="H81" s="98" t="e">
        <f t="shared" si="44"/>
        <v>#VALUE!</v>
      </c>
      <c r="I81" s="98" t="e">
        <f t="shared" si="44"/>
        <v>#VALUE!</v>
      </c>
      <c r="J81" s="98" t="e">
        <f t="shared" si="44"/>
        <v>#VALUE!</v>
      </c>
      <c r="K81" s="98" t="e">
        <f t="shared" si="44"/>
        <v>#VALUE!</v>
      </c>
      <c r="L81" s="98" t="e">
        <f t="shared" si="44"/>
        <v>#VALUE!</v>
      </c>
      <c r="M81" s="98" t="e">
        <f t="shared" si="44"/>
        <v>#VALUE!</v>
      </c>
      <c r="N81" s="98" t="e">
        <f t="shared" si="44"/>
        <v>#VALUE!</v>
      </c>
      <c r="O81" s="98" t="e">
        <f t="shared" si="44"/>
        <v>#VALUE!</v>
      </c>
      <c r="P81" s="98" t="e">
        <f t="shared" si="44"/>
        <v>#VALUE!</v>
      </c>
      <c r="Q81" s="98" t="e">
        <f>Q46-SUM(Q62:Q77)-Q54</f>
        <v>#VALUE!</v>
      </c>
      <c r="S81" s="98" t="e">
        <f>S46-SUM(S62:S77)-S54</f>
        <v>#VALUE!</v>
      </c>
      <c r="T81" s="98">
        <f>T46-SUM(T62:T77)-T54</f>
        <v>0</v>
      </c>
      <c r="U81" s="98">
        <f>U46-SUM(U62:U77)-U54</f>
        <v>0</v>
      </c>
      <c r="V81" s="98" t="e">
        <f>V46-SUM(V62:V77)-V54</f>
        <v>#VALUE!</v>
      </c>
      <c r="X81" s="98" t="e">
        <f>X46-SUM(X62:X77)-X54</f>
        <v>#VALUE!</v>
      </c>
      <c r="Z81" s="98" t="e">
        <f>Z46-SUM(Z62:Z77)-Z54</f>
        <v>#VALUE!</v>
      </c>
      <c r="AA81" s="98" t="e">
        <f>AA46-SUM(AA62:AA77)-AA54</f>
        <v>#VALUE!</v>
      </c>
      <c r="AB81" s="98" t="e">
        <f>AB46-SUM(AB62:AB77)-AB54</f>
        <v>#VALUE!</v>
      </c>
      <c r="AC81" s="98" t="e">
        <f>AC46-SUM(AC62:AC77)-AC54</f>
        <v>#VALUE!</v>
      </c>
      <c r="AD81" s="98" t="e">
        <f>AD46-SUM(AD62:AD77)-AD54</f>
        <v>#VALUE!</v>
      </c>
    </row>
    <row r="82" spans="1:30">
      <c r="A82" s="94"/>
      <c r="B82" s="94"/>
      <c r="C82" s="94"/>
      <c r="D82" s="103" t="s">
        <v>62</v>
      </c>
      <c r="E82" s="98" t="e">
        <f>E26-SUM(E62:E63,E65:E70,E72)</f>
        <v>#VALUE!</v>
      </c>
      <c r="F82" s="98" t="e">
        <f t="shared" ref="F82:P82" si="45">F26-SUM(F62:F63,F65:F70,F72)</f>
        <v>#VALUE!</v>
      </c>
      <c r="G82" s="98" t="e">
        <f t="shared" si="45"/>
        <v>#VALUE!</v>
      </c>
      <c r="H82" s="98" t="e">
        <f t="shared" si="45"/>
        <v>#VALUE!</v>
      </c>
      <c r="I82" s="98" t="e">
        <f t="shared" si="45"/>
        <v>#VALUE!</v>
      </c>
      <c r="J82" s="98" t="e">
        <f t="shared" si="45"/>
        <v>#VALUE!</v>
      </c>
      <c r="K82" s="98" t="e">
        <f t="shared" si="45"/>
        <v>#VALUE!</v>
      </c>
      <c r="L82" s="98" t="e">
        <f t="shared" si="45"/>
        <v>#VALUE!</v>
      </c>
      <c r="M82" s="98" t="e">
        <f t="shared" si="45"/>
        <v>#VALUE!</v>
      </c>
      <c r="N82" s="98" t="e">
        <f t="shared" si="45"/>
        <v>#VALUE!</v>
      </c>
      <c r="O82" s="98" t="e">
        <f t="shared" si="45"/>
        <v>#VALUE!</v>
      </c>
      <c r="P82" s="98" t="e">
        <f t="shared" si="45"/>
        <v>#VALUE!</v>
      </c>
      <c r="Q82" s="98" t="e">
        <f>Q26-SUM(Q62:Q63,Q65:Q70,Q72)</f>
        <v>#VALUE!</v>
      </c>
      <c r="S82" s="98" t="e">
        <f>S26-SUM(S62:S63,S65:S70,S72)</f>
        <v>#VALUE!</v>
      </c>
      <c r="T82" s="98">
        <f>T26-SUM(T62:T63,T65:T70,T72)</f>
        <v>0</v>
      </c>
      <c r="U82" s="98">
        <f>U26-SUM(U62:U63,U65:U70,U72)</f>
        <v>0</v>
      </c>
      <c r="V82" s="98" t="e">
        <f>V26-SUM(V62:V63,V65:V70,V72)</f>
        <v>#VALUE!</v>
      </c>
      <c r="X82" s="98" t="e">
        <f>X26-SUM(X62:X63,X65:X70,X72)</f>
        <v>#VALUE!</v>
      </c>
      <c r="Z82" s="98" t="e">
        <f>Z26-SUM(Z62:Z63,Z65:Z70,Z72)</f>
        <v>#VALUE!</v>
      </c>
      <c r="AA82" s="98" t="e">
        <f>AA26-SUM(AA62:AA63,AA65:AA70,AA72)</f>
        <v>#VALUE!</v>
      </c>
      <c r="AB82" s="98" t="e">
        <f>AB26-SUM(AB62:AB63,AB65:AB70,AB72)</f>
        <v>#VALUE!</v>
      </c>
      <c r="AC82" s="98" t="e">
        <f>AC26-SUM(AC62:AC63,AC65:AC70,AC72)</f>
        <v>#VALUE!</v>
      </c>
      <c r="AD82" s="98" t="e">
        <f>AD26-SUM(AD62:AD63,AD65:AD70,AD72)</f>
        <v>#VALUE!</v>
      </c>
    </row>
    <row r="83" spans="1:30">
      <c r="A83" s="94"/>
      <c r="B83" s="94"/>
      <c r="C83" s="94"/>
      <c r="D83" s="103" t="s">
        <v>63</v>
      </c>
      <c r="E83" s="98">
        <f>E45-E64-E71-E73-E75-E76-E77-E74</f>
        <v>-134.40743371800002</v>
      </c>
      <c r="F83" s="98">
        <f t="shared" ref="F83:P83" si="46">F45-F64-F71-F73-F75-F76-F77-F74</f>
        <v>-97.017769971999982</v>
      </c>
      <c r="G83" s="98">
        <f t="shared" si="46"/>
        <v>-121.00001504111125</v>
      </c>
      <c r="H83" s="98">
        <f t="shared" si="46"/>
        <v>-111.10750006374192</v>
      </c>
      <c r="I83" s="98">
        <f t="shared" si="46"/>
        <v>-97.271211916486195</v>
      </c>
      <c r="J83" s="98">
        <f t="shared" si="46"/>
        <v>-137.71295022869748</v>
      </c>
      <c r="K83" s="98">
        <f t="shared" si="46"/>
        <v>-128.80735617714461</v>
      </c>
      <c r="L83" s="98">
        <f t="shared" si="46"/>
        <v>-132.83013597673917</v>
      </c>
      <c r="M83" s="98">
        <f t="shared" si="46"/>
        <v>-115.36948667357686</v>
      </c>
      <c r="N83" s="98">
        <f t="shared" si="46"/>
        <v>-117.65066430440453</v>
      </c>
      <c r="O83" s="98">
        <f t="shared" si="46"/>
        <v>-112.5499704018652</v>
      </c>
      <c r="P83" s="98">
        <f t="shared" si="46"/>
        <v>-123.81437811881182</v>
      </c>
      <c r="Q83" s="98">
        <f>Q45-Q64-Q71-Q73-Q75-Q76-Q77-Q74</f>
        <v>-1429.5388725925789</v>
      </c>
      <c r="S83" s="98">
        <f>S45-S64-S71-S73-S75-S76-S77-S74</f>
        <v>-134.40743371800002</v>
      </c>
      <c r="T83" s="98">
        <f>T45-T64-T71-T73-T75-T76-T77-T74</f>
        <v>0</v>
      </c>
      <c r="U83" s="98">
        <f>U45-U64-U71-U73-U75-U76-U77-U74</f>
        <v>0</v>
      </c>
      <c r="V83" s="98">
        <f>V45-V64-V71-V73-V75-V76-V77-V74</f>
        <v>-134.40743371800002</v>
      </c>
      <c r="X83" s="98">
        <f>X45-X64-X71-X73-X75-X76-X77-X74</f>
        <v>-134.40743371800002</v>
      </c>
      <c r="Z83" s="98">
        <f>Z45-Z64-Z71-Z73-Z75-Z76-Z77-Z74</f>
        <v>-352.42521873111127</v>
      </c>
      <c r="AA83" s="98">
        <f>AA45-AA64-AA71-AA73-AA75-AA76-AA77-AA74</f>
        <v>-346.0916622089257</v>
      </c>
      <c r="AB83" s="98">
        <f>AB45-AB64-AB71-AB73-AB75-AB76-AB77-AB74</f>
        <v>-377.00697882746061</v>
      </c>
      <c r="AC83" s="98">
        <f>AC45-AC64-AC71-AC73-AC75-AC76-AC77-AC74</f>
        <v>-354.0150128250815</v>
      </c>
      <c r="AD83" s="98">
        <f>AD45-AD64-AD71-AD73-AD75-AD76-AD77-AD74</f>
        <v>-1429.5388725925791</v>
      </c>
    </row>
    <row r="84" spans="1:30">
      <c r="A84" s="2"/>
      <c r="B84" s="2"/>
      <c r="C84" s="2"/>
      <c r="D84" s="104" t="s">
        <v>64</v>
      </c>
      <c r="E84" s="99" t="e">
        <f>SUM(E82:E83)-E54</f>
        <v>#VALUE!</v>
      </c>
      <c r="F84" s="99" t="e">
        <f t="shared" ref="F84:P84" si="47">SUM(F82:F83)-F54</f>
        <v>#VALUE!</v>
      </c>
      <c r="G84" s="99" t="e">
        <f t="shared" si="47"/>
        <v>#VALUE!</v>
      </c>
      <c r="H84" s="99" t="e">
        <f t="shared" si="47"/>
        <v>#VALUE!</v>
      </c>
      <c r="I84" s="99" t="e">
        <f t="shared" si="47"/>
        <v>#VALUE!</v>
      </c>
      <c r="J84" s="99" t="e">
        <f t="shared" si="47"/>
        <v>#VALUE!</v>
      </c>
      <c r="K84" s="99" t="e">
        <f t="shared" si="47"/>
        <v>#VALUE!</v>
      </c>
      <c r="L84" s="99" t="e">
        <f t="shared" si="47"/>
        <v>#VALUE!</v>
      </c>
      <c r="M84" s="99" t="e">
        <f t="shared" si="47"/>
        <v>#VALUE!</v>
      </c>
      <c r="N84" s="99" t="e">
        <f t="shared" si="47"/>
        <v>#VALUE!</v>
      </c>
      <c r="O84" s="99" t="e">
        <f t="shared" si="47"/>
        <v>#VALUE!</v>
      </c>
      <c r="P84" s="99" t="e">
        <f t="shared" si="47"/>
        <v>#VALUE!</v>
      </c>
      <c r="Q84" s="99" t="e">
        <f>SUM(Q82:Q83)-Q54</f>
        <v>#VALUE!</v>
      </c>
      <c r="S84" s="99" t="e">
        <f>SUM(S82:S83)-S54</f>
        <v>#VALUE!</v>
      </c>
      <c r="T84" s="99">
        <f>SUM(T82:T83)-T54</f>
        <v>0</v>
      </c>
      <c r="U84" s="99">
        <f>SUM(U82:U83)-U54</f>
        <v>0</v>
      </c>
      <c r="V84" s="99" t="e">
        <f>SUM(V82:V83)-V54</f>
        <v>#VALUE!</v>
      </c>
      <c r="X84" s="99" t="e">
        <f>SUM(X82:X83)-X54</f>
        <v>#VALUE!</v>
      </c>
      <c r="Z84" s="99" t="e">
        <f>SUM(Z82:Z83)-Z54</f>
        <v>#VALUE!</v>
      </c>
      <c r="AA84" s="99" t="e">
        <f>SUM(AA82:AA83)-AA54</f>
        <v>#VALUE!</v>
      </c>
      <c r="AB84" s="99" t="e">
        <f>SUM(AB82:AB83)-AB54</f>
        <v>#VALUE!</v>
      </c>
      <c r="AC84" s="99" t="e">
        <f>SUM(AC82:AC83)-AC54</f>
        <v>#VALUE!</v>
      </c>
      <c r="AD84" s="99" t="e">
        <f>SUM(AD82:AD83)-AD54</f>
        <v>#VALUE!</v>
      </c>
    </row>
    <row r="86" spans="1:30">
      <c r="E86" s="121"/>
      <c r="F86" s="121"/>
      <c r="G86" s="121"/>
      <c r="H86" s="121"/>
      <c r="I86" s="121"/>
      <c r="J86" s="121"/>
      <c r="K86" s="121"/>
      <c r="L86" s="121"/>
      <c r="M86" s="121"/>
      <c r="N86" s="121"/>
      <c r="O86" s="121"/>
      <c r="P86" s="121"/>
      <c r="Q86" s="121"/>
      <c r="R86" s="121"/>
    </row>
  </sheetData>
  <pageMargins left="0.7" right="0.7" top="0.75" bottom="0.75" header="0.3" footer="0.3"/>
  <customProperties>
    <customPr name="_pios_id" r:id="rId1"/>
    <customPr name="EpmWorksheetKeyString_GUID" r:id="rId2"/>
  </customPropertie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09FF9-09AD-4A27-A294-6225FE7E641A}">
  <sheetPr>
    <tabColor rgb="FF00B050"/>
  </sheetPr>
  <dimension ref="A1:AD81"/>
  <sheetViews>
    <sheetView showGridLines="0" zoomScale="70" zoomScaleNormal="7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O6" sqref="O6"/>
    </sheetView>
  </sheetViews>
  <sheetFormatPr defaultRowHeight="15" outlineLevelRow="1"/>
  <cols>
    <col min="1" max="1" width="2.140625" customWidth="1"/>
    <col min="2" max="2" width="11.42578125" customWidth="1"/>
    <col min="3" max="3" width="51.140625" bestFit="1" customWidth="1"/>
    <col min="4" max="4" width="12.85546875" bestFit="1" customWidth="1"/>
    <col min="5" max="9" width="9.42578125" bestFit="1" customWidth="1"/>
    <col min="10" max="10" width="10.140625" bestFit="1" customWidth="1"/>
    <col min="11" max="13" width="9.42578125" bestFit="1" customWidth="1"/>
    <col min="14" max="14" width="9.42578125" style="933" bestFit="1" customWidth="1"/>
    <col min="15" max="16" width="10.140625" bestFit="1" customWidth="1"/>
    <col min="17" max="17" width="11.5703125" bestFit="1" customWidth="1"/>
    <col min="19" max="19" width="9.42578125" bestFit="1" customWidth="1"/>
    <col min="20" max="22" width="11" bestFit="1" customWidth="1"/>
    <col min="24" max="24" width="11.140625" bestFit="1" customWidth="1"/>
    <col min="26" max="29" width="10.140625" bestFit="1" customWidth="1"/>
    <col min="30" max="30" width="11.5703125" bestFit="1" customWidth="1"/>
  </cols>
  <sheetData>
    <row r="1" spans="1:30">
      <c r="B1" s="214" t="str">
        <f>'[28]Summary month'!E2</f>
        <v>Feb</v>
      </c>
      <c r="E1" s="135">
        <v>2</v>
      </c>
      <c r="F1" s="135">
        <f>E1+1</f>
        <v>3</v>
      </c>
      <c r="G1" s="135">
        <f t="shared" ref="G1:P1" si="0">F1+1</f>
        <v>4</v>
      </c>
      <c r="H1" s="135">
        <f t="shared" si="0"/>
        <v>5</v>
      </c>
      <c r="I1" s="135">
        <f t="shared" si="0"/>
        <v>6</v>
      </c>
      <c r="J1" s="135">
        <f t="shared" si="0"/>
        <v>7</v>
      </c>
      <c r="K1" s="135">
        <f t="shared" si="0"/>
        <v>8</v>
      </c>
      <c r="L1" s="135">
        <f t="shared" si="0"/>
        <v>9</v>
      </c>
      <c r="M1" s="135">
        <f t="shared" si="0"/>
        <v>10</v>
      </c>
      <c r="N1" s="931">
        <f t="shared" si="0"/>
        <v>11</v>
      </c>
      <c r="O1" s="135">
        <f t="shared" si="0"/>
        <v>12</v>
      </c>
      <c r="P1" s="135">
        <f t="shared" si="0"/>
        <v>13</v>
      </c>
    </row>
    <row r="2" spans="1:30">
      <c r="A2" s="1" t="s">
        <v>0</v>
      </c>
      <c r="B2" s="1"/>
      <c r="C2" s="1"/>
      <c r="D2" s="136" t="s">
        <v>79</v>
      </c>
      <c r="E2" s="2">
        <f>VLOOKUP($B$1,[28]mapping!$C$15:$O$26,E$1,0)</f>
        <v>1</v>
      </c>
      <c r="F2" s="2">
        <f>VLOOKUP($B$1,[28]mapping!$C$15:$O$26,F$1,0)</f>
        <v>1</v>
      </c>
      <c r="G2" s="2">
        <f>VLOOKUP($B$1,[28]mapping!$C$15:$O$26,G$1,0)</f>
        <v>1</v>
      </c>
      <c r="H2" s="2">
        <f>VLOOKUP($B$1,[28]mapping!$C$15:$O$26,H$1,0)</f>
        <v>1</v>
      </c>
      <c r="I2" s="2">
        <f>VLOOKUP($B$1,[28]mapping!$C$15:$O$26,I$1,0)</f>
        <v>1</v>
      </c>
      <c r="J2" s="2">
        <f>VLOOKUP($B$1,[28]mapping!$C$15:$O$26,J$1,0)</f>
        <v>1</v>
      </c>
      <c r="K2" s="2">
        <f>VLOOKUP($B$1,[28]mapping!$C$15:$O$26,K$1,0)</f>
        <v>1</v>
      </c>
      <c r="L2" s="2">
        <f>VLOOKUP($B$1,[28]mapping!$C$15:$O$26,L$1,0)</f>
        <v>1</v>
      </c>
      <c r="M2" s="2">
        <f>VLOOKUP($B$1,[28]mapping!$C$15:$O$26,M$1,0)</f>
        <v>1</v>
      </c>
      <c r="N2" s="932">
        <f>VLOOKUP($B$1,[28]mapping!$C$15:$O$26,N$1,0)</f>
        <v>1</v>
      </c>
      <c r="O2" s="2">
        <f>VLOOKUP($B$1,[28]mapping!$C$15:$O$26,O$1,0)</f>
        <v>1</v>
      </c>
      <c r="P2" s="2">
        <f>VLOOKUP($B$1,[28]mapping!$C$15:$O$26,P$1,0)</f>
        <v>0</v>
      </c>
      <c r="S2" s="122"/>
      <c r="T2" s="122"/>
      <c r="U2" s="122"/>
      <c r="V2" s="122"/>
      <c r="Z2" s="122"/>
      <c r="AA2" s="122"/>
      <c r="AB2" s="122"/>
      <c r="AC2" s="122"/>
      <c r="AD2" s="122"/>
    </row>
    <row r="3" spans="1:30" ht="14.45" customHeight="1">
      <c r="A3" s="3" t="s">
        <v>1</v>
      </c>
      <c r="B3" s="4"/>
      <c r="C3" s="5"/>
      <c r="D3" s="5" t="s">
        <v>103</v>
      </c>
      <c r="E3" s="2">
        <f>VLOOKUP($B1,[28]mapping!$C$28:$O$39,E$1,0)</f>
        <v>0</v>
      </c>
      <c r="F3" s="2">
        <f>VLOOKUP($B1,[28]mapping!$C$28:$O$39,F$1,0)</f>
        <v>0</v>
      </c>
      <c r="G3" s="2">
        <f>VLOOKUP($B1,[28]mapping!$C$28:$O$39,G$1,0)</f>
        <v>0</v>
      </c>
      <c r="H3" s="2">
        <f>VLOOKUP($B1,[28]mapping!$C$28:$O$39,H$1,0)</f>
        <v>0</v>
      </c>
      <c r="I3" s="2">
        <f>VLOOKUP($B1,[28]mapping!$C$28:$O$39,I$1,0)</f>
        <v>0</v>
      </c>
      <c r="J3" s="2">
        <f>VLOOKUP($B1,[28]mapping!$C$28:$O$39,J$1,0)</f>
        <v>0</v>
      </c>
      <c r="K3" s="2">
        <f>VLOOKUP($B1,[28]mapping!$C$28:$O$39,K$1,0)</f>
        <v>0</v>
      </c>
      <c r="L3" s="2">
        <f>VLOOKUP($B1,[28]mapping!$C$28:$O$39,L$1,0)</f>
        <v>0</v>
      </c>
      <c r="M3" s="2">
        <f>VLOOKUP($B1,[28]mapping!$C$28:$O$39,M$1,0)</f>
        <v>0</v>
      </c>
      <c r="N3" s="932">
        <f>VLOOKUP($B1,[28]mapping!$C$28:$O$39,N$1,0)</f>
        <v>1</v>
      </c>
      <c r="O3" s="2">
        <f>VLOOKUP($B1,[28]mapping!$C$28:$O$39,O$1,0)</f>
        <v>1</v>
      </c>
      <c r="P3" s="2">
        <f>VLOOKUP($B1,[28]mapping!$C$28:$O$39,P$1,0)</f>
        <v>0</v>
      </c>
      <c r="S3">
        <f>INDEX($E$3:$P$3,1,MATCH(S5,$E$5:$P$5,0))</f>
        <v>1</v>
      </c>
      <c r="T3">
        <f>INDEX($E$3:$P$3,1,MATCH(T5,$E$5:$P$5,0))</f>
        <v>1</v>
      </c>
      <c r="U3">
        <f>INDEX($E$3:$P$3,1,MATCH(U5,$E$5:$P$5,0))</f>
        <v>0</v>
      </c>
      <c r="V3" s="122"/>
      <c r="AB3" s="122"/>
      <c r="AC3" s="122"/>
      <c r="AD3" s="122"/>
    </row>
    <row r="4" spans="1:30" ht="14.45" customHeight="1">
      <c r="A4" s="3"/>
      <c r="B4" s="4"/>
      <c r="C4" s="5"/>
      <c r="D4" s="5"/>
      <c r="E4" s="2"/>
      <c r="F4" s="2"/>
      <c r="G4" s="2"/>
      <c r="U4" s="122"/>
      <c r="V4" s="122"/>
      <c r="AB4" s="122"/>
      <c r="AC4" s="122"/>
      <c r="AD4" s="122"/>
    </row>
    <row r="5" spans="1:30">
      <c r="A5" s="4"/>
      <c r="B5" s="4"/>
      <c r="C5" s="5"/>
      <c r="D5" s="5"/>
      <c r="E5" s="487" t="s">
        <v>65</v>
      </c>
      <c r="F5" s="500" t="s">
        <v>66</v>
      </c>
      <c r="G5" s="500" t="s">
        <v>67</v>
      </c>
      <c r="H5" s="487" t="s">
        <v>2</v>
      </c>
      <c r="I5" s="501" t="s">
        <v>3</v>
      </c>
      <c r="J5" s="501" t="s">
        <v>4</v>
      </c>
      <c r="K5" s="487" t="s">
        <v>68</v>
      </c>
      <c r="L5" s="487" t="s">
        <v>69</v>
      </c>
      <c r="M5" s="487" t="s">
        <v>70</v>
      </c>
      <c r="N5" s="934" t="s">
        <v>71</v>
      </c>
      <c r="O5" s="487" t="s">
        <v>72</v>
      </c>
      <c r="P5" s="487" t="s">
        <v>73</v>
      </c>
      <c r="Q5" s="935" t="s">
        <v>74</v>
      </c>
      <c r="S5" s="101" t="str">
        <f>VLOOKUP(VLOOKUP(B1,[28]mapping!$A:$C,2,0),[28]mapping!$B:$C,2,0)</f>
        <v>M10</v>
      </c>
      <c r="T5" s="101" t="str">
        <f>LEFT(S5,2)&amp;(RIGHT(S5,1)+1)</f>
        <v>M11</v>
      </c>
      <c r="U5" s="101" t="str">
        <f>LEFT(T5,2)&amp;(RIGHT(T5,1)+1)</f>
        <v>M12</v>
      </c>
      <c r="V5" s="101" t="str">
        <f>VLOOKUP(B1,[28]mapping!$A$2:$B$13,2,0)</f>
        <v>Q4</v>
      </c>
      <c r="X5" s="101" t="s">
        <v>79</v>
      </c>
      <c r="Z5" s="101" t="s">
        <v>75</v>
      </c>
      <c r="AA5" s="101" t="s">
        <v>76</v>
      </c>
      <c r="AB5" s="101" t="s">
        <v>77</v>
      </c>
      <c r="AC5" s="101" t="s">
        <v>78</v>
      </c>
      <c r="AD5" s="101" t="s">
        <v>74</v>
      </c>
    </row>
    <row r="6" spans="1:30">
      <c r="A6" s="6"/>
      <c r="B6" s="7" t="s">
        <v>5</v>
      </c>
      <c r="C6" s="7"/>
      <c r="D6" s="8"/>
      <c r="E6" s="9">
        <f>Act!E6</f>
        <v>1356.722</v>
      </c>
      <c r="F6" s="936">
        <f>Act!F6</f>
        <v>1405.501</v>
      </c>
      <c r="G6" s="936">
        <f>Act!G6</f>
        <v>1565.7449999999999</v>
      </c>
      <c r="H6" s="936">
        <f>Act!H6</f>
        <v>1387.4110000000001</v>
      </c>
      <c r="I6" s="936">
        <f>Act!I6</f>
        <v>1044.5920000000001</v>
      </c>
      <c r="J6" s="936">
        <f>Act!J6</f>
        <v>1548.3879999999999</v>
      </c>
      <c r="K6" s="936">
        <f>Act!K6</f>
        <v>1396.605</v>
      </c>
      <c r="L6" s="936">
        <f>Act!L6</f>
        <v>1406.473</v>
      </c>
      <c r="M6" s="936">
        <f>Act!M6</f>
        <v>1554.838</v>
      </c>
      <c r="N6" s="937">
        <f>'[29]Summary (mEUR)'!AE10</f>
        <v>1238.3779</v>
      </c>
      <c r="O6" s="936">
        <f>'[29]Summary (mEUR)'!AF10</f>
        <v>1315.1610000000001</v>
      </c>
      <c r="P6" s="936">
        <f>'[29]Summary (mEUR)'!AG10</f>
        <v>1928.4739999999999</v>
      </c>
      <c r="Q6" s="938">
        <f>SUM(E6:P6)</f>
        <v>17148.287899999999</v>
      </c>
      <c r="S6" s="936">
        <f>SUMIFS($E6:$P6,$E$3:$P$3,1,$E$5:$P$5,S$5)</f>
        <v>1238.3779</v>
      </c>
      <c r="T6" s="936">
        <f>SUMIFS($E6:$P6,$E$3:$P$3,1,$E$5:$P$5,T$5)</f>
        <v>1315.1610000000001</v>
      </c>
      <c r="U6" s="936">
        <f>SUMIFS($E6:$P6,$E$3:$P$3,1,$E$5:$P$5,U$5)</f>
        <v>0</v>
      </c>
      <c r="V6" s="936">
        <f>SUM(S6:U6)</f>
        <v>2553.5389</v>
      </c>
      <c r="X6" s="936">
        <f>SUMIF($E$2:$P$2,1,E6:P6)</f>
        <v>15219.813899999999</v>
      </c>
      <c r="Z6" s="936">
        <f>SUM(E6:G6)</f>
        <v>4327.9679999999998</v>
      </c>
      <c r="AA6" s="936">
        <f>SUM(H6:J6)</f>
        <v>3980.3910000000001</v>
      </c>
      <c r="AB6" s="936">
        <f>SUM(K6:M6)</f>
        <v>4357.9160000000002</v>
      </c>
      <c r="AC6" s="936">
        <f>SUM(N6:P6)</f>
        <v>4482.0128999999997</v>
      </c>
      <c r="AD6" s="936">
        <f>SUM(Z6:AC6)</f>
        <v>17148.287900000003</v>
      </c>
    </row>
    <row r="7" spans="1:30">
      <c r="A7" s="6"/>
      <c r="B7" s="7" t="s">
        <v>6</v>
      </c>
      <c r="C7" s="7"/>
      <c r="D7" s="8"/>
      <c r="E7" s="9">
        <f>Act!E7</f>
        <v>20.428999999999998</v>
      </c>
      <c r="F7" s="936">
        <f>Act!F7</f>
        <v>26.765000000000001</v>
      </c>
      <c r="G7" s="936">
        <f>Act!G7</f>
        <v>33.113</v>
      </c>
      <c r="H7" s="936">
        <f>Act!H7</f>
        <v>24.555</v>
      </c>
      <c r="I7" s="936">
        <f>Act!I7</f>
        <v>16.222999999999999</v>
      </c>
      <c r="J7" s="936">
        <f>Act!J7</f>
        <v>39.014000000000003</v>
      </c>
      <c r="K7" s="936">
        <f>Act!K7</f>
        <v>26.247</v>
      </c>
      <c r="L7" s="936">
        <f>Act!L7</f>
        <v>28.564</v>
      </c>
      <c r="M7" s="936">
        <f>Act!M7</f>
        <v>23.823</v>
      </c>
      <c r="N7" s="937">
        <f>'[29]Summary (mEUR)'!AE11</f>
        <v>28.803000000000001</v>
      </c>
      <c r="O7" s="936">
        <f>'[29]Summary (mEUR)'!AF11</f>
        <v>23.689</v>
      </c>
      <c r="P7" s="936">
        <f>'[29]Summary (mEUR)'!AG11</f>
        <v>54.97</v>
      </c>
      <c r="Q7" s="938">
        <f t="shared" ref="Q7:Q12" si="1">SUM(E7:P7)</f>
        <v>346.19500000000005</v>
      </c>
      <c r="S7" s="936">
        <f t="shared" ref="S7:U13" si="2">SUMIFS($E7:$P7,$E$3:$P$3,1,$E$5:$P$5,S$5)</f>
        <v>28.803000000000001</v>
      </c>
      <c r="T7" s="936">
        <f t="shared" si="2"/>
        <v>23.689</v>
      </c>
      <c r="U7" s="936">
        <f t="shared" si="2"/>
        <v>0</v>
      </c>
      <c r="V7" s="936">
        <f t="shared" ref="V7:V13" si="3">SUM(S7:U7)</f>
        <v>52.492000000000004</v>
      </c>
      <c r="X7" s="936">
        <f t="shared" ref="X7:X13" si="4">SUMIF($E$2:$P$2,1,E7:P7)</f>
        <v>291.22500000000002</v>
      </c>
      <c r="Z7" s="936">
        <f t="shared" ref="Z7:Z13" si="5">SUM(E7:G7)</f>
        <v>80.307000000000002</v>
      </c>
      <c r="AA7" s="936">
        <f t="shared" ref="AA7:AA13" si="6">SUM(H7:J7)</f>
        <v>79.792000000000002</v>
      </c>
      <c r="AB7" s="936">
        <f t="shared" ref="AB7:AB13" si="7">SUM(K7:M7)</f>
        <v>78.634</v>
      </c>
      <c r="AC7" s="936">
        <f t="shared" ref="AC7:AC13" si="8">SUM(N7:P7)</f>
        <v>107.462</v>
      </c>
      <c r="AD7" s="936">
        <f t="shared" ref="AD7:AD13" si="9">SUM(Z7:AC7)</f>
        <v>346.19499999999999</v>
      </c>
    </row>
    <row r="8" spans="1:30">
      <c r="A8" s="6"/>
      <c r="B8" s="7" t="s">
        <v>7</v>
      </c>
      <c r="C8" s="7"/>
      <c r="D8" s="8"/>
      <c r="E8" s="9">
        <f>Act!E8</f>
        <v>0</v>
      </c>
      <c r="F8" s="936">
        <f>Act!F8</f>
        <v>0</v>
      </c>
      <c r="G8" s="936">
        <f>Act!G8</f>
        <v>0</v>
      </c>
      <c r="H8" s="936">
        <f>Act!H8</f>
        <v>0</v>
      </c>
      <c r="I8" s="936">
        <f>Act!I8</f>
        <v>0</v>
      </c>
      <c r="J8" s="936">
        <f>Act!J8</f>
        <v>0</v>
      </c>
      <c r="K8" s="936">
        <f>Act!K8</f>
        <v>0</v>
      </c>
      <c r="L8" s="936">
        <f>Act!L8</f>
        <v>0</v>
      </c>
      <c r="M8" s="936">
        <f>Act!M8</f>
        <v>0</v>
      </c>
      <c r="N8" s="937">
        <f>'[29]Summary (mEUR)'!AE12</f>
        <v>0</v>
      </c>
      <c r="O8" s="936">
        <f>'[29]Summary (mEUR)'!AF12</f>
        <v>0</v>
      </c>
      <c r="P8" s="936">
        <f>'[29]Summary (mEUR)'!AG12</f>
        <v>0</v>
      </c>
      <c r="Q8" s="938">
        <f t="shared" si="1"/>
        <v>0</v>
      </c>
      <c r="S8" s="936">
        <f t="shared" si="2"/>
        <v>0</v>
      </c>
      <c r="T8" s="936">
        <f t="shared" si="2"/>
        <v>0</v>
      </c>
      <c r="U8" s="936">
        <f t="shared" si="2"/>
        <v>0</v>
      </c>
      <c r="V8" s="936">
        <f t="shared" si="3"/>
        <v>0</v>
      </c>
      <c r="X8" s="936">
        <f t="shared" si="4"/>
        <v>0</v>
      </c>
      <c r="Z8" s="936">
        <f t="shared" si="5"/>
        <v>0</v>
      </c>
      <c r="AA8" s="936">
        <f t="shared" si="6"/>
        <v>0</v>
      </c>
      <c r="AB8" s="936">
        <f t="shared" si="7"/>
        <v>0</v>
      </c>
      <c r="AC8" s="936">
        <f t="shared" si="8"/>
        <v>0</v>
      </c>
      <c r="AD8" s="936">
        <f t="shared" si="9"/>
        <v>0</v>
      </c>
    </row>
    <row r="9" spans="1:30">
      <c r="A9" s="6"/>
      <c r="B9" s="7" t="s">
        <v>8</v>
      </c>
      <c r="C9" s="7"/>
      <c r="D9" s="8"/>
      <c r="E9" s="9">
        <f>Act!E9</f>
        <v>0</v>
      </c>
      <c r="F9" s="936">
        <f>Act!F9</f>
        <v>0</v>
      </c>
      <c r="G9" s="936">
        <f>Act!G9</f>
        <v>0</v>
      </c>
      <c r="H9" s="936">
        <f>Act!H9</f>
        <v>0</v>
      </c>
      <c r="I9" s="936">
        <f>Act!I9</f>
        <v>0</v>
      </c>
      <c r="J9" s="936">
        <f>Act!J9</f>
        <v>0</v>
      </c>
      <c r="K9" s="936">
        <f>Act!K9</f>
        <v>0</v>
      </c>
      <c r="L9" s="936">
        <f>Act!L9</f>
        <v>0</v>
      </c>
      <c r="M9" s="936">
        <f>Act!M9</f>
        <v>0</v>
      </c>
      <c r="N9" s="937">
        <f>'[29]Summary (mEUR)'!AE13</f>
        <v>0</v>
      </c>
      <c r="O9" s="936">
        <f>'[29]Summary (mEUR)'!AF13</f>
        <v>0</v>
      </c>
      <c r="P9" s="936">
        <f>'[29]Summary (mEUR)'!AG13</f>
        <v>0</v>
      </c>
      <c r="Q9" s="938">
        <f t="shared" si="1"/>
        <v>0</v>
      </c>
      <c r="S9" s="936">
        <f t="shared" si="2"/>
        <v>0</v>
      </c>
      <c r="T9" s="936">
        <f t="shared" si="2"/>
        <v>0</v>
      </c>
      <c r="U9" s="936">
        <f t="shared" si="2"/>
        <v>0</v>
      </c>
      <c r="V9" s="936">
        <f t="shared" si="3"/>
        <v>0</v>
      </c>
      <c r="X9" s="936">
        <f t="shared" si="4"/>
        <v>0</v>
      </c>
      <c r="Z9" s="936">
        <f t="shared" si="5"/>
        <v>0</v>
      </c>
      <c r="AA9" s="936">
        <f t="shared" si="6"/>
        <v>0</v>
      </c>
      <c r="AB9" s="936">
        <f t="shared" si="7"/>
        <v>0</v>
      </c>
      <c r="AC9" s="936">
        <f t="shared" si="8"/>
        <v>0</v>
      </c>
      <c r="AD9" s="936">
        <f t="shared" si="9"/>
        <v>0</v>
      </c>
    </row>
    <row r="10" spans="1:30">
      <c r="A10" s="6"/>
      <c r="B10" s="7" t="s">
        <v>9</v>
      </c>
      <c r="C10" s="7"/>
      <c r="D10" s="8"/>
      <c r="E10" s="9">
        <f>Act!E10</f>
        <v>16.117999999999999</v>
      </c>
      <c r="F10" s="936">
        <f>Act!F10</f>
        <v>23.010999999999999</v>
      </c>
      <c r="G10" s="936">
        <f>Act!G10</f>
        <v>30.538</v>
      </c>
      <c r="H10" s="936">
        <f>Act!H10</f>
        <v>21.085999999999999</v>
      </c>
      <c r="I10" s="936">
        <f>Act!I10</f>
        <v>18.341999999999999</v>
      </c>
      <c r="J10" s="936">
        <f>Act!J10</f>
        <v>39.103000000000002</v>
      </c>
      <c r="K10" s="936">
        <f>Act!K10</f>
        <v>22.727</v>
      </c>
      <c r="L10" s="936">
        <f>Act!L10</f>
        <v>31.667000000000002</v>
      </c>
      <c r="M10" s="936">
        <f>Act!M10</f>
        <v>26.382000000000001</v>
      </c>
      <c r="N10" s="937">
        <f>'[29]Summary (mEUR)'!AE14</f>
        <v>28.884</v>
      </c>
      <c r="O10" s="936">
        <f>'[29]Summary (mEUR)'!AF14</f>
        <v>32.723999999999997</v>
      </c>
      <c r="P10" s="936">
        <f>'[29]Summary (mEUR)'!AG14</f>
        <v>48.039000000000001</v>
      </c>
      <c r="Q10" s="938">
        <f t="shared" si="1"/>
        <v>338.62099999999998</v>
      </c>
      <c r="S10" s="936">
        <f t="shared" si="2"/>
        <v>28.884</v>
      </c>
      <c r="T10" s="936">
        <f t="shared" si="2"/>
        <v>32.723999999999997</v>
      </c>
      <c r="U10" s="936">
        <f t="shared" si="2"/>
        <v>0</v>
      </c>
      <c r="V10" s="936">
        <f t="shared" si="3"/>
        <v>61.607999999999997</v>
      </c>
      <c r="X10" s="936">
        <f t="shared" si="4"/>
        <v>290.58199999999999</v>
      </c>
      <c r="Z10" s="936">
        <f t="shared" si="5"/>
        <v>69.667000000000002</v>
      </c>
      <c r="AA10" s="936">
        <f t="shared" si="6"/>
        <v>78.531000000000006</v>
      </c>
      <c r="AB10" s="936">
        <f t="shared" si="7"/>
        <v>80.77600000000001</v>
      </c>
      <c r="AC10" s="936">
        <f t="shared" si="8"/>
        <v>109.64699999999999</v>
      </c>
      <c r="AD10" s="936">
        <f t="shared" si="9"/>
        <v>338.62099999999998</v>
      </c>
    </row>
    <row r="11" spans="1:30">
      <c r="A11" s="6"/>
      <c r="B11" s="7" t="s">
        <v>10</v>
      </c>
      <c r="C11" s="7"/>
      <c r="D11" s="8"/>
      <c r="E11" s="9">
        <f>Act!E11</f>
        <v>7.0000000000000001E-3</v>
      </c>
      <c r="F11" s="936">
        <f>Act!F11</f>
        <v>1E-3</v>
      </c>
      <c r="G11" s="936">
        <f>Act!G11</f>
        <v>0</v>
      </c>
      <c r="H11" s="936">
        <f>Act!H11</f>
        <v>4.1000000000000002E-2</v>
      </c>
      <c r="I11" s="936">
        <f>Act!I11</f>
        <v>0</v>
      </c>
      <c r="J11" s="936">
        <f>Act!J11</f>
        <v>0</v>
      </c>
      <c r="K11" s="936">
        <f>Act!K11</f>
        <v>0</v>
      </c>
      <c r="L11" s="936">
        <f>Act!L11</f>
        <v>0</v>
      </c>
      <c r="M11" s="936">
        <f>Act!M11</f>
        <v>3.4000000000000002E-2</v>
      </c>
      <c r="N11" s="937">
        <f>'[29]Summary (mEUR)'!AE15</f>
        <v>2E-3</v>
      </c>
      <c r="O11" s="936">
        <f>'[29]Summary (mEUR)'!AF15</f>
        <v>0</v>
      </c>
      <c r="P11" s="936">
        <f>'[29]Summary (mEUR)'!AG15</f>
        <v>0</v>
      </c>
      <c r="Q11" s="938">
        <f t="shared" si="1"/>
        <v>8.5000000000000006E-2</v>
      </c>
      <c r="S11" s="936">
        <f t="shared" si="2"/>
        <v>2E-3</v>
      </c>
      <c r="T11" s="936">
        <f t="shared" si="2"/>
        <v>0</v>
      </c>
      <c r="U11" s="936">
        <f t="shared" si="2"/>
        <v>0</v>
      </c>
      <c r="V11" s="936">
        <f t="shared" si="3"/>
        <v>2E-3</v>
      </c>
      <c r="X11" s="936">
        <f t="shared" si="4"/>
        <v>8.5000000000000006E-2</v>
      </c>
      <c r="Z11" s="936">
        <f t="shared" si="5"/>
        <v>8.0000000000000002E-3</v>
      </c>
      <c r="AA11" s="936">
        <f t="shared" si="6"/>
        <v>4.1000000000000002E-2</v>
      </c>
      <c r="AB11" s="936">
        <f t="shared" si="7"/>
        <v>3.4000000000000002E-2</v>
      </c>
      <c r="AC11" s="936">
        <f t="shared" si="8"/>
        <v>2E-3</v>
      </c>
      <c r="AD11" s="936">
        <f t="shared" si="9"/>
        <v>8.5000000000000006E-2</v>
      </c>
    </row>
    <row r="12" spans="1:30">
      <c r="A12" s="6"/>
      <c r="B12" s="7" t="s">
        <v>11</v>
      </c>
      <c r="C12" s="7"/>
      <c r="D12" s="8"/>
      <c r="E12" s="9">
        <f>Act!E12</f>
        <v>0</v>
      </c>
      <c r="F12" s="936">
        <f>Act!F12</f>
        <v>0</v>
      </c>
      <c r="G12" s="936">
        <f>Act!G12</f>
        <v>0</v>
      </c>
      <c r="H12" s="936">
        <f>Act!H12</f>
        <v>0</v>
      </c>
      <c r="I12" s="936">
        <f>Act!I12</f>
        <v>0</v>
      </c>
      <c r="J12" s="936">
        <f>Act!J12</f>
        <v>0</v>
      </c>
      <c r="K12" s="936">
        <f>Act!K12</f>
        <v>0</v>
      </c>
      <c r="L12" s="936">
        <f>Act!L12</f>
        <v>0</v>
      </c>
      <c r="M12" s="936">
        <f>Act!M12</f>
        <v>0</v>
      </c>
      <c r="N12" s="937">
        <f>'[29]Summary (mEUR)'!AE16</f>
        <v>0</v>
      </c>
      <c r="O12" s="936">
        <f>'[29]Summary (mEUR)'!AF16</f>
        <v>0</v>
      </c>
      <c r="P12" s="936">
        <f>'[29]Summary (mEUR)'!AG16</f>
        <v>0</v>
      </c>
      <c r="Q12" s="106">
        <f t="shared" si="1"/>
        <v>0</v>
      </c>
      <c r="S12" s="936">
        <f t="shared" si="2"/>
        <v>0</v>
      </c>
      <c r="T12" s="936">
        <f t="shared" si="2"/>
        <v>0</v>
      </c>
      <c r="U12" s="936">
        <f t="shared" si="2"/>
        <v>0</v>
      </c>
      <c r="V12" s="936">
        <f t="shared" si="3"/>
        <v>0</v>
      </c>
      <c r="X12" s="936">
        <f t="shared" si="4"/>
        <v>0</v>
      </c>
      <c r="Z12" s="936">
        <f t="shared" si="5"/>
        <v>0</v>
      </c>
      <c r="AA12" s="936">
        <f t="shared" si="6"/>
        <v>0</v>
      </c>
      <c r="AB12" s="936">
        <f t="shared" si="7"/>
        <v>0</v>
      </c>
      <c r="AC12" s="936">
        <f t="shared" si="8"/>
        <v>0</v>
      </c>
      <c r="AD12" s="936">
        <f t="shared" si="9"/>
        <v>0</v>
      </c>
    </row>
    <row r="13" spans="1:30">
      <c r="A13" s="6"/>
      <c r="B13" s="7" t="s">
        <v>12</v>
      </c>
      <c r="C13" s="7"/>
      <c r="D13" s="8"/>
      <c r="E13" s="11">
        <f>Act!E13</f>
        <v>0.48099999999999998</v>
      </c>
      <c r="F13" s="12">
        <f>Act!F13</f>
        <v>1.4910000000000001</v>
      </c>
      <c r="G13" s="12">
        <f>Act!G13</f>
        <v>1.0249999999999999</v>
      </c>
      <c r="H13" s="12">
        <f>Act!H13</f>
        <v>0.34699999999999998</v>
      </c>
      <c r="I13" s="12">
        <f>Act!I13</f>
        <v>0.53300000000000003</v>
      </c>
      <c r="J13" s="12">
        <f>Act!J13</f>
        <v>0.39200000000000002</v>
      </c>
      <c r="K13" s="12">
        <f>Act!K13</f>
        <v>0.60099999999999998</v>
      </c>
      <c r="L13" s="12">
        <f>Act!L13</f>
        <v>0.625</v>
      </c>
      <c r="M13" s="12">
        <f>Act!M13</f>
        <v>0.68200000000000005</v>
      </c>
      <c r="N13" s="153">
        <f>'[29]Summary (mEUR)'!AE17</f>
        <v>0.34899999999999998</v>
      </c>
      <c r="O13" s="12">
        <f>'[29]Summary (mEUR)'!AF17</f>
        <v>0.86699999999999999</v>
      </c>
      <c r="P13" s="12">
        <f>'[29]Summary (mEUR)'!AG17</f>
        <v>1.0449999999999999</v>
      </c>
      <c r="Q13" s="106">
        <f>SUM(E13:P13)</f>
        <v>8.4380000000000006</v>
      </c>
      <c r="S13" s="12">
        <f t="shared" si="2"/>
        <v>0.34899999999999998</v>
      </c>
      <c r="T13" s="12">
        <f t="shared" si="2"/>
        <v>0.86699999999999999</v>
      </c>
      <c r="U13" s="12">
        <f t="shared" si="2"/>
        <v>0</v>
      </c>
      <c r="V13" s="12">
        <f t="shared" si="3"/>
        <v>1.216</v>
      </c>
      <c r="X13" s="12">
        <f t="shared" si="4"/>
        <v>7.3930000000000007</v>
      </c>
      <c r="Z13" s="936">
        <f t="shared" si="5"/>
        <v>2.9969999999999999</v>
      </c>
      <c r="AA13" s="936">
        <f t="shared" si="6"/>
        <v>1.272</v>
      </c>
      <c r="AB13" s="936">
        <f t="shared" si="7"/>
        <v>1.9079999999999999</v>
      </c>
      <c r="AC13" s="936">
        <f t="shared" si="8"/>
        <v>2.2610000000000001</v>
      </c>
      <c r="AD13" s="936">
        <f t="shared" si="9"/>
        <v>8.4379999999999988</v>
      </c>
    </row>
    <row r="14" spans="1:30">
      <c r="A14" s="13"/>
      <c r="B14" s="14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932"/>
      <c r="O14" s="2"/>
      <c r="P14" s="2"/>
      <c r="S14" s="2"/>
      <c r="T14" s="2"/>
      <c r="U14" s="2"/>
      <c r="V14" s="2"/>
      <c r="X14" s="2"/>
      <c r="Z14" s="2"/>
      <c r="AA14" s="2"/>
      <c r="AB14" s="2"/>
      <c r="AC14" s="2"/>
      <c r="AD14" s="2"/>
    </row>
    <row r="15" spans="1:30">
      <c r="A15" s="13"/>
      <c r="B15" s="14"/>
      <c r="C15" s="14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939"/>
      <c r="O15" s="13"/>
      <c r="P15" s="13"/>
      <c r="S15" s="13"/>
      <c r="T15" s="13"/>
      <c r="U15" s="13"/>
      <c r="V15" s="13"/>
      <c r="X15" s="13"/>
      <c r="Z15" s="13"/>
      <c r="AA15" s="13"/>
      <c r="AB15" s="13"/>
      <c r="AC15" s="13"/>
      <c r="AD15" s="13"/>
    </row>
    <row r="16" spans="1:30">
      <c r="A16" s="940"/>
      <c r="B16" s="940"/>
      <c r="C16" s="17" t="s">
        <v>13</v>
      </c>
      <c r="D16" s="17"/>
      <c r="E16" s="18"/>
      <c r="F16" s="941"/>
      <c r="G16" s="941"/>
      <c r="H16" s="941"/>
      <c r="I16" s="941"/>
      <c r="J16" s="941"/>
      <c r="K16" s="941"/>
      <c r="L16" s="941"/>
      <c r="M16" s="941"/>
      <c r="N16" s="942"/>
      <c r="O16" s="941"/>
      <c r="P16" s="941"/>
      <c r="Q16" s="943">
        <f t="shared" ref="Q16:Q46" si="10">SUM(E16:P16)</f>
        <v>0</v>
      </c>
      <c r="S16" s="941"/>
      <c r="T16" s="941"/>
      <c r="U16" s="941"/>
      <c r="V16" s="941"/>
      <c r="X16" s="941"/>
      <c r="Z16" s="941"/>
      <c r="AA16" s="941"/>
      <c r="AB16" s="941"/>
      <c r="AC16" s="941"/>
      <c r="AD16" s="941"/>
    </row>
    <row r="17" spans="1:30">
      <c r="A17" s="20"/>
      <c r="B17" s="20"/>
      <c r="C17" s="21" t="s">
        <v>14</v>
      </c>
      <c r="D17" s="21"/>
      <c r="E17" s="22"/>
      <c r="F17" s="23"/>
      <c r="G17" s="23"/>
      <c r="H17" s="23"/>
      <c r="I17" s="23"/>
      <c r="J17" s="23"/>
      <c r="K17" s="23"/>
      <c r="L17" s="23"/>
      <c r="M17" s="23"/>
      <c r="N17" s="163"/>
      <c r="O17" s="23"/>
      <c r="P17" s="23"/>
      <c r="Q17" s="109">
        <f t="shared" si="10"/>
        <v>0</v>
      </c>
      <c r="S17" s="23"/>
      <c r="T17" s="23"/>
      <c r="U17" s="23"/>
      <c r="V17" s="23"/>
      <c r="X17" s="23"/>
      <c r="Z17" s="23"/>
      <c r="AA17" s="23"/>
      <c r="AB17" s="23"/>
      <c r="AC17" s="23"/>
      <c r="AD17" s="23"/>
    </row>
    <row r="18" spans="1:30">
      <c r="A18" s="24" t="s">
        <v>15</v>
      </c>
      <c r="B18" s="25"/>
      <c r="C18" s="26"/>
      <c r="D18" s="26"/>
      <c r="E18" s="27">
        <f>Act!E18</f>
        <v>612.22646137803633</v>
      </c>
      <c r="F18" s="944">
        <f>Act!F18</f>
        <v>755.94014885834781</v>
      </c>
      <c r="G18" s="944">
        <f>Act!G18</f>
        <v>991.81161270891232</v>
      </c>
      <c r="H18" s="945">
        <f>Act!H18</f>
        <v>752.80413095636118</v>
      </c>
      <c r="I18" s="945">
        <f>Act!I18</f>
        <v>624.40953069327338</v>
      </c>
      <c r="J18" s="945">
        <f>Act!J18</f>
        <v>1224.6119041442605</v>
      </c>
      <c r="K18" s="945">
        <f>Act!K18</f>
        <v>787.44751837815136</v>
      </c>
      <c r="L18" s="945">
        <f>Act!L18</f>
        <v>972.88695918759436</v>
      </c>
      <c r="M18" s="945">
        <f>Act!M18</f>
        <v>887.43538592513426</v>
      </c>
      <c r="N18" s="946">
        <f>'[29]Summary (mEUR)'!AE25</f>
        <v>867.43498238986717</v>
      </c>
      <c r="O18" s="945">
        <f>'[29]Summary (mEUR)'!AF25</f>
        <v>998.88562123033262</v>
      </c>
      <c r="P18" s="945">
        <f>'[29]Summary (mEUR)'!AG25</f>
        <v>1429.4281031985588</v>
      </c>
      <c r="Q18" s="943">
        <f t="shared" si="10"/>
        <v>10905.322359048831</v>
      </c>
      <c r="S18" s="945">
        <f>SUMIFS($E18:$P18,$E$3:$P$3,1,$E$5:$P$5,S$5)</f>
        <v>867.43498238986717</v>
      </c>
      <c r="T18" s="945">
        <f>SUMIFS($E18:$P18,$E$3:$P$3,1,$E$5:$P$5,T$5)</f>
        <v>998.88562123033262</v>
      </c>
      <c r="U18" s="945">
        <f>SUMIFS($E18:$P18,$E$3:$P$3,1,$E$5:$P$5,U$5)</f>
        <v>0</v>
      </c>
      <c r="V18" s="945">
        <f>SUM(S18:U18)</f>
        <v>1866.3206036201998</v>
      </c>
      <c r="X18" s="945">
        <f>SUMIF($E$2:$P$2,1,E18:P18)</f>
        <v>9475.8942558502713</v>
      </c>
      <c r="Z18" s="945">
        <f>SUM(E18:G18)</f>
        <v>2359.9782229452967</v>
      </c>
      <c r="AA18" s="945">
        <f>SUM(H18:J18)</f>
        <v>2601.8255657938953</v>
      </c>
      <c r="AB18" s="945">
        <f>SUM(K18:M18)</f>
        <v>2647.7698634908797</v>
      </c>
      <c r="AC18" s="945">
        <f>SUM(N18:P18)</f>
        <v>3295.7487068187584</v>
      </c>
      <c r="AD18" s="945">
        <f>SUM(Z18:AC18)</f>
        <v>10905.322359048831</v>
      </c>
    </row>
    <row r="19" spans="1:30">
      <c r="A19" s="20"/>
      <c r="B19" s="940"/>
      <c r="C19" s="17" t="s">
        <v>16</v>
      </c>
      <c r="D19" s="17"/>
      <c r="E19" s="18"/>
      <c r="F19" s="941"/>
      <c r="G19" s="941"/>
      <c r="H19" s="941"/>
      <c r="I19" s="941"/>
      <c r="J19" s="941"/>
      <c r="K19" s="941"/>
      <c r="L19" s="941"/>
      <c r="M19" s="941"/>
      <c r="N19" s="942"/>
      <c r="O19" s="941"/>
      <c r="P19" s="941"/>
      <c r="Q19" s="943">
        <f t="shared" si="10"/>
        <v>0</v>
      </c>
      <c r="S19" s="941"/>
      <c r="T19" s="941"/>
      <c r="U19" s="941"/>
      <c r="V19" s="941"/>
      <c r="X19" s="941"/>
      <c r="Z19" s="941"/>
      <c r="AA19" s="941"/>
      <c r="AB19" s="941"/>
      <c r="AC19" s="941"/>
      <c r="AD19" s="941"/>
    </row>
    <row r="20" spans="1:30">
      <c r="A20" s="20"/>
      <c r="B20" s="30"/>
      <c r="C20" s="31" t="s">
        <v>17</v>
      </c>
      <c r="D20" s="31"/>
      <c r="E20" s="22"/>
      <c r="F20" s="23"/>
      <c r="G20" s="23"/>
      <c r="H20" s="23"/>
      <c r="I20" s="23"/>
      <c r="J20" s="23"/>
      <c r="K20" s="23"/>
      <c r="L20" s="23"/>
      <c r="M20" s="23"/>
      <c r="N20" s="163"/>
      <c r="O20" s="23"/>
      <c r="P20" s="23"/>
      <c r="Q20" s="109">
        <f t="shared" si="10"/>
        <v>0</v>
      </c>
      <c r="S20" s="23"/>
      <c r="T20" s="23"/>
      <c r="U20" s="23"/>
      <c r="V20" s="23"/>
      <c r="X20" s="23"/>
      <c r="Z20" s="23"/>
      <c r="AA20" s="23"/>
      <c r="AB20" s="23"/>
      <c r="AC20" s="23"/>
      <c r="AD20" s="23"/>
    </row>
    <row r="21" spans="1:30">
      <c r="A21" s="32"/>
      <c r="B21" s="26" t="s">
        <v>18</v>
      </c>
      <c r="C21" s="26"/>
      <c r="D21" s="26"/>
      <c r="E21" s="33">
        <f>Act!E21</f>
        <v>-85.285283100000001</v>
      </c>
      <c r="F21" s="34">
        <f>Act!F21</f>
        <v>-107.1679133</v>
      </c>
      <c r="G21" s="34">
        <f>Act!G21</f>
        <v>-152.92069900000001</v>
      </c>
      <c r="H21" s="35">
        <f>Act!H21</f>
        <v>-107.07472529999997</v>
      </c>
      <c r="I21" s="35">
        <f>Act!I21</f>
        <v>-85.710109700000018</v>
      </c>
      <c r="J21" s="35">
        <f>Act!J21</f>
        <v>-185.77770159999997</v>
      </c>
      <c r="K21" s="35">
        <f>Act!K21</f>
        <v>-121.39486350000004</v>
      </c>
      <c r="L21" s="35">
        <f>Act!L21</f>
        <v>-142.95642530000001</v>
      </c>
      <c r="M21" s="35">
        <f>Act!M21</f>
        <v>-136.85111530000009</v>
      </c>
      <c r="N21" s="947">
        <f>'[29]Summary (mEUR)'!AE30</f>
        <v>-134.4247786</v>
      </c>
      <c r="O21" s="35">
        <f>'[29]Summary (mEUR)'!AF30</f>
        <v>-142.08356370906142</v>
      </c>
      <c r="P21" s="35">
        <f>'[29]Summary (mEUR)'!AG30</f>
        <v>-229.3275520496646</v>
      </c>
      <c r="Q21" s="943">
        <f t="shared" si="10"/>
        <v>-1630.9747304587263</v>
      </c>
      <c r="S21" s="35">
        <f>SUMIFS($E21:$P21,$E$3:$P$3,1,$E$5:$P$5,S$5)</f>
        <v>-134.4247786</v>
      </c>
      <c r="T21" s="35">
        <f>SUMIFS($E21:$P21,$E$3:$P$3,1,$E$5:$P$5,T$5)</f>
        <v>-142.08356370906142</v>
      </c>
      <c r="U21" s="35">
        <f>SUMIFS($E21:$P21,$E$3:$P$3,1,$E$5:$P$5,U$5)</f>
        <v>0</v>
      </c>
      <c r="V21" s="35">
        <f>SUM(S21:U21)</f>
        <v>-276.50834230906139</v>
      </c>
      <c r="X21" s="35">
        <f>SUMIF($E$2:$P$2,1,E21:P21)</f>
        <v>-1401.6471784090618</v>
      </c>
      <c r="Z21" s="35">
        <f>SUM(E21:G21)</f>
        <v>-345.37389540000004</v>
      </c>
      <c r="AA21" s="35">
        <f>SUM(H21:J21)</f>
        <v>-378.56253659999993</v>
      </c>
      <c r="AB21" s="35">
        <f>SUM(K21:M21)</f>
        <v>-401.20240410000008</v>
      </c>
      <c r="AC21" s="35">
        <f>SUM(N21:P21)</f>
        <v>-505.83589435872602</v>
      </c>
      <c r="AD21" s="35">
        <f>SUM(Z21:AC21)</f>
        <v>-1630.9747304587258</v>
      </c>
    </row>
    <row r="22" spans="1:30">
      <c r="A22" s="36" t="s">
        <v>19</v>
      </c>
      <c r="B22" s="36"/>
      <c r="C22" s="1"/>
      <c r="D22" s="37"/>
      <c r="E22" s="38">
        <f t="shared" ref="E22:P22" si="11">SUM(E18,E21)</f>
        <v>526.94117827803632</v>
      </c>
      <c r="F22" s="948">
        <f t="shared" si="11"/>
        <v>648.7722355583478</v>
      </c>
      <c r="G22" s="949">
        <f t="shared" si="11"/>
        <v>838.89091370891231</v>
      </c>
      <c r="H22" s="949">
        <f t="shared" si="11"/>
        <v>645.72940565636122</v>
      </c>
      <c r="I22" s="949">
        <f t="shared" si="11"/>
        <v>538.69942099327341</v>
      </c>
      <c r="J22" s="949">
        <f t="shared" si="11"/>
        <v>1038.8342025442605</v>
      </c>
      <c r="K22" s="949">
        <f t="shared" si="11"/>
        <v>666.05265487815132</v>
      </c>
      <c r="L22" s="949">
        <f t="shared" si="11"/>
        <v>829.93053388759438</v>
      </c>
      <c r="M22" s="949">
        <f t="shared" si="11"/>
        <v>750.5842706251342</v>
      </c>
      <c r="N22" s="950">
        <f t="shared" si="11"/>
        <v>733.01020378986721</v>
      </c>
      <c r="O22" s="949">
        <f t="shared" si="11"/>
        <v>856.80205752127119</v>
      </c>
      <c r="P22" s="949">
        <f t="shared" si="11"/>
        <v>1200.1005511488943</v>
      </c>
      <c r="Q22" s="951">
        <f t="shared" si="10"/>
        <v>9274.3476285901052</v>
      </c>
      <c r="S22" s="949">
        <f>SUM(S18,S21)</f>
        <v>733.01020378986721</v>
      </c>
      <c r="T22" s="949">
        <f>SUM(T18,T21)</f>
        <v>856.80205752127119</v>
      </c>
      <c r="U22" s="949">
        <f>SUM(U18,U21)</f>
        <v>0</v>
      </c>
      <c r="V22" s="949">
        <f>SUM(V18,V21)</f>
        <v>1589.8122613111384</v>
      </c>
      <c r="X22" s="949">
        <f>SUM(X18,X21)</f>
        <v>8074.2470774412095</v>
      </c>
      <c r="Z22" s="949">
        <f>SUM(Z18,Z21)</f>
        <v>2014.6043275452967</v>
      </c>
      <c r="AA22" s="949">
        <f>SUM(AA18,AA21)</f>
        <v>2223.2630291938954</v>
      </c>
      <c r="AB22" s="949">
        <f>SUM(AB18,AB21)</f>
        <v>2246.5674593908798</v>
      </c>
      <c r="AC22" s="949">
        <f>SUM(AC18,AC21)</f>
        <v>2789.9128124600325</v>
      </c>
      <c r="AD22" s="949">
        <f>SUM(AD18,AD21)</f>
        <v>9274.3476285901052</v>
      </c>
    </row>
    <row r="23" spans="1:30">
      <c r="A23" s="940"/>
      <c r="B23" s="940"/>
      <c r="C23" s="41" t="s">
        <v>20</v>
      </c>
      <c r="D23" s="42"/>
      <c r="E23" s="18"/>
      <c r="F23" s="941"/>
      <c r="G23" s="941"/>
      <c r="H23" s="941"/>
      <c r="I23" s="941"/>
      <c r="J23" s="941"/>
      <c r="K23" s="941"/>
      <c r="L23" s="941"/>
      <c r="M23" s="941"/>
      <c r="N23" s="942"/>
      <c r="O23" s="941"/>
      <c r="P23" s="941"/>
      <c r="Q23" s="943">
        <f t="shared" si="10"/>
        <v>0</v>
      </c>
      <c r="S23" s="941"/>
      <c r="T23" s="941"/>
      <c r="U23" s="941"/>
      <c r="V23" s="941"/>
      <c r="X23" s="941"/>
      <c r="Z23" s="941"/>
      <c r="AA23" s="941"/>
      <c r="AB23" s="941"/>
      <c r="AC23" s="941"/>
      <c r="AD23" s="941"/>
    </row>
    <row r="24" spans="1:30">
      <c r="A24" s="20"/>
      <c r="B24" s="30"/>
      <c r="C24" s="43" t="s">
        <v>21</v>
      </c>
      <c r="D24" s="44"/>
      <c r="E24" s="45"/>
      <c r="F24" s="46"/>
      <c r="G24" s="46"/>
      <c r="H24" s="46"/>
      <c r="I24" s="46"/>
      <c r="J24" s="46"/>
      <c r="K24" s="46"/>
      <c r="L24" s="46"/>
      <c r="M24" s="46"/>
      <c r="N24" s="174"/>
      <c r="O24" s="46"/>
      <c r="P24" s="46"/>
      <c r="Q24" s="111">
        <f t="shared" si="10"/>
        <v>0</v>
      </c>
      <c r="S24" s="46"/>
      <c r="T24" s="46"/>
      <c r="U24" s="46"/>
      <c r="V24" s="46"/>
      <c r="X24" s="46"/>
      <c r="Z24" s="46"/>
      <c r="AA24" s="46"/>
      <c r="AB24" s="46"/>
      <c r="AC24" s="46"/>
      <c r="AD24" s="46"/>
    </row>
    <row r="25" spans="1:30">
      <c r="A25" s="20"/>
      <c r="B25" s="26" t="s">
        <v>22</v>
      </c>
      <c r="C25" s="17"/>
      <c r="D25" s="21"/>
      <c r="E25" s="47">
        <f>Act!E25</f>
        <v>-440.85755869038957</v>
      </c>
      <c r="F25" s="48">
        <f>Act!F25</f>
        <v>-539.65369538426853</v>
      </c>
      <c r="G25" s="48">
        <f>Act!G25</f>
        <v>-732.22379095507551</v>
      </c>
      <c r="H25" s="49">
        <f>Act!H25</f>
        <v>-538.45421144300394</v>
      </c>
      <c r="I25" s="49">
        <f>Act!I25</f>
        <v>-428.30179487885459</v>
      </c>
      <c r="J25" s="49">
        <f>Act!J25</f>
        <v>-814.86479439977643</v>
      </c>
      <c r="K25" s="49">
        <f>Act!K25</f>
        <v>-525.40785305146869</v>
      </c>
      <c r="L25" s="49">
        <f>Act!L25</f>
        <v>-693.35564568688017</v>
      </c>
      <c r="M25" s="49">
        <f>Act!M25</f>
        <v>-556.0361983212232</v>
      </c>
      <c r="N25" s="163">
        <f>'[29]Summary (mEUR)'!AE40</f>
        <v>-588.72719208662261</v>
      </c>
      <c r="O25" s="49">
        <f>'[29]Summary (mEUR)'!AF40</f>
        <v>-715.65292210596147</v>
      </c>
      <c r="P25" s="49">
        <f>'[29]Summary (mEUR)'!AG40</f>
        <v>-954.08798131423032</v>
      </c>
      <c r="Q25" s="109">
        <f t="shared" si="10"/>
        <v>-7527.6236383177556</v>
      </c>
      <c r="S25" s="49">
        <f>SUMIFS($E25:$P25,$E$3:$P$3,1,$E$5:$P$5,S$5)</f>
        <v>-588.72719208662261</v>
      </c>
      <c r="T25" s="49">
        <f>SUMIFS($E25:$P25,$E$3:$P$3,1,$E$5:$P$5,T$5)</f>
        <v>-715.65292210596147</v>
      </c>
      <c r="U25" s="49">
        <f>SUMIFS($E25:$P25,$E$3:$P$3,1,$E$5:$P$5,U$5)</f>
        <v>0</v>
      </c>
      <c r="V25" s="49">
        <f>SUM(S25:U25)</f>
        <v>-1304.3801141925842</v>
      </c>
      <c r="X25" s="49">
        <f>SUMIF($E$2:$P$2,1,E25:P25)</f>
        <v>-6573.5356570035256</v>
      </c>
      <c r="Z25" s="49">
        <f>SUM(E25:G25)</f>
        <v>-1712.7350450297336</v>
      </c>
      <c r="AA25" s="49">
        <f>SUM(H25:J25)</f>
        <v>-1781.6208007216351</v>
      </c>
      <c r="AB25" s="49">
        <f>SUM(K25:M25)</f>
        <v>-1774.7996970595723</v>
      </c>
      <c r="AC25" s="49">
        <f>SUM(N25:P25)</f>
        <v>-2258.4680955068143</v>
      </c>
      <c r="AD25" s="49">
        <f>SUM(Z25:AC25)</f>
        <v>-7527.6236383177547</v>
      </c>
    </row>
    <row r="26" spans="1:30">
      <c r="A26" s="952" t="s">
        <v>23</v>
      </c>
      <c r="B26" s="952"/>
      <c r="C26" s="37"/>
      <c r="D26" s="37"/>
      <c r="E26" s="51">
        <f t="shared" ref="E26:P26" si="12">E22+E25</f>
        <v>86.083619587646751</v>
      </c>
      <c r="F26" s="953">
        <f t="shared" si="12"/>
        <v>109.11854017407927</v>
      </c>
      <c r="G26" s="954">
        <f t="shared" si="12"/>
        <v>106.66712275383679</v>
      </c>
      <c r="H26" s="954">
        <f t="shared" si="12"/>
        <v>107.27519421335728</v>
      </c>
      <c r="I26" s="954">
        <f t="shared" si="12"/>
        <v>110.39762611441881</v>
      </c>
      <c r="J26" s="954">
        <f t="shared" si="12"/>
        <v>223.96940814448408</v>
      </c>
      <c r="K26" s="954">
        <f t="shared" si="12"/>
        <v>140.64480182668262</v>
      </c>
      <c r="L26" s="954">
        <f t="shared" si="12"/>
        <v>136.57488820071421</v>
      </c>
      <c r="M26" s="954">
        <f t="shared" si="12"/>
        <v>194.548072303911</v>
      </c>
      <c r="N26" s="955">
        <f t="shared" si="12"/>
        <v>144.2830117032446</v>
      </c>
      <c r="O26" s="954">
        <f t="shared" si="12"/>
        <v>141.14913541530973</v>
      </c>
      <c r="P26" s="954">
        <f t="shared" si="12"/>
        <v>246.01256983466396</v>
      </c>
      <c r="Q26" s="956">
        <f t="shared" si="10"/>
        <v>1746.7239902723491</v>
      </c>
      <c r="S26" s="949">
        <f>SUM(S22,S25)</f>
        <v>144.2830117032446</v>
      </c>
      <c r="T26" s="949">
        <f>SUM(T22,T25)</f>
        <v>141.14913541530973</v>
      </c>
      <c r="U26" s="949">
        <f>SUM(U22,U25)</f>
        <v>0</v>
      </c>
      <c r="V26" s="949">
        <f>SUM(V22,V25)</f>
        <v>285.43214711855421</v>
      </c>
      <c r="X26" s="954">
        <f>X22+X25</f>
        <v>1500.711420437684</v>
      </c>
      <c r="Z26" s="949">
        <f>SUM(Z22,Z25)</f>
        <v>301.8692825155631</v>
      </c>
      <c r="AA26" s="949">
        <f>SUM(AA22,AA25)</f>
        <v>441.64222847226029</v>
      </c>
      <c r="AB26" s="949">
        <f>SUM(AB22,AB25)</f>
        <v>471.76776233130749</v>
      </c>
      <c r="AC26" s="949">
        <f>SUM(AC22,AC25)</f>
        <v>531.44471695321818</v>
      </c>
      <c r="AD26" s="949">
        <f>SUM(AD22,AD25)</f>
        <v>1746.7239902723504</v>
      </c>
    </row>
    <row r="27" spans="1:30">
      <c r="A27" s="54"/>
      <c r="B27" s="957" t="s">
        <v>24</v>
      </c>
      <c r="C27" s="958"/>
      <c r="D27" s="958"/>
      <c r="E27" s="959">
        <f t="shared" ref="E27:Q27" si="13">E26/E18</f>
        <v>0.14060747945112423</v>
      </c>
      <c r="F27" s="960">
        <f t="shared" si="13"/>
        <v>0.14434812112952938</v>
      </c>
      <c r="G27" s="961">
        <f t="shared" si="13"/>
        <v>0.10754776551012478</v>
      </c>
      <c r="H27" s="961">
        <f t="shared" si="13"/>
        <v>0.14250080439526155</v>
      </c>
      <c r="I27" s="961">
        <f t="shared" si="13"/>
        <v>0.17680323679852522</v>
      </c>
      <c r="J27" s="961">
        <f t="shared" si="13"/>
        <v>0.18289011186853549</v>
      </c>
      <c r="K27" s="961">
        <f t="shared" si="13"/>
        <v>0.17860847681170999</v>
      </c>
      <c r="L27" s="961">
        <f t="shared" si="13"/>
        <v>0.14038104520874714</v>
      </c>
      <c r="M27" s="961">
        <f t="shared" si="13"/>
        <v>0.21922505614433932</v>
      </c>
      <c r="N27" s="962">
        <f t="shared" si="13"/>
        <v>0.1663329409493389</v>
      </c>
      <c r="O27" s="961">
        <f t="shared" si="13"/>
        <v>0.14130660449537316</v>
      </c>
      <c r="P27" s="961">
        <f t="shared" si="13"/>
        <v>0.17210559193860406</v>
      </c>
      <c r="Q27" s="963">
        <f t="shared" si="13"/>
        <v>0.16017169715510357</v>
      </c>
      <c r="S27" s="961">
        <f>S26/S18</f>
        <v>0.1663329409493389</v>
      </c>
      <c r="T27" s="961">
        <f>IFERROR(T26/T18,0)</f>
        <v>0.14130660449537316</v>
      </c>
      <c r="U27" s="961">
        <f>IFERROR(U26/U18,0)</f>
        <v>0</v>
      </c>
      <c r="V27" s="961">
        <f>IFERROR(V26/V18,0)</f>
        <v>0.15293843220981782</v>
      </c>
      <c r="X27" s="961">
        <f>X26/X18</f>
        <v>0.1583714824077071</v>
      </c>
      <c r="Z27" s="961">
        <f>Z26/Z18</f>
        <v>0.12791189324570318</v>
      </c>
      <c r="AA27" s="961">
        <f>IFERROR(AA26/AA18,0)</f>
        <v>0.16974321195029921</v>
      </c>
      <c r="AB27" s="961">
        <f>IFERROR(AB26/AB18,0)</f>
        <v>0.17817551624721575</v>
      </c>
      <c r="AC27" s="961">
        <f>IFERROR(AC26/AC18,0)</f>
        <v>0.16125158931373698</v>
      </c>
      <c r="AD27" s="961">
        <f>AD26/AD18</f>
        <v>0.16017169715510371</v>
      </c>
    </row>
    <row r="28" spans="1:30">
      <c r="A28" s="20"/>
      <c r="B28" s="20"/>
      <c r="C28" s="60" t="s">
        <v>25</v>
      </c>
      <c r="D28" s="21"/>
      <c r="E28" s="22">
        <f>Act!E28</f>
        <v>-29.170027381636</v>
      </c>
      <c r="F28" s="23">
        <f>Act!F28</f>
        <v>-21.18745361612903</v>
      </c>
      <c r="G28" s="23">
        <f>Act!G28</f>
        <v>-24.737889650671057</v>
      </c>
      <c r="H28" s="23">
        <f>Act!H28</f>
        <v>-25.384140255491335</v>
      </c>
      <c r="I28" s="23">
        <f>Act!I28</f>
        <v>-21.290418465395721</v>
      </c>
      <c r="J28" s="23">
        <f>Act!J28</f>
        <v>-24.075647198296117</v>
      </c>
      <c r="K28" s="23">
        <f>Act!K28</f>
        <v>-26.894852409046027</v>
      </c>
      <c r="L28" s="23">
        <f>Act!L28</f>
        <v>-23.077292290909099</v>
      </c>
      <c r="M28" s="23">
        <f>Act!M28</f>
        <v>-21.356696631458618</v>
      </c>
      <c r="N28" s="163">
        <f>'[29]Summary (mEUR)'!AE43</f>
        <v>-26.612439853284165</v>
      </c>
      <c r="O28" s="23">
        <f>'[29]Summary (mEUR)'!AF43</f>
        <v>-27.002141398786573</v>
      </c>
      <c r="P28" s="23">
        <f>'[29]Summary (mEUR)'!AG43</f>
        <v>-23.018219173386992</v>
      </c>
      <c r="Q28" s="109">
        <f t="shared" si="10"/>
        <v>-293.80721832449069</v>
      </c>
      <c r="S28" s="23">
        <f t="shared" ref="S28:U33" si="14">SUMIFS($E28:$P28,$E$3:$P$3,1,$E$5:$P$5,S$5)</f>
        <v>-26.612439853284165</v>
      </c>
      <c r="T28" s="23">
        <f t="shared" si="14"/>
        <v>-27.002141398786573</v>
      </c>
      <c r="U28" s="23">
        <f t="shared" si="14"/>
        <v>0</v>
      </c>
      <c r="V28" s="23">
        <f t="shared" ref="V28:V33" si="15">SUM(S28:U28)</f>
        <v>-53.614581252070735</v>
      </c>
      <c r="X28" s="23">
        <f t="shared" ref="X28:X33" si="16">SUMIF($E$2:$P$2,1,E28:P28)</f>
        <v>-270.78899915110372</v>
      </c>
      <c r="Z28" s="23">
        <f t="shared" ref="Z28:Z33" si="17">SUM(E28:G28)</f>
        <v>-75.095370648436088</v>
      </c>
      <c r="AA28" s="23">
        <f t="shared" ref="AA28:AA33" si="18">SUM(H28:J28)</f>
        <v>-70.750205919183173</v>
      </c>
      <c r="AB28" s="23">
        <f t="shared" ref="AB28:AB33" si="19">SUM(K28:M28)</f>
        <v>-71.328841331413742</v>
      </c>
      <c r="AC28" s="23">
        <f t="shared" ref="AC28:AC33" si="20">SUM(N28:P28)</f>
        <v>-76.632800425457731</v>
      </c>
      <c r="AD28" s="23">
        <f t="shared" ref="AD28:AD33" si="21">SUM(Z28:AC28)</f>
        <v>-293.80721832449075</v>
      </c>
    </row>
    <row r="29" spans="1:30">
      <c r="A29" s="20"/>
      <c r="B29" s="20"/>
      <c r="C29" s="60" t="s">
        <v>26</v>
      </c>
      <c r="D29" s="21"/>
      <c r="E29" s="22">
        <f>Act!E29</f>
        <v>-5.2709534000000007</v>
      </c>
      <c r="F29" s="23">
        <f>Act!F29</f>
        <v>5.3323574000000002</v>
      </c>
      <c r="G29" s="23">
        <f>Act!G29</f>
        <v>-3.6496299999999995E-2</v>
      </c>
      <c r="H29" s="23">
        <f>Act!H29</f>
        <v>-0.12485880000000001</v>
      </c>
      <c r="I29" s="23">
        <f>Act!I29</f>
        <v>-8.8965800000000497E-2</v>
      </c>
      <c r="J29" s="23">
        <f>Act!J29</f>
        <v>-0.17154370000000002</v>
      </c>
      <c r="K29" s="23">
        <f>Act!K29</f>
        <v>-0.18595979999999998</v>
      </c>
      <c r="L29" s="23">
        <f>Act!L29</f>
        <v>-0.15909600000000002</v>
      </c>
      <c r="M29" s="23">
        <f>Act!M29</f>
        <v>-0.62641879999999894</v>
      </c>
      <c r="N29" s="163">
        <f>'[29]Summary (mEUR)'!AE44</f>
        <v>-1.2445920000000001</v>
      </c>
      <c r="O29" s="23">
        <f>'[29]Summary (mEUR)'!AF44</f>
        <v>-0.42220004250792786</v>
      </c>
      <c r="P29" s="23">
        <f>'[29]Summary (mEUR)'!AG44</f>
        <v>-1.2479029759011455</v>
      </c>
      <c r="Q29" s="109">
        <f t="shared" si="10"/>
        <v>-4.2466302184090736</v>
      </c>
      <c r="S29" s="23">
        <f t="shared" si="14"/>
        <v>-1.2445920000000001</v>
      </c>
      <c r="T29" s="23">
        <f t="shared" si="14"/>
        <v>-0.42220004250792786</v>
      </c>
      <c r="U29" s="23">
        <f t="shared" si="14"/>
        <v>0</v>
      </c>
      <c r="V29" s="23">
        <f t="shared" si="15"/>
        <v>-1.6667920425079279</v>
      </c>
      <c r="X29" s="23">
        <f t="shared" si="16"/>
        <v>-2.9987272425079281</v>
      </c>
      <c r="Z29" s="23">
        <f t="shared" si="17"/>
        <v>2.4907699999999575E-2</v>
      </c>
      <c r="AA29" s="23">
        <f t="shared" si="18"/>
        <v>-0.38536830000000055</v>
      </c>
      <c r="AB29" s="23">
        <f t="shared" si="19"/>
        <v>-0.97147459999999897</v>
      </c>
      <c r="AC29" s="23">
        <f t="shared" si="20"/>
        <v>-2.9146950184090734</v>
      </c>
      <c r="AD29" s="23">
        <f t="shared" si="21"/>
        <v>-4.2466302184090736</v>
      </c>
    </row>
    <row r="30" spans="1:30">
      <c r="A30" s="20"/>
      <c r="B30" s="20"/>
      <c r="C30" s="60" t="s">
        <v>27</v>
      </c>
      <c r="D30" s="21"/>
      <c r="E30" s="22">
        <f>Act!E30</f>
        <v>0</v>
      </c>
      <c r="F30" s="23">
        <f>Act!F30</f>
        <v>0</v>
      </c>
      <c r="G30" s="23">
        <f>Act!G30</f>
        <v>0</v>
      </c>
      <c r="H30" s="23">
        <f>Act!H30</f>
        <v>0</v>
      </c>
      <c r="I30" s="23">
        <f>Act!I30</f>
        <v>0</v>
      </c>
      <c r="J30" s="23">
        <f>Act!J30</f>
        <v>0</v>
      </c>
      <c r="K30" s="23">
        <f>Act!K30</f>
        <v>0</v>
      </c>
      <c r="L30" s="23">
        <f>Act!L30</f>
        <v>0</v>
      </c>
      <c r="M30" s="23">
        <f>Act!M30</f>
        <v>0</v>
      </c>
      <c r="N30" s="163">
        <f>'[29]Summary (mEUR)'!AE45</f>
        <v>0</v>
      </c>
      <c r="O30" s="23">
        <f>'[29]Summary (mEUR)'!AF45</f>
        <v>0</v>
      </c>
      <c r="P30" s="23">
        <f>'[29]Summary (mEUR)'!AG45</f>
        <v>0</v>
      </c>
      <c r="Q30" s="109">
        <f t="shared" si="10"/>
        <v>0</v>
      </c>
      <c r="S30" s="23">
        <f t="shared" si="14"/>
        <v>0</v>
      </c>
      <c r="T30" s="23">
        <f t="shared" si="14"/>
        <v>0</v>
      </c>
      <c r="U30" s="23">
        <f t="shared" si="14"/>
        <v>0</v>
      </c>
      <c r="V30" s="23">
        <f t="shared" si="15"/>
        <v>0</v>
      </c>
      <c r="X30" s="23">
        <f t="shared" si="16"/>
        <v>0</v>
      </c>
      <c r="Z30" s="23">
        <f t="shared" si="17"/>
        <v>0</v>
      </c>
      <c r="AA30" s="23">
        <f t="shared" si="18"/>
        <v>0</v>
      </c>
      <c r="AB30" s="23">
        <f t="shared" si="19"/>
        <v>0</v>
      </c>
      <c r="AC30" s="23">
        <f t="shared" si="20"/>
        <v>0</v>
      </c>
      <c r="AD30" s="23">
        <f t="shared" si="21"/>
        <v>0</v>
      </c>
    </row>
    <row r="31" spans="1:30">
      <c r="A31" s="20"/>
      <c r="B31" s="20"/>
      <c r="C31" s="60" t="s">
        <v>28</v>
      </c>
      <c r="D31" s="21"/>
      <c r="E31" s="22">
        <f>Act!E31</f>
        <v>-22.075094200000002</v>
      </c>
      <c r="F31" s="23">
        <f>Act!F31</f>
        <v>-7.3505496000000097</v>
      </c>
      <c r="G31" s="23">
        <f>Act!G31</f>
        <v>-8.5696320999999909</v>
      </c>
      <c r="H31" s="23">
        <f>Act!H31</f>
        <v>-8.6392316999999981</v>
      </c>
      <c r="I31" s="23">
        <f>Act!I31</f>
        <v>-7.4864992000000239</v>
      </c>
      <c r="J31" s="23">
        <f>Act!J31</f>
        <v>-9.9282397999999965</v>
      </c>
      <c r="K31" s="23">
        <f>Act!K31</f>
        <v>-10.2821514</v>
      </c>
      <c r="L31" s="23">
        <f>Act!L31</f>
        <v>-9.4293348000000137</v>
      </c>
      <c r="M31" s="23">
        <f>Act!M31</f>
        <v>-10.019160399999958</v>
      </c>
      <c r="N31" s="163">
        <f>'[29]Summary (mEUR)'!AE46</f>
        <v>-8.6311958000000288</v>
      </c>
      <c r="O31" s="23">
        <f>'[29]Summary (mEUR)'!AF46</f>
        <v>-5.8328414206739323</v>
      </c>
      <c r="P31" s="23">
        <f>'[29]Summary (mEUR)'!AG46</f>
        <v>-9.0630430892846459</v>
      </c>
      <c r="Q31" s="109">
        <f t="shared" si="10"/>
        <v>-117.3069735099586</v>
      </c>
      <c r="S31" s="23">
        <f t="shared" si="14"/>
        <v>-8.6311958000000288</v>
      </c>
      <c r="T31" s="23">
        <f t="shared" si="14"/>
        <v>-5.8328414206739323</v>
      </c>
      <c r="U31" s="23">
        <f t="shared" si="14"/>
        <v>0</v>
      </c>
      <c r="V31" s="23">
        <f t="shared" si="15"/>
        <v>-14.464037220673962</v>
      </c>
      <c r="X31" s="23">
        <f t="shared" si="16"/>
        <v>-108.24393042067395</v>
      </c>
      <c r="Z31" s="23">
        <f t="shared" si="17"/>
        <v>-37.995275900000003</v>
      </c>
      <c r="AA31" s="23">
        <f t="shared" si="18"/>
        <v>-26.053970700000018</v>
      </c>
      <c r="AB31" s="23">
        <f t="shared" si="19"/>
        <v>-29.730646599999972</v>
      </c>
      <c r="AC31" s="23">
        <f t="shared" si="20"/>
        <v>-23.527080309958606</v>
      </c>
      <c r="AD31" s="23">
        <f t="shared" si="21"/>
        <v>-117.3069735099586</v>
      </c>
    </row>
    <row r="32" spans="1:30">
      <c r="A32" s="20"/>
      <c r="B32" s="20"/>
      <c r="C32" s="60" t="s">
        <v>29</v>
      </c>
      <c r="D32" s="21"/>
      <c r="E32" s="61">
        <f>Act!E32</f>
        <v>0</v>
      </c>
      <c r="F32" s="62">
        <f>Act!F32</f>
        <v>0</v>
      </c>
      <c r="G32" s="62">
        <f>Act!G32</f>
        <v>0</v>
      </c>
      <c r="H32" s="62">
        <f>Act!H32</f>
        <v>0</v>
      </c>
      <c r="I32" s="62">
        <f>Act!I32</f>
        <v>0</v>
      </c>
      <c r="J32" s="62">
        <f>Act!J32</f>
        <v>0</v>
      </c>
      <c r="K32" s="62">
        <f>Act!K32</f>
        <v>0</v>
      </c>
      <c r="L32" s="62">
        <f>Act!L32</f>
        <v>0</v>
      </c>
      <c r="M32" s="62">
        <f>Act!M32</f>
        <v>0</v>
      </c>
      <c r="N32" s="163">
        <f>'[29]Summary (mEUR)'!AE47</f>
        <v>0</v>
      </c>
      <c r="O32" s="62">
        <f>'[29]Summary (mEUR)'!AF47</f>
        <v>0</v>
      </c>
      <c r="P32" s="62">
        <f>'[29]Summary (mEUR)'!AG47</f>
        <v>0</v>
      </c>
      <c r="Q32" s="62">
        <f t="shared" si="10"/>
        <v>0</v>
      </c>
      <c r="S32" s="62">
        <f t="shared" si="14"/>
        <v>0</v>
      </c>
      <c r="T32" s="62">
        <f t="shared" si="14"/>
        <v>0</v>
      </c>
      <c r="U32" s="62">
        <f t="shared" si="14"/>
        <v>0</v>
      </c>
      <c r="V32" s="62">
        <f t="shared" si="15"/>
        <v>0</v>
      </c>
      <c r="X32" s="62">
        <f t="shared" si="16"/>
        <v>0</v>
      </c>
      <c r="Z32" s="62">
        <f t="shared" si="17"/>
        <v>0</v>
      </c>
      <c r="AA32" s="62">
        <f t="shared" si="18"/>
        <v>0</v>
      </c>
      <c r="AB32" s="62">
        <f t="shared" si="19"/>
        <v>0</v>
      </c>
      <c r="AC32" s="62">
        <f t="shared" si="20"/>
        <v>0</v>
      </c>
      <c r="AD32" s="62">
        <f t="shared" si="21"/>
        <v>0</v>
      </c>
    </row>
    <row r="33" spans="1:30">
      <c r="A33" s="20"/>
      <c r="B33" s="30"/>
      <c r="C33" s="63" t="s">
        <v>30</v>
      </c>
      <c r="D33" s="31"/>
      <c r="E33" s="45">
        <f>Act!E33</f>
        <v>-10.598455638364001</v>
      </c>
      <c r="F33" s="46">
        <f>Act!F33</f>
        <v>-7.2973572198709657</v>
      </c>
      <c r="G33" s="46">
        <f>Act!G33</f>
        <v>-8.2733199583289405</v>
      </c>
      <c r="H33" s="46">
        <f>Act!H33</f>
        <v>-8.8285599855086669</v>
      </c>
      <c r="I33" s="46">
        <f>Act!I33</f>
        <v>-8.1039181756042815</v>
      </c>
      <c r="J33" s="46">
        <f>Act!J33</f>
        <v>-14.384273848703881</v>
      </c>
      <c r="K33" s="46">
        <f>Act!K33</f>
        <v>-11.676647556953974</v>
      </c>
      <c r="L33" s="46">
        <f>Act!L33</f>
        <v>-11.569580245090913</v>
      </c>
      <c r="M33" s="46">
        <f>Act!M33</f>
        <v>-12.343990577541383</v>
      </c>
      <c r="N33" s="174">
        <f>'[29]Summary (mEUR)'!AE48</f>
        <v>-12.553721652715829</v>
      </c>
      <c r="O33" s="46">
        <f>'[29]Summary (mEUR)'!AF48</f>
        <v>-19.115940716790718</v>
      </c>
      <c r="P33" s="46">
        <f>'[29]Summary (mEUR)'!AG48</f>
        <v>-12.984002155745666</v>
      </c>
      <c r="Q33" s="111">
        <f t="shared" si="10"/>
        <v>-137.72976773121923</v>
      </c>
      <c r="S33" s="46">
        <f t="shared" si="14"/>
        <v>-12.553721652715829</v>
      </c>
      <c r="T33" s="46">
        <f t="shared" si="14"/>
        <v>-19.115940716790718</v>
      </c>
      <c r="U33" s="46">
        <f t="shared" si="14"/>
        <v>0</v>
      </c>
      <c r="V33" s="46">
        <f t="shared" si="15"/>
        <v>-31.669662369506547</v>
      </c>
      <c r="X33" s="46">
        <f t="shared" si="16"/>
        <v>-124.74576557547356</v>
      </c>
      <c r="Z33" s="46">
        <f t="shared" si="17"/>
        <v>-26.169132816563909</v>
      </c>
      <c r="AA33" s="46">
        <f t="shared" si="18"/>
        <v>-31.316752009816827</v>
      </c>
      <c r="AB33" s="46">
        <f t="shared" si="19"/>
        <v>-35.590218379586268</v>
      </c>
      <c r="AC33" s="46">
        <f t="shared" si="20"/>
        <v>-44.653664525252211</v>
      </c>
      <c r="AD33" s="46">
        <f t="shared" si="21"/>
        <v>-137.72976773121923</v>
      </c>
    </row>
    <row r="34" spans="1:30">
      <c r="A34" s="30"/>
      <c r="B34" s="31" t="s">
        <v>31</v>
      </c>
      <c r="C34" s="21"/>
      <c r="D34" s="21"/>
      <c r="E34" s="64">
        <f t="shared" ref="E34:P34" si="22">SUM(E28:E30,E31:E33)</f>
        <v>-67.114530620000011</v>
      </c>
      <c r="F34" s="65">
        <f t="shared" si="22"/>
        <v>-30.50300303600001</v>
      </c>
      <c r="G34" s="66">
        <f t="shared" si="22"/>
        <v>-41.617338008999987</v>
      </c>
      <c r="H34" s="66">
        <f t="shared" si="22"/>
        <v>-42.976790741000002</v>
      </c>
      <c r="I34" s="66">
        <f t="shared" si="22"/>
        <v>-36.969801641000032</v>
      </c>
      <c r="J34" s="66">
        <f t="shared" si="22"/>
        <v>-48.559704546999996</v>
      </c>
      <c r="K34" s="66">
        <f t="shared" si="22"/>
        <v>-49.039611166</v>
      </c>
      <c r="L34" s="66">
        <f t="shared" si="22"/>
        <v>-44.235303336000023</v>
      </c>
      <c r="M34" s="66">
        <f t="shared" si="22"/>
        <v>-44.346266408999959</v>
      </c>
      <c r="N34" s="186">
        <f t="shared" si="22"/>
        <v>-49.041949306000028</v>
      </c>
      <c r="O34" s="66">
        <f t="shared" si="22"/>
        <v>-52.373123578759149</v>
      </c>
      <c r="P34" s="66">
        <f t="shared" si="22"/>
        <v>-46.313167394318448</v>
      </c>
      <c r="Q34" s="114">
        <f t="shared" si="10"/>
        <v>-553.09058978407768</v>
      </c>
      <c r="S34" s="66">
        <f>SUM(S28:S30,S31:S33)</f>
        <v>-49.041949306000028</v>
      </c>
      <c r="T34" s="66">
        <f>SUM(T28:T30,T31:T33)</f>
        <v>-52.373123578759149</v>
      </c>
      <c r="U34" s="66">
        <f>SUM(U28:U30,U31:U33)</f>
        <v>0</v>
      </c>
      <c r="V34" s="66">
        <f>SUM(V28:V30,V31:V33)</f>
        <v>-101.41507288475918</v>
      </c>
      <c r="X34" s="66">
        <f>SUM(X28:X30,X31:X33)</f>
        <v>-506.77742238975918</v>
      </c>
      <c r="Z34" s="66">
        <f>SUM(Z28:Z30,Z31:Z33)</f>
        <v>-139.23487166500001</v>
      </c>
      <c r="AA34" s="66">
        <f>SUM(AA28:AA30,AA31:AA33)</f>
        <v>-128.50629692900003</v>
      </c>
      <c r="AB34" s="66">
        <f>SUM(AB28:AB30,AB31:AB33)</f>
        <v>-137.62118091099998</v>
      </c>
      <c r="AC34" s="66">
        <f>SUM(AC28:AC30,AC31:AC33)</f>
        <v>-147.72824027907762</v>
      </c>
      <c r="AD34" s="66">
        <f>SUM(AD28:AD30,AD31:AD33)</f>
        <v>-553.09058978407757</v>
      </c>
    </row>
    <row r="35" spans="1:30">
      <c r="A35" s="20"/>
      <c r="B35" s="20"/>
      <c r="C35" s="67" t="s">
        <v>32</v>
      </c>
      <c r="D35" s="17"/>
      <c r="E35" s="18">
        <f>Act!E35</f>
        <v>-21.268724286000001</v>
      </c>
      <c r="F35" s="941">
        <f>Act!F35</f>
        <v>-29.590592390000001</v>
      </c>
      <c r="G35" s="941">
        <f>Act!G35</f>
        <v>-30.952623228649806</v>
      </c>
      <c r="H35" s="941">
        <f>Act!H35</f>
        <v>-26.437131634000004</v>
      </c>
      <c r="I35" s="941">
        <f>Act!I35</f>
        <v>-21.682589371999999</v>
      </c>
      <c r="J35" s="941">
        <f>Act!J35</f>
        <v>-32.637590355999997</v>
      </c>
      <c r="K35" s="941">
        <f>Act!K35</f>
        <v>-30.529672399999995</v>
      </c>
      <c r="L35" s="941">
        <f>Act!L35</f>
        <v>-23.951743748909092</v>
      </c>
      <c r="M35" s="941">
        <f>Act!M35</f>
        <v>-16.538548377997799</v>
      </c>
      <c r="N35" s="942">
        <f>'[29]Summary (mEUR)'!AE50</f>
        <v>-26.036586915000001</v>
      </c>
      <c r="O35" s="941">
        <f>'[29]Summary (mEUR)'!AF50</f>
        <v>-29.103860806038227</v>
      </c>
      <c r="P35" s="941">
        <f>'[29]Summary (mEUR)'!AG50</f>
        <v>-24.082792640181903</v>
      </c>
      <c r="Q35" s="943">
        <f t="shared" si="10"/>
        <v>-312.81245615477678</v>
      </c>
      <c r="S35" s="941">
        <f t="shared" ref="S35:U37" si="23">SUMIFS($E35:$P35,$E$3:$P$3,1,$E$5:$P$5,S$5)</f>
        <v>-26.036586915000001</v>
      </c>
      <c r="T35" s="941">
        <f t="shared" si="23"/>
        <v>-29.103860806038227</v>
      </c>
      <c r="U35" s="941">
        <f t="shared" si="23"/>
        <v>0</v>
      </c>
      <c r="V35" s="941">
        <f>SUM(S35:U35)</f>
        <v>-55.140447721038228</v>
      </c>
      <c r="X35" s="941">
        <f>SUMIF($E$2:$P$2,1,E35:P35)</f>
        <v>-288.7296635145949</v>
      </c>
      <c r="Z35" s="941">
        <f>SUM(E35:G35)</f>
        <v>-81.811939904649819</v>
      </c>
      <c r="AA35" s="941">
        <f>SUM(H35:J35)</f>
        <v>-80.757311361999996</v>
      </c>
      <c r="AB35" s="941">
        <f>SUM(K35:M35)</f>
        <v>-71.01996452690689</v>
      </c>
      <c r="AC35" s="941">
        <f>SUM(N35:P35)</f>
        <v>-79.223240361220135</v>
      </c>
      <c r="AD35" s="941">
        <f>SUM(Z35:AC35)</f>
        <v>-312.81245615477684</v>
      </c>
    </row>
    <row r="36" spans="1:30">
      <c r="A36" s="20"/>
      <c r="B36" s="20"/>
      <c r="C36" s="462" t="s">
        <v>300</v>
      </c>
      <c r="D36" s="21"/>
      <c r="E36" s="22"/>
      <c r="F36" s="23"/>
      <c r="G36" s="23"/>
      <c r="H36" s="23"/>
      <c r="I36" s="23"/>
      <c r="J36" s="23"/>
      <c r="K36" s="23"/>
      <c r="L36" s="23"/>
      <c r="M36" s="23"/>
      <c r="N36" s="163"/>
      <c r="O36" s="23"/>
      <c r="P36" s="23"/>
      <c r="Q36" s="109">
        <f t="shared" si="10"/>
        <v>0</v>
      </c>
      <c r="S36" s="23">
        <f t="shared" si="23"/>
        <v>0</v>
      </c>
      <c r="T36" s="23">
        <f t="shared" si="23"/>
        <v>0</v>
      </c>
      <c r="U36" s="23">
        <f t="shared" si="23"/>
        <v>0</v>
      </c>
      <c r="V36" s="23">
        <f>SUM(S36:U36)</f>
        <v>0</v>
      </c>
      <c r="X36" s="23">
        <f>SUMIF($E$2:$P$2,1,E36:P36)</f>
        <v>0</v>
      </c>
      <c r="Z36" s="23">
        <f>SUM(E36:G36)</f>
        <v>0</v>
      </c>
      <c r="AA36" s="23">
        <f>SUM(H36:J36)</f>
        <v>0</v>
      </c>
      <c r="AB36" s="23">
        <f>SUM(K36:M36)</f>
        <v>0</v>
      </c>
      <c r="AC36" s="23">
        <f>SUM(N36:P36)</f>
        <v>0</v>
      </c>
      <c r="AD36" s="23">
        <f>SUM(Z36:AC36)</f>
        <v>0</v>
      </c>
    </row>
    <row r="37" spans="1:30">
      <c r="A37" s="20"/>
      <c r="B37" s="30"/>
      <c r="C37" s="463" t="s">
        <v>299</v>
      </c>
      <c r="D37" s="31"/>
      <c r="E37" s="45">
        <f>Act!E37</f>
        <v>-4.9093125139999998</v>
      </c>
      <c r="F37" s="46">
        <f>Act!F37</f>
        <v>-3.2674163100000051</v>
      </c>
      <c r="G37" s="46">
        <f>Act!G37</f>
        <v>-9.4938384713501947</v>
      </c>
      <c r="H37" s="46">
        <f>Act!H37</f>
        <v>-5.2961899659999929</v>
      </c>
      <c r="I37" s="46">
        <f>Act!I37</f>
        <v>-4.6916916279999974</v>
      </c>
      <c r="J37" s="46">
        <f>Act!J37</f>
        <v>-10.533788644000005</v>
      </c>
      <c r="K37" s="46">
        <f>Act!K37</f>
        <v>-8.4724624819050049</v>
      </c>
      <c r="L37" s="46">
        <f>Act!L37</f>
        <v>-4.8106854510909081</v>
      </c>
      <c r="M37" s="46">
        <f>Act!M37</f>
        <v>-8.5694506738021907</v>
      </c>
      <c r="N37" s="174">
        <f>SUM('[29]Summary (mEUR)'!AE51:AE55)</f>
        <v>-5.7556091849999937</v>
      </c>
      <c r="O37" s="46">
        <f>SUM('[29]Summary (mEUR)'!AF51:AF55)</f>
        <v>-5.8986338421293887</v>
      </c>
      <c r="P37" s="46">
        <f>SUM('[29]Summary (mEUR)'!AG51:AG55)</f>
        <v>-9.3400374265507615</v>
      </c>
      <c r="Q37" s="111">
        <f t="shared" si="10"/>
        <v>-81.039116593828453</v>
      </c>
      <c r="S37" s="46">
        <f t="shared" si="23"/>
        <v>-5.7556091849999937</v>
      </c>
      <c r="T37" s="46">
        <f t="shared" si="23"/>
        <v>-5.8986338421293887</v>
      </c>
      <c r="U37" s="46">
        <f t="shared" si="23"/>
        <v>0</v>
      </c>
      <c r="V37" s="46">
        <f>SUM(S37:U37)</f>
        <v>-11.654243027129382</v>
      </c>
      <c r="X37" s="46">
        <f>SUMIF($E$2:$P$2,1,E37:P37)</f>
        <v>-71.699079167277688</v>
      </c>
      <c r="Z37" s="46">
        <f>SUM(E37:G37)</f>
        <v>-17.6705672953502</v>
      </c>
      <c r="AA37" s="46">
        <f>SUM(H37:J37)</f>
        <v>-20.521670237999995</v>
      </c>
      <c r="AB37" s="46">
        <f>SUM(K37:M37)</f>
        <v>-21.852598606798104</v>
      </c>
      <c r="AC37" s="46">
        <f>SUM(N37:P37)</f>
        <v>-20.994280453680144</v>
      </c>
      <c r="AD37" s="46">
        <f>SUM(Z37:AC37)</f>
        <v>-81.039116593828439</v>
      </c>
    </row>
    <row r="38" spans="1:30">
      <c r="A38" s="30"/>
      <c r="B38" s="31" t="s">
        <v>34</v>
      </c>
      <c r="C38" s="21"/>
      <c r="D38" s="21"/>
      <c r="E38" s="68">
        <f t="shared" ref="E38:P38" si="24">SUM(E35:E37)</f>
        <v>-26.178036800000001</v>
      </c>
      <c r="F38" s="69">
        <f t="shared" si="24"/>
        <v>-32.858008700000006</v>
      </c>
      <c r="G38" s="70">
        <f t="shared" si="24"/>
        <v>-40.4464617</v>
      </c>
      <c r="H38" s="70">
        <f t="shared" si="24"/>
        <v>-31.733321599999996</v>
      </c>
      <c r="I38" s="70">
        <f t="shared" si="24"/>
        <v>-26.374280999999996</v>
      </c>
      <c r="J38" s="70">
        <f t="shared" si="24"/>
        <v>-43.171379000000002</v>
      </c>
      <c r="K38" s="70">
        <f t="shared" si="24"/>
        <v>-39.002134881905</v>
      </c>
      <c r="L38" s="70">
        <f t="shared" si="24"/>
        <v>-28.7624292</v>
      </c>
      <c r="M38" s="70">
        <f t="shared" si="24"/>
        <v>-25.10799905179999</v>
      </c>
      <c r="N38" s="201">
        <f t="shared" si="24"/>
        <v>-31.792196099999995</v>
      </c>
      <c r="O38" s="70">
        <f t="shared" si="24"/>
        <v>-35.002494648167612</v>
      </c>
      <c r="P38" s="70">
        <f t="shared" si="24"/>
        <v>-33.422830066732665</v>
      </c>
      <c r="Q38" s="114">
        <f t="shared" si="10"/>
        <v>-393.85157274860529</v>
      </c>
      <c r="S38" s="70">
        <f>SUM(S35:S37)</f>
        <v>-31.792196099999995</v>
      </c>
      <c r="T38" s="70">
        <f>SUM(T35:T37)</f>
        <v>-35.002494648167612</v>
      </c>
      <c r="U38" s="70">
        <f>SUM(U35:U37)</f>
        <v>0</v>
      </c>
      <c r="V38" s="70">
        <f>SUM(V35:V37)</f>
        <v>-66.794690748167611</v>
      </c>
      <c r="X38" s="70">
        <f>SUM(X35:X37)</f>
        <v>-360.42874268187256</v>
      </c>
      <c r="Z38" s="70">
        <f>SUM(Z35:Z37)</f>
        <v>-99.482507200000015</v>
      </c>
      <c r="AA38" s="70">
        <f>SUM(AA35:AA37)</f>
        <v>-101.27898159999999</v>
      </c>
      <c r="AB38" s="70">
        <f>SUM(AB35:AB37)</f>
        <v>-92.872563133705</v>
      </c>
      <c r="AC38" s="70">
        <f>SUM(AC35:AC37)</f>
        <v>-100.21752081490028</v>
      </c>
      <c r="AD38" s="70">
        <f>SUM(AD35:AD37)</f>
        <v>-393.85157274860529</v>
      </c>
    </row>
    <row r="39" spans="1:30">
      <c r="A39" s="71"/>
      <c r="B39" s="964"/>
      <c r="C39" s="73" t="s">
        <v>35</v>
      </c>
      <c r="D39" s="17"/>
      <c r="E39" s="61"/>
      <c r="F39" s="62"/>
      <c r="G39" s="62"/>
      <c r="H39" s="62"/>
      <c r="I39" s="62"/>
      <c r="J39" s="62"/>
      <c r="K39" s="62"/>
      <c r="L39" s="62"/>
      <c r="M39" s="62"/>
      <c r="N39" s="163"/>
      <c r="O39" s="62"/>
      <c r="P39" s="62"/>
      <c r="Q39" s="965">
        <f t="shared" si="10"/>
        <v>0</v>
      </c>
      <c r="S39" s="62"/>
      <c r="T39" s="62"/>
      <c r="U39" s="62"/>
      <c r="V39" s="62"/>
      <c r="X39" s="62"/>
      <c r="Z39" s="62"/>
      <c r="AA39" s="62"/>
      <c r="AB39" s="62"/>
      <c r="AC39" s="62"/>
      <c r="AD39" s="62"/>
    </row>
    <row r="40" spans="1:30">
      <c r="A40" s="74"/>
      <c r="B40" s="71"/>
      <c r="C40" s="75" t="s">
        <v>36</v>
      </c>
      <c r="D40" s="21"/>
      <c r="E40" s="22"/>
      <c r="F40" s="23"/>
      <c r="G40" s="23"/>
      <c r="H40" s="23"/>
      <c r="I40" s="23"/>
      <c r="J40" s="23"/>
      <c r="K40" s="23"/>
      <c r="L40" s="23"/>
      <c r="M40" s="23"/>
      <c r="N40" s="163"/>
      <c r="O40" s="23"/>
      <c r="P40" s="23"/>
      <c r="Q40" s="109">
        <f t="shared" si="10"/>
        <v>0</v>
      </c>
      <c r="S40" s="23"/>
      <c r="T40" s="23"/>
      <c r="U40" s="23"/>
      <c r="V40" s="23"/>
      <c r="X40" s="23"/>
      <c r="Z40" s="23"/>
      <c r="AA40" s="23"/>
      <c r="AB40" s="23"/>
      <c r="AC40" s="23"/>
      <c r="AD40" s="23"/>
    </row>
    <row r="41" spans="1:30">
      <c r="A41" s="74"/>
      <c r="B41" s="71"/>
      <c r="C41" s="60" t="s">
        <v>37</v>
      </c>
      <c r="D41" s="21"/>
      <c r="E41" s="22">
        <f>Act!E41</f>
        <v>-37.389420916999995</v>
      </c>
      <c r="F41" s="23">
        <f>Act!F41</f>
        <v>-29.881607848000002</v>
      </c>
      <c r="G41" s="23">
        <f>Act!G41</f>
        <v>-39.768504309000001</v>
      </c>
      <c r="H41" s="23">
        <f>Act!H41</f>
        <v>-35.318561353</v>
      </c>
      <c r="I41" s="23">
        <f>Act!I41</f>
        <v>-31.778330893000003</v>
      </c>
      <c r="J41" s="23">
        <f>Act!J41</f>
        <v>-35.268115913999999</v>
      </c>
      <c r="K41" s="23">
        <f>Act!K41</f>
        <v>-35.747137813000002</v>
      </c>
      <c r="L41" s="23">
        <f>Act!L41</f>
        <v>-33.939043177999999</v>
      </c>
      <c r="M41" s="23">
        <f>Act!M41</f>
        <v>-32.031065753</v>
      </c>
      <c r="N41" s="163">
        <f>'[29]Summary (mEUR)'!AE58</f>
        <v>-34.384496372999998</v>
      </c>
      <c r="O41" s="23">
        <f>'[29]Summary (mEUR)'!AF58</f>
        <v>-32.015299488000004</v>
      </c>
      <c r="P41" s="23">
        <f>'[29]Summary (mEUR)'!AG58</f>
        <v>-29.894135939999998</v>
      </c>
      <c r="Q41" s="109">
        <f t="shared" si="10"/>
        <v>-407.41571977899997</v>
      </c>
      <c r="S41" s="23">
        <f>SUMIFS($E41:$P41,$E$3:$P$3,1,$E$5:$P$5,S$5)</f>
        <v>-34.384496372999998</v>
      </c>
      <c r="T41" s="23">
        <f>SUMIFS($E41:$P41,$E$3:$P$3,1,$E$5:$P$5,T$5)</f>
        <v>-32.015299488000004</v>
      </c>
      <c r="U41" s="23">
        <f>SUMIFS($E41:$P41,$E$3:$P$3,1,$E$5:$P$5,U$5)</f>
        <v>0</v>
      </c>
      <c r="V41" s="23">
        <f>SUM(S41:U41)</f>
        <v>-66.399795861000001</v>
      </c>
      <c r="X41" s="23">
        <f>SUMIF($E$2:$P$2,1,E41:P41)</f>
        <v>-377.52158383899996</v>
      </c>
      <c r="Z41" s="23">
        <f>SUM(E41:G41)</f>
        <v>-107.03953307399999</v>
      </c>
      <c r="AA41" s="23">
        <f>SUM(H41:J41)</f>
        <v>-102.36500816</v>
      </c>
      <c r="AB41" s="23">
        <f>SUM(K41:M41)</f>
        <v>-101.71724674399999</v>
      </c>
      <c r="AC41" s="23">
        <f>SUM(N41:P41)</f>
        <v>-96.293931800999999</v>
      </c>
      <c r="AD41" s="23">
        <f>SUM(Z41:AC41)</f>
        <v>-407.41571977899997</v>
      </c>
    </row>
    <row r="42" spans="1:30">
      <c r="A42" s="74"/>
      <c r="B42" s="71"/>
      <c r="C42" s="76" t="s">
        <v>38</v>
      </c>
      <c r="D42" s="21"/>
      <c r="E42" s="22"/>
      <c r="F42" s="23"/>
      <c r="G42" s="23"/>
      <c r="H42" s="23"/>
      <c r="I42" s="23"/>
      <c r="J42" s="23"/>
      <c r="K42" s="23"/>
      <c r="L42" s="23"/>
      <c r="M42" s="23"/>
      <c r="N42" s="163"/>
      <c r="O42" s="23"/>
      <c r="P42" s="23"/>
      <c r="Q42" s="109">
        <f t="shared" si="10"/>
        <v>0</v>
      </c>
      <c r="S42" s="23"/>
      <c r="T42" s="23"/>
      <c r="U42" s="23"/>
      <c r="V42" s="23"/>
      <c r="X42" s="23"/>
      <c r="Z42" s="23"/>
      <c r="AA42" s="23"/>
      <c r="AB42" s="23"/>
      <c r="AC42" s="23"/>
      <c r="AD42" s="23"/>
    </row>
    <row r="43" spans="1:30">
      <c r="A43" s="74"/>
      <c r="B43" s="71"/>
      <c r="C43" s="60" t="s">
        <v>39</v>
      </c>
      <c r="D43" s="21"/>
      <c r="E43" s="22">
        <f>Act!E43</f>
        <v>2.2106839143449135</v>
      </c>
      <c r="F43" s="23">
        <f>Act!F43</f>
        <v>2.0894766685329129</v>
      </c>
      <c r="G43" s="23">
        <f>Act!G43</f>
        <v>2.2799490982448782</v>
      </c>
      <c r="H43" s="23">
        <f>Act!H43</f>
        <v>2.4858819092374485</v>
      </c>
      <c r="I43" s="23">
        <f>Act!I43</f>
        <v>2.0734510037522687</v>
      </c>
      <c r="J43" s="23">
        <f>Act!J43</f>
        <v>1.9017874999426483</v>
      </c>
      <c r="K43" s="23">
        <f>Act!K43</f>
        <v>-1.7987944870558459</v>
      </c>
      <c r="L43" s="23">
        <f>Act!L43</f>
        <v>1.052079276941204</v>
      </c>
      <c r="M43" s="23">
        <f>Act!M43</f>
        <v>0.99237992570183486</v>
      </c>
      <c r="N43" s="163">
        <f>'[29]Summary (mEUR)'!AE59</f>
        <v>1.1941014209842464</v>
      </c>
      <c r="O43" s="23">
        <f>'[29]Summary (mEUR)'!AF59</f>
        <v>1.5284342684476986</v>
      </c>
      <c r="P43" s="23">
        <f>'[29]Summary (mEUR)'!AG59</f>
        <v>1.5321315855431801</v>
      </c>
      <c r="Q43" s="109">
        <f t="shared" si="10"/>
        <v>17.541562084617386</v>
      </c>
      <c r="S43" s="23">
        <f>SUMIFS($E43:$P43,$E$3:$P$3,1,$E$5:$P$5,S$5)</f>
        <v>1.1941014209842464</v>
      </c>
      <c r="T43" s="23">
        <f>SUMIFS($E43:$P43,$E$3:$P$3,1,$E$5:$P$5,T$5)</f>
        <v>1.5284342684476986</v>
      </c>
      <c r="U43" s="23">
        <f>SUMIFS($E43:$P43,$E$3:$P$3,1,$E$5:$P$5,U$5)</f>
        <v>0</v>
      </c>
      <c r="V43" s="23">
        <f>SUM(S43:U43)</f>
        <v>2.722535689431945</v>
      </c>
      <c r="X43" s="23">
        <f>SUMIF($E$2:$P$2,1,E43:P43)</f>
        <v>16.009430499074206</v>
      </c>
      <c r="Z43" s="23">
        <f>SUM(E43:G43)</f>
        <v>6.5801096811227042</v>
      </c>
      <c r="AA43" s="23">
        <f>SUM(H43:J43)</f>
        <v>6.4611204129323649</v>
      </c>
      <c r="AB43" s="23">
        <f>SUM(K43:M43)</f>
        <v>0.24566471558719294</v>
      </c>
      <c r="AC43" s="23">
        <f>SUM(N43:P43)</f>
        <v>4.2546672749751249</v>
      </c>
      <c r="AD43" s="23">
        <f>SUM(Z43:AC43)</f>
        <v>17.541562084617389</v>
      </c>
    </row>
    <row r="44" spans="1:30">
      <c r="A44" s="77"/>
      <c r="B44" s="17" t="s">
        <v>40</v>
      </c>
      <c r="C44" s="17"/>
      <c r="D44" s="17"/>
      <c r="E44" s="38">
        <f t="shared" ref="E44:P44" si="25">SUM(E39:E43)</f>
        <v>-35.178737002655083</v>
      </c>
      <c r="F44" s="948">
        <f t="shared" si="25"/>
        <v>-27.792131179467088</v>
      </c>
      <c r="G44" s="949">
        <f t="shared" si="25"/>
        <v>-37.488555210755123</v>
      </c>
      <c r="H44" s="949">
        <f t="shared" si="25"/>
        <v>-32.832679443762551</v>
      </c>
      <c r="I44" s="949">
        <f t="shared" si="25"/>
        <v>-29.704879889247735</v>
      </c>
      <c r="J44" s="949">
        <f t="shared" si="25"/>
        <v>-33.36632841405735</v>
      </c>
      <c r="K44" s="949">
        <f t="shared" si="25"/>
        <v>-37.545932300055846</v>
      </c>
      <c r="L44" s="949">
        <f t="shared" si="25"/>
        <v>-32.886963901058792</v>
      </c>
      <c r="M44" s="949">
        <f t="shared" si="25"/>
        <v>-31.038685827298167</v>
      </c>
      <c r="N44" s="950">
        <f t="shared" si="25"/>
        <v>-33.190394952015751</v>
      </c>
      <c r="O44" s="949">
        <f t="shared" si="25"/>
        <v>-30.486865219552307</v>
      </c>
      <c r="P44" s="949">
        <f t="shared" si="25"/>
        <v>-28.362004354456818</v>
      </c>
      <c r="Q44" s="951">
        <f t="shared" si="10"/>
        <v>-389.87415769438269</v>
      </c>
      <c r="S44" s="949">
        <f>SUM(S39:S43)</f>
        <v>-33.190394952015751</v>
      </c>
      <c r="T44" s="949">
        <f>SUM(T39:T43)</f>
        <v>-30.486865219552307</v>
      </c>
      <c r="U44" s="949">
        <f>SUM(U39:U43)</f>
        <v>0</v>
      </c>
      <c r="V44" s="949">
        <f>SUM(V39:V43)</f>
        <v>-63.677260171568058</v>
      </c>
      <c r="X44" s="949">
        <f>SUM(X39:X43)</f>
        <v>-361.51215333992576</v>
      </c>
      <c r="Z44" s="949">
        <f>SUM(Z39:Z43)</f>
        <v>-100.45942339287728</v>
      </c>
      <c r="AA44" s="949">
        <f>SUM(AA39:AA43)</f>
        <v>-95.903887747067643</v>
      </c>
      <c r="AB44" s="949">
        <f>SUM(AB39:AB43)</f>
        <v>-101.4715820284128</v>
      </c>
      <c r="AC44" s="949">
        <f>SUM(AC39:AC43)</f>
        <v>-92.03926452602488</v>
      </c>
      <c r="AD44" s="949">
        <f>SUM(AD39:AD43)</f>
        <v>-389.87415769438257</v>
      </c>
    </row>
    <row r="45" spans="1:30">
      <c r="A45" s="78" t="s">
        <v>41</v>
      </c>
      <c r="B45" s="73"/>
      <c r="C45" s="73"/>
      <c r="D45" s="73"/>
      <c r="E45" s="51">
        <f t="shared" ref="E45:P45" si="26">SUM(E44,E38,E34)</f>
        <v>-128.47130442265509</v>
      </c>
      <c r="F45" s="953">
        <f t="shared" si="26"/>
        <v>-91.1531429154671</v>
      </c>
      <c r="G45" s="954">
        <f t="shared" si="26"/>
        <v>-119.55235491975512</v>
      </c>
      <c r="H45" s="954">
        <f t="shared" si="26"/>
        <v>-107.54279178476256</v>
      </c>
      <c r="I45" s="954">
        <f t="shared" si="26"/>
        <v>-93.048962530247763</v>
      </c>
      <c r="J45" s="954">
        <f t="shared" si="26"/>
        <v>-125.09741196105735</v>
      </c>
      <c r="K45" s="954">
        <f t="shared" si="26"/>
        <v>-125.58767834796085</v>
      </c>
      <c r="L45" s="954">
        <f t="shared" si="26"/>
        <v>-105.88469643705881</v>
      </c>
      <c r="M45" s="954">
        <f t="shared" si="26"/>
        <v>-100.49295128809811</v>
      </c>
      <c r="N45" s="955">
        <f t="shared" si="26"/>
        <v>-114.02454035801577</v>
      </c>
      <c r="O45" s="954">
        <f t="shared" si="26"/>
        <v>-117.86248344647906</v>
      </c>
      <c r="P45" s="954">
        <f t="shared" si="26"/>
        <v>-108.09800181550793</v>
      </c>
      <c r="Q45" s="956">
        <f t="shared" si="10"/>
        <v>-1336.8163202270653</v>
      </c>
      <c r="S45" s="954">
        <f>SUM(S44,S38,S34)</f>
        <v>-114.02454035801577</v>
      </c>
      <c r="T45" s="954">
        <f>SUM(T44,T38,T34)</f>
        <v>-117.86248344647906</v>
      </c>
      <c r="U45" s="954">
        <f>SUM(U44,U38,U34)</f>
        <v>0</v>
      </c>
      <c r="V45" s="954">
        <f>SUM(V44,V38,V34)</f>
        <v>-231.88702380449485</v>
      </c>
      <c r="X45" s="954">
        <f>SUM(X44,X38,X34)</f>
        <v>-1228.7183184115574</v>
      </c>
      <c r="Z45" s="954">
        <f>SUM(Z44,Z38,Z34)</f>
        <v>-339.17680225787728</v>
      </c>
      <c r="AA45" s="954">
        <f>SUM(AA44,AA38,AA34)</f>
        <v>-325.68916627606768</v>
      </c>
      <c r="AB45" s="954">
        <f>SUM(AB44,AB38,AB34)</f>
        <v>-331.96532607311781</v>
      </c>
      <c r="AC45" s="954">
        <f>SUM(AC44,AC38,AC34)</f>
        <v>-339.98502562000277</v>
      </c>
      <c r="AD45" s="954">
        <f>SUM(AD44,AD38,AD34)</f>
        <v>-1336.8163202270655</v>
      </c>
    </row>
    <row r="46" spans="1:30">
      <c r="A46" s="952" t="s">
        <v>0</v>
      </c>
      <c r="B46" s="952"/>
      <c r="C46" s="37"/>
      <c r="D46" s="37"/>
      <c r="E46" s="51">
        <f t="shared" ref="E46:P46" si="27">E26+E45</f>
        <v>-42.387684835008343</v>
      </c>
      <c r="F46" s="953">
        <f t="shared" si="27"/>
        <v>17.965397258612171</v>
      </c>
      <c r="G46" s="954">
        <f t="shared" si="27"/>
        <v>-12.885232165918325</v>
      </c>
      <c r="H46" s="954">
        <f t="shared" si="27"/>
        <v>-0.2675975714052754</v>
      </c>
      <c r="I46" s="954">
        <f t="shared" si="27"/>
        <v>17.348663584171049</v>
      </c>
      <c r="J46" s="954">
        <f t="shared" si="27"/>
        <v>98.871996183426731</v>
      </c>
      <c r="K46" s="954">
        <f t="shared" si="27"/>
        <v>15.057123478721778</v>
      </c>
      <c r="L46" s="954">
        <f t="shared" si="27"/>
        <v>30.690191763655406</v>
      </c>
      <c r="M46" s="954">
        <f t="shared" si="27"/>
        <v>94.055121015812887</v>
      </c>
      <c r="N46" s="955">
        <f t="shared" si="27"/>
        <v>30.258471345228827</v>
      </c>
      <c r="O46" s="954">
        <f t="shared" si="27"/>
        <v>23.286651968830668</v>
      </c>
      <c r="P46" s="954">
        <f t="shared" si="27"/>
        <v>137.91456801915604</v>
      </c>
      <c r="Q46" s="956">
        <f t="shared" si="10"/>
        <v>409.90767004528362</v>
      </c>
      <c r="S46" s="954">
        <f t="shared" ref="S46:X46" si="28">S26+S45</f>
        <v>30.258471345228827</v>
      </c>
      <c r="T46" s="954">
        <f t="shared" si="28"/>
        <v>23.286651968830668</v>
      </c>
      <c r="U46" s="954">
        <f t="shared" si="28"/>
        <v>0</v>
      </c>
      <c r="V46" s="954">
        <f t="shared" si="28"/>
        <v>53.545123314059367</v>
      </c>
      <c r="X46" s="954">
        <f t="shared" si="28"/>
        <v>271.99310202612651</v>
      </c>
      <c r="Z46" s="954">
        <f>Z26+Z45</f>
        <v>-37.307519742314184</v>
      </c>
      <c r="AA46" s="954">
        <f>AA26+AA45</f>
        <v>115.9530621961926</v>
      </c>
      <c r="AB46" s="954">
        <f>AB26+AB45</f>
        <v>139.80243625818969</v>
      </c>
      <c r="AC46" s="954">
        <f>AC26+AC45</f>
        <v>191.4596913332154</v>
      </c>
      <c r="AD46" s="954">
        <f>AD26+AD45</f>
        <v>409.90767004528493</v>
      </c>
    </row>
    <row r="47" spans="1:30">
      <c r="A47" s="54"/>
      <c r="B47" s="957" t="s">
        <v>43</v>
      </c>
      <c r="C47" s="958"/>
      <c r="D47" s="958"/>
      <c r="E47" s="959">
        <f t="shared" ref="E47:Q47" si="29">E46/E22</f>
        <v>-8.0441018053523272E-2</v>
      </c>
      <c r="F47" s="960">
        <f t="shared" si="29"/>
        <v>2.769137807377153E-2</v>
      </c>
      <c r="G47" s="961">
        <f t="shared" si="29"/>
        <v>-1.5359842329141482E-2</v>
      </c>
      <c r="H47" s="961">
        <f t="shared" si="29"/>
        <v>-4.1441131387422549E-4</v>
      </c>
      <c r="I47" s="961">
        <f t="shared" si="29"/>
        <v>3.2204719196064768E-2</v>
      </c>
      <c r="J47" s="961">
        <f t="shared" si="29"/>
        <v>9.5175915407169312E-2</v>
      </c>
      <c r="K47" s="961">
        <f t="shared" si="29"/>
        <v>2.2606506210047839E-2</v>
      </c>
      <c r="L47" s="961">
        <f t="shared" si="29"/>
        <v>3.6979229598765526E-2</v>
      </c>
      <c r="M47" s="961">
        <f t="shared" si="29"/>
        <v>0.12530920870147974</v>
      </c>
      <c r="N47" s="962">
        <f t="shared" si="29"/>
        <v>4.1279740976024742E-2</v>
      </c>
      <c r="O47" s="961">
        <f t="shared" si="29"/>
        <v>2.7178566816469799E-2</v>
      </c>
      <c r="P47" s="961">
        <f t="shared" si="29"/>
        <v>0.11491917730320685</v>
      </c>
      <c r="Q47" s="966">
        <f t="shared" si="29"/>
        <v>4.4198005774730507E-2</v>
      </c>
      <c r="S47" s="961">
        <f t="shared" ref="S47:X47" si="30">S46/S22</f>
        <v>4.1279740976024742E-2</v>
      </c>
      <c r="T47" s="961">
        <f t="shared" si="30"/>
        <v>2.7178566816469799E-2</v>
      </c>
      <c r="U47" s="961" t="e">
        <f t="shared" si="30"/>
        <v>#DIV/0!</v>
      </c>
      <c r="V47" s="961">
        <f t="shared" si="30"/>
        <v>3.3680154957353284E-2</v>
      </c>
      <c r="X47" s="961">
        <f t="shared" si="30"/>
        <v>3.368649725694587E-2</v>
      </c>
      <c r="Z47" s="961">
        <f>Z46/Z22</f>
        <v>-1.8518534499412941E-2</v>
      </c>
      <c r="AA47" s="961">
        <f>AA46/AA22</f>
        <v>5.2154450766104157E-2</v>
      </c>
      <c r="AB47" s="961">
        <f>AB46/AB22</f>
        <v>6.2229351570904909E-2</v>
      </c>
      <c r="AC47" s="961">
        <f>AC46/AC22</f>
        <v>6.8625689834512782E-2</v>
      </c>
      <c r="AD47" s="961">
        <f>AD46/AD22</f>
        <v>4.4198005774730646E-2</v>
      </c>
    </row>
    <row r="48" spans="1:30">
      <c r="A48" s="2"/>
      <c r="B48" s="2"/>
      <c r="C48" s="2"/>
      <c r="D48" s="2"/>
      <c r="E48" s="15"/>
      <c r="F48" s="2"/>
      <c r="G48" s="2"/>
      <c r="H48" s="2"/>
      <c r="I48" s="2"/>
      <c r="J48" s="2"/>
      <c r="K48" s="2"/>
      <c r="L48" s="2"/>
      <c r="M48" s="2"/>
      <c r="N48" s="932"/>
      <c r="O48" s="2"/>
      <c r="P48" s="2"/>
      <c r="Q48" s="321"/>
      <c r="S48" s="321"/>
      <c r="T48" s="321"/>
      <c r="U48" s="321"/>
      <c r="V48" s="321"/>
      <c r="X48" s="2"/>
      <c r="Z48" s="321"/>
      <c r="AA48" s="321"/>
      <c r="AB48" s="321"/>
      <c r="AC48" s="321"/>
      <c r="AD48" s="2"/>
    </row>
    <row r="49" spans="1:30" hidden="1" outlineLevel="1">
      <c r="A49" s="967"/>
      <c r="B49" s="80" t="s">
        <v>44</v>
      </c>
      <c r="C49" s="81"/>
      <c r="D49" s="81"/>
      <c r="E49" s="82"/>
      <c r="F49" s="83"/>
      <c r="G49" s="83"/>
      <c r="H49" s="83"/>
      <c r="I49" s="83"/>
      <c r="J49" s="83"/>
      <c r="K49" s="83"/>
      <c r="L49" s="83"/>
      <c r="M49" s="83"/>
      <c r="N49" s="968"/>
      <c r="O49" s="83"/>
      <c r="P49" s="83"/>
      <c r="Q49" s="118">
        <f>SUM(E49:P49)</f>
        <v>0</v>
      </c>
      <c r="S49" s="83"/>
      <c r="T49" s="83"/>
      <c r="U49" s="83"/>
      <c r="V49" s="83"/>
      <c r="X49" s="83"/>
      <c r="Z49" s="83"/>
      <c r="AA49" s="83"/>
      <c r="AB49" s="83"/>
      <c r="AC49" s="83"/>
      <c r="AD49" s="83"/>
    </row>
    <row r="50" spans="1:30" hidden="1" outlineLevel="1">
      <c r="A50" s="84"/>
      <c r="B50" s="80" t="s">
        <v>45</v>
      </c>
      <c r="C50" s="81"/>
      <c r="D50" s="81"/>
      <c r="E50" s="82"/>
      <c r="F50" s="83"/>
      <c r="G50" s="83"/>
      <c r="H50" s="83"/>
      <c r="I50" s="83"/>
      <c r="J50" s="83"/>
      <c r="K50" s="83"/>
      <c r="L50" s="83"/>
      <c r="M50" s="83"/>
      <c r="N50" s="968"/>
      <c r="O50" s="83"/>
      <c r="P50" s="83"/>
      <c r="Q50" s="118">
        <f>SUM(E50:P50)</f>
        <v>0</v>
      </c>
      <c r="S50" s="83"/>
      <c r="T50" s="83"/>
      <c r="U50" s="83"/>
      <c r="V50" s="83"/>
      <c r="X50" s="83"/>
      <c r="Z50" s="83"/>
      <c r="AA50" s="83"/>
      <c r="AB50" s="83"/>
      <c r="AC50" s="83"/>
      <c r="AD50" s="83"/>
    </row>
    <row r="51" spans="1:30" hidden="1" outlineLevel="1">
      <c r="A51" s="84"/>
      <c r="B51" s="80" t="s">
        <v>46</v>
      </c>
      <c r="C51" s="81"/>
      <c r="D51" s="81"/>
      <c r="E51" s="82"/>
      <c r="F51" s="83"/>
      <c r="G51" s="83"/>
      <c r="H51" s="83"/>
      <c r="I51" s="83"/>
      <c r="J51" s="83"/>
      <c r="K51" s="83"/>
      <c r="L51" s="83"/>
      <c r="M51" s="83"/>
      <c r="N51" s="968"/>
      <c r="O51" s="83"/>
      <c r="P51" s="83"/>
      <c r="Q51" s="118">
        <f>SUM(E51:P51)</f>
        <v>0</v>
      </c>
      <c r="S51" s="83"/>
      <c r="T51" s="83"/>
      <c r="U51" s="83"/>
      <c r="V51" s="83"/>
      <c r="X51" s="83"/>
      <c r="Z51" s="83"/>
      <c r="AA51" s="83"/>
      <c r="AB51" s="83"/>
      <c r="AC51" s="83"/>
      <c r="AD51" s="83"/>
    </row>
    <row r="52" spans="1:30" hidden="1" outlineLevel="1">
      <c r="A52" s="85" t="s">
        <v>47</v>
      </c>
      <c r="B52" s="86"/>
      <c r="C52" s="86"/>
      <c r="D52" s="86"/>
      <c r="E52" s="82"/>
      <c r="F52" s="83"/>
      <c r="G52" s="83"/>
      <c r="H52" s="83"/>
      <c r="I52" s="83"/>
      <c r="J52" s="83"/>
      <c r="K52" s="83"/>
      <c r="L52" s="83"/>
      <c r="M52" s="83"/>
      <c r="N52" s="968"/>
      <c r="O52" s="83"/>
      <c r="P52" s="83"/>
      <c r="Q52" s="119">
        <f>SUM(E52:P52)</f>
        <v>0</v>
      </c>
      <c r="S52" s="83"/>
      <c r="T52" s="83"/>
      <c r="U52" s="83"/>
      <c r="V52" s="83"/>
      <c r="X52" s="83"/>
      <c r="Z52" s="83"/>
      <c r="AA52" s="83"/>
      <c r="AB52" s="83"/>
      <c r="AC52" s="83"/>
      <c r="AD52" s="83"/>
    </row>
    <row r="53" spans="1:30" collapsed="1">
      <c r="A53" s="2"/>
      <c r="B53" s="2"/>
      <c r="C53" s="2"/>
      <c r="D53" s="2"/>
      <c r="E53" s="15"/>
      <c r="F53" s="2"/>
      <c r="G53" s="2"/>
      <c r="H53" s="99"/>
      <c r="I53" s="99"/>
      <c r="J53" s="99"/>
      <c r="K53" s="2"/>
      <c r="L53" s="2"/>
      <c r="M53" s="2"/>
      <c r="N53" s="932"/>
      <c r="O53" s="2"/>
      <c r="P53" s="2"/>
      <c r="Q53" s="117"/>
      <c r="S53" s="2"/>
      <c r="T53" s="2"/>
      <c r="U53" s="2"/>
      <c r="V53" s="2"/>
      <c r="X53" s="2"/>
      <c r="Z53" s="2"/>
      <c r="AA53" s="2"/>
      <c r="AB53" s="2"/>
      <c r="AC53" s="2"/>
      <c r="AD53" s="2"/>
    </row>
    <row r="54" spans="1:30">
      <c r="A54" s="87" t="s">
        <v>48</v>
      </c>
      <c r="B54" s="88"/>
      <c r="C54" s="86"/>
      <c r="D54" s="86"/>
      <c r="E54" s="89">
        <f>Act!E54</f>
        <v>-71.169814299999885</v>
      </c>
      <c r="F54" s="90">
        <f>Act!F54</f>
        <v>-15.481782200000438</v>
      </c>
      <c r="G54" s="90">
        <f>Act!G54</f>
        <v>-49.155462699998822</v>
      </c>
      <c r="H54" s="90">
        <f>Act!H54</f>
        <v>-39.963050500000556</v>
      </c>
      <c r="I54" s="90">
        <f>Act!I54</f>
        <v>-21.139446899999982</v>
      </c>
      <c r="J54" s="90">
        <f>Act!J54</f>
        <v>8.2945073000007596</v>
      </c>
      <c r="K54" s="90">
        <f>Act!K54</f>
        <v>-31.006610800002264</v>
      </c>
      <c r="L54" s="90">
        <f>Act!L54</f>
        <v>-27.709236999998488</v>
      </c>
      <c r="M54" s="90">
        <f>Act!M54</f>
        <v>44.86918159999864</v>
      </c>
      <c r="N54" s="969">
        <f>'[29]Summary (mEUR)'!AE70</f>
        <v>-14.941574100003159</v>
      </c>
      <c r="O54" s="90">
        <f>'[29]Summary (mEUR)'!AF70</f>
        <v>-36.937774523260757</v>
      </c>
      <c r="P54" s="90">
        <f>'[29]Summary (mEUR)'!AG70</f>
        <v>72.211104097935504</v>
      </c>
      <c r="Q54" s="119">
        <f>SUM(E54:P54)</f>
        <v>-182.12996002532947</v>
      </c>
      <c r="S54" s="90">
        <f>SUMIFS($E54:$P54,$E$3:$P$3,1,$E$5:$P$5,S$5)</f>
        <v>-14.941574100003159</v>
      </c>
      <c r="T54" s="90">
        <f>SUMIFS($E54:$P54,$E$3:$P$3,1,$E$5:$P$5,T$5)</f>
        <v>-36.937774523260757</v>
      </c>
      <c r="U54" s="90">
        <f>SUMIFS($E54:$P54,$E$3:$P$3,1,$E$5:$P$5,U$5)</f>
        <v>0</v>
      </c>
      <c r="V54" s="90">
        <f>SUM(S54:U54)</f>
        <v>-51.879348623263915</v>
      </c>
      <c r="X54" s="90">
        <f>SUMIF($E$2:$P$2,1,E54:P54)</f>
        <v>-254.34106412326497</v>
      </c>
      <c r="Z54" s="90">
        <f>SUM(E54:G54)</f>
        <v>-135.80705919999914</v>
      </c>
      <c r="AA54" s="90">
        <f>SUM(H54:J54)</f>
        <v>-52.807990099999778</v>
      </c>
      <c r="AB54" s="90">
        <f>SUM(K54:M54)</f>
        <v>-13.846666200002112</v>
      </c>
      <c r="AC54" s="90">
        <f>SUM(N54:P54)</f>
        <v>20.331755474671589</v>
      </c>
      <c r="AD54" s="90">
        <f>SUM(Z54:AC54)</f>
        <v>-182.12996002532947</v>
      </c>
    </row>
    <row r="55" spans="1:30">
      <c r="A55" s="2"/>
      <c r="B55" s="2"/>
      <c r="C55" s="2"/>
      <c r="D55" s="2"/>
      <c r="E55" s="15"/>
      <c r="F55" s="2"/>
      <c r="G55" s="2"/>
      <c r="H55" s="2"/>
      <c r="I55" s="2"/>
      <c r="J55" s="2"/>
      <c r="K55" s="2"/>
      <c r="L55" s="2"/>
      <c r="M55" s="2"/>
      <c r="N55" s="932"/>
      <c r="O55" s="2"/>
      <c r="P55" s="2"/>
      <c r="Q55" s="117"/>
      <c r="S55" s="2"/>
      <c r="T55" s="2"/>
      <c r="U55" s="2"/>
      <c r="V55" s="2"/>
      <c r="X55" s="2"/>
      <c r="Z55" s="2"/>
      <c r="AA55" s="2"/>
      <c r="AB55" s="2"/>
      <c r="AC55" s="2"/>
      <c r="AD55" s="2"/>
    </row>
    <row r="56" spans="1:30" ht="15.75" thickBot="1">
      <c r="A56" s="80" t="s">
        <v>49</v>
      </c>
      <c r="B56" s="91"/>
      <c r="C56" s="81"/>
      <c r="D56" s="91"/>
      <c r="E56" s="92">
        <f>Act!E56</f>
        <v>-3.1056917000000017E-2</v>
      </c>
      <c r="F56" s="93">
        <f>Act!F56</f>
        <v>-2.0865730000000002E-2</v>
      </c>
      <c r="G56" s="93">
        <f>Act!G56</f>
        <v>-1.1517993000000001E-2</v>
      </c>
      <c r="H56" s="93">
        <f>Act!H56</f>
        <v>0.296928782</v>
      </c>
      <c r="I56" s="93">
        <f>Act!I56</f>
        <v>-0.149848024</v>
      </c>
      <c r="J56" s="93">
        <f>Act!J56</f>
        <v>6.1804080000000004E-2</v>
      </c>
      <c r="K56" s="93">
        <f>Act!K56</f>
        <v>-8.2806230000000008E-3</v>
      </c>
      <c r="L56" s="93">
        <f>Act!L56</f>
        <v>-7.4329570000000005E-3</v>
      </c>
      <c r="M56" s="93">
        <f>Act!M56</f>
        <v>-4.1327812999999984E-2</v>
      </c>
      <c r="N56" s="970">
        <f>'[29]Summary (mEUR)'!AE75</f>
        <v>0</v>
      </c>
      <c r="O56" s="93">
        <f>'[29]Summary (mEUR)'!AF75</f>
        <v>0</v>
      </c>
      <c r="P56" s="93">
        <f>'[29]Summary (mEUR)'!AG75</f>
        <v>0</v>
      </c>
      <c r="Q56" s="120">
        <f>SUM(E56:P56)</f>
        <v>8.8402805000000001E-2</v>
      </c>
      <c r="S56" s="93">
        <f>SUMIFS($E56:$P56,$E$3:$P$3,1,$E$5:$P$5,S$5)</f>
        <v>0</v>
      </c>
      <c r="T56" s="93">
        <f>SUMIFS($E56:$P56,$E$3:$P$3,1,$E$5:$P$5,T$5)</f>
        <v>0</v>
      </c>
      <c r="U56" s="93">
        <f>SUMIFS($E56:$P56,$E$3:$P$3,1,$E$5:$P$5,U$5)</f>
        <v>0</v>
      </c>
      <c r="V56" s="93">
        <f>SUM(S56:U56)</f>
        <v>0</v>
      </c>
      <c r="X56" s="93">
        <f>SUMIF($E$2:$P$2,1,E56:P56)</f>
        <v>8.8402805000000001E-2</v>
      </c>
      <c r="Z56" s="93">
        <f>SUM(E56:G56)</f>
        <v>-6.344064000000002E-2</v>
      </c>
      <c r="AA56" s="93">
        <f>SUM(H56:J56)</f>
        <v>0.20888483800000002</v>
      </c>
      <c r="AB56" s="93">
        <f>SUM(K56:M56)</f>
        <v>-5.7041392999999982E-2</v>
      </c>
      <c r="AC56" s="93">
        <f>SUM(N56:P56)</f>
        <v>0</v>
      </c>
      <c r="AD56" s="93">
        <f>SUM(Z56:AC56)</f>
        <v>8.8402805000000015E-2</v>
      </c>
    </row>
    <row r="57" spans="1:30">
      <c r="A57" s="137"/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971"/>
      <c r="O57" s="137"/>
      <c r="P57" s="137"/>
      <c r="Q57" s="137"/>
    </row>
    <row r="58" spans="1:30">
      <c r="A58" s="972"/>
      <c r="B58" s="973" t="s">
        <v>297</v>
      </c>
      <c r="C58" s="446"/>
      <c r="D58" s="453"/>
      <c r="E58" s="974">
        <f>Act!E58</f>
        <v>-1.8589674599999999</v>
      </c>
      <c r="F58" s="457">
        <f>Act!F58</f>
        <v>-0.93709799999999999</v>
      </c>
      <c r="G58" s="457">
        <f>Act!G58</f>
        <v>-1.168674</v>
      </c>
      <c r="H58" s="457">
        <f>Act!H58</f>
        <v>-0.80727700000000002</v>
      </c>
      <c r="I58" s="457">
        <f>Act!I58</f>
        <v>-0.71741299999999997</v>
      </c>
      <c r="J58" s="457">
        <f>Act!J58</f>
        <v>-2.6038790000000001</v>
      </c>
      <c r="K58" s="457">
        <f>Act!K58</f>
        <v>-1.828635</v>
      </c>
      <c r="L58" s="457">
        <f>Act!L58</f>
        <v>-0.80425389000000003</v>
      </c>
      <c r="M58" s="457">
        <f>Act!M58</f>
        <v>-2.2010000000000001</v>
      </c>
      <c r="N58" s="975">
        <f>'[29]Summary (mEUR)'!AE51</f>
        <v>-0.86099999999999999</v>
      </c>
      <c r="O58" s="457">
        <f>'[29]Summary (mEUR)'!AF51</f>
        <v>-1.0695394895257728</v>
      </c>
      <c r="P58" s="457">
        <f>'[29]Summary (mEUR)'!AG51</f>
        <v>-3.7722344629345881</v>
      </c>
      <c r="Q58" s="120">
        <f>SUM(E58:P58)</f>
        <v>-18.629971302460362</v>
      </c>
      <c r="S58" s="974">
        <f t="shared" ref="S58:U60" si="31">SUMIFS($E58:$P58,$E$3:$P$3,1,$E$5:$P$5,S$5)</f>
        <v>-0.86099999999999999</v>
      </c>
      <c r="T58" s="457">
        <f t="shared" si="31"/>
        <v>-1.0695394895257728</v>
      </c>
      <c r="U58" s="457">
        <f t="shared" si="31"/>
        <v>0</v>
      </c>
      <c r="V58" s="458">
        <f t="shared" ref="V58:X60" si="32">SUM(S58:U58)</f>
        <v>-1.9305394895257728</v>
      </c>
      <c r="X58" s="941">
        <f>SUMIF($E$2:$P$2,1,E58:P58)</f>
        <v>-14.857736839525774</v>
      </c>
      <c r="Z58" s="974">
        <f>SUM(E58:G58)</f>
        <v>-3.9647394599999997</v>
      </c>
      <c r="AA58" s="457">
        <f>SUM(H58:J58)</f>
        <v>-4.1285690000000006</v>
      </c>
      <c r="AB58" s="457">
        <f>SUM(K58:M58)</f>
        <v>-4.8338888900000008</v>
      </c>
      <c r="AC58" s="457">
        <f>SUM(N58:P58)</f>
        <v>-5.7027739524603609</v>
      </c>
      <c r="AD58" s="458">
        <f>SUM(Z58:AC58)</f>
        <v>-18.629971302460362</v>
      </c>
    </row>
    <row r="59" spans="1:30">
      <c r="A59" s="447"/>
      <c r="B59" s="448" t="s">
        <v>298</v>
      </c>
      <c r="C59" s="449"/>
      <c r="D59" s="454"/>
      <c r="E59" s="459">
        <f>Act!E59</f>
        <v>-3.0503450540000001</v>
      </c>
      <c r="F59" s="460">
        <f>Act!F59</f>
        <v>-2.3303183100000053</v>
      </c>
      <c r="G59" s="460">
        <f>Act!G59</f>
        <v>-8.3251644713501953</v>
      </c>
      <c r="H59" s="460">
        <f>Act!H59</f>
        <v>-4.4889129659999929</v>
      </c>
      <c r="I59" s="460">
        <f>Act!I59</f>
        <v>-3.9742786279999973</v>
      </c>
      <c r="J59" s="460">
        <f>Act!J59</f>
        <v>-7.9299096440000048</v>
      </c>
      <c r="K59" s="460">
        <f>Act!K59</f>
        <v>-6.6438274819050047</v>
      </c>
      <c r="L59" s="460">
        <f>Act!L59</f>
        <v>-4.006431561090908</v>
      </c>
      <c r="M59" s="460">
        <f>Act!M59</f>
        <v>-6.3684506738021902</v>
      </c>
      <c r="N59" s="976">
        <f>SUM('[29]Summary (mEUR)'!AE52:AE55)</f>
        <v>-4.894609184999994</v>
      </c>
      <c r="O59" s="460">
        <f>SUM('[29]Summary (mEUR)'!AF52:AF55)</f>
        <v>-4.8290943526036161</v>
      </c>
      <c r="P59" s="460">
        <f>SUM('[29]Summary (mEUR)'!AG52:AG55)</f>
        <v>-5.567802963616173</v>
      </c>
      <c r="Q59" s="120">
        <f>SUM(E59:P59)</f>
        <v>-62.409145291368077</v>
      </c>
      <c r="S59" s="459">
        <f t="shared" si="31"/>
        <v>-4.894609184999994</v>
      </c>
      <c r="T59" s="460">
        <f t="shared" si="31"/>
        <v>-4.8290943526036161</v>
      </c>
      <c r="U59" s="460">
        <f t="shared" si="31"/>
        <v>0</v>
      </c>
      <c r="V59" s="461">
        <f t="shared" si="32"/>
        <v>-9.7237035376036101</v>
      </c>
      <c r="X59" s="46">
        <f>SUMIF($E$2:$P$2,1,E59:P59)</f>
        <v>-56.841342327751903</v>
      </c>
      <c r="Z59" s="459">
        <f>SUM(E59:G59)</f>
        <v>-13.705827835350201</v>
      </c>
      <c r="AA59" s="460">
        <f>SUM(H59:J59)</f>
        <v>-16.393101237999996</v>
      </c>
      <c r="AB59" s="460">
        <f>SUM(K59:M59)</f>
        <v>-17.018709716798103</v>
      </c>
      <c r="AC59" s="460">
        <f>SUM(N59:P59)</f>
        <v>-15.291506501219782</v>
      </c>
      <c r="AD59" s="461">
        <f>SUM(Z59:AC59)</f>
        <v>-62.409145291368091</v>
      </c>
    </row>
    <row r="60" spans="1:30">
      <c r="A60" s="450"/>
      <c r="B60" s="451" t="s">
        <v>299</v>
      </c>
      <c r="C60" s="452"/>
      <c r="D60" s="455"/>
      <c r="E60" s="69">
        <f>SUM(E58:E59)</f>
        <v>-4.9093125139999998</v>
      </c>
      <c r="F60" s="69">
        <f t="shared" ref="F60:O60" si="33">SUM(F58:F59)</f>
        <v>-3.2674163100000051</v>
      </c>
      <c r="G60" s="70">
        <f t="shared" si="33"/>
        <v>-9.4938384713501947</v>
      </c>
      <c r="H60" s="70">
        <f t="shared" si="33"/>
        <v>-5.2961899659999929</v>
      </c>
      <c r="I60" s="70">
        <f t="shared" si="33"/>
        <v>-4.6916916279999974</v>
      </c>
      <c r="J60" s="70">
        <f t="shared" si="33"/>
        <v>-10.533788644000005</v>
      </c>
      <c r="K60" s="70">
        <f t="shared" si="33"/>
        <v>-8.4724624819050049</v>
      </c>
      <c r="L60" s="70">
        <f t="shared" si="33"/>
        <v>-4.8106854510909081</v>
      </c>
      <c r="M60" s="70">
        <f t="shared" si="33"/>
        <v>-8.5694506738021907</v>
      </c>
      <c r="N60" s="201">
        <f t="shared" si="33"/>
        <v>-5.7556091849999937</v>
      </c>
      <c r="O60" s="70">
        <f t="shared" si="33"/>
        <v>-5.8986338421293887</v>
      </c>
      <c r="P60" s="70">
        <f>SUM(P58:P59)</f>
        <v>-9.3400374265507615</v>
      </c>
      <c r="Q60" s="119">
        <f>SUM(E60:P60)</f>
        <v>-81.039116593828453</v>
      </c>
      <c r="S60" s="70">
        <f t="shared" si="31"/>
        <v>-5.7556091849999937</v>
      </c>
      <c r="T60" s="70">
        <f t="shared" si="31"/>
        <v>-5.8986338421293887</v>
      </c>
      <c r="U60" s="70">
        <f t="shared" si="31"/>
        <v>0</v>
      </c>
      <c r="V60" s="70">
        <f t="shared" si="32"/>
        <v>-11.654243027129382</v>
      </c>
      <c r="X60" s="70">
        <f t="shared" si="32"/>
        <v>-11.654243027129382</v>
      </c>
      <c r="Z60" s="70">
        <f>SUM(E60:G60)</f>
        <v>-17.6705672953502</v>
      </c>
      <c r="AA60" s="70">
        <f>SUM(H60:J60)</f>
        <v>-20.521670237999995</v>
      </c>
      <c r="AB60" s="70">
        <f>SUM(K60:M60)</f>
        <v>-21.852598606798104</v>
      </c>
      <c r="AC60" s="70">
        <f>SUM(N60:P60)</f>
        <v>-20.994280453680144</v>
      </c>
      <c r="AD60" s="70">
        <f>SUM(Z60:AC60)</f>
        <v>-81.039116593828439</v>
      </c>
    </row>
    <row r="61" spans="1:30">
      <c r="A61" s="94"/>
      <c r="B61" s="94"/>
      <c r="C61" s="94"/>
      <c r="D61" s="94"/>
      <c r="E61" s="94"/>
      <c r="F61" s="94"/>
      <c r="G61" s="94"/>
      <c r="H61" s="94"/>
      <c r="I61" s="94"/>
      <c r="J61" s="94"/>
      <c r="K61" s="94"/>
      <c r="L61" s="94"/>
      <c r="M61" s="94"/>
      <c r="N61" s="977"/>
      <c r="O61" s="94"/>
      <c r="P61" s="94"/>
      <c r="Q61" s="94"/>
      <c r="S61" s="94"/>
      <c r="T61" s="94"/>
      <c r="U61" s="94"/>
      <c r="V61" s="94"/>
      <c r="X61" s="94"/>
      <c r="Z61" s="94"/>
      <c r="AA61" s="94"/>
      <c r="AB61" s="94"/>
      <c r="AC61" s="94"/>
      <c r="AD61" s="94"/>
    </row>
    <row r="62" spans="1:30">
      <c r="A62" s="78" t="s">
        <v>50</v>
      </c>
      <c r="B62" s="73"/>
      <c r="C62" s="73"/>
      <c r="D62" s="73"/>
      <c r="E62" s="69">
        <f>Act!E62</f>
        <v>-0.30846766876945769</v>
      </c>
      <c r="F62" s="69">
        <f>Act!F62</f>
        <v>-1.3543336041457679</v>
      </c>
      <c r="G62" s="69">
        <f>Act!G62</f>
        <v>-2.5510260615006883</v>
      </c>
      <c r="H62" s="69">
        <f>Act!H62</f>
        <v>-0.35512855485592282</v>
      </c>
      <c r="I62" s="69">
        <f>Act!I62</f>
        <v>-0.57385849005973366</v>
      </c>
      <c r="J62" s="69">
        <f>Act!J62</f>
        <v>-0.48887213762819715</v>
      </c>
      <c r="K62" s="69">
        <f>Act!K62</f>
        <v>-0.68222628174997924</v>
      </c>
      <c r="L62" s="69">
        <f>Act!L62</f>
        <v>-1.1950801823577795</v>
      </c>
      <c r="M62" s="69">
        <f>Act!M62</f>
        <v>-1.4170519517122959</v>
      </c>
      <c r="N62" s="201">
        <f>'[29]Summary (mEUR)'!AE77</f>
        <v>-0.2891209126082982</v>
      </c>
      <c r="O62" s="69">
        <f>'[29]Summary (mEUR)'!AF77</f>
        <v>-1.0329363860771814</v>
      </c>
      <c r="P62" s="69">
        <f>'[29]Summary (mEUR)'!AG77</f>
        <v>-0.81582825560758876</v>
      </c>
      <c r="Q62" s="119">
        <f t="shared" ref="Q62:Q74" si="34">SUM(E62:P62)</f>
        <v>-11.063930487072891</v>
      </c>
      <c r="S62" s="69">
        <f t="shared" ref="S62:U74" si="35">SUMIFS($E62:$P62,$E$3:$P$3,1,$E$5:$P$5,S$5)</f>
        <v>-0.2891209126082982</v>
      </c>
      <c r="T62" s="69">
        <f t="shared" si="35"/>
        <v>-1.0329363860771814</v>
      </c>
      <c r="U62" s="69">
        <f t="shared" si="35"/>
        <v>0</v>
      </c>
      <c r="V62" s="69">
        <f t="shared" ref="V62:V74" si="36">SUM(S62:U62)</f>
        <v>-1.3220572986854795</v>
      </c>
      <c r="X62" s="69">
        <f t="shared" ref="X62:X74" si="37">SUMIF($E$2:$P$2,1,E62:P62)</f>
        <v>-10.248102231465303</v>
      </c>
      <c r="Z62" s="69">
        <f t="shared" ref="Z62:Z74" si="38">SUM(E62:G62)</f>
        <v>-4.2138273344159138</v>
      </c>
      <c r="AA62" s="69">
        <f t="shared" ref="AA62:AA74" si="39">SUM(H62:J62)</f>
        <v>-1.4178591825438538</v>
      </c>
      <c r="AB62" s="69">
        <f t="shared" ref="AB62:AB74" si="40">SUM(K62:M62)</f>
        <v>-3.2943584158200547</v>
      </c>
      <c r="AC62" s="69">
        <f t="shared" ref="AC62:AC74" si="41">SUM(N62:P62)</f>
        <v>-2.1378855542930681</v>
      </c>
      <c r="AD62" s="69">
        <f t="shared" ref="AD62:AD74" si="42">SUM(Z62:AC62)</f>
        <v>-11.063930487072891</v>
      </c>
    </row>
    <row r="63" spans="1:30">
      <c r="A63" s="78" t="s">
        <v>51</v>
      </c>
      <c r="B63" s="73"/>
      <c r="C63" s="73"/>
      <c r="D63" s="73"/>
      <c r="E63" s="69">
        <f>Act!E63</f>
        <v>8.7524709494160913</v>
      </c>
      <c r="F63" s="69">
        <f>Act!F63</f>
        <v>12.937461930225558</v>
      </c>
      <c r="G63" s="69">
        <f>Act!G63</f>
        <v>18.985245307490537</v>
      </c>
      <c r="H63" s="69">
        <f>Act!H63</f>
        <v>15.721943676126671</v>
      </c>
      <c r="I63" s="69">
        <f>Act!I63</f>
        <v>16.014433256075634</v>
      </c>
      <c r="J63" s="69">
        <f>Act!J63</f>
        <v>31.961442071772428</v>
      </c>
      <c r="K63" s="69">
        <f>Act!K63</f>
        <v>20.137490229001841</v>
      </c>
      <c r="L63" s="69">
        <f>Act!L63</f>
        <v>24.88120383916127</v>
      </c>
      <c r="M63" s="69">
        <f>Act!M63</f>
        <v>18.474412249817153</v>
      </c>
      <c r="N63" s="201">
        <f>'[29]Summary (mEUR)'!AE78</f>
        <v>20.821520692376762</v>
      </c>
      <c r="O63" s="69">
        <f>'[29]Summary (mEUR)'!AF78</f>
        <v>21.982158005054945</v>
      </c>
      <c r="P63" s="69">
        <f>'[29]Summary (mEUR)'!AG78</f>
        <v>36.042060555405584</v>
      </c>
      <c r="Q63" s="119">
        <f t="shared" si="34"/>
        <v>246.71184276192449</v>
      </c>
      <c r="S63" s="69">
        <f t="shared" si="35"/>
        <v>20.821520692376762</v>
      </c>
      <c r="T63" s="69">
        <f t="shared" si="35"/>
        <v>21.982158005054945</v>
      </c>
      <c r="U63" s="69">
        <f t="shared" si="35"/>
        <v>0</v>
      </c>
      <c r="V63" s="69">
        <f t="shared" si="36"/>
        <v>42.803678697431707</v>
      </c>
      <c r="X63" s="69">
        <f t="shared" si="37"/>
        <v>210.6697822065189</v>
      </c>
      <c r="Z63" s="69">
        <f t="shared" si="38"/>
        <v>40.67517818713219</v>
      </c>
      <c r="AA63" s="69">
        <f t="shared" si="39"/>
        <v>63.697819003974729</v>
      </c>
      <c r="AB63" s="69">
        <f t="shared" si="40"/>
        <v>63.493106317980263</v>
      </c>
      <c r="AC63" s="69">
        <f t="shared" si="41"/>
        <v>78.845739252837291</v>
      </c>
      <c r="AD63" s="69">
        <f t="shared" si="42"/>
        <v>246.71184276192446</v>
      </c>
    </row>
    <row r="64" spans="1:30">
      <c r="A64" s="78" t="s">
        <v>52</v>
      </c>
      <c r="B64" s="73"/>
      <c r="C64" s="73"/>
      <c r="D64" s="73"/>
      <c r="E64" s="69">
        <f>Act!E64</f>
        <v>5.6350322980000023</v>
      </c>
      <c r="F64" s="69">
        <f>Act!F64</f>
        <v>3.683511836000001</v>
      </c>
      <c r="G64" s="69">
        <f>Act!G64</f>
        <v>-4.7641994999999326E-2</v>
      </c>
      <c r="H64" s="69">
        <f>Act!H64</f>
        <v>6.6480954600000022</v>
      </c>
      <c r="I64" s="69">
        <f>Act!I64</f>
        <v>1.9999212620000009</v>
      </c>
      <c r="J64" s="69">
        <f>Act!J64</f>
        <v>5.4430039739999998</v>
      </c>
      <c r="K64" s="69">
        <f>Act!K64</f>
        <v>4.7834469639999995</v>
      </c>
      <c r="L64" s="69">
        <f>Act!L64</f>
        <v>4.1163949669999997</v>
      </c>
      <c r="M64" s="69">
        <f>Act!M64</f>
        <v>5.1400729799999993</v>
      </c>
      <c r="N64" s="201">
        <f>'[29]Summary (mEUR)'!AE79</f>
        <v>6.4000510820000009</v>
      </c>
      <c r="O64" s="69">
        <f>'[29]Summary (mEUR)'!AF79</f>
        <v>3.9334494769998276</v>
      </c>
      <c r="P64" s="69">
        <f>'[29]Summary (mEUR)'!AG79</f>
        <v>7.0014796862863253</v>
      </c>
      <c r="Q64" s="119">
        <f t="shared" si="34"/>
        <v>54.736817991286152</v>
      </c>
      <c r="S64" s="69">
        <f t="shared" si="35"/>
        <v>6.4000510820000009</v>
      </c>
      <c r="T64" s="69">
        <f t="shared" si="35"/>
        <v>3.9334494769998276</v>
      </c>
      <c r="U64" s="69">
        <f t="shared" si="35"/>
        <v>0</v>
      </c>
      <c r="V64" s="69">
        <f t="shared" si="36"/>
        <v>10.333500558999829</v>
      </c>
      <c r="X64" s="69">
        <f t="shared" si="37"/>
        <v>47.735338304999829</v>
      </c>
      <c r="Z64" s="69">
        <f t="shared" si="38"/>
        <v>9.2709021390000039</v>
      </c>
      <c r="AA64" s="69">
        <f t="shared" si="39"/>
        <v>14.091020696000003</v>
      </c>
      <c r="AB64" s="69">
        <f t="shared" si="40"/>
        <v>14.039914910999999</v>
      </c>
      <c r="AC64" s="69">
        <f t="shared" si="41"/>
        <v>17.334980245286154</v>
      </c>
      <c r="AD64" s="69">
        <f t="shared" si="42"/>
        <v>54.736817991286159</v>
      </c>
    </row>
    <row r="65" spans="1:30">
      <c r="A65" s="78" t="s">
        <v>53</v>
      </c>
      <c r="B65" s="73"/>
      <c r="C65" s="73"/>
      <c r="D65" s="73"/>
      <c r="E65" s="69">
        <f>Act!E65</f>
        <v>0</v>
      </c>
      <c r="F65" s="69">
        <f>Act!F65</f>
        <v>0</v>
      </c>
      <c r="G65" s="69">
        <f>Act!G65</f>
        <v>0</v>
      </c>
      <c r="H65" s="69">
        <f>Act!H65</f>
        <v>0</v>
      </c>
      <c r="I65" s="69">
        <f>Act!I65</f>
        <v>2.9381124054970007</v>
      </c>
      <c r="J65" s="69">
        <f>Act!J65</f>
        <v>6.2840509788958006</v>
      </c>
      <c r="K65" s="69">
        <f>Act!K65</f>
        <v>5.3766086880534605</v>
      </c>
      <c r="L65" s="69">
        <f>Act!L65</f>
        <v>5.6592178242072579</v>
      </c>
      <c r="M65" s="69">
        <f>Act!M65</f>
        <v>5.3771757566312353</v>
      </c>
      <c r="N65" s="201">
        <f>'[29]Summary (mEUR)'!AE80</f>
        <v>-1.9876000000000005</v>
      </c>
      <c r="O65" s="69">
        <f>'[29]Summary (mEUR)'!AF80</f>
        <v>-2.926268043516556</v>
      </c>
      <c r="P65" s="69">
        <f>'[29]Summary (mEUR)'!AG80</f>
        <v>-3.2852695187691623</v>
      </c>
      <c r="Q65" s="119">
        <f t="shared" si="34"/>
        <v>17.436028090999038</v>
      </c>
      <c r="S65" s="69">
        <f t="shared" si="35"/>
        <v>-1.9876000000000005</v>
      </c>
      <c r="T65" s="69">
        <f t="shared" si="35"/>
        <v>-2.926268043516556</v>
      </c>
      <c r="U65" s="69">
        <f t="shared" si="35"/>
        <v>0</v>
      </c>
      <c r="V65" s="69">
        <f t="shared" si="36"/>
        <v>-4.9138680435165565</v>
      </c>
      <c r="X65" s="69">
        <f t="shared" si="37"/>
        <v>20.7212976097682</v>
      </c>
      <c r="Z65" s="69">
        <f t="shared" si="38"/>
        <v>0</v>
      </c>
      <c r="AA65" s="69">
        <f t="shared" si="39"/>
        <v>9.2221633843928004</v>
      </c>
      <c r="AB65" s="69">
        <f t="shared" si="40"/>
        <v>16.413002268891955</v>
      </c>
      <c r="AC65" s="69">
        <f t="shared" si="41"/>
        <v>-8.1991375622857188</v>
      </c>
      <c r="AD65" s="69">
        <f t="shared" si="42"/>
        <v>17.436028090999038</v>
      </c>
    </row>
    <row r="66" spans="1:30">
      <c r="A66" s="78" t="s">
        <v>54</v>
      </c>
      <c r="B66" s="73"/>
      <c r="C66" s="73"/>
      <c r="D66" s="73"/>
      <c r="E66" s="69">
        <f>Act!E66</f>
        <v>0</v>
      </c>
      <c r="F66" s="69">
        <f>Act!F66</f>
        <v>0</v>
      </c>
      <c r="G66" s="69">
        <f>Act!G66</f>
        <v>0</v>
      </c>
      <c r="H66" s="69">
        <f>Act!H66</f>
        <v>0.84629999999999994</v>
      </c>
      <c r="I66" s="69">
        <f>Act!I66</f>
        <v>1.8121546965801907</v>
      </c>
      <c r="J66" s="69">
        <f>Act!J66</f>
        <v>2.7174581744434483</v>
      </c>
      <c r="K66" s="69">
        <f>Act!K66</f>
        <v>1.9678247681395822</v>
      </c>
      <c r="L66" s="69">
        <f>Act!L66</f>
        <v>1.4279864052818758</v>
      </c>
      <c r="M66" s="69">
        <f>Act!M66</f>
        <v>0.87176765557599067</v>
      </c>
      <c r="N66" s="201">
        <f>'[29]Summary (mEUR)'!AE81</f>
        <v>0.48476128947928415</v>
      </c>
      <c r="O66" s="69">
        <f>'[29]Summary (mEUR)'!AF81</f>
        <v>0</v>
      </c>
      <c r="P66" s="69">
        <f>'[29]Summary (mEUR)'!AG81</f>
        <v>0</v>
      </c>
      <c r="Q66" s="119">
        <f t="shared" si="34"/>
        <v>10.128252989500371</v>
      </c>
      <c r="S66" s="69">
        <f t="shared" si="35"/>
        <v>0.48476128947928415</v>
      </c>
      <c r="T66" s="69">
        <f t="shared" si="35"/>
        <v>0</v>
      </c>
      <c r="U66" s="69">
        <f t="shared" si="35"/>
        <v>0</v>
      </c>
      <c r="V66" s="69">
        <f t="shared" si="36"/>
        <v>0.48476128947928415</v>
      </c>
      <c r="X66" s="69">
        <f t="shared" si="37"/>
        <v>10.128252989500371</v>
      </c>
      <c r="Z66" s="69">
        <f t="shared" si="38"/>
        <v>0</v>
      </c>
      <c r="AA66" s="69">
        <f t="shared" si="39"/>
        <v>5.3759128710236386</v>
      </c>
      <c r="AB66" s="69">
        <f t="shared" si="40"/>
        <v>4.2675788289974488</v>
      </c>
      <c r="AC66" s="69">
        <f t="shared" si="41"/>
        <v>0.48476128947928415</v>
      </c>
      <c r="AD66" s="69">
        <f t="shared" si="42"/>
        <v>10.128252989500371</v>
      </c>
    </row>
    <row r="67" spans="1:30">
      <c r="A67" s="78" t="s">
        <v>55</v>
      </c>
      <c r="B67" s="73"/>
      <c r="C67" s="73"/>
      <c r="D67" s="73"/>
      <c r="E67" s="69">
        <f>Act!E67</f>
        <v>0</v>
      </c>
      <c r="F67" s="69">
        <f>Act!F67</f>
        <v>0</v>
      </c>
      <c r="G67" s="69">
        <f>Act!G67</f>
        <v>-0.30283913715431171</v>
      </c>
      <c r="H67" s="69">
        <f>Act!H67</f>
        <v>-0.18245641091273598</v>
      </c>
      <c r="I67" s="69">
        <f>Act!I67</f>
        <v>-5.824764674268023E-3</v>
      </c>
      <c r="J67" s="69">
        <f>Act!J67</f>
        <v>0</v>
      </c>
      <c r="K67" s="69">
        <f>Act!K67</f>
        <v>0</v>
      </c>
      <c r="L67" s="69">
        <f>Act!L67</f>
        <v>0</v>
      </c>
      <c r="M67" s="69">
        <f>Act!M67</f>
        <v>0</v>
      </c>
      <c r="N67" s="201">
        <f>'[29]Summary (mEUR)'!AE82</f>
        <v>0</v>
      </c>
      <c r="O67" s="69">
        <f>'[29]Summary (mEUR)'!AF82</f>
        <v>-0.15643374681730879</v>
      </c>
      <c r="P67" s="69">
        <f>'[29]Summary (mEUR)'!AG82</f>
        <v>-0.15777813163781271</v>
      </c>
      <c r="Q67" s="119">
        <f t="shared" si="34"/>
        <v>-0.80533219119643717</v>
      </c>
      <c r="S67" s="69">
        <f t="shared" si="35"/>
        <v>0</v>
      </c>
      <c r="T67" s="69">
        <f t="shared" si="35"/>
        <v>-0.15643374681730879</v>
      </c>
      <c r="U67" s="69">
        <f t="shared" si="35"/>
        <v>0</v>
      </c>
      <c r="V67" s="69">
        <f t="shared" si="36"/>
        <v>-0.15643374681730879</v>
      </c>
      <c r="X67" s="69">
        <f t="shared" si="37"/>
        <v>-0.64755405955862444</v>
      </c>
      <c r="Z67" s="69">
        <f t="shared" si="38"/>
        <v>-0.30283913715431171</v>
      </c>
      <c r="AA67" s="69">
        <f t="shared" si="39"/>
        <v>-0.188281175587004</v>
      </c>
      <c r="AB67" s="69">
        <f t="shared" si="40"/>
        <v>0</v>
      </c>
      <c r="AC67" s="69">
        <f t="shared" si="41"/>
        <v>-0.3142118784551215</v>
      </c>
      <c r="AD67" s="69">
        <f t="shared" si="42"/>
        <v>-0.80533219119643729</v>
      </c>
    </row>
    <row r="68" spans="1:30">
      <c r="A68" s="78" t="s">
        <v>56</v>
      </c>
      <c r="B68" s="73"/>
      <c r="C68" s="73"/>
      <c r="D68" s="73"/>
      <c r="E68" s="69">
        <f>Act!E68</f>
        <v>11.986581189000001</v>
      </c>
      <c r="F68" s="69">
        <f>Act!F68</f>
        <v>12.418130976</v>
      </c>
      <c r="G68" s="69">
        <f>Act!G68</f>
        <v>14.339531531</v>
      </c>
      <c r="H68" s="69">
        <f>Act!H68</f>
        <v>11.268922902</v>
      </c>
      <c r="I68" s="69">
        <f>Act!I68</f>
        <v>9.7634507080000006</v>
      </c>
      <c r="J68" s="69">
        <f>Act!J68</f>
        <v>16.207437536</v>
      </c>
      <c r="K68" s="69">
        <f>Act!K68</f>
        <v>12.53863904</v>
      </c>
      <c r="L68" s="69">
        <f>Act!L68</f>
        <v>17.910946447000001</v>
      </c>
      <c r="M68" s="69">
        <f>Act!M68</f>
        <v>13.839326565</v>
      </c>
      <c r="N68" s="201">
        <f>'[29]Summary (mEUR)'!AE83</f>
        <v>12.553012989000001</v>
      </c>
      <c r="O68" s="69">
        <f>'[29]Summary (mEUR)'!AF83</f>
        <v>14.512</v>
      </c>
      <c r="P68" s="69">
        <f>'[29]Summary (mEUR)'!AG83</f>
        <v>17.52</v>
      </c>
      <c r="Q68" s="119">
        <f t="shared" si="34"/>
        <v>164.85797988300001</v>
      </c>
      <c r="S68" s="69">
        <f t="shared" si="35"/>
        <v>12.553012989000001</v>
      </c>
      <c r="T68" s="69">
        <f t="shared" si="35"/>
        <v>14.512</v>
      </c>
      <c r="U68" s="69">
        <f t="shared" si="35"/>
        <v>0</v>
      </c>
      <c r="V68" s="69">
        <f t="shared" si="36"/>
        <v>27.065012989000003</v>
      </c>
      <c r="X68" s="69">
        <f t="shared" si="37"/>
        <v>147.337979883</v>
      </c>
      <c r="Z68" s="69">
        <f t="shared" si="38"/>
        <v>38.744243695999998</v>
      </c>
      <c r="AA68" s="69">
        <f t="shared" si="39"/>
        <v>37.239811146000001</v>
      </c>
      <c r="AB68" s="69">
        <f t="shared" si="40"/>
        <v>44.288912052000001</v>
      </c>
      <c r="AC68" s="69">
        <f t="shared" si="41"/>
        <v>44.585012989000006</v>
      </c>
      <c r="AD68" s="69">
        <f t="shared" si="42"/>
        <v>164.85797988300001</v>
      </c>
    </row>
    <row r="69" spans="1:30">
      <c r="A69" s="78" t="s">
        <v>57</v>
      </c>
      <c r="B69" s="73"/>
      <c r="C69" s="73"/>
      <c r="D69" s="73"/>
      <c r="E69" s="69">
        <f>Act!E69</f>
        <v>0</v>
      </c>
      <c r="F69" s="69">
        <f>Act!F69</f>
        <v>0</v>
      </c>
      <c r="G69" s="69">
        <f>Act!G69</f>
        <v>0</v>
      </c>
      <c r="H69" s="69">
        <f>Act!H69</f>
        <v>0</v>
      </c>
      <c r="I69" s="69">
        <f>Act!I69</f>
        <v>0</v>
      </c>
      <c r="J69" s="69">
        <f>Act!J69</f>
        <v>0</v>
      </c>
      <c r="K69" s="69">
        <f>Act!K69</f>
        <v>0</v>
      </c>
      <c r="L69" s="69">
        <f>Act!L69</f>
        <v>0</v>
      </c>
      <c r="M69" s="69">
        <f>Act!M69</f>
        <v>0</v>
      </c>
      <c r="N69" s="201">
        <f>'[29]Summary (mEUR)'!AE84</f>
        <v>0</v>
      </c>
      <c r="O69" s="69">
        <f>'[29]Summary (mEUR)'!AF84</f>
        <v>0</v>
      </c>
      <c r="P69" s="69">
        <f>'[29]Summary (mEUR)'!AG84</f>
        <v>0</v>
      </c>
      <c r="Q69" s="119">
        <f t="shared" si="34"/>
        <v>0</v>
      </c>
      <c r="S69" s="69">
        <f t="shared" si="35"/>
        <v>0</v>
      </c>
      <c r="T69" s="69">
        <f t="shared" si="35"/>
        <v>0</v>
      </c>
      <c r="U69" s="69">
        <f t="shared" si="35"/>
        <v>0</v>
      </c>
      <c r="V69" s="69">
        <f t="shared" si="36"/>
        <v>0</v>
      </c>
      <c r="X69" s="69">
        <f t="shared" si="37"/>
        <v>0</v>
      </c>
      <c r="Z69" s="69">
        <f t="shared" si="38"/>
        <v>0</v>
      </c>
      <c r="AA69" s="69">
        <f t="shared" si="39"/>
        <v>0</v>
      </c>
      <c r="AB69" s="69">
        <f t="shared" si="40"/>
        <v>0</v>
      </c>
      <c r="AC69" s="69">
        <f t="shared" si="41"/>
        <v>0</v>
      </c>
      <c r="AD69" s="69">
        <f t="shared" si="42"/>
        <v>0</v>
      </c>
    </row>
    <row r="70" spans="1:30">
      <c r="A70" s="78" t="s">
        <v>58</v>
      </c>
      <c r="B70" s="73"/>
      <c r="C70" s="73"/>
      <c r="D70" s="73"/>
      <c r="E70" s="69">
        <f>Act!E70</f>
        <v>2.2744157</v>
      </c>
      <c r="F70" s="69">
        <f>Act!F70</f>
        <v>2.6542930999999998</v>
      </c>
      <c r="G70" s="69">
        <f>Act!G70</f>
        <v>3.4230191999999997</v>
      </c>
      <c r="H70" s="69">
        <f>Act!H70</f>
        <v>2.6512258999999982</v>
      </c>
      <c r="I70" s="69">
        <f>Act!I70</f>
        <v>2.2306751000000027</v>
      </c>
      <c r="J70" s="69">
        <f>Act!J70</f>
        <v>4.3002925000000012</v>
      </c>
      <c r="K70" s="69">
        <f>Act!K70</f>
        <v>3.0895212999999941</v>
      </c>
      <c r="L70" s="69">
        <f>Act!L70</f>
        <v>3.5320670200000031</v>
      </c>
      <c r="M70" s="69">
        <f>Act!M70</f>
        <v>3.3993533300000038</v>
      </c>
      <c r="N70" s="201">
        <f>'[29]Summary (mEUR)'!AE85</f>
        <v>3.2673819799999961</v>
      </c>
      <c r="O70" s="69">
        <f>'[29]Summary (mEUR)'!AF85</f>
        <v>4.3610229180000006</v>
      </c>
      <c r="P70" s="69">
        <f>'[29]Summary (mEUR)'!AG85</f>
        <v>6.7596680000000005</v>
      </c>
      <c r="Q70" s="119">
        <f t="shared" si="34"/>
        <v>41.942936048</v>
      </c>
      <c r="S70" s="69">
        <f t="shared" si="35"/>
        <v>3.2673819799999961</v>
      </c>
      <c r="T70" s="69">
        <f t="shared" si="35"/>
        <v>4.3610229180000006</v>
      </c>
      <c r="U70" s="69">
        <f t="shared" si="35"/>
        <v>0</v>
      </c>
      <c r="V70" s="69">
        <f t="shared" si="36"/>
        <v>7.6284048979999968</v>
      </c>
      <c r="X70" s="69">
        <f t="shared" si="37"/>
        <v>35.183268048000002</v>
      </c>
      <c r="Z70" s="69">
        <f t="shared" si="38"/>
        <v>8.3517279999999996</v>
      </c>
      <c r="AA70" s="69">
        <f t="shared" si="39"/>
        <v>9.1821935000000021</v>
      </c>
      <c r="AB70" s="69">
        <f t="shared" si="40"/>
        <v>10.020941650000001</v>
      </c>
      <c r="AC70" s="69">
        <f t="shared" si="41"/>
        <v>14.388072897999997</v>
      </c>
      <c r="AD70" s="69">
        <f t="shared" si="42"/>
        <v>41.942936048</v>
      </c>
    </row>
    <row r="71" spans="1:30">
      <c r="A71" s="78" t="s">
        <v>59</v>
      </c>
      <c r="B71" s="73"/>
      <c r="C71" s="73"/>
      <c r="D71" s="73"/>
      <c r="E71" s="69">
        <f>Act!E71</f>
        <v>-1.9535469999999999</v>
      </c>
      <c r="F71" s="69">
        <f>Act!F71</f>
        <v>-5.487479999999989E-2</v>
      </c>
      <c r="G71" s="69">
        <f>Act!G71</f>
        <v>4.8354599999999998E-2</v>
      </c>
      <c r="H71" s="69">
        <f>Act!H71</f>
        <v>7.5404900000000052E-2</v>
      </c>
      <c r="I71" s="69">
        <f>Act!I71</f>
        <v>1.4994999999999998</v>
      </c>
      <c r="J71" s="69">
        <f>Act!J71</f>
        <v>21.500419999999998</v>
      </c>
      <c r="K71" s="69">
        <f>Act!K71</f>
        <v>0.17399999999999993</v>
      </c>
      <c r="L71" s="69">
        <f>Act!L71</f>
        <v>0.61047119999999977</v>
      </c>
      <c r="M71" s="69">
        <f>Act!M71</f>
        <v>0.8468182999999998</v>
      </c>
      <c r="N71" s="201">
        <f>'[29]Summary (mEUR)'!AE86</f>
        <v>0.88185000000000002</v>
      </c>
      <c r="O71" s="69">
        <f>'[29]Summary (mEUR)'!AF86</f>
        <v>0</v>
      </c>
      <c r="P71" s="69">
        <f>'[29]Summary (mEUR)'!AG86</f>
        <v>0</v>
      </c>
      <c r="Q71" s="119">
        <f t="shared" si="34"/>
        <v>23.628397199999995</v>
      </c>
      <c r="S71" s="69">
        <f t="shared" si="35"/>
        <v>0.88185000000000002</v>
      </c>
      <c r="T71" s="69">
        <f t="shared" si="35"/>
        <v>0</v>
      </c>
      <c r="U71" s="69">
        <f t="shared" si="35"/>
        <v>0</v>
      </c>
      <c r="V71" s="69">
        <f t="shared" si="36"/>
        <v>0.88185000000000002</v>
      </c>
      <c r="X71" s="69">
        <f t="shared" si="37"/>
        <v>23.628397199999995</v>
      </c>
      <c r="Z71" s="69">
        <f t="shared" si="38"/>
        <v>-1.9600671999999999</v>
      </c>
      <c r="AA71" s="69">
        <f t="shared" si="39"/>
        <v>23.075324899999998</v>
      </c>
      <c r="AB71" s="69">
        <f t="shared" si="40"/>
        <v>1.6312894999999994</v>
      </c>
      <c r="AC71" s="69">
        <f t="shared" si="41"/>
        <v>0.88185000000000002</v>
      </c>
      <c r="AD71" s="69">
        <f t="shared" si="42"/>
        <v>23.628397199999995</v>
      </c>
    </row>
    <row r="72" spans="1:30">
      <c r="A72" s="78" t="s">
        <v>60</v>
      </c>
      <c r="B72" s="96"/>
      <c r="C72" s="96"/>
      <c r="D72" s="97"/>
      <c r="E72" s="69">
        <f>Act!E72</f>
        <v>0.14099999999999999</v>
      </c>
      <c r="F72" s="69">
        <f>Act!F72</f>
        <v>0.92700000000000005</v>
      </c>
      <c r="G72" s="69">
        <f>Act!G72</f>
        <v>0.183</v>
      </c>
      <c r="H72" s="69">
        <f>Act!H72</f>
        <v>0.89500000000000002</v>
      </c>
      <c r="I72" s="69">
        <f>Act!I72</f>
        <v>0.68600000000000005</v>
      </c>
      <c r="J72" s="69">
        <f>Act!J72</f>
        <v>0.55000000000000004</v>
      </c>
      <c r="K72" s="69">
        <f>Act!K72</f>
        <v>0.46300000000000002</v>
      </c>
      <c r="L72" s="69">
        <f>Act!L72</f>
        <v>0.55400000000000005</v>
      </c>
      <c r="M72" s="69">
        <f>Act!M72</f>
        <v>1.121</v>
      </c>
      <c r="N72" s="201">
        <f>'[29]Summary (mEUR)'!AE87</f>
        <v>1.6693</v>
      </c>
      <c r="O72" s="69">
        <f>'[29]Summary (mEUR)'!AF87</f>
        <v>0.123</v>
      </c>
      <c r="P72" s="69">
        <f>'[29]Summary (mEUR)'!AG87</f>
        <v>1.107</v>
      </c>
      <c r="Q72" s="119">
        <f t="shared" si="34"/>
        <v>8.4192999999999998</v>
      </c>
      <c r="S72" s="69">
        <f t="shared" si="35"/>
        <v>1.6693</v>
      </c>
      <c r="T72" s="69">
        <f t="shared" si="35"/>
        <v>0.123</v>
      </c>
      <c r="U72" s="69">
        <f t="shared" si="35"/>
        <v>0</v>
      </c>
      <c r="V72" s="69">
        <f t="shared" si="36"/>
        <v>1.7923</v>
      </c>
      <c r="X72" s="69">
        <f t="shared" si="37"/>
        <v>7.3122999999999996</v>
      </c>
      <c r="Z72" s="69">
        <f t="shared" si="38"/>
        <v>1.2510000000000001</v>
      </c>
      <c r="AA72" s="69">
        <f t="shared" si="39"/>
        <v>2.1310000000000002</v>
      </c>
      <c r="AB72" s="69">
        <f t="shared" si="40"/>
        <v>2.1379999999999999</v>
      </c>
      <c r="AC72" s="69">
        <f t="shared" si="41"/>
        <v>2.8993000000000002</v>
      </c>
      <c r="AD72" s="69">
        <f t="shared" si="42"/>
        <v>8.4192999999999998</v>
      </c>
    </row>
    <row r="73" spans="1:30" ht="15.95" customHeight="1">
      <c r="A73" s="78" t="s">
        <v>262</v>
      </c>
      <c r="B73" s="96"/>
      <c r="C73" s="96"/>
      <c r="D73" s="97"/>
      <c r="E73" s="69">
        <f>Act!E73</f>
        <v>2.2546439973448797</v>
      </c>
      <c r="F73" s="69">
        <f>Act!F73</f>
        <v>2.2359900205328698</v>
      </c>
      <c r="G73" s="69">
        <f>Act!G73</f>
        <v>2.1925870892448822</v>
      </c>
      <c r="H73" s="69">
        <f>Act!H73</f>
        <v>2.1261450562374615</v>
      </c>
      <c r="I73" s="69">
        <f>Act!I73</f>
        <v>2.1235463107522752</v>
      </c>
      <c r="J73" s="69">
        <f>Act!J73</f>
        <v>2.1022557859426585</v>
      </c>
      <c r="K73" s="69">
        <f>Act!K73</f>
        <v>-1.7845704287208499</v>
      </c>
      <c r="L73" s="69">
        <f>Act!L73</f>
        <v>0.90222124336119403</v>
      </c>
      <c r="M73" s="69">
        <f>Act!M73</f>
        <v>1.5330645305018482</v>
      </c>
      <c r="N73" s="201">
        <f>'[29]Summary (mEUR)'!AE89</f>
        <v>1.3988883249842416</v>
      </c>
      <c r="O73" s="70">
        <f>'[29]Summary (mEUR)'!AF89</f>
        <v>1.5284342684476986</v>
      </c>
      <c r="P73" s="70">
        <f>'[29]Summary (mEUR)'!AG89</f>
        <v>1.5321315855431801</v>
      </c>
      <c r="Q73" s="119">
        <f t="shared" si="34"/>
        <v>18.145337784172337</v>
      </c>
      <c r="S73" s="69">
        <f t="shared" si="35"/>
        <v>1.3988883249842416</v>
      </c>
      <c r="T73" s="69">
        <f t="shared" si="35"/>
        <v>1.5284342684476986</v>
      </c>
      <c r="U73" s="69">
        <f t="shared" si="35"/>
        <v>0</v>
      </c>
      <c r="V73" s="69">
        <f t="shared" si="36"/>
        <v>2.9273225934319402</v>
      </c>
      <c r="X73" s="69">
        <f t="shared" si="37"/>
        <v>16.613206198629157</v>
      </c>
      <c r="Z73" s="69">
        <f t="shared" si="38"/>
        <v>6.6832211071226313</v>
      </c>
      <c r="AA73" s="69">
        <f t="shared" si="39"/>
        <v>6.3519471529323948</v>
      </c>
      <c r="AB73" s="69">
        <f t="shared" si="40"/>
        <v>0.65071534514219231</v>
      </c>
      <c r="AC73" s="69">
        <f t="shared" si="41"/>
        <v>4.4594541789751201</v>
      </c>
      <c r="AD73" s="69">
        <f t="shared" si="42"/>
        <v>18.145337784172341</v>
      </c>
    </row>
    <row r="74" spans="1:30" ht="15.95" customHeight="1">
      <c r="A74" s="78" t="s">
        <v>566</v>
      </c>
      <c r="B74" s="96"/>
      <c r="C74" s="96"/>
      <c r="D74" s="97"/>
      <c r="E74" s="69">
        <f>Act!E74</f>
        <v>0</v>
      </c>
      <c r="F74" s="69">
        <f>Act!F74</f>
        <v>0</v>
      </c>
      <c r="G74" s="69">
        <f>Act!G74</f>
        <v>0</v>
      </c>
      <c r="H74" s="69">
        <f>Act!H74</f>
        <v>0</v>
      </c>
      <c r="I74" s="69">
        <f>Act!I74</f>
        <v>0</v>
      </c>
      <c r="J74" s="69">
        <f>Act!J74</f>
        <v>0</v>
      </c>
      <c r="K74" s="69">
        <f>Act!K74</f>
        <v>0</v>
      </c>
      <c r="L74" s="69">
        <f>Act!L74</f>
        <v>0</v>
      </c>
      <c r="M74" s="69">
        <f>Act!M74</f>
        <v>0</v>
      </c>
      <c r="N74" s="201">
        <f>'[29]Summary (mEUR)'!AE91</f>
        <v>0</v>
      </c>
      <c r="O74" s="70">
        <f>'[29]Summary (mEUR)'!AF91</f>
        <v>17.899999999999999</v>
      </c>
      <c r="P74" s="70">
        <f>'[29]Summary (mEUR)'!AG91</f>
        <v>0</v>
      </c>
      <c r="Q74" s="119">
        <f t="shared" si="34"/>
        <v>17.899999999999999</v>
      </c>
      <c r="S74" s="69">
        <f t="shared" si="35"/>
        <v>0</v>
      </c>
      <c r="T74" s="69">
        <f t="shared" si="35"/>
        <v>17.899999999999999</v>
      </c>
      <c r="U74" s="69">
        <f t="shared" si="35"/>
        <v>0</v>
      </c>
      <c r="V74" s="69">
        <f t="shared" si="36"/>
        <v>17.899999999999999</v>
      </c>
      <c r="X74" s="69">
        <f t="shared" si="37"/>
        <v>17.899999999999999</v>
      </c>
      <c r="Z74" s="69">
        <f t="shared" si="38"/>
        <v>0</v>
      </c>
      <c r="AA74" s="69">
        <f t="shared" si="39"/>
        <v>0</v>
      </c>
      <c r="AB74" s="69">
        <f t="shared" si="40"/>
        <v>0</v>
      </c>
      <c r="AC74" s="69">
        <f t="shared" si="41"/>
        <v>17.899999999999999</v>
      </c>
      <c r="AD74" s="69">
        <f t="shared" si="42"/>
        <v>17.899999999999999</v>
      </c>
    </row>
    <row r="75" spans="1:30">
      <c r="A75" s="94"/>
      <c r="B75" s="94"/>
      <c r="C75" s="94"/>
      <c r="D75" s="94"/>
      <c r="E75" s="2"/>
      <c r="F75" s="2"/>
      <c r="G75" s="2"/>
      <c r="H75" s="2"/>
      <c r="I75" s="2"/>
      <c r="J75" s="2"/>
      <c r="K75" s="2"/>
      <c r="L75" s="2"/>
      <c r="M75" s="2"/>
      <c r="N75" s="932"/>
      <c r="O75" s="2"/>
      <c r="P75" s="2"/>
      <c r="Q75" s="2"/>
      <c r="S75" s="2"/>
      <c r="T75" s="2"/>
      <c r="U75" s="2"/>
      <c r="V75" s="2"/>
      <c r="X75" s="2"/>
      <c r="Z75" s="2"/>
      <c r="AA75" s="2"/>
      <c r="AB75" s="2"/>
      <c r="AC75" s="2"/>
      <c r="AD75" s="2"/>
    </row>
    <row r="76" spans="1:30">
      <c r="A76" s="94"/>
      <c r="B76" s="94"/>
      <c r="C76" s="94"/>
      <c r="D76" s="103" t="s">
        <v>61</v>
      </c>
      <c r="E76" s="98">
        <f>E46-SUM(E62:E74)-E54</f>
        <v>0</v>
      </c>
      <c r="F76" s="98">
        <f t="shared" ref="F76:AD76" si="43">F46-SUM(F62:F74)-F54</f>
        <v>-4.9737991503207013E-14</v>
      </c>
      <c r="G76" s="98">
        <f t="shared" si="43"/>
        <v>7.815970093361102E-14</v>
      </c>
      <c r="H76" s="98">
        <f t="shared" si="43"/>
        <v>-1.9895196601282805E-13</v>
      </c>
      <c r="I76" s="98">
        <f t="shared" si="43"/>
        <v>-6.3948846218409017E-14</v>
      </c>
      <c r="J76" s="98">
        <f t="shared" si="43"/>
        <v>-1.5631940186722204E-13</v>
      </c>
      <c r="K76" s="98">
        <f t="shared" si="43"/>
        <v>0</v>
      </c>
      <c r="L76" s="98">
        <f t="shared" si="43"/>
        <v>7.1054273576010019E-14</v>
      </c>
      <c r="M76" s="98">
        <f t="shared" si="43"/>
        <v>3.0553337637684308E-13</v>
      </c>
      <c r="N76" s="978">
        <f t="shared" si="43"/>
        <v>0</v>
      </c>
      <c r="O76" s="98">
        <f t="shared" si="43"/>
        <v>0</v>
      </c>
      <c r="P76" s="98">
        <f t="shared" si="43"/>
        <v>0</v>
      </c>
      <c r="Q76" s="98">
        <f t="shared" si="43"/>
        <v>0</v>
      </c>
      <c r="S76" s="98">
        <f t="shared" si="43"/>
        <v>0</v>
      </c>
      <c r="T76" s="98">
        <f t="shared" si="43"/>
        <v>0</v>
      </c>
      <c r="U76" s="98">
        <f t="shared" si="43"/>
        <v>0</v>
      </c>
      <c r="V76" s="98">
        <f t="shared" si="43"/>
        <v>-1.2079226507921703E-13</v>
      </c>
      <c r="X76" s="98">
        <f t="shared" si="43"/>
        <v>-1.0800249583553523E-12</v>
      </c>
      <c r="Z76" s="98">
        <f t="shared" si="43"/>
        <v>3.694822225952521E-13</v>
      </c>
      <c r="AA76" s="98">
        <f t="shared" si="43"/>
        <v>-3.1974423109204508E-13</v>
      </c>
      <c r="AB76" s="98">
        <f t="shared" si="43"/>
        <v>0</v>
      </c>
      <c r="AC76" s="98">
        <f t="shared" si="43"/>
        <v>-1.4921397450962104E-13</v>
      </c>
      <c r="AD76" s="98">
        <f t="shared" si="43"/>
        <v>1.3073986337985843E-12</v>
      </c>
    </row>
    <row r="77" spans="1:30">
      <c r="A77" s="94"/>
      <c r="B77" s="94"/>
      <c r="C77" s="94"/>
      <c r="D77" s="103" t="s">
        <v>62</v>
      </c>
      <c r="E77" s="98">
        <f t="shared" ref="E77:AD77" si="44">E26-SUM(E62:E63,E65:E70,E72,E74)</f>
        <v>63.237619418000122</v>
      </c>
      <c r="F77" s="98">
        <f t="shared" si="44"/>
        <v>81.535987771999487</v>
      </c>
      <c r="G77" s="98">
        <f t="shared" si="44"/>
        <v>72.590191914001252</v>
      </c>
      <c r="H77" s="98">
        <f t="shared" si="44"/>
        <v>76.429386700999274</v>
      </c>
      <c r="I77" s="98">
        <f t="shared" si="44"/>
        <v>77.532483202999998</v>
      </c>
      <c r="J77" s="98">
        <f t="shared" si="44"/>
        <v>162.43759902100061</v>
      </c>
      <c r="K77" s="98">
        <f t="shared" si="44"/>
        <v>97.753944083237727</v>
      </c>
      <c r="L77" s="98">
        <f t="shared" si="44"/>
        <v>83.804546847421591</v>
      </c>
      <c r="M77" s="98">
        <f t="shared" si="44"/>
        <v>152.88208869859892</v>
      </c>
      <c r="N77" s="978">
        <f t="shared" si="44"/>
        <v>107.76375566499685</v>
      </c>
      <c r="O77" s="98">
        <f t="shared" si="44"/>
        <v>86.386592668665827</v>
      </c>
      <c r="P77" s="98">
        <f t="shared" si="44"/>
        <v>188.84271718527296</v>
      </c>
      <c r="Q77" s="98">
        <f t="shared" si="44"/>
        <v>1251.1969131771943</v>
      </c>
      <c r="S77" s="98">
        <f t="shared" si="44"/>
        <v>107.76375566499685</v>
      </c>
      <c r="T77" s="98">
        <f t="shared" si="44"/>
        <v>86.386592668665827</v>
      </c>
      <c r="U77" s="98">
        <f t="shared" si="44"/>
        <v>0</v>
      </c>
      <c r="V77" s="98">
        <f t="shared" si="44"/>
        <v>194.15034833366258</v>
      </c>
      <c r="X77" s="98">
        <f t="shared" si="44"/>
        <v>1062.3541959919205</v>
      </c>
      <c r="Z77" s="98">
        <f t="shared" si="44"/>
        <v>217.36379910400115</v>
      </c>
      <c r="AA77" s="98">
        <f t="shared" si="44"/>
        <v>316.39946892499995</v>
      </c>
      <c r="AB77" s="98">
        <f t="shared" si="44"/>
        <v>334.44057962925785</v>
      </c>
      <c r="AC77" s="98">
        <f t="shared" si="44"/>
        <v>382.99306551893551</v>
      </c>
      <c r="AD77" s="98">
        <f t="shared" si="44"/>
        <v>1251.1969131771959</v>
      </c>
    </row>
    <row r="78" spans="1:30">
      <c r="A78" s="94"/>
      <c r="B78" s="94"/>
      <c r="C78" s="94"/>
      <c r="D78" s="103" t="s">
        <v>63</v>
      </c>
      <c r="E78" s="98">
        <f>E45-E64-E71-E73</f>
        <v>-134.40743371799999</v>
      </c>
      <c r="F78" s="98">
        <f t="shared" ref="F78:Q78" si="45">F45-F64-F71-F73</f>
        <v>-97.017769971999982</v>
      </c>
      <c r="G78" s="98">
        <f t="shared" si="45"/>
        <v>-121.745654614</v>
      </c>
      <c r="H78" s="98">
        <f t="shared" si="45"/>
        <v>-116.39243720100002</v>
      </c>
      <c r="I78" s="98">
        <f t="shared" si="45"/>
        <v>-98.671930103000037</v>
      </c>
      <c r="J78" s="98">
        <f t="shared" si="45"/>
        <v>-154.14309172099999</v>
      </c>
      <c r="K78" s="98">
        <f t="shared" si="45"/>
        <v>-128.76055488323999</v>
      </c>
      <c r="L78" s="98">
        <f t="shared" si="45"/>
        <v>-111.51378384742002</v>
      </c>
      <c r="M78" s="98">
        <f t="shared" si="45"/>
        <v>-108.01290709859995</v>
      </c>
      <c r="N78" s="978">
        <f t="shared" si="45"/>
        <v>-122.70532976500002</v>
      </c>
      <c r="O78" s="98">
        <f t="shared" si="45"/>
        <v>-123.32436719192658</v>
      </c>
      <c r="P78" s="98">
        <f t="shared" si="45"/>
        <v>-116.63161308733744</v>
      </c>
      <c r="Q78" s="98">
        <f t="shared" si="45"/>
        <v>-1433.3268732025238</v>
      </c>
      <c r="S78" s="98">
        <f>S45-S64-S71-S73</f>
        <v>-122.70532976500002</v>
      </c>
      <c r="T78" s="98">
        <f>T45-T64-T71-T73</f>
        <v>-123.32436719192658</v>
      </c>
      <c r="U78" s="98">
        <f>U45-U64-U71-U73</f>
        <v>0</v>
      </c>
      <c r="V78" s="98">
        <f>V45-V64-V71-V73</f>
        <v>-246.02969695692661</v>
      </c>
      <c r="X78" s="98">
        <f>X45-X64-X71-X73</f>
        <v>-1316.6952601151866</v>
      </c>
      <c r="Z78" s="98">
        <f>Z45-Z64-Z71-Z73</f>
        <v>-353.17085830399986</v>
      </c>
      <c r="AA78" s="98">
        <f>AA45-AA64-AA71-AA73</f>
        <v>-369.20745902500005</v>
      </c>
      <c r="AB78" s="98">
        <f>AB45-AB64-AB71-AB73</f>
        <v>-348.28724582925997</v>
      </c>
      <c r="AC78" s="98">
        <f>AC45-AC64-AC71-AC73</f>
        <v>-362.66131004426404</v>
      </c>
      <c r="AD78" s="98">
        <f>AD45-AD64-AD71-AD73</f>
        <v>-1433.3268732025242</v>
      </c>
    </row>
    <row r="79" spans="1:30">
      <c r="A79" s="2"/>
      <c r="B79" s="2"/>
      <c r="C79" s="2"/>
      <c r="D79" s="104" t="s">
        <v>64</v>
      </c>
      <c r="E79" s="99">
        <f>SUM(E77:E78)-E54</f>
        <v>0</v>
      </c>
      <c r="F79" s="99">
        <f t="shared" ref="F79:Q79" si="46">SUM(F77:F78)-F54</f>
        <v>-5.6843418860808015E-14</v>
      </c>
      <c r="G79" s="99">
        <f t="shared" si="46"/>
        <v>7.1054273576010019E-14</v>
      </c>
      <c r="H79" s="99">
        <f t="shared" si="46"/>
        <v>-1.9184653865522705E-13</v>
      </c>
      <c r="I79" s="99">
        <f t="shared" si="46"/>
        <v>-5.6843418860808015E-14</v>
      </c>
      <c r="J79" s="99">
        <f t="shared" si="46"/>
        <v>-1.4210854715202004E-13</v>
      </c>
      <c r="K79" s="99">
        <f t="shared" si="46"/>
        <v>0</v>
      </c>
      <c r="L79" s="99">
        <f t="shared" si="46"/>
        <v>6.3948846218409017E-14</v>
      </c>
      <c r="M79" s="99">
        <f t="shared" si="46"/>
        <v>3.2684965844964609E-13</v>
      </c>
      <c r="N79" s="979">
        <f t="shared" si="46"/>
        <v>0</v>
      </c>
      <c r="O79" s="99">
        <f t="shared" si="46"/>
        <v>0</v>
      </c>
      <c r="P79" s="99">
        <f t="shared" si="46"/>
        <v>0</v>
      </c>
      <c r="Q79" s="99">
        <f t="shared" si="46"/>
        <v>0</v>
      </c>
      <c r="S79" s="99">
        <f>SUM(S77:S78)-S54</f>
        <v>0</v>
      </c>
      <c r="T79" s="99">
        <f>SUM(T77:T78)-T54</f>
        <v>0</v>
      </c>
      <c r="U79" s="99">
        <f>SUM(U77:U78)-U54</f>
        <v>0</v>
      </c>
      <c r="V79" s="99">
        <f>SUM(V77:V78)-V54</f>
        <v>-1.2079226507921703E-13</v>
      </c>
      <c r="X79" s="99">
        <f>SUM(X77:X78)-X54</f>
        <v>-1.0800249583553523E-12</v>
      </c>
      <c r="Z79" s="99">
        <f>SUM(Z77:Z78)-Z54</f>
        <v>4.2632564145606011E-13</v>
      </c>
      <c r="AA79" s="99">
        <f>SUM(AA77:AA78)-AA54</f>
        <v>-3.1974423109204508E-13</v>
      </c>
      <c r="AB79" s="99">
        <f>SUM(AB77:AB78)-AB54</f>
        <v>0</v>
      </c>
      <c r="AC79" s="99">
        <f>SUM(AC77:AC78)-AC54</f>
        <v>-1.2079226507921703E-13</v>
      </c>
      <c r="AD79" s="99">
        <f>SUM(AD77:AD78)-AD54</f>
        <v>1.1937117960769683E-12</v>
      </c>
    </row>
    <row r="81" spans="5:18">
      <c r="E81" s="121"/>
      <c r="F81" s="121"/>
      <c r="G81" s="121"/>
      <c r="H81" s="121"/>
      <c r="I81" s="121"/>
      <c r="J81" s="121"/>
      <c r="K81" s="121"/>
      <c r="L81" s="121"/>
      <c r="M81" s="121"/>
      <c r="N81" s="980"/>
      <c r="O81" s="121"/>
      <c r="P81" s="121"/>
      <c r="Q81" s="121"/>
      <c r="R81" s="121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8645D-30C7-411B-B9D1-AFA11CB843C3}">
  <dimension ref="A2:O46"/>
  <sheetViews>
    <sheetView workbookViewId="0">
      <selection activeCell="D19" sqref="D19"/>
    </sheetView>
  </sheetViews>
  <sheetFormatPr defaultRowHeight="15"/>
  <sheetData>
    <row r="2" spans="1:15">
      <c r="A2" t="s">
        <v>80</v>
      </c>
      <c r="B2" t="s">
        <v>75</v>
      </c>
      <c r="C2" t="s">
        <v>65</v>
      </c>
    </row>
    <row r="3" spans="1:15">
      <c r="A3" t="s">
        <v>81</v>
      </c>
      <c r="B3" t="s">
        <v>75</v>
      </c>
      <c r="C3" t="s">
        <v>66</v>
      </c>
    </row>
    <row r="4" spans="1:15">
      <c r="A4" t="s">
        <v>82</v>
      </c>
      <c r="B4" t="s">
        <v>75</v>
      </c>
      <c r="C4" t="s">
        <v>67</v>
      </c>
    </row>
    <row r="5" spans="1:15">
      <c r="A5" t="s">
        <v>83</v>
      </c>
      <c r="B5" t="s">
        <v>76</v>
      </c>
      <c r="C5" t="s">
        <v>2</v>
      </c>
    </row>
    <row r="6" spans="1:15">
      <c r="A6" t="s">
        <v>84</v>
      </c>
      <c r="B6" t="s">
        <v>76</v>
      </c>
      <c r="C6" t="s">
        <v>3</v>
      </c>
    </row>
    <row r="7" spans="1:15">
      <c r="A7" t="s">
        <v>85</v>
      </c>
      <c r="B7" t="s">
        <v>76</v>
      </c>
      <c r="C7" t="s">
        <v>4</v>
      </c>
    </row>
    <row r="8" spans="1:15">
      <c r="A8" t="s">
        <v>86</v>
      </c>
      <c r="B8" t="s">
        <v>77</v>
      </c>
      <c r="C8" t="s">
        <v>68</v>
      </c>
    </row>
    <row r="9" spans="1:15">
      <c r="A9" t="s">
        <v>87</v>
      </c>
      <c r="B9" t="s">
        <v>77</v>
      </c>
      <c r="C9" t="s">
        <v>69</v>
      </c>
    </row>
    <row r="10" spans="1:15">
      <c r="A10" t="s">
        <v>88</v>
      </c>
      <c r="B10" t="s">
        <v>77</v>
      </c>
      <c r="C10" t="s">
        <v>70</v>
      </c>
    </row>
    <row r="11" spans="1:15">
      <c r="A11" t="s">
        <v>89</v>
      </c>
      <c r="B11" t="s">
        <v>78</v>
      </c>
      <c r="C11" t="s">
        <v>71</v>
      </c>
    </row>
    <row r="12" spans="1:15">
      <c r="A12" t="s">
        <v>90</v>
      </c>
      <c r="B12" t="s">
        <v>78</v>
      </c>
      <c r="C12" t="s">
        <v>72</v>
      </c>
    </row>
    <row r="13" spans="1:15">
      <c r="A13" t="s">
        <v>91</v>
      </c>
      <c r="B13" t="s">
        <v>78</v>
      </c>
      <c r="C13" t="s">
        <v>73</v>
      </c>
    </row>
    <row r="15" spans="1:15">
      <c r="A15" s="123" t="s">
        <v>79</v>
      </c>
      <c r="B15" s="124" t="s">
        <v>92</v>
      </c>
      <c r="C15" s="124" t="s">
        <v>80</v>
      </c>
      <c r="D15" s="125">
        <v>1</v>
      </c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7"/>
    </row>
    <row r="16" spans="1:15">
      <c r="A16" s="123" t="s">
        <v>79</v>
      </c>
      <c r="B16" s="128" t="s">
        <v>81</v>
      </c>
      <c r="C16" s="128" t="s">
        <v>81</v>
      </c>
      <c r="D16" s="129">
        <v>1</v>
      </c>
      <c r="E16" s="129">
        <v>1</v>
      </c>
      <c r="O16" s="130"/>
    </row>
    <row r="17" spans="1:15">
      <c r="A17" s="123" t="s">
        <v>79</v>
      </c>
      <c r="B17" s="128" t="s">
        <v>93</v>
      </c>
      <c r="C17" s="128" t="s">
        <v>82</v>
      </c>
      <c r="D17" s="129">
        <v>1</v>
      </c>
      <c r="E17" s="129">
        <v>1</v>
      </c>
      <c r="F17" s="129">
        <v>1</v>
      </c>
      <c r="O17" s="130"/>
    </row>
    <row r="18" spans="1:15">
      <c r="A18" s="123" t="s">
        <v>79</v>
      </c>
      <c r="B18" s="128" t="s">
        <v>94</v>
      </c>
      <c r="C18" s="128" t="s">
        <v>83</v>
      </c>
      <c r="D18" s="129">
        <v>1</v>
      </c>
      <c r="E18" s="129">
        <v>1</v>
      </c>
      <c r="F18" s="129">
        <v>1</v>
      </c>
      <c r="G18" s="129">
        <v>1</v>
      </c>
      <c r="O18" s="130"/>
    </row>
    <row r="19" spans="1:15">
      <c r="A19" s="123" t="s">
        <v>79</v>
      </c>
      <c r="B19" s="128" t="s">
        <v>95</v>
      </c>
      <c r="C19" s="128" t="s">
        <v>84</v>
      </c>
      <c r="D19" s="129">
        <v>1</v>
      </c>
      <c r="E19" s="129">
        <v>1</v>
      </c>
      <c r="F19" s="129">
        <v>1</v>
      </c>
      <c r="G19" s="129">
        <v>1</v>
      </c>
      <c r="H19" s="129">
        <v>1</v>
      </c>
      <c r="O19" s="130"/>
    </row>
    <row r="20" spans="1:15">
      <c r="A20" s="123" t="s">
        <v>79</v>
      </c>
      <c r="B20" s="128" t="s">
        <v>96</v>
      </c>
      <c r="C20" s="128" t="s">
        <v>85</v>
      </c>
      <c r="D20" s="129">
        <v>1</v>
      </c>
      <c r="E20" s="129">
        <v>1</v>
      </c>
      <c r="F20" s="129">
        <v>1</v>
      </c>
      <c r="G20" s="129">
        <v>1</v>
      </c>
      <c r="H20" s="129">
        <v>1</v>
      </c>
      <c r="I20" s="129">
        <v>1</v>
      </c>
      <c r="O20" s="130"/>
    </row>
    <row r="21" spans="1:15">
      <c r="A21" s="123" t="s">
        <v>79</v>
      </c>
      <c r="B21" s="128" t="s">
        <v>97</v>
      </c>
      <c r="C21" s="128" t="s">
        <v>86</v>
      </c>
      <c r="D21" s="129">
        <v>1</v>
      </c>
      <c r="E21" s="129">
        <v>1</v>
      </c>
      <c r="F21" s="129">
        <v>1</v>
      </c>
      <c r="G21" s="129">
        <v>1</v>
      </c>
      <c r="H21" s="129">
        <v>1</v>
      </c>
      <c r="I21" s="129">
        <v>1</v>
      </c>
      <c r="J21" s="129">
        <v>1</v>
      </c>
      <c r="O21" s="130"/>
    </row>
    <row r="22" spans="1:15">
      <c r="A22" s="123" t="s">
        <v>79</v>
      </c>
      <c r="B22" s="128" t="s">
        <v>98</v>
      </c>
      <c r="C22" s="128" t="s">
        <v>87</v>
      </c>
      <c r="D22" s="129">
        <v>1</v>
      </c>
      <c r="E22" s="129">
        <v>1</v>
      </c>
      <c r="F22" s="129">
        <v>1</v>
      </c>
      <c r="G22" s="129">
        <v>1</v>
      </c>
      <c r="H22" s="129">
        <v>1</v>
      </c>
      <c r="I22" s="129">
        <v>1</v>
      </c>
      <c r="J22" s="129">
        <v>1</v>
      </c>
      <c r="K22" s="129">
        <v>1</v>
      </c>
      <c r="O22" s="130"/>
    </row>
    <row r="23" spans="1:15">
      <c r="A23" s="123" t="s">
        <v>79</v>
      </c>
      <c r="B23" s="128" t="s">
        <v>99</v>
      </c>
      <c r="C23" s="128" t="s">
        <v>88</v>
      </c>
      <c r="D23" s="129">
        <v>1</v>
      </c>
      <c r="E23" s="129">
        <v>1</v>
      </c>
      <c r="F23" s="129">
        <v>1</v>
      </c>
      <c r="G23" s="129">
        <v>1</v>
      </c>
      <c r="H23" s="129">
        <v>1</v>
      </c>
      <c r="I23" s="129">
        <v>1</v>
      </c>
      <c r="J23" s="129">
        <v>1</v>
      </c>
      <c r="K23" s="129">
        <v>1</v>
      </c>
      <c r="L23" s="129">
        <v>1</v>
      </c>
      <c r="O23" s="130"/>
    </row>
    <row r="24" spans="1:15">
      <c r="A24" s="123" t="s">
        <v>79</v>
      </c>
      <c r="B24" s="128" t="s">
        <v>100</v>
      </c>
      <c r="C24" s="128" t="s">
        <v>89</v>
      </c>
      <c r="D24" s="129">
        <v>1</v>
      </c>
      <c r="E24" s="129">
        <v>1</v>
      </c>
      <c r="F24" s="129">
        <v>1</v>
      </c>
      <c r="G24" s="129">
        <v>1</v>
      </c>
      <c r="H24" s="129">
        <v>1</v>
      </c>
      <c r="I24" s="129">
        <v>1</v>
      </c>
      <c r="J24" s="129">
        <v>1</v>
      </c>
      <c r="K24" s="129">
        <v>1</v>
      </c>
      <c r="L24" s="129">
        <v>1</v>
      </c>
      <c r="M24" s="129">
        <v>1</v>
      </c>
      <c r="O24" s="130"/>
    </row>
    <row r="25" spans="1:15">
      <c r="A25" s="123" t="s">
        <v>79</v>
      </c>
      <c r="B25" s="128" t="s">
        <v>101</v>
      </c>
      <c r="C25" s="128" t="s">
        <v>90</v>
      </c>
      <c r="D25" s="129">
        <v>1</v>
      </c>
      <c r="E25" s="129">
        <v>1</v>
      </c>
      <c r="F25" s="129">
        <v>1</v>
      </c>
      <c r="G25" s="129">
        <v>1</v>
      </c>
      <c r="H25" s="129">
        <v>1</v>
      </c>
      <c r="I25" s="129">
        <v>1</v>
      </c>
      <c r="J25" s="129">
        <v>1</v>
      </c>
      <c r="K25" s="129">
        <v>1</v>
      </c>
      <c r="L25" s="129">
        <v>1</v>
      </c>
      <c r="M25" s="129">
        <v>1</v>
      </c>
      <c r="N25" s="129">
        <v>1</v>
      </c>
      <c r="O25" s="130"/>
    </row>
    <row r="26" spans="1:15">
      <c r="A26" s="123" t="s">
        <v>79</v>
      </c>
      <c r="B26" s="131" t="s">
        <v>102</v>
      </c>
      <c r="C26" s="131" t="s">
        <v>91</v>
      </c>
      <c r="D26" s="132">
        <v>1</v>
      </c>
      <c r="E26" s="132">
        <v>1</v>
      </c>
      <c r="F26" s="132">
        <v>1</v>
      </c>
      <c r="G26" s="132">
        <v>1</v>
      </c>
      <c r="H26" s="132">
        <v>1</v>
      </c>
      <c r="I26" s="132">
        <v>1</v>
      </c>
      <c r="J26" s="132">
        <v>1</v>
      </c>
      <c r="K26" s="132">
        <v>1</v>
      </c>
      <c r="L26" s="132">
        <v>1</v>
      </c>
      <c r="M26" s="132">
        <v>1</v>
      </c>
      <c r="N26" s="132">
        <v>1</v>
      </c>
      <c r="O26" s="133">
        <v>1</v>
      </c>
    </row>
    <row r="28" spans="1:15">
      <c r="A28" s="123" t="s">
        <v>103</v>
      </c>
      <c r="B28" s="124" t="s">
        <v>92</v>
      </c>
      <c r="C28" s="124" t="s">
        <v>80</v>
      </c>
      <c r="D28" s="125">
        <v>1</v>
      </c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7"/>
    </row>
    <row r="29" spans="1:15">
      <c r="A29" s="123" t="s">
        <v>103</v>
      </c>
      <c r="B29" s="128" t="s">
        <v>81</v>
      </c>
      <c r="C29" s="128" t="s">
        <v>81</v>
      </c>
      <c r="D29" s="129">
        <v>1</v>
      </c>
      <c r="E29" s="129">
        <v>1</v>
      </c>
      <c r="O29" s="130"/>
    </row>
    <row r="30" spans="1:15">
      <c r="A30" s="123" t="s">
        <v>103</v>
      </c>
      <c r="B30" s="128" t="s">
        <v>93</v>
      </c>
      <c r="C30" s="128" t="s">
        <v>82</v>
      </c>
      <c r="D30" s="129">
        <v>1</v>
      </c>
      <c r="E30" s="129">
        <v>1</v>
      </c>
      <c r="F30" s="129">
        <v>1</v>
      </c>
      <c r="O30" s="130"/>
    </row>
    <row r="31" spans="1:15">
      <c r="A31" s="123" t="s">
        <v>103</v>
      </c>
      <c r="B31" s="128" t="s">
        <v>94</v>
      </c>
      <c r="C31" s="128" t="s">
        <v>83</v>
      </c>
      <c r="G31" s="129">
        <v>1</v>
      </c>
      <c r="O31" s="130"/>
    </row>
    <row r="32" spans="1:15">
      <c r="A32" s="123" t="s">
        <v>103</v>
      </c>
      <c r="B32" s="128" t="s">
        <v>95</v>
      </c>
      <c r="C32" s="128" t="s">
        <v>84</v>
      </c>
      <c r="G32" s="129">
        <v>1</v>
      </c>
      <c r="H32" s="129">
        <v>1</v>
      </c>
      <c r="O32" s="130"/>
    </row>
    <row r="33" spans="1:15">
      <c r="A33" s="123" t="s">
        <v>103</v>
      </c>
      <c r="B33" s="128" t="s">
        <v>96</v>
      </c>
      <c r="C33" s="128" t="s">
        <v>85</v>
      </c>
      <c r="G33" s="129">
        <v>1</v>
      </c>
      <c r="H33" s="129">
        <v>1</v>
      </c>
      <c r="I33" s="129">
        <v>1</v>
      </c>
      <c r="O33" s="130"/>
    </row>
    <row r="34" spans="1:15">
      <c r="A34" s="123" t="s">
        <v>103</v>
      </c>
      <c r="B34" s="128" t="s">
        <v>97</v>
      </c>
      <c r="C34" s="128" t="s">
        <v>86</v>
      </c>
      <c r="J34" s="129">
        <v>1</v>
      </c>
      <c r="O34" s="130"/>
    </row>
    <row r="35" spans="1:15">
      <c r="A35" s="123" t="s">
        <v>103</v>
      </c>
      <c r="B35" s="128" t="s">
        <v>98</v>
      </c>
      <c r="C35" s="128" t="s">
        <v>87</v>
      </c>
      <c r="J35" s="129">
        <v>1</v>
      </c>
      <c r="K35" s="129">
        <v>1</v>
      </c>
      <c r="O35" s="130"/>
    </row>
    <row r="36" spans="1:15">
      <c r="A36" s="123" t="s">
        <v>103</v>
      </c>
      <c r="B36" s="128" t="s">
        <v>99</v>
      </c>
      <c r="C36" s="128" t="s">
        <v>88</v>
      </c>
      <c r="J36" s="129">
        <v>1</v>
      </c>
      <c r="K36" s="129">
        <v>1</v>
      </c>
      <c r="L36" s="129">
        <v>1</v>
      </c>
      <c r="O36" s="130"/>
    </row>
    <row r="37" spans="1:15">
      <c r="A37" s="123" t="s">
        <v>103</v>
      </c>
      <c r="B37" s="128" t="s">
        <v>100</v>
      </c>
      <c r="C37" s="128" t="s">
        <v>89</v>
      </c>
      <c r="M37" s="129">
        <v>1</v>
      </c>
      <c r="O37" s="130"/>
    </row>
    <row r="38" spans="1:15">
      <c r="A38" s="123" t="s">
        <v>103</v>
      </c>
      <c r="B38" s="128" t="s">
        <v>101</v>
      </c>
      <c r="C38" s="128" t="s">
        <v>90</v>
      </c>
      <c r="M38" s="129">
        <v>1</v>
      </c>
      <c r="N38" s="129">
        <v>1</v>
      </c>
      <c r="O38" s="130"/>
    </row>
    <row r="39" spans="1:15">
      <c r="A39" s="123" t="s">
        <v>103</v>
      </c>
      <c r="B39" s="131" t="s">
        <v>102</v>
      </c>
      <c r="C39" s="131" t="s">
        <v>91</v>
      </c>
      <c r="D39" s="134"/>
      <c r="E39" s="134"/>
      <c r="F39" s="134"/>
      <c r="G39" s="134"/>
      <c r="H39" s="134"/>
      <c r="I39" s="134"/>
      <c r="J39" s="134"/>
      <c r="K39" s="134"/>
      <c r="L39" s="134"/>
      <c r="M39" s="132">
        <v>1</v>
      </c>
      <c r="N39" s="132">
        <v>1</v>
      </c>
      <c r="O39" s="133">
        <v>1</v>
      </c>
    </row>
    <row r="41" spans="1:15">
      <c r="A41" s="123" t="s">
        <v>104</v>
      </c>
      <c r="B41" s="124" t="s">
        <v>75</v>
      </c>
      <c r="C41" s="124" t="s">
        <v>75</v>
      </c>
      <c r="D41" s="125">
        <v>1</v>
      </c>
      <c r="E41" s="125">
        <v>1</v>
      </c>
      <c r="F41" s="125">
        <v>1</v>
      </c>
      <c r="G41" s="126"/>
      <c r="H41" s="126"/>
      <c r="I41" s="126"/>
      <c r="J41" s="126"/>
      <c r="K41" s="126"/>
      <c r="L41" s="126"/>
      <c r="M41" s="126"/>
      <c r="N41" s="126"/>
      <c r="O41" s="127"/>
    </row>
    <row r="42" spans="1:15">
      <c r="A42" s="123" t="s">
        <v>104</v>
      </c>
      <c r="B42" s="128" t="s">
        <v>76</v>
      </c>
      <c r="C42" s="128" t="s">
        <v>76</v>
      </c>
      <c r="G42" s="129">
        <v>1</v>
      </c>
      <c r="H42" s="129">
        <v>1</v>
      </c>
      <c r="I42" s="129">
        <v>1</v>
      </c>
      <c r="O42" s="130"/>
    </row>
    <row r="43" spans="1:15">
      <c r="A43" s="123" t="s">
        <v>104</v>
      </c>
      <c r="B43" s="128" t="s">
        <v>77</v>
      </c>
      <c r="C43" s="128" t="s">
        <v>77</v>
      </c>
      <c r="J43" s="129">
        <v>1</v>
      </c>
      <c r="K43" s="129">
        <v>1</v>
      </c>
      <c r="L43" s="129">
        <v>1</v>
      </c>
      <c r="O43" s="130"/>
    </row>
    <row r="44" spans="1:15">
      <c r="A44" s="123" t="s">
        <v>104</v>
      </c>
      <c r="B44" s="131" t="s">
        <v>78</v>
      </c>
      <c r="C44" s="131" t="s">
        <v>78</v>
      </c>
      <c r="D44" s="134"/>
      <c r="E44" s="134"/>
      <c r="F44" s="134"/>
      <c r="G44" s="134"/>
      <c r="H44" s="134"/>
      <c r="I44" s="134"/>
      <c r="J44" s="134"/>
      <c r="K44" s="134"/>
      <c r="L44" s="134"/>
      <c r="M44" s="132">
        <v>1</v>
      </c>
      <c r="N44" s="132">
        <v>1</v>
      </c>
      <c r="O44" s="133">
        <v>1</v>
      </c>
    </row>
    <row r="45" spans="1:15">
      <c r="A45" s="123" t="s">
        <v>105</v>
      </c>
      <c r="B45" s="128" t="s">
        <v>105</v>
      </c>
      <c r="C45" s="128" t="s">
        <v>105</v>
      </c>
      <c r="D45" s="129">
        <v>1</v>
      </c>
      <c r="E45" s="129">
        <v>1</v>
      </c>
      <c r="F45" s="129">
        <v>1</v>
      </c>
      <c r="G45" s="129">
        <v>1</v>
      </c>
      <c r="H45" s="129">
        <v>1</v>
      </c>
      <c r="I45" s="129">
        <v>1</v>
      </c>
      <c r="O45" s="130"/>
    </row>
    <row r="46" spans="1:15">
      <c r="A46" s="123" t="s">
        <v>106</v>
      </c>
      <c r="B46" s="131" t="s">
        <v>106</v>
      </c>
      <c r="C46" s="131" t="s">
        <v>106</v>
      </c>
      <c r="D46" s="134"/>
      <c r="E46" s="134"/>
      <c r="F46" s="134"/>
      <c r="G46" s="134"/>
      <c r="H46" s="134"/>
      <c r="I46" s="134"/>
      <c r="J46" s="132">
        <v>1</v>
      </c>
      <c r="K46" s="132">
        <v>1</v>
      </c>
      <c r="L46" s="132">
        <v>1</v>
      </c>
      <c r="M46" s="132">
        <v>1</v>
      </c>
      <c r="N46" s="132">
        <v>1</v>
      </c>
      <c r="O46" s="133">
        <v>1</v>
      </c>
    </row>
  </sheetData>
  <phoneticPr fontId="16" type="noConversion"/>
  <pageMargins left="0.7" right="0.7" top="0.75" bottom="0.75" header="0.3" footer="0.3"/>
  <customProperties>
    <customPr name="_pios_id" r:id="rId1"/>
    <customPr name="EpmWorksheetKeyString_GUID" r:id="rId2"/>
  </customPropertie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97B4B-9138-4662-806D-14FA843746E1}">
  <sheetPr>
    <tabColor rgb="FF00B0F0"/>
  </sheetPr>
  <dimension ref="A2:AF74"/>
  <sheetViews>
    <sheetView topLeftCell="F1" zoomScale="70" zoomScaleNormal="70" workbookViewId="0">
      <selection activeCell="F7" sqref="F7"/>
    </sheetView>
  </sheetViews>
  <sheetFormatPr defaultColWidth="8.85546875" defaultRowHeight="14.25" outlineLevelRow="3"/>
  <cols>
    <col min="1" max="1" width="2.85546875" style="2" customWidth="1"/>
    <col min="2" max="2" width="1.85546875" style="2" customWidth="1"/>
    <col min="3" max="3" width="4.42578125" style="2" customWidth="1"/>
    <col min="4" max="4" width="4" style="2" customWidth="1"/>
    <col min="5" max="5" width="67.85546875" style="2" customWidth="1"/>
    <col min="6" max="10" width="10.5703125" style="2" customWidth="1"/>
    <col min="11" max="11" width="1.42578125" style="2" customWidth="1"/>
    <col min="12" max="21" width="10.5703125" style="2" customWidth="1"/>
    <col min="22" max="22" width="1.42578125" style="2" customWidth="1"/>
    <col min="23" max="32" width="10.5703125" style="2" customWidth="1"/>
    <col min="33" max="16384" width="8.85546875" style="2"/>
  </cols>
  <sheetData>
    <row r="2" spans="2:32" outlineLevel="1"/>
    <row r="4" spans="2:32" ht="15" outlineLevel="1" thickBot="1">
      <c r="B4" s="1" t="s">
        <v>107</v>
      </c>
      <c r="C4" s="1"/>
      <c r="D4" s="1"/>
      <c r="E4" s="1"/>
    </row>
    <row r="5" spans="2:32" ht="57" customHeight="1" outlineLevel="2">
      <c r="B5" s="3" t="s">
        <v>138</v>
      </c>
      <c r="C5" s="4"/>
      <c r="D5" s="5"/>
      <c r="E5" s="5"/>
      <c r="F5" s="1000" t="s">
        <v>151</v>
      </c>
      <c r="G5" s="1001"/>
      <c r="H5" s="1001"/>
      <c r="I5" s="1001"/>
      <c r="J5" s="1002"/>
      <c r="K5" s="137"/>
      <c r="L5" s="1003" t="s">
        <v>147</v>
      </c>
      <c r="M5" s="1004"/>
      <c r="N5" s="1004"/>
      <c r="O5" s="1004"/>
      <c r="P5" s="1005"/>
      <c r="Q5" s="1006" t="s">
        <v>152</v>
      </c>
      <c r="R5" s="1007"/>
      <c r="S5" s="1007"/>
      <c r="T5" s="1007"/>
      <c r="U5" s="1008"/>
      <c r="V5" s="137"/>
      <c r="W5" s="982" t="s">
        <v>153</v>
      </c>
      <c r="X5" s="983"/>
      <c r="Y5" s="983"/>
      <c r="Z5" s="983"/>
      <c r="AA5" s="984"/>
      <c r="AB5" s="985" t="s">
        <v>149</v>
      </c>
      <c r="AC5" s="986"/>
      <c r="AD5" s="986"/>
      <c r="AE5" s="986"/>
      <c r="AF5" s="987"/>
    </row>
    <row r="6" spans="2:32" ht="27.75" customHeight="1" outlineLevel="2">
      <c r="B6" s="4"/>
      <c r="C6" s="4"/>
      <c r="D6" s="5"/>
      <c r="E6" s="5"/>
      <c r="F6" s="138" t="s">
        <v>75</v>
      </c>
      <c r="G6" s="139" t="s">
        <v>76</v>
      </c>
      <c r="H6" s="139" t="s">
        <v>77</v>
      </c>
      <c r="I6" s="139" t="s">
        <v>78</v>
      </c>
      <c r="J6" s="140" t="s">
        <v>74</v>
      </c>
      <c r="K6" s="137"/>
      <c r="L6" s="139" t="str">
        <f>F6</f>
        <v>Q1</v>
      </c>
      <c r="M6" s="139" t="str">
        <f>G6</f>
        <v>Q2</v>
      </c>
      <c r="N6" s="139" t="str">
        <f>H6</f>
        <v>Q3</v>
      </c>
      <c r="O6" s="139" t="s">
        <v>78</v>
      </c>
      <c r="P6" s="141" t="str">
        <f>J6</f>
        <v>FY</v>
      </c>
      <c r="Q6" s="139" t="str">
        <f>L6</f>
        <v>Q1</v>
      </c>
      <c r="R6" s="139" t="str">
        <f>M6</f>
        <v>Q2</v>
      </c>
      <c r="S6" s="139" t="str">
        <f>N6</f>
        <v>Q3</v>
      </c>
      <c r="T6" s="139" t="str">
        <f>O6</f>
        <v>Q4</v>
      </c>
      <c r="U6" s="142" t="str">
        <f>P6</f>
        <v>FY</v>
      </c>
      <c r="V6" s="137"/>
      <c r="W6" s="139" t="str">
        <f>F6</f>
        <v>Q1</v>
      </c>
      <c r="X6" s="139" t="str">
        <f>G6</f>
        <v>Q2</v>
      </c>
      <c r="Y6" s="139" t="str">
        <f>H6</f>
        <v>Q3</v>
      </c>
      <c r="Z6" s="139" t="str">
        <f>I6</f>
        <v>Q4</v>
      </c>
      <c r="AA6" s="143" t="str">
        <f>J6</f>
        <v>FY</v>
      </c>
      <c r="AB6" s="139" t="str">
        <f>F6</f>
        <v>Q1</v>
      </c>
      <c r="AC6" s="139" t="str">
        <f>G6</f>
        <v>Q2</v>
      </c>
      <c r="AD6" s="139" t="str">
        <f>H6</f>
        <v>Q3</v>
      </c>
      <c r="AE6" s="139" t="str">
        <f>I6</f>
        <v>Q4</v>
      </c>
      <c r="AF6" s="144" t="str">
        <f>AA6</f>
        <v>FY</v>
      </c>
    </row>
    <row r="7" spans="2:32" ht="13.5" customHeight="1" outlineLevel="3">
      <c r="B7" s="6"/>
      <c r="C7" s="7" t="s">
        <v>108</v>
      </c>
      <c r="D7" s="7"/>
      <c r="E7" s="8"/>
      <c r="F7" s="9" t="e">
        <f>#REF!</f>
        <v>#REF!</v>
      </c>
      <c r="G7" s="10" t="e">
        <f>#REF!</f>
        <v>#REF!</v>
      </c>
      <c r="H7" s="10" t="e">
        <f>#REF!</f>
        <v>#REF!</v>
      </c>
      <c r="I7" s="10" t="e">
        <f>#REF!</f>
        <v>#REF!</v>
      </c>
      <c r="J7" s="145" t="e">
        <f>SUM(F7:I7)</f>
        <v>#REF!</v>
      </c>
      <c r="K7" s="117"/>
      <c r="L7" s="10">
        <f>BP!Z6</f>
        <v>4235.1355942959999</v>
      </c>
      <c r="M7" s="10">
        <f>BP!AA6</f>
        <v>3719.616397276</v>
      </c>
      <c r="N7" s="10">
        <f>BP!AB6</f>
        <v>3956.8942928040001</v>
      </c>
      <c r="O7" s="10">
        <f>BP!AC6</f>
        <v>4265.9428656239998</v>
      </c>
      <c r="P7" s="105">
        <f>SUM(L7:O7)</f>
        <v>16177.58915</v>
      </c>
      <c r="Q7" s="147">
        <f>IFERROR(F7-L7,0)</f>
        <v>0</v>
      </c>
      <c r="R7" s="147">
        <f t="shared" ref="R7:U14" si="0">IFERROR(G7-M7,0)</f>
        <v>0</v>
      </c>
      <c r="S7" s="147">
        <f t="shared" si="0"/>
        <v>0</v>
      </c>
      <c r="T7" s="147">
        <f t="shared" si="0"/>
        <v>0</v>
      </c>
      <c r="U7" s="148">
        <f t="shared" si="0"/>
        <v>0</v>
      </c>
      <c r="V7" s="146"/>
      <c r="W7" s="10">
        <f>'FC2+10'!Z6</f>
        <v>4332.5819999999994</v>
      </c>
      <c r="X7" s="10">
        <f>'FC2+10'!AA6</f>
        <v>3738.5280000000002</v>
      </c>
      <c r="Y7" s="10">
        <f>'FC2+10'!AB6</f>
        <v>3972.8060000000005</v>
      </c>
      <c r="Z7" s="10">
        <f>'FC2+10'!AC6</f>
        <v>4235.8990000000003</v>
      </c>
      <c r="AA7" s="149">
        <f>SUM(W7:Z7)</f>
        <v>16279.815000000002</v>
      </c>
      <c r="AB7" s="147">
        <f>IFERROR(F7-W7,0)</f>
        <v>0</v>
      </c>
      <c r="AC7" s="147">
        <f>IFERROR(G7-X7,0)</f>
        <v>0</v>
      </c>
      <c r="AD7" s="147">
        <f>IFERROR(H7-Y7,0)</f>
        <v>0</v>
      </c>
      <c r="AE7" s="147">
        <f>IFERROR(I7-Z7,0)</f>
        <v>0</v>
      </c>
      <c r="AF7" s="150" t="e">
        <f t="shared" ref="AF7:AF14" si="1">J7-AA7</f>
        <v>#REF!</v>
      </c>
    </row>
    <row r="8" spans="2:32" ht="13.5" customHeight="1" outlineLevel="3">
      <c r="B8" s="6"/>
      <c r="C8" s="7" t="s">
        <v>109</v>
      </c>
      <c r="D8" s="7"/>
      <c r="E8" s="8"/>
      <c r="F8" s="9" t="e">
        <f>#REF!</f>
        <v>#REF!</v>
      </c>
      <c r="G8" s="10" t="e">
        <f>#REF!</f>
        <v>#REF!</v>
      </c>
      <c r="H8" s="10" t="e">
        <f>#REF!</f>
        <v>#REF!</v>
      </c>
      <c r="I8" s="10" t="e">
        <f>#REF!</f>
        <v>#REF!</v>
      </c>
      <c r="J8" s="145" t="e">
        <f t="shared" ref="J8:J14" si="2">SUM(F8:I8)</f>
        <v>#REF!</v>
      </c>
      <c r="K8" s="117"/>
      <c r="L8" s="10">
        <f>BP!Z7</f>
        <v>82.25800000000001</v>
      </c>
      <c r="M8" s="10">
        <f>BP!AA7</f>
        <v>81.998000000000005</v>
      </c>
      <c r="N8" s="10">
        <f>BP!AB7</f>
        <v>89.564000000000007</v>
      </c>
      <c r="O8" s="10">
        <f>BP!AC7</f>
        <v>128.55700000000002</v>
      </c>
      <c r="P8" s="105">
        <f t="shared" ref="P8:P14" si="3">SUM(L8:O8)</f>
        <v>382.37700000000007</v>
      </c>
      <c r="Q8" s="147">
        <f t="shared" ref="Q8:Q14" si="4">IFERROR(F8-L8,0)</f>
        <v>0</v>
      </c>
      <c r="R8" s="147">
        <f t="shared" si="0"/>
        <v>0</v>
      </c>
      <c r="S8" s="147">
        <f t="shared" si="0"/>
        <v>0</v>
      </c>
      <c r="T8" s="147">
        <f t="shared" si="0"/>
        <v>0</v>
      </c>
      <c r="U8" s="148">
        <f t="shared" si="0"/>
        <v>0</v>
      </c>
      <c r="V8" s="146"/>
      <c r="W8" s="10">
        <f>'FC2+10'!Z7</f>
        <v>80.522999999999996</v>
      </c>
      <c r="X8" s="10">
        <f>'FC2+10'!AA7</f>
        <v>80.376000000000005</v>
      </c>
      <c r="Y8" s="10">
        <f>'FC2+10'!AB7</f>
        <v>89.621000000000009</v>
      </c>
      <c r="Z8" s="10">
        <f>'FC2+10'!AC7</f>
        <v>110.90699999999998</v>
      </c>
      <c r="AA8" s="149">
        <f t="shared" ref="AA8:AA14" si="5">SUM(W8:Z8)</f>
        <v>361.42700000000002</v>
      </c>
      <c r="AB8" s="147">
        <f t="shared" ref="AB8:AB14" si="6">IFERROR(F8-W8,0)</f>
        <v>0</v>
      </c>
      <c r="AC8" s="147">
        <f t="shared" ref="AC8:AE14" si="7">IFERROR(G8-X8,0)</f>
        <v>0</v>
      </c>
      <c r="AD8" s="147">
        <f t="shared" si="7"/>
        <v>0</v>
      </c>
      <c r="AE8" s="147">
        <f t="shared" si="7"/>
        <v>0</v>
      </c>
      <c r="AF8" s="150" t="e">
        <f t="shared" si="1"/>
        <v>#REF!</v>
      </c>
    </row>
    <row r="9" spans="2:32" ht="13.5" customHeight="1" outlineLevel="3">
      <c r="B9" s="6"/>
      <c r="C9" s="7" t="s">
        <v>110</v>
      </c>
      <c r="D9" s="7"/>
      <c r="E9" s="8"/>
      <c r="F9" s="9" t="e">
        <f>#REF!</f>
        <v>#REF!</v>
      </c>
      <c r="G9" s="10" t="e">
        <f>#REF!</f>
        <v>#REF!</v>
      </c>
      <c r="H9" s="10" t="e">
        <f>#REF!</f>
        <v>#REF!</v>
      </c>
      <c r="I9" s="10" t="e">
        <f>#REF!</f>
        <v>#REF!</v>
      </c>
      <c r="J9" s="145" t="e">
        <f t="shared" si="2"/>
        <v>#REF!</v>
      </c>
      <c r="K9" s="117"/>
      <c r="L9" s="10">
        <f>BP!Z8</f>
        <v>0</v>
      </c>
      <c r="M9" s="10">
        <f>BP!AA8</f>
        <v>0</v>
      </c>
      <c r="N9" s="10">
        <f>BP!AB8</f>
        <v>0</v>
      </c>
      <c r="O9" s="10">
        <f>BP!AC8</f>
        <v>0</v>
      </c>
      <c r="P9" s="105">
        <f t="shared" si="3"/>
        <v>0</v>
      </c>
      <c r="Q9" s="147">
        <f t="shared" si="4"/>
        <v>0</v>
      </c>
      <c r="R9" s="147">
        <f t="shared" si="0"/>
        <v>0</v>
      </c>
      <c r="S9" s="147">
        <f t="shared" si="0"/>
        <v>0</v>
      </c>
      <c r="T9" s="147">
        <f t="shared" si="0"/>
        <v>0</v>
      </c>
      <c r="U9" s="148">
        <f t="shared" si="0"/>
        <v>0</v>
      </c>
      <c r="V9" s="146"/>
      <c r="W9" s="10">
        <f>'FC2+10'!Z8</f>
        <v>0</v>
      </c>
      <c r="X9" s="10">
        <f>'FC2+10'!AA8</f>
        <v>0</v>
      </c>
      <c r="Y9" s="10">
        <f>'FC2+10'!AB8</f>
        <v>0</v>
      </c>
      <c r="Z9" s="10">
        <f>'FC2+10'!AC8</f>
        <v>0</v>
      </c>
      <c r="AA9" s="149">
        <f t="shared" si="5"/>
        <v>0</v>
      </c>
      <c r="AB9" s="147">
        <f t="shared" si="6"/>
        <v>0</v>
      </c>
      <c r="AC9" s="147">
        <f t="shared" si="7"/>
        <v>0</v>
      </c>
      <c r="AD9" s="147">
        <f t="shared" si="7"/>
        <v>0</v>
      </c>
      <c r="AE9" s="147">
        <f t="shared" si="7"/>
        <v>0</v>
      </c>
      <c r="AF9" s="150" t="e">
        <f t="shared" si="1"/>
        <v>#REF!</v>
      </c>
    </row>
    <row r="10" spans="2:32" ht="13.5" customHeight="1" outlineLevel="3">
      <c r="B10" s="6"/>
      <c r="C10" s="7" t="s">
        <v>111</v>
      </c>
      <c r="D10" s="7"/>
      <c r="E10" s="8"/>
      <c r="F10" s="9" t="e">
        <f>#REF!</f>
        <v>#REF!</v>
      </c>
      <c r="G10" s="10" t="e">
        <f>#REF!</f>
        <v>#REF!</v>
      </c>
      <c r="H10" s="10" t="e">
        <f>#REF!</f>
        <v>#REF!</v>
      </c>
      <c r="I10" s="10" t="e">
        <f>#REF!</f>
        <v>#REF!</v>
      </c>
      <c r="J10" s="145" t="e">
        <f t="shared" si="2"/>
        <v>#REF!</v>
      </c>
      <c r="K10" s="117"/>
      <c r="L10" s="10">
        <f>BP!Z9</f>
        <v>0</v>
      </c>
      <c r="M10" s="10">
        <f>BP!AA9</f>
        <v>0</v>
      </c>
      <c r="N10" s="10">
        <f>BP!AB9</f>
        <v>0</v>
      </c>
      <c r="O10" s="10">
        <f>BP!AC9</f>
        <v>0</v>
      </c>
      <c r="P10" s="105">
        <f t="shared" si="3"/>
        <v>0</v>
      </c>
      <c r="Q10" s="147">
        <f t="shared" si="4"/>
        <v>0</v>
      </c>
      <c r="R10" s="147">
        <f t="shared" si="0"/>
        <v>0</v>
      </c>
      <c r="S10" s="147">
        <f t="shared" si="0"/>
        <v>0</v>
      </c>
      <c r="T10" s="147">
        <f t="shared" si="0"/>
        <v>0</v>
      </c>
      <c r="U10" s="148">
        <f t="shared" si="0"/>
        <v>0</v>
      </c>
      <c r="V10" s="146"/>
      <c r="W10" s="10">
        <f>'FC2+10'!Z9</f>
        <v>0</v>
      </c>
      <c r="X10" s="10">
        <f>'FC2+10'!AA9</f>
        <v>0</v>
      </c>
      <c r="Y10" s="10">
        <f>'FC2+10'!AB9</f>
        <v>0</v>
      </c>
      <c r="Z10" s="10">
        <f>'FC2+10'!AC9</f>
        <v>0</v>
      </c>
      <c r="AA10" s="149">
        <f t="shared" si="5"/>
        <v>0</v>
      </c>
      <c r="AB10" s="147">
        <f t="shared" si="6"/>
        <v>0</v>
      </c>
      <c r="AC10" s="147">
        <f t="shared" si="7"/>
        <v>0</v>
      </c>
      <c r="AD10" s="147">
        <f t="shared" si="7"/>
        <v>0</v>
      </c>
      <c r="AE10" s="147">
        <f t="shared" si="7"/>
        <v>0</v>
      </c>
      <c r="AF10" s="150" t="e">
        <f>J10-AA10</f>
        <v>#REF!</v>
      </c>
    </row>
    <row r="11" spans="2:32" ht="13.5" customHeight="1" outlineLevel="3">
      <c r="B11" s="6"/>
      <c r="C11" s="7" t="s">
        <v>112</v>
      </c>
      <c r="D11" s="7"/>
      <c r="E11" s="8"/>
      <c r="F11" s="9" t="e">
        <f>#REF!</f>
        <v>#REF!</v>
      </c>
      <c r="G11" s="10" t="e">
        <f>#REF!</f>
        <v>#REF!</v>
      </c>
      <c r="H11" s="10" t="e">
        <f>#REF!</f>
        <v>#REF!</v>
      </c>
      <c r="I11" s="10" t="e">
        <f>#REF!</f>
        <v>#REF!</v>
      </c>
      <c r="J11" s="145" t="e">
        <f t="shared" si="2"/>
        <v>#REF!</v>
      </c>
      <c r="K11" s="117"/>
      <c r="L11" s="10">
        <f>BP!Z10</f>
        <v>64.786000000000001</v>
      </c>
      <c r="M11" s="10">
        <f>BP!AA10</f>
        <v>82.62299999999999</v>
      </c>
      <c r="N11" s="10">
        <f>BP!AB10</f>
        <v>98.11</v>
      </c>
      <c r="O11" s="10">
        <f>BP!AC10</f>
        <v>126.46600000000001</v>
      </c>
      <c r="P11" s="105">
        <f t="shared" si="3"/>
        <v>371.98500000000001</v>
      </c>
      <c r="Q11" s="147">
        <f t="shared" si="4"/>
        <v>0</v>
      </c>
      <c r="R11" s="147">
        <f t="shared" si="0"/>
        <v>0</v>
      </c>
      <c r="S11" s="147">
        <f t="shared" si="0"/>
        <v>0</v>
      </c>
      <c r="T11" s="147">
        <f t="shared" si="0"/>
        <v>0</v>
      </c>
      <c r="U11" s="148">
        <f t="shared" si="0"/>
        <v>0</v>
      </c>
      <c r="V11" s="146"/>
      <c r="W11" s="10">
        <f>'FC2+10'!Z10</f>
        <v>69.263999999999996</v>
      </c>
      <c r="X11" s="10">
        <f>'FC2+10'!AA10</f>
        <v>76.488</v>
      </c>
      <c r="Y11" s="10">
        <f>'FC2+10'!AB10</f>
        <v>93.653999999999996</v>
      </c>
      <c r="Z11" s="10">
        <f>'FC2+10'!AC10</f>
        <v>115.404</v>
      </c>
      <c r="AA11" s="149">
        <f t="shared" si="5"/>
        <v>354.81</v>
      </c>
      <c r="AB11" s="147">
        <f t="shared" si="6"/>
        <v>0</v>
      </c>
      <c r="AC11" s="147">
        <f t="shared" si="7"/>
        <v>0</v>
      </c>
      <c r="AD11" s="147">
        <f t="shared" si="7"/>
        <v>0</v>
      </c>
      <c r="AE11" s="147">
        <f t="shared" si="7"/>
        <v>0</v>
      </c>
      <c r="AF11" s="150" t="e">
        <f t="shared" si="1"/>
        <v>#REF!</v>
      </c>
    </row>
    <row r="12" spans="2:32" ht="13.5" customHeight="1" outlineLevel="3">
      <c r="B12" s="6"/>
      <c r="C12" s="7" t="s">
        <v>113</v>
      </c>
      <c r="D12" s="7"/>
      <c r="E12" s="8"/>
      <c r="F12" s="9" t="e">
        <f>#REF!</f>
        <v>#REF!</v>
      </c>
      <c r="G12" s="10" t="e">
        <f>#REF!</f>
        <v>#REF!</v>
      </c>
      <c r="H12" s="10" t="e">
        <f>#REF!</f>
        <v>#REF!</v>
      </c>
      <c r="I12" s="10" t="e">
        <f>#REF!</f>
        <v>#REF!</v>
      </c>
      <c r="J12" s="145" t="e">
        <f t="shared" si="2"/>
        <v>#REF!</v>
      </c>
      <c r="K12" s="117"/>
      <c r="L12" s="10">
        <f>BP!Z11</f>
        <v>3.2000000000000001E-2</v>
      </c>
      <c r="M12" s="10">
        <f>BP!AA11</f>
        <v>3.2000000000000001E-2</v>
      </c>
      <c r="N12" s="10">
        <f>BP!AB11</f>
        <v>4.1000000000000002E-2</v>
      </c>
      <c r="O12" s="10">
        <f>BP!AC11</f>
        <v>0</v>
      </c>
      <c r="P12" s="105">
        <f t="shared" si="3"/>
        <v>0.10500000000000001</v>
      </c>
      <c r="Q12" s="147">
        <f t="shared" si="4"/>
        <v>0</v>
      </c>
      <c r="R12" s="147">
        <f t="shared" si="0"/>
        <v>0</v>
      </c>
      <c r="S12" s="147">
        <f t="shared" si="0"/>
        <v>0</v>
      </c>
      <c r="T12" s="147">
        <f t="shared" si="0"/>
        <v>0</v>
      </c>
      <c r="U12" s="148">
        <f t="shared" si="0"/>
        <v>0</v>
      </c>
      <c r="V12" s="146"/>
      <c r="W12" s="10">
        <f>'FC2+10'!Z11</f>
        <v>0.02</v>
      </c>
      <c r="X12" s="10">
        <f>'FC2+10'!AA11</f>
        <v>3.2000000000000001E-2</v>
      </c>
      <c r="Y12" s="10">
        <f>'FC2+10'!AB11</f>
        <v>4.1000000000000002E-2</v>
      </c>
      <c r="Z12" s="10">
        <f>'FC2+10'!AC11</f>
        <v>0</v>
      </c>
      <c r="AA12" s="149">
        <f t="shared" si="5"/>
        <v>9.2999999999999999E-2</v>
      </c>
      <c r="AB12" s="147">
        <f t="shared" si="6"/>
        <v>0</v>
      </c>
      <c r="AC12" s="147">
        <f t="shared" si="7"/>
        <v>0</v>
      </c>
      <c r="AD12" s="147">
        <f t="shared" si="7"/>
        <v>0</v>
      </c>
      <c r="AE12" s="147">
        <f t="shared" si="7"/>
        <v>0</v>
      </c>
      <c r="AF12" s="150" t="e">
        <f t="shared" si="1"/>
        <v>#REF!</v>
      </c>
    </row>
    <row r="13" spans="2:32" ht="13.35" customHeight="1" outlineLevel="3">
      <c r="B13" s="6"/>
      <c r="C13" s="7" t="s">
        <v>114</v>
      </c>
      <c r="D13" s="7"/>
      <c r="E13" s="8"/>
      <c r="F13" s="9" t="e">
        <f>#REF!</f>
        <v>#REF!</v>
      </c>
      <c r="G13" s="10" t="e">
        <f>#REF!</f>
        <v>#REF!</v>
      </c>
      <c r="H13" s="10" t="e">
        <f>#REF!</f>
        <v>#REF!</v>
      </c>
      <c r="I13" s="10" t="e">
        <f>#REF!</f>
        <v>#REF!</v>
      </c>
      <c r="J13" s="151" t="e">
        <f t="shared" si="2"/>
        <v>#REF!</v>
      </c>
      <c r="K13" s="117"/>
      <c r="L13" s="12">
        <f>BP!Z12</f>
        <v>0</v>
      </c>
      <c r="M13" s="12">
        <f>BP!AA12</f>
        <v>0</v>
      </c>
      <c r="N13" s="12">
        <f>BP!AB12</f>
        <v>0</v>
      </c>
      <c r="O13" s="12">
        <f>BP!AC12</f>
        <v>0</v>
      </c>
      <c r="P13" s="106">
        <f t="shared" si="3"/>
        <v>0</v>
      </c>
      <c r="Q13" s="147">
        <f t="shared" si="4"/>
        <v>0</v>
      </c>
      <c r="R13" s="147">
        <f t="shared" si="0"/>
        <v>0</v>
      </c>
      <c r="S13" s="147">
        <f t="shared" si="0"/>
        <v>0</v>
      </c>
      <c r="T13" s="147">
        <f t="shared" si="0"/>
        <v>0</v>
      </c>
      <c r="U13" s="152">
        <f t="shared" si="0"/>
        <v>0</v>
      </c>
      <c r="V13" s="146"/>
      <c r="W13" s="10">
        <f>'FC2+10'!Z12</f>
        <v>0</v>
      </c>
      <c r="X13" s="12">
        <f>'FC2+10'!AA12</f>
        <v>0</v>
      </c>
      <c r="Y13" s="12">
        <f>'FC2+10'!AB12</f>
        <v>0</v>
      </c>
      <c r="Z13" s="12">
        <f>'FC2+10'!AC12</f>
        <v>0</v>
      </c>
      <c r="AA13" s="153">
        <f t="shared" si="5"/>
        <v>0</v>
      </c>
      <c r="AB13" s="147">
        <f t="shared" si="6"/>
        <v>0</v>
      </c>
      <c r="AC13" s="147">
        <f t="shared" si="7"/>
        <v>0</v>
      </c>
      <c r="AD13" s="147">
        <f t="shared" si="7"/>
        <v>0</v>
      </c>
      <c r="AE13" s="147">
        <f t="shared" si="7"/>
        <v>0</v>
      </c>
      <c r="AF13" s="154" t="e">
        <f t="shared" si="1"/>
        <v>#REF!</v>
      </c>
    </row>
    <row r="14" spans="2:32" ht="13.5" customHeight="1" outlineLevel="3">
      <c r="B14" s="6"/>
      <c r="C14" s="7" t="s">
        <v>115</v>
      </c>
      <c r="D14" s="7"/>
      <c r="E14" s="8"/>
      <c r="F14" s="11" t="e">
        <f>#REF!</f>
        <v>#REF!</v>
      </c>
      <c r="G14" s="12" t="e">
        <f>#REF!</f>
        <v>#REF!</v>
      </c>
      <c r="H14" s="12" t="e">
        <f>#REF!</f>
        <v>#REF!</v>
      </c>
      <c r="I14" s="12" t="e">
        <f>#REF!</f>
        <v>#REF!</v>
      </c>
      <c r="J14" s="151" t="e">
        <f t="shared" si="2"/>
        <v>#REF!</v>
      </c>
      <c r="K14" s="117"/>
      <c r="L14" s="12">
        <f>BP!Z13</f>
        <v>2.9740000000000002</v>
      </c>
      <c r="M14" s="12">
        <f>BP!AA13</f>
        <v>4.0299999999999994</v>
      </c>
      <c r="N14" s="12">
        <f>BP!AB13</f>
        <v>4.0780000000000003</v>
      </c>
      <c r="O14" s="12">
        <f>BP!AC13</f>
        <v>3.601</v>
      </c>
      <c r="P14" s="106">
        <f t="shared" si="3"/>
        <v>14.683</v>
      </c>
      <c r="Q14" s="147">
        <f t="shared" si="4"/>
        <v>0</v>
      </c>
      <c r="R14" s="147">
        <f t="shared" si="0"/>
        <v>0</v>
      </c>
      <c r="S14" s="147">
        <f t="shared" si="0"/>
        <v>0</v>
      </c>
      <c r="T14" s="147">
        <f t="shared" si="0"/>
        <v>0</v>
      </c>
      <c r="U14" s="152">
        <f t="shared" si="0"/>
        <v>0</v>
      </c>
      <c r="V14" s="146"/>
      <c r="W14" s="12">
        <f>'FC2+10'!Z13</f>
        <v>2.9989999999999997</v>
      </c>
      <c r="X14" s="12">
        <f>'FC2+10'!AA13</f>
        <v>2.6859999999999999</v>
      </c>
      <c r="Y14" s="12">
        <f>'FC2+10'!AB13</f>
        <v>2.7029999999999998</v>
      </c>
      <c r="Z14" s="12">
        <f>'FC2+10'!AC13</f>
        <v>3.956</v>
      </c>
      <c r="AA14" s="153">
        <f t="shared" si="5"/>
        <v>12.343999999999999</v>
      </c>
      <c r="AB14" s="147">
        <f t="shared" si="6"/>
        <v>0</v>
      </c>
      <c r="AC14" s="147">
        <f t="shared" si="7"/>
        <v>0</v>
      </c>
      <c r="AD14" s="147">
        <f t="shared" si="7"/>
        <v>0</v>
      </c>
      <c r="AE14" s="147">
        <f t="shared" si="7"/>
        <v>0</v>
      </c>
      <c r="AF14" s="154" t="e">
        <f t="shared" si="1"/>
        <v>#REF!</v>
      </c>
    </row>
    <row r="15" spans="2:32" ht="13.5" customHeight="1" outlineLevel="3">
      <c r="B15" s="13"/>
      <c r="C15" s="14"/>
      <c r="F15" s="15"/>
      <c r="J15" s="155"/>
    </row>
    <row r="16" spans="2:32" ht="13.5" customHeight="1" outlineLevel="3">
      <c r="B16" s="13"/>
      <c r="C16" s="14"/>
      <c r="D16" s="14"/>
      <c r="E16" s="13"/>
      <c r="F16" s="15"/>
      <c r="J16" s="155"/>
    </row>
    <row r="17" spans="2:32" ht="14.25" customHeight="1" outlineLevel="2">
      <c r="B17" s="16"/>
      <c r="C17" s="16"/>
      <c r="D17" s="17" t="s">
        <v>13</v>
      </c>
      <c r="E17" s="17"/>
      <c r="F17" s="18"/>
      <c r="G17" s="19"/>
      <c r="H17" s="19"/>
      <c r="I17" s="19"/>
      <c r="J17" s="156"/>
      <c r="L17" s="19"/>
      <c r="M17" s="19"/>
      <c r="N17" s="19"/>
      <c r="O17" s="19"/>
      <c r="P17" s="108"/>
      <c r="Q17" s="157">
        <f t="shared" ref="Q17:Q48" si="8">IFERROR(F17-L17,0)</f>
        <v>0</v>
      </c>
      <c r="R17" s="157">
        <f t="shared" ref="R17:R48" si="9">IFERROR(G17-M17,0)</f>
        <v>0</v>
      </c>
      <c r="S17" s="157">
        <f t="shared" ref="S17:S48" si="10">IFERROR(H17-N17,0)</f>
        <v>0</v>
      </c>
      <c r="T17" s="157">
        <f t="shared" ref="T17:U48" si="11">IFERROR(I17-O17,0)</f>
        <v>0</v>
      </c>
      <c r="U17" s="158">
        <f t="shared" si="11"/>
        <v>0</v>
      </c>
      <c r="V17" s="117"/>
      <c r="W17" s="19"/>
      <c r="X17" s="19"/>
      <c r="Y17" s="19"/>
      <c r="Z17" s="19"/>
      <c r="AA17" s="159"/>
      <c r="AB17" s="157">
        <f t="shared" ref="AB17:AB48" si="12">IFERROR(F17-W17,0)</f>
        <v>0</v>
      </c>
      <c r="AC17" s="157">
        <f t="shared" ref="AC17:AC48" si="13">IFERROR(G17-X17,0)</f>
        <v>0</v>
      </c>
      <c r="AD17" s="157">
        <f t="shared" ref="AD17:AE48" si="14">IFERROR(H17-Y17,0)</f>
        <v>0</v>
      </c>
      <c r="AE17" s="157">
        <f t="shared" si="14"/>
        <v>0</v>
      </c>
      <c r="AF17" s="160">
        <f t="shared" ref="AF17:AF48" si="15">J17-AA17</f>
        <v>0</v>
      </c>
    </row>
    <row r="18" spans="2:32" ht="14.25" customHeight="1" outlineLevel="2">
      <c r="B18" s="20"/>
      <c r="C18" s="20"/>
      <c r="D18" s="21" t="s">
        <v>14</v>
      </c>
      <c r="E18" s="21"/>
      <c r="F18" s="22"/>
      <c r="G18" s="23"/>
      <c r="H18" s="23"/>
      <c r="I18" s="23"/>
      <c r="J18" s="161"/>
      <c r="L18" s="23"/>
      <c r="M18" s="23"/>
      <c r="N18" s="23"/>
      <c r="O18" s="23"/>
      <c r="P18" s="109"/>
      <c r="Q18" s="48">
        <f t="shared" si="8"/>
        <v>0</v>
      </c>
      <c r="R18" s="48">
        <f t="shared" si="9"/>
        <v>0</v>
      </c>
      <c r="S18" s="48">
        <f t="shared" si="10"/>
        <v>0</v>
      </c>
      <c r="T18" s="48">
        <f t="shared" si="11"/>
        <v>0</v>
      </c>
      <c r="U18" s="162">
        <f t="shared" si="11"/>
        <v>0</v>
      </c>
      <c r="V18" s="117"/>
      <c r="W18" s="23"/>
      <c r="X18" s="23"/>
      <c r="Y18" s="23"/>
      <c r="Z18" s="23"/>
      <c r="AA18" s="163"/>
      <c r="AB18" s="48">
        <f t="shared" si="12"/>
        <v>0</v>
      </c>
      <c r="AC18" s="48">
        <f t="shared" si="13"/>
        <v>0</v>
      </c>
      <c r="AD18" s="48">
        <f t="shared" si="14"/>
        <v>0</v>
      </c>
      <c r="AE18" s="48">
        <f t="shared" si="14"/>
        <v>0</v>
      </c>
      <c r="AF18" s="164">
        <f t="shared" si="15"/>
        <v>0</v>
      </c>
    </row>
    <row r="19" spans="2:32" ht="14.25" customHeight="1" outlineLevel="2">
      <c r="B19" s="24" t="s">
        <v>116</v>
      </c>
      <c r="C19" s="25"/>
      <c r="D19" s="26"/>
      <c r="E19" s="26"/>
      <c r="F19" s="27" t="e">
        <f>#REF!</f>
        <v>#REF!</v>
      </c>
      <c r="G19" s="28" t="e">
        <f>#REF!</f>
        <v>#REF!</v>
      </c>
      <c r="H19" s="29" t="e">
        <f>#REF!</f>
        <v>#REF!</v>
      </c>
      <c r="I19" s="29" t="e">
        <f>#REF!</f>
        <v>#REF!</v>
      </c>
      <c r="J19" s="156" t="e">
        <f>SUM(F19:I19)</f>
        <v>#REF!</v>
      </c>
      <c r="L19" s="157">
        <f>BP!Z18</f>
        <v>2362.3468886407654</v>
      </c>
      <c r="M19" s="157">
        <f>BP!AA18</f>
        <v>2915.5992962338378</v>
      </c>
      <c r="N19" s="157">
        <f>BP!AB18</f>
        <v>3559.1236710604126</v>
      </c>
      <c r="O19" s="157">
        <f>BP!AC18</f>
        <v>4165.6605806241369</v>
      </c>
      <c r="P19" s="108">
        <f>SUM(L19:O19)</f>
        <v>13002.730436559154</v>
      </c>
      <c r="Q19" s="28">
        <f t="shared" si="8"/>
        <v>0</v>
      </c>
      <c r="R19" s="28">
        <f t="shared" si="9"/>
        <v>0</v>
      </c>
      <c r="S19" s="28">
        <f t="shared" si="10"/>
        <v>0</v>
      </c>
      <c r="T19" s="28">
        <f t="shared" si="11"/>
        <v>0</v>
      </c>
      <c r="U19" s="158">
        <f t="shared" si="11"/>
        <v>0</v>
      </c>
      <c r="V19" s="117"/>
      <c r="W19" s="157">
        <f>'FC2+10'!Z18</f>
        <v>2389.2056710853849</v>
      </c>
      <c r="X19" s="157">
        <f>'FC2+10'!AA18</f>
        <v>2654.6861493172946</v>
      </c>
      <c r="Y19" s="157">
        <f>'FC2+10'!AB18</f>
        <v>3182.8978765823545</v>
      </c>
      <c r="Z19" s="157">
        <f>'FC2+10'!AC18</f>
        <v>3792.1547460078846</v>
      </c>
      <c r="AA19" s="159">
        <f>SUM(W19:Z19)</f>
        <v>12018.944442992917</v>
      </c>
      <c r="AB19" s="28">
        <f t="shared" si="12"/>
        <v>0</v>
      </c>
      <c r="AC19" s="28">
        <f t="shared" si="13"/>
        <v>0</v>
      </c>
      <c r="AD19" s="28">
        <f t="shared" si="14"/>
        <v>0</v>
      </c>
      <c r="AE19" s="28">
        <f t="shared" si="14"/>
        <v>0</v>
      </c>
      <c r="AF19" s="160" t="e">
        <f t="shared" si="15"/>
        <v>#REF!</v>
      </c>
    </row>
    <row r="20" spans="2:32" ht="14.25" customHeight="1" outlineLevel="2">
      <c r="B20" s="20"/>
      <c r="C20" s="16"/>
      <c r="D20" s="17" t="s">
        <v>16</v>
      </c>
      <c r="E20" s="17"/>
      <c r="F20" s="18"/>
      <c r="G20" s="19"/>
      <c r="H20" s="19"/>
      <c r="I20" s="19"/>
      <c r="J20" s="156"/>
      <c r="L20" s="19"/>
      <c r="M20" s="19"/>
      <c r="N20" s="19"/>
      <c r="O20" s="19"/>
      <c r="P20" s="108"/>
      <c r="Q20" s="157">
        <f t="shared" si="8"/>
        <v>0</v>
      </c>
      <c r="R20" s="157">
        <f t="shared" si="9"/>
        <v>0</v>
      </c>
      <c r="S20" s="157">
        <f t="shared" si="10"/>
        <v>0</v>
      </c>
      <c r="T20" s="157">
        <f t="shared" si="11"/>
        <v>0</v>
      </c>
      <c r="U20" s="158">
        <f t="shared" si="11"/>
        <v>0</v>
      </c>
      <c r="V20" s="117"/>
      <c r="W20" s="19"/>
      <c r="X20" s="19"/>
      <c r="Y20" s="19"/>
      <c r="Z20" s="19"/>
      <c r="AA20" s="159"/>
      <c r="AB20" s="157">
        <f t="shared" si="12"/>
        <v>0</v>
      </c>
      <c r="AC20" s="157">
        <f t="shared" si="13"/>
        <v>0</v>
      </c>
      <c r="AD20" s="157">
        <f t="shared" si="14"/>
        <v>0</v>
      </c>
      <c r="AE20" s="157">
        <f t="shared" si="14"/>
        <v>0</v>
      </c>
      <c r="AF20" s="160">
        <f t="shared" si="15"/>
        <v>0</v>
      </c>
    </row>
    <row r="21" spans="2:32" ht="14.25" customHeight="1" outlineLevel="2">
      <c r="B21" s="20"/>
      <c r="C21" s="30"/>
      <c r="D21" s="31" t="s">
        <v>17</v>
      </c>
      <c r="E21" s="31"/>
      <c r="F21" s="22"/>
      <c r="G21" s="23"/>
      <c r="H21" s="23"/>
      <c r="I21" s="23"/>
      <c r="J21" s="161"/>
      <c r="L21" s="23"/>
      <c r="M21" s="23"/>
      <c r="N21" s="23"/>
      <c r="O21" s="23"/>
      <c r="P21" s="109"/>
      <c r="Q21" s="48">
        <f t="shared" si="8"/>
        <v>0</v>
      </c>
      <c r="R21" s="48">
        <f t="shared" si="9"/>
        <v>0</v>
      </c>
      <c r="S21" s="48">
        <f t="shared" si="10"/>
        <v>0</v>
      </c>
      <c r="T21" s="48">
        <f t="shared" si="11"/>
        <v>0</v>
      </c>
      <c r="U21" s="162">
        <f t="shared" si="11"/>
        <v>0</v>
      </c>
      <c r="V21" s="117"/>
      <c r="W21" s="23"/>
      <c r="X21" s="23"/>
      <c r="Y21" s="23"/>
      <c r="Z21" s="23"/>
      <c r="AA21" s="163"/>
      <c r="AB21" s="48">
        <f t="shared" si="12"/>
        <v>0</v>
      </c>
      <c r="AC21" s="48">
        <f t="shared" si="13"/>
        <v>0</v>
      </c>
      <c r="AD21" s="48">
        <f t="shared" si="14"/>
        <v>0</v>
      </c>
      <c r="AE21" s="48">
        <f t="shared" si="14"/>
        <v>0</v>
      </c>
      <c r="AF21" s="164">
        <f t="shared" si="15"/>
        <v>0</v>
      </c>
    </row>
    <row r="22" spans="2:32" ht="14.25" customHeight="1" outlineLevel="2">
      <c r="B22" s="32"/>
      <c r="C22" s="26" t="s">
        <v>117</v>
      </c>
      <c r="D22" s="26"/>
      <c r="E22" s="26"/>
      <c r="F22" s="33" t="e">
        <f>#REF!</f>
        <v>#REF!</v>
      </c>
      <c r="G22" s="34" t="e">
        <f>#REF!</f>
        <v>#REF!</v>
      </c>
      <c r="H22" s="35" t="e">
        <f>#REF!</f>
        <v>#REF!</v>
      </c>
      <c r="I22" s="35" t="e">
        <f>#REF!</f>
        <v>#REF!</v>
      </c>
      <c r="J22" s="165" t="e">
        <f>SUM(F22:I22)</f>
        <v>#REF!</v>
      </c>
      <c r="L22" s="157">
        <f>BP!Z21</f>
        <v>-305.52695156644472</v>
      </c>
      <c r="M22" s="157">
        <f>BP!AA21</f>
        <v>-403.06913903697182</v>
      </c>
      <c r="N22" s="157">
        <f>BP!AB21</f>
        <v>-502.52215930750663</v>
      </c>
      <c r="O22" s="157">
        <f>BP!AC21</f>
        <v>-579.91958223720007</v>
      </c>
      <c r="P22" s="108">
        <f>SUM(L22:O22)</f>
        <v>-1791.0378321481232</v>
      </c>
      <c r="Q22" s="34">
        <f t="shared" si="8"/>
        <v>0</v>
      </c>
      <c r="R22" s="34">
        <f t="shared" si="9"/>
        <v>0</v>
      </c>
      <c r="S22" s="34">
        <f t="shared" si="10"/>
        <v>0</v>
      </c>
      <c r="T22" s="34">
        <f t="shared" si="11"/>
        <v>0</v>
      </c>
      <c r="U22" s="166">
        <f t="shared" si="11"/>
        <v>0</v>
      </c>
      <c r="V22" s="117"/>
      <c r="W22" s="157">
        <f>'FC2+10'!Z21</f>
        <v>-356.66079436882637</v>
      </c>
      <c r="X22" s="157">
        <f>'FC2+10'!AA21</f>
        <v>-372.76107930345961</v>
      </c>
      <c r="Y22" s="157">
        <f>'FC2+10'!AB21</f>
        <v>-440.87984308246894</v>
      </c>
      <c r="Z22" s="157">
        <f>'FC2+10'!AC21</f>
        <v>-530.10254705963268</v>
      </c>
      <c r="AA22" s="159">
        <f>SUM(W22:Z22)</f>
        <v>-1700.4042638143878</v>
      </c>
      <c r="AB22" s="34">
        <f t="shared" si="12"/>
        <v>0</v>
      </c>
      <c r="AC22" s="34">
        <f t="shared" si="13"/>
        <v>0</v>
      </c>
      <c r="AD22" s="34">
        <f t="shared" si="14"/>
        <v>0</v>
      </c>
      <c r="AE22" s="34">
        <f t="shared" si="14"/>
        <v>0</v>
      </c>
      <c r="AF22" s="160" t="e">
        <f t="shared" si="15"/>
        <v>#REF!</v>
      </c>
    </row>
    <row r="23" spans="2:32" outlineLevel="2">
      <c r="B23" s="36" t="s">
        <v>118</v>
      </c>
      <c r="C23" s="36"/>
      <c r="D23" s="1"/>
      <c r="E23" s="37"/>
      <c r="F23" s="38" t="e">
        <f>SUM(F19,F22)</f>
        <v>#REF!</v>
      </c>
      <c r="G23" s="39" t="e">
        <f>SUM(G19,G22)</f>
        <v>#REF!</v>
      </c>
      <c r="H23" s="40" t="e">
        <f>SUM(H19,H22)</f>
        <v>#REF!</v>
      </c>
      <c r="I23" s="40" t="e">
        <f>SUM(I19,I22)</f>
        <v>#REF!</v>
      </c>
      <c r="J23" s="167" t="e">
        <f>SUM(J19,J22)</f>
        <v>#REF!</v>
      </c>
      <c r="L23" s="39">
        <f>SUM(L19,L22)</f>
        <v>2056.8199370743205</v>
      </c>
      <c r="M23" s="39">
        <f>SUM(M19,M22)</f>
        <v>2512.5301571968657</v>
      </c>
      <c r="N23" s="39">
        <f>SUM(N19,N22)</f>
        <v>3056.6015117529059</v>
      </c>
      <c r="O23" s="39">
        <f>SUM(O19,O22)</f>
        <v>3585.7409983869366</v>
      </c>
      <c r="P23" s="110">
        <f>SUM(P19,P22)</f>
        <v>11211.69260441103</v>
      </c>
      <c r="Q23" s="39">
        <f t="shared" si="8"/>
        <v>0</v>
      </c>
      <c r="R23" s="39">
        <f t="shared" si="9"/>
        <v>0</v>
      </c>
      <c r="S23" s="39">
        <f t="shared" si="10"/>
        <v>0</v>
      </c>
      <c r="T23" s="39">
        <f t="shared" si="11"/>
        <v>0</v>
      </c>
      <c r="U23" s="168">
        <f t="shared" si="11"/>
        <v>0</v>
      </c>
      <c r="V23" s="117"/>
      <c r="W23" s="39">
        <f>SUM(W19,W22)</f>
        <v>2032.5448767165585</v>
      </c>
      <c r="X23" s="39">
        <f>SUM(X19,X22)</f>
        <v>2281.925070013835</v>
      </c>
      <c r="Y23" s="39">
        <f>SUM(Y19,Y22)</f>
        <v>2742.0180334998854</v>
      </c>
      <c r="Z23" s="39">
        <f>SUM(Z19,Z22)</f>
        <v>3262.0521989482518</v>
      </c>
      <c r="AA23" s="169">
        <f>SUM(AA19,AA22)</f>
        <v>10318.54017917853</v>
      </c>
      <c r="AB23" s="39">
        <f t="shared" si="12"/>
        <v>0</v>
      </c>
      <c r="AC23" s="39">
        <f t="shared" si="13"/>
        <v>0</v>
      </c>
      <c r="AD23" s="39">
        <f t="shared" si="14"/>
        <v>0</v>
      </c>
      <c r="AE23" s="39">
        <f t="shared" si="14"/>
        <v>0</v>
      </c>
      <c r="AF23" s="170" t="e">
        <f t="shared" si="15"/>
        <v>#REF!</v>
      </c>
    </row>
    <row r="24" spans="2:32" outlineLevel="2">
      <c r="B24" s="16"/>
      <c r="C24" s="16"/>
      <c r="D24" s="41" t="s">
        <v>20</v>
      </c>
      <c r="E24" s="42"/>
      <c r="F24" s="18"/>
      <c r="G24" s="19"/>
      <c r="H24" s="19"/>
      <c r="I24" s="19"/>
      <c r="J24" s="156"/>
      <c r="L24" s="19"/>
      <c r="M24" s="19"/>
      <c r="N24" s="19"/>
      <c r="O24" s="19"/>
      <c r="P24" s="108"/>
      <c r="Q24" s="157">
        <f t="shared" si="8"/>
        <v>0</v>
      </c>
      <c r="R24" s="157">
        <f t="shared" si="9"/>
        <v>0</v>
      </c>
      <c r="S24" s="157">
        <f t="shared" si="10"/>
        <v>0</v>
      </c>
      <c r="T24" s="157">
        <f t="shared" si="11"/>
        <v>0</v>
      </c>
      <c r="U24" s="158">
        <f t="shared" si="11"/>
        <v>0</v>
      </c>
      <c r="V24" s="117"/>
      <c r="W24" s="19"/>
      <c r="X24" s="19"/>
      <c r="Y24" s="19"/>
      <c r="Z24" s="19"/>
      <c r="AA24" s="159"/>
      <c r="AB24" s="157">
        <f t="shared" si="12"/>
        <v>0</v>
      </c>
      <c r="AC24" s="157">
        <f t="shared" si="13"/>
        <v>0</v>
      </c>
      <c r="AD24" s="157">
        <f t="shared" si="14"/>
        <v>0</v>
      </c>
      <c r="AE24" s="157">
        <f t="shared" si="14"/>
        <v>0</v>
      </c>
      <c r="AF24" s="160">
        <f t="shared" si="15"/>
        <v>0</v>
      </c>
    </row>
    <row r="25" spans="2:32" outlineLevel="2">
      <c r="B25" s="20"/>
      <c r="C25" s="30"/>
      <c r="D25" s="43" t="s">
        <v>119</v>
      </c>
      <c r="E25" s="44"/>
      <c r="F25" s="45"/>
      <c r="G25" s="46"/>
      <c r="H25" s="46"/>
      <c r="I25" s="46"/>
      <c r="J25" s="171"/>
      <c r="L25" s="46"/>
      <c r="M25" s="46"/>
      <c r="N25" s="46"/>
      <c r="O25" s="46"/>
      <c r="P25" s="111"/>
      <c r="Q25" s="172">
        <f t="shared" si="8"/>
        <v>0</v>
      </c>
      <c r="R25" s="172">
        <f t="shared" si="9"/>
        <v>0</v>
      </c>
      <c r="S25" s="172">
        <f t="shared" si="10"/>
        <v>0</v>
      </c>
      <c r="T25" s="172">
        <f t="shared" si="11"/>
        <v>0</v>
      </c>
      <c r="U25" s="173">
        <f t="shared" si="11"/>
        <v>0</v>
      </c>
      <c r="V25" s="117"/>
      <c r="W25" s="46"/>
      <c r="X25" s="46"/>
      <c r="Y25" s="46"/>
      <c r="Z25" s="46"/>
      <c r="AA25" s="174"/>
      <c r="AB25" s="172">
        <f t="shared" si="12"/>
        <v>0</v>
      </c>
      <c r="AC25" s="172">
        <f t="shared" si="13"/>
        <v>0</v>
      </c>
      <c r="AD25" s="172">
        <f t="shared" si="14"/>
        <v>0</v>
      </c>
      <c r="AE25" s="172">
        <f t="shared" si="14"/>
        <v>0</v>
      </c>
      <c r="AF25" s="175">
        <f t="shared" si="15"/>
        <v>0</v>
      </c>
    </row>
    <row r="26" spans="2:32" outlineLevel="2">
      <c r="B26" s="20"/>
      <c r="C26" s="26" t="s">
        <v>120</v>
      </c>
      <c r="D26" s="17"/>
      <c r="E26" s="21"/>
      <c r="F26" s="47" t="e">
        <f>#REF!</f>
        <v>#REF!</v>
      </c>
      <c r="G26" s="48" t="e">
        <f>#REF!</f>
        <v>#REF!</v>
      </c>
      <c r="H26" s="49" t="e">
        <f>#REF!</f>
        <v>#REF!</v>
      </c>
      <c r="I26" s="49" t="e">
        <f>#REF!</f>
        <v>#REF!</v>
      </c>
      <c r="J26" s="161" t="e">
        <f>SUM(F26:I26)</f>
        <v>#REF!</v>
      </c>
      <c r="L26" s="48">
        <f>BP!Z25</f>
        <v>-1718.9637701428601</v>
      </c>
      <c r="M26" s="48">
        <f>BP!AA25</f>
        <v>-2105.2022242116477</v>
      </c>
      <c r="N26" s="48">
        <f>BP!AB25</f>
        <v>-2508.9766850668229</v>
      </c>
      <c r="O26" s="48">
        <f>BP!AC25</f>
        <v>-2978.5637891932402</v>
      </c>
      <c r="P26" s="109">
        <f>SUM(L26:O26)</f>
        <v>-9311.7064686145713</v>
      </c>
      <c r="Q26" s="48">
        <f t="shared" si="8"/>
        <v>0</v>
      </c>
      <c r="R26" s="48">
        <f t="shared" si="9"/>
        <v>0</v>
      </c>
      <c r="S26" s="48">
        <f t="shared" si="10"/>
        <v>0</v>
      </c>
      <c r="T26" s="48">
        <f t="shared" si="11"/>
        <v>0</v>
      </c>
      <c r="U26" s="162">
        <f t="shared" si="11"/>
        <v>0</v>
      </c>
      <c r="V26" s="117"/>
      <c r="W26" s="48" t="e">
        <f>'FC2+10'!Z25</f>
        <v>#VALUE!</v>
      </c>
      <c r="X26" s="48" t="e">
        <f>'FC2+10'!AA25</f>
        <v>#VALUE!</v>
      </c>
      <c r="Y26" s="48" t="e">
        <f>'FC2+10'!AB25</f>
        <v>#VALUE!</v>
      </c>
      <c r="Z26" s="48" t="e">
        <f>'FC2+10'!AC25</f>
        <v>#VALUE!</v>
      </c>
      <c r="AA26" s="163" t="e">
        <f>SUM(W26:Z26)</f>
        <v>#VALUE!</v>
      </c>
      <c r="AB26" s="48">
        <f t="shared" si="12"/>
        <v>0</v>
      </c>
      <c r="AC26" s="48">
        <f t="shared" si="13"/>
        <v>0</v>
      </c>
      <c r="AD26" s="48">
        <f t="shared" si="14"/>
        <v>0</v>
      </c>
      <c r="AE26" s="48">
        <f t="shared" si="14"/>
        <v>0</v>
      </c>
      <c r="AF26" s="164" t="e">
        <f t="shared" si="15"/>
        <v>#REF!</v>
      </c>
    </row>
    <row r="27" spans="2:32" outlineLevel="2">
      <c r="B27" s="50" t="s">
        <v>121</v>
      </c>
      <c r="C27" s="50"/>
      <c r="D27" s="37"/>
      <c r="E27" s="37"/>
      <c r="F27" s="51" t="e">
        <f>SUM(F23,F26)</f>
        <v>#REF!</v>
      </c>
      <c r="G27" s="52" t="e">
        <f>SUM(G23,G26)</f>
        <v>#REF!</v>
      </c>
      <c r="H27" s="53" t="e">
        <f>SUM(H23,H26)</f>
        <v>#REF!</v>
      </c>
      <c r="I27" s="53" t="e">
        <f>SUM(I23,I26)</f>
        <v>#REF!</v>
      </c>
      <c r="J27" s="167" t="e">
        <f>SUM(J23,J26)</f>
        <v>#REF!</v>
      </c>
      <c r="L27" s="52">
        <f>SUM(L23,L26)</f>
        <v>337.85616693146039</v>
      </c>
      <c r="M27" s="52">
        <f>SUM(M23,M26)</f>
        <v>407.32793298521801</v>
      </c>
      <c r="N27" s="52">
        <f>SUM(N23,N26)</f>
        <v>547.624826686083</v>
      </c>
      <c r="O27" s="52">
        <f>SUM(O23,O26)</f>
        <v>607.1772091936964</v>
      </c>
      <c r="P27" s="112">
        <f>SUM(P23,P26)</f>
        <v>1899.9861357964583</v>
      </c>
      <c r="Q27" s="52">
        <f t="shared" si="8"/>
        <v>0</v>
      </c>
      <c r="R27" s="52">
        <f t="shared" si="9"/>
        <v>0</v>
      </c>
      <c r="S27" s="52">
        <f t="shared" si="10"/>
        <v>0</v>
      </c>
      <c r="T27" s="52">
        <f t="shared" si="11"/>
        <v>0</v>
      </c>
      <c r="U27" s="168">
        <f t="shared" si="11"/>
        <v>0</v>
      </c>
      <c r="V27" s="176"/>
      <c r="W27" s="52" t="e">
        <f>SUM(W23,W26)</f>
        <v>#VALUE!</v>
      </c>
      <c r="X27" s="52" t="e">
        <f>SUM(X23,X26)</f>
        <v>#VALUE!</v>
      </c>
      <c r="Y27" s="52" t="e">
        <f>SUM(Y23,Y26)</f>
        <v>#VALUE!</v>
      </c>
      <c r="Z27" s="52" t="e">
        <f>SUM(Z23,Z26)</f>
        <v>#VALUE!</v>
      </c>
      <c r="AA27" s="177" t="e">
        <f>SUM(AA23,AA26)</f>
        <v>#VALUE!</v>
      </c>
      <c r="AB27" s="52">
        <f t="shared" si="12"/>
        <v>0</v>
      </c>
      <c r="AC27" s="52">
        <f t="shared" si="13"/>
        <v>0</v>
      </c>
      <c r="AD27" s="52">
        <f t="shared" si="14"/>
        <v>0</v>
      </c>
      <c r="AE27" s="52">
        <f t="shared" si="14"/>
        <v>0</v>
      </c>
      <c r="AF27" s="178" t="e">
        <f t="shared" si="15"/>
        <v>#REF!</v>
      </c>
    </row>
    <row r="28" spans="2:32" outlineLevel="2">
      <c r="B28" s="54"/>
      <c r="C28" s="55" t="s">
        <v>24</v>
      </c>
      <c r="D28" s="56"/>
      <c r="E28" s="56"/>
      <c r="F28" s="57" t="e">
        <f>F27/F19</f>
        <v>#REF!</v>
      </c>
      <c r="G28" s="58" t="e">
        <f>G27/G19</f>
        <v>#REF!</v>
      </c>
      <c r="H28" s="59" t="e">
        <f>H27/H19</f>
        <v>#REF!</v>
      </c>
      <c r="I28" s="59" t="e">
        <f>I27/I19</f>
        <v>#REF!</v>
      </c>
      <c r="J28" s="189" t="e">
        <f>J27/J19</f>
        <v>#REF!</v>
      </c>
      <c r="K28" s="190"/>
      <c r="L28" s="179">
        <f>L27/L19</f>
        <v>0.14301717015228627</v>
      </c>
      <c r="M28" s="179">
        <f>M27/M19</f>
        <v>0.13970641765189581</v>
      </c>
      <c r="N28" s="179">
        <f>N27/N19</f>
        <v>0.15386507390537585</v>
      </c>
      <c r="O28" s="179">
        <f>O27/O19</f>
        <v>0.14575772496152906</v>
      </c>
      <c r="P28" s="113">
        <f>P27/P19</f>
        <v>0.1461220891309381</v>
      </c>
      <c r="Q28" s="58">
        <f t="shared" si="8"/>
        <v>0</v>
      </c>
      <c r="R28" s="58">
        <f t="shared" si="9"/>
        <v>0</v>
      </c>
      <c r="S28" s="58">
        <f t="shared" si="10"/>
        <v>0</v>
      </c>
      <c r="T28" s="58">
        <f t="shared" si="11"/>
        <v>0</v>
      </c>
      <c r="U28" s="180">
        <f t="shared" si="11"/>
        <v>0</v>
      </c>
      <c r="W28" s="179" t="e">
        <f>W27/W19</f>
        <v>#VALUE!</v>
      </c>
      <c r="X28" s="179" t="e">
        <f>X27/X19</f>
        <v>#VALUE!</v>
      </c>
      <c r="Y28" s="179" t="e">
        <f>Y27/Y19</f>
        <v>#VALUE!</v>
      </c>
      <c r="Z28" s="179" t="e">
        <f>Z27/Z19</f>
        <v>#VALUE!</v>
      </c>
      <c r="AA28" s="181" t="e">
        <f>AA27/AA19</f>
        <v>#VALUE!</v>
      </c>
      <c r="AB28" s="58">
        <f t="shared" si="12"/>
        <v>0</v>
      </c>
      <c r="AC28" s="58">
        <f t="shared" si="13"/>
        <v>0</v>
      </c>
      <c r="AD28" s="58">
        <f t="shared" si="14"/>
        <v>0</v>
      </c>
      <c r="AE28" s="58">
        <f t="shared" si="14"/>
        <v>0</v>
      </c>
      <c r="AF28" s="182" t="e">
        <f t="shared" si="15"/>
        <v>#REF!</v>
      </c>
    </row>
    <row r="29" spans="2:32" outlineLevel="2">
      <c r="B29" s="20"/>
      <c r="C29" s="20"/>
      <c r="D29" s="60" t="s">
        <v>25</v>
      </c>
      <c r="E29" s="21"/>
      <c r="F29" s="22" t="e">
        <f>#REF!</f>
        <v>#REF!</v>
      </c>
      <c r="G29" s="23" t="e">
        <f>#REF!</f>
        <v>#REF!</v>
      </c>
      <c r="H29" s="23" t="e">
        <f>#REF!</f>
        <v>#REF!</v>
      </c>
      <c r="I29" s="23" t="e">
        <f>#REF!</f>
        <v>#REF!</v>
      </c>
      <c r="J29" s="161" t="e">
        <f t="shared" ref="J29:J44" si="16">SUM(F29:I29)</f>
        <v>#REF!</v>
      </c>
      <c r="L29" s="23">
        <f>BP!Z28</f>
        <v>-91.055278237954397</v>
      </c>
      <c r="M29" s="23">
        <f>BP!AA28</f>
        <v>-85.788183540182615</v>
      </c>
      <c r="N29" s="23">
        <f>BP!AB28</f>
        <v>-92.41432618887842</v>
      </c>
      <c r="O29" s="23">
        <f>BP!AC28</f>
        <v>-91.190275488905698</v>
      </c>
      <c r="P29" s="109">
        <f t="shared" ref="P29:P44" si="17">SUM(L29:O29)</f>
        <v>-360.4480634559211</v>
      </c>
      <c r="Q29" s="48">
        <f t="shared" si="8"/>
        <v>0</v>
      </c>
      <c r="R29" s="48">
        <f t="shared" si="9"/>
        <v>0</v>
      </c>
      <c r="S29" s="48">
        <f t="shared" si="10"/>
        <v>0</v>
      </c>
      <c r="T29" s="48">
        <f t="shared" si="11"/>
        <v>0</v>
      </c>
      <c r="U29" s="162">
        <f t="shared" si="11"/>
        <v>0</v>
      </c>
      <c r="V29" s="117"/>
      <c r="W29" s="23">
        <f>'FC2+10'!Z28</f>
        <v>-76.025957918749356</v>
      </c>
      <c r="X29" s="23">
        <f>'FC2+10'!AA28</f>
        <v>-77.884930551539995</v>
      </c>
      <c r="Y29" s="23">
        <f>'FC2+10'!AB28</f>
        <v>-79.553548304083819</v>
      </c>
      <c r="Z29" s="23">
        <f>'FC2+10'!AC28</f>
        <v>-75.557903687787018</v>
      </c>
      <c r="AA29" s="163">
        <f t="shared" ref="AA29:AA44" si="18">SUM(W29:Z29)</f>
        <v>-309.02234046216017</v>
      </c>
      <c r="AB29" s="48">
        <f t="shared" si="12"/>
        <v>0</v>
      </c>
      <c r="AC29" s="48">
        <f t="shared" si="13"/>
        <v>0</v>
      </c>
      <c r="AD29" s="48">
        <f t="shared" si="14"/>
        <v>0</v>
      </c>
      <c r="AE29" s="48">
        <f t="shared" si="14"/>
        <v>0</v>
      </c>
      <c r="AF29" s="164" t="e">
        <f t="shared" si="15"/>
        <v>#REF!</v>
      </c>
    </row>
    <row r="30" spans="2:32" outlineLevel="2">
      <c r="B30" s="20"/>
      <c r="C30" s="20"/>
      <c r="D30" s="60" t="s">
        <v>26</v>
      </c>
      <c r="E30" s="21"/>
      <c r="F30" s="22" t="e">
        <f>#REF!</f>
        <v>#REF!</v>
      </c>
      <c r="G30" s="23" t="e">
        <f>#REF!</f>
        <v>#REF!</v>
      </c>
      <c r="H30" s="23" t="e">
        <f>#REF!</f>
        <v>#REF!</v>
      </c>
      <c r="I30" s="23" t="e">
        <f>#REF!</f>
        <v>#REF!</v>
      </c>
      <c r="J30" s="161" t="e">
        <f t="shared" si="16"/>
        <v>#REF!</v>
      </c>
      <c r="L30" s="23">
        <f>BP!Z29</f>
        <v>-12.427655048314699</v>
      </c>
      <c r="M30" s="23">
        <f>BP!AA29</f>
        <v>-10.368057846572199</v>
      </c>
      <c r="N30" s="23">
        <f>BP!AB29</f>
        <v>-17.192152604568207</v>
      </c>
      <c r="O30" s="23">
        <f>BP!AC29</f>
        <v>-18.777571650418302</v>
      </c>
      <c r="P30" s="109">
        <f t="shared" si="17"/>
        <v>-58.765437149873406</v>
      </c>
      <c r="Q30" s="48">
        <f t="shared" si="8"/>
        <v>0</v>
      </c>
      <c r="R30" s="48">
        <f t="shared" si="9"/>
        <v>0</v>
      </c>
      <c r="S30" s="48">
        <f t="shared" si="10"/>
        <v>0</v>
      </c>
      <c r="T30" s="48">
        <f t="shared" si="11"/>
        <v>0</v>
      </c>
      <c r="U30" s="162">
        <f t="shared" si="11"/>
        <v>0</v>
      </c>
      <c r="V30" s="117"/>
      <c r="W30" s="23">
        <f>'FC2+10'!Z29</f>
        <v>2.0622391091743568E-2</v>
      </c>
      <c r="X30" s="23">
        <f>'FC2+10'!AA29</f>
        <v>-0.44583332916971252</v>
      </c>
      <c r="Y30" s="23">
        <f>'FC2+10'!AB29</f>
        <v>-1.8636953834907712</v>
      </c>
      <c r="Z30" s="23">
        <f>'FC2+10'!AC29</f>
        <v>-6.2903893032440692</v>
      </c>
      <c r="AA30" s="163">
        <f t="shared" si="18"/>
        <v>-8.5792956248128096</v>
      </c>
      <c r="AB30" s="48">
        <f t="shared" si="12"/>
        <v>0</v>
      </c>
      <c r="AC30" s="48">
        <f t="shared" si="13"/>
        <v>0</v>
      </c>
      <c r="AD30" s="48">
        <f t="shared" si="14"/>
        <v>0</v>
      </c>
      <c r="AE30" s="48">
        <f t="shared" si="14"/>
        <v>0</v>
      </c>
      <c r="AF30" s="164" t="e">
        <f t="shared" si="15"/>
        <v>#REF!</v>
      </c>
    </row>
    <row r="31" spans="2:32" outlineLevel="2">
      <c r="B31" s="20"/>
      <c r="C31" s="20"/>
      <c r="D31" s="60" t="s">
        <v>122</v>
      </c>
      <c r="E31" s="21"/>
      <c r="F31" s="22" t="e">
        <f>#REF!</f>
        <v>#REF!</v>
      </c>
      <c r="G31" s="23" t="e">
        <f>#REF!</f>
        <v>#REF!</v>
      </c>
      <c r="H31" s="23" t="e">
        <f>#REF!</f>
        <v>#REF!</v>
      </c>
      <c r="I31" s="23" t="e">
        <f>#REF!</f>
        <v>#REF!</v>
      </c>
      <c r="J31" s="161" t="e">
        <f t="shared" si="16"/>
        <v>#REF!</v>
      </c>
      <c r="L31" s="23">
        <f>BP!Z30</f>
        <v>-3.1225962203606628E-2</v>
      </c>
      <c r="M31" s="23">
        <f>BP!AA30</f>
        <v>-3.2523740891100772E-2</v>
      </c>
      <c r="N31" s="23">
        <f>BP!AB30</f>
        <v>-3.1783877148006567E-2</v>
      </c>
      <c r="O31" s="23">
        <f>BP!AC30</f>
        <v>-3.0780509652792887E-2</v>
      </c>
      <c r="P31" s="109">
        <f t="shared" si="17"/>
        <v>-0.12631408989550685</v>
      </c>
      <c r="Q31" s="48">
        <f t="shared" si="8"/>
        <v>0</v>
      </c>
      <c r="R31" s="48">
        <f t="shared" si="9"/>
        <v>0</v>
      </c>
      <c r="S31" s="48">
        <f t="shared" si="10"/>
        <v>0</v>
      </c>
      <c r="T31" s="48">
        <f t="shared" si="11"/>
        <v>0</v>
      </c>
      <c r="U31" s="162">
        <f t="shared" si="11"/>
        <v>0</v>
      </c>
      <c r="V31" s="117"/>
      <c r="W31" s="23">
        <f>'FC2+10'!Z30</f>
        <v>0</v>
      </c>
      <c r="X31" s="23">
        <f>'FC2+10'!AA30</f>
        <v>0</v>
      </c>
      <c r="Y31" s="23">
        <f>'FC2+10'!AB30</f>
        <v>0</v>
      </c>
      <c r="Z31" s="23">
        <f>'FC2+10'!AC30</f>
        <v>0</v>
      </c>
      <c r="AA31" s="163">
        <f t="shared" si="18"/>
        <v>0</v>
      </c>
      <c r="AB31" s="48">
        <f t="shared" si="12"/>
        <v>0</v>
      </c>
      <c r="AC31" s="48">
        <f t="shared" si="13"/>
        <v>0</v>
      </c>
      <c r="AD31" s="48">
        <f t="shared" si="14"/>
        <v>0</v>
      </c>
      <c r="AE31" s="48">
        <f t="shared" si="14"/>
        <v>0</v>
      </c>
      <c r="AF31" s="164" t="e">
        <f t="shared" si="15"/>
        <v>#REF!</v>
      </c>
    </row>
    <row r="32" spans="2:32" outlineLevel="2">
      <c r="B32" s="20"/>
      <c r="C32" s="20"/>
      <c r="D32" s="60" t="s">
        <v>28</v>
      </c>
      <c r="E32" s="21"/>
      <c r="F32" s="22" t="e">
        <f>#REF!</f>
        <v>#REF!</v>
      </c>
      <c r="G32" s="23" t="e">
        <f>#REF!</f>
        <v>#REF!</v>
      </c>
      <c r="H32" s="23" t="e">
        <f>#REF!</f>
        <v>#REF!</v>
      </c>
      <c r="I32" s="23" t="e">
        <f>#REF!</f>
        <v>#REF!</v>
      </c>
      <c r="J32" s="161" t="e">
        <f t="shared" si="16"/>
        <v>#REF!</v>
      </c>
      <c r="L32" s="23">
        <f>BP!Z31</f>
        <v>-36.450040713085194</v>
      </c>
      <c r="M32" s="23">
        <f>BP!AA31</f>
        <v>-24.46788173018923</v>
      </c>
      <c r="N32" s="23">
        <f>BP!AB31</f>
        <v>-31.708855667852369</v>
      </c>
      <c r="O32" s="23">
        <f>BP!AC31</f>
        <v>-36.259055215383228</v>
      </c>
      <c r="P32" s="109">
        <f t="shared" si="17"/>
        <v>-128.88583332651001</v>
      </c>
      <c r="Q32" s="48">
        <f t="shared" si="8"/>
        <v>0</v>
      </c>
      <c r="R32" s="48">
        <f t="shared" si="9"/>
        <v>0</v>
      </c>
      <c r="S32" s="48">
        <f t="shared" si="10"/>
        <v>0</v>
      </c>
      <c r="T32" s="48">
        <f t="shared" si="11"/>
        <v>0</v>
      </c>
      <c r="U32" s="162">
        <f t="shared" si="11"/>
        <v>0</v>
      </c>
      <c r="V32" s="117"/>
      <c r="W32" s="23">
        <f>'FC2+10'!Z31</f>
        <v>-38.247915263305011</v>
      </c>
      <c r="X32" s="23">
        <f>'FC2+10'!AA31</f>
        <v>-25.760772365719085</v>
      </c>
      <c r="Y32" s="23">
        <f>'FC2+10'!AB31</f>
        <v>-29.753938745000124</v>
      </c>
      <c r="Z32" s="23">
        <f>'FC2+10'!AC31</f>
        <v>-30.064875321428989</v>
      </c>
      <c r="AA32" s="163">
        <f t="shared" si="18"/>
        <v>-123.82750169545321</v>
      </c>
      <c r="AB32" s="48">
        <f t="shared" si="12"/>
        <v>0</v>
      </c>
      <c r="AC32" s="48">
        <f t="shared" si="13"/>
        <v>0</v>
      </c>
      <c r="AD32" s="48">
        <f t="shared" si="14"/>
        <v>0</v>
      </c>
      <c r="AE32" s="48">
        <f t="shared" si="14"/>
        <v>0</v>
      </c>
      <c r="AF32" s="164" t="e">
        <f t="shared" si="15"/>
        <v>#REF!</v>
      </c>
    </row>
    <row r="33" spans="2:32" outlineLevel="2">
      <c r="B33" s="20"/>
      <c r="C33" s="20"/>
      <c r="D33" s="60" t="s">
        <v>123</v>
      </c>
      <c r="E33" s="21"/>
      <c r="F33" s="61" t="e">
        <f>#REF!</f>
        <v>#REF!</v>
      </c>
      <c r="G33" s="62" t="e">
        <f>#REF!</f>
        <v>#REF!</v>
      </c>
      <c r="H33" s="62" t="e">
        <f>#REF!</f>
        <v>#REF!</v>
      </c>
      <c r="I33" s="62" t="e">
        <f>#REF!</f>
        <v>#REF!</v>
      </c>
      <c r="J33" s="183" t="e">
        <f t="shared" si="16"/>
        <v>#REF!</v>
      </c>
      <c r="L33" s="62">
        <f>BP!Z32</f>
        <v>0</v>
      </c>
      <c r="M33" s="62">
        <f>BP!AA32</f>
        <v>0</v>
      </c>
      <c r="N33" s="62">
        <f>BP!AB32</f>
        <v>0</v>
      </c>
      <c r="O33" s="62">
        <f>BP!AC32</f>
        <v>0</v>
      </c>
      <c r="P33" s="62">
        <f t="shared" si="17"/>
        <v>0</v>
      </c>
      <c r="Q33" s="62">
        <f t="shared" si="8"/>
        <v>0</v>
      </c>
      <c r="R33" s="62">
        <f t="shared" si="9"/>
        <v>0</v>
      </c>
      <c r="S33" s="62">
        <f t="shared" si="10"/>
        <v>0</v>
      </c>
      <c r="T33" s="62">
        <f t="shared" si="11"/>
        <v>0</v>
      </c>
      <c r="U33" s="62">
        <f t="shared" si="11"/>
        <v>0</v>
      </c>
      <c r="V33" s="117"/>
      <c r="W33" s="62">
        <f>'FC2+10'!Z32</f>
        <v>0</v>
      </c>
      <c r="X33" s="62">
        <f>'FC2+10'!AA32</f>
        <v>0</v>
      </c>
      <c r="Y33" s="62">
        <f>'FC2+10'!AB32</f>
        <v>0</v>
      </c>
      <c r="Z33" s="62">
        <f>'FC2+10'!AC32</f>
        <v>0</v>
      </c>
      <c r="AA33" s="62">
        <f t="shared" si="18"/>
        <v>0</v>
      </c>
      <c r="AB33" s="62">
        <f t="shared" si="12"/>
        <v>0</v>
      </c>
      <c r="AC33" s="62">
        <f t="shared" si="13"/>
        <v>0</v>
      </c>
      <c r="AD33" s="62">
        <f t="shared" si="14"/>
        <v>0</v>
      </c>
      <c r="AE33" s="62">
        <f t="shared" si="14"/>
        <v>0</v>
      </c>
      <c r="AF33" s="62" t="e">
        <f t="shared" si="15"/>
        <v>#REF!</v>
      </c>
    </row>
    <row r="34" spans="2:32" outlineLevel="2">
      <c r="B34" s="20"/>
      <c r="C34" s="30"/>
      <c r="D34" s="63" t="s">
        <v>30</v>
      </c>
      <c r="E34" s="31"/>
      <c r="F34" s="45" t="e">
        <f>#REF!</f>
        <v>#REF!</v>
      </c>
      <c r="G34" s="46" t="e">
        <f>#REF!</f>
        <v>#REF!</v>
      </c>
      <c r="H34" s="46" t="e">
        <f>#REF!</f>
        <v>#REF!</v>
      </c>
      <c r="I34" s="46" t="e">
        <f>#REF!</f>
        <v>#REF!</v>
      </c>
      <c r="J34" s="171" t="e">
        <f t="shared" si="16"/>
        <v>#REF!</v>
      </c>
      <c r="L34" s="46">
        <f>BP!Z33</f>
        <v>-55.568830558796158</v>
      </c>
      <c r="M34" s="46">
        <f>BP!AA33</f>
        <v>-38.754875026035506</v>
      </c>
      <c r="N34" s="46">
        <f>BP!AB33</f>
        <v>-42.97987903214937</v>
      </c>
      <c r="O34" s="46">
        <f>BP!AC33</f>
        <v>-45.989117043716831</v>
      </c>
      <c r="P34" s="111">
        <f t="shared" si="17"/>
        <v>-183.29270166069784</v>
      </c>
      <c r="Q34" s="172">
        <f t="shared" si="8"/>
        <v>0</v>
      </c>
      <c r="R34" s="172">
        <f t="shared" si="9"/>
        <v>0</v>
      </c>
      <c r="S34" s="172">
        <f t="shared" si="10"/>
        <v>0</v>
      </c>
      <c r="T34" s="172">
        <f t="shared" si="11"/>
        <v>0</v>
      </c>
      <c r="U34" s="173">
        <f t="shared" si="11"/>
        <v>0</v>
      </c>
      <c r="V34" s="117"/>
      <c r="W34" s="46">
        <f>'FC2+10'!Z33</f>
        <v>-26.94298878167583</v>
      </c>
      <c r="X34" s="46">
        <f>'FC2+10'!AA33</f>
        <v>-32.945411274622167</v>
      </c>
      <c r="Y34" s="46">
        <f>'FC2+10'!AB33</f>
        <v>-42.854445686824953</v>
      </c>
      <c r="Z34" s="46">
        <f>'FC2+10'!AC33</f>
        <v>-42.046044263254039</v>
      </c>
      <c r="AA34" s="174">
        <f t="shared" si="18"/>
        <v>-144.78889000637699</v>
      </c>
      <c r="AB34" s="172">
        <f t="shared" si="12"/>
        <v>0</v>
      </c>
      <c r="AC34" s="172">
        <f t="shared" si="13"/>
        <v>0</v>
      </c>
      <c r="AD34" s="172">
        <f t="shared" si="14"/>
        <v>0</v>
      </c>
      <c r="AE34" s="172">
        <f t="shared" si="14"/>
        <v>0</v>
      </c>
      <c r="AF34" s="175" t="e">
        <f t="shared" si="15"/>
        <v>#REF!</v>
      </c>
    </row>
    <row r="35" spans="2:32" outlineLevel="2">
      <c r="B35" s="30"/>
      <c r="C35" s="31" t="s">
        <v>124</v>
      </c>
      <c r="D35" s="21"/>
      <c r="E35" s="21"/>
      <c r="F35" s="64" t="e">
        <f>SUM(F29:F31,F32:F34)</f>
        <v>#REF!</v>
      </c>
      <c r="G35" s="65" t="e">
        <f>SUM(G29:G31,G32:G34)</f>
        <v>#REF!</v>
      </c>
      <c r="H35" s="66" t="e">
        <f>SUM(H29:H31,H32:H34)</f>
        <v>#REF!</v>
      </c>
      <c r="I35" s="66" t="e">
        <f>SUM(I29:I31,I32:I34)</f>
        <v>#REF!</v>
      </c>
      <c r="J35" s="184" t="e">
        <f>SUM(J29:J31,J32:J34)</f>
        <v>#REF!</v>
      </c>
      <c r="L35" s="65">
        <f>SUM(L29:L31,L32:L34)</f>
        <v>-195.53303052035406</v>
      </c>
      <c r="M35" s="65">
        <f>SUM(M29:M31,M32:M34)</f>
        <v>-159.41152188387065</v>
      </c>
      <c r="N35" s="65">
        <f>SUM(N29:N31,N32:N34)</f>
        <v>-184.32699737059636</v>
      </c>
      <c r="O35" s="65">
        <f>SUM(O29:O31,O32:O34)</f>
        <v>-192.24679990807687</v>
      </c>
      <c r="P35" s="114">
        <f>SUM(P29:P31,P32:P34)</f>
        <v>-731.51834968289779</v>
      </c>
      <c r="Q35" s="65">
        <f t="shared" si="8"/>
        <v>0</v>
      </c>
      <c r="R35" s="65">
        <f t="shared" si="9"/>
        <v>0</v>
      </c>
      <c r="S35" s="65">
        <f t="shared" si="10"/>
        <v>0</v>
      </c>
      <c r="T35" s="65">
        <f t="shared" si="11"/>
        <v>0</v>
      </c>
      <c r="U35" s="185">
        <f t="shared" si="11"/>
        <v>0</v>
      </c>
      <c r="V35" s="117"/>
      <c r="W35" s="65">
        <f>SUM(W29:W31,W32:W34)</f>
        <v>-141.19623957263846</v>
      </c>
      <c r="X35" s="65">
        <f>SUM(X29:X31,X32:X34)</f>
        <v>-137.03694752105096</v>
      </c>
      <c r="Y35" s="65">
        <f>SUM(Y29:Y31,Y32:Y34)</f>
        <v>-154.02562811939967</v>
      </c>
      <c r="Z35" s="65">
        <f>SUM(Z29:Z31,Z32:Z34)</f>
        <v>-153.9592125757141</v>
      </c>
      <c r="AA35" s="186">
        <f>SUM(AA29:AA31,AA32:AA34)</f>
        <v>-586.21802778880317</v>
      </c>
      <c r="AB35" s="65">
        <f t="shared" si="12"/>
        <v>0</v>
      </c>
      <c r="AC35" s="65">
        <f t="shared" si="13"/>
        <v>0</v>
      </c>
      <c r="AD35" s="65">
        <f t="shared" si="14"/>
        <v>0</v>
      </c>
      <c r="AE35" s="65">
        <f t="shared" si="14"/>
        <v>0</v>
      </c>
      <c r="AF35" s="187" t="e">
        <f t="shared" si="15"/>
        <v>#REF!</v>
      </c>
    </row>
    <row r="36" spans="2:32" outlineLevel="2">
      <c r="B36" s="20"/>
      <c r="C36" s="20"/>
      <c r="D36" s="67" t="s">
        <v>125</v>
      </c>
      <c r="E36" s="17"/>
      <c r="F36" s="18" t="e">
        <f>#REF!</f>
        <v>#REF!</v>
      </c>
      <c r="G36" s="19" t="e">
        <f>#REF!</f>
        <v>#REF!</v>
      </c>
      <c r="H36" s="19" t="e">
        <f>#REF!</f>
        <v>#REF!</v>
      </c>
      <c r="I36" s="19" t="e">
        <f>#REF!</f>
        <v>#REF!</v>
      </c>
      <c r="J36" s="156" t="e">
        <f t="shared" si="16"/>
        <v>#REF!</v>
      </c>
      <c r="L36" s="19">
        <f>BP!Z35</f>
        <v>-85.720873769245316</v>
      </c>
      <c r="M36" s="19">
        <f>BP!AA35</f>
        <v>-83.21102341675271</v>
      </c>
      <c r="N36" s="19">
        <f>BP!AB35</f>
        <v>-89.31990181046001</v>
      </c>
      <c r="O36" s="19">
        <f>BP!AC35</f>
        <v>-86.094910444239858</v>
      </c>
      <c r="P36" s="108">
        <f t="shared" si="17"/>
        <v>-344.34670944069791</v>
      </c>
      <c r="Q36" s="157">
        <f t="shared" si="8"/>
        <v>0</v>
      </c>
      <c r="R36" s="157">
        <f t="shared" si="9"/>
        <v>0</v>
      </c>
      <c r="S36" s="157">
        <f t="shared" si="10"/>
        <v>0</v>
      </c>
      <c r="T36" s="157">
        <f t="shared" si="11"/>
        <v>0</v>
      </c>
      <c r="U36" s="158">
        <f t="shared" si="11"/>
        <v>0</v>
      </c>
      <c r="V36" s="117"/>
      <c r="W36" s="19">
        <f>'FC2+10'!Z35</f>
        <v>-80.932133614163178</v>
      </c>
      <c r="X36" s="19">
        <f>'FC2+10'!AA35</f>
        <v>-85.602170585890121</v>
      </c>
      <c r="Y36" s="19">
        <f>'FC2+10'!AB35</f>
        <v>-81.310131097700406</v>
      </c>
      <c r="Z36" s="19">
        <f>'FC2+10'!AC35</f>
        <v>-72.531510978665693</v>
      </c>
      <c r="AA36" s="159">
        <f t="shared" si="18"/>
        <v>-320.37594627641943</v>
      </c>
      <c r="AB36" s="157">
        <f t="shared" si="12"/>
        <v>0</v>
      </c>
      <c r="AC36" s="157">
        <f t="shared" si="13"/>
        <v>0</v>
      </c>
      <c r="AD36" s="157">
        <f t="shared" si="14"/>
        <v>0</v>
      </c>
      <c r="AE36" s="157">
        <f t="shared" si="14"/>
        <v>0</v>
      </c>
      <c r="AF36" s="160" t="e">
        <f t="shared" si="15"/>
        <v>#REF!</v>
      </c>
    </row>
    <row r="37" spans="2:32" outlineLevel="2">
      <c r="B37" s="20"/>
      <c r="C37" s="20"/>
      <c r="D37" s="60" t="s">
        <v>126</v>
      </c>
      <c r="E37" s="21"/>
      <c r="F37" s="22" t="e">
        <f>#REF!</f>
        <v>#REF!</v>
      </c>
      <c r="G37" s="23" t="e">
        <f>#REF!</f>
        <v>#REF!</v>
      </c>
      <c r="H37" s="23" t="e">
        <f>#REF!</f>
        <v>#REF!</v>
      </c>
      <c r="I37" s="23" t="e">
        <f>#REF!</f>
        <v>#REF!</v>
      </c>
      <c r="J37" s="161" t="e">
        <f t="shared" si="16"/>
        <v>#REF!</v>
      </c>
      <c r="L37" s="23">
        <f>BP!Z36</f>
        <v>0</v>
      </c>
      <c r="M37" s="23">
        <f>BP!AA36</f>
        <v>0</v>
      </c>
      <c r="N37" s="23">
        <f>BP!AB36</f>
        <v>0</v>
      </c>
      <c r="O37" s="23">
        <f>BP!AC36</f>
        <v>0</v>
      </c>
      <c r="P37" s="109">
        <f t="shared" si="17"/>
        <v>0</v>
      </c>
      <c r="Q37" s="48">
        <f t="shared" si="8"/>
        <v>0</v>
      </c>
      <c r="R37" s="48">
        <f t="shared" si="9"/>
        <v>0</v>
      </c>
      <c r="S37" s="48">
        <f t="shared" si="10"/>
        <v>0</v>
      </c>
      <c r="T37" s="48">
        <f t="shared" si="11"/>
        <v>0</v>
      </c>
      <c r="U37" s="162">
        <f t="shared" si="11"/>
        <v>0</v>
      </c>
      <c r="V37" s="117"/>
      <c r="W37" s="23">
        <f>'FC2+10'!Z36</f>
        <v>0</v>
      </c>
      <c r="X37" s="23">
        <f>'FC2+10'!AA36</f>
        <v>0</v>
      </c>
      <c r="Y37" s="23">
        <f>'FC2+10'!AB36</f>
        <v>0</v>
      </c>
      <c r="Z37" s="23">
        <f>'FC2+10'!AC36</f>
        <v>0</v>
      </c>
      <c r="AA37" s="163">
        <f t="shared" si="18"/>
        <v>0</v>
      </c>
      <c r="AB37" s="48">
        <f t="shared" si="12"/>
        <v>0</v>
      </c>
      <c r="AC37" s="48">
        <f t="shared" si="13"/>
        <v>0</v>
      </c>
      <c r="AD37" s="48">
        <f t="shared" si="14"/>
        <v>0</v>
      </c>
      <c r="AE37" s="48">
        <f t="shared" si="14"/>
        <v>0</v>
      </c>
      <c r="AF37" s="164" t="e">
        <f t="shared" si="15"/>
        <v>#REF!</v>
      </c>
    </row>
    <row r="38" spans="2:32" outlineLevel="2">
      <c r="B38" s="20"/>
      <c r="C38" s="30"/>
      <c r="D38" s="63" t="s">
        <v>33</v>
      </c>
      <c r="E38" s="31"/>
      <c r="F38" s="45" t="e">
        <f>#REF!</f>
        <v>#REF!</v>
      </c>
      <c r="G38" s="46" t="e">
        <f>#REF!</f>
        <v>#REF!</v>
      </c>
      <c r="H38" s="46" t="e">
        <f>#REF!</f>
        <v>#REF!</v>
      </c>
      <c r="I38" s="46" t="e">
        <f>#REF!</f>
        <v>#REF!</v>
      </c>
      <c r="J38" s="171" t="e">
        <f t="shared" si="16"/>
        <v>#REF!</v>
      </c>
      <c r="L38" s="46">
        <f>BP!Z37</f>
        <v>-16.52134077320796</v>
      </c>
      <c r="M38" s="46">
        <f>BP!AA37</f>
        <v>-15.876936100700906</v>
      </c>
      <c r="N38" s="46">
        <f>BP!AB37</f>
        <v>-18.236047875993897</v>
      </c>
      <c r="O38" s="46">
        <f>BP!AC37</f>
        <v>-18.358436478214379</v>
      </c>
      <c r="P38" s="111">
        <f t="shared" si="17"/>
        <v>-68.992761228117146</v>
      </c>
      <c r="Q38" s="172">
        <f t="shared" si="8"/>
        <v>0</v>
      </c>
      <c r="R38" s="172">
        <f t="shared" si="9"/>
        <v>0</v>
      </c>
      <c r="S38" s="172">
        <f t="shared" si="10"/>
        <v>0</v>
      </c>
      <c r="T38" s="172">
        <f t="shared" si="11"/>
        <v>0</v>
      </c>
      <c r="U38" s="173">
        <f t="shared" si="11"/>
        <v>0</v>
      </c>
      <c r="V38" s="117"/>
      <c r="W38" s="46">
        <f>'FC2+10'!Z37</f>
        <v>-19.948192862836848</v>
      </c>
      <c r="X38" s="46">
        <f>'FC2+10'!AA37</f>
        <v>-22.866055164109774</v>
      </c>
      <c r="Y38" s="46">
        <f>'FC2+10'!AB37</f>
        <v>-24.683399072299622</v>
      </c>
      <c r="Z38" s="46">
        <f>'FC2+10'!AC37</f>
        <v>-24.743106773334297</v>
      </c>
      <c r="AA38" s="174">
        <f t="shared" si="18"/>
        <v>-92.240753872580541</v>
      </c>
      <c r="AB38" s="172">
        <f t="shared" si="12"/>
        <v>0</v>
      </c>
      <c r="AC38" s="172">
        <f t="shared" si="13"/>
        <v>0</v>
      </c>
      <c r="AD38" s="172">
        <f t="shared" si="14"/>
        <v>0</v>
      </c>
      <c r="AE38" s="172">
        <f t="shared" si="14"/>
        <v>0</v>
      </c>
      <c r="AF38" s="175" t="e">
        <f t="shared" si="15"/>
        <v>#REF!</v>
      </c>
    </row>
    <row r="39" spans="2:32" outlineLevel="2">
      <c r="B39" s="30"/>
      <c r="C39" s="31" t="s">
        <v>127</v>
      </c>
      <c r="D39" s="21"/>
      <c r="E39" s="21"/>
      <c r="F39" s="68" t="e">
        <f>SUM(F36:F38)</f>
        <v>#REF!</v>
      </c>
      <c r="G39" s="69" t="e">
        <f>SUM(G36:G38)</f>
        <v>#REF!</v>
      </c>
      <c r="H39" s="70" t="e">
        <f>SUM(H36:H38)</f>
        <v>#REF!</v>
      </c>
      <c r="I39" s="70" t="e">
        <f>SUM(I36:I38)</f>
        <v>#REF!</v>
      </c>
      <c r="J39" s="188" t="e">
        <f>SUM(J36:J38)</f>
        <v>#REF!</v>
      </c>
      <c r="L39" s="65">
        <f>SUM(L36:L38)</f>
        <v>-102.24221454245327</v>
      </c>
      <c r="M39" s="65">
        <f>SUM(M36:M38)</f>
        <v>-99.087959517453612</v>
      </c>
      <c r="N39" s="65">
        <f>SUM(N36:N38)</f>
        <v>-107.55594968645391</v>
      </c>
      <c r="O39" s="65">
        <f>SUM(O36:O38)</f>
        <v>-104.45334692245424</v>
      </c>
      <c r="P39" s="114">
        <f>SUM(P36:P38)</f>
        <v>-413.33947066881507</v>
      </c>
      <c r="Q39" s="69">
        <f t="shared" si="8"/>
        <v>0</v>
      </c>
      <c r="R39" s="69">
        <f t="shared" si="9"/>
        <v>0</v>
      </c>
      <c r="S39" s="69">
        <f t="shared" si="10"/>
        <v>0</v>
      </c>
      <c r="T39" s="69">
        <f t="shared" si="11"/>
        <v>0</v>
      </c>
      <c r="U39" s="185">
        <f t="shared" si="11"/>
        <v>0</v>
      </c>
      <c r="V39" s="117"/>
      <c r="W39" s="65">
        <f>SUM(W36:W38)</f>
        <v>-100.88032647700003</v>
      </c>
      <c r="X39" s="65">
        <f>SUM(X36:X38)</f>
        <v>-108.4682257499999</v>
      </c>
      <c r="Y39" s="65">
        <f>SUM(Y36:Y38)</f>
        <v>-105.99353017000003</v>
      </c>
      <c r="Z39" s="65">
        <f>SUM(Z36:Z38)</f>
        <v>-97.274617751999983</v>
      </c>
      <c r="AA39" s="186">
        <f>SUM(AA36:AA38)</f>
        <v>-412.61670014899994</v>
      </c>
      <c r="AB39" s="69">
        <f t="shared" si="12"/>
        <v>0</v>
      </c>
      <c r="AC39" s="69">
        <f t="shared" si="13"/>
        <v>0</v>
      </c>
      <c r="AD39" s="69">
        <f t="shared" si="14"/>
        <v>0</v>
      </c>
      <c r="AE39" s="69">
        <f t="shared" si="14"/>
        <v>0</v>
      </c>
      <c r="AF39" s="187" t="e">
        <f t="shared" si="15"/>
        <v>#REF!</v>
      </c>
    </row>
    <row r="40" spans="2:32" outlineLevel="2">
      <c r="B40" s="71"/>
      <c r="C40" s="72"/>
      <c r="D40" s="73" t="s">
        <v>128</v>
      </c>
      <c r="E40" s="17"/>
      <c r="F40" s="61"/>
      <c r="G40" s="62"/>
      <c r="H40" s="62"/>
      <c r="I40" s="62"/>
      <c r="J40" s="183">
        <f t="shared" si="16"/>
        <v>0</v>
      </c>
      <c r="L40" s="115"/>
      <c r="M40" s="115"/>
      <c r="N40" s="115"/>
      <c r="O40" s="115"/>
      <c r="P40" s="115">
        <f t="shared" si="17"/>
        <v>0</v>
      </c>
      <c r="Q40" s="62">
        <f t="shared" si="8"/>
        <v>0</v>
      </c>
      <c r="R40" s="62">
        <f t="shared" si="9"/>
        <v>0</v>
      </c>
      <c r="S40" s="62">
        <f t="shared" si="10"/>
        <v>0</v>
      </c>
      <c r="T40" s="62">
        <f t="shared" si="11"/>
        <v>0</v>
      </c>
      <c r="U40" s="115">
        <f t="shared" si="11"/>
        <v>0</v>
      </c>
      <c r="V40" s="117"/>
      <c r="W40" s="115"/>
      <c r="X40" s="115"/>
      <c r="Y40" s="115"/>
      <c r="Z40" s="115"/>
      <c r="AA40" s="115">
        <f t="shared" si="18"/>
        <v>0</v>
      </c>
      <c r="AB40" s="62">
        <f t="shared" si="12"/>
        <v>0</v>
      </c>
      <c r="AC40" s="62">
        <f t="shared" si="13"/>
        <v>0</v>
      </c>
      <c r="AD40" s="62">
        <f t="shared" si="14"/>
        <v>0</v>
      </c>
      <c r="AE40" s="62">
        <f t="shared" si="14"/>
        <v>0</v>
      </c>
      <c r="AF40" s="115">
        <f t="shared" si="15"/>
        <v>0</v>
      </c>
    </row>
    <row r="41" spans="2:32" outlineLevel="2">
      <c r="B41" s="74"/>
      <c r="C41" s="71"/>
      <c r="D41" s="75" t="s">
        <v>36</v>
      </c>
      <c r="E41" s="21"/>
      <c r="F41" s="22"/>
      <c r="G41" s="23"/>
      <c r="H41" s="23"/>
      <c r="I41" s="23"/>
      <c r="J41" s="161">
        <f t="shared" si="16"/>
        <v>0</v>
      </c>
      <c r="L41" s="23"/>
      <c r="M41" s="23"/>
      <c r="N41" s="23"/>
      <c r="O41" s="23"/>
      <c r="P41" s="109">
        <f t="shared" si="17"/>
        <v>0</v>
      </c>
      <c r="Q41" s="48">
        <f t="shared" si="8"/>
        <v>0</v>
      </c>
      <c r="R41" s="48">
        <f t="shared" si="9"/>
        <v>0</v>
      </c>
      <c r="S41" s="48">
        <f t="shared" si="10"/>
        <v>0</v>
      </c>
      <c r="T41" s="48">
        <f t="shared" si="11"/>
        <v>0</v>
      </c>
      <c r="U41" s="162">
        <f t="shared" si="11"/>
        <v>0</v>
      </c>
      <c r="V41" s="117"/>
      <c r="W41" s="23"/>
      <c r="X41" s="23"/>
      <c r="Y41" s="23"/>
      <c r="Z41" s="23"/>
      <c r="AA41" s="163">
        <f t="shared" si="18"/>
        <v>0</v>
      </c>
      <c r="AB41" s="48">
        <f t="shared" si="12"/>
        <v>0</v>
      </c>
      <c r="AC41" s="48">
        <f t="shared" si="13"/>
        <v>0</v>
      </c>
      <c r="AD41" s="48">
        <f t="shared" si="14"/>
        <v>0</v>
      </c>
      <c r="AE41" s="48">
        <f t="shared" si="14"/>
        <v>0</v>
      </c>
      <c r="AF41" s="164">
        <f t="shared" si="15"/>
        <v>0</v>
      </c>
    </row>
    <row r="42" spans="2:32" outlineLevel="2">
      <c r="B42" s="74"/>
      <c r="C42" s="71"/>
      <c r="D42" s="60" t="s">
        <v>37</v>
      </c>
      <c r="E42" s="21"/>
      <c r="F42" s="22" t="e">
        <f>#REF!</f>
        <v>#REF!</v>
      </c>
      <c r="G42" s="23" t="e">
        <f>#REF!</f>
        <v>#REF!</v>
      </c>
      <c r="H42" s="23" t="e">
        <f>#REF!</f>
        <v>#REF!</v>
      </c>
      <c r="I42" s="23" t="e">
        <f>#REF!</f>
        <v>#REF!</v>
      </c>
      <c r="J42" s="161" t="e">
        <f t="shared" si="16"/>
        <v>#REF!</v>
      </c>
      <c r="L42" s="23">
        <f>BP!Z41</f>
        <v>-102.63418529400001</v>
      </c>
      <c r="M42" s="23">
        <f>BP!AA41</f>
        <v>-96.522193469000001</v>
      </c>
      <c r="N42" s="23">
        <f>BP!AB41</f>
        <v>-102.13741207299998</v>
      </c>
      <c r="O42" s="23">
        <f>BP!AC41</f>
        <v>-98.124714400000016</v>
      </c>
      <c r="P42" s="109">
        <f t="shared" si="17"/>
        <v>-399.41850523599999</v>
      </c>
      <c r="Q42" s="48">
        <f t="shared" si="8"/>
        <v>0</v>
      </c>
      <c r="R42" s="48">
        <f t="shared" si="9"/>
        <v>0</v>
      </c>
      <c r="S42" s="48">
        <f t="shared" si="10"/>
        <v>0</v>
      </c>
      <c r="T42" s="48">
        <f t="shared" si="11"/>
        <v>0</v>
      </c>
      <c r="U42" s="162">
        <f t="shared" si="11"/>
        <v>0</v>
      </c>
      <c r="V42" s="117"/>
      <c r="W42" s="23">
        <f>'FC2+10'!Z41</f>
        <v>-105.016513081</v>
      </c>
      <c r="X42" s="23">
        <f>'FC2+10'!AA41</f>
        <v>-92.724437824999995</v>
      </c>
      <c r="Y42" s="23">
        <f>'FC2+10'!AB41</f>
        <v>-94.406510260000005</v>
      </c>
      <c r="Z42" s="23">
        <f>'FC2+10'!AC41</f>
        <v>-82.07272165900001</v>
      </c>
      <c r="AA42" s="163">
        <f t="shared" si="18"/>
        <v>-374.22018282499999</v>
      </c>
      <c r="AB42" s="48">
        <f t="shared" si="12"/>
        <v>0</v>
      </c>
      <c r="AC42" s="48">
        <f t="shared" si="13"/>
        <v>0</v>
      </c>
      <c r="AD42" s="48">
        <f t="shared" si="14"/>
        <v>0</v>
      </c>
      <c r="AE42" s="48">
        <f t="shared" si="14"/>
        <v>0</v>
      </c>
      <c r="AF42" s="164" t="e">
        <f t="shared" si="15"/>
        <v>#REF!</v>
      </c>
    </row>
    <row r="43" spans="2:32" outlineLevel="2">
      <c r="B43" s="74"/>
      <c r="C43" s="71"/>
      <c r="D43" s="76" t="s">
        <v>38</v>
      </c>
      <c r="E43" s="21"/>
      <c r="F43" s="22"/>
      <c r="G43" s="23"/>
      <c r="H43" s="23"/>
      <c r="I43" s="23"/>
      <c r="J43" s="161">
        <f t="shared" si="16"/>
        <v>0</v>
      </c>
      <c r="L43" s="23"/>
      <c r="M43" s="23"/>
      <c r="N43" s="23"/>
      <c r="O43" s="23"/>
      <c r="P43" s="109">
        <f t="shared" si="17"/>
        <v>0</v>
      </c>
      <c r="Q43" s="48">
        <f t="shared" si="8"/>
        <v>0</v>
      </c>
      <c r="R43" s="48">
        <f t="shared" si="9"/>
        <v>0</v>
      </c>
      <c r="S43" s="48">
        <f t="shared" si="10"/>
        <v>0</v>
      </c>
      <c r="T43" s="48">
        <f t="shared" si="11"/>
        <v>0</v>
      </c>
      <c r="U43" s="162">
        <f t="shared" si="11"/>
        <v>0</v>
      </c>
      <c r="V43" s="117"/>
      <c r="W43" s="23"/>
      <c r="X43" s="23"/>
      <c r="Y43" s="23"/>
      <c r="Z43" s="23"/>
      <c r="AA43" s="163">
        <f t="shared" si="18"/>
        <v>0</v>
      </c>
      <c r="AB43" s="48">
        <f t="shared" si="12"/>
        <v>0</v>
      </c>
      <c r="AC43" s="48">
        <f t="shared" si="13"/>
        <v>0</v>
      </c>
      <c r="AD43" s="48">
        <f t="shared" si="14"/>
        <v>0</v>
      </c>
      <c r="AE43" s="48">
        <f t="shared" si="14"/>
        <v>0</v>
      </c>
      <c r="AF43" s="164">
        <f t="shared" si="15"/>
        <v>0</v>
      </c>
    </row>
    <row r="44" spans="2:32" outlineLevel="2">
      <c r="B44" s="74"/>
      <c r="C44" s="71"/>
      <c r="D44" s="60" t="s">
        <v>39</v>
      </c>
      <c r="E44" s="21"/>
      <c r="F44" s="22" t="e">
        <f>#REF!</f>
        <v>#REF!</v>
      </c>
      <c r="G44" s="23" t="e">
        <f>#REF!</f>
        <v>#REF!</v>
      </c>
      <c r="H44" s="23" t="e">
        <f>#REF!</f>
        <v>#REF!</v>
      </c>
      <c r="I44" s="23" t="e">
        <f>#REF!</f>
        <v>#REF!</v>
      </c>
      <c r="J44" s="161" t="e">
        <f t="shared" si="16"/>
        <v>#REF!</v>
      </c>
      <c r="L44" s="23">
        <f>BP!Z43</f>
        <v>8.9017842502571174</v>
      </c>
      <c r="M44" s="23">
        <f>BP!AA43</f>
        <v>8.9017842561152687</v>
      </c>
      <c r="N44" s="23">
        <f>BP!AB43</f>
        <v>8.9017842576166171</v>
      </c>
      <c r="O44" s="23">
        <f>BP!AC43</f>
        <v>8.8554815732553589</v>
      </c>
      <c r="P44" s="109">
        <f t="shared" si="17"/>
        <v>35.560834337244366</v>
      </c>
      <c r="Q44" s="48">
        <f t="shared" si="8"/>
        <v>0</v>
      </c>
      <c r="R44" s="48">
        <f t="shared" si="9"/>
        <v>0</v>
      </c>
      <c r="S44" s="48">
        <f t="shared" si="10"/>
        <v>0</v>
      </c>
      <c r="T44" s="48">
        <f t="shared" si="11"/>
        <v>0</v>
      </c>
      <c r="U44" s="162">
        <f t="shared" si="11"/>
        <v>0</v>
      </c>
      <c r="V44" s="117"/>
      <c r="W44" s="23">
        <f>'FC2+10'!Z43</f>
        <v>5.948604651704736</v>
      </c>
      <c r="X44" s="23">
        <f>'FC2+10'!AA43</f>
        <v>4.9453322180245181</v>
      </c>
      <c r="Y44" s="23">
        <f>'FC2+10'!AB43</f>
        <v>4.9453322028383404</v>
      </c>
      <c r="Z44" s="23">
        <f>'FC2+10'!AC43</f>
        <v>4.8990295245318656</v>
      </c>
      <c r="AA44" s="163">
        <f t="shared" si="18"/>
        <v>20.738298597099458</v>
      </c>
      <c r="AB44" s="48">
        <f t="shared" si="12"/>
        <v>0</v>
      </c>
      <c r="AC44" s="48">
        <f t="shared" si="13"/>
        <v>0</v>
      </c>
      <c r="AD44" s="48">
        <f t="shared" si="14"/>
        <v>0</v>
      </c>
      <c r="AE44" s="48">
        <f t="shared" si="14"/>
        <v>0</v>
      </c>
      <c r="AF44" s="164" t="e">
        <f t="shared" si="15"/>
        <v>#REF!</v>
      </c>
    </row>
    <row r="45" spans="2:32" outlineLevel="2">
      <c r="B45" s="77"/>
      <c r="C45" s="17" t="s">
        <v>129</v>
      </c>
      <c r="D45" s="17"/>
      <c r="E45" s="17"/>
      <c r="F45" s="38" t="e">
        <f>SUM(F40:F44)</f>
        <v>#REF!</v>
      </c>
      <c r="G45" s="39" t="e">
        <f>SUM(G40:G44)</f>
        <v>#REF!</v>
      </c>
      <c r="H45" s="40" t="e">
        <f>SUM(H40:H44)</f>
        <v>#REF!</v>
      </c>
      <c r="I45" s="40" t="e">
        <f>SUM(I40:I44)</f>
        <v>#REF!</v>
      </c>
      <c r="J45" s="167" t="e">
        <f>SUM(J40:J44)</f>
        <v>#REF!</v>
      </c>
      <c r="L45" s="39">
        <f>SUM(L40:L44)</f>
        <v>-93.732401043742883</v>
      </c>
      <c r="M45" s="39">
        <f>SUM(M40:M44)</f>
        <v>-87.620409212884738</v>
      </c>
      <c r="N45" s="39">
        <f>SUM(N40:N44)</f>
        <v>-93.235627815383367</v>
      </c>
      <c r="O45" s="39">
        <f>SUM(O40:O44)</f>
        <v>-89.269232826744656</v>
      </c>
      <c r="P45" s="110">
        <f>SUM(P40:P44)</f>
        <v>-363.8576708987556</v>
      </c>
      <c r="Q45" s="39">
        <f t="shared" si="8"/>
        <v>0</v>
      </c>
      <c r="R45" s="39">
        <f t="shared" si="9"/>
        <v>0</v>
      </c>
      <c r="S45" s="39">
        <f t="shared" si="10"/>
        <v>0</v>
      </c>
      <c r="T45" s="39">
        <f t="shared" si="11"/>
        <v>0</v>
      </c>
      <c r="U45" s="168">
        <f t="shared" si="11"/>
        <v>0</v>
      </c>
      <c r="V45" s="117"/>
      <c r="W45" s="39">
        <f>SUM(W40:W44)</f>
        <v>-99.067908429295258</v>
      </c>
      <c r="X45" s="39">
        <f>SUM(X40:X44)</f>
        <v>-87.779105606975477</v>
      </c>
      <c r="Y45" s="39">
        <f>SUM(Y40:Y44)</f>
        <v>-89.461178057161661</v>
      </c>
      <c r="Z45" s="39">
        <f>SUM(Z40:Z44)</f>
        <v>-77.173692134468141</v>
      </c>
      <c r="AA45" s="169">
        <f>SUM(AA40:AA44)</f>
        <v>-353.48188422790054</v>
      </c>
      <c r="AB45" s="39">
        <f t="shared" si="12"/>
        <v>0</v>
      </c>
      <c r="AC45" s="39">
        <f t="shared" si="13"/>
        <v>0</v>
      </c>
      <c r="AD45" s="39">
        <f t="shared" si="14"/>
        <v>0</v>
      </c>
      <c r="AE45" s="39">
        <f t="shared" si="14"/>
        <v>0</v>
      </c>
      <c r="AF45" s="170" t="e">
        <f t="shared" si="15"/>
        <v>#REF!</v>
      </c>
    </row>
    <row r="46" spans="2:32" outlineLevel="2">
      <c r="B46" s="78" t="s">
        <v>130</v>
      </c>
      <c r="C46" s="73"/>
      <c r="D46" s="73"/>
      <c r="E46" s="73"/>
      <c r="F46" s="51" t="e">
        <f>SUM(F45,F39,F35)</f>
        <v>#REF!</v>
      </c>
      <c r="G46" s="52" t="e">
        <f>SUM(G45,G39,G35)</f>
        <v>#REF!</v>
      </c>
      <c r="H46" s="53" t="e">
        <f>SUM(H45,H39,H35)</f>
        <v>#REF!</v>
      </c>
      <c r="I46" s="53" t="e">
        <f>SUM(I45,I39,I35)</f>
        <v>#REF!</v>
      </c>
      <c r="J46" s="167" t="e">
        <f>SUM(J45,J39,J35)</f>
        <v>#REF!</v>
      </c>
      <c r="L46" s="52">
        <f>SUM(L45,L39,L35)</f>
        <v>-391.50764610655017</v>
      </c>
      <c r="M46" s="52">
        <f>SUM(M45,M39,M35)</f>
        <v>-346.119890614209</v>
      </c>
      <c r="N46" s="52">
        <f>SUM(N45,N39,N35)</f>
        <v>-385.11857487243367</v>
      </c>
      <c r="O46" s="52">
        <f>SUM(O45,O39,O35)</f>
        <v>-385.96937965727579</v>
      </c>
      <c r="P46" s="112">
        <f>SUM(P45,P39,P35)</f>
        <v>-1508.7154912504684</v>
      </c>
      <c r="Q46" s="52">
        <f t="shared" si="8"/>
        <v>0</v>
      </c>
      <c r="R46" s="52">
        <f t="shared" si="9"/>
        <v>0</v>
      </c>
      <c r="S46" s="52">
        <f t="shared" si="10"/>
        <v>0</v>
      </c>
      <c r="T46" s="52">
        <f t="shared" si="11"/>
        <v>0</v>
      </c>
      <c r="U46" s="168">
        <f t="shared" si="11"/>
        <v>0</v>
      </c>
      <c r="V46" s="176"/>
      <c r="W46" s="52">
        <f>SUM(W45,W39,W35)</f>
        <v>-341.14447447893372</v>
      </c>
      <c r="X46" s="52">
        <f>SUM(X45,X39,X35)</f>
        <v>-333.28427887802638</v>
      </c>
      <c r="Y46" s="52">
        <f>SUM(Y45,Y39,Y35)</f>
        <v>-349.48033634656133</v>
      </c>
      <c r="Z46" s="52">
        <f>SUM(Z45,Z39,Z35)</f>
        <v>-328.40752246218221</v>
      </c>
      <c r="AA46" s="177">
        <f>SUM(AA45,AA39,AA35)</f>
        <v>-1352.3166121657036</v>
      </c>
      <c r="AB46" s="52">
        <f t="shared" si="12"/>
        <v>0</v>
      </c>
      <c r="AC46" s="52">
        <f t="shared" si="13"/>
        <v>0</v>
      </c>
      <c r="AD46" s="52">
        <f t="shared" si="14"/>
        <v>0</v>
      </c>
      <c r="AE46" s="52">
        <f t="shared" si="14"/>
        <v>0</v>
      </c>
      <c r="AF46" s="178" t="e">
        <f t="shared" si="15"/>
        <v>#REF!</v>
      </c>
    </row>
    <row r="47" spans="2:32" outlineLevel="2">
      <c r="B47" s="50" t="s">
        <v>131</v>
      </c>
      <c r="C47" s="50"/>
      <c r="D47" s="37"/>
      <c r="E47" s="37"/>
      <c r="F47" s="51" t="e">
        <f>F27+F46</f>
        <v>#REF!</v>
      </c>
      <c r="G47" s="52" t="e">
        <f>G27+G46</f>
        <v>#REF!</v>
      </c>
      <c r="H47" s="53" t="e">
        <f>H27+H46</f>
        <v>#REF!</v>
      </c>
      <c r="I47" s="53" t="e">
        <f>I27+I46</f>
        <v>#REF!</v>
      </c>
      <c r="J47" s="167" t="e">
        <f>J27+J46</f>
        <v>#REF!</v>
      </c>
      <c r="L47" s="52">
        <f>L27+L46</f>
        <v>-53.651479175089776</v>
      </c>
      <c r="M47" s="52">
        <f>M27+M46</f>
        <v>61.208042371009014</v>
      </c>
      <c r="N47" s="52">
        <f>N27+N46</f>
        <v>162.50625181364933</v>
      </c>
      <c r="O47" s="52">
        <f>O27+O46</f>
        <v>221.2078295364206</v>
      </c>
      <c r="P47" s="112">
        <f>P27+P46</f>
        <v>391.27064454598985</v>
      </c>
      <c r="Q47" s="52">
        <f t="shared" si="8"/>
        <v>0</v>
      </c>
      <c r="R47" s="52">
        <f t="shared" si="9"/>
        <v>0</v>
      </c>
      <c r="S47" s="52">
        <f t="shared" si="10"/>
        <v>0</v>
      </c>
      <c r="T47" s="52">
        <f t="shared" si="11"/>
        <v>0</v>
      </c>
      <c r="U47" s="168">
        <f t="shared" si="11"/>
        <v>0</v>
      </c>
      <c r="V47" s="176"/>
      <c r="W47" s="52" t="e">
        <f>W27+W46</f>
        <v>#VALUE!</v>
      </c>
      <c r="X47" s="52" t="e">
        <f>X27+X46</f>
        <v>#VALUE!</v>
      </c>
      <c r="Y47" s="52" t="e">
        <f>Y27+Y46</f>
        <v>#VALUE!</v>
      </c>
      <c r="Z47" s="52" t="e">
        <f>Z27+Z46</f>
        <v>#VALUE!</v>
      </c>
      <c r="AA47" s="177" t="e">
        <f>AA27+AA46</f>
        <v>#VALUE!</v>
      </c>
      <c r="AB47" s="52">
        <f t="shared" si="12"/>
        <v>0</v>
      </c>
      <c r="AC47" s="52">
        <f t="shared" si="13"/>
        <v>0</v>
      </c>
      <c r="AD47" s="52">
        <f t="shared" si="14"/>
        <v>0</v>
      </c>
      <c r="AE47" s="52">
        <f t="shared" si="14"/>
        <v>0</v>
      </c>
      <c r="AF47" s="178" t="e">
        <f t="shared" si="15"/>
        <v>#REF!</v>
      </c>
    </row>
    <row r="48" spans="2:32" outlineLevel="2">
      <c r="B48" s="54"/>
      <c r="C48" s="55" t="s">
        <v>43</v>
      </c>
      <c r="D48" s="56"/>
      <c r="E48" s="56"/>
      <c r="F48" s="57" t="e">
        <f>F47/F23</f>
        <v>#REF!</v>
      </c>
      <c r="G48" s="58" t="e">
        <f>G47/G23</f>
        <v>#REF!</v>
      </c>
      <c r="H48" s="59" t="e">
        <f>H47/H23</f>
        <v>#REF!</v>
      </c>
      <c r="I48" s="59" t="e">
        <f>I47/I23</f>
        <v>#REF!</v>
      </c>
      <c r="J48" s="189" t="e">
        <f>J47/J23</f>
        <v>#REF!</v>
      </c>
      <c r="K48" s="190"/>
      <c r="L48" s="58">
        <f>L47/L23</f>
        <v>-2.6084674797252877E-2</v>
      </c>
      <c r="M48" s="58">
        <f>M47/M23</f>
        <v>2.4361117495718537E-2</v>
      </c>
      <c r="N48" s="58">
        <f>N47/N23</f>
        <v>5.316566493499341E-2</v>
      </c>
      <c r="O48" s="58">
        <f>O47/O23</f>
        <v>6.1690966981701144E-2</v>
      </c>
      <c r="P48" s="116">
        <f>P47/P23</f>
        <v>3.4898445609546212E-2</v>
      </c>
      <c r="Q48" s="58">
        <f t="shared" si="8"/>
        <v>0</v>
      </c>
      <c r="R48" s="58">
        <f t="shared" si="9"/>
        <v>0</v>
      </c>
      <c r="S48" s="58">
        <f t="shared" si="10"/>
        <v>0</v>
      </c>
      <c r="T48" s="58">
        <f t="shared" si="11"/>
        <v>0</v>
      </c>
      <c r="U48" s="180">
        <f t="shared" si="11"/>
        <v>0</v>
      </c>
      <c r="V48" s="191"/>
      <c r="W48" s="58" t="e">
        <f>W47/W23</f>
        <v>#VALUE!</v>
      </c>
      <c r="X48" s="58" t="e">
        <f>X47/X23</f>
        <v>#VALUE!</v>
      </c>
      <c r="Y48" s="58" t="e">
        <f>Y47/Y23</f>
        <v>#VALUE!</v>
      </c>
      <c r="Z48" s="58" t="e">
        <f>Z47/Z23</f>
        <v>#VALUE!</v>
      </c>
      <c r="AA48" s="192" t="e">
        <f>AA47/AA23</f>
        <v>#VALUE!</v>
      </c>
      <c r="AB48" s="58">
        <f t="shared" si="12"/>
        <v>0</v>
      </c>
      <c r="AC48" s="58">
        <f t="shared" si="13"/>
        <v>0</v>
      </c>
      <c r="AD48" s="58">
        <f t="shared" si="14"/>
        <v>0</v>
      </c>
      <c r="AE48" s="58">
        <f t="shared" si="14"/>
        <v>0</v>
      </c>
      <c r="AF48" s="193" t="e">
        <f t="shared" si="15"/>
        <v>#REF!</v>
      </c>
    </row>
    <row r="49" spans="1:32" ht="14.1" hidden="1" customHeight="1" outlineLevel="1">
      <c r="F49" s="15"/>
      <c r="J49" s="194"/>
      <c r="L49" s="117"/>
      <c r="M49" s="117"/>
      <c r="N49" s="117"/>
      <c r="O49" s="117"/>
      <c r="P49" s="117"/>
      <c r="U49" s="117"/>
      <c r="V49" s="117"/>
      <c r="W49" s="117"/>
      <c r="X49" s="117"/>
      <c r="Y49" s="117"/>
      <c r="Z49" s="117"/>
      <c r="AA49" s="117"/>
      <c r="AF49" s="117"/>
    </row>
    <row r="50" spans="1:32" ht="14.1" hidden="1" customHeight="1" outlineLevel="1">
      <c r="B50" s="79"/>
      <c r="C50" s="80" t="s">
        <v>132</v>
      </c>
      <c r="D50" s="81"/>
      <c r="E50" s="81"/>
      <c r="F50" s="82"/>
      <c r="G50" s="83"/>
      <c r="H50" s="83"/>
      <c r="I50" s="83"/>
      <c r="J50" s="188"/>
      <c r="L50" s="196"/>
      <c r="M50" s="196"/>
      <c r="N50" s="196"/>
      <c r="O50" s="196"/>
      <c r="P50" s="118"/>
      <c r="Q50" s="95"/>
      <c r="R50" s="95"/>
      <c r="S50" s="95"/>
      <c r="T50" s="95"/>
      <c r="U50" s="207">
        <f>F50-L50</f>
        <v>0</v>
      </c>
      <c r="V50" s="117"/>
      <c r="W50" s="196"/>
      <c r="X50" s="196"/>
      <c r="Y50" s="196"/>
      <c r="Z50" s="196"/>
      <c r="AA50" s="208"/>
      <c r="AB50" s="95"/>
      <c r="AC50" s="95"/>
      <c r="AD50" s="95"/>
      <c r="AE50" s="95"/>
      <c r="AF50" s="197">
        <f>Q50-W50</f>
        <v>0</v>
      </c>
    </row>
    <row r="51" spans="1:32" ht="14.1" hidden="1" customHeight="1" outlineLevel="1">
      <c r="B51" s="84"/>
      <c r="C51" s="80" t="s">
        <v>133</v>
      </c>
      <c r="D51" s="81"/>
      <c r="E51" s="81"/>
      <c r="F51" s="82"/>
      <c r="G51" s="83"/>
      <c r="H51" s="83"/>
      <c r="I51" s="83"/>
      <c r="J51" s="188"/>
      <c r="L51" s="196"/>
      <c r="M51" s="196"/>
      <c r="N51" s="196"/>
      <c r="O51" s="196"/>
      <c r="P51" s="118"/>
      <c r="Q51" s="95"/>
      <c r="R51" s="95"/>
      <c r="S51" s="95"/>
      <c r="T51" s="95"/>
      <c r="U51" s="207">
        <f>F51-L51</f>
        <v>0</v>
      </c>
      <c r="V51" s="117"/>
      <c r="W51" s="196"/>
      <c r="X51" s="196"/>
      <c r="Y51" s="196"/>
      <c r="Z51" s="196"/>
      <c r="AA51" s="208"/>
      <c r="AB51" s="95"/>
      <c r="AC51" s="95"/>
      <c r="AD51" s="95"/>
      <c r="AE51" s="95"/>
      <c r="AF51" s="197">
        <f>Q51-W51</f>
        <v>0</v>
      </c>
    </row>
    <row r="52" spans="1:32" ht="14.1" hidden="1" customHeight="1" outlineLevel="1">
      <c r="B52" s="84"/>
      <c r="C52" s="80" t="s">
        <v>134</v>
      </c>
      <c r="D52" s="81"/>
      <c r="E52" s="81"/>
      <c r="F52" s="82"/>
      <c r="G52" s="83"/>
      <c r="H52" s="83"/>
      <c r="I52" s="83"/>
      <c r="J52" s="188"/>
      <c r="L52" s="196"/>
      <c r="M52" s="196"/>
      <c r="N52" s="196"/>
      <c r="O52" s="196"/>
      <c r="P52" s="118"/>
      <c r="Q52" s="95"/>
      <c r="R52" s="95"/>
      <c r="S52" s="95"/>
      <c r="T52" s="95"/>
      <c r="U52" s="207">
        <f>F52-L52</f>
        <v>0</v>
      </c>
      <c r="V52" s="117"/>
      <c r="W52" s="196"/>
      <c r="X52" s="196"/>
      <c r="Y52" s="196"/>
      <c r="Z52" s="196"/>
      <c r="AA52" s="208"/>
      <c r="AB52" s="95"/>
      <c r="AC52" s="95"/>
      <c r="AD52" s="95"/>
      <c r="AE52" s="95"/>
      <c r="AF52" s="197">
        <f>Q52-W52</f>
        <v>0</v>
      </c>
    </row>
    <row r="53" spans="1:32" ht="18" hidden="1" customHeight="1" outlineLevel="1">
      <c r="B53" s="85" t="s">
        <v>135</v>
      </c>
      <c r="C53" s="86"/>
      <c r="D53" s="86"/>
      <c r="E53" s="86"/>
      <c r="F53" s="82"/>
      <c r="G53" s="83"/>
      <c r="H53" s="83"/>
      <c r="I53" s="83"/>
      <c r="J53" s="188"/>
      <c r="L53" s="195"/>
      <c r="M53" s="195"/>
      <c r="N53" s="195"/>
      <c r="O53" s="195"/>
      <c r="P53" s="119"/>
      <c r="Q53" s="95"/>
      <c r="R53" s="95"/>
      <c r="S53" s="95"/>
      <c r="T53" s="95"/>
      <c r="U53" s="200">
        <f>F53-L53</f>
        <v>0</v>
      </c>
      <c r="V53" s="117"/>
      <c r="W53" s="195"/>
      <c r="X53" s="195"/>
      <c r="Y53" s="195"/>
      <c r="Z53" s="195"/>
      <c r="AA53" s="201"/>
      <c r="AB53" s="95"/>
      <c r="AC53" s="95"/>
      <c r="AD53" s="95"/>
      <c r="AE53" s="95"/>
      <c r="AF53" s="198">
        <f>Q53-W53</f>
        <v>0</v>
      </c>
    </row>
    <row r="54" spans="1:32" ht="8.25" customHeight="1" outlineLevel="1">
      <c r="F54" s="15"/>
      <c r="J54" s="194"/>
      <c r="L54" s="117"/>
      <c r="M54" s="117"/>
      <c r="N54" s="117"/>
      <c r="O54" s="117"/>
      <c r="P54" s="117"/>
      <c r="U54" s="117"/>
      <c r="V54" s="117"/>
      <c r="W54" s="117"/>
      <c r="X54" s="117"/>
      <c r="Y54" s="117"/>
      <c r="Z54" s="117"/>
      <c r="AA54" s="117"/>
      <c r="AF54" s="117"/>
    </row>
    <row r="55" spans="1:32" ht="18" customHeight="1" outlineLevel="1">
      <c r="B55" s="87" t="s">
        <v>136</v>
      </c>
      <c r="C55" s="88"/>
      <c r="D55" s="86"/>
      <c r="E55" s="86"/>
      <c r="F55" s="89" t="e">
        <f>#REF!</f>
        <v>#REF!</v>
      </c>
      <c r="G55" s="90" t="e">
        <f>#REF!</f>
        <v>#REF!</v>
      </c>
      <c r="H55" s="90" t="e">
        <f>#REF!</f>
        <v>#REF!</v>
      </c>
      <c r="I55" s="90" t="e">
        <f>#REF!</f>
        <v>#REF!</v>
      </c>
      <c r="J55" s="188" t="e">
        <f>SUM(F55:I55)</f>
        <v>#REF!</v>
      </c>
      <c r="L55" s="195">
        <f>BP!Z54</f>
        <v>-160.37469283239255</v>
      </c>
      <c r="M55" s="195">
        <f>BP!AA54</f>
        <v>-44.474875945533761</v>
      </c>
      <c r="N55" s="195">
        <f>BP!AB54</f>
        <v>17.058071797852932</v>
      </c>
      <c r="O55" s="195">
        <f>BP!AC54</f>
        <v>56.023835109295376</v>
      </c>
      <c r="P55" s="119">
        <f>SUM(L55:O55)</f>
        <v>-131.767661870778</v>
      </c>
      <c r="Q55" s="199">
        <f>IFERROR(F55-L55,0)</f>
        <v>0</v>
      </c>
      <c r="R55" s="199">
        <f>IFERROR(G55-M55,0)</f>
        <v>0</v>
      </c>
      <c r="S55" s="199">
        <f>IFERROR(H55-N55,0)</f>
        <v>0</v>
      </c>
      <c r="T55" s="199">
        <f>IFERROR(I55-O55,0)</f>
        <v>0</v>
      </c>
      <c r="U55" s="200">
        <f>IFERROR(J55-P55,0)</f>
        <v>0</v>
      </c>
      <c r="V55" s="117"/>
      <c r="W55" s="195">
        <f>'FC2+10'!Z54</f>
        <v>-127.05132579450429</v>
      </c>
      <c r="X55" s="90">
        <f>'FC2+10'!AA54</f>
        <v>-35.984671931108444</v>
      </c>
      <c r="Y55" s="195">
        <f>'FC2+10'!AB54</f>
        <v>120.22161350647215</v>
      </c>
      <c r="Z55" s="195">
        <f>'FC2+10'!AC54</f>
        <v>172.78890983142196</v>
      </c>
      <c r="AA55" s="201">
        <f>SUM(W55:Z55)</f>
        <v>129.97452561228138</v>
      </c>
      <c r="AB55" s="199">
        <f>IFERROR(F55-W55,0)</f>
        <v>0</v>
      </c>
      <c r="AC55" s="199">
        <f>IFERROR(G55-X55,0)</f>
        <v>0</v>
      </c>
      <c r="AD55" s="199">
        <f>IFERROR(H55-Y55,0)</f>
        <v>0</v>
      </c>
      <c r="AE55" s="199">
        <f>IFERROR(I55-Z55,0)</f>
        <v>0</v>
      </c>
      <c r="AF55" s="198" t="e">
        <f>J55-AA55</f>
        <v>#REF!</v>
      </c>
    </row>
    <row r="56" spans="1:32" ht="7.5" customHeight="1" outlineLevel="1">
      <c r="F56" s="15"/>
      <c r="J56" s="194"/>
      <c r="L56" s="117"/>
      <c r="M56" s="117"/>
      <c r="N56" s="117"/>
      <c r="O56" s="117"/>
      <c r="P56" s="117"/>
      <c r="Q56" s="202"/>
      <c r="R56" s="202"/>
      <c r="S56" s="202"/>
      <c r="T56" s="202"/>
      <c r="U56" s="117"/>
      <c r="V56" s="117"/>
      <c r="W56" s="117"/>
      <c r="X56" s="117"/>
      <c r="Y56" s="117"/>
      <c r="Z56" s="117"/>
      <c r="AA56" s="117"/>
      <c r="AB56" s="202"/>
      <c r="AC56" s="202"/>
      <c r="AD56" s="202"/>
      <c r="AE56" s="202"/>
      <c r="AF56" s="117"/>
    </row>
    <row r="57" spans="1:32" ht="18" customHeight="1" outlineLevel="1" thickBot="1">
      <c r="B57" s="80" t="s">
        <v>137</v>
      </c>
      <c r="C57" s="91"/>
      <c r="D57" s="81"/>
      <c r="E57" s="91"/>
      <c r="F57" s="92" t="e">
        <f>#REF!</f>
        <v>#REF!</v>
      </c>
      <c r="G57" s="93" t="e">
        <f>#REF!</f>
        <v>#REF!</v>
      </c>
      <c r="H57" s="93" t="e">
        <f>#REF!</f>
        <v>#REF!</v>
      </c>
      <c r="I57" s="93" t="e">
        <f>#REF!</f>
        <v>#REF!</v>
      </c>
      <c r="J57" s="203" t="e">
        <f>SUM(F57:I57)</f>
        <v>#REF!</v>
      </c>
      <c r="L57" s="204">
        <f>BP!Z56</f>
        <v>-0.20694458100000002</v>
      </c>
      <c r="M57" s="204">
        <f>BP!AA56</f>
        <v>-0.20068454500000008</v>
      </c>
      <c r="N57" s="204">
        <f>BP!AB56</f>
        <v>-0.25729924799999992</v>
      </c>
      <c r="O57" s="204">
        <f>BP!AC56</f>
        <v>0</v>
      </c>
      <c r="P57" s="120">
        <f>SUM(L57:O57)</f>
        <v>-0.66492837400000004</v>
      </c>
      <c r="Q57" s="199">
        <f>IFERROR(F57-L57,0)</f>
        <v>0</v>
      </c>
      <c r="R57" s="199">
        <f>IFERROR(G57-M57,0)</f>
        <v>0</v>
      </c>
      <c r="S57" s="199">
        <f>IFERROR(H57-N57,0)</f>
        <v>0</v>
      </c>
      <c r="T57" s="199">
        <f>IFERROR(I57-O57,0)</f>
        <v>0</v>
      </c>
      <c r="U57" s="200">
        <f>IFERROR(J57-P57,0)</f>
        <v>0</v>
      </c>
      <c r="V57" s="117"/>
      <c r="W57" s="209">
        <f>'FC2+10'!Z56</f>
        <v>-0.13018138200000007</v>
      </c>
      <c r="X57" s="204">
        <f>'FC2+10'!AA56</f>
        <v>-0.21429378500000004</v>
      </c>
      <c r="Y57" s="204">
        <f>'FC2+10'!AB56</f>
        <v>-0.27406019800000014</v>
      </c>
      <c r="Z57" s="204">
        <f>'FC2+10'!AC56</f>
        <v>0</v>
      </c>
      <c r="AA57" s="205">
        <f>SUM(W57:Z57)</f>
        <v>-0.61853536500000028</v>
      </c>
      <c r="AB57" s="199">
        <f>IFERROR(F57-W57,0)</f>
        <v>0</v>
      </c>
      <c r="AC57" s="199">
        <f>IFERROR(G57-X57,0)</f>
        <v>0</v>
      </c>
      <c r="AD57" s="199">
        <f>IFERROR(H57-Y57,0)</f>
        <v>0</v>
      </c>
      <c r="AE57" s="199">
        <f>IFERROR(I57-Z57,0)</f>
        <v>0</v>
      </c>
      <c r="AF57" s="206" t="e">
        <f>J57-AA57</f>
        <v>#REF!</v>
      </c>
    </row>
    <row r="58" spans="1:32" ht="15">
      <c r="A58" s="94"/>
      <c r="B58" s="94"/>
      <c r="C58" s="94"/>
      <c r="D58" s="94"/>
      <c r="E58" s="94"/>
      <c r="F58" s="94"/>
      <c r="G58" s="94"/>
      <c r="H58" s="94"/>
      <c r="I58" s="94"/>
      <c r="J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W58" s="94"/>
      <c r="X58" s="94"/>
      <c r="Y58" s="94"/>
      <c r="Z58" s="94"/>
      <c r="AA58" s="211"/>
      <c r="AB58" s="94"/>
      <c r="AC58" s="94"/>
      <c r="AD58" s="94"/>
      <c r="AE58" s="94"/>
      <c r="AF58" s="211"/>
    </row>
    <row r="59" spans="1:32" ht="15">
      <c r="A59" s="94" t="s">
        <v>140</v>
      </c>
      <c r="B59" s="78" t="s">
        <v>50</v>
      </c>
      <c r="C59" s="73"/>
      <c r="D59" s="73"/>
      <c r="E59" s="73"/>
      <c r="F59" s="69" t="e">
        <f>#REF!</f>
        <v>#REF!</v>
      </c>
      <c r="G59" s="69" t="e">
        <f>#REF!</f>
        <v>#REF!</v>
      </c>
      <c r="H59" s="69" t="e">
        <f>#REF!</f>
        <v>#REF!</v>
      </c>
      <c r="I59" s="69" t="e">
        <f>#REF!</f>
        <v>#REF!</v>
      </c>
      <c r="J59" s="188" t="e">
        <f t="shared" ref="J59:J69" si="19">SUM(F59:I59)</f>
        <v>#REF!</v>
      </c>
      <c r="L59" s="69">
        <f>BP!Z62</f>
        <v>-5.4929419308626217</v>
      </c>
      <c r="M59" s="69">
        <f>BP!AA62</f>
        <v>-7.1034293021306389</v>
      </c>
      <c r="N59" s="69">
        <f>BP!AB62</f>
        <v>-5.7344911347120284</v>
      </c>
      <c r="O59" s="69">
        <f>BP!AC62</f>
        <v>-6.39814779218643</v>
      </c>
      <c r="P59" s="119">
        <f t="shared" ref="P59:P69" si="20">SUM(L59:O59)</f>
        <v>-24.729010159891715</v>
      </c>
      <c r="Q59" s="210">
        <f t="shared" ref="Q59:Q69" si="21">IFERROR(F59-L59,0)</f>
        <v>0</v>
      </c>
      <c r="R59" s="210">
        <f t="shared" ref="R59:R69" si="22">IFERROR(G59-M59,0)</f>
        <v>0</v>
      </c>
      <c r="S59" s="210">
        <f t="shared" ref="S59:S69" si="23">IFERROR(H59-N59,0)</f>
        <v>0</v>
      </c>
      <c r="T59" s="210">
        <f t="shared" ref="T59:U69" si="24">IFERROR(I59-O59,0)</f>
        <v>0</v>
      </c>
      <c r="U59" s="200">
        <f t="shared" si="24"/>
        <v>0</v>
      </c>
      <c r="W59" s="69">
        <f>'FC2+10'!Z62</f>
        <v>-4.9490624196891879</v>
      </c>
      <c r="X59" s="69">
        <f>'FC2+10'!AA62</f>
        <v>-6.0411989332484577</v>
      </c>
      <c r="Y59" s="69">
        <f>'FC2+10'!AB62</f>
        <v>-4.1222649376591649</v>
      </c>
      <c r="Z59" s="69">
        <f>'FC2+10'!AC62</f>
        <v>-5.5454794817156792</v>
      </c>
      <c r="AA59" s="208">
        <f t="shared" ref="AA59:AA69" si="25">SUM(W59:Z59)</f>
        <v>-20.658005772312492</v>
      </c>
      <c r="AB59" s="210">
        <f t="shared" ref="AB59:AB69" si="26">IFERROR(F59-W59,0)</f>
        <v>0</v>
      </c>
      <c r="AC59" s="210">
        <f t="shared" ref="AC59:AC69" si="27">IFERROR(G59-X59,0)</f>
        <v>0</v>
      </c>
      <c r="AD59" s="210">
        <f t="shared" ref="AD59:AE69" si="28">IFERROR(H59-Y59,0)</f>
        <v>0</v>
      </c>
      <c r="AE59" s="210">
        <f t="shared" si="28"/>
        <v>0</v>
      </c>
      <c r="AF59" s="197" t="e">
        <f t="shared" ref="AF59:AF69" si="29">J59-AA59</f>
        <v>#REF!</v>
      </c>
    </row>
    <row r="60" spans="1:32" ht="15">
      <c r="A60" s="94" t="s">
        <v>139</v>
      </c>
      <c r="B60" s="78" t="s">
        <v>51</v>
      </c>
      <c r="C60" s="73"/>
      <c r="D60" s="73"/>
      <c r="E60" s="73"/>
      <c r="F60" s="69" t="e">
        <f>#REF!</f>
        <v>#REF!</v>
      </c>
      <c r="G60" s="95" t="e">
        <f>#REF!</f>
        <v>#REF!</v>
      </c>
      <c r="H60" s="69" t="e">
        <f>#REF!</f>
        <v>#REF!</v>
      </c>
      <c r="I60" s="69" t="e">
        <f>#REF!</f>
        <v>#REF!</v>
      </c>
      <c r="J60" s="188" t="e">
        <f t="shared" si="19"/>
        <v>#REF!</v>
      </c>
      <c r="L60" s="69">
        <f>BP!Z63</f>
        <v>38.926802253309944</v>
      </c>
      <c r="M60" s="69">
        <f>BP!AA63</f>
        <v>43.760706822504773</v>
      </c>
      <c r="N60" s="69">
        <f>BP!AB63</f>
        <v>53.100464420596794</v>
      </c>
      <c r="O60" s="69">
        <f>BP!AC63</f>
        <v>61.073258242904288</v>
      </c>
      <c r="P60" s="119">
        <f t="shared" si="20"/>
        <v>196.86123173931577</v>
      </c>
      <c r="Q60" s="210">
        <f t="shared" si="21"/>
        <v>0</v>
      </c>
      <c r="R60" s="210">
        <f t="shared" si="22"/>
        <v>0</v>
      </c>
      <c r="S60" s="210">
        <f t="shared" si="23"/>
        <v>0</v>
      </c>
      <c r="T60" s="210">
        <f t="shared" si="24"/>
        <v>0</v>
      </c>
      <c r="U60" s="200">
        <f t="shared" si="24"/>
        <v>0</v>
      </c>
      <c r="W60" s="69" t="e">
        <f>'FC2+10'!Z63</f>
        <v>#VALUE!</v>
      </c>
      <c r="X60" s="69" t="e">
        <f>'FC2+10'!AA63</f>
        <v>#VALUE!</v>
      </c>
      <c r="Y60" s="69" t="e">
        <f>'FC2+10'!AB63</f>
        <v>#VALUE!</v>
      </c>
      <c r="Z60" s="69" t="e">
        <f>'FC2+10'!AC63</f>
        <v>#VALUE!</v>
      </c>
      <c r="AA60" s="208" t="e">
        <f t="shared" si="25"/>
        <v>#VALUE!</v>
      </c>
      <c r="AB60" s="210">
        <f t="shared" si="26"/>
        <v>0</v>
      </c>
      <c r="AC60" s="210">
        <f t="shared" si="27"/>
        <v>0</v>
      </c>
      <c r="AD60" s="210">
        <f t="shared" si="28"/>
        <v>0</v>
      </c>
      <c r="AE60" s="210">
        <f t="shared" si="28"/>
        <v>0</v>
      </c>
      <c r="AF60" s="197" t="e">
        <f t="shared" si="29"/>
        <v>#REF!</v>
      </c>
    </row>
    <row r="61" spans="1:32" ht="15">
      <c r="A61" s="94" t="s">
        <v>141</v>
      </c>
      <c r="B61" s="78" t="s">
        <v>52</v>
      </c>
      <c r="C61" s="73"/>
      <c r="D61" s="73"/>
      <c r="E61" s="73"/>
      <c r="F61" s="69" t="e">
        <f>#REF!</f>
        <v>#REF!</v>
      </c>
      <c r="G61" s="69" t="e">
        <f>#REF!</f>
        <v>#REF!</v>
      </c>
      <c r="H61" s="69" t="e">
        <f>#REF!</f>
        <v>#REF!</v>
      </c>
      <c r="I61" s="69" t="e">
        <f>#REF!</f>
        <v>#REF!</v>
      </c>
      <c r="J61" s="188" t="e">
        <f t="shared" si="19"/>
        <v>#REF!</v>
      </c>
      <c r="L61" s="69">
        <f>BP!Z64</f>
        <v>15.78830743079639</v>
      </c>
      <c r="M61" s="69">
        <f>BP!AA64</f>
        <v>10.419602756108899</v>
      </c>
      <c r="N61" s="69">
        <f>BP!AB64</f>
        <v>16.104441214851995</v>
      </c>
      <c r="O61" s="69">
        <f>BP!AC64</f>
        <v>18.270502923347212</v>
      </c>
      <c r="P61" s="119">
        <f t="shared" si="20"/>
        <v>60.582854325104492</v>
      </c>
      <c r="Q61" s="210">
        <f t="shared" si="21"/>
        <v>0</v>
      </c>
      <c r="R61" s="210">
        <f t="shared" si="22"/>
        <v>0</v>
      </c>
      <c r="S61" s="210">
        <f t="shared" si="23"/>
        <v>0</v>
      </c>
      <c r="T61" s="210">
        <f t="shared" si="24"/>
        <v>0</v>
      </c>
      <c r="U61" s="200">
        <f t="shared" si="24"/>
        <v>0</v>
      </c>
      <c r="W61" s="69">
        <f>'FC2+10'!Z64</f>
        <v>7.1454577680000035</v>
      </c>
      <c r="X61" s="69">
        <f>'FC2+10'!AA64</f>
        <v>7.8481605319999979</v>
      </c>
      <c r="Y61" s="69">
        <f>'FC2+10'!AB64</f>
        <v>22.567419682000001</v>
      </c>
      <c r="Z61" s="69">
        <f>'FC2+10'!AC64</f>
        <v>20.648267564000001</v>
      </c>
      <c r="AA61" s="208">
        <f t="shared" si="25"/>
        <v>58.209305546000003</v>
      </c>
      <c r="AB61" s="210">
        <f t="shared" si="26"/>
        <v>0</v>
      </c>
      <c r="AC61" s="210">
        <f t="shared" si="27"/>
        <v>0</v>
      </c>
      <c r="AD61" s="210">
        <f t="shared" si="28"/>
        <v>0</v>
      </c>
      <c r="AE61" s="210">
        <f t="shared" si="28"/>
        <v>0</v>
      </c>
      <c r="AF61" s="197" t="e">
        <f t="shared" si="29"/>
        <v>#REF!</v>
      </c>
    </row>
    <row r="62" spans="1:32" ht="15">
      <c r="A62" s="94" t="s">
        <v>142</v>
      </c>
      <c r="B62" s="78" t="s">
        <v>53</v>
      </c>
      <c r="C62" s="73"/>
      <c r="D62" s="73"/>
      <c r="E62" s="73"/>
      <c r="F62" s="69" t="e">
        <f>#REF!</f>
        <v>#REF!</v>
      </c>
      <c r="G62" s="69" t="e">
        <f>#REF!</f>
        <v>#REF!</v>
      </c>
      <c r="H62" s="69" t="e">
        <f>#REF!</f>
        <v>#REF!</v>
      </c>
      <c r="I62" s="69" t="e">
        <f>#REF!</f>
        <v>#REF!</v>
      </c>
      <c r="J62" s="188" t="e">
        <f t="shared" si="19"/>
        <v>#REF!</v>
      </c>
      <c r="L62" s="69">
        <f>BP!Z65</f>
        <v>0</v>
      </c>
      <c r="M62" s="69">
        <f>BP!AA65</f>
        <v>0</v>
      </c>
      <c r="N62" s="69">
        <f>BP!AB65</f>
        <v>0</v>
      </c>
      <c r="O62" s="69">
        <f>BP!AC65</f>
        <v>0</v>
      </c>
      <c r="P62" s="119">
        <f t="shared" si="20"/>
        <v>0</v>
      </c>
      <c r="Q62" s="210">
        <f t="shared" si="21"/>
        <v>0</v>
      </c>
      <c r="R62" s="210">
        <f t="shared" si="22"/>
        <v>0</v>
      </c>
      <c r="S62" s="210">
        <f t="shared" si="23"/>
        <v>0</v>
      </c>
      <c r="T62" s="210">
        <f t="shared" si="24"/>
        <v>0</v>
      </c>
      <c r="U62" s="200">
        <f t="shared" si="24"/>
        <v>0</v>
      </c>
      <c r="W62" s="69">
        <f>'FC2+10'!Z65</f>
        <v>0</v>
      </c>
      <c r="X62" s="69">
        <f>'FC2+10'!AA65</f>
        <v>0</v>
      </c>
      <c r="Y62" s="69">
        <f>'FC2+10'!AB65</f>
        <v>0</v>
      </c>
      <c r="Z62" s="69">
        <f>'FC2+10'!AC65</f>
        <v>0</v>
      </c>
      <c r="AA62" s="208">
        <f t="shared" si="25"/>
        <v>0</v>
      </c>
      <c r="AB62" s="210">
        <f t="shared" si="26"/>
        <v>0</v>
      </c>
      <c r="AC62" s="210">
        <f t="shared" si="27"/>
        <v>0</v>
      </c>
      <c r="AD62" s="210">
        <f t="shared" si="28"/>
        <v>0</v>
      </c>
      <c r="AE62" s="210">
        <f t="shared" si="28"/>
        <v>0</v>
      </c>
      <c r="AF62" s="197" t="e">
        <f t="shared" si="29"/>
        <v>#REF!</v>
      </c>
    </row>
    <row r="63" spans="1:32" ht="15">
      <c r="A63" s="94" t="s">
        <v>142</v>
      </c>
      <c r="B63" s="78" t="s">
        <v>54</v>
      </c>
      <c r="C63" s="73"/>
      <c r="D63" s="73"/>
      <c r="E63" s="73"/>
      <c r="F63" s="69" t="e">
        <f>#REF!</f>
        <v>#REF!</v>
      </c>
      <c r="G63" s="69" t="e">
        <f>#REF!</f>
        <v>#REF!</v>
      </c>
      <c r="H63" s="69" t="e">
        <f>#REF!</f>
        <v>#REF!</v>
      </c>
      <c r="I63" s="69" t="e">
        <f>#REF!</f>
        <v>#REF!</v>
      </c>
      <c r="J63" s="188" t="e">
        <f t="shared" si="19"/>
        <v>#REF!</v>
      </c>
      <c r="L63" s="69">
        <f>BP!Z66</f>
        <v>0</v>
      </c>
      <c r="M63" s="69">
        <f>BP!AA66</f>
        <v>0</v>
      </c>
      <c r="N63" s="69">
        <f>BP!AB66</f>
        <v>0</v>
      </c>
      <c r="O63" s="69">
        <f>BP!AC66</f>
        <v>0</v>
      </c>
      <c r="P63" s="119">
        <f t="shared" si="20"/>
        <v>0</v>
      </c>
      <c r="Q63" s="210">
        <f t="shared" si="21"/>
        <v>0</v>
      </c>
      <c r="R63" s="210">
        <f t="shared" si="22"/>
        <v>0</v>
      </c>
      <c r="S63" s="210">
        <f t="shared" si="23"/>
        <v>0</v>
      </c>
      <c r="T63" s="210">
        <f t="shared" si="24"/>
        <v>0</v>
      </c>
      <c r="U63" s="200">
        <f t="shared" si="24"/>
        <v>0</v>
      </c>
      <c r="W63" s="69">
        <f>'FC2+10'!Z66</f>
        <v>0</v>
      </c>
      <c r="X63" s="69">
        <f>'FC2+10'!AA66</f>
        <v>0</v>
      </c>
      <c r="Y63" s="69">
        <f>'FC2+10'!AB66</f>
        <v>0</v>
      </c>
      <c r="Z63" s="69">
        <f>'FC2+10'!AC66</f>
        <v>0</v>
      </c>
      <c r="AA63" s="208">
        <f t="shared" si="25"/>
        <v>0</v>
      </c>
      <c r="AB63" s="210">
        <f t="shared" si="26"/>
        <v>0</v>
      </c>
      <c r="AC63" s="210">
        <f t="shared" si="27"/>
        <v>0</v>
      </c>
      <c r="AD63" s="210">
        <f t="shared" si="28"/>
        <v>0</v>
      </c>
      <c r="AE63" s="210">
        <f t="shared" si="28"/>
        <v>0</v>
      </c>
      <c r="AF63" s="197" t="e">
        <f t="shared" si="29"/>
        <v>#REF!</v>
      </c>
    </row>
    <row r="64" spans="1:32" ht="15">
      <c r="A64" s="94" t="s">
        <v>142</v>
      </c>
      <c r="B64" s="78" t="s">
        <v>55</v>
      </c>
      <c r="C64" s="73"/>
      <c r="D64" s="73"/>
      <c r="E64" s="73"/>
      <c r="F64" s="69" t="e">
        <f>#REF!</f>
        <v>#REF!</v>
      </c>
      <c r="G64" s="69" t="e">
        <f>#REF!</f>
        <v>#REF!</v>
      </c>
      <c r="H64" s="69" t="e">
        <f>#REF!</f>
        <v>#REF!</v>
      </c>
      <c r="I64" s="69" t="e">
        <f>#REF!</f>
        <v>#REF!</v>
      </c>
      <c r="J64" s="188" t="e">
        <f t="shared" si="19"/>
        <v>#REF!</v>
      </c>
      <c r="L64" s="69">
        <f>BP!Z67</f>
        <v>0</v>
      </c>
      <c r="M64" s="69">
        <f>BP!AA67</f>
        <v>0</v>
      </c>
      <c r="N64" s="69">
        <f>BP!AB67</f>
        <v>0</v>
      </c>
      <c r="O64" s="69">
        <f>BP!AC67</f>
        <v>0</v>
      </c>
      <c r="P64" s="119">
        <f t="shared" si="20"/>
        <v>0</v>
      </c>
      <c r="Q64" s="210">
        <f t="shared" si="21"/>
        <v>0</v>
      </c>
      <c r="R64" s="210">
        <f t="shared" si="22"/>
        <v>0</v>
      </c>
      <c r="S64" s="210">
        <f t="shared" si="23"/>
        <v>0</v>
      </c>
      <c r="T64" s="210">
        <f t="shared" si="24"/>
        <v>0</v>
      </c>
      <c r="U64" s="200">
        <f t="shared" si="24"/>
        <v>0</v>
      </c>
      <c r="W64" s="69">
        <f>'FC2+10'!Z67</f>
        <v>0</v>
      </c>
      <c r="X64" s="69">
        <f>'FC2+10'!AA67</f>
        <v>0</v>
      </c>
      <c r="Y64" s="69">
        <f>'FC2+10'!AB67</f>
        <v>0</v>
      </c>
      <c r="Z64" s="69">
        <f>'FC2+10'!AC67</f>
        <v>0</v>
      </c>
      <c r="AA64" s="208">
        <f t="shared" si="25"/>
        <v>0</v>
      </c>
      <c r="AB64" s="210">
        <f t="shared" si="26"/>
        <v>0</v>
      </c>
      <c r="AC64" s="210">
        <f t="shared" si="27"/>
        <v>0</v>
      </c>
      <c r="AD64" s="210">
        <f t="shared" si="28"/>
        <v>0</v>
      </c>
      <c r="AE64" s="210">
        <f t="shared" si="28"/>
        <v>0</v>
      </c>
      <c r="AF64" s="197" t="e">
        <f t="shared" si="29"/>
        <v>#REF!</v>
      </c>
    </row>
    <row r="65" spans="1:32" ht="15">
      <c r="A65" s="94" t="s">
        <v>139</v>
      </c>
      <c r="B65" s="78" t="s">
        <v>56</v>
      </c>
      <c r="C65" s="73"/>
      <c r="D65" s="73"/>
      <c r="E65" s="73"/>
      <c r="F65" s="70" t="e">
        <f>#REF!</f>
        <v>#REF!</v>
      </c>
      <c r="G65" s="70" t="e">
        <f>#REF!</f>
        <v>#REF!</v>
      </c>
      <c r="H65" s="69" t="e">
        <f>#REF!</f>
        <v>#REF!</v>
      </c>
      <c r="I65" s="69" t="e">
        <f>#REF!</f>
        <v>#REF!</v>
      </c>
      <c r="J65" s="188" t="e">
        <f t="shared" si="19"/>
        <v>#REF!</v>
      </c>
      <c r="L65" s="69">
        <f>BP!Z68</f>
        <v>40.828480945999999</v>
      </c>
      <c r="M65" s="69">
        <f>BP!AA68</f>
        <v>39.015307481999997</v>
      </c>
      <c r="N65" s="69">
        <f>BP!AB68</f>
        <v>58.842446856999999</v>
      </c>
      <c r="O65" s="69">
        <f>BP!AC68</f>
        <v>64.077209095000001</v>
      </c>
      <c r="P65" s="119">
        <f t="shared" si="20"/>
        <v>202.76344438000001</v>
      </c>
      <c r="Q65" s="210">
        <f t="shared" si="21"/>
        <v>0</v>
      </c>
      <c r="R65" s="210">
        <f t="shared" si="22"/>
        <v>0</v>
      </c>
      <c r="S65" s="210">
        <f t="shared" si="23"/>
        <v>0</v>
      </c>
      <c r="T65" s="210">
        <f t="shared" si="24"/>
        <v>0</v>
      </c>
      <c r="U65" s="200">
        <f t="shared" si="24"/>
        <v>0</v>
      </c>
      <c r="W65" s="69">
        <f>'FC2+10'!Z68</f>
        <v>37.32239422</v>
      </c>
      <c r="X65" s="69">
        <f>'FC2+10'!AA68</f>
        <v>37.564025657000002</v>
      </c>
      <c r="Y65" s="69">
        <f>'FC2+10'!AB68</f>
        <v>51.470569851999997</v>
      </c>
      <c r="Z65" s="69">
        <f>'FC2+10'!AC68</f>
        <v>61.414653646999994</v>
      </c>
      <c r="AA65" s="208">
        <f t="shared" si="25"/>
        <v>187.77164337599999</v>
      </c>
      <c r="AB65" s="210">
        <f t="shared" si="26"/>
        <v>0</v>
      </c>
      <c r="AC65" s="210">
        <f t="shared" si="27"/>
        <v>0</v>
      </c>
      <c r="AD65" s="210">
        <f t="shared" si="28"/>
        <v>0</v>
      </c>
      <c r="AE65" s="210">
        <f t="shared" si="28"/>
        <v>0</v>
      </c>
      <c r="AF65" s="197" t="e">
        <f t="shared" si="29"/>
        <v>#REF!</v>
      </c>
    </row>
    <row r="66" spans="1:32" ht="15">
      <c r="A66" s="94" t="s">
        <v>143</v>
      </c>
      <c r="B66" s="78" t="s">
        <v>57</v>
      </c>
      <c r="C66" s="73"/>
      <c r="D66" s="73"/>
      <c r="E66" s="73"/>
      <c r="F66" s="70" t="e">
        <f>#REF!</f>
        <v>#REF!</v>
      </c>
      <c r="G66" s="70" t="e">
        <f>#REF!</f>
        <v>#REF!</v>
      </c>
      <c r="H66" s="69" t="e">
        <f>#REF!</f>
        <v>#REF!</v>
      </c>
      <c r="I66" s="69" t="e">
        <f>#REF!</f>
        <v>#REF!</v>
      </c>
      <c r="J66" s="188" t="e">
        <f t="shared" si="19"/>
        <v>#REF!</v>
      </c>
      <c r="L66" s="69">
        <f>BP!Z69</f>
        <v>0</v>
      </c>
      <c r="M66" s="69">
        <f>BP!AA69</f>
        <v>0</v>
      </c>
      <c r="N66" s="69">
        <f>BP!AB69</f>
        <v>0</v>
      </c>
      <c r="O66" s="69">
        <f>BP!AC69</f>
        <v>0</v>
      </c>
      <c r="P66" s="119">
        <f t="shared" si="20"/>
        <v>0</v>
      </c>
      <c r="Q66" s="210">
        <f t="shared" si="21"/>
        <v>0</v>
      </c>
      <c r="R66" s="210">
        <f t="shared" si="22"/>
        <v>0</v>
      </c>
      <c r="S66" s="210">
        <f t="shared" si="23"/>
        <v>0</v>
      </c>
      <c r="T66" s="210">
        <f t="shared" si="24"/>
        <v>0</v>
      </c>
      <c r="U66" s="200">
        <f t="shared" si="24"/>
        <v>0</v>
      </c>
      <c r="W66" s="69">
        <f>'FC2+10'!Z69</f>
        <v>0</v>
      </c>
      <c r="X66" s="69">
        <f>'FC2+10'!AA69</f>
        <v>0</v>
      </c>
      <c r="Y66" s="69">
        <f>'FC2+10'!AB69</f>
        <v>0</v>
      </c>
      <c r="Z66" s="69">
        <f>'FC2+10'!AC69</f>
        <v>0</v>
      </c>
      <c r="AA66" s="208">
        <f t="shared" si="25"/>
        <v>0</v>
      </c>
      <c r="AB66" s="210">
        <f t="shared" si="26"/>
        <v>0</v>
      </c>
      <c r="AC66" s="210">
        <f t="shared" si="27"/>
        <v>0</v>
      </c>
      <c r="AD66" s="210">
        <f t="shared" si="28"/>
        <v>0</v>
      </c>
      <c r="AE66" s="210">
        <f t="shared" si="28"/>
        <v>0</v>
      </c>
      <c r="AF66" s="197" t="e">
        <f t="shared" si="29"/>
        <v>#REF!</v>
      </c>
    </row>
    <row r="67" spans="1:32" ht="15">
      <c r="A67" s="94" t="s">
        <v>144</v>
      </c>
      <c r="B67" s="78" t="s">
        <v>58</v>
      </c>
      <c r="C67" s="73"/>
      <c r="D67" s="73"/>
      <c r="E67" s="73"/>
      <c r="F67" s="70" t="e">
        <f>#REF!</f>
        <v>#REF!</v>
      </c>
      <c r="G67" s="70" t="e">
        <f>#REF!</f>
        <v>#REF!</v>
      </c>
      <c r="H67" s="69" t="e">
        <f>#REF!</f>
        <v>#REF!</v>
      </c>
      <c r="I67" s="69" t="e">
        <f>#REF!</f>
        <v>#REF!</v>
      </c>
      <c r="J67" s="188" t="e">
        <f t="shared" si="19"/>
        <v>#REF!</v>
      </c>
      <c r="L67" s="69">
        <f>BP!Z70</f>
        <v>7.9316578</v>
      </c>
      <c r="M67" s="69">
        <f>BP!AA70</f>
        <v>10.513823400000001</v>
      </c>
      <c r="N67" s="69">
        <f>BP!AB70</f>
        <v>13.618411500000001</v>
      </c>
      <c r="O67" s="69">
        <f>BP!AC70</f>
        <v>18.100264799999998</v>
      </c>
      <c r="P67" s="119">
        <f t="shared" si="20"/>
        <v>50.164157500000002</v>
      </c>
      <c r="Q67" s="210">
        <f t="shared" si="21"/>
        <v>0</v>
      </c>
      <c r="R67" s="210">
        <f t="shared" si="22"/>
        <v>0</v>
      </c>
      <c r="S67" s="210">
        <f t="shared" si="23"/>
        <v>0</v>
      </c>
      <c r="T67" s="210">
        <f t="shared" si="24"/>
        <v>0</v>
      </c>
      <c r="U67" s="200">
        <f t="shared" si="24"/>
        <v>0</v>
      </c>
      <c r="W67" s="69">
        <f>'FC2+10'!Z70</f>
        <v>8.9391584000000002</v>
      </c>
      <c r="X67" s="69">
        <f>'FC2+10'!AA70</f>
        <v>9.3317245</v>
      </c>
      <c r="Y67" s="69">
        <f>'FC2+10'!AB70</f>
        <v>12.309056399999999</v>
      </c>
      <c r="Z67" s="69">
        <f>'FC2+10'!AC70</f>
        <v>16.676484550000001</v>
      </c>
      <c r="AA67" s="208">
        <f t="shared" si="25"/>
        <v>47.256423850000004</v>
      </c>
      <c r="AB67" s="210">
        <f t="shared" si="26"/>
        <v>0</v>
      </c>
      <c r="AC67" s="210">
        <f t="shared" si="27"/>
        <v>0</v>
      </c>
      <c r="AD67" s="210">
        <f t="shared" si="28"/>
        <v>0</v>
      </c>
      <c r="AE67" s="210">
        <f t="shared" si="28"/>
        <v>0</v>
      </c>
      <c r="AF67" s="197" t="e">
        <f t="shared" si="29"/>
        <v>#REF!</v>
      </c>
    </row>
    <row r="68" spans="1:32" ht="15">
      <c r="A68" s="94" t="s">
        <v>59</v>
      </c>
      <c r="B68" s="78" t="s">
        <v>59</v>
      </c>
      <c r="C68" s="73"/>
      <c r="D68" s="73"/>
      <c r="E68" s="73"/>
      <c r="F68" s="70" t="e">
        <f>#REF!</f>
        <v>#REF!</v>
      </c>
      <c r="G68" s="70" t="e">
        <f>#REF!</f>
        <v>#REF!</v>
      </c>
      <c r="H68" s="69" t="e">
        <f>#REF!</f>
        <v>#REF!</v>
      </c>
      <c r="I68" s="69" t="e">
        <f>#REF!</f>
        <v>#REF!</v>
      </c>
      <c r="J68" s="188" t="e">
        <f t="shared" si="19"/>
        <v>#REF!</v>
      </c>
      <c r="L68" s="69">
        <f>BP!Z71</f>
        <v>0</v>
      </c>
      <c r="M68" s="69">
        <f>BP!AA71</f>
        <v>0</v>
      </c>
      <c r="N68" s="69">
        <f>BP!AB71</f>
        <v>0</v>
      </c>
      <c r="O68" s="69">
        <f>BP!AC71</f>
        <v>0</v>
      </c>
      <c r="P68" s="119">
        <f t="shared" si="20"/>
        <v>0</v>
      </c>
      <c r="Q68" s="210">
        <f t="shared" si="21"/>
        <v>0</v>
      </c>
      <c r="R68" s="210">
        <f t="shared" si="22"/>
        <v>0</v>
      </c>
      <c r="S68" s="210">
        <f t="shared" si="23"/>
        <v>0</v>
      </c>
      <c r="T68" s="210">
        <f t="shared" si="24"/>
        <v>0</v>
      </c>
      <c r="U68" s="200">
        <f t="shared" si="24"/>
        <v>0</v>
      </c>
      <c r="W68" s="69">
        <f>'FC2+10'!Z71</f>
        <v>-2.0084217999999998</v>
      </c>
      <c r="X68" s="69">
        <f>'FC2+10'!AA71</f>
        <v>0</v>
      </c>
      <c r="Y68" s="69">
        <f>'FC2+10'!AB71</f>
        <v>0</v>
      </c>
      <c r="Z68" s="69">
        <f>'FC2+10'!AC71</f>
        <v>0</v>
      </c>
      <c r="AA68" s="208">
        <f t="shared" si="25"/>
        <v>-2.0084217999999998</v>
      </c>
      <c r="AB68" s="210">
        <f t="shared" si="26"/>
        <v>0</v>
      </c>
      <c r="AC68" s="210">
        <f t="shared" si="27"/>
        <v>0</v>
      </c>
      <c r="AD68" s="210">
        <f t="shared" si="28"/>
        <v>0</v>
      </c>
      <c r="AE68" s="210">
        <f t="shared" si="28"/>
        <v>0</v>
      </c>
      <c r="AF68" s="197" t="e">
        <f t="shared" si="29"/>
        <v>#REF!</v>
      </c>
    </row>
    <row r="69" spans="1:32" ht="15">
      <c r="A69" s="94" t="s">
        <v>145</v>
      </c>
      <c r="B69" s="78" t="s">
        <v>60</v>
      </c>
      <c r="C69" s="96"/>
      <c r="D69" s="96"/>
      <c r="E69" s="97"/>
      <c r="F69" s="70" t="e">
        <f>#REF!</f>
        <v>#REF!</v>
      </c>
      <c r="G69" s="70" t="e">
        <f>#REF!</f>
        <v>#REF!</v>
      </c>
      <c r="H69" s="69" t="e">
        <f>#REF!</f>
        <v>#REF!</v>
      </c>
      <c r="I69" s="69" t="e">
        <f>#REF!</f>
        <v>#REF!</v>
      </c>
      <c r="J69" s="188" t="e">
        <f t="shared" si="19"/>
        <v>#REF!</v>
      </c>
      <c r="L69" s="69">
        <f>BP!Z72</f>
        <v>1.34548</v>
      </c>
      <c r="M69" s="69">
        <f>BP!AA72</f>
        <v>1.6814799999999999</v>
      </c>
      <c r="N69" s="69">
        <f>BP!AB72</f>
        <v>2.12148</v>
      </c>
      <c r="O69" s="69">
        <f>BP!AC72</f>
        <v>2.6654799999999996</v>
      </c>
      <c r="P69" s="119">
        <f t="shared" si="20"/>
        <v>7.8139199999999995</v>
      </c>
      <c r="Q69" s="210">
        <f t="shared" si="21"/>
        <v>0</v>
      </c>
      <c r="R69" s="210">
        <f t="shared" si="22"/>
        <v>0</v>
      </c>
      <c r="S69" s="210">
        <f t="shared" si="23"/>
        <v>0</v>
      </c>
      <c r="T69" s="210">
        <f t="shared" si="24"/>
        <v>0</v>
      </c>
      <c r="U69" s="200">
        <f t="shared" si="24"/>
        <v>0</v>
      </c>
      <c r="W69" s="69">
        <f>'FC2+10'!Z72</f>
        <v>1.5491600000000001</v>
      </c>
      <c r="X69" s="69">
        <f>'FC2+10'!AA72</f>
        <v>1.6814799999999999</v>
      </c>
      <c r="Y69" s="69">
        <f>'FC2+10'!AB72</f>
        <v>2.12148</v>
      </c>
      <c r="Z69" s="69">
        <f>'FC2+10'!AC72</f>
        <v>2.6654799999999996</v>
      </c>
      <c r="AA69" s="208">
        <f t="shared" si="25"/>
        <v>8.0175999999999998</v>
      </c>
      <c r="AB69" s="210">
        <f t="shared" si="26"/>
        <v>0</v>
      </c>
      <c r="AC69" s="210">
        <f t="shared" si="27"/>
        <v>0</v>
      </c>
      <c r="AD69" s="210">
        <f t="shared" si="28"/>
        <v>0</v>
      </c>
      <c r="AE69" s="210">
        <f t="shared" si="28"/>
        <v>0</v>
      </c>
      <c r="AF69" s="197" t="e">
        <f t="shared" si="29"/>
        <v>#REF!</v>
      </c>
    </row>
    <row r="70" spans="1:32" ht="15">
      <c r="A70" s="94"/>
      <c r="B70" s="94"/>
      <c r="C70" s="94"/>
      <c r="D70" s="94"/>
      <c r="E70" s="94"/>
    </row>
    <row r="71" spans="1:32" ht="15">
      <c r="A71" s="94"/>
      <c r="B71" s="94"/>
      <c r="C71" s="94"/>
      <c r="D71" s="94"/>
      <c r="E71" s="94" t="s">
        <v>61</v>
      </c>
      <c r="F71" s="98">
        <f>IFERROR(F47-SUM(F59:F69)-F55,0)</f>
        <v>0</v>
      </c>
      <c r="G71" s="98">
        <f>IFERROR(G47-SUM(G59:G69)-G55,0)</f>
        <v>0</v>
      </c>
      <c r="H71" s="98">
        <f>IFERROR(H47-SUM(H59:H69)-H55,0)</f>
        <v>0</v>
      </c>
      <c r="I71" s="98">
        <f>IFERROR(I47-SUM(I59:I69)-I55,0)</f>
        <v>0</v>
      </c>
      <c r="J71" s="98">
        <f>IFERROR(J47-SUM(J59:J69)-J55,0)</f>
        <v>0</v>
      </c>
      <c r="K71" s="98">
        <f>K47-SUM(K59:K69)+K57-K55</f>
        <v>0</v>
      </c>
      <c r="L71" s="98">
        <f>IFERROR(L47-SUM(L59:L69)-L55,0)</f>
        <v>7.3954271580590785</v>
      </c>
      <c r="M71" s="98">
        <f t="shared" ref="M71:U71" si="30">IFERROR(M47-SUM(M59:M69)-M55,0)</f>
        <v>7.3954271580597393</v>
      </c>
      <c r="N71" s="98">
        <f t="shared" si="30"/>
        <v>7.3954271580596469</v>
      </c>
      <c r="O71" s="98">
        <f>IFERROR(O47-SUM(O59:O69)-O55,0)</f>
        <v>7.3954271580601443</v>
      </c>
      <c r="P71" s="98">
        <f>IFERROR(P47-SUM(P59:P69)-P55,0)</f>
        <v>29.581708632239327</v>
      </c>
      <c r="Q71" s="98">
        <f t="shared" si="30"/>
        <v>0</v>
      </c>
      <c r="R71" s="98">
        <f>IFERROR(R47-SUM(R59:R69)-R55,0)</f>
        <v>0</v>
      </c>
      <c r="S71" s="98">
        <f>IFERROR(S47-SUM(S59:S69)-S55,0)</f>
        <v>0</v>
      </c>
      <c r="T71" s="98">
        <f>IFERROR(T47-SUM(T59:T69)-T55,0)</f>
        <v>0</v>
      </c>
      <c r="U71" s="98">
        <f t="shared" si="30"/>
        <v>0</v>
      </c>
      <c r="W71" s="98">
        <f t="shared" ref="W71:AF71" si="31">IFERROR(W47-SUM(W59:W69)-W55,0)</f>
        <v>0</v>
      </c>
      <c r="X71" s="98">
        <f t="shared" si="31"/>
        <v>0</v>
      </c>
      <c r="Y71" s="98">
        <f t="shared" si="31"/>
        <v>0</v>
      </c>
      <c r="Z71" s="98">
        <f t="shared" si="31"/>
        <v>0</v>
      </c>
      <c r="AA71" s="98">
        <f t="shared" si="31"/>
        <v>0</v>
      </c>
      <c r="AB71" s="98">
        <f t="shared" si="31"/>
        <v>0</v>
      </c>
      <c r="AC71" s="98">
        <f t="shared" si="31"/>
        <v>0</v>
      </c>
      <c r="AD71" s="98">
        <f t="shared" si="31"/>
        <v>0</v>
      </c>
      <c r="AE71" s="98">
        <f t="shared" si="31"/>
        <v>0</v>
      </c>
      <c r="AF71" s="98">
        <f t="shared" si="31"/>
        <v>0</v>
      </c>
    </row>
    <row r="72" spans="1:32" ht="15">
      <c r="A72" s="94"/>
      <c r="B72" s="94"/>
      <c r="C72" s="94"/>
      <c r="D72" s="94"/>
      <c r="E72" s="94" t="s">
        <v>62</v>
      </c>
      <c r="F72" s="98" t="e">
        <f>F27-SUM(F59:F60,F62:F67,F69)</f>
        <v>#REF!</v>
      </c>
      <c r="G72" s="98" t="e">
        <f>G27-SUM(G59:G60,G62:G67,G69)</f>
        <v>#REF!</v>
      </c>
      <c r="H72" s="98" t="e">
        <f>H27-SUM(H59:H60,H62:H67,H69)</f>
        <v>#REF!</v>
      </c>
      <c r="I72" s="98" t="e">
        <f>I27-SUM(I59:I60,I62:I67,I69)</f>
        <v>#REF!</v>
      </c>
      <c r="J72" s="98" t="e">
        <f>J27-SUM(J59:J60,J62:J67,J69)</f>
        <v>#REF!</v>
      </c>
      <c r="K72" s="98" t="e">
        <f>K27-SUM(K59:K60,K62:K67,K69,-#REF!)</f>
        <v>#REF!</v>
      </c>
      <c r="L72" s="98">
        <f>L27-SUM(L59:L60,L62:L67,L69)</f>
        <v>254.31668786301307</v>
      </c>
      <c r="M72" s="98">
        <f t="shared" ref="M72:U72" si="32">M27-SUM(M59:M60,M62:M67,M69)</f>
        <v>319.46004458284386</v>
      </c>
      <c r="N72" s="98">
        <f t="shared" si="32"/>
        <v>425.67651504319821</v>
      </c>
      <c r="O72" s="98">
        <f>O27-SUM(O59:O60,O62:O67,O69)</f>
        <v>467.65914484797855</v>
      </c>
      <c r="P72" s="98">
        <f>P27-SUM(P59:P60,P62:P67,P69)</f>
        <v>1467.1123923370342</v>
      </c>
      <c r="Q72" s="98">
        <f t="shared" si="32"/>
        <v>0</v>
      </c>
      <c r="R72" s="98">
        <f>R27-SUM(R59:R60,R62:R67,R69)</f>
        <v>0</v>
      </c>
      <c r="S72" s="98">
        <f>S27-SUM(S59:S60,S62:S67,S69)</f>
        <v>0</v>
      </c>
      <c r="T72" s="98">
        <f>T27-SUM(T59:T60,T62:T67,T69)</f>
        <v>0</v>
      </c>
      <c r="U72" s="98">
        <f t="shared" si="32"/>
        <v>0</v>
      </c>
      <c r="W72" s="98" t="e">
        <f t="shared" ref="W72:AF72" si="33">W27-SUM(W59:W60,W62:W67,W69)</f>
        <v>#VALUE!</v>
      </c>
      <c r="X72" s="98" t="e">
        <f t="shared" si="33"/>
        <v>#VALUE!</v>
      </c>
      <c r="Y72" s="98" t="e">
        <f t="shared" si="33"/>
        <v>#VALUE!</v>
      </c>
      <c r="Z72" s="98" t="e">
        <f t="shared" si="33"/>
        <v>#VALUE!</v>
      </c>
      <c r="AA72" s="98" t="e">
        <f t="shared" si="33"/>
        <v>#VALUE!</v>
      </c>
      <c r="AB72" s="98">
        <f t="shared" si="33"/>
        <v>0</v>
      </c>
      <c r="AC72" s="98">
        <f t="shared" si="33"/>
        <v>0</v>
      </c>
      <c r="AD72" s="98">
        <f t="shared" si="33"/>
        <v>0</v>
      </c>
      <c r="AE72" s="98">
        <f t="shared" si="33"/>
        <v>0</v>
      </c>
      <c r="AF72" s="98" t="e">
        <f t="shared" si="33"/>
        <v>#REF!</v>
      </c>
    </row>
    <row r="73" spans="1:32" ht="15">
      <c r="A73" s="94"/>
      <c r="B73" s="94"/>
      <c r="C73" s="94"/>
      <c r="D73" s="94"/>
      <c r="E73" s="94" t="s">
        <v>63</v>
      </c>
      <c r="F73" s="98">
        <f>IFERROR(F46-F61-F68,0)</f>
        <v>0</v>
      </c>
      <c r="G73" s="98">
        <f>IFERROR(G46-G61-G68,0)</f>
        <v>0</v>
      </c>
      <c r="H73" s="98">
        <f>IFERROR(H46-H61-H68,0)</f>
        <v>0</v>
      </c>
      <c r="I73" s="98">
        <f>IFERROR(I46-I61-I68,0)</f>
        <v>0</v>
      </c>
      <c r="J73" s="98">
        <f>IFERROR(J46-J61-J68,0)</f>
        <v>0</v>
      </c>
      <c r="K73" s="98" t="e">
        <f>K46-K61-K68+SUM(#REF!)</f>
        <v>#REF!</v>
      </c>
      <c r="L73" s="98">
        <f>IFERROR(L46-L61-L68,0)</f>
        <v>-407.29595353734658</v>
      </c>
      <c r="M73" s="98">
        <f t="shared" ref="M73:U73" si="34">IFERROR(M46-M61-M68,0)</f>
        <v>-356.53949337031787</v>
      </c>
      <c r="N73" s="98">
        <f t="shared" si="34"/>
        <v>-401.22301608728566</v>
      </c>
      <c r="O73" s="98">
        <f>IFERROR(O46-O61-O68,0)</f>
        <v>-404.23988258062303</v>
      </c>
      <c r="P73" s="98">
        <f>IFERROR(P46-P61-P68,0)</f>
        <v>-1569.298345575573</v>
      </c>
      <c r="Q73" s="98">
        <f t="shared" si="34"/>
        <v>0</v>
      </c>
      <c r="R73" s="98">
        <f>IFERROR(R46-R61-R68,0)</f>
        <v>0</v>
      </c>
      <c r="S73" s="98">
        <f>IFERROR(S46-S61-S68,0)</f>
        <v>0</v>
      </c>
      <c r="T73" s="98">
        <f>IFERROR(T46-T61-T68,0)</f>
        <v>0</v>
      </c>
      <c r="U73" s="98">
        <f t="shared" si="34"/>
        <v>0</v>
      </c>
      <c r="W73" s="98">
        <f t="shared" ref="W73:AF73" si="35">IFERROR(W46-W61-W68,0)</f>
        <v>-346.28151044693374</v>
      </c>
      <c r="X73" s="98">
        <f t="shared" si="35"/>
        <v>-341.13243941002639</v>
      </c>
      <c r="Y73" s="98">
        <f t="shared" si="35"/>
        <v>-372.04775602856131</v>
      </c>
      <c r="Z73" s="98">
        <f t="shared" si="35"/>
        <v>-349.05579002618219</v>
      </c>
      <c r="AA73" s="98">
        <f t="shared" si="35"/>
        <v>-1408.5174959117037</v>
      </c>
      <c r="AB73" s="98">
        <f t="shared" si="35"/>
        <v>0</v>
      </c>
      <c r="AC73" s="98">
        <f t="shared" si="35"/>
        <v>0</v>
      </c>
      <c r="AD73" s="98">
        <f t="shared" si="35"/>
        <v>0</v>
      </c>
      <c r="AE73" s="98">
        <f t="shared" si="35"/>
        <v>0</v>
      </c>
      <c r="AF73" s="98">
        <f t="shared" si="35"/>
        <v>0</v>
      </c>
    </row>
    <row r="74" spans="1:32">
      <c r="E74" s="2" t="s">
        <v>64</v>
      </c>
      <c r="F74" s="99">
        <f>IFERROR(SUM(F72:F73)-F55,0)</f>
        <v>0</v>
      </c>
      <c r="G74" s="99">
        <f>IFERROR(SUM(G72:G73)-G55,0)</f>
        <v>0</v>
      </c>
      <c r="H74" s="99">
        <f>IFERROR(SUM(H72:H73)-H55,0)</f>
        <v>0</v>
      </c>
      <c r="I74" s="99">
        <f>IFERROR(SUM(I72:I73)-I55,0)</f>
        <v>0</v>
      </c>
      <c r="J74" s="99">
        <f>IFERROR(SUM(J72:J73)-J55,0)</f>
        <v>0</v>
      </c>
      <c r="L74" s="99">
        <f>IFERROR(SUM(L72:L73)-L55,0)</f>
        <v>7.39542715805905</v>
      </c>
      <c r="M74" s="99">
        <f t="shared" ref="M74:U74" si="36">IFERROR(SUM(M72:M73)-M55,0)</f>
        <v>7.3954271580597535</v>
      </c>
      <c r="N74" s="99">
        <f t="shared" si="36"/>
        <v>7.3954271580596185</v>
      </c>
      <c r="O74" s="99">
        <f>IFERROR(SUM(O72:O73)-O55,0)</f>
        <v>7.3954271580601443</v>
      </c>
      <c r="P74" s="99">
        <f>IFERROR(SUM(P72:P73)-P55,0)</f>
        <v>29.581708632239213</v>
      </c>
      <c r="Q74" s="99">
        <f t="shared" si="36"/>
        <v>0</v>
      </c>
      <c r="R74" s="99">
        <f>IFERROR(SUM(R72:R73)-R55,0)</f>
        <v>0</v>
      </c>
      <c r="S74" s="99">
        <f>IFERROR(SUM(S72:S73)-S55,0)</f>
        <v>0</v>
      </c>
      <c r="T74" s="99">
        <f>IFERROR(SUM(T72:T73)-T55,0)</f>
        <v>0</v>
      </c>
      <c r="U74" s="99">
        <f t="shared" si="36"/>
        <v>0</v>
      </c>
      <c r="W74" s="99">
        <f t="shared" ref="W74:AF74" si="37">IFERROR(SUM(W72:W73)-W55,0)</f>
        <v>0</v>
      </c>
      <c r="X74" s="99">
        <f t="shared" si="37"/>
        <v>0</v>
      </c>
      <c r="Y74" s="99">
        <f t="shared" si="37"/>
        <v>0</v>
      </c>
      <c r="Z74" s="99">
        <f t="shared" si="37"/>
        <v>0</v>
      </c>
      <c r="AA74" s="99">
        <f t="shared" si="37"/>
        <v>0</v>
      </c>
      <c r="AB74" s="99">
        <f t="shared" si="37"/>
        <v>0</v>
      </c>
      <c r="AC74" s="99">
        <f t="shared" si="37"/>
        <v>0</v>
      </c>
      <c r="AD74" s="99">
        <f t="shared" si="37"/>
        <v>0</v>
      </c>
      <c r="AE74" s="99">
        <f t="shared" si="37"/>
        <v>0</v>
      </c>
      <c r="AF74" s="99">
        <f t="shared" si="37"/>
        <v>0</v>
      </c>
    </row>
  </sheetData>
  <mergeCells count="5">
    <mergeCell ref="F5:J5"/>
    <mergeCell ref="L5:P5"/>
    <mergeCell ref="Q5:U5"/>
    <mergeCell ref="W5:AA5"/>
    <mergeCell ref="AB5:AF5"/>
  </mergeCells>
  <pageMargins left="0.7" right="0.7" top="0.75" bottom="0.75" header="0.3" footer="0.3"/>
  <customProperties>
    <customPr name="_pios_id" r:id="rId1"/>
    <customPr name="EpmWorksheetKeyString_GU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Sheet1</vt:lpstr>
      <vt:lpstr>Summary month</vt:lpstr>
      <vt:lpstr>MTD VA vs LY</vt:lpstr>
      <vt:lpstr>MTD VA vs BP</vt:lpstr>
      <vt:lpstr>YTD VA vs BP</vt:lpstr>
      <vt:lpstr>Q2 Act VA vs Q2 FC2+10</vt:lpstr>
      <vt:lpstr>MTD VA vs LY_old</vt:lpstr>
      <vt:lpstr>YTD VA vs LY_old</vt:lpstr>
      <vt:lpstr>QTD VA vs BP</vt:lpstr>
      <vt:lpstr>MTD VA vs 2+10</vt:lpstr>
      <vt:lpstr>YTD VA vs 2+10</vt:lpstr>
      <vt:lpstr>MTD VA vs OL (0+3)</vt:lpstr>
      <vt:lpstr>QTD VA vs OL(0+3)</vt:lpstr>
      <vt:lpstr>QTD VA vs 5+7</vt:lpstr>
      <vt:lpstr>QTD VA vs 5+7 (2)</vt:lpstr>
      <vt:lpstr>Q1 vs Q2 (2+10)</vt:lpstr>
      <vt:lpstr>MTD vs Q1 OL (2+1) Jun</vt:lpstr>
      <vt:lpstr>Q1 2+1 VA vs OL (0+3)</vt:lpstr>
      <vt:lpstr>Q1(2+1) VA vs OL(0+3)</vt:lpstr>
      <vt:lpstr>MTD VA vs LY CMPI-FC</vt:lpstr>
      <vt:lpstr>YTD VA vs LY CMPI-FC</vt:lpstr>
      <vt:lpstr>QTD VA vs LY CMPI_FC</vt:lpstr>
      <vt:lpstr>QTD Q3 vs FC7+5 Q4</vt:lpstr>
      <vt:lpstr>QTD Q3 vs FC7+5 Q3</vt:lpstr>
      <vt:lpstr> VA vs PM</vt:lpstr>
      <vt:lpstr>Act</vt:lpstr>
      <vt:lpstr>BP</vt:lpstr>
      <vt:lpstr>LY</vt:lpstr>
      <vt:lpstr>FC5+7</vt:lpstr>
      <vt:lpstr>FC7+5</vt:lpstr>
      <vt:lpstr>MTD VA vs 5+7 (ORIGINAL)</vt:lpstr>
      <vt:lpstr>YTD VA vs 5+7 (ORIGINAL)</vt:lpstr>
      <vt:lpstr>FC2+10</vt:lpstr>
      <vt:lpstr>OL</vt:lpstr>
      <vt:lpstr>mapping</vt:lpstr>
      <vt:lpstr>Summary by Quarter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Sapozhnikova, Olga</dc:creator>
  <cp:keywords/>
  <cp:lastModifiedBy>Kshitiz, Akhauri  (NissanContractor)</cp:lastModifiedBy>
  <cp:lastPrinted>2025-12-10T15:25:38Z</cp:lastPrinted>
  <dcterms:created xsi:type="dcterms:W3CDTF">2022-09-06T13:19:53Z</dcterms:created>
  <dcterms:modified xsi:type="dcterms:W3CDTF">2026-06-11T12:43:55Z</dcterms:modified>
  <cp:category>NONE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ustomUiType">
    <vt:lpwstr>2</vt:lpwstr>
  </property>
</Properties>
</file>